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FRONTEND\tomoni-angular\"/>
    </mc:Choice>
  </mc:AlternateContent>
  <bookViews>
    <workbookView xWindow="0" yWindow="0" windowWidth="23040" windowHeight="9192" firstSheet="13" activeTab="23"/>
  </bookViews>
  <sheets>
    <sheet name="26084" sheetId="1" r:id="rId1"/>
    <sheet name="2084060731" sheetId="2" r:id="rId2"/>
    <sheet name="20060" sheetId="3" r:id="rId3"/>
    <sheet name="2084032594" sheetId="4" r:id="rId4"/>
    <sheet name="23336" sheetId="5" r:id="rId5"/>
    <sheet name="23632" sheetId="6" r:id="rId6"/>
    <sheet name="22152" sheetId="7" r:id="rId7"/>
    <sheet name="21600" sheetId="8" r:id="rId8"/>
    <sheet name="21964" sheetId="9" r:id="rId9"/>
    <sheet name="25464" sheetId="10" r:id="rId10"/>
    <sheet name="24242" sheetId="11" r:id="rId11"/>
    <sheet name="20000" sheetId="12" r:id="rId12"/>
    <sheet name="24698" sheetId="13" r:id="rId13"/>
    <sheet name="26318" sheetId="14" r:id="rId14"/>
    <sheet name="23000" sheetId="15" r:id="rId15"/>
    <sheet name="24202" sheetId="16" r:id="rId16"/>
    <sheet name="2084043920" sheetId="17" r:id="rId17"/>
    <sheet name="26086" sheetId="18" r:id="rId18"/>
    <sheet name="22896" sheetId="19" r:id="rId19"/>
    <sheet name="2084055844" sheetId="20" r:id="rId20"/>
    <sheet name="24198" sheetId="21" r:id="rId21"/>
    <sheet name="23976" sheetId="22" r:id="rId22"/>
    <sheet name="42177" sheetId="23" r:id="rId23"/>
    <sheet name="23140" sheetId="24" r:id="rId24"/>
  </sheets>
  <calcPr calcId="162913"/>
  <extLst>
    <ext uri="GoogleSheetsCustomDataVersion1">
      <go:sheetsCustomData xmlns:go="http://customooxmlschemas.google.com/" r:id="rId28" roundtripDataSignature="AMtx7miHyZfngjeCrCuWVy77/gpj89h5AQ=="/>
    </ext>
  </extLst>
</workbook>
</file>

<file path=xl/calcChain.xml><?xml version="1.0" encoding="utf-8"?>
<calcChain xmlns="http://schemas.openxmlformats.org/spreadsheetml/2006/main">
  <c r="D1" i="10" l="1"/>
  <c r="F595" i="8"/>
  <c r="G4" i="1"/>
  <c r="G6" i="1"/>
  <c r="G7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6" i="1"/>
  <c r="G27" i="1"/>
  <c r="G28" i="1"/>
  <c r="G29" i="1"/>
  <c r="G30" i="1"/>
  <c r="G31" i="1"/>
  <c r="G33" i="1"/>
  <c r="G34" i="1"/>
  <c r="G37" i="1"/>
  <c r="G38" i="1"/>
  <c r="G40" i="1"/>
  <c r="G41" i="1"/>
  <c r="G44" i="1"/>
  <c r="G45" i="1"/>
  <c r="G46" i="1"/>
  <c r="G47" i="1"/>
  <c r="G49" i="1"/>
  <c r="E11" i="24"/>
  <c r="F3" i="16"/>
  <c r="F19" i="16"/>
  <c r="F35" i="16"/>
  <c r="F51" i="16"/>
  <c r="F67" i="16"/>
  <c r="F83" i="16"/>
  <c r="F99" i="16"/>
  <c r="F115" i="16"/>
  <c r="F131" i="16"/>
  <c r="F147" i="16"/>
  <c r="F17" i="16"/>
  <c r="F49" i="16"/>
  <c r="F77" i="16"/>
  <c r="F113" i="16"/>
  <c r="F145" i="16"/>
  <c r="F22" i="16"/>
  <c r="F54" i="16"/>
  <c r="F86" i="16"/>
  <c r="F122" i="16"/>
  <c r="F154" i="16"/>
  <c r="F16" i="16"/>
  <c r="F32" i="16"/>
  <c r="F48" i="16"/>
  <c r="F64" i="16"/>
  <c r="F80" i="16"/>
  <c r="F96" i="16"/>
  <c r="F112" i="16"/>
  <c r="F128" i="16"/>
  <c r="F144" i="16"/>
  <c r="F5" i="16"/>
  <c r="F37" i="16"/>
  <c r="F73" i="16"/>
  <c r="F101" i="16"/>
  <c r="F133" i="16"/>
  <c r="F10" i="16"/>
  <c r="F42" i="16"/>
  <c r="F74" i="16"/>
  <c r="F102" i="16"/>
  <c r="F134" i="16"/>
  <c r="E575" i="8"/>
  <c r="E591" i="8"/>
  <c r="E580" i="8"/>
  <c r="E586" i="8"/>
  <c r="E589" i="8"/>
  <c r="E904" i="24"/>
  <c r="E896" i="24"/>
  <c r="E888" i="24"/>
  <c r="E880" i="24"/>
  <c r="E872" i="24"/>
  <c r="E864" i="24"/>
  <c r="E856" i="24"/>
  <c r="E848" i="24"/>
  <c r="E840" i="24"/>
  <c r="E832" i="24"/>
  <c r="E824" i="24"/>
  <c r="E816" i="24"/>
  <c r="E808" i="24"/>
  <c r="E800" i="24"/>
  <c r="E792" i="24"/>
  <c r="E784" i="24"/>
  <c r="E776" i="24"/>
  <c r="E768" i="24"/>
  <c r="E760" i="24"/>
  <c r="E752" i="24"/>
  <c r="E744" i="24"/>
  <c r="E736" i="24"/>
  <c r="E728" i="24"/>
  <c r="E720" i="24"/>
  <c r="E712" i="24"/>
  <c r="E704" i="24"/>
  <c r="E696" i="24"/>
  <c r="E688" i="24"/>
  <c r="E680" i="24"/>
  <c r="E672" i="24"/>
  <c r="E664" i="24"/>
  <c r="E656" i="24"/>
  <c r="D902" i="24"/>
  <c r="D894" i="24"/>
  <c r="D886" i="24"/>
  <c r="D878" i="24"/>
  <c r="D870" i="24"/>
  <c r="D862" i="24"/>
  <c r="D854" i="24"/>
  <c r="D846" i="24"/>
  <c r="D838" i="24"/>
  <c r="D830" i="24"/>
  <c r="D822" i="24"/>
  <c r="D814" i="24"/>
  <c r="D806" i="24"/>
  <c r="D798" i="24"/>
  <c r="D790" i="24"/>
  <c r="D782" i="24"/>
  <c r="D774" i="24"/>
  <c r="D766" i="24"/>
  <c r="D758" i="24"/>
  <c r="D750" i="24"/>
  <c r="D742" i="24"/>
  <c r="D734" i="24"/>
  <c r="D726" i="24"/>
  <c r="D718" i="24"/>
  <c r="D710" i="24"/>
  <c r="D702" i="24"/>
  <c r="D694" i="24"/>
  <c r="D686" i="24"/>
  <c r="D678" i="24"/>
  <c r="D670" i="24"/>
  <c r="D662" i="24"/>
  <c r="D654" i="24"/>
  <c r="E899" i="24"/>
  <c r="E891" i="24"/>
  <c r="E883" i="24"/>
  <c r="E875" i="24"/>
  <c r="E867" i="24"/>
  <c r="E859" i="24"/>
  <c r="E851" i="24"/>
  <c r="E843" i="24"/>
  <c r="E835" i="24"/>
  <c r="E827" i="24"/>
  <c r="E819" i="24"/>
  <c r="E811" i="24"/>
  <c r="E803" i="24"/>
  <c r="E795" i="24"/>
  <c r="E787" i="24"/>
  <c r="E779" i="24"/>
  <c r="E771" i="24"/>
  <c r="E763" i="24"/>
  <c r="E755" i="24"/>
  <c r="F7" i="16"/>
  <c r="F11" i="16"/>
  <c r="F27" i="16"/>
  <c r="F43" i="16"/>
  <c r="F59" i="16"/>
  <c r="F75" i="16"/>
  <c r="F91" i="16"/>
  <c r="F107" i="16"/>
  <c r="F123" i="16"/>
  <c r="F139" i="16"/>
  <c r="F155" i="16"/>
  <c r="F33" i="16"/>
  <c r="F61" i="16"/>
  <c r="F93" i="16"/>
  <c r="F129" i="16"/>
  <c r="F6" i="16"/>
  <c r="F38" i="16"/>
  <c r="F70" i="16"/>
  <c r="F106" i="16"/>
  <c r="F138" i="16"/>
  <c r="F8" i="16"/>
  <c r="F24" i="16"/>
  <c r="F40" i="16"/>
  <c r="F56" i="16"/>
  <c r="F72" i="16"/>
  <c r="F88" i="16"/>
  <c r="F104" i="16"/>
  <c r="F120" i="16"/>
  <c r="F136" i="16"/>
  <c r="F152" i="16"/>
  <c r="F21" i="16"/>
  <c r="F57" i="16"/>
  <c r="F89" i="16"/>
  <c r="F117" i="16"/>
  <c r="F149" i="16"/>
  <c r="F26" i="16"/>
  <c r="F58" i="16"/>
  <c r="F90" i="16"/>
  <c r="F118" i="16"/>
  <c r="F150" i="16"/>
  <c r="E583" i="8"/>
  <c r="E590" i="8"/>
  <c r="E588" i="8"/>
  <c r="E581" i="8"/>
  <c r="E578" i="8"/>
  <c r="E900" i="24"/>
  <c r="E892" i="24"/>
  <c r="E884" i="24"/>
  <c r="E876" i="24"/>
  <c r="E868" i="24"/>
  <c r="E860" i="24"/>
  <c r="E852" i="24"/>
  <c r="E844" i="24"/>
  <c r="E836" i="24"/>
  <c r="E828" i="24"/>
  <c r="E820" i="24"/>
  <c r="E812" i="24"/>
  <c r="E804" i="24"/>
  <c r="E796" i="24"/>
  <c r="E788" i="24"/>
  <c r="E780" i="24"/>
  <c r="E772" i="24"/>
  <c r="E764" i="24"/>
  <c r="E756" i="24"/>
  <c r="E748" i="24"/>
  <c r="E740" i="24"/>
  <c r="E732" i="24"/>
  <c r="E724" i="24"/>
  <c r="E716" i="24"/>
  <c r="E708" i="24"/>
  <c r="E700" i="24"/>
  <c r="E692" i="24"/>
  <c r="E684" i="24"/>
  <c r="E676" i="24"/>
  <c r="E668" i="24"/>
  <c r="E660" i="24"/>
  <c r="E652" i="24"/>
  <c r="D898" i="24"/>
  <c r="D890" i="24"/>
  <c r="D882" i="24"/>
  <c r="D874" i="24"/>
  <c r="D866" i="24"/>
  <c r="D858" i="24"/>
  <c r="D850" i="24"/>
  <c r="D842" i="24"/>
  <c r="D834" i="24"/>
  <c r="D826" i="24"/>
  <c r="D818" i="24"/>
  <c r="D810" i="24"/>
  <c r="D802" i="24"/>
  <c r="D794" i="24"/>
  <c r="D786" i="24"/>
  <c r="D778" i="24"/>
  <c r="D770" i="24"/>
  <c r="D762" i="24"/>
  <c r="D754" i="24"/>
  <c r="D746" i="24"/>
  <c r="D738" i="24"/>
  <c r="D730" i="24"/>
  <c r="D722" i="24"/>
  <c r="D714" i="24"/>
  <c r="D706" i="24"/>
  <c r="D698" i="24"/>
  <c r="D690" i="24"/>
  <c r="D682" i="24"/>
  <c r="D674" i="24"/>
  <c r="D666" i="24"/>
  <c r="D658" i="24"/>
  <c r="E903" i="24"/>
  <c r="E895" i="24"/>
  <c r="E887" i="24"/>
  <c r="E879" i="24"/>
  <c r="E871" i="24"/>
  <c r="E863" i="24"/>
  <c r="E855" i="24"/>
  <c r="E847" i="24"/>
  <c r="E839" i="24"/>
  <c r="E831" i="24"/>
  <c r="E823" i="24"/>
  <c r="E815" i="24"/>
  <c r="E807" i="24"/>
  <c r="E799" i="24"/>
  <c r="E791" i="24"/>
  <c r="E783" i="24"/>
  <c r="E775" i="24"/>
  <c r="E767" i="24"/>
  <c r="E759" i="24"/>
  <c r="E751" i="24"/>
  <c r="F15" i="16"/>
  <c r="F23" i="16"/>
  <c r="F55" i="16"/>
  <c r="F87" i="16"/>
  <c r="F119" i="16"/>
  <c r="F151" i="16"/>
  <c r="F53" i="16"/>
  <c r="F121" i="16"/>
  <c r="F30" i="16"/>
  <c r="F94" i="16"/>
  <c r="F4" i="16"/>
  <c r="F36" i="16"/>
  <c r="F68" i="16"/>
  <c r="F100" i="16"/>
  <c r="F132" i="16"/>
  <c r="F13" i="16"/>
  <c r="F81" i="16"/>
  <c r="F141" i="16"/>
  <c r="F50" i="16"/>
  <c r="F110" i="16"/>
  <c r="E579" i="8"/>
  <c r="E584" i="8"/>
  <c r="E593" i="8"/>
  <c r="E894" i="24"/>
  <c r="E878" i="24"/>
  <c r="E862" i="24"/>
  <c r="E846" i="24"/>
  <c r="E830" i="24"/>
  <c r="E814" i="24"/>
  <c r="E798" i="24"/>
  <c r="E782" i="24"/>
  <c r="E766" i="24"/>
  <c r="E750" i="24"/>
  <c r="E734" i="24"/>
  <c r="E718" i="24"/>
  <c r="E702" i="24"/>
  <c r="E686" i="24"/>
  <c r="E670" i="24"/>
  <c r="E654" i="24"/>
  <c r="D892" i="24"/>
  <c r="D876" i="24"/>
  <c r="D860" i="24"/>
  <c r="D844" i="24"/>
  <c r="D828" i="24"/>
  <c r="D812" i="24"/>
  <c r="D796" i="24"/>
  <c r="D780" i="24"/>
  <c r="D764" i="24"/>
  <c r="D748" i="24"/>
  <c r="D732" i="24"/>
  <c r="D716" i="24"/>
  <c r="D700" i="24"/>
  <c r="D684" i="24"/>
  <c r="D668" i="24"/>
  <c r="D652" i="24"/>
  <c r="E889" i="24"/>
  <c r="E873" i="24"/>
  <c r="E857" i="24"/>
  <c r="E841" i="24"/>
  <c r="E825" i="24"/>
  <c r="E809" i="24"/>
  <c r="E793" i="24"/>
  <c r="E777" i="24"/>
  <c r="E761" i="24"/>
  <c r="E747" i="24"/>
  <c r="E739" i="24"/>
  <c r="E731" i="24"/>
  <c r="E723" i="24"/>
  <c r="E715" i="24"/>
  <c r="E707" i="24"/>
  <c r="E699" i="24"/>
  <c r="E691" i="24"/>
  <c r="E683" i="24"/>
  <c r="E675" i="24"/>
  <c r="E667" i="24"/>
  <c r="E659" i="24"/>
  <c r="E651" i="24"/>
  <c r="D879" i="24"/>
  <c r="D847" i="24"/>
  <c r="D815" i="24"/>
  <c r="D783" i="24"/>
  <c r="D751" i="24"/>
  <c r="D719" i="24"/>
  <c r="D687" i="24"/>
  <c r="D655" i="24"/>
  <c r="D644" i="24"/>
  <c r="D636" i="24"/>
  <c r="D628" i="24"/>
  <c r="D620" i="24"/>
  <c r="D612" i="24"/>
  <c r="D604" i="24"/>
  <c r="D596" i="24"/>
  <c r="D588" i="24"/>
  <c r="D580" i="24"/>
  <c r="D572" i="24"/>
  <c r="D564" i="24"/>
  <c r="D556" i="24"/>
  <c r="D548" i="24"/>
  <c r="D540" i="24"/>
  <c r="D532" i="24"/>
  <c r="D524" i="24"/>
  <c r="D516" i="24"/>
  <c r="D508" i="24"/>
  <c r="D500" i="24"/>
  <c r="D492" i="24"/>
  <c r="D484" i="24"/>
  <c r="D476" i="24"/>
  <c r="D468" i="24"/>
  <c r="D460" i="24"/>
  <c r="D452" i="24"/>
  <c r="D885" i="24"/>
  <c r="D853" i="24"/>
  <c r="D821" i="24"/>
  <c r="D789" i="24"/>
  <c r="D757" i="24"/>
  <c r="D725" i="24"/>
  <c r="D693" i="24"/>
  <c r="D661" i="24"/>
  <c r="E645" i="24"/>
  <c r="E637" i="24"/>
  <c r="E629" i="24"/>
  <c r="E621" i="24"/>
  <c r="E613" i="24"/>
  <c r="E605" i="24"/>
  <c r="E597" i="24"/>
  <c r="E589" i="24"/>
  <c r="E581" i="24"/>
  <c r="E573" i="24"/>
  <c r="E565" i="24"/>
  <c r="F31" i="16"/>
  <c r="F63" i="16"/>
  <c r="F95" i="16"/>
  <c r="F127" i="16"/>
  <c r="F9" i="16"/>
  <c r="F69" i="16"/>
  <c r="F137" i="16"/>
  <c r="F46" i="16"/>
  <c r="F114" i="16"/>
  <c r="F12" i="16"/>
  <c r="F44" i="16"/>
  <c r="F76" i="16"/>
  <c r="F108" i="16"/>
  <c r="F140" i="16"/>
  <c r="F29" i="16"/>
  <c r="F97" i="16"/>
  <c r="F157" i="16"/>
  <c r="F66" i="16"/>
  <c r="F126" i="16"/>
  <c r="E587" i="8"/>
  <c r="E592" i="8"/>
  <c r="E594" i="8"/>
  <c r="E890" i="24"/>
  <c r="E874" i="24"/>
  <c r="E858" i="24"/>
  <c r="E842" i="24"/>
  <c r="E826" i="24"/>
  <c r="E810" i="24"/>
  <c r="E794" i="24"/>
  <c r="E778" i="24"/>
  <c r="E762" i="24"/>
  <c r="E746" i="24"/>
  <c r="E730" i="24"/>
  <c r="E714" i="24"/>
  <c r="E698" i="24"/>
  <c r="E682" i="24"/>
  <c r="E666" i="24"/>
  <c r="D904" i="24"/>
  <c r="D888" i="24"/>
  <c r="D872" i="24"/>
  <c r="D856" i="24"/>
  <c r="D840" i="24"/>
  <c r="D824" i="24"/>
  <c r="D808" i="24"/>
  <c r="D792" i="24"/>
  <c r="D776" i="24"/>
  <c r="D760" i="24"/>
  <c r="D744" i="24"/>
  <c r="D728" i="24"/>
  <c r="D712" i="24"/>
  <c r="D696" i="24"/>
  <c r="D680" i="24"/>
  <c r="D664" i="24"/>
  <c r="E901" i="24"/>
  <c r="E885" i="24"/>
  <c r="E869" i="24"/>
  <c r="E853" i="24"/>
  <c r="E837" i="24"/>
  <c r="E821" i="24"/>
  <c r="E805" i="24"/>
  <c r="E789" i="24"/>
  <c r="E773" i="24"/>
  <c r="E757" i="24"/>
  <c r="E745" i="24"/>
  <c r="E737" i="24"/>
  <c r="E729" i="24"/>
  <c r="E721" i="24"/>
  <c r="E713" i="24"/>
  <c r="E705" i="24"/>
  <c r="E697" i="24"/>
  <c r="E689" i="24"/>
  <c r="E681" i="24"/>
  <c r="E673" i="24"/>
  <c r="E665" i="24"/>
  <c r="E657" i="24"/>
  <c r="D903" i="24"/>
  <c r="D871" i="24"/>
  <c r="D839" i="24"/>
  <c r="D807" i="24"/>
  <c r="D775" i="24"/>
  <c r="D743" i="24"/>
  <c r="D711" i="24"/>
  <c r="D679" i="24"/>
  <c r="D650" i="24"/>
  <c r="D642" i="24"/>
  <c r="D634" i="24"/>
  <c r="D626" i="24"/>
  <c r="D618" i="24"/>
  <c r="D610" i="24"/>
  <c r="D602" i="24"/>
  <c r="D594" i="24"/>
  <c r="D586" i="24"/>
  <c r="D578" i="24"/>
  <c r="D570" i="24"/>
  <c r="D562" i="24"/>
  <c r="D554" i="24"/>
  <c r="D546" i="24"/>
  <c r="D538" i="24"/>
  <c r="D530" i="24"/>
  <c r="D522" i="24"/>
  <c r="D514" i="24"/>
  <c r="D506" i="24"/>
  <c r="D498" i="24"/>
  <c r="D490" i="24"/>
  <c r="D482" i="24"/>
  <c r="D474" i="24"/>
  <c r="D466" i="24"/>
  <c r="D458" i="24"/>
  <c r="D450" i="24"/>
  <c r="D877" i="24"/>
  <c r="D845" i="24"/>
  <c r="D813" i="24"/>
  <c r="D781" i="24"/>
  <c r="D749" i="24"/>
  <c r="D717" i="24"/>
  <c r="D685" i="24"/>
  <c r="D653" i="24"/>
  <c r="E643" i="24"/>
  <c r="E635" i="24"/>
  <c r="E627" i="24"/>
  <c r="E619" i="24"/>
  <c r="E611" i="24"/>
  <c r="E603" i="24"/>
  <c r="E595" i="24"/>
  <c r="E587" i="24"/>
  <c r="E579" i="24"/>
  <c r="E571" i="24"/>
  <c r="F39" i="16"/>
  <c r="F71" i="16"/>
  <c r="F103" i="16"/>
  <c r="F135" i="16"/>
  <c r="F25" i="16"/>
  <c r="F85" i="16"/>
  <c r="F153" i="16"/>
  <c r="F62" i="16"/>
  <c r="F130" i="16"/>
  <c r="F20" i="16"/>
  <c r="F52" i="16"/>
  <c r="F84" i="16"/>
  <c r="F116" i="16"/>
  <c r="F148" i="16"/>
  <c r="F45" i="16"/>
  <c r="F109" i="16"/>
  <c r="F18" i="16"/>
  <c r="F82" i="16"/>
  <c r="F142" i="16"/>
  <c r="E582" i="8"/>
  <c r="E577" i="8"/>
  <c r="E902" i="24"/>
  <c r="E886" i="24"/>
  <c r="E870" i="24"/>
  <c r="E854" i="24"/>
  <c r="E838" i="24"/>
  <c r="E822" i="24"/>
  <c r="E806" i="24"/>
  <c r="E790" i="24"/>
  <c r="E774" i="24"/>
  <c r="E758" i="24"/>
  <c r="E742" i="24"/>
  <c r="E726" i="24"/>
  <c r="E710" i="24"/>
  <c r="E694" i="24"/>
  <c r="E678" i="24"/>
  <c r="E662" i="24"/>
  <c r="D900" i="24"/>
  <c r="D884" i="24"/>
  <c r="D868" i="24"/>
  <c r="D852" i="24"/>
  <c r="D836" i="24"/>
  <c r="D820" i="24"/>
  <c r="D804" i="24"/>
  <c r="D788" i="24"/>
  <c r="D772" i="24"/>
  <c r="D756" i="24"/>
  <c r="D740" i="24"/>
  <c r="D724" i="24"/>
  <c r="D708" i="24"/>
  <c r="D692" i="24"/>
  <c r="D676" i="24"/>
  <c r="D660" i="24"/>
  <c r="E897" i="24"/>
  <c r="E881" i="24"/>
  <c r="E865" i="24"/>
  <c r="E849" i="24"/>
  <c r="E833" i="24"/>
  <c r="E817" i="24"/>
  <c r="E801" i="24"/>
  <c r="E785" i="24"/>
  <c r="E769" i="24"/>
  <c r="E753" i="24"/>
  <c r="E743" i="24"/>
  <c r="E735" i="24"/>
  <c r="E727" i="24"/>
  <c r="E719" i="24"/>
  <c r="E711" i="24"/>
  <c r="E703" i="24"/>
  <c r="E695" i="24"/>
  <c r="E687" i="24"/>
  <c r="E679" i="24"/>
  <c r="E671" i="24"/>
  <c r="E663" i="24"/>
  <c r="E655" i="24"/>
  <c r="D895" i="24"/>
  <c r="D863" i="24"/>
  <c r="D831" i="24"/>
  <c r="D799" i="24"/>
  <c r="D767" i="24"/>
  <c r="D735" i="24"/>
  <c r="D703" i="24"/>
  <c r="D671" i="24"/>
  <c r="D648" i="24"/>
  <c r="D640" i="24"/>
  <c r="D632" i="24"/>
  <c r="D624" i="24"/>
  <c r="D616" i="24"/>
  <c r="D608" i="24"/>
  <c r="D600" i="24"/>
  <c r="D592" i="24"/>
  <c r="D584" i="24"/>
  <c r="D576" i="24"/>
  <c r="D568" i="24"/>
  <c r="D560" i="24"/>
  <c r="D552" i="24"/>
  <c r="D544" i="24"/>
  <c r="D536" i="24"/>
  <c r="D528" i="24"/>
  <c r="D520" i="24"/>
  <c r="D512" i="24"/>
  <c r="D504" i="24"/>
  <c r="D496" i="24"/>
  <c r="D488" i="24"/>
  <c r="D480" i="24"/>
  <c r="D472" i="24"/>
  <c r="D464" i="24"/>
  <c r="D456" i="24"/>
  <c r="D901" i="24"/>
  <c r="D869" i="24"/>
  <c r="D837" i="24"/>
  <c r="D805" i="24"/>
  <c r="D773" i="24"/>
  <c r="D741" i="24"/>
  <c r="D709" i="24"/>
  <c r="D677" i="24"/>
  <c r="E649" i="24"/>
  <c r="E641" i="24"/>
  <c r="E633" i="24"/>
  <c r="E625" i="24"/>
  <c r="E617" i="24"/>
  <c r="E609" i="24"/>
  <c r="E601" i="24"/>
  <c r="E593" i="24"/>
  <c r="E585" i="24"/>
  <c r="E577" i="24"/>
  <c r="E569" i="24"/>
  <c r="F47" i="16"/>
  <c r="F41" i="16"/>
  <c r="F146" i="16"/>
  <c r="F124" i="16"/>
  <c r="F34" i="16"/>
  <c r="E585" i="8"/>
  <c r="E850" i="24"/>
  <c r="E786" i="24"/>
  <c r="E722" i="24"/>
  <c r="E658" i="24"/>
  <c r="D848" i="24"/>
  <c r="D784" i="24"/>
  <c r="D720" i="24"/>
  <c r="D656" i="24"/>
  <c r="E845" i="24"/>
  <c r="E781" i="24"/>
  <c r="E733" i="24"/>
  <c r="E701" i="24"/>
  <c r="E669" i="24"/>
  <c r="D855" i="24"/>
  <c r="D727" i="24"/>
  <c r="D638" i="24"/>
  <c r="D606" i="24"/>
  <c r="D574" i="24"/>
  <c r="D542" i="24"/>
  <c r="D510" i="24"/>
  <c r="D478" i="24"/>
  <c r="D893" i="24"/>
  <c r="D765" i="24"/>
  <c r="E647" i="24"/>
  <c r="E615" i="24"/>
  <c r="E583" i="24"/>
  <c r="E561" i="24"/>
  <c r="E553" i="24"/>
  <c r="E545" i="24"/>
  <c r="E537" i="24"/>
  <c r="E529" i="24"/>
  <c r="E521" i="24"/>
  <c r="E513" i="24"/>
  <c r="E505" i="24"/>
  <c r="E497" i="24"/>
  <c r="E489" i="24"/>
  <c r="E481" i="24"/>
  <c r="E473" i="24"/>
  <c r="E465" i="24"/>
  <c r="D891" i="24"/>
  <c r="D859" i="24"/>
  <c r="D827" i="24"/>
  <c r="D795" i="24"/>
  <c r="D763" i="24"/>
  <c r="D731" i="24"/>
  <c r="D699" i="24"/>
  <c r="D667" i="24"/>
  <c r="D647" i="24"/>
  <c r="D639" i="24"/>
  <c r="D631" i="24"/>
  <c r="D623" i="24"/>
  <c r="D615" i="24"/>
  <c r="D607" i="24"/>
  <c r="D599" i="24"/>
  <c r="D591" i="24"/>
  <c r="D583" i="24"/>
  <c r="D575" i="24"/>
  <c r="D567" i="24"/>
  <c r="D559" i="24"/>
  <c r="D551" i="24"/>
  <c r="D543" i="24"/>
  <c r="D535" i="24"/>
  <c r="D527" i="24"/>
  <c r="D519" i="24"/>
  <c r="D511" i="24"/>
  <c r="D503" i="24"/>
  <c r="D495" i="24"/>
  <c r="D487" i="24"/>
  <c r="D479" i="24"/>
  <c r="D471" i="24"/>
  <c r="D897" i="24"/>
  <c r="D769" i="24"/>
  <c r="E648" i="24"/>
  <c r="E616" i="24"/>
  <c r="E584" i="24"/>
  <c r="E552" i="24"/>
  <c r="E520" i="24"/>
  <c r="E488" i="24"/>
  <c r="E460" i="24"/>
  <c r="E449" i="24"/>
  <c r="E441" i="24"/>
  <c r="E433" i="24"/>
  <c r="E425" i="24"/>
  <c r="E417" i="24"/>
  <c r="E409" i="24"/>
  <c r="E401" i="24"/>
  <c r="E393" i="24"/>
  <c r="E385" i="24"/>
  <c r="E377" i="24"/>
  <c r="E369" i="24"/>
  <c r="E361" i="24"/>
  <c r="E353" i="24"/>
  <c r="E345" i="24"/>
  <c r="E337" i="24"/>
  <c r="E329" i="24"/>
  <c r="E321" i="24"/>
  <c r="E313" i="24"/>
  <c r="E305" i="24"/>
  <c r="E297" i="24"/>
  <c r="E289" i="24"/>
  <c r="E281" i="24"/>
  <c r="E273" i="24"/>
  <c r="E265" i="24"/>
  <c r="E257" i="24"/>
  <c r="D825" i="24"/>
  <c r="D697" i="24"/>
  <c r="E630" i="24"/>
  <c r="E598" i="24"/>
  <c r="E566" i="24"/>
  <c r="E534" i="24"/>
  <c r="E502" i="24"/>
  <c r="E470" i="24"/>
  <c r="E454" i="24"/>
  <c r="D445" i="24"/>
  <c r="D437" i="24"/>
  <c r="D429" i="24"/>
  <c r="D421" i="24"/>
  <c r="D413" i="24"/>
  <c r="D405" i="24"/>
  <c r="D397" i="24"/>
  <c r="D389" i="24"/>
  <c r="D381" i="24"/>
  <c r="F79" i="16"/>
  <c r="F105" i="16"/>
  <c r="F28" i="16"/>
  <c r="F156" i="16"/>
  <c r="F98" i="16"/>
  <c r="E898" i="24"/>
  <c r="E834" i="24"/>
  <c r="E770" i="24"/>
  <c r="E706" i="24"/>
  <c r="D896" i="24"/>
  <c r="D832" i="24"/>
  <c r="D768" i="24"/>
  <c r="D704" i="24"/>
  <c r="E893" i="24"/>
  <c r="E829" i="24"/>
  <c r="E765" i="24"/>
  <c r="E725" i="24"/>
  <c r="E693" i="24"/>
  <c r="E661" i="24"/>
  <c r="D823" i="24"/>
  <c r="D695" i="24"/>
  <c r="D630" i="24"/>
  <c r="D598" i="24"/>
  <c r="D566" i="24"/>
  <c r="D534" i="24"/>
  <c r="D502" i="24"/>
  <c r="D470" i="24"/>
  <c r="D861" i="24"/>
  <c r="D733" i="24"/>
  <c r="E639" i="24"/>
  <c r="E607" i="24"/>
  <c r="E575" i="24"/>
  <c r="E559" i="24"/>
  <c r="E551" i="24"/>
  <c r="E543" i="24"/>
  <c r="E535" i="24"/>
  <c r="E527" i="24"/>
  <c r="E519" i="24"/>
  <c r="E511" i="24"/>
  <c r="E503" i="24"/>
  <c r="E495" i="24"/>
  <c r="E487" i="24"/>
  <c r="E479" i="24"/>
  <c r="E471" i="24"/>
  <c r="E463" i="24"/>
  <c r="D883" i="24"/>
  <c r="D851" i="24"/>
  <c r="D819" i="24"/>
  <c r="D787" i="24"/>
  <c r="D755" i="24"/>
  <c r="D723" i="24"/>
  <c r="D691" i="24"/>
  <c r="D659" i="24"/>
  <c r="D645" i="24"/>
  <c r="D637" i="24"/>
  <c r="D629" i="24"/>
  <c r="D621" i="24"/>
  <c r="D613" i="24"/>
  <c r="D605" i="24"/>
  <c r="D597" i="24"/>
  <c r="D589" i="24"/>
  <c r="D581" i="24"/>
  <c r="D573" i="24"/>
  <c r="D565" i="24"/>
  <c r="D557" i="24"/>
  <c r="D549" i="24"/>
  <c r="D541" i="24"/>
  <c r="D533" i="24"/>
  <c r="D525" i="24"/>
  <c r="D517" i="24"/>
  <c r="D509" i="24"/>
  <c r="D501" i="24"/>
  <c r="D493" i="24"/>
  <c r="D485" i="24"/>
  <c r="D477" i="24"/>
  <c r="D469" i="24"/>
  <c r="D865" i="24"/>
  <c r="D737" i="24"/>
  <c r="E640" i="24"/>
  <c r="E608" i="24"/>
  <c r="E576" i="24"/>
  <c r="E544" i="24"/>
  <c r="E512" i="24"/>
  <c r="E480" i="24"/>
  <c r="E457" i="24"/>
  <c r="E447" i="24"/>
  <c r="E439" i="24"/>
  <c r="E431" i="24"/>
  <c r="E423" i="24"/>
  <c r="E415" i="24"/>
  <c r="E407" i="24"/>
  <c r="E399" i="24"/>
  <c r="E391" i="24"/>
  <c r="E383" i="24"/>
  <c r="E375" i="24"/>
  <c r="E367" i="24"/>
  <c r="E359" i="24"/>
  <c r="E351" i="24"/>
  <c r="E343" i="24"/>
  <c r="E335" i="24"/>
  <c r="E327" i="24"/>
  <c r="E319" i="24"/>
  <c r="E311" i="24"/>
  <c r="E303" i="24"/>
  <c r="E295" i="24"/>
  <c r="E287" i="24"/>
  <c r="E279" i="24"/>
  <c r="E271" i="24"/>
  <c r="E263" i="24"/>
  <c r="E255" i="24"/>
  <c r="D793" i="24"/>
  <c r="D665" i="24"/>
  <c r="E622" i="24"/>
  <c r="E590" i="24"/>
  <c r="E558" i="24"/>
  <c r="E526" i="24"/>
  <c r="E494" i="24"/>
  <c r="D463" i="24"/>
  <c r="E451" i="24"/>
  <c r="D443" i="24"/>
  <c r="D435" i="24"/>
  <c r="D427" i="24"/>
  <c r="D419" i="24"/>
  <c r="D411" i="24"/>
  <c r="D403" i="24"/>
  <c r="D395" i="24"/>
  <c r="D387" i="24"/>
  <c r="D379" i="24"/>
  <c r="F111" i="16"/>
  <c r="F14" i="16"/>
  <c r="F60" i="16"/>
  <c r="F65" i="16"/>
  <c r="F158" i="16"/>
  <c r="E882" i="24"/>
  <c r="E818" i="24"/>
  <c r="E754" i="24"/>
  <c r="E690" i="24"/>
  <c r="D880" i="24"/>
  <c r="D816" i="24"/>
  <c r="D752" i="24"/>
  <c r="D688" i="24"/>
  <c r="E877" i="24"/>
  <c r="E813" i="24"/>
  <c r="E749" i="24"/>
  <c r="E717" i="24"/>
  <c r="E685" i="24"/>
  <c r="E653" i="24"/>
  <c r="D791" i="24"/>
  <c r="D663" i="24"/>
  <c r="D622" i="24"/>
  <c r="D590" i="24"/>
  <c r="D558" i="24"/>
  <c r="D526" i="24"/>
  <c r="D494" i="24"/>
  <c r="D462" i="24"/>
  <c r="D829" i="24"/>
  <c r="D701" i="24"/>
  <c r="E631" i="24"/>
  <c r="E599" i="24"/>
  <c r="E567" i="24"/>
  <c r="E557" i="24"/>
  <c r="E549" i="24"/>
  <c r="E541" i="24"/>
  <c r="E533" i="24"/>
  <c r="E525" i="24"/>
  <c r="E517" i="24"/>
  <c r="E509" i="24"/>
  <c r="E501" i="24"/>
  <c r="E493" i="24"/>
  <c r="E485" i="24"/>
  <c r="E477" i="24"/>
  <c r="E469" i="24"/>
  <c r="E461" i="24"/>
  <c r="D875" i="24"/>
  <c r="D843" i="24"/>
  <c r="D811" i="24"/>
  <c r="D779" i="24"/>
  <c r="D747" i="24"/>
  <c r="D715" i="24"/>
  <c r="D683" i="24"/>
  <c r="D651" i="24"/>
  <c r="D643" i="24"/>
  <c r="D635" i="24"/>
  <c r="D627" i="24"/>
  <c r="D619" i="24"/>
  <c r="D611" i="24"/>
  <c r="D603" i="24"/>
  <c r="D595" i="24"/>
  <c r="D587" i="24"/>
  <c r="D579" i="24"/>
  <c r="D571" i="24"/>
  <c r="D563" i="24"/>
  <c r="D555" i="24"/>
  <c r="D547" i="24"/>
  <c r="D539" i="24"/>
  <c r="D531" i="24"/>
  <c r="D523" i="24"/>
  <c r="D515" i="24"/>
  <c r="D507" i="24"/>
  <c r="D499" i="24"/>
  <c r="D491" i="24"/>
  <c r="D483" i="24"/>
  <c r="D475" i="24"/>
  <c r="D467" i="24"/>
  <c r="D833" i="24"/>
  <c r="D705" i="24"/>
  <c r="E632" i="24"/>
  <c r="E600" i="24"/>
  <c r="E568" i="24"/>
  <c r="E536" i="24"/>
  <c r="E504" i="24"/>
  <c r="E472" i="24"/>
  <c r="D455" i="24"/>
  <c r="E445" i="24"/>
  <c r="E437" i="24"/>
  <c r="E429" i="24"/>
  <c r="E421" i="24"/>
  <c r="E413" i="24"/>
  <c r="E405" i="24"/>
  <c r="E397" i="24"/>
  <c r="E389" i="24"/>
  <c r="E381" i="24"/>
  <c r="E373" i="24"/>
  <c r="E365" i="24"/>
  <c r="E357" i="24"/>
  <c r="E349" i="24"/>
  <c r="E341" i="24"/>
  <c r="E333" i="24"/>
  <c r="E325" i="24"/>
  <c r="E317" i="24"/>
  <c r="E309" i="24"/>
  <c r="E301" i="24"/>
  <c r="E293" i="24"/>
  <c r="E285" i="24"/>
  <c r="E277" i="24"/>
  <c r="E269" i="24"/>
  <c r="E261" i="24"/>
  <c r="D889" i="24"/>
  <c r="D761" i="24"/>
  <c r="E646" i="24"/>
  <c r="E614" i="24"/>
  <c r="E582" i="24"/>
  <c r="E550" i="24"/>
  <c r="E518" i="24"/>
  <c r="E486" i="24"/>
  <c r="E459" i="24"/>
  <c r="D449" i="24"/>
  <c r="D441" i="24"/>
  <c r="D433" i="24"/>
  <c r="D425" i="24"/>
  <c r="D417" i="24"/>
  <c r="D409" i="24"/>
  <c r="D401" i="24"/>
  <c r="D393" i="24"/>
  <c r="D385" i="24"/>
  <c r="F143" i="16"/>
  <c r="E576" i="8"/>
  <c r="E674" i="24"/>
  <c r="D672" i="24"/>
  <c r="E709" i="24"/>
  <c r="D646" i="24"/>
  <c r="D518" i="24"/>
  <c r="D669" i="24"/>
  <c r="E555" i="24"/>
  <c r="E523" i="24"/>
  <c r="E491" i="24"/>
  <c r="D899" i="24"/>
  <c r="D771" i="24"/>
  <c r="D649" i="24"/>
  <c r="D617" i="24"/>
  <c r="D585" i="24"/>
  <c r="D553" i="24"/>
  <c r="D521" i="24"/>
  <c r="D489" i="24"/>
  <c r="D801" i="24"/>
  <c r="E560" i="24"/>
  <c r="E452" i="24"/>
  <c r="E419" i="24"/>
  <c r="E387" i="24"/>
  <c r="E355" i="24"/>
  <c r="E323" i="24"/>
  <c r="E291" i="24"/>
  <c r="E259" i="24"/>
  <c r="E606" i="24"/>
  <c r="E478" i="24"/>
  <c r="D431" i="24"/>
  <c r="D399" i="24"/>
  <c r="D375" i="24"/>
  <c r="D367" i="24"/>
  <c r="D359" i="24"/>
  <c r="D351" i="24"/>
  <c r="D343" i="24"/>
  <c r="D335" i="24"/>
  <c r="D327" i="24"/>
  <c r="D319" i="24"/>
  <c r="D311" i="24"/>
  <c r="D303" i="24"/>
  <c r="D295" i="24"/>
  <c r="D287" i="24"/>
  <c r="D881" i="24"/>
  <c r="D753" i="24"/>
  <c r="E644" i="24"/>
  <c r="E612" i="24"/>
  <c r="E580" i="24"/>
  <c r="E548" i="24"/>
  <c r="E516" i="24"/>
  <c r="E484" i="24"/>
  <c r="D459" i="24"/>
  <c r="E448" i="24"/>
  <c r="E440" i="24"/>
  <c r="E432" i="24"/>
  <c r="E424" i="24"/>
  <c r="E416" i="24"/>
  <c r="E408" i="24"/>
  <c r="E400" i="24"/>
  <c r="E392" i="24"/>
  <c r="E384" i="24"/>
  <c r="E376" i="24"/>
  <c r="E368" i="24"/>
  <c r="E360" i="24"/>
  <c r="E352" i="24"/>
  <c r="E344" i="24"/>
  <c r="E336" i="24"/>
  <c r="E328" i="24"/>
  <c r="E320" i="24"/>
  <c r="E312" i="24"/>
  <c r="E304" i="24"/>
  <c r="E296" i="24"/>
  <c r="E288" i="24"/>
  <c r="E280" i="24"/>
  <c r="E272" i="24"/>
  <c r="D745" i="24"/>
  <c r="E546" i="24"/>
  <c r="D448" i="24"/>
  <c r="D416" i="24"/>
  <c r="D384" i="24"/>
  <c r="D352" i="24"/>
  <c r="D320" i="24"/>
  <c r="D288" i="24"/>
  <c r="D268" i="24"/>
  <c r="D257" i="24"/>
  <c r="E248" i="24"/>
  <c r="E240" i="24"/>
  <c r="E232" i="24"/>
  <c r="E224" i="24"/>
  <c r="E216" i="24"/>
  <c r="E208" i="24"/>
  <c r="E200" i="24"/>
  <c r="E192" i="24"/>
  <c r="E184" i="24"/>
  <c r="E176" i="24"/>
  <c r="E168" i="24"/>
  <c r="E160" i="24"/>
  <c r="E152" i="24"/>
  <c r="E144" i="24"/>
  <c r="E136" i="24"/>
  <c r="E128" i="24"/>
  <c r="E120" i="24"/>
  <c r="E112" i="24"/>
  <c r="E104" i="24"/>
  <c r="E96" i="24"/>
  <c r="E88" i="24"/>
  <c r="E80" i="24"/>
  <c r="E72" i="24"/>
  <c r="E64" i="24"/>
  <c r="E56" i="24"/>
  <c r="E48" i="24"/>
  <c r="E40" i="24"/>
  <c r="E32" i="24"/>
  <c r="E24" i="24"/>
  <c r="E16" i="24"/>
  <c r="E8" i="24"/>
  <c r="F667" i="23"/>
  <c r="F659" i="23"/>
  <c r="F651" i="23"/>
  <c r="F643" i="23"/>
  <c r="F635" i="23"/>
  <c r="F627" i="23"/>
  <c r="F619" i="23"/>
  <c r="F611" i="23"/>
  <c r="F603" i="23"/>
  <c r="F595" i="23"/>
  <c r="F587" i="23"/>
  <c r="F579" i="23"/>
  <c r="F571" i="23"/>
  <c r="F563" i="23"/>
  <c r="F555" i="23"/>
  <c r="F547" i="23"/>
  <c r="F539" i="23"/>
  <c r="F531" i="23"/>
  <c r="F523" i="23"/>
  <c r="F515" i="23"/>
  <c r="F507" i="23"/>
  <c r="F499" i="23"/>
  <c r="F491" i="23"/>
  <c r="E634" i="24"/>
  <c r="E506" i="24"/>
  <c r="D438" i="24"/>
  <c r="D406" i="24"/>
  <c r="D374" i="24"/>
  <c r="D342" i="24"/>
  <c r="D310" i="24"/>
  <c r="D279" i="24"/>
  <c r="E264" i="24"/>
  <c r="D254" i="24"/>
  <c r="D246" i="24"/>
  <c r="D238" i="24"/>
  <c r="D230" i="24"/>
  <c r="D222" i="24"/>
  <c r="D214" i="24"/>
  <c r="D206" i="24"/>
  <c r="D198" i="24"/>
  <c r="D190" i="24"/>
  <c r="D182" i="24"/>
  <c r="D174" i="24"/>
  <c r="D166" i="24"/>
  <c r="D158" i="24"/>
  <c r="D150" i="24"/>
  <c r="D142" i="24"/>
  <c r="D134" i="24"/>
  <c r="D126" i="24"/>
  <c r="D118" i="24"/>
  <c r="D110" i="24"/>
  <c r="D102" i="24"/>
  <c r="D94" i="24"/>
  <c r="D86" i="24"/>
  <c r="D78" i="24"/>
  <c r="D70" i="24"/>
  <c r="D62" i="24"/>
  <c r="D54" i="24"/>
  <c r="D46" i="24"/>
  <c r="D38" i="24"/>
  <c r="D30" i="24"/>
  <c r="D22" i="24"/>
  <c r="D14" i="24"/>
  <c r="D6" i="24"/>
  <c r="E665" i="23"/>
  <c r="E657" i="23"/>
  <c r="E649" i="23"/>
  <c r="E641" i="23"/>
  <c r="E633" i="23"/>
  <c r="E625" i="23"/>
  <c r="E617" i="23"/>
  <c r="E609" i="23"/>
  <c r="E601" i="23"/>
  <c r="E593" i="23"/>
  <c r="E585" i="23"/>
  <c r="E577" i="23"/>
  <c r="E569" i="23"/>
  <c r="E561" i="23"/>
  <c r="E553" i="23"/>
  <c r="E545" i="23"/>
  <c r="E537" i="23"/>
  <c r="D681" i="24"/>
  <c r="E530" i="24"/>
  <c r="D444" i="24"/>
  <c r="D412" i="24"/>
  <c r="D380" i="24"/>
  <c r="D348" i="24"/>
  <c r="D316" i="24"/>
  <c r="D284" i="24"/>
  <c r="E266" i="24"/>
  <c r="D256" i="24"/>
  <c r="E247" i="24"/>
  <c r="E239" i="24"/>
  <c r="E231" i="24"/>
  <c r="E223" i="24"/>
  <c r="E215" i="24"/>
  <c r="E207" i="24"/>
  <c r="E199" i="24"/>
  <c r="E191" i="24"/>
  <c r="E183" i="24"/>
  <c r="E175" i="24"/>
  <c r="E167" i="24"/>
  <c r="E159" i="24"/>
  <c r="E151" i="24"/>
  <c r="E143" i="24"/>
  <c r="E135" i="24"/>
  <c r="E127" i="24"/>
  <c r="E119" i="24"/>
  <c r="E111" i="24"/>
  <c r="E103" i="24"/>
  <c r="E95" i="24"/>
  <c r="E87" i="24"/>
  <c r="E79" i="24"/>
  <c r="E71" i="24"/>
  <c r="E63" i="24"/>
  <c r="E55" i="24"/>
  <c r="E47" i="24"/>
  <c r="E39" i="24"/>
  <c r="E31" i="24"/>
  <c r="E23" i="24"/>
  <c r="E15" i="24"/>
  <c r="E7" i="24"/>
  <c r="F666" i="23"/>
  <c r="F658" i="23"/>
  <c r="F650" i="23"/>
  <c r="F642" i="23"/>
  <c r="F634" i="23"/>
  <c r="F626" i="23"/>
  <c r="F618" i="23"/>
  <c r="F610" i="23"/>
  <c r="F602" i="23"/>
  <c r="F594" i="23"/>
  <c r="F586" i="23"/>
  <c r="F578" i="23"/>
  <c r="F570" i="23"/>
  <c r="F78" i="16"/>
  <c r="E866" i="24"/>
  <c r="D864" i="24"/>
  <c r="E861" i="24"/>
  <c r="E677" i="24"/>
  <c r="D614" i="24"/>
  <c r="D486" i="24"/>
  <c r="E623" i="24"/>
  <c r="E547" i="24"/>
  <c r="E515" i="24"/>
  <c r="E483" i="24"/>
  <c r="D867" i="24"/>
  <c r="D739" i="24"/>
  <c r="D641" i="24"/>
  <c r="D609" i="24"/>
  <c r="D577" i="24"/>
  <c r="D545" i="24"/>
  <c r="D513" i="24"/>
  <c r="D481" i="24"/>
  <c r="D673" i="24"/>
  <c r="E528" i="24"/>
  <c r="E443" i="24"/>
  <c r="E411" i="24"/>
  <c r="E379" i="24"/>
  <c r="E347" i="24"/>
  <c r="E315" i="24"/>
  <c r="E283" i="24"/>
  <c r="D857" i="24"/>
  <c r="E574" i="24"/>
  <c r="D457" i="24"/>
  <c r="D423" i="24"/>
  <c r="D391" i="24"/>
  <c r="D373" i="24"/>
  <c r="D365" i="24"/>
  <c r="D357" i="24"/>
  <c r="D349" i="24"/>
  <c r="D341" i="24"/>
  <c r="D333" i="24"/>
  <c r="D325" i="24"/>
  <c r="D317" i="24"/>
  <c r="D309" i="24"/>
  <c r="D301" i="24"/>
  <c r="D293" i="24"/>
  <c r="D285" i="24"/>
  <c r="D849" i="24"/>
  <c r="D721" i="24"/>
  <c r="E636" i="24"/>
  <c r="E604" i="24"/>
  <c r="E572" i="24"/>
  <c r="E540" i="24"/>
  <c r="E508" i="24"/>
  <c r="E476" i="24"/>
  <c r="E456" i="24"/>
  <c r="E446" i="24"/>
  <c r="E438" i="24"/>
  <c r="E430" i="24"/>
  <c r="E422" i="24"/>
  <c r="E414" i="24"/>
  <c r="E406" i="24"/>
  <c r="E398" i="24"/>
  <c r="E390" i="24"/>
  <c r="E382" i="24"/>
  <c r="E374" i="24"/>
  <c r="E366" i="24"/>
  <c r="E358" i="24"/>
  <c r="E350" i="24"/>
  <c r="E342" i="24"/>
  <c r="E334" i="24"/>
  <c r="E326" i="24"/>
  <c r="E318" i="24"/>
  <c r="E310" i="24"/>
  <c r="E302" i="24"/>
  <c r="E294" i="24"/>
  <c r="E286" i="24"/>
  <c r="E278" i="24"/>
  <c r="E270" i="24"/>
  <c r="E642" i="24"/>
  <c r="E514" i="24"/>
  <c r="D440" i="24"/>
  <c r="D408" i="24"/>
  <c r="D376" i="24"/>
  <c r="D344" i="24"/>
  <c r="D312" i="24"/>
  <c r="D280" i="24"/>
  <c r="D265" i="24"/>
  <c r="E254" i="24"/>
  <c r="E246" i="24"/>
  <c r="E238" i="24"/>
  <c r="E230" i="24"/>
  <c r="E222" i="24"/>
  <c r="E214" i="24"/>
  <c r="E206" i="24"/>
  <c r="E198" i="24"/>
  <c r="E190" i="24"/>
  <c r="E182" i="24"/>
  <c r="E174" i="24"/>
  <c r="E166" i="24"/>
  <c r="E158" i="24"/>
  <c r="E150" i="24"/>
  <c r="E142" i="24"/>
  <c r="E134" i="24"/>
  <c r="E126" i="24"/>
  <c r="E118" i="24"/>
  <c r="E110" i="24"/>
  <c r="E102" i="24"/>
  <c r="E94" i="24"/>
  <c r="E86" i="24"/>
  <c r="E78" i="24"/>
  <c r="E70" i="24"/>
  <c r="E62" i="24"/>
  <c r="E54" i="24"/>
  <c r="E46" i="24"/>
  <c r="E38" i="24"/>
  <c r="E30" i="24"/>
  <c r="E22" i="24"/>
  <c r="E14" i="24"/>
  <c r="E6" i="24"/>
  <c r="F665" i="23"/>
  <c r="F657" i="23"/>
  <c r="F649" i="23"/>
  <c r="F641" i="23"/>
  <c r="F633" i="23"/>
  <c r="F625" i="23"/>
  <c r="F617" i="23"/>
  <c r="F609" i="23"/>
  <c r="F601" i="23"/>
  <c r="F593" i="23"/>
  <c r="F585" i="23"/>
  <c r="F577" i="23"/>
  <c r="F569" i="23"/>
  <c r="F561" i="23"/>
  <c r="F553" i="23"/>
  <c r="F545" i="23"/>
  <c r="F537" i="23"/>
  <c r="F529" i="23"/>
  <c r="F521" i="23"/>
  <c r="F513" i="23"/>
  <c r="F505" i="23"/>
  <c r="F497" i="23"/>
  <c r="F489" i="23"/>
  <c r="E602" i="24"/>
  <c r="E474" i="24"/>
  <c r="D430" i="24"/>
  <c r="D398" i="24"/>
  <c r="D366" i="24"/>
  <c r="D334" i="24"/>
  <c r="D302" i="24"/>
  <c r="D275" i="24"/>
  <c r="D262" i="24"/>
  <c r="D252" i="24"/>
  <c r="D244" i="24"/>
  <c r="D236" i="24"/>
  <c r="D228" i="24"/>
  <c r="D220" i="24"/>
  <c r="D212" i="24"/>
  <c r="D204" i="24"/>
  <c r="D196" i="24"/>
  <c r="D188" i="24"/>
  <c r="D180" i="24"/>
  <c r="D172" i="24"/>
  <c r="D164" i="24"/>
  <c r="D156" i="24"/>
  <c r="D148" i="24"/>
  <c r="D140" i="24"/>
  <c r="D132" i="24"/>
  <c r="D124" i="24"/>
  <c r="D116" i="24"/>
  <c r="D108" i="24"/>
  <c r="D100" i="24"/>
  <c r="D92" i="24"/>
  <c r="D84" i="24"/>
  <c r="D76" i="24"/>
  <c r="D68" i="24"/>
  <c r="D60" i="24"/>
  <c r="D52" i="24"/>
  <c r="D44" i="24"/>
  <c r="D36" i="24"/>
  <c r="D28" i="24"/>
  <c r="D20" i="24"/>
  <c r="D12" i="24"/>
  <c r="D4" i="24"/>
  <c r="E663" i="23"/>
  <c r="E655" i="23"/>
  <c r="E647" i="23"/>
  <c r="E639" i="23"/>
  <c r="E631" i="23"/>
  <c r="E623" i="23"/>
  <c r="E615" i="23"/>
  <c r="E607" i="23"/>
  <c r="E599" i="23"/>
  <c r="E591" i="23"/>
  <c r="E583" i="23"/>
  <c r="E575" i="23"/>
  <c r="E567" i="23"/>
  <c r="E559" i="23"/>
  <c r="E551" i="23"/>
  <c r="E543" i="23"/>
  <c r="E535" i="23"/>
  <c r="E626" i="24"/>
  <c r="E498" i="24"/>
  <c r="D436" i="24"/>
  <c r="D404" i="24"/>
  <c r="D372" i="24"/>
  <c r="D340" i="24"/>
  <c r="D308" i="24"/>
  <c r="D278" i="24"/>
  <c r="D264" i="24"/>
  <c r="E253" i="24"/>
  <c r="E245" i="24"/>
  <c r="E237" i="24"/>
  <c r="E229" i="24"/>
  <c r="E221" i="24"/>
  <c r="E213" i="24"/>
  <c r="E205" i="24"/>
  <c r="E197" i="24"/>
  <c r="E189" i="24"/>
  <c r="E181" i="24"/>
  <c r="E173" i="24"/>
  <c r="E165" i="24"/>
  <c r="E157" i="24"/>
  <c r="E149" i="24"/>
  <c r="E141" i="24"/>
  <c r="E133" i="24"/>
  <c r="E125" i="24"/>
  <c r="E117" i="24"/>
  <c r="E109" i="24"/>
  <c r="E101" i="24"/>
  <c r="E93" i="24"/>
  <c r="E85" i="24"/>
  <c r="E77" i="24"/>
  <c r="E69" i="24"/>
  <c r="E61" i="24"/>
  <c r="E53" i="24"/>
  <c r="E45" i="24"/>
  <c r="E37" i="24"/>
  <c r="E29" i="24"/>
  <c r="E21" i="24"/>
  <c r="E13" i="24"/>
  <c r="E5" i="24"/>
  <c r="F664" i="23"/>
  <c r="F656" i="23"/>
  <c r="F648" i="23"/>
  <c r="F640" i="23"/>
  <c r="F632" i="23"/>
  <c r="F624" i="23"/>
  <c r="F616" i="23"/>
  <c r="F608" i="23"/>
  <c r="F600" i="23"/>
  <c r="F592" i="23"/>
  <c r="F584" i="23"/>
  <c r="F576" i="23"/>
  <c r="F568" i="23"/>
  <c r="F560" i="23"/>
  <c r="F552" i="23"/>
  <c r="F544" i="23"/>
  <c r="F92" i="16"/>
  <c r="E802" i="24"/>
  <c r="D800" i="24"/>
  <c r="E797" i="24"/>
  <c r="D887" i="24"/>
  <c r="D582" i="24"/>
  <c r="D454" i="24"/>
  <c r="E591" i="24"/>
  <c r="E539" i="24"/>
  <c r="E507" i="24"/>
  <c r="E475" i="24"/>
  <c r="D835" i="24"/>
  <c r="D707" i="24"/>
  <c r="D633" i="24"/>
  <c r="D601" i="24"/>
  <c r="D569" i="24"/>
  <c r="D537" i="24"/>
  <c r="D505" i="24"/>
  <c r="D473" i="24"/>
  <c r="E624" i="24"/>
  <c r="E496" i="24"/>
  <c r="E435" i="24"/>
  <c r="E403" i="24"/>
  <c r="E371" i="24"/>
  <c r="E339" i="24"/>
  <c r="E307" i="24"/>
  <c r="E275" i="24"/>
  <c r="D729" i="24"/>
  <c r="E542" i="24"/>
  <c r="D447" i="24"/>
  <c r="D415" i="24"/>
  <c r="D383" i="24"/>
  <c r="D371" i="24"/>
  <c r="D363" i="24"/>
  <c r="D355" i="24"/>
  <c r="D347" i="24"/>
  <c r="D339" i="24"/>
  <c r="D331" i="24"/>
  <c r="D323" i="24"/>
  <c r="D315" i="24"/>
  <c r="D307" i="24"/>
  <c r="D299" i="24"/>
  <c r="D291" i="24"/>
  <c r="D283" i="24"/>
  <c r="D817" i="24"/>
  <c r="D689" i="24"/>
  <c r="E628" i="24"/>
  <c r="E596" i="24"/>
  <c r="E564" i="24"/>
  <c r="E532" i="24"/>
  <c r="E500" i="24"/>
  <c r="E468" i="24"/>
  <c r="E453" i="24"/>
  <c r="E444" i="24"/>
  <c r="E436" i="24"/>
  <c r="E428" i="24"/>
  <c r="E420" i="24"/>
  <c r="E412" i="24"/>
  <c r="E404" i="24"/>
  <c r="E396" i="24"/>
  <c r="E388" i="24"/>
  <c r="E380" i="24"/>
  <c r="E372" i="24"/>
  <c r="E364" i="24"/>
  <c r="E356" i="24"/>
  <c r="E348" i="24"/>
  <c r="E340" i="24"/>
  <c r="E332" i="24"/>
  <c r="E324" i="24"/>
  <c r="E316" i="24"/>
  <c r="E308" i="24"/>
  <c r="E300" i="24"/>
  <c r="E292" i="24"/>
  <c r="E284" i="24"/>
  <c r="E276" i="24"/>
  <c r="E268" i="24"/>
  <c r="E610" i="24"/>
  <c r="E482" i="24"/>
  <c r="D432" i="24"/>
  <c r="D400" i="24"/>
  <c r="D368" i="24"/>
  <c r="D336" i="24"/>
  <c r="D304" i="24"/>
  <c r="D276" i="24"/>
  <c r="E262" i="24"/>
  <c r="E252" i="24"/>
  <c r="E244" i="24"/>
  <c r="E236" i="24"/>
  <c r="E228" i="24"/>
  <c r="E220" i="24"/>
  <c r="E212" i="24"/>
  <c r="E204" i="24"/>
  <c r="E196" i="24"/>
  <c r="E188" i="24"/>
  <c r="E180" i="24"/>
  <c r="E172" i="24"/>
  <c r="E164" i="24"/>
  <c r="E156" i="24"/>
  <c r="E148" i="24"/>
  <c r="E140" i="24"/>
  <c r="E132" i="24"/>
  <c r="E124" i="24"/>
  <c r="E116" i="24"/>
  <c r="E108" i="24"/>
  <c r="E100" i="24"/>
  <c r="E92" i="24"/>
  <c r="E84" i="24"/>
  <c r="E76" i="24"/>
  <c r="E68" i="24"/>
  <c r="E60" i="24"/>
  <c r="E52" i="24"/>
  <c r="E44" i="24"/>
  <c r="E36" i="24"/>
  <c r="E28" i="24"/>
  <c r="E20" i="24"/>
  <c r="E12" i="24"/>
  <c r="E4" i="24"/>
  <c r="F663" i="23"/>
  <c r="F655" i="23"/>
  <c r="F647" i="23"/>
  <c r="F639" i="23"/>
  <c r="F631" i="23"/>
  <c r="F623" i="23"/>
  <c r="F615" i="23"/>
  <c r="F607" i="23"/>
  <c r="F599" i="23"/>
  <c r="F591" i="23"/>
  <c r="F583" i="23"/>
  <c r="F575" i="23"/>
  <c r="F567" i="23"/>
  <c r="F559" i="23"/>
  <c r="F551" i="23"/>
  <c r="F543" i="23"/>
  <c r="F535" i="23"/>
  <c r="F527" i="23"/>
  <c r="F519" i="23"/>
  <c r="F511" i="23"/>
  <c r="F503" i="23"/>
  <c r="F495" i="23"/>
  <c r="D841" i="24"/>
  <c r="E570" i="24"/>
  <c r="E455" i="24"/>
  <c r="D422" i="24"/>
  <c r="D390" i="24"/>
  <c r="D358" i="24"/>
  <c r="D326" i="24"/>
  <c r="D294" i="24"/>
  <c r="D271" i="24"/>
  <c r="D259" i="24"/>
  <c r="D250" i="24"/>
  <c r="D242" i="24"/>
  <c r="D234" i="24"/>
  <c r="D226" i="24"/>
  <c r="D218" i="24"/>
  <c r="D210" i="24"/>
  <c r="D202" i="24"/>
  <c r="D194" i="24"/>
  <c r="D186" i="24"/>
  <c r="D178" i="24"/>
  <c r="D170" i="24"/>
  <c r="D162" i="24"/>
  <c r="D154" i="24"/>
  <c r="D146" i="24"/>
  <c r="D138" i="24"/>
  <c r="D130" i="24"/>
  <c r="D122" i="24"/>
  <c r="D114" i="24"/>
  <c r="D106" i="24"/>
  <c r="D98" i="24"/>
  <c r="D90" i="24"/>
  <c r="D82" i="24"/>
  <c r="D74" i="24"/>
  <c r="D66" i="24"/>
  <c r="D58" i="24"/>
  <c r="D50" i="24"/>
  <c r="D42" i="24"/>
  <c r="D34" i="24"/>
  <c r="D26" i="24"/>
  <c r="D18" i="24"/>
  <c r="D10" i="24"/>
  <c r="D2" i="24"/>
  <c r="E661" i="23"/>
  <c r="E653" i="23"/>
  <c r="E645" i="23"/>
  <c r="E637" i="23"/>
  <c r="E629" i="23"/>
  <c r="E621" i="23"/>
  <c r="E613" i="23"/>
  <c r="E605" i="23"/>
  <c r="E597" i="23"/>
  <c r="E589" i="23"/>
  <c r="E581" i="23"/>
  <c r="E573" i="23"/>
  <c r="E565" i="23"/>
  <c r="E557" i="23"/>
  <c r="E549" i="23"/>
  <c r="E541" i="23"/>
  <c r="E533" i="23"/>
  <c r="E594" i="24"/>
  <c r="E466" i="24"/>
  <c r="D428" i="24"/>
  <c r="D396" i="24"/>
  <c r="D364" i="24"/>
  <c r="D332" i="24"/>
  <c r="D300" i="24"/>
  <c r="D274" i="24"/>
  <c r="D261" i="24"/>
  <c r="E251" i="24"/>
  <c r="E243" i="24"/>
  <c r="E235" i="24"/>
  <c r="E227" i="24"/>
  <c r="E219" i="24"/>
  <c r="E211" i="24"/>
  <c r="E203" i="24"/>
  <c r="E195" i="24"/>
  <c r="E187" i="24"/>
  <c r="E179" i="24"/>
  <c r="E171" i="24"/>
  <c r="E163" i="24"/>
  <c r="E155" i="24"/>
  <c r="E147" i="24"/>
  <c r="E139" i="24"/>
  <c r="E131" i="24"/>
  <c r="E123" i="24"/>
  <c r="E115" i="24"/>
  <c r="E107" i="24"/>
  <c r="E99" i="24"/>
  <c r="E91" i="24"/>
  <c r="E83" i="24"/>
  <c r="E75" i="24"/>
  <c r="E67" i="24"/>
  <c r="E59" i="24"/>
  <c r="E51" i="24"/>
  <c r="E43" i="24"/>
  <c r="E35" i="24"/>
  <c r="E27" i="24"/>
  <c r="E19" i="24"/>
  <c r="E3" i="24"/>
  <c r="F662" i="23"/>
  <c r="F654" i="23"/>
  <c r="F646" i="23"/>
  <c r="F638" i="23"/>
  <c r="F630" i="23"/>
  <c r="F622" i="23"/>
  <c r="F614" i="23"/>
  <c r="F606" i="23"/>
  <c r="F598" i="23"/>
  <c r="F590" i="23"/>
  <c r="F582" i="23"/>
  <c r="F574" i="23"/>
  <c r="F566" i="23"/>
  <c r="F558" i="23"/>
  <c r="F550" i="23"/>
  <c r="F542" i="23"/>
  <c r="F125" i="16"/>
  <c r="D759" i="24"/>
  <c r="E531" i="24"/>
  <c r="D675" i="24"/>
  <c r="D529" i="24"/>
  <c r="E464" i="24"/>
  <c r="E331" i="24"/>
  <c r="E510" i="24"/>
  <c r="D369" i="24"/>
  <c r="D337" i="24"/>
  <c r="D305" i="24"/>
  <c r="D785" i="24"/>
  <c r="E556" i="24"/>
  <c r="D451" i="24"/>
  <c r="E418" i="24"/>
  <c r="E386" i="24"/>
  <c r="E354" i="24"/>
  <c r="E322" i="24"/>
  <c r="E290" i="24"/>
  <c r="E578" i="24"/>
  <c r="D360" i="24"/>
  <c r="D260" i="24"/>
  <c r="E226" i="24"/>
  <c r="E194" i="24"/>
  <c r="E162" i="24"/>
  <c r="E130" i="24"/>
  <c r="E98" i="24"/>
  <c r="E66" i="24"/>
  <c r="E34" i="24"/>
  <c r="E2" i="24"/>
  <c r="F637" i="23"/>
  <c r="F605" i="23"/>
  <c r="F573" i="23"/>
  <c r="F541" i="23"/>
  <c r="F509" i="23"/>
  <c r="E538" i="24"/>
  <c r="D350" i="24"/>
  <c r="E256" i="24"/>
  <c r="D224" i="24"/>
  <c r="D192" i="24"/>
  <c r="D160" i="24"/>
  <c r="D128" i="24"/>
  <c r="D96" i="24"/>
  <c r="D64" i="24"/>
  <c r="D32" i="24"/>
  <c r="E667" i="23"/>
  <c r="E635" i="23"/>
  <c r="E603" i="23"/>
  <c r="E571" i="23"/>
  <c r="E539" i="23"/>
  <c r="D420" i="24"/>
  <c r="D292" i="24"/>
  <c r="E241" i="24"/>
  <c r="E209" i="24"/>
  <c r="E177" i="24"/>
  <c r="E145" i="24"/>
  <c r="E113" i="24"/>
  <c r="E81" i="24"/>
  <c r="E49" i="24"/>
  <c r="E17" i="24"/>
  <c r="F652" i="23"/>
  <c r="F620" i="23"/>
  <c r="F588" i="23"/>
  <c r="F562" i="23"/>
  <c r="F546" i="23"/>
  <c r="F534" i="23"/>
  <c r="F526" i="23"/>
  <c r="F518" i="23"/>
  <c r="F510" i="23"/>
  <c r="F502" i="23"/>
  <c r="F494" i="23"/>
  <c r="D777" i="24"/>
  <c r="D386" i="24"/>
  <c r="D269" i="24"/>
  <c r="D233" i="24"/>
  <c r="D201" i="24"/>
  <c r="D169" i="24"/>
  <c r="D137" i="24"/>
  <c r="D105" i="24"/>
  <c r="D73" i="24"/>
  <c r="D41" i="24"/>
  <c r="D9" i="24"/>
  <c r="E644" i="23"/>
  <c r="E612" i="23"/>
  <c r="E580" i="23"/>
  <c r="E548" i="23"/>
  <c r="E524" i="23"/>
  <c r="E508" i="23"/>
  <c r="E492" i="23"/>
  <c r="E482" i="23"/>
  <c r="E474" i="23"/>
  <c r="E466" i="23"/>
  <c r="E458" i="23"/>
  <c r="E450" i="23"/>
  <c r="E442" i="23"/>
  <c r="E434" i="23"/>
  <c r="E426" i="23"/>
  <c r="E418" i="23"/>
  <c r="E410" i="23"/>
  <c r="E402" i="23"/>
  <c r="E394" i="23"/>
  <c r="E386" i="23"/>
  <c r="E378" i="23"/>
  <c r="E370" i="23"/>
  <c r="E362" i="23"/>
  <c r="E354" i="23"/>
  <c r="E346" i="23"/>
  <c r="E338" i="23"/>
  <c r="E330" i="23"/>
  <c r="E322" i="23"/>
  <c r="E314" i="23"/>
  <c r="E306" i="23"/>
  <c r="E298" i="23"/>
  <c r="E290" i="23"/>
  <c r="E282" i="23"/>
  <c r="E274" i="23"/>
  <c r="E266" i="23"/>
  <c r="E258" i="23"/>
  <c r="E250" i="23"/>
  <c r="E242" i="23"/>
  <c r="E234" i="23"/>
  <c r="E226" i="23"/>
  <c r="E218" i="23"/>
  <c r="E210" i="23"/>
  <c r="E202" i="23"/>
  <c r="E194" i="23"/>
  <c r="E186" i="23"/>
  <c r="E178" i="23"/>
  <c r="E170" i="23"/>
  <c r="E162" i="23"/>
  <c r="E154" i="23"/>
  <c r="E146" i="23"/>
  <c r="E138" i="23"/>
  <c r="E130" i="23"/>
  <c r="E122" i="23"/>
  <c r="E114" i="23"/>
  <c r="D442" i="24"/>
  <c r="D314" i="24"/>
  <c r="D247" i="24"/>
  <c r="D215" i="24"/>
  <c r="D183" i="24"/>
  <c r="D151" i="24"/>
  <c r="D119" i="24"/>
  <c r="D87" i="24"/>
  <c r="D55" i="24"/>
  <c r="D23" i="24"/>
  <c r="E658" i="23"/>
  <c r="E626" i="23"/>
  <c r="E594" i="23"/>
  <c r="E562" i="23"/>
  <c r="E531" i="23"/>
  <c r="E515" i="23"/>
  <c r="E499" i="23"/>
  <c r="F485" i="23"/>
  <c r="F477" i="23"/>
  <c r="F469" i="23"/>
  <c r="F461" i="23"/>
  <c r="F453" i="23"/>
  <c r="F445" i="23"/>
  <c r="F437" i="23"/>
  <c r="F429" i="23"/>
  <c r="F421" i="23"/>
  <c r="F413" i="23"/>
  <c r="F405" i="23"/>
  <c r="F397" i="23"/>
  <c r="F389" i="23"/>
  <c r="F381" i="23"/>
  <c r="F373" i="23"/>
  <c r="F365" i="23"/>
  <c r="F357" i="23"/>
  <c r="F349" i="23"/>
  <c r="F341" i="23"/>
  <c r="F333" i="23"/>
  <c r="F325" i="23"/>
  <c r="F317" i="23"/>
  <c r="F309" i="23"/>
  <c r="F301" i="23"/>
  <c r="F293" i="23"/>
  <c r="F285" i="23"/>
  <c r="F277" i="23"/>
  <c r="F269" i="23"/>
  <c r="F261" i="23"/>
  <c r="F253" i="23"/>
  <c r="F245" i="23"/>
  <c r="F237" i="23"/>
  <c r="D434" i="24"/>
  <c r="D306" i="24"/>
  <c r="D245" i="24"/>
  <c r="D213" i="24"/>
  <c r="D181" i="24"/>
  <c r="D149" i="24"/>
  <c r="D117" i="24"/>
  <c r="D85" i="24"/>
  <c r="D53" i="24"/>
  <c r="D21" i="24"/>
  <c r="E656" i="23"/>
  <c r="E624" i="23"/>
  <c r="E592" i="23"/>
  <c r="E560" i="23"/>
  <c r="E530" i="23"/>
  <c r="E514" i="23"/>
  <c r="E498" i="23"/>
  <c r="E485" i="23"/>
  <c r="E477" i="23"/>
  <c r="E469" i="23"/>
  <c r="E461" i="23"/>
  <c r="E453" i="23"/>
  <c r="E445" i="23"/>
  <c r="E437" i="23"/>
  <c r="E429" i="23"/>
  <c r="E421" i="23"/>
  <c r="E413" i="23"/>
  <c r="E405" i="23"/>
  <c r="E397" i="23"/>
  <c r="E389" i="23"/>
  <c r="E381" i="23"/>
  <c r="E373" i="23"/>
  <c r="E365" i="23"/>
  <c r="E357" i="23"/>
  <c r="E349" i="23"/>
  <c r="E341" i="23"/>
  <c r="E333" i="23"/>
  <c r="E325" i="23"/>
  <c r="E317" i="23"/>
  <c r="E309" i="23"/>
  <c r="E301" i="23"/>
  <c r="E293" i="23"/>
  <c r="E285" i="23"/>
  <c r="E277" i="23"/>
  <c r="E269" i="23"/>
  <c r="E261" i="23"/>
  <c r="E253" i="23"/>
  <c r="E245" i="23"/>
  <c r="E237" i="23"/>
  <c r="E229" i="23"/>
  <c r="E221" i="23"/>
  <c r="E213" i="23"/>
  <c r="E205" i="23"/>
  <c r="E197" i="23"/>
  <c r="E189" i="23"/>
  <c r="E181" i="23"/>
  <c r="E173" i="23"/>
  <c r="E165" i="23"/>
  <c r="E157" i="23"/>
  <c r="E149" i="23"/>
  <c r="E141" i="23"/>
  <c r="E133" i="23"/>
  <c r="E125" i="23"/>
  <c r="E117" i="23"/>
  <c r="D227" i="24"/>
  <c r="D99" i="24"/>
  <c r="E638" i="23"/>
  <c r="E521" i="23"/>
  <c r="F472" i="23"/>
  <c r="F440" i="23"/>
  <c r="E738" i="24"/>
  <c r="D550" i="24"/>
  <c r="E499" i="24"/>
  <c r="D625" i="24"/>
  <c r="D497" i="24"/>
  <c r="E427" i="24"/>
  <c r="E299" i="24"/>
  <c r="D439" i="24"/>
  <c r="D361" i="24"/>
  <c r="D329" i="24"/>
  <c r="D297" i="24"/>
  <c r="D657" i="24"/>
  <c r="E524" i="24"/>
  <c r="E442" i="24"/>
  <c r="E410" i="24"/>
  <c r="E378" i="24"/>
  <c r="E346" i="24"/>
  <c r="E314" i="24"/>
  <c r="E282" i="24"/>
  <c r="E458" i="24"/>
  <c r="D328" i="24"/>
  <c r="E250" i="24"/>
  <c r="E218" i="24"/>
  <c r="E186" i="24"/>
  <c r="E154" i="24"/>
  <c r="E122" i="24"/>
  <c r="E90" i="24"/>
  <c r="E58" i="24"/>
  <c r="E26" i="24"/>
  <c r="F661" i="23"/>
  <c r="F629" i="23"/>
  <c r="F597" i="23"/>
  <c r="F565" i="23"/>
  <c r="F533" i="23"/>
  <c r="F501" i="23"/>
  <c r="D446" i="24"/>
  <c r="D318" i="24"/>
  <c r="D248" i="24"/>
  <c r="D216" i="24"/>
  <c r="D184" i="24"/>
  <c r="D152" i="24"/>
  <c r="D120" i="24"/>
  <c r="D88" i="24"/>
  <c r="D56" i="24"/>
  <c r="D24" i="24"/>
  <c r="E659" i="23"/>
  <c r="E627" i="23"/>
  <c r="E595" i="23"/>
  <c r="E563" i="23"/>
  <c r="D809" i="24"/>
  <c r="D388" i="24"/>
  <c r="D270" i="24"/>
  <c r="E233" i="24"/>
  <c r="E201" i="24"/>
  <c r="E169" i="24"/>
  <c r="E137" i="24"/>
  <c r="E105" i="24"/>
  <c r="E73" i="24"/>
  <c r="E41" i="24"/>
  <c r="E9" i="24"/>
  <c r="F644" i="23"/>
  <c r="F612" i="23"/>
  <c r="F580" i="23"/>
  <c r="F556" i="23"/>
  <c r="F540" i="23"/>
  <c r="F532" i="23"/>
  <c r="F524" i="23"/>
  <c r="F516" i="23"/>
  <c r="F508" i="23"/>
  <c r="F500" i="23"/>
  <c r="F492" i="23"/>
  <c r="E554" i="24"/>
  <c r="D354" i="24"/>
  <c r="D258" i="24"/>
  <c r="D225" i="24"/>
  <c r="D193" i="24"/>
  <c r="D161" i="24"/>
  <c r="D129" i="24"/>
  <c r="D97" i="24"/>
  <c r="D65" i="24"/>
  <c r="D33" i="24"/>
  <c r="E668" i="23"/>
  <c r="E636" i="23"/>
  <c r="E604" i="23"/>
  <c r="E572" i="23"/>
  <c r="E540" i="23"/>
  <c r="E520" i="23"/>
  <c r="E504" i="23"/>
  <c r="E488" i="23"/>
  <c r="E480" i="23"/>
  <c r="E472" i="23"/>
  <c r="E464" i="23"/>
  <c r="E456" i="23"/>
  <c r="E448" i="23"/>
  <c r="E440" i="23"/>
  <c r="E432" i="23"/>
  <c r="E424" i="23"/>
  <c r="E416" i="23"/>
  <c r="E408" i="23"/>
  <c r="E400" i="23"/>
  <c r="E392" i="23"/>
  <c r="E384" i="23"/>
  <c r="E376" i="23"/>
  <c r="E368" i="23"/>
  <c r="E360" i="23"/>
  <c r="E352" i="23"/>
  <c r="E344" i="23"/>
  <c r="E336" i="23"/>
  <c r="E328" i="23"/>
  <c r="E320" i="23"/>
  <c r="E312" i="23"/>
  <c r="E304" i="23"/>
  <c r="E296" i="23"/>
  <c r="E288" i="23"/>
  <c r="E280" i="23"/>
  <c r="E272" i="23"/>
  <c r="E264" i="23"/>
  <c r="E256" i="23"/>
  <c r="E248" i="23"/>
  <c r="E240" i="23"/>
  <c r="E232" i="23"/>
  <c r="E224" i="23"/>
  <c r="E216" i="23"/>
  <c r="E208" i="23"/>
  <c r="E200" i="23"/>
  <c r="E192" i="23"/>
  <c r="E184" i="23"/>
  <c r="E176" i="23"/>
  <c r="E168" i="23"/>
  <c r="E160" i="23"/>
  <c r="E152" i="23"/>
  <c r="E144" i="23"/>
  <c r="E136" i="23"/>
  <c r="E128" i="23"/>
  <c r="E120" i="23"/>
  <c r="E112" i="23"/>
  <c r="D410" i="24"/>
  <c r="D282" i="24"/>
  <c r="D239" i="24"/>
  <c r="D207" i="24"/>
  <c r="D175" i="24"/>
  <c r="D143" i="24"/>
  <c r="D111" i="24"/>
  <c r="D79" i="24"/>
  <c r="D47" i="24"/>
  <c r="D15" i="24"/>
  <c r="E650" i="23"/>
  <c r="E618" i="23"/>
  <c r="E586" i="23"/>
  <c r="E554" i="23"/>
  <c r="E527" i="23"/>
  <c r="E511" i="23"/>
  <c r="E495" i="23"/>
  <c r="F483" i="23"/>
  <c r="F475" i="23"/>
  <c r="F467" i="23"/>
  <c r="F459" i="23"/>
  <c r="F451" i="23"/>
  <c r="F443" i="23"/>
  <c r="F435" i="23"/>
  <c r="F427" i="23"/>
  <c r="F419" i="23"/>
  <c r="F411" i="23"/>
  <c r="F403" i="23"/>
  <c r="F395" i="23"/>
  <c r="F387" i="23"/>
  <c r="F379" i="23"/>
  <c r="F371" i="23"/>
  <c r="F363" i="23"/>
  <c r="F355" i="23"/>
  <c r="F347" i="23"/>
  <c r="F339" i="23"/>
  <c r="F331" i="23"/>
  <c r="F323" i="23"/>
  <c r="F315" i="23"/>
  <c r="F307" i="23"/>
  <c r="F299" i="23"/>
  <c r="F291" i="23"/>
  <c r="F283" i="23"/>
  <c r="F275" i="23"/>
  <c r="F267" i="23"/>
  <c r="F259" i="23"/>
  <c r="F251" i="23"/>
  <c r="F243" i="23"/>
  <c r="F235" i="23"/>
  <c r="D402" i="24"/>
  <c r="D277" i="24"/>
  <c r="D237" i="24"/>
  <c r="D205" i="24"/>
  <c r="D173" i="24"/>
  <c r="D141" i="24"/>
  <c r="D109" i="24"/>
  <c r="D77" i="24"/>
  <c r="D45" i="24"/>
  <c r="D13" i="24"/>
  <c r="E648" i="23"/>
  <c r="E616" i="23"/>
  <c r="E584" i="23"/>
  <c r="E552" i="23"/>
  <c r="E526" i="23"/>
  <c r="E510" i="23"/>
  <c r="E494" i="23"/>
  <c r="E483" i="23"/>
  <c r="E475" i="23"/>
  <c r="E467" i="23"/>
  <c r="E459" i="23"/>
  <c r="E451" i="23"/>
  <c r="E443" i="23"/>
  <c r="E435" i="23"/>
  <c r="E427" i="23"/>
  <c r="E419" i="23"/>
  <c r="E411" i="23"/>
  <c r="E403" i="23"/>
  <c r="E395" i="23"/>
  <c r="E387" i="23"/>
  <c r="E379" i="23"/>
  <c r="E371" i="23"/>
  <c r="E363" i="23"/>
  <c r="E355" i="23"/>
  <c r="E347" i="23"/>
  <c r="E339" i="23"/>
  <c r="E331" i="23"/>
  <c r="E323" i="23"/>
  <c r="E315" i="23"/>
  <c r="E307" i="23"/>
  <c r="E299" i="23"/>
  <c r="E291" i="23"/>
  <c r="E283" i="23"/>
  <c r="E275" i="23"/>
  <c r="E267" i="23"/>
  <c r="E259" i="23"/>
  <c r="E251" i="23"/>
  <c r="E243" i="23"/>
  <c r="E235" i="23"/>
  <c r="E227" i="23"/>
  <c r="E219" i="23"/>
  <c r="E211" i="23"/>
  <c r="E203" i="23"/>
  <c r="E195" i="23"/>
  <c r="E187" i="23"/>
  <c r="E179" i="23"/>
  <c r="E171" i="23"/>
  <c r="E163" i="23"/>
  <c r="E155" i="23"/>
  <c r="E147" i="23"/>
  <c r="E139" i="23"/>
  <c r="E131" i="23"/>
  <c r="E123" i="23"/>
  <c r="E586" i="24"/>
  <c r="D195" i="24"/>
  <c r="D67" i="24"/>
  <c r="E606" i="23"/>
  <c r="E505" i="23"/>
  <c r="F464" i="23"/>
  <c r="F432" i="23"/>
  <c r="F400" i="23"/>
  <c r="D736" i="24"/>
  <c r="D797" i="24"/>
  <c r="E467" i="24"/>
  <c r="D593" i="24"/>
  <c r="D465" i="24"/>
  <c r="E395" i="24"/>
  <c r="E267" i="24"/>
  <c r="D407" i="24"/>
  <c r="D353" i="24"/>
  <c r="D321" i="24"/>
  <c r="D289" i="24"/>
  <c r="E620" i="24"/>
  <c r="E492" i="24"/>
  <c r="E434" i="24"/>
  <c r="E402" i="24"/>
  <c r="E370" i="24"/>
  <c r="E338" i="24"/>
  <c r="E306" i="24"/>
  <c r="E274" i="24"/>
  <c r="D424" i="24"/>
  <c r="D296" i="24"/>
  <c r="E242" i="24"/>
  <c r="E210" i="24"/>
  <c r="E178" i="24"/>
  <c r="E146" i="24"/>
  <c r="E114" i="24"/>
  <c r="E82" i="24"/>
  <c r="E50" i="24"/>
  <c r="E18" i="24"/>
  <c r="F653" i="23"/>
  <c r="F621" i="23"/>
  <c r="F589" i="23"/>
  <c r="F557" i="23"/>
  <c r="F525" i="23"/>
  <c r="F493" i="23"/>
  <c r="D414" i="24"/>
  <c r="D286" i="24"/>
  <c r="D240" i="24"/>
  <c r="D208" i="24"/>
  <c r="D176" i="24"/>
  <c r="D144" i="24"/>
  <c r="D112" i="24"/>
  <c r="D80" i="24"/>
  <c r="D48" i="24"/>
  <c r="D16" i="24"/>
  <c r="E651" i="23"/>
  <c r="E619" i="23"/>
  <c r="E587" i="23"/>
  <c r="E555" i="23"/>
  <c r="E562" i="24"/>
  <c r="D356" i="24"/>
  <c r="E258" i="24"/>
  <c r="E225" i="24"/>
  <c r="E193" i="24"/>
  <c r="E161" i="24"/>
  <c r="E129" i="24"/>
  <c r="E97" i="24"/>
  <c r="E65" i="24"/>
  <c r="E33" i="24"/>
  <c r="F668" i="23"/>
  <c r="F636" i="23"/>
  <c r="F604" i="23"/>
  <c r="F572" i="23"/>
  <c r="F554" i="23"/>
  <c r="F538" i="23"/>
  <c r="F530" i="23"/>
  <c r="F522" i="23"/>
  <c r="F514" i="23"/>
  <c r="F506" i="23"/>
  <c r="F498" i="23"/>
  <c r="F490" i="23"/>
  <c r="E450" i="24"/>
  <c r="D322" i="24"/>
  <c r="D249" i="24"/>
  <c r="D217" i="24"/>
  <c r="D185" i="24"/>
  <c r="D153" i="24"/>
  <c r="D121" i="24"/>
  <c r="D89" i="24"/>
  <c r="D57" i="24"/>
  <c r="D25" i="24"/>
  <c r="E660" i="23"/>
  <c r="E628" i="23"/>
  <c r="E596" i="23"/>
  <c r="E564" i="23"/>
  <c r="E532" i="23"/>
  <c r="E516" i="23"/>
  <c r="E500" i="23"/>
  <c r="E486" i="23"/>
  <c r="E478" i="23"/>
  <c r="E470" i="23"/>
  <c r="E462" i="23"/>
  <c r="E454" i="23"/>
  <c r="E446" i="23"/>
  <c r="E438" i="23"/>
  <c r="E430" i="23"/>
  <c r="E422" i="23"/>
  <c r="E414" i="23"/>
  <c r="E406" i="23"/>
  <c r="E398" i="23"/>
  <c r="E390" i="23"/>
  <c r="E382" i="23"/>
  <c r="E374" i="23"/>
  <c r="E366" i="23"/>
  <c r="E358" i="23"/>
  <c r="E350" i="23"/>
  <c r="E342" i="23"/>
  <c r="E334" i="23"/>
  <c r="E326" i="23"/>
  <c r="E318" i="23"/>
  <c r="E310" i="23"/>
  <c r="E302" i="23"/>
  <c r="E294" i="23"/>
  <c r="E286" i="23"/>
  <c r="E278" i="23"/>
  <c r="E270" i="23"/>
  <c r="E262" i="23"/>
  <c r="E254" i="23"/>
  <c r="E246" i="23"/>
  <c r="E238" i="23"/>
  <c r="E230" i="23"/>
  <c r="E222" i="23"/>
  <c r="E214" i="23"/>
  <c r="E206" i="23"/>
  <c r="E198" i="23"/>
  <c r="E190" i="23"/>
  <c r="E182" i="23"/>
  <c r="E174" i="23"/>
  <c r="E166" i="23"/>
  <c r="E158" i="23"/>
  <c r="E150" i="23"/>
  <c r="E142" i="23"/>
  <c r="E134" i="23"/>
  <c r="E126" i="23"/>
  <c r="E118" i="23"/>
  <c r="E650" i="24"/>
  <c r="D378" i="24"/>
  <c r="D266" i="24"/>
  <c r="D231" i="24"/>
  <c r="D199" i="24"/>
  <c r="D167" i="24"/>
  <c r="D135" i="24"/>
  <c r="D103" i="24"/>
  <c r="D71" i="24"/>
  <c r="D39" i="24"/>
  <c r="D7" i="24"/>
  <c r="E642" i="23"/>
  <c r="E610" i="23"/>
  <c r="E578" i="23"/>
  <c r="E546" i="23"/>
  <c r="E523" i="23"/>
  <c r="E507" i="23"/>
  <c r="E491" i="23"/>
  <c r="F481" i="23"/>
  <c r="F473" i="23"/>
  <c r="F465" i="23"/>
  <c r="F457" i="23"/>
  <c r="F449" i="23"/>
  <c r="F441" i="23"/>
  <c r="F433" i="23"/>
  <c r="F425" i="23"/>
  <c r="F417" i="23"/>
  <c r="F409" i="23"/>
  <c r="F401" i="23"/>
  <c r="F393" i="23"/>
  <c r="F385" i="23"/>
  <c r="F377" i="23"/>
  <c r="F369" i="23"/>
  <c r="F361" i="23"/>
  <c r="F353" i="23"/>
  <c r="F345" i="23"/>
  <c r="F337" i="23"/>
  <c r="F329" i="23"/>
  <c r="F321" i="23"/>
  <c r="F313" i="23"/>
  <c r="F305" i="23"/>
  <c r="F297" i="23"/>
  <c r="F289" i="23"/>
  <c r="F281" i="23"/>
  <c r="F273" i="23"/>
  <c r="F265" i="23"/>
  <c r="F257" i="23"/>
  <c r="F249" i="23"/>
  <c r="F241" i="23"/>
  <c r="E618" i="24"/>
  <c r="D370" i="24"/>
  <c r="D263" i="24"/>
  <c r="D229" i="24"/>
  <c r="D197" i="24"/>
  <c r="D165" i="24"/>
  <c r="D133" i="24"/>
  <c r="D101" i="24"/>
  <c r="D69" i="24"/>
  <c r="D37" i="24"/>
  <c r="D5" i="24"/>
  <c r="E640" i="23"/>
  <c r="E608" i="23"/>
  <c r="E576" i="23"/>
  <c r="E544" i="23"/>
  <c r="E522" i="23"/>
  <c r="E506" i="23"/>
  <c r="E490" i="23"/>
  <c r="E481" i="23"/>
  <c r="E473" i="23"/>
  <c r="E465" i="23"/>
  <c r="E457" i="23"/>
  <c r="E449" i="23"/>
  <c r="E441" i="23"/>
  <c r="E433" i="23"/>
  <c r="E425" i="23"/>
  <c r="E417" i="23"/>
  <c r="E409" i="23"/>
  <c r="E401" i="23"/>
  <c r="E393" i="23"/>
  <c r="E385" i="23"/>
  <c r="E377" i="23"/>
  <c r="E369" i="23"/>
  <c r="E361" i="23"/>
  <c r="E353" i="23"/>
  <c r="E345" i="23"/>
  <c r="E337" i="23"/>
  <c r="E329" i="23"/>
  <c r="E321" i="23"/>
  <c r="E313" i="23"/>
  <c r="E305" i="23"/>
  <c r="E297" i="23"/>
  <c r="E289" i="23"/>
  <c r="E281" i="23"/>
  <c r="E273" i="23"/>
  <c r="E265" i="23"/>
  <c r="E257" i="23"/>
  <c r="E249" i="23"/>
  <c r="E241" i="23"/>
  <c r="E233" i="23"/>
  <c r="E225" i="23"/>
  <c r="E217" i="23"/>
  <c r="E209" i="23"/>
  <c r="E201" i="23"/>
  <c r="E193" i="23"/>
  <c r="E185" i="23"/>
  <c r="E177" i="23"/>
  <c r="E169" i="23"/>
  <c r="E161" i="23"/>
  <c r="E153" i="23"/>
  <c r="E145" i="23"/>
  <c r="E137" i="23"/>
  <c r="E129" i="23"/>
  <c r="E121" i="23"/>
  <c r="D362" i="24"/>
  <c r="D163" i="24"/>
  <c r="D35" i="24"/>
  <c r="E574" i="23"/>
  <c r="E489" i="23"/>
  <c r="F456" i="23"/>
  <c r="F424" i="23"/>
  <c r="E741" i="24"/>
  <c r="E592" i="24"/>
  <c r="D345" i="24"/>
  <c r="E462" i="24"/>
  <c r="E330" i="24"/>
  <c r="D272" i="24"/>
  <c r="E138" i="24"/>
  <c r="E10" i="24"/>
  <c r="F549" i="23"/>
  <c r="D267" i="24"/>
  <c r="D136" i="24"/>
  <c r="D8" i="24"/>
  <c r="E547" i="23"/>
  <c r="E217" i="24"/>
  <c r="E89" i="24"/>
  <c r="F628" i="23"/>
  <c r="F536" i="23"/>
  <c r="F504" i="23"/>
  <c r="D290" i="24"/>
  <c r="D145" i="24"/>
  <c r="D17" i="24"/>
  <c r="E556" i="23"/>
  <c r="E484" i="23"/>
  <c r="E452" i="23"/>
  <c r="E420" i="23"/>
  <c r="E388" i="23"/>
  <c r="E356" i="23"/>
  <c r="E324" i="23"/>
  <c r="E292" i="23"/>
  <c r="E260" i="23"/>
  <c r="E228" i="23"/>
  <c r="E196" i="23"/>
  <c r="E164" i="23"/>
  <c r="E132" i="23"/>
  <c r="D346" i="24"/>
  <c r="D159" i="24"/>
  <c r="D31" i="24"/>
  <c r="E570" i="23"/>
  <c r="F487" i="23"/>
  <c r="F455" i="23"/>
  <c r="F423" i="23"/>
  <c r="F391" i="23"/>
  <c r="F359" i="23"/>
  <c r="F327" i="23"/>
  <c r="F295" i="23"/>
  <c r="F263" i="23"/>
  <c r="E490" i="24"/>
  <c r="D189" i="24"/>
  <c r="D61" i="24"/>
  <c r="E600" i="23"/>
  <c r="E502" i="23"/>
  <c r="E463" i="23"/>
  <c r="E431" i="23"/>
  <c r="E399" i="23"/>
  <c r="E367" i="23"/>
  <c r="E335" i="23"/>
  <c r="E303" i="23"/>
  <c r="E271" i="23"/>
  <c r="E239" i="23"/>
  <c r="E207" i="23"/>
  <c r="E175" i="23"/>
  <c r="E143" i="23"/>
  <c r="E260" i="24"/>
  <c r="F480" i="23"/>
  <c r="F392" i="23"/>
  <c r="F360" i="23"/>
  <c r="F328" i="23"/>
  <c r="F296" i="23"/>
  <c r="F264" i="23"/>
  <c r="F233" i="23"/>
  <c r="F217" i="23"/>
  <c r="F201" i="23"/>
  <c r="F185" i="23"/>
  <c r="F169" i="23"/>
  <c r="F153" i="23"/>
  <c r="F137" i="23"/>
  <c r="F121" i="23"/>
  <c r="F109" i="23"/>
  <c r="F101" i="23"/>
  <c r="F93" i="23"/>
  <c r="F85" i="23"/>
  <c r="F77" i="23"/>
  <c r="F69" i="23"/>
  <c r="F61" i="23"/>
  <c r="F53" i="23"/>
  <c r="F45" i="23"/>
  <c r="F37" i="23"/>
  <c r="F29" i="23"/>
  <c r="F21" i="23"/>
  <c r="F13" i="23"/>
  <c r="F5" i="23"/>
  <c r="F307" i="22"/>
  <c r="F299" i="22"/>
  <c r="F291" i="22"/>
  <c r="F283" i="22"/>
  <c r="F275" i="22"/>
  <c r="F267" i="22"/>
  <c r="F259" i="22"/>
  <c r="F251" i="22"/>
  <c r="F243" i="22"/>
  <c r="F235" i="22"/>
  <c r="F227" i="22"/>
  <c r="F219" i="22"/>
  <c r="F211" i="22"/>
  <c r="F203" i="22"/>
  <c r="F195" i="22"/>
  <c r="F187" i="22"/>
  <c r="F179" i="22"/>
  <c r="F171" i="22"/>
  <c r="F163" i="22"/>
  <c r="F155" i="22"/>
  <c r="F147" i="22"/>
  <c r="F139" i="22"/>
  <c r="F131" i="22"/>
  <c r="F123" i="22"/>
  <c r="F115" i="22"/>
  <c r="F107" i="22"/>
  <c r="F99" i="22"/>
  <c r="F91" i="22"/>
  <c r="F83" i="22"/>
  <c r="F75" i="22"/>
  <c r="F67" i="22"/>
  <c r="F59" i="22"/>
  <c r="F51" i="22"/>
  <c r="F43" i="22"/>
  <c r="F35" i="22"/>
  <c r="F27" i="22"/>
  <c r="F19" i="22"/>
  <c r="F11" i="22"/>
  <c r="D330" i="24"/>
  <c r="D155" i="24"/>
  <c r="D27" i="24"/>
  <c r="E566" i="23"/>
  <c r="F486" i="23"/>
  <c r="F454" i="23"/>
  <c r="F422" i="23"/>
  <c r="F390" i="23"/>
  <c r="F358" i="23"/>
  <c r="F326" i="23"/>
  <c r="F294" i="23"/>
  <c r="F262" i="23"/>
  <c r="F232" i="23"/>
  <c r="F216" i="23"/>
  <c r="F200" i="23"/>
  <c r="F184" i="23"/>
  <c r="F168" i="23"/>
  <c r="F152" i="23"/>
  <c r="F136" i="23"/>
  <c r="F120" i="23"/>
  <c r="E109" i="23"/>
  <c r="E101" i="23"/>
  <c r="E93" i="23"/>
  <c r="E85" i="23"/>
  <c r="E77" i="23"/>
  <c r="E69" i="23"/>
  <c r="E61" i="23"/>
  <c r="E53" i="23"/>
  <c r="E45" i="23"/>
  <c r="E37" i="23"/>
  <c r="E29" i="23"/>
  <c r="E21" i="23"/>
  <c r="E13" i="23"/>
  <c r="E5" i="23"/>
  <c r="E307" i="22"/>
  <c r="E299" i="22"/>
  <c r="E291" i="22"/>
  <c r="E283" i="22"/>
  <c r="E275" i="22"/>
  <c r="E267" i="22"/>
  <c r="E259" i="22"/>
  <c r="E251" i="22"/>
  <c r="E243" i="22"/>
  <c r="E235" i="22"/>
  <c r="E227" i="22"/>
  <c r="E219" i="22"/>
  <c r="E211" i="22"/>
  <c r="E203" i="22"/>
  <c r="E195" i="22"/>
  <c r="E187" i="22"/>
  <c r="E179" i="22"/>
  <c r="E171" i="22"/>
  <c r="E163" i="22"/>
  <c r="E155" i="22"/>
  <c r="E147" i="22"/>
  <c r="E139" i="22"/>
  <c r="E131" i="22"/>
  <c r="E123" i="22"/>
  <c r="E115" i="22"/>
  <c r="E107" i="22"/>
  <c r="E99" i="22"/>
  <c r="E91" i="22"/>
  <c r="E83" i="22"/>
  <c r="E75" i="22"/>
  <c r="D243" i="24"/>
  <c r="D115" i="24"/>
  <c r="E654" i="23"/>
  <c r="E529" i="23"/>
  <c r="F476" i="23"/>
  <c r="F444" i="23"/>
  <c r="F412" i="23"/>
  <c r="F380" i="23"/>
  <c r="F348" i="23"/>
  <c r="F316" i="23"/>
  <c r="F284" i="23"/>
  <c r="F252" i="23"/>
  <c r="F227" i="23"/>
  <c r="F211" i="23"/>
  <c r="F195" i="23"/>
  <c r="F179" i="23"/>
  <c r="F163" i="23"/>
  <c r="F147" i="23"/>
  <c r="F131" i="23"/>
  <c r="F115" i="23"/>
  <c r="F106" i="23"/>
  <c r="F98" i="23"/>
  <c r="F90" i="23"/>
  <c r="F82" i="23"/>
  <c r="F74" i="23"/>
  <c r="F66" i="23"/>
  <c r="F58" i="23"/>
  <c r="F50" i="23"/>
  <c r="F42" i="23"/>
  <c r="F34" i="23"/>
  <c r="F26" i="23"/>
  <c r="F18" i="23"/>
  <c r="F10" i="23"/>
  <c r="F2" i="23"/>
  <c r="F304" i="22"/>
  <c r="F296" i="22"/>
  <c r="F288" i="22"/>
  <c r="F280" i="22"/>
  <c r="F272" i="22"/>
  <c r="F264" i="22"/>
  <c r="F256" i="22"/>
  <c r="F248" i="22"/>
  <c r="F240" i="22"/>
  <c r="F232" i="22"/>
  <c r="F224" i="22"/>
  <c r="F216" i="22"/>
  <c r="F208" i="22"/>
  <c r="F200" i="22"/>
  <c r="F192" i="22"/>
  <c r="F184" i="22"/>
  <c r="F176" i="22"/>
  <c r="F168" i="22"/>
  <c r="F160" i="22"/>
  <c r="F152" i="22"/>
  <c r="F144" i="22"/>
  <c r="F136" i="22"/>
  <c r="F128" i="22"/>
  <c r="F120" i="22"/>
  <c r="F112" i="22"/>
  <c r="F104" i="22"/>
  <c r="F96" i="22"/>
  <c r="F88" i="22"/>
  <c r="F80" i="22"/>
  <c r="F72" i="22"/>
  <c r="F64" i="22"/>
  <c r="F56" i="22"/>
  <c r="F48" i="22"/>
  <c r="E582" i="23"/>
  <c r="F394" i="23"/>
  <c r="F266" i="23"/>
  <c r="F186" i="23"/>
  <c r="F122" i="23"/>
  <c r="E86" i="23"/>
  <c r="E54" i="23"/>
  <c r="E22" i="23"/>
  <c r="E300" i="22"/>
  <c r="E268" i="22"/>
  <c r="E236" i="22"/>
  <c r="E204" i="22"/>
  <c r="E172" i="22"/>
  <c r="E140" i="22"/>
  <c r="E108" i="22"/>
  <c r="E76" i="22"/>
  <c r="E58" i="22"/>
  <c r="E44" i="22"/>
  <c r="E33" i="22"/>
  <c r="F22" i="22"/>
  <c r="E12" i="22"/>
  <c r="F2" i="22"/>
  <c r="F448" i="21"/>
  <c r="F440" i="21"/>
  <c r="F432" i="21"/>
  <c r="F424" i="21"/>
  <c r="F416" i="21"/>
  <c r="F408" i="21"/>
  <c r="F400" i="21"/>
  <c r="F392" i="21"/>
  <c r="F384" i="21"/>
  <c r="F376" i="21"/>
  <c r="F368" i="21"/>
  <c r="F360" i="21"/>
  <c r="F352" i="21"/>
  <c r="F344" i="21"/>
  <c r="F336" i="21"/>
  <c r="F328" i="21"/>
  <c r="F320" i="21"/>
  <c r="F312" i="21"/>
  <c r="F304" i="21"/>
  <c r="F296" i="21"/>
  <c r="F288" i="21"/>
  <c r="F280" i="21"/>
  <c r="F272" i="21"/>
  <c r="F264" i="21"/>
  <c r="F256" i="21"/>
  <c r="F248" i="21"/>
  <c r="F240" i="21"/>
  <c r="F232" i="21"/>
  <c r="F224" i="21"/>
  <c r="F216" i="21"/>
  <c r="F208" i="21"/>
  <c r="F200" i="21"/>
  <c r="F192" i="21"/>
  <c r="F184" i="21"/>
  <c r="F176" i="21"/>
  <c r="F168" i="21"/>
  <c r="F160" i="21"/>
  <c r="F152" i="21"/>
  <c r="F144" i="21"/>
  <c r="F136" i="21"/>
  <c r="F128" i="21"/>
  <c r="F120" i="21"/>
  <c r="F112" i="21"/>
  <c r="F104" i="21"/>
  <c r="F96" i="21"/>
  <c r="F88" i="21"/>
  <c r="F80" i="21"/>
  <c r="F72" i="21"/>
  <c r="F64" i="21"/>
  <c r="F56" i="21"/>
  <c r="F48" i="21"/>
  <c r="F40" i="21"/>
  <c r="F32" i="21"/>
  <c r="F24" i="21"/>
  <c r="F16" i="21"/>
  <c r="F8" i="21"/>
  <c r="F176" i="20"/>
  <c r="F168" i="20"/>
  <c r="F160" i="20"/>
  <c r="F152" i="20"/>
  <c r="F144" i="20"/>
  <c r="F136" i="20"/>
  <c r="F128" i="20"/>
  <c r="F120" i="20"/>
  <c r="F112" i="20"/>
  <c r="F104" i="20"/>
  <c r="F96" i="20"/>
  <c r="F88" i="20"/>
  <c r="F80" i="20"/>
  <c r="F72" i="20"/>
  <c r="F64" i="20"/>
  <c r="F56" i="20"/>
  <c r="F48" i="20"/>
  <c r="F40" i="20"/>
  <c r="F32" i="20"/>
  <c r="F24" i="20"/>
  <c r="F16" i="20"/>
  <c r="F8" i="20"/>
  <c r="F287" i="19"/>
  <c r="F279" i="19"/>
  <c r="F271" i="19"/>
  <c r="F263" i="19"/>
  <c r="F255" i="19"/>
  <c r="F247" i="19"/>
  <c r="F239" i="19"/>
  <c r="F231" i="19"/>
  <c r="F223" i="19"/>
  <c r="F215" i="19"/>
  <c r="F207" i="19"/>
  <c r="F199" i="19"/>
  <c r="F191" i="19"/>
  <c r="F183" i="19"/>
  <c r="F175" i="19"/>
  <c r="F167" i="19"/>
  <c r="F159" i="19"/>
  <c r="F151" i="19"/>
  <c r="F143" i="19"/>
  <c r="F135" i="19"/>
  <c r="F127" i="19"/>
  <c r="F119" i="19"/>
  <c r="F111" i="19"/>
  <c r="F103" i="19"/>
  <c r="F95" i="19"/>
  <c r="D139" i="24"/>
  <c r="F450" i="23"/>
  <c r="F322" i="23"/>
  <c r="F214" i="23"/>
  <c r="F150" i="23"/>
  <c r="E100" i="23"/>
  <c r="E68" i="23"/>
  <c r="E36" i="23"/>
  <c r="E4" i="23"/>
  <c r="E282" i="22"/>
  <c r="E250" i="22"/>
  <c r="E218" i="22"/>
  <c r="E186" i="22"/>
  <c r="E154" i="22"/>
  <c r="E122" i="22"/>
  <c r="E90" i="22"/>
  <c r="E65" i="22"/>
  <c r="E49" i="22"/>
  <c r="E38" i="22"/>
  <c r="E27" i="22"/>
  <c r="F16" i="22"/>
  <c r="E6" i="22"/>
  <c r="E452" i="21"/>
  <c r="E444" i="21"/>
  <c r="E436" i="21"/>
  <c r="E428" i="21"/>
  <c r="E420" i="21"/>
  <c r="E412" i="21"/>
  <c r="E404" i="21"/>
  <c r="E396" i="21"/>
  <c r="E388" i="21"/>
  <c r="E380" i="21"/>
  <c r="E372" i="21"/>
  <c r="E364" i="21"/>
  <c r="E356" i="21"/>
  <c r="E348" i="21"/>
  <c r="E340" i="21"/>
  <c r="E332" i="21"/>
  <c r="E324" i="21"/>
  <c r="E316" i="21"/>
  <c r="E308" i="21"/>
  <c r="E300" i="21"/>
  <c r="E292" i="21"/>
  <c r="E284" i="21"/>
  <c r="E276" i="21"/>
  <c r="E268" i="21"/>
  <c r="E260" i="21"/>
  <c r="E252" i="21"/>
  <c r="E244" i="21"/>
  <c r="E236" i="21"/>
  <c r="E228" i="21"/>
  <c r="E220" i="21"/>
  <c r="E212" i="21"/>
  <c r="E204" i="21"/>
  <c r="E196" i="21"/>
  <c r="E188" i="21"/>
  <c r="E180" i="21"/>
  <c r="E172" i="21"/>
  <c r="E164" i="21"/>
  <c r="E156" i="21"/>
  <c r="E148" i="21"/>
  <c r="E140" i="21"/>
  <c r="E132" i="21"/>
  <c r="E124" i="21"/>
  <c r="E116" i="21"/>
  <c r="E108" i="21"/>
  <c r="E100" i="21"/>
  <c r="E92" i="21"/>
  <c r="E84" i="21"/>
  <c r="E76" i="21"/>
  <c r="E68" i="21"/>
  <c r="E60" i="21"/>
  <c r="E52" i="21"/>
  <c r="E44" i="21"/>
  <c r="E36" i="21"/>
  <c r="E28" i="21"/>
  <c r="E20" i="21"/>
  <c r="E12" i="21"/>
  <c r="E4" i="21"/>
  <c r="E172" i="20"/>
  <c r="E164" i="20"/>
  <c r="E156" i="20"/>
  <c r="E148" i="20"/>
  <c r="E140" i="20"/>
  <c r="E132" i="20"/>
  <c r="E124" i="20"/>
  <c r="E116" i="20"/>
  <c r="E108" i="20"/>
  <c r="E100" i="20"/>
  <c r="E92" i="20"/>
  <c r="E84" i="20"/>
  <c r="E76" i="20"/>
  <c r="E68" i="20"/>
  <c r="E60" i="20"/>
  <c r="E52" i="20"/>
  <c r="E44" i="20"/>
  <c r="E36" i="20"/>
  <c r="E28" i="20"/>
  <c r="E20" i="20"/>
  <c r="E12" i="20"/>
  <c r="E4" i="20"/>
  <c r="E563" i="24"/>
  <c r="E363" i="24"/>
  <c r="D313" i="24"/>
  <c r="E426" i="24"/>
  <c r="E298" i="24"/>
  <c r="E234" i="24"/>
  <c r="E106" i="24"/>
  <c r="F645" i="23"/>
  <c r="F517" i="23"/>
  <c r="D232" i="24"/>
  <c r="D104" i="24"/>
  <c r="E643" i="23"/>
  <c r="D453" i="24"/>
  <c r="E185" i="24"/>
  <c r="E57" i="24"/>
  <c r="F596" i="23"/>
  <c r="F528" i="23"/>
  <c r="F496" i="23"/>
  <c r="D241" i="24"/>
  <c r="D113" i="24"/>
  <c r="E652" i="23"/>
  <c r="E528" i="23"/>
  <c r="E476" i="23"/>
  <c r="E444" i="23"/>
  <c r="E412" i="23"/>
  <c r="E380" i="23"/>
  <c r="E348" i="23"/>
  <c r="E316" i="23"/>
  <c r="E284" i="23"/>
  <c r="E252" i="23"/>
  <c r="E220" i="23"/>
  <c r="E188" i="23"/>
  <c r="E156" i="23"/>
  <c r="E124" i="23"/>
  <c r="D255" i="24"/>
  <c r="D127" i="24"/>
  <c r="E666" i="23"/>
  <c r="E538" i="23"/>
  <c r="F479" i="23"/>
  <c r="F447" i="23"/>
  <c r="F415" i="23"/>
  <c r="F383" i="23"/>
  <c r="F351" i="23"/>
  <c r="F319" i="23"/>
  <c r="F287" i="23"/>
  <c r="F255" i="23"/>
  <c r="D338" i="24"/>
  <c r="D157" i="24"/>
  <c r="D29" i="24"/>
  <c r="E568" i="23"/>
  <c r="E487" i="23"/>
  <c r="E455" i="23"/>
  <c r="E423" i="23"/>
  <c r="E391" i="23"/>
  <c r="E359" i="23"/>
  <c r="E327" i="23"/>
  <c r="E295" i="23"/>
  <c r="E263" i="23"/>
  <c r="E231" i="23"/>
  <c r="E199" i="23"/>
  <c r="E167" i="23"/>
  <c r="E135" i="23"/>
  <c r="D131" i="24"/>
  <c r="F448" i="23"/>
  <c r="F384" i="23"/>
  <c r="F352" i="23"/>
  <c r="F320" i="23"/>
  <c r="F288" i="23"/>
  <c r="F256" i="23"/>
  <c r="F229" i="23"/>
  <c r="F213" i="23"/>
  <c r="F197" i="23"/>
  <c r="F181" i="23"/>
  <c r="F165" i="23"/>
  <c r="F149" i="23"/>
  <c r="F133" i="23"/>
  <c r="F117" i="23"/>
  <c r="F107" i="23"/>
  <c r="F99" i="23"/>
  <c r="F91" i="23"/>
  <c r="F83" i="23"/>
  <c r="F75" i="23"/>
  <c r="F67" i="23"/>
  <c r="F59" i="23"/>
  <c r="F51" i="23"/>
  <c r="F43" i="23"/>
  <c r="F35" i="23"/>
  <c r="F27" i="23"/>
  <c r="F19" i="23"/>
  <c r="F11" i="23"/>
  <c r="F3" i="23"/>
  <c r="F305" i="22"/>
  <c r="F297" i="22"/>
  <c r="F289" i="22"/>
  <c r="F281" i="22"/>
  <c r="F273" i="22"/>
  <c r="F265" i="22"/>
  <c r="F257" i="22"/>
  <c r="F249" i="22"/>
  <c r="F241" i="22"/>
  <c r="F233" i="22"/>
  <c r="F225" i="22"/>
  <c r="F217" i="22"/>
  <c r="F209" i="22"/>
  <c r="F201" i="22"/>
  <c r="F193" i="22"/>
  <c r="F185" i="22"/>
  <c r="F177" i="22"/>
  <c r="F169" i="22"/>
  <c r="F161" i="22"/>
  <c r="F153" i="22"/>
  <c r="F145" i="22"/>
  <c r="F137" i="22"/>
  <c r="F129" i="22"/>
  <c r="F121" i="22"/>
  <c r="F113" i="22"/>
  <c r="F105" i="22"/>
  <c r="F97" i="22"/>
  <c r="F89" i="22"/>
  <c r="F81" i="22"/>
  <c r="F73" i="22"/>
  <c r="F65" i="22"/>
  <c r="F57" i="22"/>
  <c r="F49" i="22"/>
  <c r="F41" i="22"/>
  <c r="F33" i="22"/>
  <c r="F25" i="22"/>
  <c r="F17" i="22"/>
  <c r="F9" i="22"/>
  <c r="D251" i="24"/>
  <c r="D123" i="24"/>
  <c r="E662" i="23"/>
  <c r="E534" i="23"/>
  <c r="F478" i="23"/>
  <c r="F446" i="23"/>
  <c r="F414" i="23"/>
  <c r="F382" i="23"/>
  <c r="F350" i="23"/>
  <c r="F318" i="23"/>
  <c r="F286" i="23"/>
  <c r="F254" i="23"/>
  <c r="F228" i="23"/>
  <c r="F212" i="23"/>
  <c r="F196" i="23"/>
  <c r="F180" i="23"/>
  <c r="F164" i="23"/>
  <c r="F148" i="23"/>
  <c r="F132" i="23"/>
  <c r="F116" i="23"/>
  <c r="E107" i="23"/>
  <c r="E99" i="23"/>
  <c r="E91" i="23"/>
  <c r="E83" i="23"/>
  <c r="E75" i="23"/>
  <c r="E67" i="23"/>
  <c r="E59" i="23"/>
  <c r="E51" i="23"/>
  <c r="E43" i="23"/>
  <c r="E35" i="23"/>
  <c r="E27" i="23"/>
  <c r="E19" i="23"/>
  <c r="E11" i="23"/>
  <c r="E3" i="23"/>
  <c r="E305" i="22"/>
  <c r="E297" i="22"/>
  <c r="E289" i="22"/>
  <c r="E281" i="22"/>
  <c r="E273" i="22"/>
  <c r="E265" i="22"/>
  <c r="E257" i="22"/>
  <c r="E249" i="22"/>
  <c r="E241" i="22"/>
  <c r="E233" i="22"/>
  <c r="E225" i="22"/>
  <c r="E217" i="22"/>
  <c r="E209" i="22"/>
  <c r="E201" i="22"/>
  <c r="E193" i="22"/>
  <c r="E185" i="22"/>
  <c r="E177" i="22"/>
  <c r="E169" i="22"/>
  <c r="E161" i="22"/>
  <c r="E153" i="22"/>
  <c r="E145" i="22"/>
  <c r="E137" i="22"/>
  <c r="E129" i="22"/>
  <c r="E121" i="22"/>
  <c r="E113" i="22"/>
  <c r="E105" i="22"/>
  <c r="E97" i="22"/>
  <c r="E89" i="22"/>
  <c r="E81" i="22"/>
  <c r="E73" i="22"/>
  <c r="D211" i="24"/>
  <c r="D83" i="24"/>
  <c r="E622" i="23"/>
  <c r="E513" i="23"/>
  <c r="F468" i="23"/>
  <c r="F436" i="23"/>
  <c r="F404" i="23"/>
  <c r="F372" i="23"/>
  <c r="F340" i="23"/>
  <c r="F308" i="23"/>
  <c r="F276" i="23"/>
  <c r="F244" i="23"/>
  <c r="F223" i="23"/>
  <c r="F207" i="23"/>
  <c r="F191" i="23"/>
  <c r="F175" i="23"/>
  <c r="F159" i="23"/>
  <c r="F143" i="23"/>
  <c r="F127" i="23"/>
  <c r="E113" i="23"/>
  <c r="F104" i="23"/>
  <c r="F96" i="23"/>
  <c r="F88" i="23"/>
  <c r="F80" i="23"/>
  <c r="F72" i="23"/>
  <c r="F64" i="23"/>
  <c r="F56" i="23"/>
  <c r="F48" i="23"/>
  <c r="F40" i="23"/>
  <c r="F32" i="23"/>
  <c r="F24" i="23"/>
  <c r="F16" i="23"/>
  <c r="F8" i="23"/>
  <c r="F310" i="22"/>
  <c r="F302" i="22"/>
  <c r="F294" i="22"/>
  <c r="F286" i="22"/>
  <c r="F278" i="22"/>
  <c r="F270" i="22"/>
  <c r="F262" i="22"/>
  <c r="F254" i="22"/>
  <c r="F246" i="22"/>
  <c r="F238" i="22"/>
  <c r="F230" i="22"/>
  <c r="F222" i="22"/>
  <c r="F214" i="22"/>
  <c r="F206" i="22"/>
  <c r="F198" i="22"/>
  <c r="F190" i="22"/>
  <c r="F182" i="22"/>
  <c r="F174" i="22"/>
  <c r="F166" i="22"/>
  <c r="F158" i="22"/>
  <c r="F150" i="22"/>
  <c r="F142" i="22"/>
  <c r="F134" i="22"/>
  <c r="F126" i="22"/>
  <c r="F118" i="22"/>
  <c r="F110" i="22"/>
  <c r="F102" i="22"/>
  <c r="F94" i="22"/>
  <c r="F86" i="22"/>
  <c r="F78" i="22"/>
  <c r="F70" i="22"/>
  <c r="F62" i="22"/>
  <c r="F54" i="22"/>
  <c r="D394" i="24"/>
  <c r="E493" i="23"/>
  <c r="F362" i="23"/>
  <c r="F234" i="23"/>
  <c r="F170" i="23"/>
  <c r="E110" i="23"/>
  <c r="E78" i="23"/>
  <c r="E46" i="23"/>
  <c r="E14" i="23"/>
  <c r="E292" i="22"/>
  <c r="E260" i="22"/>
  <c r="E228" i="22"/>
  <c r="E196" i="22"/>
  <c r="E164" i="22"/>
  <c r="E132" i="22"/>
  <c r="E100" i="22"/>
  <c r="E70" i="22"/>
  <c r="E54" i="22"/>
  <c r="E41" i="22"/>
  <c r="F30" i="22"/>
  <c r="E20" i="22"/>
  <c r="E9" i="22"/>
  <c r="F454" i="21"/>
  <c r="F446" i="21"/>
  <c r="F438" i="21"/>
  <c r="F430" i="21"/>
  <c r="F422" i="21"/>
  <c r="F414" i="21"/>
  <c r="F406" i="21"/>
  <c r="F398" i="21"/>
  <c r="F390" i="21"/>
  <c r="F382" i="21"/>
  <c r="F374" i="21"/>
  <c r="F366" i="21"/>
  <c r="F358" i="21"/>
  <c r="F350" i="21"/>
  <c r="F342" i="21"/>
  <c r="F334" i="21"/>
  <c r="F326" i="21"/>
  <c r="F318" i="21"/>
  <c r="F310" i="21"/>
  <c r="F302" i="21"/>
  <c r="F294" i="21"/>
  <c r="F286" i="21"/>
  <c r="F278" i="21"/>
  <c r="F270" i="21"/>
  <c r="F262" i="21"/>
  <c r="F254" i="21"/>
  <c r="F246" i="21"/>
  <c r="F238" i="21"/>
  <c r="F230" i="21"/>
  <c r="F222" i="21"/>
  <c r="F214" i="21"/>
  <c r="F206" i="21"/>
  <c r="F198" i="21"/>
  <c r="F190" i="21"/>
  <c r="F182" i="21"/>
  <c r="F174" i="21"/>
  <c r="F166" i="21"/>
  <c r="F158" i="21"/>
  <c r="F150" i="21"/>
  <c r="F142" i="21"/>
  <c r="F134" i="21"/>
  <c r="F126" i="21"/>
  <c r="F118" i="21"/>
  <c r="F110" i="21"/>
  <c r="F102" i="21"/>
  <c r="F94" i="21"/>
  <c r="F86" i="21"/>
  <c r="F78" i="21"/>
  <c r="F70" i="21"/>
  <c r="F62" i="21"/>
  <c r="F54" i="21"/>
  <c r="F46" i="21"/>
  <c r="F38" i="21"/>
  <c r="F30" i="21"/>
  <c r="F22" i="21"/>
  <c r="F14" i="21"/>
  <c r="F6" i="21"/>
  <c r="F174" i="20"/>
  <c r="F166" i="20"/>
  <c r="F158" i="20"/>
  <c r="F150" i="20"/>
  <c r="F142" i="20"/>
  <c r="F134" i="20"/>
  <c r="F126" i="20"/>
  <c r="F118" i="20"/>
  <c r="F110" i="20"/>
  <c r="F102" i="20"/>
  <c r="F94" i="20"/>
  <c r="F86" i="20"/>
  <c r="F78" i="20"/>
  <c r="F70" i="20"/>
  <c r="F62" i="20"/>
  <c r="F54" i="20"/>
  <c r="F46" i="20"/>
  <c r="F38" i="20"/>
  <c r="F30" i="20"/>
  <c r="F22" i="20"/>
  <c r="F14" i="20"/>
  <c r="F6" i="20"/>
  <c r="F285" i="19"/>
  <c r="F277" i="19"/>
  <c r="F269" i="19"/>
  <c r="F261" i="19"/>
  <c r="F253" i="19"/>
  <c r="F245" i="19"/>
  <c r="F237" i="19"/>
  <c r="F229" i="19"/>
  <c r="F221" i="19"/>
  <c r="F213" i="19"/>
  <c r="F205" i="19"/>
  <c r="F197" i="19"/>
  <c r="F189" i="19"/>
  <c r="F181" i="19"/>
  <c r="F173" i="19"/>
  <c r="F165" i="19"/>
  <c r="F157" i="19"/>
  <c r="F149" i="19"/>
  <c r="F141" i="19"/>
  <c r="F133" i="19"/>
  <c r="F125" i="19"/>
  <c r="F117" i="19"/>
  <c r="F109" i="19"/>
  <c r="F101" i="19"/>
  <c r="F93" i="19"/>
  <c r="D11" i="24"/>
  <c r="F418" i="23"/>
  <c r="F290" i="23"/>
  <c r="F198" i="23"/>
  <c r="F134" i="23"/>
  <c r="E92" i="23"/>
  <c r="E60" i="23"/>
  <c r="E28" i="23"/>
  <c r="E306" i="22"/>
  <c r="E274" i="22"/>
  <c r="E242" i="22"/>
  <c r="E210" i="22"/>
  <c r="E178" i="22"/>
  <c r="E146" i="22"/>
  <c r="E114" i="22"/>
  <c r="E82" i="22"/>
  <c r="E61" i="22"/>
  <c r="E46" i="22"/>
  <c r="E35" i="22"/>
  <c r="F24" i="22"/>
  <c r="E14" i="22"/>
  <c r="E4" i="22"/>
  <c r="E450" i="21"/>
  <c r="E442" i="21"/>
  <c r="E434" i="21"/>
  <c r="E426" i="21"/>
  <c r="E418" i="21"/>
  <c r="E410" i="21"/>
  <c r="E402" i="21"/>
  <c r="E394" i="21"/>
  <c r="E386" i="21"/>
  <c r="E378" i="21"/>
  <c r="E370" i="21"/>
  <c r="E362" i="21"/>
  <c r="E354" i="21"/>
  <c r="E346" i="21"/>
  <c r="E338" i="21"/>
  <c r="E330" i="21"/>
  <c r="E322" i="21"/>
  <c r="E314" i="21"/>
  <c r="E306" i="21"/>
  <c r="E298" i="21"/>
  <c r="E290" i="21"/>
  <c r="E282" i="21"/>
  <c r="E274" i="21"/>
  <c r="E266" i="21"/>
  <c r="E258" i="21"/>
  <c r="E250" i="21"/>
  <c r="E242" i="21"/>
  <c r="E234" i="21"/>
  <c r="E226" i="21"/>
  <c r="E218" i="21"/>
  <c r="E210" i="21"/>
  <c r="E202" i="21"/>
  <c r="E194" i="21"/>
  <c r="E186" i="21"/>
  <c r="E178" i="21"/>
  <c r="E170" i="21"/>
  <c r="E162" i="21"/>
  <c r="E154" i="21"/>
  <c r="E146" i="21"/>
  <c r="E138" i="21"/>
  <c r="E130" i="21"/>
  <c r="E122" i="21"/>
  <c r="E114" i="21"/>
  <c r="E106" i="21"/>
  <c r="E98" i="21"/>
  <c r="E90" i="21"/>
  <c r="E82" i="21"/>
  <c r="E74" i="21"/>
  <c r="E66" i="21"/>
  <c r="E58" i="21"/>
  <c r="E50" i="21"/>
  <c r="E42" i="21"/>
  <c r="E34" i="21"/>
  <c r="E26" i="21"/>
  <c r="E18" i="21"/>
  <c r="E10" i="21"/>
  <c r="E2" i="21"/>
  <c r="E170" i="20"/>
  <c r="E162" i="20"/>
  <c r="E154" i="20"/>
  <c r="E146" i="20"/>
  <c r="E138" i="20"/>
  <c r="E130" i="20"/>
  <c r="E122" i="20"/>
  <c r="E114" i="20"/>
  <c r="E106" i="20"/>
  <c r="E98" i="20"/>
  <c r="E90" i="20"/>
  <c r="E82" i="20"/>
  <c r="E74" i="20"/>
  <c r="E66" i="20"/>
  <c r="E58" i="20"/>
  <c r="E50" i="20"/>
  <c r="E42" i="20"/>
  <c r="E34" i="20"/>
  <c r="E26" i="20"/>
  <c r="E18" i="20"/>
  <c r="E10" i="20"/>
  <c r="E2" i="20"/>
  <c r="D803" i="24"/>
  <c r="E638" i="24"/>
  <c r="D281" i="24"/>
  <c r="E394" i="24"/>
  <c r="D873" i="24"/>
  <c r="E202" i="24"/>
  <c r="E74" i="24"/>
  <c r="F613" i="23"/>
  <c r="D713" i="24"/>
  <c r="D200" i="24"/>
  <c r="D72" i="24"/>
  <c r="E611" i="23"/>
  <c r="D324" i="24"/>
  <c r="E153" i="24"/>
  <c r="E25" i="24"/>
  <c r="F564" i="23"/>
  <c r="F520" i="23"/>
  <c r="F488" i="23"/>
  <c r="D209" i="24"/>
  <c r="D81" i="24"/>
  <c r="E620" i="23"/>
  <c r="E512" i="23"/>
  <c r="E468" i="23"/>
  <c r="E436" i="23"/>
  <c r="E404" i="23"/>
  <c r="E372" i="23"/>
  <c r="E340" i="23"/>
  <c r="E308" i="23"/>
  <c r="E276" i="23"/>
  <c r="E244" i="23"/>
  <c r="E212" i="23"/>
  <c r="E180" i="23"/>
  <c r="E148" i="23"/>
  <c r="E116" i="23"/>
  <c r="D223" i="24"/>
  <c r="D95" i="24"/>
  <c r="E634" i="23"/>
  <c r="E519" i="23"/>
  <c r="F471" i="23"/>
  <c r="F439" i="23"/>
  <c r="F407" i="23"/>
  <c r="F375" i="23"/>
  <c r="F343" i="23"/>
  <c r="F311" i="23"/>
  <c r="F279" i="23"/>
  <c r="F247" i="23"/>
  <c r="D253" i="24"/>
  <c r="D125" i="24"/>
  <c r="E664" i="23"/>
  <c r="E536" i="23"/>
  <c r="E479" i="23"/>
  <c r="E447" i="23"/>
  <c r="E415" i="23"/>
  <c r="E383" i="23"/>
  <c r="E351" i="23"/>
  <c r="E319" i="23"/>
  <c r="E287" i="23"/>
  <c r="E255" i="23"/>
  <c r="E223" i="23"/>
  <c r="E191" i="23"/>
  <c r="E159" i="23"/>
  <c r="E127" i="23"/>
  <c r="D3" i="24"/>
  <c r="F416" i="23"/>
  <c r="F376" i="23"/>
  <c r="F344" i="23"/>
  <c r="F312" i="23"/>
  <c r="F280" i="23"/>
  <c r="F248" i="23"/>
  <c r="F225" i="23"/>
  <c r="F209" i="23"/>
  <c r="F193" i="23"/>
  <c r="F177" i="23"/>
  <c r="F161" i="23"/>
  <c r="F145" i="23"/>
  <c r="F129" i="23"/>
  <c r="F114" i="23"/>
  <c r="F105" i="23"/>
  <c r="F97" i="23"/>
  <c r="F89" i="23"/>
  <c r="F81" i="23"/>
  <c r="F73" i="23"/>
  <c r="F65" i="23"/>
  <c r="F57" i="23"/>
  <c r="F49" i="23"/>
  <c r="F41" i="23"/>
  <c r="F33" i="23"/>
  <c r="F25" i="23"/>
  <c r="F17" i="23"/>
  <c r="F9" i="23"/>
  <c r="F311" i="22"/>
  <c r="F303" i="22"/>
  <c r="F295" i="22"/>
  <c r="F287" i="22"/>
  <c r="F279" i="22"/>
  <c r="F271" i="22"/>
  <c r="F263" i="22"/>
  <c r="F255" i="22"/>
  <c r="F247" i="22"/>
  <c r="F239" i="22"/>
  <c r="F231" i="22"/>
  <c r="F223" i="22"/>
  <c r="F215" i="22"/>
  <c r="F207" i="22"/>
  <c r="F199" i="22"/>
  <c r="F191" i="22"/>
  <c r="F183" i="22"/>
  <c r="F175" i="22"/>
  <c r="F167" i="22"/>
  <c r="F159" i="22"/>
  <c r="F151" i="22"/>
  <c r="F143" i="22"/>
  <c r="F135" i="22"/>
  <c r="F127" i="22"/>
  <c r="F119" i="22"/>
  <c r="F111" i="22"/>
  <c r="F103" i="22"/>
  <c r="F95" i="22"/>
  <c r="F87" i="22"/>
  <c r="F79" i="22"/>
  <c r="F71" i="22"/>
  <c r="F63" i="22"/>
  <c r="F55" i="22"/>
  <c r="F47" i="22"/>
  <c r="F39" i="22"/>
  <c r="F31" i="22"/>
  <c r="F23" i="22"/>
  <c r="F15" i="22"/>
  <c r="F7" i="22"/>
  <c r="D219" i="24"/>
  <c r="D91" i="24"/>
  <c r="E630" i="23"/>
  <c r="E517" i="23"/>
  <c r="F470" i="23"/>
  <c r="F438" i="23"/>
  <c r="F406" i="23"/>
  <c r="F374" i="23"/>
  <c r="F342" i="23"/>
  <c r="F310" i="23"/>
  <c r="F278" i="23"/>
  <c r="F246" i="23"/>
  <c r="F224" i="23"/>
  <c r="F208" i="23"/>
  <c r="F192" i="23"/>
  <c r="F176" i="23"/>
  <c r="F160" i="23"/>
  <c r="F144" i="23"/>
  <c r="F128" i="23"/>
  <c r="F113" i="23"/>
  <c r="E105" i="23"/>
  <c r="E97" i="23"/>
  <c r="E89" i="23"/>
  <c r="E81" i="23"/>
  <c r="E73" i="23"/>
  <c r="E65" i="23"/>
  <c r="E57" i="23"/>
  <c r="E49" i="23"/>
  <c r="E41" i="23"/>
  <c r="E33" i="23"/>
  <c r="E25" i="23"/>
  <c r="E17" i="23"/>
  <c r="E9" i="23"/>
  <c r="E311" i="22"/>
  <c r="E303" i="22"/>
  <c r="E295" i="22"/>
  <c r="E287" i="22"/>
  <c r="E279" i="22"/>
  <c r="E271" i="22"/>
  <c r="E263" i="22"/>
  <c r="E255" i="22"/>
  <c r="E247" i="22"/>
  <c r="E239" i="22"/>
  <c r="E231" i="22"/>
  <c r="E223" i="22"/>
  <c r="E215" i="22"/>
  <c r="E207" i="22"/>
  <c r="E199" i="22"/>
  <c r="E191" i="22"/>
  <c r="E183" i="22"/>
  <c r="E175" i="22"/>
  <c r="E167" i="22"/>
  <c r="E159" i="22"/>
  <c r="E151" i="22"/>
  <c r="E143" i="22"/>
  <c r="E135" i="22"/>
  <c r="E127" i="22"/>
  <c r="E119" i="22"/>
  <c r="E111" i="22"/>
  <c r="E103" i="22"/>
  <c r="E95" i="22"/>
  <c r="E87" i="22"/>
  <c r="E79" i="22"/>
  <c r="D426" i="24"/>
  <c r="D179" i="24"/>
  <c r="D51" i="24"/>
  <c r="E590" i="23"/>
  <c r="E497" i="23"/>
  <c r="F460" i="23"/>
  <c r="F428" i="23"/>
  <c r="F396" i="23"/>
  <c r="F364" i="23"/>
  <c r="F332" i="23"/>
  <c r="F300" i="23"/>
  <c r="F268" i="23"/>
  <c r="F236" i="23"/>
  <c r="F219" i="23"/>
  <c r="F203" i="23"/>
  <c r="F187" i="23"/>
  <c r="F171" i="23"/>
  <c r="F155" i="23"/>
  <c r="F139" i="23"/>
  <c r="F123" i="23"/>
  <c r="F110" i="23"/>
  <c r="F102" i="23"/>
  <c r="F94" i="23"/>
  <c r="F86" i="23"/>
  <c r="F78" i="23"/>
  <c r="F70" i="23"/>
  <c r="F62" i="23"/>
  <c r="F54" i="23"/>
  <c r="F46" i="23"/>
  <c r="F38" i="23"/>
  <c r="F30" i="23"/>
  <c r="F22" i="23"/>
  <c r="F14" i="23"/>
  <c r="F6" i="23"/>
  <c r="F308" i="22"/>
  <c r="F300" i="22"/>
  <c r="F292" i="22"/>
  <c r="F284" i="22"/>
  <c r="F276" i="22"/>
  <c r="F268" i="22"/>
  <c r="F260" i="22"/>
  <c r="F252" i="22"/>
  <c r="F244" i="22"/>
  <c r="F236" i="22"/>
  <c r="F228" i="22"/>
  <c r="F220" i="22"/>
  <c r="F212" i="22"/>
  <c r="F204" i="22"/>
  <c r="F196" i="22"/>
  <c r="F188" i="22"/>
  <c r="F180" i="22"/>
  <c r="F172" i="22"/>
  <c r="F164" i="22"/>
  <c r="F156" i="22"/>
  <c r="F148" i="22"/>
  <c r="F140" i="22"/>
  <c r="F132" i="22"/>
  <c r="F124" i="22"/>
  <c r="F116" i="22"/>
  <c r="F108" i="22"/>
  <c r="F100" i="22"/>
  <c r="F92" i="22"/>
  <c r="F84" i="22"/>
  <c r="F76" i="22"/>
  <c r="F68" i="22"/>
  <c r="F60" i="22"/>
  <c r="F52" i="22"/>
  <c r="D171" i="24"/>
  <c r="F458" i="23"/>
  <c r="F330" i="23"/>
  <c r="F218" i="23"/>
  <c r="F154" i="23"/>
  <c r="E102" i="23"/>
  <c r="E70" i="23"/>
  <c r="E38" i="23"/>
  <c r="E6" i="23"/>
  <c r="E284" i="22"/>
  <c r="E252" i="22"/>
  <c r="E220" i="22"/>
  <c r="E188" i="22"/>
  <c r="E156" i="22"/>
  <c r="E124" i="22"/>
  <c r="E92" i="22"/>
  <c r="E66" i="22"/>
  <c r="E50" i="22"/>
  <c r="F38" i="22"/>
  <c r="E28" i="22"/>
  <c r="E17" i="22"/>
  <c r="F6" i="22"/>
  <c r="F452" i="21"/>
  <c r="F444" i="21"/>
  <c r="F436" i="21"/>
  <c r="F428" i="21"/>
  <c r="F420" i="21"/>
  <c r="F412" i="21"/>
  <c r="F404" i="21"/>
  <c r="F396" i="21"/>
  <c r="F388" i="21"/>
  <c r="F380" i="21"/>
  <c r="F372" i="21"/>
  <c r="F364" i="21"/>
  <c r="F356" i="21"/>
  <c r="F348" i="21"/>
  <c r="F340" i="21"/>
  <c r="F332" i="21"/>
  <c r="F324" i="21"/>
  <c r="F316" i="21"/>
  <c r="F308" i="21"/>
  <c r="F300" i="21"/>
  <c r="F292" i="21"/>
  <c r="F284" i="21"/>
  <c r="F276" i="21"/>
  <c r="F268" i="21"/>
  <c r="F260" i="21"/>
  <c r="F252" i="21"/>
  <c r="F244" i="21"/>
  <c r="F236" i="21"/>
  <c r="F228" i="21"/>
  <c r="F220" i="21"/>
  <c r="F212" i="21"/>
  <c r="F204" i="21"/>
  <c r="F196" i="21"/>
  <c r="F188" i="21"/>
  <c r="F180" i="21"/>
  <c r="F172" i="21"/>
  <c r="F164" i="21"/>
  <c r="F156" i="21"/>
  <c r="F148" i="21"/>
  <c r="F140" i="21"/>
  <c r="F132" i="21"/>
  <c r="F124" i="21"/>
  <c r="F116" i="21"/>
  <c r="F108" i="21"/>
  <c r="F100" i="21"/>
  <c r="F92" i="21"/>
  <c r="F84" i="21"/>
  <c r="F76" i="21"/>
  <c r="F68" i="21"/>
  <c r="F60" i="21"/>
  <c r="F52" i="21"/>
  <c r="F44" i="21"/>
  <c r="F36" i="21"/>
  <c r="F28" i="21"/>
  <c r="F20" i="21"/>
  <c r="F12" i="21"/>
  <c r="F4" i="21"/>
  <c r="F172" i="20"/>
  <c r="F164" i="20"/>
  <c r="F156" i="20"/>
  <c r="F148" i="20"/>
  <c r="F140" i="20"/>
  <c r="F132" i="20"/>
  <c r="F124" i="20"/>
  <c r="F116" i="20"/>
  <c r="F108" i="20"/>
  <c r="F100" i="20"/>
  <c r="F92" i="20"/>
  <c r="F84" i="20"/>
  <c r="F76" i="20"/>
  <c r="F68" i="20"/>
  <c r="F60" i="20"/>
  <c r="F52" i="20"/>
  <c r="F44" i="20"/>
  <c r="F36" i="20"/>
  <c r="F28" i="20"/>
  <c r="F20" i="20"/>
  <c r="F12" i="20"/>
  <c r="F4" i="20"/>
  <c r="F283" i="19"/>
  <c r="F275" i="19"/>
  <c r="F267" i="19"/>
  <c r="F259" i="19"/>
  <c r="F251" i="19"/>
  <c r="F243" i="19"/>
  <c r="F235" i="19"/>
  <c r="F227" i="19"/>
  <c r="F219" i="19"/>
  <c r="F211" i="19"/>
  <c r="F203" i="19"/>
  <c r="F195" i="19"/>
  <c r="F187" i="19"/>
  <c r="F179" i="19"/>
  <c r="F171" i="19"/>
  <c r="F163" i="19"/>
  <c r="F155" i="19"/>
  <c r="F147" i="19"/>
  <c r="F139" i="19"/>
  <c r="F131" i="19"/>
  <c r="F123" i="19"/>
  <c r="F115" i="19"/>
  <c r="F107" i="19"/>
  <c r="F99" i="19"/>
  <c r="F91" i="19"/>
  <c r="E550" i="23"/>
  <c r="F386" i="23"/>
  <c r="F258" i="23"/>
  <c r="F182" i="23"/>
  <c r="F118" i="23"/>
  <c r="E84" i="23"/>
  <c r="E52" i="23"/>
  <c r="E20" i="23"/>
  <c r="E298" i="22"/>
  <c r="E266" i="22"/>
  <c r="E234" i="22"/>
  <c r="E202" i="22"/>
  <c r="E170" i="22"/>
  <c r="E138" i="22"/>
  <c r="E106" i="22"/>
  <c r="E74" i="22"/>
  <c r="E57" i="22"/>
  <c r="E43" i="22"/>
  <c r="F32" i="22"/>
  <c r="E22" i="22"/>
  <c r="E11" i="22"/>
  <c r="E2" i="22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E136" i="21"/>
  <c r="E128" i="21"/>
  <c r="E120" i="21"/>
  <c r="E112" i="21"/>
  <c r="E104" i="21"/>
  <c r="E96" i="21"/>
  <c r="E88" i="21"/>
  <c r="E80" i="21"/>
  <c r="E72" i="21"/>
  <c r="E64" i="21"/>
  <c r="E56" i="21"/>
  <c r="E48" i="21"/>
  <c r="E40" i="21"/>
  <c r="E32" i="21"/>
  <c r="E24" i="21"/>
  <c r="E16" i="21"/>
  <c r="E8" i="21"/>
  <c r="E176" i="20"/>
  <c r="E168" i="20"/>
  <c r="E160" i="20"/>
  <c r="E152" i="20"/>
  <c r="E144" i="20"/>
  <c r="E136" i="20"/>
  <c r="E128" i="20"/>
  <c r="E120" i="20"/>
  <c r="E112" i="20"/>
  <c r="E104" i="20"/>
  <c r="E96" i="20"/>
  <c r="E88" i="20"/>
  <c r="E80" i="20"/>
  <c r="E72" i="20"/>
  <c r="E64" i="20"/>
  <c r="E56" i="20"/>
  <c r="E48" i="20"/>
  <c r="E40" i="20"/>
  <c r="E32" i="20"/>
  <c r="E24" i="20"/>
  <c r="E16" i="20"/>
  <c r="E8" i="20"/>
  <c r="D561" i="24"/>
  <c r="D377" i="24"/>
  <c r="E588" i="24"/>
  <c r="E362" i="24"/>
  <c r="D392" i="24"/>
  <c r="E170" i="24"/>
  <c r="E42" i="24"/>
  <c r="F581" i="23"/>
  <c r="D382" i="24"/>
  <c r="D168" i="24"/>
  <c r="D40" i="24"/>
  <c r="E579" i="23"/>
  <c r="E249" i="24"/>
  <c r="E121" i="24"/>
  <c r="F660" i="23"/>
  <c r="F548" i="23"/>
  <c r="F512" i="23"/>
  <c r="D418" i="24"/>
  <c r="D177" i="24"/>
  <c r="D49" i="24"/>
  <c r="E588" i="23"/>
  <c r="E496" i="23"/>
  <c r="E460" i="23"/>
  <c r="E428" i="23"/>
  <c r="E396" i="23"/>
  <c r="E364" i="23"/>
  <c r="E332" i="23"/>
  <c r="E300" i="23"/>
  <c r="E268" i="23"/>
  <c r="E236" i="23"/>
  <c r="E204" i="23"/>
  <c r="E172" i="23"/>
  <c r="E140" i="23"/>
  <c r="E522" i="24"/>
  <c r="D191" i="24"/>
  <c r="D63" i="24"/>
  <c r="E602" i="23"/>
  <c r="E503" i="23"/>
  <c r="F463" i="23"/>
  <c r="F431" i="23"/>
  <c r="F399" i="23"/>
  <c r="F367" i="23"/>
  <c r="F335" i="23"/>
  <c r="F303" i="23"/>
  <c r="F271" i="23"/>
  <c r="F239" i="23"/>
  <c r="D221" i="24"/>
  <c r="D93" i="24"/>
  <c r="E632" i="23"/>
  <c r="E518" i="23"/>
  <c r="E471" i="23"/>
  <c r="E439" i="23"/>
  <c r="E407" i="23"/>
  <c r="E375" i="23"/>
  <c r="E343" i="23"/>
  <c r="E311" i="23"/>
  <c r="E279" i="23"/>
  <c r="E247" i="23"/>
  <c r="E215" i="23"/>
  <c r="E183" i="23"/>
  <c r="E151" i="23"/>
  <c r="E119" i="23"/>
  <c r="E542" i="23"/>
  <c r="F408" i="23"/>
  <c r="F368" i="23"/>
  <c r="F336" i="23"/>
  <c r="F304" i="23"/>
  <c r="F272" i="23"/>
  <c r="F240" i="23"/>
  <c r="F221" i="23"/>
  <c r="F205" i="23"/>
  <c r="F189" i="23"/>
  <c r="F173" i="23"/>
  <c r="F157" i="23"/>
  <c r="F141" i="23"/>
  <c r="F125" i="23"/>
  <c r="F111" i="23"/>
  <c r="F103" i="23"/>
  <c r="F95" i="23"/>
  <c r="F87" i="23"/>
  <c r="F79" i="23"/>
  <c r="F71" i="23"/>
  <c r="F63" i="23"/>
  <c r="F55" i="23"/>
  <c r="F47" i="23"/>
  <c r="F39" i="23"/>
  <c r="F31" i="23"/>
  <c r="F23" i="23"/>
  <c r="F15" i="23"/>
  <c r="F7" i="23"/>
  <c r="F309" i="22"/>
  <c r="F301" i="22"/>
  <c r="F293" i="22"/>
  <c r="F285" i="22"/>
  <c r="F277" i="22"/>
  <c r="F269" i="22"/>
  <c r="F261" i="22"/>
  <c r="F253" i="22"/>
  <c r="F245" i="22"/>
  <c r="F237" i="22"/>
  <c r="F229" i="22"/>
  <c r="F221" i="22"/>
  <c r="F213" i="22"/>
  <c r="F205" i="22"/>
  <c r="F197" i="22"/>
  <c r="F189" i="22"/>
  <c r="F181" i="22"/>
  <c r="F173" i="22"/>
  <c r="F165" i="22"/>
  <c r="F157" i="22"/>
  <c r="F149" i="22"/>
  <c r="F141" i="22"/>
  <c r="F133" i="22"/>
  <c r="F125" i="22"/>
  <c r="F117" i="22"/>
  <c r="F109" i="22"/>
  <c r="F101" i="22"/>
  <c r="F93" i="22"/>
  <c r="F85" i="22"/>
  <c r="F77" i="22"/>
  <c r="F69" i="22"/>
  <c r="F61" i="22"/>
  <c r="F53" i="22"/>
  <c r="F45" i="22"/>
  <c r="F37" i="22"/>
  <c r="F29" i="22"/>
  <c r="F21" i="22"/>
  <c r="F13" i="22"/>
  <c r="E598" i="23"/>
  <c r="F398" i="23"/>
  <c r="F270" i="23"/>
  <c r="F188" i="23"/>
  <c r="F124" i="23"/>
  <c r="E87" i="23"/>
  <c r="E55" i="23"/>
  <c r="E23" i="23"/>
  <c r="E301" i="22"/>
  <c r="E269" i="22"/>
  <c r="E237" i="22"/>
  <c r="E205" i="22"/>
  <c r="E173" i="22"/>
  <c r="E141" i="22"/>
  <c r="E109" i="22"/>
  <c r="E77" i="22"/>
  <c r="E558" i="23"/>
  <c r="F388" i="23"/>
  <c r="F260" i="23"/>
  <c r="F183" i="23"/>
  <c r="F119" i="23"/>
  <c r="F84" i="23"/>
  <c r="F52" i="23"/>
  <c r="F20" i="23"/>
  <c r="F298" i="22"/>
  <c r="F266" i="22"/>
  <c r="F234" i="22"/>
  <c r="F202" i="22"/>
  <c r="F170" i="22"/>
  <c r="F138" i="22"/>
  <c r="F106" i="22"/>
  <c r="F74" i="22"/>
  <c r="D43" i="24"/>
  <c r="F138" i="23"/>
  <c r="E308" i="22"/>
  <c r="E180" i="22"/>
  <c r="E62" i="22"/>
  <c r="F14" i="22"/>
  <c r="F434" i="21"/>
  <c r="F402" i="21"/>
  <c r="F370" i="21"/>
  <c r="F338" i="21"/>
  <c r="F306" i="21"/>
  <c r="F274" i="21"/>
  <c r="F242" i="21"/>
  <c r="F210" i="21"/>
  <c r="F178" i="21"/>
  <c r="F146" i="21"/>
  <c r="F114" i="21"/>
  <c r="F82" i="21"/>
  <c r="F50" i="21"/>
  <c r="F18" i="21"/>
  <c r="F162" i="20"/>
  <c r="F130" i="20"/>
  <c r="F98" i="20"/>
  <c r="F66" i="20"/>
  <c r="F34" i="20"/>
  <c r="F2" i="20"/>
  <c r="F257" i="19"/>
  <c r="F225" i="19"/>
  <c r="F193" i="19"/>
  <c r="F161" i="19"/>
  <c r="F129" i="19"/>
  <c r="F97" i="19"/>
  <c r="F230" i="23"/>
  <c r="E44" i="23"/>
  <c r="E226" i="22"/>
  <c r="E98" i="22"/>
  <c r="E30" i="22"/>
  <c r="E446" i="21"/>
  <c r="E414" i="21"/>
  <c r="E382" i="21"/>
  <c r="E350" i="21"/>
  <c r="E318" i="21"/>
  <c r="E286" i="21"/>
  <c r="E254" i="21"/>
  <c r="E222" i="21"/>
  <c r="E190" i="21"/>
  <c r="E158" i="21"/>
  <c r="E126" i="21"/>
  <c r="E94" i="21"/>
  <c r="E62" i="21"/>
  <c r="E30" i="21"/>
  <c r="E174" i="20"/>
  <c r="E142" i="20"/>
  <c r="E110" i="20"/>
  <c r="E78" i="20"/>
  <c r="E46" i="20"/>
  <c r="E14" i="20"/>
  <c r="E283" i="19"/>
  <c r="E275" i="19"/>
  <c r="E267" i="19"/>
  <c r="E259" i="19"/>
  <c r="E251" i="19"/>
  <c r="E243" i="19"/>
  <c r="E235" i="19"/>
  <c r="E227" i="19"/>
  <c r="E219" i="19"/>
  <c r="E211" i="19"/>
  <c r="E203" i="19"/>
  <c r="E195" i="19"/>
  <c r="E187" i="19"/>
  <c r="E179" i="19"/>
  <c r="E171" i="19"/>
  <c r="E163" i="19"/>
  <c r="E155" i="19"/>
  <c r="D235" i="24"/>
  <c r="F474" i="23"/>
  <c r="F346" i="23"/>
  <c r="F226" i="23"/>
  <c r="F162" i="23"/>
  <c r="E106" i="23"/>
  <c r="E74" i="23"/>
  <c r="E42" i="23"/>
  <c r="E10" i="23"/>
  <c r="E288" i="22"/>
  <c r="E256" i="22"/>
  <c r="E224" i="22"/>
  <c r="E192" i="22"/>
  <c r="E160" i="22"/>
  <c r="E128" i="22"/>
  <c r="E96" i="22"/>
  <c r="E68" i="22"/>
  <c r="E52" i="22"/>
  <c r="E40" i="22"/>
  <c r="E29" i="22"/>
  <c r="F18" i="22"/>
  <c r="E8" i="22"/>
  <c r="F453" i="21"/>
  <c r="F445" i="21"/>
  <c r="F437" i="21"/>
  <c r="F429" i="21"/>
  <c r="F421" i="21"/>
  <c r="F413" i="21"/>
  <c r="F405" i="21"/>
  <c r="F397" i="21"/>
  <c r="F389" i="21"/>
  <c r="F381" i="21"/>
  <c r="F373" i="21"/>
  <c r="F365" i="21"/>
  <c r="F357" i="21"/>
  <c r="F349" i="21"/>
  <c r="F341" i="21"/>
  <c r="F333" i="21"/>
  <c r="F325" i="21"/>
  <c r="F317" i="21"/>
  <c r="F309" i="21"/>
  <c r="F301" i="21"/>
  <c r="F293" i="21"/>
  <c r="F285" i="21"/>
  <c r="F277" i="21"/>
  <c r="F269" i="21"/>
  <c r="F261" i="21"/>
  <c r="F253" i="21"/>
  <c r="F245" i="21"/>
  <c r="F237" i="21"/>
  <c r="F229" i="21"/>
  <c r="F221" i="21"/>
  <c r="F213" i="21"/>
  <c r="F205" i="21"/>
  <c r="F197" i="21"/>
  <c r="F189" i="21"/>
  <c r="F181" i="21"/>
  <c r="F173" i="21"/>
  <c r="F165" i="21"/>
  <c r="F157" i="21"/>
  <c r="F149" i="21"/>
  <c r="F141" i="21"/>
  <c r="F133" i="21"/>
  <c r="F125" i="21"/>
  <c r="F117" i="21"/>
  <c r="F109" i="21"/>
  <c r="F101" i="21"/>
  <c r="F93" i="21"/>
  <c r="F85" i="21"/>
  <c r="F77" i="21"/>
  <c r="F69" i="21"/>
  <c r="F61" i="21"/>
  <c r="F53" i="21"/>
  <c r="F45" i="21"/>
  <c r="F37" i="21"/>
  <c r="F29" i="21"/>
  <c r="F21" i="21"/>
  <c r="F13" i="21"/>
  <c r="F5" i="21"/>
  <c r="F173" i="20"/>
  <c r="F165" i="20"/>
  <c r="F157" i="20"/>
  <c r="F149" i="20"/>
  <c r="F141" i="20"/>
  <c r="F133" i="20"/>
  <c r="F125" i="20"/>
  <c r="F117" i="20"/>
  <c r="F109" i="20"/>
  <c r="F101" i="20"/>
  <c r="F93" i="20"/>
  <c r="F85" i="20"/>
  <c r="F77" i="20"/>
  <c r="F69" i="20"/>
  <c r="F61" i="20"/>
  <c r="F53" i="20"/>
  <c r="F45" i="20"/>
  <c r="F37" i="20"/>
  <c r="F29" i="20"/>
  <c r="F21" i="20"/>
  <c r="F13" i="20"/>
  <c r="F5" i="20"/>
  <c r="F284" i="19"/>
  <c r="F276" i="19"/>
  <c r="F268" i="19"/>
  <c r="F260" i="19"/>
  <c r="F252" i="19"/>
  <c r="F244" i="19"/>
  <c r="F236" i="19"/>
  <c r="F228" i="19"/>
  <c r="F220" i="19"/>
  <c r="F212" i="19"/>
  <c r="F204" i="19"/>
  <c r="F196" i="19"/>
  <c r="F188" i="19"/>
  <c r="F180" i="19"/>
  <c r="F172" i="19"/>
  <c r="F164" i="19"/>
  <c r="F156" i="19"/>
  <c r="F148" i="19"/>
  <c r="F140" i="19"/>
  <c r="F132" i="19"/>
  <c r="F124" i="19"/>
  <c r="F116" i="19"/>
  <c r="F108" i="19"/>
  <c r="F100" i="19"/>
  <c r="F92" i="19"/>
  <c r="F466" i="23"/>
  <c r="E104" i="23"/>
  <c r="E286" i="22"/>
  <c r="E158" i="22"/>
  <c r="E51" i="22"/>
  <c r="E7" i="22"/>
  <c r="E429" i="21"/>
  <c r="E397" i="21"/>
  <c r="E365" i="21"/>
  <c r="E333" i="21"/>
  <c r="E301" i="21"/>
  <c r="E269" i="21"/>
  <c r="E237" i="21"/>
  <c r="E205" i="21"/>
  <c r="E173" i="21"/>
  <c r="E141" i="21"/>
  <c r="E109" i="21"/>
  <c r="E79" i="21"/>
  <c r="E39" i="21"/>
  <c r="E173" i="20"/>
  <c r="E141" i="20"/>
  <c r="E109" i="20"/>
  <c r="E77" i="20"/>
  <c r="D461" i="24"/>
  <c r="E501" i="23"/>
  <c r="F366" i="23"/>
  <c r="F238" i="23"/>
  <c r="F172" i="23"/>
  <c r="E111" i="23"/>
  <c r="E79" i="23"/>
  <c r="E47" i="23"/>
  <c r="E15" i="23"/>
  <c r="E293" i="22"/>
  <c r="E261" i="22"/>
  <c r="E229" i="22"/>
  <c r="E197" i="22"/>
  <c r="E165" i="22"/>
  <c r="E133" i="22"/>
  <c r="E101" i="22"/>
  <c r="D298" i="24"/>
  <c r="F484" i="23"/>
  <c r="F356" i="23"/>
  <c r="F231" i="23"/>
  <c r="F167" i="23"/>
  <c r="F108" i="23"/>
  <c r="F76" i="23"/>
  <c r="F44" i="23"/>
  <c r="F12" i="23"/>
  <c r="F290" i="22"/>
  <c r="F258" i="22"/>
  <c r="F226" i="22"/>
  <c r="F194" i="22"/>
  <c r="F162" i="22"/>
  <c r="F130" i="22"/>
  <c r="F98" i="22"/>
  <c r="F66" i="22"/>
  <c r="F426" i="23"/>
  <c r="E94" i="23"/>
  <c r="E276" i="22"/>
  <c r="E148" i="22"/>
  <c r="F46" i="22"/>
  <c r="F4" i="22"/>
  <c r="F426" i="21"/>
  <c r="F394" i="21"/>
  <c r="F362" i="21"/>
  <c r="F330" i="21"/>
  <c r="F298" i="21"/>
  <c r="F266" i="21"/>
  <c r="F234" i="21"/>
  <c r="F202" i="21"/>
  <c r="F170" i="21"/>
  <c r="F138" i="21"/>
  <c r="F106" i="21"/>
  <c r="F74" i="21"/>
  <c r="F42" i="21"/>
  <c r="F10" i="21"/>
  <c r="F154" i="20"/>
  <c r="F122" i="20"/>
  <c r="F90" i="20"/>
  <c r="F58" i="20"/>
  <c r="F26" i="20"/>
  <c r="F281" i="19"/>
  <c r="F249" i="19"/>
  <c r="F217" i="19"/>
  <c r="F185" i="19"/>
  <c r="F153" i="19"/>
  <c r="F121" i="19"/>
  <c r="D273" i="24"/>
  <c r="F166" i="23"/>
  <c r="E12" i="23"/>
  <c r="E194" i="22"/>
  <c r="E69" i="22"/>
  <c r="E19" i="22"/>
  <c r="E438" i="21"/>
  <c r="E406" i="21"/>
  <c r="E374" i="21"/>
  <c r="E342" i="21"/>
  <c r="E310" i="21"/>
  <c r="E278" i="21"/>
  <c r="E246" i="21"/>
  <c r="E214" i="21"/>
  <c r="E182" i="21"/>
  <c r="E150" i="21"/>
  <c r="E118" i="21"/>
  <c r="E86" i="21"/>
  <c r="E54" i="21"/>
  <c r="E22" i="21"/>
  <c r="E166" i="20"/>
  <c r="E134" i="20"/>
  <c r="E102" i="20"/>
  <c r="E70" i="20"/>
  <c r="E38" i="20"/>
  <c r="E6" i="20"/>
  <c r="E281" i="19"/>
  <c r="E273" i="19"/>
  <c r="E265" i="19"/>
  <c r="E257" i="19"/>
  <c r="E249" i="19"/>
  <c r="E241" i="19"/>
  <c r="E233" i="19"/>
  <c r="E225" i="19"/>
  <c r="E217" i="19"/>
  <c r="E209" i="19"/>
  <c r="E201" i="19"/>
  <c r="E193" i="19"/>
  <c r="E185" i="19"/>
  <c r="E177" i="19"/>
  <c r="E169" i="19"/>
  <c r="E161" i="19"/>
  <c r="E153" i="19"/>
  <c r="D107" i="24"/>
  <c r="F442" i="23"/>
  <c r="F314" i="23"/>
  <c r="F210" i="23"/>
  <c r="F146" i="23"/>
  <c r="E98" i="23"/>
  <c r="E66" i="23"/>
  <c r="E34" i="23"/>
  <c r="E2" i="23"/>
  <c r="E280" i="22"/>
  <c r="E248" i="22"/>
  <c r="E216" i="22"/>
  <c r="E184" i="22"/>
  <c r="E152" i="22"/>
  <c r="E120" i="22"/>
  <c r="E88" i="22"/>
  <c r="E64" i="22"/>
  <c r="E48" i="22"/>
  <c r="E37" i="22"/>
  <c r="F26" i="22"/>
  <c r="E16" i="22"/>
  <c r="F5" i="22"/>
  <c r="F451" i="21"/>
  <c r="F443" i="21"/>
  <c r="F435" i="21"/>
  <c r="F427" i="21"/>
  <c r="F419" i="21"/>
  <c r="F411" i="21"/>
  <c r="F403" i="21"/>
  <c r="F395" i="21"/>
  <c r="F387" i="21"/>
  <c r="F379" i="21"/>
  <c r="F371" i="21"/>
  <c r="F363" i="21"/>
  <c r="F355" i="21"/>
  <c r="F347" i="21"/>
  <c r="F339" i="21"/>
  <c r="F331" i="21"/>
  <c r="F323" i="21"/>
  <c r="F315" i="21"/>
  <c r="F307" i="21"/>
  <c r="F299" i="21"/>
  <c r="F291" i="21"/>
  <c r="F283" i="21"/>
  <c r="F275" i="21"/>
  <c r="F267" i="21"/>
  <c r="F259" i="21"/>
  <c r="F251" i="21"/>
  <c r="F243" i="21"/>
  <c r="F235" i="21"/>
  <c r="F227" i="21"/>
  <c r="F219" i="21"/>
  <c r="F211" i="21"/>
  <c r="F203" i="21"/>
  <c r="F195" i="21"/>
  <c r="F187" i="21"/>
  <c r="F179" i="21"/>
  <c r="F171" i="21"/>
  <c r="F163" i="21"/>
  <c r="F155" i="21"/>
  <c r="F147" i="21"/>
  <c r="F139" i="21"/>
  <c r="F131" i="21"/>
  <c r="F123" i="21"/>
  <c r="F115" i="21"/>
  <c r="F107" i="21"/>
  <c r="F99" i="21"/>
  <c r="F91" i="21"/>
  <c r="F83" i="21"/>
  <c r="F75" i="21"/>
  <c r="F67" i="21"/>
  <c r="F59" i="21"/>
  <c r="F51" i="21"/>
  <c r="F43" i="21"/>
  <c r="F35" i="21"/>
  <c r="F27" i="21"/>
  <c r="F19" i="21"/>
  <c r="F11" i="21"/>
  <c r="F3" i="21"/>
  <c r="F171" i="20"/>
  <c r="F163" i="20"/>
  <c r="F155" i="20"/>
  <c r="F147" i="20"/>
  <c r="F139" i="20"/>
  <c r="F131" i="20"/>
  <c r="F123" i="20"/>
  <c r="F115" i="20"/>
  <c r="F107" i="20"/>
  <c r="F99" i="20"/>
  <c r="F91" i="20"/>
  <c r="F83" i="20"/>
  <c r="F75" i="20"/>
  <c r="F67" i="20"/>
  <c r="F59" i="20"/>
  <c r="F51" i="20"/>
  <c r="F43" i="20"/>
  <c r="F35" i="20"/>
  <c r="F27" i="20"/>
  <c r="F19" i="20"/>
  <c r="F11" i="20"/>
  <c r="F3" i="20"/>
  <c r="F282" i="19"/>
  <c r="F274" i="19"/>
  <c r="F266" i="19"/>
  <c r="F258" i="19"/>
  <c r="F250" i="19"/>
  <c r="F242" i="19"/>
  <c r="F234" i="19"/>
  <c r="F226" i="19"/>
  <c r="F218" i="19"/>
  <c r="F210" i="19"/>
  <c r="F202" i="19"/>
  <c r="F194" i="19"/>
  <c r="F186" i="19"/>
  <c r="F178" i="19"/>
  <c r="F170" i="19"/>
  <c r="F162" i="19"/>
  <c r="F154" i="19"/>
  <c r="F146" i="19"/>
  <c r="F138" i="19"/>
  <c r="F130" i="19"/>
  <c r="F122" i="19"/>
  <c r="F114" i="19"/>
  <c r="F106" i="19"/>
  <c r="F98" i="19"/>
  <c r="F90" i="19"/>
  <c r="F338" i="23"/>
  <c r="E72" i="23"/>
  <c r="E254" i="22"/>
  <c r="E126" i="22"/>
  <c r="E39" i="22"/>
  <c r="E453" i="21"/>
  <c r="E421" i="21"/>
  <c r="E389" i="21"/>
  <c r="E357" i="21"/>
  <c r="E325" i="21"/>
  <c r="E293" i="21"/>
  <c r="E261" i="21"/>
  <c r="E229" i="21"/>
  <c r="E197" i="21"/>
  <c r="E165" i="21"/>
  <c r="E133" i="21"/>
  <c r="E101" i="21"/>
  <c r="E71" i="21"/>
  <c r="E33" i="21"/>
  <c r="E165" i="20"/>
  <c r="E133" i="20"/>
  <c r="E101" i="20"/>
  <c r="D187" i="24"/>
  <c r="F462" i="23"/>
  <c r="F334" i="23"/>
  <c r="F220" i="23"/>
  <c r="F156" i="23"/>
  <c r="E103" i="23"/>
  <c r="E71" i="23"/>
  <c r="E39" i="23"/>
  <c r="E7" i="23"/>
  <c r="E285" i="22"/>
  <c r="E253" i="22"/>
  <c r="E221" i="22"/>
  <c r="E189" i="22"/>
  <c r="E157" i="22"/>
  <c r="E125" i="22"/>
  <c r="E93" i="22"/>
  <c r="D147" i="24"/>
  <c r="F452" i="23"/>
  <c r="F324" i="23"/>
  <c r="F215" i="23"/>
  <c r="F151" i="23"/>
  <c r="F100" i="23"/>
  <c r="F68" i="23"/>
  <c r="F36" i="23"/>
  <c r="F4" i="23"/>
  <c r="F282" i="22"/>
  <c r="F250" i="22"/>
  <c r="F218" i="22"/>
  <c r="F186" i="22"/>
  <c r="F154" i="22"/>
  <c r="F122" i="22"/>
  <c r="F90" i="22"/>
  <c r="F58" i="22"/>
  <c r="F298" i="23"/>
  <c r="E62" i="23"/>
  <c r="E244" i="22"/>
  <c r="E116" i="22"/>
  <c r="E36" i="22"/>
  <c r="F450" i="21"/>
  <c r="F418" i="21"/>
  <c r="F386" i="21"/>
  <c r="F354" i="21"/>
  <c r="F322" i="21"/>
  <c r="F290" i="21"/>
  <c r="F258" i="21"/>
  <c r="F226" i="21"/>
  <c r="F194" i="21"/>
  <c r="F162" i="21"/>
  <c r="F130" i="21"/>
  <c r="F98" i="21"/>
  <c r="F66" i="21"/>
  <c r="F34" i="21"/>
  <c r="F2" i="21"/>
  <c r="F146" i="20"/>
  <c r="F114" i="20"/>
  <c r="F82" i="20"/>
  <c r="F50" i="20"/>
  <c r="F18" i="20"/>
  <c r="F273" i="19"/>
  <c r="F241" i="19"/>
  <c r="F209" i="19"/>
  <c r="F177" i="19"/>
  <c r="F145" i="19"/>
  <c r="F113" i="19"/>
  <c r="F482" i="23"/>
  <c r="E108" i="23"/>
  <c r="E290" i="22"/>
  <c r="E162" i="22"/>
  <c r="E53" i="22"/>
  <c r="F8" i="22"/>
  <c r="E430" i="21"/>
  <c r="E398" i="21"/>
  <c r="E366" i="21"/>
  <c r="E334" i="21"/>
  <c r="E302" i="21"/>
  <c r="E270" i="21"/>
  <c r="E238" i="21"/>
  <c r="E206" i="21"/>
  <c r="E174" i="21"/>
  <c r="E142" i="21"/>
  <c r="E110" i="21"/>
  <c r="E78" i="21"/>
  <c r="E46" i="21"/>
  <c r="E14" i="21"/>
  <c r="E158" i="20"/>
  <c r="E126" i="20"/>
  <c r="E94" i="20"/>
  <c r="E62" i="20"/>
  <c r="E30" i="20"/>
  <c r="E287" i="19"/>
  <c r="E279" i="19"/>
  <c r="E271" i="19"/>
  <c r="E263" i="19"/>
  <c r="E255" i="19"/>
  <c r="E247" i="19"/>
  <c r="E239" i="19"/>
  <c r="E231" i="19"/>
  <c r="E223" i="19"/>
  <c r="E215" i="19"/>
  <c r="E207" i="19"/>
  <c r="E199" i="19"/>
  <c r="E191" i="19"/>
  <c r="E183" i="19"/>
  <c r="E175" i="19"/>
  <c r="E167" i="19"/>
  <c r="E159" i="19"/>
  <c r="E151" i="19"/>
  <c r="E646" i="23"/>
  <c r="F410" i="23"/>
  <c r="F282" i="23"/>
  <c r="F194" i="23"/>
  <c r="F130" i="23"/>
  <c r="E90" i="23"/>
  <c r="E58" i="23"/>
  <c r="E26" i="23"/>
  <c r="E304" i="22"/>
  <c r="E272" i="22"/>
  <c r="E240" i="22"/>
  <c r="E208" i="22"/>
  <c r="E176" i="22"/>
  <c r="E144" i="22"/>
  <c r="E112" i="22"/>
  <c r="E80" i="22"/>
  <c r="E60" i="22"/>
  <c r="E45" i="22"/>
  <c r="F34" i="22"/>
  <c r="E24" i="22"/>
  <c r="E13" i="22"/>
  <c r="F3" i="22"/>
  <c r="F449" i="21"/>
  <c r="F441" i="21"/>
  <c r="F433" i="21"/>
  <c r="F425" i="21"/>
  <c r="F417" i="21"/>
  <c r="F409" i="21"/>
  <c r="F401" i="21"/>
  <c r="F393" i="21"/>
  <c r="F385" i="21"/>
  <c r="F377" i="21"/>
  <c r="F369" i="21"/>
  <c r="F361" i="21"/>
  <c r="F353" i="21"/>
  <c r="F345" i="21"/>
  <c r="F337" i="21"/>
  <c r="F329" i="21"/>
  <c r="F321" i="21"/>
  <c r="F313" i="21"/>
  <c r="F305" i="21"/>
  <c r="F297" i="21"/>
  <c r="F289" i="21"/>
  <c r="F281" i="21"/>
  <c r="F273" i="21"/>
  <c r="F265" i="21"/>
  <c r="F257" i="21"/>
  <c r="F249" i="21"/>
  <c r="F241" i="21"/>
  <c r="F233" i="21"/>
  <c r="F225" i="21"/>
  <c r="F217" i="21"/>
  <c r="F209" i="21"/>
  <c r="F201" i="21"/>
  <c r="F193" i="21"/>
  <c r="F185" i="21"/>
  <c r="F177" i="21"/>
  <c r="F169" i="21"/>
  <c r="F161" i="21"/>
  <c r="F153" i="21"/>
  <c r="F145" i="21"/>
  <c r="F137" i="21"/>
  <c r="F129" i="21"/>
  <c r="F121" i="21"/>
  <c r="F113" i="21"/>
  <c r="F105" i="21"/>
  <c r="F97" i="21"/>
  <c r="F89" i="21"/>
  <c r="F81" i="21"/>
  <c r="F73" i="21"/>
  <c r="F65" i="21"/>
  <c r="F57" i="21"/>
  <c r="F49" i="21"/>
  <c r="F41" i="21"/>
  <c r="F33" i="21"/>
  <c r="F25" i="21"/>
  <c r="F17" i="21"/>
  <c r="F9" i="21"/>
  <c r="F177" i="20"/>
  <c r="F169" i="20"/>
  <c r="F161" i="20"/>
  <c r="F153" i="20"/>
  <c r="F145" i="20"/>
  <c r="F137" i="20"/>
  <c r="F129" i="20"/>
  <c r="F121" i="20"/>
  <c r="F113" i="20"/>
  <c r="F105" i="20"/>
  <c r="F97" i="20"/>
  <c r="F89" i="20"/>
  <c r="F81" i="20"/>
  <c r="F73" i="20"/>
  <c r="F65" i="20"/>
  <c r="F57" i="20"/>
  <c r="F49" i="20"/>
  <c r="F41" i="20"/>
  <c r="F33" i="20"/>
  <c r="F25" i="20"/>
  <c r="F17" i="20"/>
  <c r="F9" i="20"/>
  <c r="F288" i="19"/>
  <c r="F280" i="19"/>
  <c r="F272" i="19"/>
  <c r="F264" i="19"/>
  <c r="F256" i="19"/>
  <c r="F248" i="19"/>
  <c r="F240" i="19"/>
  <c r="F232" i="19"/>
  <c r="F224" i="19"/>
  <c r="F216" i="19"/>
  <c r="F208" i="19"/>
  <c r="F200" i="19"/>
  <c r="F192" i="19"/>
  <c r="F184" i="19"/>
  <c r="F176" i="19"/>
  <c r="F168" i="19"/>
  <c r="F160" i="19"/>
  <c r="F152" i="19"/>
  <c r="F144" i="19"/>
  <c r="F136" i="19"/>
  <c r="F128" i="19"/>
  <c r="F120" i="19"/>
  <c r="F112" i="19"/>
  <c r="F104" i="19"/>
  <c r="F96" i="19"/>
  <c r="F88" i="19"/>
  <c r="F222" i="23"/>
  <c r="E40" i="23"/>
  <c r="E222" i="22"/>
  <c r="E94" i="22"/>
  <c r="F28" i="22"/>
  <c r="E445" i="21"/>
  <c r="E413" i="21"/>
  <c r="E381" i="21"/>
  <c r="E349" i="21"/>
  <c r="E317" i="21"/>
  <c r="E285" i="21"/>
  <c r="E253" i="21"/>
  <c r="E221" i="21"/>
  <c r="E189" i="21"/>
  <c r="E157" i="21"/>
  <c r="E125" i="21"/>
  <c r="E93" i="21"/>
  <c r="E53" i="21"/>
  <c r="E25" i="21"/>
  <c r="E157" i="20"/>
  <c r="E125" i="20"/>
  <c r="E93" i="20"/>
  <c r="D59" i="24"/>
  <c r="F430" i="23"/>
  <c r="F302" i="23"/>
  <c r="F204" i="23"/>
  <c r="F140" i="23"/>
  <c r="E95" i="23"/>
  <c r="E63" i="23"/>
  <c r="E31" i="23"/>
  <c r="E309" i="22"/>
  <c r="E277" i="22"/>
  <c r="E245" i="22"/>
  <c r="E213" i="22"/>
  <c r="E181" i="22"/>
  <c r="E149" i="22"/>
  <c r="E117" i="22"/>
  <c r="E85" i="22"/>
  <c r="D19" i="24"/>
  <c r="F420" i="23"/>
  <c r="F292" i="23"/>
  <c r="F199" i="23"/>
  <c r="F135" i="23"/>
  <c r="F92" i="23"/>
  <c r="F60" i="23"/>
  <c r="F28" i="23"/>
  <c r="F306" i="22"/>
  <c r="F274" i="22"/>
  <c r="F242" i="22"/>
  <c r="F210" i="22"/>
  <c r="F178" i="22"/>
  <c r="F146" i="22"/>
  <c r="F114" i="22"/>
  <c r="F82" i="22"/>
  <c r="F50" i="22"/>
  <c r="F202" i="23"/>
  <c r="E30" i="23"/>
  <c r="E212" i="22"/>
  <c r="E84" i="22"/>
  <c r="E25" i="22"/>
  <c r="F442" i="21"/>
  <c r="F410" i="21"/>
  <c r="F378" i="21"/>
  <c r="F346" i="21"/>
  <c r="F314" i="21"/>
  <c r="F282" i="21"/>
  <c r="F250" i="21"/>
  <c r="F218" i="21"/>
  <c r="F186" i="21"/>
  <c r="F154" i="21"/>
  <c r="F122" i="21"/>
  <c r="F90" i="21"/>
  <c r="F58" i="21"/>
  <c r="F26" i="21"/>
  <c r="F170" i="20"/>
  <c r="F138" i="20"/>
  <c r="F106" i="20"/>
  <c r="F74" i="20"/>
  <c r="F42" i="20"/>
  <c r="F10" i="20"/>
  <c r="F265" i="19"/>
  <c r="F233" i="19"/>
  <c r="F201" i="19"/>
  <c r="F169" i="19"/>
  <c r="F137" i="19"/>
  <c r="F105" i="19"/>
  <c r="F354" i="23"/>
  <c r="E76" i="23"/>
  <c r="E258" i="22"/>
  <c r="E130" i="22"/>
  <c r="F40" i="22"/>
  <c r="E454" i="21"/>
  <c r="E422" i="21"/>
  <c r="E390" i="21"/>
  <c r="E358" i="21"/>
  <c r="E326" i="21"/>
  <c r="E294" i="21"/>
  <c r="E262" i="21"/>
  <c r="E230" i="21"/>
  <c r="E198" i="21"/>
  <c r="E166" i="21"/>
  <c r="E134" i="21"/>
  <c r="E102" i="21"/>
  <c r="E70" i="21"/>
  <c r="E38" i="21"/>
  <c r="E6" i="21"/>
  <c r="E150" i="20"/>
  <c r="E118" i="20"/>
  <c r="E86" i="20"/>
  <c r="E54" i="20"/>
  <c r="E22" i="20"/>
  <c r="E285" i="19"/>
  <c r="E277" i="19"/>
  <c r="E269" i="19"/>
  <c r="E261" i="19"/>
  <c r="E253" i="19"/>
  <c r="E245" i="19"/>
  <c r="E237" i="19"/>
  <c r="E229" i="19"/>
  <c r="E221" i="19"/>
  <c r="E213" i="19"/>
  <c r="E205" i="19"/>
  <c r="E197" i="19"/>
  <c r="E189" i="19"/>
  <c r="E181" i="19"/>
  <c r="E173" i="19"/>
  <c r="E165" i="19"/>
  <c r="E157" i="19"/>
  <c r="E149" i="19"/>
  <c r="E525" i="23"/>
  <c r="F378" i="23"/>
  <c r="F250" i="23"/>
  <c r="F178" i="23"/>
  <c r="E115" i="23"/>
  <c r="E82" i="23"/>
  <c r="E50" i="23"/>
  <c r="E18" i="23"/>
  <c r="E296" i="22"/>
  <c r="E264" i="22"/>
  <c r="E232" i="22"/>
  <c r="E200" i="22"/>
  <c r="E168" i="22"/>
  <c r="E136" i="22"/>
  <c r="E104" i="22"/>
  <c r="E72" i="22"/>
  <c r="E56" i="22"/>
  <c r="F42" i="22"/>
  <c r="E32" i="22"/>
  <c r="E21" i="22"/>
  <c r="F10" i="22"/>
  <c r="F455" i="21"/>
  <c r="F447" i="21"/>
  <c r="F439" i="21"/>
  <c r="F431" i="21"/>
  <c r="F423" i="21"/>
  <c r="F415" i="21"/>
  <c r="F407" i="21"/>
  <c r="F399" i="21"/>
  <c r="F391" i="21"/>
  <c r="F383" i="21"/>
  <c r="F375" i="21"/>
  <c r="F367" i="21"/>
  <c r="F359" i="21"/>
  <c r="F351" i="21"/>
  <c r="F343" i="21"/>
  <c r="F335" i="21"/>
  <c r="F327" i="21"/>
  <c r="F319" i="21"/>
  <c r="F311" i="21"/>
  <c r="F303" i="21"/>
  <c r="F295" i="21"/>
  <c r="F287" i="21"/>
  <c r="F279" i="21"/>
  <c r="F271" i="21"/>
  <c r="F263" i="21"/>
  <c r="F255" i="21"/>
  <c r="F247" i="21"/>
  <c r="F239" i="21"/>
  <c r="F231" i="21"/>
  <c r="F223" i="21"/>
  <c r="F215" i="21"/>
  <c r="F207" i="21"/>
  <c r="F199" i="21"/>
  <c r="F191" i="21"/>
  <c r="F183" i="21"/>
  <c r="F175" i="21"/>
  <c r="F167" i="21"/>
  <c r="F159" i="21"/>
  <c r="F151" i="21"/>
  <c r="F143" i="21"/>
  <c r="F135" i="21"/>
  <c r="F127" i="21"/>
  <c r="F119" i="21"/>
  <c r="F111" i="21"/>
  <c r="F103" i="21"/>
  <c r="F95" i="21"/>
  <c r="F87" i="21"/>
  <c r="F79" i="21"/>
  <c r="F71" i="21"/>
  <c r="F63" i="21"/>
  <c r="F55" i="21"/>
  <c r="F47" i="21"/>
  <c r="F39" i="21"/>
  <c r="F31" i="21"/>
  <c r="F23" i="21"/>
  <c r="F15" i="21"/>
  <c r="F7" i="21"/>
  <c r="F175" i="20"/>
  <c r="F167" i="20"/>
  <c r="F159" i="20"/>
  <c r="F151" i="20"/>
  <c r="F143" i="20"/>
  <c r="F135" i="20"/>
  <c r="F127" i="20"/>
  <c r="F119" i="20"/>
  <c r="F111" i="20"/>
  <c r="F103" i="20"/>
  <c r="F95" i="20"/>
  <c r="F87" i="20"/>
  <c r="F79" i="20"/>
  <c r="F71" i="20"/>
  <c r="F63" i="20"/>
  <c r="F55" i="20"/>
  <c r="F47" i="20"/>
  <c r="F39" i="20"/>
  <c r="F31" i="20"/>
  <c r="F23" i="20"/>
  <c r="F15" i="20"/>
  <c r="F7" i="20"/>
  <c r="F286" i="19"/>
  <c r="F278" i="19"/>
  <c r="F270" i="19"/>
  <c r="F262" i="19"/>
  <c r="F254" i="19"/>
  <c r="F246" i="19"/>
  <c r="F238" i="19"/>
  <c r="F230" i="19"/>
  <c r="F222" i="19"/>
  <c r="F214" i="19"/>
  <c r="F206" i="19"/>
  <c r="F198" i="19"/>
  <c r="F190" i="19"/>
  <c r="F182" i="19"/>
  <c r="F174" i="19"/>
  <c r="F166" i="19"/>
  <c r="F158" i="19"/>
  <c r="F150" i="19"/>
  <c r="F142" i="19"/>
  <c r="F134" i="19"/>
  <c r="F126" i="19"/>
  <c r="F118" i="19"/>
  <c r="F110" i="19"/>
  <c r="F102" i="19"/>
  <c r="F94" i="19"/>
  <c r="D203" i="24"/>
  <c r="F158" i="23"/>
  <c r="E8" i="23"/>
  <c r="E190" i="22"/>
  <c r="E67" i="22"/>
  <c r="E18" i="22"/>
  <c r="E437" i="21"/>
  <c r="E405" i="21"/>
  <c r="E373" i="21"/>
  <c r="E341" i="21"/>
  <c r="E309" i="21"/>
  <c r="E277" i="21"/>
  <c r="E245" i="21"/>
  <c r="E213" i="21"/>
  <c r="E181" i="21"/>
  <c r="E149" i="21"/>
  <c r="E117" i="21"/>
  <c r="E85" i="21"/>
  <c r="E47" i="21"/>
  <c r="E5" i="21"/>
  <c r="E149" i="20"/>
  <c r="E117" i="20"/>
  <c r="E85" i="20"/>
  <c r="E69" i="20"/>
  <c r="E37" i="20"/>
  <c r="E5" i="20"/>
  <c r="E260" i="19"/>
  <c r="E228" i="19"/>
  <c r="E196" i="19"/>
  <c r="E164" i="19"/>
  <c r="E140" i="19"/>
  <c r="E124" i="19"/>
  <c r="E108" i="19"/>
  <c r="E92" i="19"/>
  <c r="F82" i="19"/>
  <c r="F74" i="19"/>
  <c r="F66" i="19"/>
  <c r="F58" i="19"/>
  <c r="F50" i="19"/>
  <c r="F42" i="19"/>
  <c r="F34" i="19"/>
  <c r="F26" i="19"/>
  <c r="F18" i="19"/>
  <c r="F10" i="19"/>
  <c r="F2" i="19"/>
  <c r="F150" i="18"/>
  <c r="F142" i="18"/>
  <c r="F134" i="18"/>
  <c r="F126" i="18"/>
  <c r="F118" i="18"/>
  <c r="F110" i="18"/>
  <c r="F102" i="18"/>
  <c r="F94" i="18"/>
  <c r="F86" i="18"/>
  <c r="F78" i="18"/>
  <c r="F70" i="18"/>
  <c r="F62" i="18"/>
  <c r="F54" i="18"/>
  <c r="F46" i="18"/>
  <c r="F38" i="18"/>
  <c r="F30" i="18"/>
  <c r="F22" i="18"/>
  <c r="F14" i="18"/>
  <c r="F6" i="18"/>
  <c r="F216" i="17"/>
  <c r="F208" i="17"/>
  <c r="F200" i="17"/>
  <c r="F192" i="17"/>
  <c r="F184" i="17"/>
  <c r="F176" i="17"/>
  <c r="F168" i="17"/>
  <c r="F160" i="17"/>
  <c r="F152" i="17"/>
  <c r="F144" i="17"/>
  <c r="F136" i="17"/>
  <c r="F128" i="17"/>
  <c r="F120" i="17"/>
  <c r="F112" i="17"/>
  <c r="F104" i="17"/>
  <c r="F96" i="17"/>
  <c r="F88" i="17"/>
  <c r="F80" i="17"/>
  <c r="F72" i="17"/>
  <c r="F64" i="17"/>
  <c r="F56" i="17"/>
  <c r="F48" i="17"/>
  <c r="F40" i="17"/>
  <c r="F32" i="17"/>
  <c r="F24" i="17"/>
  <c r="F16" i="17"/>
  <c r="F8" i="17"/>
  <c r="E156" i="16"/>
  <c r="E140" i="16"/>
  <c r="E124" i="16"/>
  <c r="E108" i="16"/>
  <c r="E92" i="16"/>
  <c r="E76" i="16"/>
  <c r="E60" i="16"/>
  <c r="E44" i="16"/>
  <c r="E28" i="16"/>
  <c r="E12" i="16"/>
  <c r="E2748" i="15"/>
  <c r="E2740" i="15"/>
  <c r="E2732" i="15"/>
  <c r="E2724" i="15"/>
  <c r="E2716" i="15"/>
  <c r="E2708" i="15"/>
  <c r="E2700" i="15"/>
  <c r="E2692" i="15"/>
  <c r="E2684" i="15"/>
  <c r="E2676" i="15"/>
  <c r="E2668" i="15"/>
  <c r="E2660" i="15"/>
  <c r="E2652" i="15"/>
  <c r="E2644" i="15"/>
  <c r="E2636" i="15"/>
  <c r="E2628" i="15"/>
  <c r="E2620" i="15"/>
  <c r="E2612" i="15"/>
  <c r="E2604" i="15"/>
  <c r="E2596" i="15"/>
  <c r="E2588" i="15"/>
  <c r="E2580" i="15"/>
  <c r="E2572" i="15"/>
  <c r="E2564" i="15"/>
  <c r="E2556" i="15"/>
  <c r="E2548" i="15"/>
  <c r="E2540" i="15"/>
  <c r="F206" i="23"/>
  <c r="E32" i="23"/>
  <c r="E214" i="22"/>
  <c r="E86" i="22"/>
  <c r="E26" i="22"/>
  <c r="E443" i="21"/>
  <c r="E411" i="21"/>
  <c r="E379" i="21"/>
  <c r="E347" i="21"/>
  <c r="E315" i="21"/>
  <c r="E283" i="21"/>
  <c r="E251" i="21"/>
  <c r="E219" i="21"/>
  <c r="E187" i="21"/>
  <c r="E155" i="21"/>
  <c r="E123" i="21"/>
  <c r="E91" i="21"/>
  <c r="E65" i="21"/>
  <c r="E37" i="21"/>
  <c r="E11" i="21"/>
  <c r="E155" i="20"/>
  <c r="E123" i="20"/>
  <c r="E91" i="20"/>
  <c r="E59" i="20"/>
  <c r="E27" i="20"/>
  <c r="E282" i="19"/>
  <c r="E250" i="19"/>
  <c r="E218" i="19"/>
  <c r="E186" i="19"/>
  <c r="E154" i="19"/>
  <c r="E135" i="19"/>
  <c r="E119" i="19"/>
  <c r="E103" i="19"/>
  <c r="E88" i="19"/>
  <c r="E80" i="19"/>
  <c r="E72" i="19"/>
  <c r="E64" i="19"/>
  <c r="E56" i="19"/>
  <c r="E48" i="19"/>
  <c r="E40" i="19"/>
  <c r="E32" i="19"/>
  <c r="E24" i="19"/>
  <c r="E16" i="19"/>
  <c r="E8" i="19"/>
  <c r="E156" i="18"/>
  <c r="E148" i="18"/>
  <c r="E140" i="18"/>
  <c r="E132" i="18"/>
  <c r="E124" i="18"/>
  <c r="E116" i="18"/>
  <c r="E108" i="18"/>
  <c r="E100" i="18"/>
  <c r="E92" i="18"/>
  <c r="E84" i="18"/>
  <c r="E76" i="18"/>
  <c r="E68" i="18"/>
  <c r="E60" i="18"/>
  <c r="E52" i="18"/>
  <c r="E44" i="18"/>
  <c r="E36" i="18"/>
  <c r="E28" i="18"/>
  <c r="E20" i="18"/>
  <c r="E12" i="18"/>
  <c r="E4" i="18"/>
  <c r="E214" i="17"/>
  <c r="E206" i="17"/>
  <c r="E198" i="17"/>
  <c r="E190" i="17"/>
  <c r="E182" i="17"/>
  <c r="E174" i="17"/>
  <c r="E166" i="17"/>
  <c r="E158" i="17"/>
  <c r="E150" i="17"/>
  <c r="E142" i="17"/>
  <c r="E134" i="17"/>
  <c r="E126" i="17"/>
  <c r="E118" i="17"/>
  <c r="E110" i="17"/>
  <c r="E102" i="17"/>
  <c r="E94" i="17"/>
  <c r="E86" i="17"/>
  <c r="E78" i="17"/>
  <c r="E70" i="17"/>
  <c r="E62" i="17"/>
  <c r="E54" i="17"/>
  <c r="E46" i="17"/>
  <c r="E38" i="17"/>
  <c r="E30" i="17"/>
  <c r="E22" i="17"/>
  <c r="E14" i="17"/>
  <c r="E6" i="17"/>
  <c r="E151" i="16"/>
  <c r="E135" i="16"/>
  <c r="E119" i="16"/>
  <c r="E103" i="16"/>
  <c r="E87" i="16"/>
  <c r="E71" i="16"/>
  <c r="E55" i="16"/>
  <c r="E39" i="16"/>
  <c r="E23" i="16"/>
  <c r="E7" i="16"/>
  <c r="D2746" i="15"/>
  <c r="D2738" i="15"/>
  <c r="D2730" i="15"/>
  <c r="D2722" i="15"/>
  <c r="D2714" i="15"/>
  <c r="D2706" i="15"/>
  <c r="D2698" i="15"/>
  <c r="D2690" i="15"/>
  <c r="D2682" i="15"/>
  <c r="D2674" i="15"/>
  <c r="D2666" i="15"/>
  <c r="D2658" i="15"/>
  <c r="D2650" i="15"/>
  <c r="D2642" i="15"/>
  <c r="D2634" i="15"/>
  <c r="D2626" i="15"/>
  <c r="F274" i="23"/>
  <c r="E56" i="23"/>
  <c r="E238" i="22"/>
  <c r="E110" i="22"/>
  <c r="E34" i="22"/>
  <c r="E449" i="21"/>
  <c r="E417" i="21"/>
  <c r="E385" i="21"/>
  <c r="E353" i="21"/>
  <c r="E321" i="21"/>
  <c r="E289" i="21"/>
  <c r="E257" i="21"/>
  <c r="E225" i="21"/>
  <c r="E193" i="21"/>
  <c r="E161" i="21"/>
  <c r="E129" i="21"/>
  <c r="E97" i="21"/>
  <c r="E63" i="21"/>
  <c r="E35" i="21"/>
  <c r="E9" i="21"/>
  <c r="E153" i="20"/>
  <c r="E121" i="20"/>
  <c r="E89" i="20"/>
  <c r="E57" i="20"/>
  <c r="E25" i="20"/>
  <c r="E280" i="19"/>
  <c r="E248" i="19"/>
  <c r="E216" i="19"/>
  <c r="E184" i="19"/>
  <c r="E152" i="19"/>
  <c r="E134" i="19"/>
  <c r="E118" i="19"/>
  <c r="E102" i="19"/>
  <c r="F87" i="19"/>
  <c r="F79" i="19"/>
  <c r="F71" i="19"/>
  <c r="F63" i="19"/>
  <c r="F55" i="19"/>
  <c r="F47" i="19"/>
  <c r="F39" i="19"/>
  <c r="F31" i="19"/>
  <c r="F23" i="19"/>
  <c r="F15" i="19"/>
  <c r="F7" i="19"/>
  <c r="F155" i="18"/>
  <c r="F147" i="18"/>
  <c r="F139" i="18"/>
  <c r="F131" i="18"/>
  <c r="F123" i="18"/>
  <c r="F115" i="18"/>
  <c r="F107" i="18"/>
  <c r="F99" i="18"/>
  <c r="F91" i="18"/>
  <c r="F83" i="18"/>
  <c r="F75" i="18"/>
  <c r="F67" i="18"/>
  <c r="F59" i="18"/>
  <c r="F51" i="18"/>
  <c r="F43" i="18"/>
  <c r="F35" i="18"/>
  <c r="F27" i="18"/>
  <c r="F19" i="18"/>
  <c r="F11" i="18"/>
  <c r="F3" i="18"/>
  <c r="F213" i="17"/>
  <c r="F205" i="17"/>
  <c r="F197" i="17"/>
  <c r="F189" i="17"/>
  <c r="F181" i="17"/>
  <c r="F173" i="17"/>
  <c r="F165" i="17"/>
  <c r="F157" i="17"/>
  <c r="F149" i="17"/>
  <c r="F141" i="17"/>
  <c r="F133" i="17"/>
  <c r="F125" i="17"/>
  <c r="F117" i="17"/>
  <c r="F109" i="17"/>
  <c r="F101" i="17"/>
  <c r="F93" i="17"/>
  <c r="F85" i="17"/>
  <c r="F77" i="17"/>
  <c r="F69" i="17"/>
  <c r="F61" i="17"/>
  <c r="F53" i="17"/>
  <c r="F45" i="17"/>
  <c r="F37" i="17"/>
  <c r="F29" i="17"/>
  <c r="F21" i="17"/>
  <c r="F13" i="17"/>
  <c r="F5" i="17"/>
  <c r="E150" i="16"/>
  <c r="E134" i="16"/>
  <c r="E118" i="16"/>
  <c r="E102" i="16"/>
  <c r="E86" i="16"/>
  <c r="E70" i="16"/>
  <c r="E54" i="16"/>
  <c r="E38" i="16"/>
  <c r="E22" i="16"/>
  <c r="E6" i="16"/>
  <c r="E2745" i="15"/>
  <c r="E2737" i="15"/>
  <c r="E2729" i="15"/>
  <c r="E2721" i="15"/>
  <c r="E2713" i="15"/>
  <c r="E2705" i="15"/>
  <c r="E2697" i="15"/>
  <c r="E2689" i="15"/>
  <c r="E2681" i="15"/>
  <c r="E2673" i="15"/>
  <c r="E2665" i="15"/>
  <c r="E2657" i="15"/>
  <c r="E2649" i="15"/>
  <c r="E2641" i="15"/>
  <c r="E2633" i="15"/>
  <c r="E2625" i="15"/>
  <c r="E2617" i="15"/>
  <c r="E2609" i="15"/>
  <c r="E2601" i="15"/>
  <c r="E2593" i="15"/>
  <c r="E2585" i="15"/>
  <c r="E2577" i="15"/>
  <c r="E2569" i="15"/>
  <c r="E2561" i="15"/>
  <c r="E2553" i="15"/>
  <c r="E2545" i="15"/>
  <c r="E509" i="23"/>
  <c r="E55" i="22"/>
  <c r="E367" i="21"/>
  <c r="E239" i="21"/>
  <c r="E111" i="21"/>
  <c r="E143" i="20"/>
  <c r="E15" i="20"/>
  <c r="E174" i="19"/>
  <c r="E97" i="19"/>
  <c r="E61" i="19"/>
  <c r="E29" i="19"/>
  <c r="E153" i="18"/>
  <c r="E121" i="18"/>
  <c r="E89" i="18"/>
  <c r="E57" i="18"/>
  <c r="E25" i="18"/>
  <c r="E211" i="17"/>
  <c r="E179" i="17"/>
  <c r="E147" i="17"/>
  <c r="E115" i="17"/>
  <c r="E83" i="17"/>
  <c r="E51" i="17"/>
  <c r="E19" i="17"/>
  <c r="E129" i="16"/>
  <c r="E65" i="16"/>
  <c r="E2" i="16"/>
  <c r="D2719" i="15"/>
  <c r="D2687" i="15"/>
  <c r="D2655" i="15"/>
  <c r="D2623" i="15"/>
  <c r="D2607" i="15"/>
  <c r="E262" i="22"/>
  <c r="E423" i="21"/>
  <c r="E295" i="21"/>
  <c r="E167" i="21"/>
  <c r="E19" i="21"/>
  <c r="E71" i="20"/>
  <c r="E230" i="19"/>
  <c r="E125" i="19"/>
  <c r="E75" i="19"/>
  <c r="E43" i="19"/>
  <c r="E11" i="19"/>
  <c r="E135" i="18"/>
  <c r="E103" i="18"/>
  <c r="E71" i="18"/>
  <c r="E39" i="18"/>
  <c r="E7" i="18"/>
  <c r="E193" i="17"/>
  <c r="E161" i="17"/>
  <c r="E129" i="17"/>
  <c r="E97" i="17"/>
  <c r="E65" i="17"/>
  <c r="E33" i="17"/>
  <c r="E157" i="16"/>
  <c r="E93" i="16"/>
  <c r="E29" i="16"/>
  <c r="D2733" i="15"/>
  <c r="D2701" i="15"/>
  <c r="D2669" i="15"/>
  <c r="D2637" i="15"/>
  <c r="D2614" i="15"/>
  <c r="D2598" i="15"/>
  <c r="E48" i="23"/>
  <c r="E447" i="21"/>
  <c r="E319" i="21"/>
  <c r="E191" i="21"/>
  <c r="E67" i="21"/>
  <c r="E127" i="20"/>
  <c r="E286" i="19"/>
  <c r="E158" i="19"/>
  <c r="F89" i="19"/>
  <c r="E57" i="19"/>
  <c r="E25" i="19"/>
  <c r="E149" i="18"/>
  <c r="E117" i="18"/>
  <c r="E85" i="18"/>
  <c r="E53" i="18"/>
  <c r="E21" i="18"/>
  <c r="E207" i="17"/>
  <c r="E175" i="17"/>
  <c r="E143" i="17"/>
  <c r="E111" i="17"/>
  <c r="E79" i="17"/>
  <c r="E47" i="17"/>
  <c r="E15" i="17"/>
  <c r="E121" i="16"/>
  <c r="E57" i="16"/>
  <c r="D2747" i="15"/>
  <c r="D2715" i="15"/>
  <c r="D2683" i="15"/>
  <c r="D2651" i="15"/>
  <c r="D2621" i="15"/>
  <c r="D2605" i="15"/>
  <c r="E198" i="22"/>
  <c r="E407" i="21"/>
  <c r="E279" i="21"/>
  <c r="E151" i="21"/>
  <c r="E7" i="21"/>
  <c r="E55" i="20"/>
  <c r="E214" i="19"/>
  <c r="E117" i="19"/>
  <c r="E71" i="19"/>
  <c r="E39" i="19"/>
  <c r="E7" i="19"/>
  <c r="E131" i="18"/>
  <c r="E99" i="18"/>
  <c r="E67" i="18"/>
  <c r="E35" i="18"/>
  <c r="E3" i="18"/>
  <c r="E189" i="17"/>
  <c r="E157" i="17"/>
  <c r="E125" i="17"/>
  <c r="E93" i="17"/>
  <c r="E61" i="17"/>
  <c r="E29" i="17"/>
  <c r="E149" i="16"/>
  <c r="E85" i="16"/>
  <c r="E21" i="16"/>
  <c r="D2729" i="15"/>
  <c r="D2697" i="15"/>
  <c r="D2665" i="15"/>
  <c r="D2633" i="15"/>
  <c r="D2612" i="15"/>
  <c r="D2596" i="15"/>
  <c r="D2599" i="15"/>
  <c r="D2576" i="15"/>
  <c r="D2560" i="15"/>
  <c r="D2544" i="15"/>
  <c r="E2533" i="15"/>
  <c r="E2525" i="15"/>
  <c r="E2517" i="15"/>
  <c r="E2509" i="15"/>
  <c r="E2501" i="15"/>
  <c r="E2493" i="15"/>
  <c r="E2485" i="15"/>
  <c r="E2477" i="15"/>
  <c r="E2469" i="15"/>
  <c r="E2461" i="15"/>
  <c r="E2453" i="15"/>
  <c r="E2445" i="15"/>
  <c r="E2437" i="15"/>
  <c r="E2429" i="15"/>
  <c r="E2421" i="15"/>
  <c r="E2413" i="15"/>
  <c r="E2405" i="15"/>
  <c r="E2397" i="15"/>
  <c r="E2389" i="15"/>
  <c r="E2381" i="15"/>
  <c r="E2373" i="15"/>
  <c r="E2365" i="15"/>
  <c r="E2357" i="15"/>
  <c r="E2349" i="15"/>
  <c r="E2341" i="15"/>
  <c r="E2333" i="15"/>
  <c r="E2325" i="15"/>
  <c r="E2317" i="15"/>
  <c r="E2309" i="15"/>
  <c r="E2301" i="15"/>
  <c r="E2293" i="15"/>
  <c r="E2285" i="15"/>
  <c r="E2277" i="15"/>
  <c r="E2269" i="15"/>
  <c r="E61" i="20"/>
  <c r="E29" i="20"/>
  <c r="E284" i="19"/>
  <c r="E252" i="19"/>
  <c r="E220" i="19"/>
  <c r="E188" i="19"/>
  <c r="E156" i="19"/>
  <c r="E136" i="19"/>
  <c r="E120" i="19"/>
  <c r="E104" i="19"/>
  <c r="E89" i="19"/>
  <c r="F80" i="19"/>
  <c r="F72" i="19"/>
  <c r="F64" i="19"/>
  <c r="F56" i="19"/>
  <c r="F48" i="19"/>
  <c r="F40" i="19"/>
  <c r="F32" i="19"/>
  <c r="F24" i="19"/>
  <c r="F16" i="19"/>
  <c r="F8" i="19"/>
  <c r="F156" i="18"/>
  <c r="F148" i="18"/>
  <c r="F140" i="18"/>
  <c r="F132" i="18"/>
  <c r="F124" i="18"/>
  <c r="F116" i="18"/>
  <c r="F108" i="18"/>
  <c r="F100" i="18"/>
  <c r="F92" i="18"/>
  <c r="F84" i="18"/>
  <c r="F76" i="18"/>
  <c r="F68" i="18"/>
  <c r="F60" i="18"/>
  <c r="F52" i="18"/>
  <c r="F44" i="18"/>
  <c r="F36" i="18"/>
  <c r="F28" i="18"/>
  <c r="F20" i="18"/>
  <c r="F12" i="18"/>
  <c r="F4" i="18"/>
  <c r="F214" i="17"/>
  <c r="F206" i="17"/>
  <c r="F198" i="17"/>
  <c r="F190" i="17"/>
  <c r="F182" i="17"/>
  <c r="F174" i="17"/>
  <c r="F166" i="17"/>
  <c r="F158" i="17"/>
  <c r="F150" i="17"/>
  <c r="F142" i="17"/>
  <c r="F134" i="17"/>
  <c r="F126" i="17"/>
  <c r="F118" i="17"/>
  <c r="F110" i="17"/>
  <c r="F102" i="17"/>
  <c r="F94" i="17"/>
  <c r="F86" i="17"/>
  <c r="F78" i="17"/>
  <c r="F70" i="17"/>
  <c r="F62" i="17"/>
  <c r="F54" i="17"/>
  <c r="F46" i="17"/>
  <c r="F38" i="17"/>
  <c r="F30" i="17"/>
  <c r="F22" i="17"/>
  <c r="F14" i="17"/>
  <c r="F6" i="17"/>
  <c r="E152" i="16"/>
  <c r="E136" i="16"/>
  <c r="E120" i="16"/>
  <c r="E104" i="16"/>
  <c r="E88" i="16"/>
  <c r="E72" i="16"/>
  <c r="E56" i="16"/>
  <c r="E40" i="16"/>
  <c r="E24" i="16"/>
  <c r="E8" i="16"/>
  <c r="E2746" i="15"/>
  <c r="E2738" i="15"/>
  <c r="E2730" i="15"/>
  <c r="E2722" i="15"/>
  <c r="E2714" i="15"/>
  <c r="E2706" i="15"/>
  <c r="E2698" i="15"/>
  <c r="E2690" i="15"/>
  <c r="E2682" i="15"/>
  <c r="E2674" i="15"/>
  <c r="E2666" i="15"/>
  <c r="E2658" i="15"/>
  <c r="E2650" i="15"/>
  <c r="E2642" i="15"/>
  <c r="E2634" i="15"/>
  <c r="E2626" i="15"/>
  <c r="E2618" i="15"/>
  <c r="E2610" i="15"/>
  <c r="E2602" i="15"/>
  <c r="E2594" i="15"/>
  <c r="E2586" i="15"/>
  <c r="E2578" i="15"/>
  <c r="E2570" i="15"/>
  <c r="E2562" i="15"/>
  <c r="E2554" i="15"/>
  <c r="E2546" i="15"/>
  <c r="D75" i="24"/>
  <c r="F142" i="23"/>
  <c r="E310" i="22"/>
  <c r="E182" i="22"/>
  <c r="E63" i="22"/>
  <c r="E15" i="22"/>
  <c r="E435" i="21"/>
  <c r="E403" i="21"/>
  <c r="E371" i="21"/>
  <c r="E339" i="21"/>
  <c r="E307" i="21"/>
  <c r="E275" i="21"/>
  <c r="E243" i="21"/>
  <c r="E211" i="21"/>
  <c r="E179" i="21"/>
  <c r="E147" i="21"/>
  <c r="E115" i="21"/>
  <c r="E83" i="21"/>
  <c r="E59" i="21"/>
  <c r="E31" i="21"/>
  <c r="E3" i="21"/>
  <c r="E147" i="20"/>
  <c r="E115" i="20"/>
  <c r="E83" i="20"/>
  <c r="E51" i="20"/>
  <c r="E19" i="20"/>
  <c r="E274" i="19"/>
  <c r="E242" i="19"/>
  <c r="E210" i="19"/>
  <c r="E178" i="19"/>
  <c r="E147" i="19"/>
  <c r="E131" i="19"/>
  <c r="E115" i="19"/>
  <c r="E99" i="19"/>
  <c r="E86" i="19"/>
  <c r="E78" i="19"/>
  <c r="E70" i="19"/>
  <c r="E62" i="19"/>
  <c r="E54" i="19"/>
  <c r="E46" i="19"/>
  <c r="E38" i="19"/>
  <c r="E30" i="19"/>
  <c r="E22" i="19"/>
  <c r="E14" i="19"/>
  <c r="E6" i="19"/>
  <c r="E154" i="18"/>
  <c r="E146" i="18"/>
  <c r="E138" i="18"/>
  <c r="E130" i="18"/>
  <c r="E122" i="18"/>
  <c r="E114" i="18"/>
  <c r="E106" i="18"/>
  <c r="E98" i="18"/>
  <c r="E90" i="18"/>
  <c r="E82" i="18"/>
  <c r="E74" i="18"/>
  <c r="E66" i="18"/>
  <c r="E58" i="18"/>
  <c r="E50" i="18"/>
  <c r="E42" i="18"/>
  <c r="E34" i="18"/>
  <c r="E26" i="18"/>
  <c r="E18" i="18"/>
  <c r="E10" i="18"/>
  <c r="E2" i="18"/>
  <c r="E212" i="17"/>
  <c r="E204" i="17"/>
  <c r="E196" i="17"/>
  <c r="E188" i="17"/>
  <c r="E180" i="17"/>
  <c r="E172" i="17"/>
  <c r="E164" i="17"/>
  <c r="E156" i="17"/>
  <c r="E148" i="17"/>
  <c r="E140" i="17"/>
  <c r="E132" i="17"/>
  <c r="E124" i="17"/>
  <c r="E116" i="17"/>
  <c r="E108" i="17"/>
  <c r="E100" i="17"/>
  <c r="E92" i="17"/>
  <c r="E84" i="17"/>
  <c r="E76" i="17"/>
  <c r="E68" i="17"/>
  <c r="E60" i="17"/>
  <c r="E52" i="17"/>
  <c r="E44" i="17"/>
  <c r="E36" i="17"/>
  <c r="E28" i="17"/>
  <c r="E20" i="17"/>
  <c r="E12" i="17"/>
  <c r="E4" i="17"/>
  <c r="E147" i="16"/>
  <c r="E131" i="16"/>
  <c r="E115" i="16"/>
  <c r="E99" i="16"/>
  <c r="E83" i="16"/>
  <c r="E67" i="16"/>
  <c r="E51" i="16"/>
  <c r="E35" i="16"/>
  <c r="E19" i="16"/>
  <c r="E3" i="16"/>
  <c r="D2744" i="15"/>
  <c r="D2736" i="15"/>
  <c r="D2728" i="15"/>
  <c r="D2720" i="15"/>
  <c r="D2712" i="15"/>
  <c r="D2704" i="15"/>
  <c r="D2696" i="15"/>
  <c r="D2688" i="15"/>
  <c r="D2680" i="15"/>
  <c r="D2672" i="15"/>
  <c r="D2664" i="15"/>
  <c r="D2656" i="15"/>
  <c r="D2648" i="15"/>
  <c r="D2640" i="15"/>
  <c r="D2632" i="15"/>
  <c r="D2624" i="15"/>
  <c r="F190" i="23"/>
  <c r="E24" i="23"/>
  <c r="E206" i="22"/>
  <c r="E78" i="22"/>
  <c r="E23" i="22"/>
  <c r="E441" i="21"/>
  <c r="E409" i="21"/>
  <c r="E377" i="21"/>
  <c r="E345" i="21"/>
  <c r="E313" i="21"/>
  <c r="E281" i="21"/>
  <c r="E249" i="21"/>
  <c r="E217" i="21"/>
  <c r="E185" i="21"/>
  <c r="E153" i="21"/>
  <c r="E121" i="21"/>
  <c r="E89" i="21"/>
  <c r="E57" i="21"/>
  <c r="E29" i="21"/>
  <c r="E177" i="20"/>
  <c r="E145" i="20"/>
  <c r="E113" i="20"/>
  <c r="E81" i="20"/>
  <c r="E49" i="20"/>
  <c r="E17" i="20"/>
  <c r="E272" i="19"/>
  <c r="E240" i="19"/>
  <c r="E208" i="19"/>
  <c r="E176" i="19"/>
  <c r="E146" i="19"/>
  <c r="E130" i="19"/>
  <c r="E114" i="19"/>
  <c r="E98" i="19"/>
  <c r="F85" i="19"/>
  <c r="F77" i="19"/>
  <c r="F69" i="19"/>
  <c r="F61" i="19"/>
  <c r="F53" i="19"/>
  <c r="F45" i="19"/>
  <c r="F37" i="19"/>
  <c r="F29" i="19"/>
  <c r="F21" i="19"/>
  <c r="F13" i="19"/>
  <c r="F5" i="19"/>
  <c r="F153" i="18"/>
  <c r="F145" i="18"/>
  <c r="F137" i="18"/>
  <c r="F129" i="18"/>
  <c r="F121" i="18"/>
  <c r="F113" i="18"/>
  <c r="F105" i="18"/>
  <c r="F97" i="18"/>
  <c r="F89" i="18"/>
  <c r="F81" i="18"/>
  <c r="F73" i="18"/>
  <c r="F65" i="18"/>
  <c r="F57" i="18"/>
  <c r="F49" i="18"/>
  <c r="F41" i="18"/>
  <c r="F33" i="18"/>
  <c r="F25" i="18"/>
  <c r="F17" i="18"/>
  <c r="F9" i="18"/>
  <c r="F219" i="17"/>
  <c r="F211" i="17"/>
  <c r="F203" i="17"/>
  <c r="F195" i="17"/>
  <c r="F187" i="17"/>
  <c r="F179" i="17"/>
  <c r="F171" i="17"/>
  <c r="F163" i="17"/>
  <c r="F155" i="17"/>
  <c r="F147" i="17"/>
  <c r="F139" i="17"/>
  <c r="F131" i="17"/>
  <c r="F123" i="17"/>
  <c r="F115" i="17"/>
  <c r="F107" i="17"/>
  <c r="F99" i="17"/>
  <c r="F91" i="17"/>
  <c r="F83" i="17"/>
  <c r="F75" i="17"/>
  <c r="F67" i="17"/>
  <c r="F59" i="17"/>
  <c r="F51" i="17"/>
  <c r="F43" i="17"/>
  <c r="F35" i="17"/>
  <c r="F27" i="17"/>
  <c r="F19" i="17"/>
  <c r="F11" i="17"/>
  <c r="F3" i="17"/>
  <c r="E146" i="16"/>
  <c r="E130" i="16"/>
  <c r="E114" i="16"/>
  <c r="E98" i="16"/>
  <c r="E82" i="16"/>
  <c r="E66" i="16"/>
  <c r="E50" i="16"/>
  <c r="E34" i="16"/>
  <c r="E18" i="16"/>
  <c r="F2" i="16"/>
  <c r="E2743" i="15"/>
  <c r="E2735" i="15"/>
  <c r="E2727" i="15"/>
  <c r="E2719" i="15"/>
  <c r="E2711" i="15"/>
  <c r="E2703" i="15"/>
  <c r="E2695" i="15"/>
  <c r="E2687" i="15"/>
  <c r="E2679" i="15"/>
  <c r="E2671" i="15"/>
  <c r="E2663" i="15"/>
  <c r="E2655" i="15"/>
  <c r="E2647" i="15"/>
  <c r="E2639" i="15"/>
  <c r="E2631" i="15"/>
  <c r="E2623" i="15"/>
  <c r="E2615" i="15"/>
  <c r="E2607" i="15"/>
  <c r="E2599" i="15"/>
  <c r="E2591" i="15"/>
  <c r="E2583" i="15"/>
  <c r="E2575" i="15"/>
  <c r="E2567" i="15"/>
  <c r="E2559" i="15"/>
  <c r="E2551" i="15"/>
  <c r="E2543" i="15"/>
  <c r="F112" i="23"/>
  <c r="E10" i="22"/>
  <c r="E335" i="21"/>
  <c r="E207" i="21"/>
  <c r="E55" i="21"/>
  <c r="E111" i="20"/>
  <c r="E270" i="19"/>
  <c r="E145" i="19"/>
  <c r="E85" i="19"/>
  <c r="E53" i="19"/>
  <c r="E21" i="19"/>
  <c r="E145" i="18"/>
  <c r="E113" i="18"/>
  <c r="E81" i="18"/>
  <c r="E49" i="18"/>
  <c r="E17" i="18"/>
  <c r="E203" i="17"/>
  <c r="E171" i="17"/>
  <c r="E139" i="17"/>
  <c r="E107" i="17"/>
  <c r="E75" i="17"/>
  <c r="E43" i="17"/>
  <c r="E11" i="17"/>
  <c r="E113" i="16"/>
  <c r="E49" i="16"/>
  <c r="D2743" i="15"/>
  <c r="D2711" i="15"/>
  <c r="D2679" i="15"/>
  <c r="D2647" i="15"/>
  <c r="D2619" i="15"/>
  <c r="D2603" i="15"/>
  <c r="E134" i="22"/>
  <c r="E391" i="21"/>
  <c r="E263" i="21"/>
  <c r="E135" i="21"/>
  <c r="E167" i="20"/>
  <c r="E39" i="20"/>
  <c r="E198" i="19"/>
  <c r="E109" i="19"/>
  <c r="E67" i="19"/>
  <c r="E35" i="19"/>
  <c r="E3" i="19"/>
  <c r="E127" i="18"/>
  <c r="E95" i="18"/>
  <c r="E63" i="18"/>
  <c r="E31" i="18"/>
  <c r="E217" i="17"/>
  <c r="E185" i="17"/>
  <c r="E153" i="17"/>
  <c r="E121" i="17"/>
  <c r="E89" i="17"/>
  <c r="E57" i="17"/>
  <c r="E25" i="17"/>
  <c r="E141" i="16"/>
  <c r="E77" i="16"/>
  <c r="E13" i="16"/>
  <c r="D2725" i="15"/>
  <c r="D2693" i="15"/>
  <c r="D2661" i="15"/>
  <c r="D2629" i="15"/>
  <c r="D2610" i="15"/>
  <c r="D2594" i="15"/>
  <c r="E230" i="22"/>
  <c r="E415" i="21"/>
  <c r="E287" i="21"/>
  <c r="E159" i="21"/>
  <c r="E41" i="21"/>
  <c r="E95" i="20"/>
  <c r="E254" i="19"/>
  <c r="E137" i="19"/>
  <c r="E81" i="19"/>
  <c r="E49" i="19"/>
  <c r="E17" i="19"/>
  <c r="E141" i="18"/>
  <c r="E109" i="18"/>
  <c r="E77" i="18"/>
  <c r="E45" i="18"/>
  <c r="E13" i="18"/>
  <c r="E199" i="17"/>
  <c r="E167" i="17"/>
  <c r="E135" i="17"/>
  <c r="E103" i="17"/>
  <c r="E71" i="17"/>
  <c r="E39" i="17"/>
  <c r="E7" i="17"/>
  <c r="E105" i="16"/>
  <c r="E41" i="16"/>
  <c r="D2739" i="15"/>
  <c r="D2707" i="15"/>
  <c r="D2675" i="15"/>
  <c r="D2643" i="15"/>
  <c r="D2617" i="15"/>
  <c r="D2601" i="15"/>
  <c r="E71" i="22"/>
  <c r="E375" i="21"/>
  <c r="E247" i="21"/>
  <c r="E119" i="21"/>
  <c r="E151" i="20"/>
  <c r="E23" i="20"/>
  <c r="E182" i="19"/>
  <c r="E101" i="19"/>
  <c r="E63" i="19"/>
  <c r="E31" i="19"/>
  <c r="E155" i="18"/>
  <c r="E123" i="18"/>
  <c r="E91" i="18"/>
  <c r="E59" i="18"/>
  <c r="E27" i="18"/>
  <c r="E213" i="17"/>
  <c r="E181" i="17"/>
  <c r="E149" i="17"/>
  <c r="E117" i="17"/>
  <c r="E85" i="17"/>
  <c r="E53" i="17"/>
  <c r="E21" i="17"/>
  <c r="E133" i="16"/>
  <c r="E69" i="16"/>
  <c r="E5" i="16"/>
  <c r="D2721" i="15"/>
  <c r="D2689" i="15"/>
  <c r="D2657" i="15"/>
  <c r="D2625" i="15"/>
  <c r="D2608" i="15"/>
  <c r="D2592" i="15"/>
  <c r="D2591" i="15"/>
  <c r="D2572" i="15"/>
  <c r="D2556" i="15"/>
  <c r="D2540" i="15"/>
  <c r="E2531" i="15"/>
  <c r="E2523" i="15"/>
  <c r="E2515" i="15"/>
  <c r="E2507" i="15"/>
  <c r="E2499" i="15"/>
  <c r="E2491" i="15"/>
  <c r="E2483" i="15"/>
  <c r="E2475" i="15"/>
  <c r="E2467" i="15"/>
  <c r="E2459" i="15"/>
  <c r="E2451" i="15"/>
  <c r="E2443" i="15"/>
  <c r="E2435" i="15"/>
  <c r="E2427" i="15"/>
  <c r="E2419" i="15"/>
  <c r="E2411" i="15"/>
  <c r="E2403" i="15"/>
  <c r="E2395" i="15"/>
  <c r="E2387" i="15"/>
  <c r="E2379" i="15"/>
  <c r="E2371" i="15"/>
  <c r="E2363" i="15"/>
  <c r="E2355" i="15"/>
  <c r="E2347" i="15"/>
  <c r="E2339" i="15"/>
  <c r="E2331" i="15"/>
  <c r="E2323" i="15"/>
  <c r="E2315" i="15"/>
  <c r="E2307" i="15"/>
  <c r="E2299" i="15"/>
  <c r="E2291" i="15"/>
  <c r="E2283" i="15"/>
  <c r="E2275" i="15"/>
  <c r="E53" i="20"/>
  <c r="E21" i="20"/>
  <c r="E276" i="19"/>
  <c r="E244" i="19"/>
  <c r="E212" i="19"/>
  <c r="E180" i="19"/>
  <c r="E148" i="19"/>
  <c r="E132" i="19"/>
  <c r="E116" i="19"/>
  <c r="E100" i="19"/>
  <c r="F86" i="19"/>
  <c r="F78" i="19"/>
  <c r="F70" i="19"/>
  <c r="F62" i="19"/>
  <c r="F54" i="19"/>
  <c r="F46" i="19"/>
  <c r="F38" i="19"/>
  <c r="F30" i="19"/>
  <c r="F22" i="19"/>
  <c r="F14" i="19"/>
  <c r="F6" i="19"/>
  <c r="F154" i="18"/>
  <c r="F146" i="18"/>
  <c r="F138" i="18"/>
  <c r="F130" i="18"/>
  <c r="F122" i="18"/>
  <c r="F114" i="18"/>
  <c r="F106" i="18"/>
  <c r="F98" i="18"/>
  <c r="F90" i="18"/>
  <c r="F82" i="18"/>
  <c r="F74" i="18"/>
  <c r="F66" i="18"/>
  <c r="F58" i="18"/>
  <c r="F50" i="18"/>
  <c r="F42" i="18"/>
  <c r="F34" i="18"/>
  <c r="F26" i="18"/>
  <c r="F18" i="18"/>
  <c r="F10" i="18"/>
  <c r="F2" i="18"/>
  <c r="F212" i="17"/>
  <c r="F204" i="17"/>
  <c r="F196" i="17"/>
  <c r="F188" i="17"/>
  <c r="F180" i="17"/>
  <c r="F172" i="17"/>
  <c r="F164" i="17"/>
  <c r="F156" i="17"/>
  <c r="F148" i="17"/>
  <c r="F140" i="17"/>
  <c r="F132" i="17"/>
  <c r="F124" i="17"/>
  <c r="F116" i="17"/>
  <c r="F108" i="17"/>
  <c r="F100" i="17"/>
  <c r="F92" i="17"/>
  <c r="F84" i="17"/>
  <c r="F76" i="17"/>
  <c r="F68" i="17"/>
  <c r="F60" i="17"/>
  <c r="F52" i="17"/>
  <c r="F44" i="17"/>
  <c r="F36" i="17"/>
  <c r="F28" i="17"/>
  <c r="F20" i="17"/>
  <c r="F12" i="17"/>
  <c r="F4" i="17"/>
  <c r="E148" i="16"/>
  <c r="E132" i="16"/>
  <c r="E116" i="16"/>
  <c r="E100" i="16"/>
  <c r="E84" i="16"/>
  <c r="E68" i="16"/>
  <c r="E52" i="16"/>
  <c r="E36" i="16"/>
  <c r="E20" i="16"/>
  <c r="E4" i="16"/>
  <c r="E2744" i="15"/>
  <c r="E2736" i="15"/>
  <c r="E2728" i="15"/>
  <c r="E2720" i="15"/>
  <c r="E2712" i="15"/>
  <c r="E2704" i="15"/>
  <c r="E2696" i="15"/>
  <c r="E2688" i="15"/>
  <c r="E2680" i="15"/>
  <c r="E2672" i="15"/>
  <c r="E2664" i="15"/>
  <c r="E2656" i="15"/>
  <c r="E2648" i="15"/>
  <c r="E2640" i="15"/>
  <c r="E2632" i="15"/>
  <c r="E2624" i="15"/>
  <c r="E2616" i="15"/>
  <c r="E2608" i="15"/>
  <c r="E2600" i="15"/>
  <c r="E2592" i="15"/>
  <c r="E2584" i="15"/>
  <c r="E2576" i="15"/>
  <c r="E2568" i="15"/>
  <c r="E2560" i="15"/>
  <c r="E2552" i="15"/>
  <c r="E2544" i="15"/>
  <c r="F434" i="23"/>
  <c r="E96" i="23"/>
  <c r="E278" i="22"/>
  <c r="E150" i="22"/>
  <c r="E47" i="22"/>
  <c r="E5" i="22"/>
  <c r="E427" i="21"/>
  <c r="E395" i="21"/>
  <c r="E363" i="21"/>
  <c r="E331" i="21"/>
  <c r="E299" i="21"/>
  <c r="E267" i="21"/>
  <c r="E235" i="21"/>
  <c r="E203" i="21"/>
  <c r="E171" i="21"/>
  <c r="E139" i="21"/>
  <c r="E107" i="21"/>
  <c r="E77" i="21"/>
  <c r="E51" i="21"/>
  <c r="E23" i="21"/>
  <c r="E171" i="20"/>
  <c r="E139" i="20"/>
  <c r="E107" i="20"/>
  <c r="E75" i="20"/>
  <c r="E43" i="20"/>
  <c r="E11" i="20"/>
  <c r="E266" i="19"/>
  <c r="E234" i="19"/>
  <c r="E202" i="19"/>
  <c r="E170" i="19"/>
  <c r="E143" i="19"/>
  <c r="E127" i="19"/>
  <c r="E111" i="19"/>
  <c r="E95" i="19"/>
  <c r="E84" i="19"/>
  <c r="E76" i="19"/>
  <c r="E68" i="19"/>
  <c r="E60" i="19"/>
  <c r="E52" i="19"/>
  <c r="E44" i="19"/>
  <c r="E36" i="19"/>
  <c r="E28" i="19"/>
  <c r="E20" i="19"/>
  <c r="E12" i="19"/>
  <c r="E4" i="19"/>
  <c r="E152" i="18"/>
  <c r="E144" i="18"/>
  <c r="E136" i="18"/>
  <c r="E128" i="18"/>
  <c r="E120" i="18"/>
  <c r="E112" i="18"/>
  <c r="E104" i="18"/>
  <c r="E96" i="18"/>
  <c r="E88" i="18"/>
  <c r="E80" i="18"/>
  <c r="E72" i="18"/>
  <c r="E64" i="18"/>
  <c r="E56" i="18"/>
  <c r="E48" i="18"/>
  <c r="E40" i="18"/>
  <c r="E32" i="18"/>
  <c r="E24" i="18"/>
  <c r="E16" i="18"/>
  <c r="E8" i="18"/>
  <c r="E218" i="17"/>
  <c r="E210" i="17"/>
  <c r="E202" i="17"/>
  <c r="E194" i="17"/>
  <c r="E186" i="17"/>
  <c r="E178" i="17"/>
  <c r="E170" i="17"/>
  <c r="E162" i="17"/>
  <c r="E154" i="17"/>
  <c r="E146" i="17"/>
  <c r="E138" i="17"/>
  <c r="E130" i="17"/>
  <c r="E122" i="17"/>
  <c r="E114" i="17"/>
  <c r="E106" i="17"/>
  <c r="E98" i="17"/>
  <c r="E90" i="17"/>
  <c r="E82" i="17"/>
  <c r="E74" i="17"/>
  <c r="E66" i="17"/>
  <c r="E58" i="17"/>
  <c r="E50" i="17"/>
  <c r="E42" i="17"/>
  <c r="E34" i="17"/>
  <c r="E26" i="17"/>
  <c r="E18" i="17"/>
  <c r="E10" i="17"/>
  <c r="E2" i="17"/>
  <c r="E143" i="16"/>
  <c r="E127" i="16"/>
  <c r="E111" i="16"/>
  <c r="E95" i="16"/>
  <c r="E79" i="16"/>
  <c r="E63" i="16"/>
  <c r="E47" i="16"/>
  <c r="E31" i="16"/>
  <c r="E15" i="16"/>
  <c r="D2750" i="15"/>
  <c r="D2742" i="15"/>
  <c r="D2734" i="15"/>
  <c r="D2726" i="15"/>
  <c r="D2718" i="15"/>
  <c r="D2710" i="15"/>
  <c r="D2702" i="15"/>
  <c r="D2694" i="15"/>
  <c r="D2686" i="15"/>
  <c r="D2678" i="15"/>
  <c r="D2670" i="15"/>
  <c r="D2662" i="15"/>
  <c r="D2654" i="15"/>
  <c r="D2646" i="15"/>
  <c r="D2638" i="15"/>
  <c r="D2630" i="15"/>
  <c r="E614" i="23"/>
  <c r="F126" i="23"/>
  <c r="E302" i="22"/>
  <c r="E174" i="22"/>
  <c r="E59" i="22"/>
  <c r="F12" i="22"/>
  <c r="E433" i="21"/>
  <c r="E401" i="21"/>
  <c r="E369" i="21"/>
  <c r="E337" i="21"/>
  <c r="E305" i="21"/>
  <c r="E273" i="21"/>
  <c r="E241" i="21"/>
  <c r="E209" i="21"/>
  <c r="E177" i="21"/>
  <c r="E145" i="21"/>
  <c r="E113" i="21"/>
  <c r="E81" i="21"/>
  <c r="E49" i="21"/>
  <c r="E21" i="21"/>
  <c r="E169" i="20"/>
  <c r="E137" i="20"/>
  <c r="E105" i="20"/>
  <c r="E73" i="20"/>
  <c r="E41" i="20"/>
  <c r="E9" i="20"/>
  <c r="E264" i="19"/>
  <c r="E232" i="19"/>
  <c r="E200" i="19"/>
  <c r="E168" i="19"/>
  <c r="E142" i="19"/>
  <c r="E126" i="19"/>
  <c r="E110" i="19"/>
  <c r="E94" i="19"/>
  <c r="F83" i="19"/>
  <c r="F75" i="19"/>
  <c r="F67" i="19"/>
  <c r="F59" i="19"/>
  <c r="F51" i="19"/>
  <c r="F43" i="19"/>
  <c r="F35" i="19"/>
  <c r="F27" i="19"/>
  <c r="F19" i="19"/>
  <c r="F11" i="19"/>
  <c r="F3" i="19"/>
  <c r="F151" i="18"/>
  <c r="F143" i="18"/>
  <c r="F135" i="18"/>
  <c r="F127" i="18"/>
  <c r="F119" i="18"/>
  <c r="F111" i="18"/>
  <c r="F103" i="18"/>
  <c r="F95" i="18"/>
  <c r="F87" i="18"/>
  <c r="F79" i="18"/>
  <c r="F71" i="18"/>
  <c r="F63" i="18"/>
  <c r="F55" i="18"/>
  <c r="F47" i="18"/>
  <c r="F39" i="18"/>
  <c r="F31" i="18"/>
  <c r="F23" i="18"/>
  <c r="F15" i="18"/>
  <c r="F7" i="18"/>
  <c r="F217" i="17"/>
  <c r="F209" i="17"/>
  <c r="F201" i="17"/>
  <c r="F193" i="17"/>
  <c r="F185" i="17"/>
  <c r="F177" i="17"/>
  <c r="F169" i="17"/>
  <c r="F161" i="17"/>
  <c r="F153" i="17"/>
  <c r="F145" i="17"/>
  <c r="F137" i="17"/>
  <c r="F129" i="17"/>
  <c r="F121" i="17"/>
  <c r="F113" i="17"/>
  <c r="F105" i="17"/>
  <c r="F97" i="17"/>
  <c r="F89" i="17"/>
  <c r="F81" i="17"/>
  <c r="F73" i="17"/>
  <c r="F65" i="17"/>
  <c r="F57" i="17"/>
  <c r="F49" i="17"/>
  <c r="F41" i="17"/>
  <c r="F33" i="17"/>
  <c r="F25" i="17"/>
  <c r="F17" i="17"/>
  <c r="F9" i="17"/>
  <c r="E158" i="16"/>
  <c r="E142" i="16"/>
  <c r="E126" i="16"/>
  <c r="E110" i="16"/>
  <c r="E94" i="16"/>
  <c r="E78" i="16"/>
  <c r="E62" i="16"/>
  <c r="E46" i="16"/>
  <c r="E30" i="16"/>
  <c r="E14" i="16"/>
  <c r="E2749" i="15"/>
  <c r="E2741" i="15"/>
  <c r="E2733" i="15"/>
  <c r="E2725" i="15"/>
  <c r="E2717" i="15"/>
  <c r="E2709" i="15"/>
  <c r="E2701" i="15"/>
  <c r="E2693" i="15"/>
  <c r="E2685" i="15"/>
  <c r="E2677" i="15"/>
  <c r="E2669" i="15"/>
  <c r="E2661" i="15"/>
  <c r="E2653" i="15"/>
  <c r="E2645" i="15"/>
  <c r="E2637" i="15"/>
  <c r="E2629" i="15"/>
  <c r="E2621" i="15"/>
  <c r="E2613" i="15"/>
  <c r="E2605" i="15"/>
  <c r="E2597" i="15"/>
  <c r="E2589" i="15"/>
  <c r="E2581" i="15"/>
  <c r="E2573" i="15"/>
  <c r="E2565" i="15"/>
  <c r="E2557" i="15"/>
  <c r="E2549" i="15"/>
  <c r="E2541" i="15"/>
  <c r="E294" i="22"/>
  <c r="E431" i="21"/>
  <c r="E303" i="21"/>
  <c r="E175" i="21"/>
  <c r="E27" i="21"/>
  <c r="E79" i="20"/>
  <c r="E238" i="19"/>
  <c r="E129" i="19"/>
  <c r="E77" i="19"/>
  <c r="E45" i="19"/>
  <c r="E13" i="19"/>
  <c r="E137" i="18"/>
  <c r="E105" i="18"/>
  <c r="E73" i="18"/>
  <c r="E41" i="18"/>
  <c r="E9" i="18"/>
  <c r="E195" i="17"/>
  <c r="E163" i="17"/>
  <c r="E131" i="17"/>
  <c r="E99" i="17"/>
  <c r="E67" i="17"/>
  <c r="E35" i="17"/>
  <c r="E3" i="17"/>
  <c r="E97" i="16"/>
  <c r="E33" i="16"/>
  <c r="D2735" i="15"/>
  <c r="D2703" i="15"/>
  <c r="D2671" i="15"/>
  <c r="D2639" i="15"/>
  <c r="D2615" i="15"/>
  <c r="F370" i="23"/>
  <c r="E42" i="22"/>
  <c r="E359" i="21"/>
  <c r="E231" i="21"/>
  <c r="E103" i="21"/>
  <c r="E135" i="20"/>
  <c r="E7" i="20"/>
  <c r="E166" i="19"/>
  <c r="E93" i="19"/>
  <c r="E59" i="19"/>
  <c r="E27" i="19"/>
  <c r="E151" i="18"/>
  <c r="E119" i="18"/>
  <c r="E87" i="18"/>
  <c r="E55" i="18"/>
  <c r="E23" i="18"/>
  <c r="E209" i="17"/>
  <c r="E177" i="17"/>
  <c r="E145" i="17"/>
  <c r="E113" i="17"/>
  <c r="E81" i="17"/>
  <c r="E49" i="17"/>
  <c r="E17" i="17"/>
  <c r="E125" i="16"/>
  <c r="E61" i="16"/>
  <c r="D2749" i="15"/>
  <c r="D2717" i="15"/>
  <c r="D2685" i="15"/>
  <c r="D2653" i="15"/>
  <c r="D2622" i="15"/>
  <c r="D2606" i="15"/>
  <c r="D2590" i="15"/>
  <c r="E102" i="22"/>
  <c r="E383" i="21"/>
  <c r="E255" i="21"/>
  <c r="E127" i="21"/>
  <c r="E13" i="21"/>
  <c r="E63" i="20"/>
  <c r="E222" i="19"/>
  <c r="E121" i="19"/>
  <c r="E73" i="19"/>
  <c r="E41" i="19"/>
  <c r="E9" i="19"/>
  <c r="E133" i="18"/>
  <c r="E101" i="18"/>
  <c r="E69" i="18"/>
  <c r="E37" i="18"/>
  <c r="E5" i="18"/>
  <c r="E191" i="17"/>
  <c r="E159" i="17"/>
  <c r="E127" i="17"/>
  <c r="E95" i="17"/>
  <c r="E63" i="17"/>
  <c r="E31" i="17"/>
  <c r="E153" i="16"/>
  <c r="E89" i="16"/>
  <c r="E25" i="16"/>
  <c r="D2731" i="15"/>
  <c r="D2699" i="15"/>
  <c r="D2667" i="15"/>
  <c r="D2635" i="15"/>
  <c r="D2613" i="15"/>
  <c r="F174" i="23"/>
  <c r="F20" i="22"/>
  <c r="E343" i="21"/>
  <c r="E215" i="21"/>
  <c r="E87" i="21"/>
  <c r="E119" i="20"/>
  <c r="E278" i="19"/>
  <c r="E150" i="19"/>
  <c r="E87" i="19"/>
  <c r="E55" i="19"/>
  <c r="E23" i="19"/>
  <c r="E147" i="18"/>
  <c r="E115" i="18"/>
  <c r="E83" i="18"/>
  <c r="E51" i="18"/>
  <c r="E19" i="18"/>
  <c r="E205" i="17"/>
  <c r="E173" i="17"/>
  <c r="E141" i="17"/>
  <c r="E109" i="17"/>
  <c r="E77" i="17"/>
  <c r="E45" i="17"/>
  <c r="E13" i="17"/>
  <c r="E117" i="16"/>
  <c r="E53" i="16"/>
  <c r="D2745" i="15"/>
  <c r="D2713" i="15"/>
  <c r="D2681" i="15"/>
  <c r="D2649" i="15"/>
  <c r="D2620" i="15"/>
  <c r="D2604" i="15"/>
  <c r="D2588" i="15"/>
  <c r="D2585" i="15"/>
  <c r="D2568" i="15"/>
  <c r="D2552" i="15"/>
  <c r="E2537" i="15"/>
  <c r="E2529" i="15"/>
  <c r="E2521" i="15"/>
  <c r="E2513" i="15"/>
  <c r="E2505" i="15"/>
  <c r="E2497" i="15"/>
  <c r="E2489" i="15"/>
  <c r="E2481" i="15"/>
  <c r="E2473" i="15"/>
  <c r="E2465" i="15"/>
  <c r="E2457" i="15"/>
  <c r="E2449" i="15"/>
  <c r="E2441" i="15"/>
  <c r="E2433" i="15"/>
  <c r="E2425" i="15"/>
  <c r="E2417" i="15"/>
  <c r="E2409" i="15"/>
  <c r="E2401" i="15"/>
  <c r="E2393" i="15"/>
  <c r="E2385" i="15"/>
  <c r="E2377" i="15"/>
  <c r="E2369" i="15"/>
  <c r="E2361" i="15"/>
  <c r="E2353" i="15"/>
  <c r="E2345" i="15"/>
  <c r="E2337" i="15"/>
  <c r="E2329" i="15"/>
  <c r="E2321" i="15"/>
  <c r="E2313" i="15"/>
  <c r="E2305" i="15"/>
  <c r="E2297" i="15"/>
  <c r="E2289" i="15"/>
  <c r="E2281" i="15"/>
  <c r="E2273" i="15"/>
  <c r="E45" i="20"/>
  <c r="E13" i="20"/>
  <c r="E268" i="19"/>
  <c r="E236" i="19"/>
  <c r="E204" i="19"/>
  <c r="E172" i="19"/>
  <c r="E144" i="19"/>
  <c r="E128" i="19"/>
  <c r="E112" i="19"/>
  <c r="E96" i="19"/>
  <c r="F84" i="19"/>
  <c r="F76" i="19"/>
  <c r="F68" i="19"/>
  <c r="F60" i="19"/>
  <c r="F52" i="19"/>
  <c r="F44" i="19"/>
  <c r="F36" i="19"/>
  <c r="F28" i="19"/>
  <c r="F20" i="19"/>
  <c r="F12" i="19"/>
  <c r="F4" i="19"/>
  <c r="F152" i="18"/>
  <c r="F144" i="18"/>
  <c r="F136" i="18"/>
  <c r="F128" i="18"/>
  <c r="F120" i="18"/>
  <c r="F112" i="18"/>
  <c r="F104" i="18"/>
  <c r="F96" i="18"/>
  <c r="F88" i="18"/>
  <c r="F80" i="18"/>
  <c r="F72" i="18"/>
  <c r="F64" i="18"/>
  <c r="F56" i="18"/>
  <c r="F48" i="18"/>
  <c r="F40" i="18"/>
  <c r="F32" i="18"/>
  <c r="F24" i="18"/>
  <c r="F16" i="18"/>
  <c r="F8" i="18"/>
  <c r="F218" i="17"/>
  <c r="F210" i="17"/>
  <c r="F202" i="17"/>
  <c r="F194" i="17"/>
  <c r="F186" i="17"/>
  <c r="F178" i="17"/>
  <c r="F170" i="17"/>
  <c r="F162" i="17"/>
  <c r="F154" i="17"/>
  <c r="F146" i="17"/>
  <c r="F138" i="17"/>
  <c r="F130" i="17"/>
  <c r="F122" i="17"/>
  <c r="F114" i="17"/>
  <c r="F106" i="17"/>
  <c r="F98" i="17"/>
  <c r="F90" i="17"/>
  <c r="F82" i="17"/>
  <c r="F74" i="17"/>
  <c r="F66" i="17"/>
  <c r="F58" i="17"/>
  <c r="F50" i="17"/>
  <c r="F42" i="17"/>
  <c r="F34" i="17"/>
  <c r="F26" i="17"/>
  <c r="F18" i="17"/>
  <c r="F10" i="17"/>
  <c r="F2" i="17"/>
  <c r="E144" i="16"/>
  <c r="E128" i="16"/>
  <c r="E112" i="16"/>
  <c r="E96" i="16"/>
  <c r="E80" i="16"/>
  <c r="E64" i="16"/>
  <c r="E48" i="16"/>
  <c r="E32" i="16"/>
  <c r="E16" i="16"/>
  <c r="E2750" i="15"/>
  <c r="E2742" i="15"/>
  <c r="E2734" i="15"/>
  <c r="E2726" i="15"/>
  <c r="E2718" i="15"/>
  <c r="E2710" i="15"/>
  <c r="E2702" i="15"/>
  <c r="E2694" i="15"/>
  <c r="E2686" i="15"/>
  <c r="E2678" i="15"/>
  <c r="E2670" i="15"/>
  <c r="E2662" i="15"/>
  <c r="E2654" i="15"/>
  <c r="E2646" i="15"/>
  <c r="E2638" i="15"/>
  <c r="E2630" i="15"/>
  <c r="E2622" i="15"/>
  <c r="E2614" i="15"/>
  <c r="E2606" i="15"/>
  <c r="E2598" i="15"/>
  <c r="E2590" i="15"/>
  <c r="E2582" i="15"/>
  <c r="E2574" i="15"/>
  <c r="E2566" i="15"/>
  <c r="E2558" i="15"/>
  <c r="E2550" i="15"/>
  <c r="E2542" i="15"/>
  <c r="F306" i="23"/>
  <c r="E64" i="23"/>
  <c r="E246" i="22"/>
  <c r="E118" i="22"/>
  <c r="F36" i="22"/>
  <c r="E451" i="21"/>
  <c r="E419" i="21"/>
  <c r="E387" i="21"/>
  <c r="E355" i="21"/>
  <c r="E323" i="21"/>
  <c r="E291" i="21"/>
  <c r="E259" i="21"/>
  <c r="E227" i="21"/>
  <c r="E195" i="21"/>
  <c r="E163" i="21"/>
  <c r="E131" i="21"/>
  <c r="E99" i="21"/>
  <c r="E69" i="21"/>
  <c r="E45" i="21"/>
  <c r="E17" i="21"/>
  <c r="E163" i="20"/>
  <c r="E131" i="20"/>
  <c r="E99" i="20"/>
  <c r="E67" i="20"/>
  <c r="E35" i="20"/>
  <c r="E3" i="20"/>
  <c r="E258" i="19"/>
  <c r="E226" i="19"/>
  <c r="E194" i="19"/>
  <c r="E162" i="19"/>
  <c r="E139" i="19"/>
  <c r="E123" i="19"/>
  <c r="E107" i="19"/>
  <c r="E91" i="19"/>
  <c r="E82" i="19"/>
  <c r="E74" i="19"/>
  <c r="E66" i="19"/>
  <c r="E58" i="19"/>
  <c r="E50" i="19"/>
  <c r="E42" i="19"/>
  <c r="E34" i="19"/>
  <c r="E26" i="19"/>
  <c r="E18" i="19"/>
  <c r="E10" i="19"/>
  <c r="E2" i="19"/>
  <c r="E150" i="18"/>
  <c r="E142" i="18"/>
  <c r="E134" i="18"/>
  <c r="E126" i="18"/>
  <c r="E118" i="18"/>
  <c r="E110" i="18"/>
  <c r="E102" i="18"/>
  <c r="E94" i="18"/>
  <c r="E86" i="18"/>
  <c r="E78" i="18"/>
  <c r="E70" i="18"/>
  <c r="E62" i="18"/>
  <c r="E54" i="18"/>
  <c r="E46" i="18"/>
  <c r="E38" i="18"/>
  <c r="E30" i="18"/>
  <c r="E22" i="18"/>
  <c r="E14" i="18"/>
  <c r="E6" i="18"/>
  <c r="E216" i="17"/>
  <c r="E208" i="17"/>
  <c r="E200" i="17"/>
  <c r="E192" i="17"/>
  <c r="E184" i="17"/>
  <c r="E176" i="17"/>
  <c r="E168" i="17"/>
  <c r="E160" i="17"/>
  <c r="E152" i="17"/>
  <c r="E144" i="17"/>
  <c r="E136" i="17"/>
  <c r="E128" i="17"/>
  <c r="E120" i="17"/>
  <c r="E112" i="17"/>
  <c r="E104" i="17"/>
  <c r="E96" i="17"/>
  <c r="E88" i="17"/>
  <c r="E80" i="17"/>
  <c r="E72" i="17"/>
  <c r="E64" i="17"/>
  <c r="E56" i="17"/>
  <c r="E48" i="17"/>
  <c r="E40" i="17"/>
  <c r="E32" i="17"/>
  <c r="E24" i="17"/>
  <c r="E16" i="17"/>
  <c r="E8" i="17"/>
  <c r="E155" i="16"/>
  <c r="E139" i="16"/>
  <c r="E123" i="16"/>
  <c r="E107" i="16"/>
  <c r="E91" i="16"/>
  <c r="E75" i="16"/>
  <c r="E59" i="16"/>
  <c r="E43" i="16"/>
  <c r="E27" i="16"/>
  <c r="E11" i="16"/>
  <c r="D2748" i="15"/>
  <c r="D2740" i="15"/>
  <c r="D2732" i="15"/>
  <c r="D2724" i="15"/>
  <c r="D2716" i="15"/>
  <c r="D2708" i="15"/>
  <c r="D2700" i="15"/>
  <c r="D2692" i="15"/>
  <c r="D2684" i="15"/>
  <c r="D2676" i="15"/>
  <c r="D2668" i="15"/>
  <c r="D2660" i="15"/>
  <c r="D2652" i="15"/>
  <c r="D2644" i="15"/>
  <c r="D2636" i="15"/>
  <c r="D2628" i="15"/>
  <c r="F402" i="23"/>
  <c r="E88" i="23"/>
  <c r="E270" i="22"/>
  <c r="E142" i="22"/>
  <c r="F44" i="22"/>
  <c r="E3" i="22"/>
  <c r="E425" i="21"/>
  <c r="E393" i="21"/>
  <c r="E361" i="21"/>
  <c r="E329" i="21"/>
  <c r="E297" i="21"/>
  <c r="E265" i="21"/>
  <c r="E233" i="21"/>
  <c r="E201" i="21"/>
  <c r="E169" i="21"/>
  <c r="E137" i="21"/>
  <c r="E105" i="21"/>
  <c r="E75" i="21"/>
  <c r="E43" i="21"/>
  <c r="E15" i="21"/>
  <c r="E161" i="20"/>
  <c r="E129" i="20"/>
  <c r="E97" i="20"/>
  <c r="E65" i="20"/>
  <c r="E33" i="20"/>
  <c r="E288" i="19"/>
  <c r="E256" i="19"/>
  <c r="E224" i="19"/>
  <c r="E192" i="19"/>
  <c r="E160" i="19"/>
  <c r="E138" i="19"/>
  <c r="E122" i="19"/>
  <c r="E106" i="19"/>
  <c r="E90" i="19"/>
  <c r="F81" i="19"/>
  <c r="F73" i="19"/>
  <c r="F65" i="19"/>
  <c r="F57" i="19"/>
  <c r="F49" i="19"/>
  <c r="F41" i="19"/>
  <c r="F33" i="19"/>
  <c r="F25" i="19"/>
  <c r="F17" i="19"/>
  <c r="F9" i="19"/>
  <c r="F157" i="18"/>
  <c r="F149" i="18"/>
  <c r="F141" i="18"/>
  <c r="F133" i="18"/>
  <c r="F125" i="18"/>
  <c r="F117" i="18"/>
  <c r="F109" i="18"/>
  <c r="F101" i="18"/>
  <c r="F93" i="18"/>
  <c r="F85" i="18"/>
  <c r="F77" i="18"/>
  <c r="F69" i="18"/>
  <c r="F61" i="18"/>
  <c r="F53" i="18"/>
  <c r="F45" i="18"/>
  <c r="F37" i="18"/>
  <c r="F29" i="18"/>
  <c r="F21" i="18"/>
  <c r="F13" i="18"/>
  <c r="F5" i="18"/>
  <c r="F215" i="17"/>
  <c r="F207" i="17"/>
  <c r="F199" i="17"/>
  <c r="F191" i="17"/>
  <c r="F183" i="17"/>
  <c r="F175" i="17"/>
  <c r="F167" i="17"/>
  <c r="F159" i="17"/>
  <c r="F151" i="17"/>
  <c r="F143" i="17"/>
  <c r="F135" i="17"/>
  <c r="F127" i="17"/>
  <c r="F119" i="17"/>
  <c r="F111" i="17"/>
  <c r="F103" i="17"/>
  <c r="F95" i="17"/>
  <c r="F87" i="17"/>
  <c r="F79" i="17"/>
  <c r="F71" i="17"/>
  <c r="F63" i="17"/>
  <c r="F55" i="17"/>
  <c r="F47" i="17"/>
  <c r="F39" i="17"/>
  <c r="F31" i="17"/>
  <c r="F23" i="17"/>
  <c r="F15" i="17"/>
  <c r="F7" i="17"/>
  <c r="E154" i="16"/>
  <c r="E138" i="16"/>
  <c r="E122" i="16"/>
  <c r="E106" i="16"/>
  <c r="E90" i="16"/>
  <c r="E74" i="16"/>
  <c r="E58" i="16"/>
  <c r="E42" i="16"/>
  <c r="E26" i="16"/>
  <c r="E10" i="16"/>
  <c r="E2747" i="15"/>
  <c r="E2739" i="15"/>
  <c r="E2731" i="15"/>
  <c r="E2723" i="15"/>
  <c r="E2715" i="15"/>
  <c r="E2707" i="15"/>
  <c r="E2699" i="15"/>
  <c r="E2691" i="15"/>
  <c r="E2683" i="15"/>
  <c r="E2675" i="15"/>
  <c r="E2667" i="15"/>
  <c r="E2659" i="15"/>
  <c r="E2651" i="15"/>
  <c r="E2643" i="15"/>
  <c r="E2635" i="15"/>
  <c r="E2627" i="15"/>
  <c r="E2619" i="15"/>
  <c r="E2611" i="15"/>
  <c r="E2603" i="15"/>
  <c r="E2595" i="15"/>
  <c r="E2587" i="15"/>
  <c r="E2579" i="15"/>
  <c r="E2571" i="15"/>
  <c r="E2563" i="15"/>
  <c r="E2555" i="15"/>
  <c r="E2547" i="15"/>
  <c r="E2539" i="15"/>
  <c r="E166" i="22"/>
  <c r="E399" i="21"/>
  <c r="E271" i="21"/>
  <c r="E143" i="21"/>
  <c r="E175" i="20"/>
  <c r="E47" i="20"/>
  <c r="E206" i="19"/>
  <c r="E113" i="19"/>
  <c r="E69" i="19"/>
  <c r="E37" i="19"/>
  <c r="E5" i="19"/>
  <c r="E129" i="18"/>
  <c r="E97" i="18"/>
  <c r="E65" i="18"/>
  <c r="E33" i="18"/>
  <c r="E219" i="17"/>
  <c r="E187" i="17"/>
  <c r="E155" i="17"/>
  <c r="E123" i="17"/>
  <c r="E91" i="17"/>
  <c r="E59" i="17"/>
  <c r="E27" i="17"/>
  <c r="E145" i="16"/>
  <c r="E81" i="16"/>
  <c r="E17" i="16"/>
  <c r="D2727" i="15"/>
  <c r="D2695" i="15"/>
  <c r="D2663" i="15"/>
  <c r="D2631" i="15"/>
  <c r="D2611" i="15"/>
  <c r="E80" i="23"/>
  <c r="E455" i="21"/>
  <c r="E327" i="21"/>
  <c r="E199" i="21"/>
  <c r="E73" i="21"/>
  <c r="E103" i="20"/>
  <c r="E262" i="19"/>
  <c r="E141" i="19"/>
  <c r="E83" i="19"/>
  <c r="E51" i="19"/>
  <c r="E19" i="19"/>
  <c r="E143" i="18"/>
  <c r="E111" i="18"/>
  <c r="E79" i="18"/>
  <c r="E47" i="18"/>
  <c r="E15" i="18"/>
  <c r="E201" i="17"/>
  <c r="E169" i="17"/>
  <c r="E137" i="17"/>
  <c r="E105" i="17"/>
  <c r="E73" i="17"/>
  <c r="E41" i="17"/>
  <c r="E9" i="17"/>
  <c r="E109" i="16"/>
  <c r="E45" i="16"/>
  <c r="D2741" i="15"/>
  <c r="D2709" i="15"/>
  <c r="D2677" i="15"/>
  <c r="D2645" i="15"/>
  <c r="D2618" i="15"/>
  <c r="D2602" i="15"/>
  <c r="F242" i="23"/>
  <c r="E31" i="22"/>
  <c r="E351" i="21"/>
  <c r="E223" i="21"/>
  <c r="E95" i="21"/>
  <c r="E159" i="20"/>
  <c r="E31" i="20"/>
  <c r="E190" i="19"/>
  <c r="E105" i="19"/>
  <c r="E65" i="19"/>
  <c r="E33" i="19"/>
  <c r="E157" i="18"/>
  <c r="E125" i="18"/>
  <c r="E93" i="18"/>
  <c r="E61" i="18"/>
  <c r="E29" i="18"/>
  <c r="E215" i="17"/>
  <c r="E183" i="17"/>
  <c r="E151" i="17"/>
  <c r="E119" i="17"/>
  <c r="E87" i="17"/>
  <c r="E55" i="17"/>
  <c r="E23" i="17"/>
  <c r="E137" i="16"/>
  <c r="E73" i="16"/>
  <c r="E9" i="16"/>
  <c r="D2723" i="15"/>
  <c r="D2691" i="15"/>
  <c r="D2659" i="15"/>
  <c r="D2627" i="15"/>
  <c r="D2609" i="15"/>
  <c r="E16" i="23"/>
  <c r="E439" i="21"/>
  <c r="E311" i="21"/>
  <c r="E183" i="21"/>
  <c r="E61" i="21"/>
  <c r="E87" i="20"/>
  <c r="E246" i="19"/>
  <c r="E133" i="19"/>
  <c r="E79" i="19"/>
  <c r="E47" i="19"/>
  <c r="E15" i="19"/>
  <c r="E139" i="18"/>
  <c r="E107" i="18"/>
  <c r="E75" i="18"/>
  <c r="E43" i="18"/>
  <c r="E11" i="18"/>
  <c r="E197" i="17"/>
  <c r="E165" i="17"/>
  <c r="E133" i="17"/>
  <c r="E101" i="17"/>
  <c r="E69" i="17"/>
  <c r="E37" i="17"/>
  <c r="E5" i="17"/>
  <c r="E101" i="16"/>
  <c r="E37" i="16"/>
  <c r="D2737" i="15"/>
  <c r="D2705" i="15"/>
  <c r="D2673" i="15"/>
  <c r="D2641" i="15"/>
  <c r="D2616" i="15"/>
  <c r="D2600" i="15"/>
  <c r="D2584" i="15"/>
  <c r="D2580" i="15"/>
  <c r="D2564" i="15"/>
  <c r="D2548" i="15"/>
  <c r="E2535" i="15"/>
  <c r="E2527" i="15"/>
  <c r="E2519" i="15"/>
  <c r="E2511" i="15"/>
  <c r="E2503" i="15"/>
  <c r="E2495" i="15"/>
  <c r="E2487" i="15"/>
  <c r="E2479" i="15"/>
  <c r="E2471" i="15"/>
  <c r="E2463" i="15"/>
  <c r="E2455" i="15"/>
  <c r="E2447" i="15"/>
  <c r="E2439" i="15"/>
  <c r="E2431" i="15"/>
  <c r="E2423" i="15"/>
  <c r="E2415" i="15"/>
  <c r="E2407" i="15"/>
  <c r="E2399" i="15"/>
  <c r="E2391" i="15"/>
  <c r="E2383" i="15"/>
  <c r="E2375" i="15"/>
  <c r="E2367" i="15"/>
  <c r="E2359" i="15"/>
  <c r="E2351" i="15"/>
  <c r="E2343" i="15"/>
  <c r="E2335" i="15"/>
  <c r="E2327" i="15"/>
  <c r="E2319" i="15"/>
  <c r="E2311" i="15"/>
  <c r="E2303" i="15"/>
  <c r="E2295" i="15"/>
  <c r="E2287" i="15"/>
  <c r="E2279" i="15"/>
  <c r="E2271" i="15"/>
  <c r="E2263" i="15"/>
  <c r="E2267" i="15"/>
  <c r="E2257" i="15"/>
  <c r="E2249" i="15"/>
  <c r="E2241" i="15"/>
  <c r="E2233" i="15"/>
  <c r="E2225" i="15"/>
  <c r="E2217" i="15"/>
  <c r="E2209" i="15"/>
  <c r="E2201" i="15"/>
  <c r="E2193" i="15"/>
  <c r="E2185" i="15"/>
  <c r="E2177" i="15"/>
  <c r="E2169" i="15"/>
  <c r="E2161" i="15"/>
  <c r="E2153" i="15"/>
  <c r="E2145" i="15"/>
  <c r="E2137" i="15"/>
  <c r="E2129" i="15"/>
  <c r="E2121" i="15"/>
  <c r="E2113" i="15"/>
  <c r="D2583" i="15"/>
  <c r="D2567" i="15"/>
  <c r="D2551" i="15"/>
  <c r="D2537" i="15"/>
  <c r="D2529" i="15"/>
  <c r="D2521" i="15"/>
  <c r="D2513" i="15"/>
  <c r="D2505" i="15"/>
  <c r="D2497" i="15"/>
  <c r="D2489" i="15"/>
  <c r="D2481" i="15"/>
  <c r="D2473" i="15"/>
  <c r="D2465" i="15"/>
  <c r="D2457" i="15"/>
  <c r="D2449" i="15"/>
  <c r="D2441" i="15"/>
  <c r="D2433" i="15"/>
  <c r="D2425" i="15"/>
  <c r="D2417" i="15"/>
  <c r="D2409" i="15"/>
  <c r="D2401" i="15"/>
  <c r="D2393" i="15"/>
  <c r="D2385" i="15"/>
  <c r="D2377" i="15"/>
  <c r="D2369" i="15"/>
  <c r="D2361" i="15"/>
  <c r="D2353" i="15"/>
  <c r="D2345" i="15"/>
  <c r="D2337" i="15"/>
  <c r="D2329" i="15"/>
  <c r="D2321" i="15"/>
  <c r="D2313" i="15"/>
  <c r="D2305" i="15"/>
  <c r="D2297" i="15"/>
  <c r="D2289" i="15"/>
  <c r="D2281" i="15"/>
  <c r="D2273" i="15"/>
  <c r="D2265" i="15"/>
  <c r="D2257" i="15"/>
  <c r="D2249" i="15"/>
  <c r="D2241" i="15"/>
  <c r="D2233" i="15"/>
  <c r="D2225" i="15"/>
  <c r="D2217" i="15"/>
  <c r="D2209" i="15"/>
  <c r="D2201" i="15"/>
  <c r="D2193" i="15"/>
  <c r="D2185" i="15"/>
  <c r="D2177" i="15"/>
  <c r="D2169" i="15"/>
  <c r="D2161" i="15"/>
  <c r="D2153" i="15"/>
  <c r="D2145" i="15"/>
  <c r="D2137" i="15"/>
  <c r="D2129" i="15"/>
  <c r="D2121" i="15"/>
  <c r="D2113" i="15"/>
  <c r="D2105" i="15"/>
  <c r="D2097" i="15"/>
  <c r="D2089" i="15"/>
  <c r="D2081" i="15"/>
  <c r="D2073" i="15"/>
  <c r="D2065" i="15"/>
  <c r="D2057" i="15"/>
  <c r="D2582" i="15"/>
  <c r="D2566" i="15"/>
  <c r="D2550" i="15"/>
  <c r="E2536" i="15"/>
  <c r="E2528" i="15"/>
  <c r="E2520" i="15"/>
  <c r="E2512" i="15"/>
  <c r="E2504" i="15"/>
  <c r="E2496" i="15"/>
  <c r="E2488" i="15"/>
  <c r="E2480" i="15"/>
  <c r="E2472" i="15"/>
  <c r="E2464" i="15"/>
  <c r="E2456" i="15"/>
  <c r="E2448" i="15"/>
  <c r="E2440" i="15"/>
  <c r="E2432" i="15"/>
  <c r="E2424" i="15"/>
  <c r="E2416" i="15"/>
  <c r="E2408" i="15"/>
  <c r="E2400" i="15"/>
  <c r="E2392" i="15"/>
  <c r="E2384" i="15"/>
  <c r="E2376" i="15"/>
  <c r="E2368" i="15"/>
  <c r="E2360" i="15"/>
  <c r="E2352" i="15"/>
  <c r="E2344" i="15"/>
  <c r="E2336" i="15"/>
  <c r="E2328" i="15"/>
  <c r="E2320" i="15"/>
  <c r="E2312" i="15"/>
  <c r="E2304" i="15"/>
  <c r="E2296" i="15"/>
  <c r="E2288" i="15"/>
  <c r="E2280" i="15"/>
  <c r="E2272" i="15"/>
  <c r="E2264" i="15"/>
  <c r="E2256" i="15"/>
  <c r="E2248" i="15"/>
  <c r="E2240" i="15"/>
  <c r="E2232" i="15"/>
  <c r="E2224" i="15"/>
  <c r="E2216" i="15"/>
  <c r="E2208" i="15"/>
  <c r="E2200" i="15"/>
  <c r="E2192" i="15"/>
  <c r="E2184" i="15"/>
  <c r="E2176" i="15"/>
  <c r="E2168" i="15"/>
  <c r="E2160" i="15"/>
  <c r="E2152" i="15"/>
  <c r="E2144" i="15"/>
  <c r="E2136" i="15"/>
  <c r="E2128" i="15"/>
  <c r="E2120" i="15"/>
  <c r="E2112" i="15"/>
  <c r="E2104" i="15"/>
  <c r="D2593" i="15"/>
  <c r="D2573" i="15"/>
  <c r="D2557" i="15"/>
  <c r="D2541" i="15"/>
  <c r="D2532" i="15"/>
  <c r="D2524" i="15"/>
  <c r="D2516" i="15"/>
  <c r="D2508" i="15"/>
  <c r="D2500" i="15"/>
  <c r="D2492" i="15"/>
  <c r="D2484" i="15"/>
  <c r="D2476" i="15"/>
  <c r="D2468" i="15"/>
  <c r="D2460" i="15"/>
  <c r="D2452" i="15"/>
  <c r="D2444" i="15"/>
  <c r="D2436" i="15"/>
  <c r="D2428" i="15"/>
  <c r="D2420" i="15"/>
  <c r="D2412" i="15"/>
  <c r="D2404" i="15"/>
  <c r="D2396" i="15"/>
  <c r="D2388" i="15"/>
  <c r="D2380" i="15"/>
  <c r="D2372" i="15"/>
  <c r="D2364" i="15"/>
  <c r="D2356" i="15"/>
  <c r="D2348" i="15"/>
  <c r="D2340" i="15"/>
  <c r="D2332" i="15"/>
  <c r="D2324" i="15"/>
  <c r="D2316" i="15"/>
  <c r="D2308" i="15"/>
  <c r="D2300" i="15"/>
  <c r="D2292" i="15"/>
  <c r="D2284" i="15"/>
  <c r="D2276" i="15"/>
  <c r="D2268" i="15"/>
  <c r="D2260" i="15"/>
  <c r="D2252" i="15"/>
  <c r="D2244" i="15"/>
  <c r="D2236" i="15"/>
  <c r="D2228" i="15"/>
  <c r="D2220" i="15"/>
  <c r="D2212" i="15"/>
  <c r="D2204" i="15"/>
  <c r="D2196" i="15"/>
  <c r="D2188" i="15"/>
  <c r="D2180" i="15"/>
  <c r="D2172" i="15"/>
  <c r="D2164" i="15"/>
  <c r="D2156" i="15"/>
  <c r="D2148" i="15"/>
  <c r="D2140" i="15"/>
  <c r="D2132" i="15"/>
  <c r="D2124" i="15"/>
  <c r="D2116" i="15"/>
  <c r="D2108" i="15"/>
  <c r="D2100" i="15"/>
  <c r="D2092" i="15"/>
  <c r="D2084" i="15"/>
  <c r="D2076" i="15"/>
  <c r="D2068" i="15"/>
  <c r="D2060" i="15"/>
  <c r="E2101" i="15"/>
  <c r="E2083" i="15"/>
  <c r="E2067" i="15"/>
  <c r="D2053" i="15"/>
  <c r="D2045" i="15"/>
  <c r="D2037" i="15"/>
  <c r="D2029" i="15"/>
  <c r="D2021" i="15"/>
  <c r="D2013" i="15"/>
  <c r="D2005" i="15"/>
  <c r="D1997" i="15"/>
  <c r="D1989" i="15"/>
  <c r="D1981" i="15"/>
  <c r="D1973" i="15"/>
  <c r="D1965" i="15"/>
  <c r="D1957" i="15"/>
  <c r="D1949" i="15"/>
  <c r="D1941" i="15"/>
  <c r="D1933" i="15"/>
  <c r="D1925" i="15"/>
  <c r="D1917" i="15"/>
  <c r="D1909" i="15"/>
  <c r="D1901" i="15"/>
  <c r="D1893" i="15"/>
  <c r="D1885" i="15"/>
  <c r="D1877" i="15"/>
  <c r="D1869" i="15"/>
  <c r="D1861" i="15"/>
  <c r="D1853" i="15"/>
  <c r="D1845" i="15"/>
  <c r="D1837" i="15"/>
  <c r="D1829" i="15"/>
  <c r="D1821" i="15"/>
  <c r="D1813" i="15"/>
  <c r="D1805" i="15"/>
  <c r="D1797" i="15"/>
  <c r="D1789" i="15"/>
  <c r="D1781" i="15"/>
  <c r="D1773" i="15"/>
  <c r="D1765" i="15"/>
  <c r="D1757" i="15"/>
  <c r="D1749" i="15"/>
  <c r="D1741" i="15"/>
  <c r="D1733" i="15"/>
  <c r="D1725" i="15"/>
  <c r="D1717" i="15"/>
  <c r="D1709" i="15"/>
  <c r="D1701" i="15"/>
  <c r="D1693" i="15"/>
  <c r="D1685" i="15"/>
  <c r="D1677" i="15"/>
  <c r="D1669" i="15"/>
  <c r="D1661" i="15"/>
  <c r="D1653" i="15"/>
  <c r="D1645" i="15"/>
  <c r="D1637" i="15"/>
  <c r="D1629" i="15"/>
  <c r="D1621" i="15"/>
  <c r="D1613" i="15"/>
  <c r="D1605" i="15"/>
  <c r="D1597" i="15"/>
  <c r="D1589" i="15"/>
  <c r="D1581" i="15"/>
  <c r="D1573" i="15"/>
  <c r="D1565" i="15"/>
  <c r="D1557" i="15"/>
  <c r="D1549" i="15"/>
  <c r="D1541" i="15"/>
  <c r="D1533" i="15"/>
  <c r="D1525" i="15"/>
  <c r="D1517" i="15"/>
  <c r="D1509" i="15"/>
  <c r="D1501" i="15"/>
  <c r="D1493" i="15"/>
  <c r="D1485" i="15"/>
  <c r="D1477" i="15"/>
  <c r="D1469" i="15"/>
  <c r="D1461" i="15"/>
  <c r="D1453" i="15"/>
  <c r="D1445" i="15"/>
  <c r="D1437" i="15"/>
  <c r="D1429" i="15"/>
  <c r="D1421" i="15"/>
  <c r="D1413" i="15"/>
  <c r="D1405" i="15"/>
  <c r="D1397" i="15"/>
  <c r="D1389" i="15"/>
  <c r="D1381" i="15"/>
  <c r="D1373" i="15"/>
  <c r="D1365" i="15"/>
  <c r="D1357" i="15"/>
  <c r="D1349" i="15"/>
  <c r="D1341" i="15"/>
  <c r="D1333" i="15"/>
  <c r="D1325" i="15"/>
  <c r="D1317" i="15"/>
  <c r="D1309" i="15"/>
  <c r="D1301" i="15"/>
  <c r="D1293" i="15"/>
  <c r="D1285" i="15"/>
  <c r="D1277" i="15"/>
  <c r="D1269" i="15"/>
  <c r="D1261" i="15"/>
  <c r="D1253" i="15"/>
  <c r="D1245" i="15"/>
  <c r="D1237" i="15"/>
  <c r="D1229" i="15"/>
  <c r="D1221" i="15"/>
  <c r="D1213" i="15"/>
  <c r="D1205" i="15"/>
  <c r="D1197" i="15"/>
  <c r="D1189" i="15"/>
  <c r="D1181" i="15"/>
  <c r="D1173" i="15"/>
  <c r="D1165" i="15"/>
  <c r="D1157" i="15"/>
  <c r="D1149" i="15"/>
  <c r="D1141" i="15"/>
  <c r="D1133" i="15"/>
  <c r="D1125" i="15"/>
  <c r="D1117" i="15"/>
  <c r="D1109" i="15"/>
  <c r="D1101" i="15"/>
  <c r="D1093" i="15"/>
  <c r="D1085" i="15"/>
  <c r="D1077" i="15"/>
  <c r="D1069" i="15"/>
  <c r="D1061" i="15"/>
  <c r="D1053" i="15"/>
  <c r="D1045" i="15"/>
  <c r="D1037" i="15"/>
  <c r="D1029" i="15"/>
  <c r="D1021" i="15"/>
  <c r="D1013" i="15"/>
  <c r="D1005" i="15"/>
  <c r="D997" i="15"/>
  <c r="D989" i="15"/>
  <c r="E2090" i="15"/>
  <c r="E2074" i="15"/>
  <c r="E2058" i="15"/>
  <c r="E2048" i="15"/>
  <c r="E2040" i="15"/>
  <c r="E2032" i="15"/>
  <c r="E2024" i="15"/>
  <c r="E2016" i="15"/>
  <c r="E2008" i="15"/>
  <c r="E2000" i="15"/>
  <c r="E1992" i="15"/>
  <c r="E1984" i="15"/>
  <c r="E1976" i="15"/>
  <c r="E1968" i="15"/>
  <c r="E1960" i="15"/>
  <c r="E1952" i="15"/>
  <c r="E1944" i="15"/>
  <c r="E1936" i="15"/>
  <c r="E1928" i="15"/>
  <c r="E1920" i="15"/>
  <c r="E1912" i="15"/>
  <c r="E1904" i="15"/>
  <c r="E1896" i="15"/>
  <c r="E1888" i="15"/>
  <c r="E1880" i="15"/>
  <c r="E1872" i="15"/>
  <c r="E1864" i="15"/>
  <c r="E1856" i="15"/>
  <c r="E1848" i="15"/>
  <c r="E1840" i="15"/>
  <c r="E1832" i="15"/>
  <c r="E1824" i="15"/>
  <c r="E1816" i="15"/>
  <c r="E1808" i="15"/>
  <c r="E1800" i="15"/>
  <c r="E1792" i="15"/>
  <c r="E1784" i="15"/>
  <c r="E1776" i="15"/>
  <c r="E1768" i="15"/>
  <c r="E1760" i="15"/>
  <c r="E1752" i="15"/>
  <c r="E1744" i="15"/>
  <c r="E1736" i="15"/>
  <c r="E1728" i="15"/>
  <c r="E1720" i="15"/>
  <c r="E1712" i="15"/>
  <c r="E1704" i="15"/>
  <c r="E1696" i="15"/>
  <c r="E1688" i="15"/>
  <c r="E1680" i="15"/>
  <c r="E1672" i="15"/>
  <c r="E1664" i="15"/>
  <c r="E1656" i="15"/>
  <c r="E1648" i="15"/>
  <c r="E1640" i="15"/>
  <c r="E1632" i="15"/>
  <c r="E1624" i="15"/>
  <c r="E1616" i="15"/>
  <c r="E1608" i="15"/>
  <c r="E1600" i="15"/>
  <c r="E1592" i="15"/>
  <c r="E1584" i="15"/>
  <c r="E1576" i="15"/>
  <c r="E1568" i="15"/>
  <c r="E1560" i="15"/>
  <c r="E1552" i="15"/>
  <c r="E1544" i="15"/>
  <c r="E1536" i="15"/>
  <c r="E1528" i="15"/>
  <c r="E1520" i="15"/>
  <c r="E1512" i="15"/>
  <c r="E1504" i="15"/>
  <c r="E1496" i="15"/>
  <c r="E1488" i="15"/>
  <c r="E1480" i="15"/>
  <c r="E1472" i="15"/>
  <c r="E1464" i="15"/>
  <c r="E1456" i="15"/>
  <c r="E1448" i="15"/>
  <c r="E1440" i="15"/>
  <c r="E1432" i="15"/>
  <c r="E1424" i="15"/>
  <c r="E1416" i="15"/>
  <c r="E1408" i="15"/>
  <c r="E1400" i="15"/>
  <c r="E1392" i="15"/>
  <c r="E1384" i="15"/>
  <c r="E1376" i="15"/>
  <c r="E1368" i="15"/>
  <c r="E1360" i="15"/>
  <c r="E1352" i="15"/>
  <c r="E1344" i="15"/>
  <c r="E1336" i="15"/>
  <c r="E1328" i="15"/>
  <c r="E1320" i="15"/>
  <c r="E1312" i="15"/>
  <c r="E1304" i="15"/>
  <c r="E1296" i="15"/>
  <c r="E1288" i="15"/>
  <c r="E1280" i="15"/>
  <c r="E1272" i="15"/>
  <c r="E1264" i="15"/>
  <c r="E1256" i="15"/>
  <c r="E1248" i="15"/>
  <c r="E1240" i="15"/>
  <c r="E1232" i="15"/>
  <c r="E1224" i="15"/>
  <c r="E1216" i="15"/>
  <c r="E1208" i="15"/>
  <c r="E1200" i="15"/>
  <c r="E1192" i="15"/>
  <c r="E1184" i="15"/>
  <c r="E1176" i="15"/>
  <c r="E1168" i="15"/>
  <c r="E1160" i="15"/>
  <c r="E1152" i="15"/>
  <c r="E1144" i="15"/>
  <c r="E1136" i="15"/>
  <c r="E1128" i="15"/>
  <c r="E1120" i="15"/>
  <c r="E1112" i="15"/>
  <c r="E1104" i="15"/>
  <c r="E1096" i="15"/>
  <c r="E1088" i="15"/>
  <c r="E1080" i="15"/>
  <c r="E1072" i="15"/>
  <c r="E1064" i="15"/>
  <c r="E2105" i="15"/>
  <c r="E2085" i="15"/>
  <c r="E2069" i="15"/>
  <c r="D2054" i="15"/>
  <c r="D2046" i="15"/>
  <c r="D2038" i="15"/>
  <c r="D2030" i="15"/>
  <c r="D2022" i="15"/>
  <c r="D2014" i="15"/>
  <c r="D2006" i="15"/>
  <c r="D1998" i="15"/>
  <c r="D1990" i="15"/>
  <c r="D1982" i="15"/>
  <c r="D1974" i="15"/>
  <c r="D1966" i="15"/>
  <c r="D1958" i="15"/>
  <c r="D1950" i="15"/>
  <c r="D1942" i="15"/>
  <c r="D1934" i="15"/>
  <c r="D1926" i="15"/>
  <c r="D1918" i="15"/>
  <c r="D1910" i="15"/>
  <c r="D1902" i="15"/>
  <c r="D1894" i="15"/>
  <c r="D1886" i="15"/>
  <c r="D1878" i="15"/>
  <c r="D1870" i="15"/>
  <c r="D1862" i="15"/>
  <c r="D1854" i="15"/>
  <c r="D1846" i="15"/>
  <c r="D1838" i="15"/>
  <c r="D1830" i="15"/>
  <c r="D1822" i="15"/>
  <c r="D1814" i="15"/>
  <c r="D1806" i="15"/>
  <c r="D1798" i="15"/>
  <c r="D1790" i="15"/>
  <c r="D1782" i="15"/>
  <c r="D1774" i="15"/>
  <c r="D1766" i="15"/>
  <c r="D1758" i="15"/>
  <c r="D1750" i="15"/>
  <c r="E2265" i="15"/>
  <c r="E2255" i="15"/>
  <c r="E2247" i="15"/>
  <c r="E2239" i="15"/>
  <c r="E2231" i="15"/>
  <c r="E2223" i="15"/>
  <c r="E2215" i="15"/>
  <c r="E2207" i="15"/>
  <c r="E2199" i="15"/>
  <c r="E2191" i="15"/>
  <c r="E2183" i="15"/>
  <c r="E2175" i="15"/>
  <c r="E2167" i="15"/>
  <c r="E2159" i="15"/>
  <c r="E2151" i="15"/>
  <c r="E2143" i="15"/>
  <c r="E2135" i="15"/>
  <c r="E2127" i="15"/>
  <c r="E2119" i="15"/>
  <c r="E2111" i="15"/>
  <c r="D2579" i="15"/>
  <c r="D2563" i="15"/>
  <c r="D2547" i="15"/>
  <c r="D2535" i="15"/>
  <c r="D2527" i="15"/>
  <c r="D2519" i="15"/>
  <c r="D2511" i="15"/>
  <c r="D2503" i="15"/>
  <c r="D2495" i="15"/>
  <c r="D2487" i="15"/>
  <c r="D2479" i="15"/>
  <c r="D2471" i="15"/>
  <c r="D2463" i="15"/>
  <c r="D2455" i="15"/>
  <c r="D2447" i="15"/>
  <c r="D2439" i="15"/>
  <c r="D2431" i="15"/>
  <c r="D2423" i="15"/>
  <c r="D2415" i="15"/>
  <c r="D2407" i="15"/>
  <c r="D2399" i="15"/>
  <c r="D2391" i="15"/>
  <c r="D2383" i="15"/>
  <c r="D2375" i="15"/>
  <c r="D2367" i="15"/>
  <c r="D2359" i="15"/>
  <c r="D2351" i="15"/>
  <c r="D2343" i="15"/>
  <c r="D2335" i="15"/>
  <c r="D2327" i="15"/>
  <c r="D2319" i="15"/>
  <c r="D2311" i="15"/>
  <c r="D2303" i="15"/>
  <c r="D2295" i="15"/>
  <c r="D2287" i="15"/>
  <c r="D2279" i="15"/>
  <c r="D2271" i="15"/>
  <c r="D2263" i="15"/>
  <c r="D2255" i="15"/>
  <c r="D2247" i="15"/>
  <c r="D2239" i="15"/>
  <c r="D2231" i="15"/>
  <c r="D2223" i="15"/>
  <c r="D2215" i="15"/>
  <c r="D2207" i="15"/>
  <c r="D2199" i="15"/>
  <c r="D2191" i="15"/>
  <c r="D2183" i="15"/>
  <c r="D2175" i="15"/>
  <c r="D2167" i="15"/>
  <c r="D2159" i="15"/>
  <c r="D2151" i="15"/>
  <c r="D2143" i="15"/>
  <c r="D2135" i="15"/>
  <c r="D2127" i="15"/>
  <c r="D2119" i="15"/>
  <c r="D2111" i="15"/>
  <c r="D2103" i="15"/>
  <c r="D2095" i="15"/>
  <c r="D2087" i="15"/>
  <c r="D2079" i="15"/>
  <c r="D2071" i="15"/>
  <c r="D2063" i="15"/>
  <c r="D2055" i="15"/>
  <c r="D2578" i="15"/>
  <c r="D2562" i="15"/>
  <c r="D2546" i="15"/>
  <c r="E2534" i="15"/>
  <c r="E2526" i="15"/>
  <c r="E2518" i="15"/>
  <c r="E2510" i="15"/>
  <c r="E2502" i="15"/>
  <c r="E2494" i="15"/>
  <c r="E2486" i="15"/>
  <c r="E2478" i="15"/>
  <c r="E2470" i="15"/>
  <c r="E2462" i="15"/>
  <c r="E2454" i="15"/>
  <c r="E2446" i="15"/>
  <c r="E2438" i="15"/>
  <c r="E2430" i="15"/>
  <c r="E2422" i="15"/>
  <c r="E2414" i="15"/>
  <c r="E2406" i="15"/>
  <c r="E2398" i="15"/>
  <c r="E2390" i="15"/>
  <c r="E2382" i="15"/>
  <c r="E2374" i="15"/>
  <c r="E2366" i="15"/>
  <c r="E2358" i="15"/>
  <c r="E2350" i="15"/>
  <c r="E2342" i="15"/>
  <c r="E2334" i="15"/>
  <c r="E2326" i="15"/>
  <c r="E2318" i="15"/>
  <c r="E2310" i="15"/>
  <c r="E2302" i="15"/>
  <c r="E2294" i="15"/>
  <c r="E2286" i="15"/>
  <c r="E2278" i="15"/>
  <c r="E2270" i="15"/>
  <c r="E2262" i="15"/>
  <c r="E2254" i="15"/>
  <c r="E2246" i="15"/>
  <c r="E2238" i="15"/>
  <c r="E2230" i="15"/>
  <c r="E2222" i="15"/>
  <c r="E2214" i="15"/>
  <c r="E2206" i="15"/>
  <c r="E2198" i="15"/>
  <c r="E2190" i="15"/>
  <c r="E2182" i="15"/>
  <c r="E2174" i="15"/>
  <c r="E2166" i="15"/>
  <c r="E2158" i="15"/>
  <c r="E2150" i="15"/>
  <c r="E2142" i="15"/>
  <c r="E2134" i="15"/>
  <c r="E2126" i="15"/>
  <c r="E2118" i="15"/>
  <c r="E2110" i="15"/>
  <c r="E2102" i="15"/>
  <c r="D2586" i="15"/>
  <c r="D2569" i="15"/>
  <c r="D2553" i="15"/>
  <c r="D2538" i="15"/>
  <c r="D2530" i="15"/>
  <c r="D2522" i="15"/>
  <c r="D2514" i="15"/>
  <c r="D2506" i="15"/>
  <c r="D2498" i="15"/>
  <c r="D2490" i="15"/>
  <c r="D2482" i="15"/>
  <c r="D2474" i="15"/>
  <c r="D2466" i="15"/>
  <c r="D2458" i="15"/>
  <c r="D2450" i="15"/>
  <c r="D2442" i="15"/>
  <c r="D2434" i="15"/>
  <c r="D2426" i="15"/>
  <c r="D2418" i="15"/>
  <c r="D2410" i="15"/>
  <c r="D2402" i="15"/>
  <c r="D2394" i="15"/>
  <c r="D2386" i="15"/>
  <c r="D2378" i="15"/>
  <c r="D2370" i="15"/>
  <c r="D2362" i="15"/>
  <c r="D2354" i="15"/>
  <c r="D2346" i="15"/>
  <c r="D2338" i="15"/>
  <c r="D2330" i="15"/>
  <c r="D2322" i="15"/>
  <c r="D2314" i="15"/>
  <c r="D2306" i="15"/>
  <c r="D2298" i="15"/>
  <c r="D2290" i="15"/>
  <c r="D2282" i="15"/>
  <c r="D2274" i="15"/>
  <c r="D2266" i="15"/>
  <c r="D2258" i="15"/>
  <c r="D2250" i="15"/>
  <c r="D2242" i="15"/>
  <c r="D2234" i="15"/>
  <c r="D2226" i="15"/>
  <c r="D2218" i="15"/>
  <c r="D2210" i="15"/>
  <c r="D2202" i="15"/>
  <c r="D2194" i="15"/>
  <c r="D2186" i="15"/>
  <c r="D2178" i="15"/>
  <c r="D2170" i="15"/>
  <c r="D2162" i="15"/>
  <c r="D2154" i="15"/>
  <c r="D2146" i="15"/>
  <c r="D2138" i="15"/>
  <c r="D2130" i="15"/>
  <c r="D2122" i="15"/>
  <c r="D2114" i="15"/>
  <c r="D2106" i="15"/>
  <c r="D2098" i="15"/>
  <c r="D2090" i="15"/>
  <c r="D2082" i="15"/>
  <c r="D2074" i="15"/>
  <c r="D2066" i="15"/>
  <c r="D2058" i="15"/>
  <c r="E2095" i="15"/>
  <c r="E2079" i="15"/>
  <c r="E2063" i="15"/>
  <c r="D2051" i="15"/>
  <c r="D2043" i="15"/>
  <c r="D2035" i="15"/>
  <c r="D2027" i="15"/>
  <c r="D2019" i="15"/>
  <c r="D2011" i="15"/>
  <c r="D2003" i="15"/>
  <c r="D1995" i="15"/>
  <c r="D1987" i="15"/>
  <c r="D1979" i="15"/>
  <c r="D1971" i="15"/>
  <c r="D1963" i="15"/>
  <c r="D1955" i="15"/>
  <c r="D1947" i="15"/>
  <c r="D1939" i="15"/>
  <c r="D1931" i="15"/>
  <c r="D1923" i="15"/>
  <c r="D1915" i="15"/>
  <c r="D1907" i="15"/>
  <c r="D1899" i="15"/>
  <c r="D1891" i="15"/>
  <c r="D1883" i="15"/>
  <c r="D1875" i="15"/>
  <c r="D1867" i="15"/>
  <c r="D1859" i="15"/>
  <c r="D1851" i="15"/>
  <c r="D1843" i="15"/>
  <c r="D1835" i="15"/>
  <c r="D1827" i="15"/>
  <c r="D1819" i="15"/>
  <c r="D1811" i="15"/>
  <c r="D1803" i="15"/>
  <c r="D1795" i="15"/>
  <c r="D1787" i="15"/>
  <c r="D1779" i="15"/>
  <c r="D1771" i="15"/>
  <c r="D1763" i="15"/>
  <c r="D1755" i="15"/>
  <c r="D1747" i="15"/>
  <c r="D1739" i="15"/>
  <c r="D1731" i="15"/>
  <c r="D1723" i="15"/>
  <c r="D1715" i="15"/>
  <c r="D1707" i="15"/>
  <c r="D1699" i="15"/>
  <c r="D1691" i="15"/>
  <c r="D1683" i="15"/>
  <c r="D1675" i="15"/>
  <c r="D1667" i="15"/>
  <c r="D1659" i="15"/>
  <c r="D1651" i="15"/>
  <c r="D1643" i="15"/>
  <c r="D1635" i="15"/>
  <c r="D1627" i="15"/>
  <c r="D1619" i="15"/>
  <c r="D1611" i="15"/>
  <c r="D1603" i="15"/>
  <c r="D1595" i="15"/>
  <c r="D1587" i="15"/>
  <c r="D1579" i="15"/>
  <c r="D1571" i="15"/>
  <c r="D1563" i="15"/>
  <c r="D1555" i="15"/>
  <c r="D1547" i="15"/>
  <c r="D1539" i="15"/>
  <c r="D1531" i="15"/>
  <c r="D1523" i="15"/>
  <c r="D1515" i="15"/>
  <c r="D1507" i="15"/>
  <c r="D1499" i="15"/>
  <c r="D1491" i="15"/>
  <c r="D1483" i="15"/>
  <c r="D1475" i="15"/>
  <c r="D1467" i="15"/>
  <c r="D1459" i="15"/>
  <c r="D1451" i="15"/>
  <c r="D1443" i="15"/>
  <c r="D1435" i="15"/>
  <c r="D1427" i="15"/>
  <c r="D1419" i="15"/>
  <c r="D1411" i="15"/>
  <c r="D1403" i="15"/>
  <c r="D1395" i="15"/>
  <c r="D1387" i="15"/>
  <c r="D1379" i="15"/>
  <c r="D1371" i="15"/>
  <c r="D1363" i="15"/>
  <c r="D1355" i="15"/>
  <c r="D1347" i="15"/>
  <c r="D1339" i="15"/>
  <c r="D1331" i="15"/>
  <c r="D1323" i="15"/>
  <c r="D1315" i="15"/>
  <c r="D1307" i="15"/>
  <c r="D1299" i="15"/>
  <c r="D1291" i="15"/>
  <c r="D1283" i="15"/>
  <c r="D1275" i="15"/>
  <c r="D1267" i="15"/>
  <c r="D1259" i="15"/>
  <c r="D1251" i="15"/>
  <c r="D1243" i="15"/>
  <c r="D1235" i="15"/>
  <c r="D1227" i="15"/>
  <c r="D1219" i="15"/>
  <c r="D1211" i="15"/>
  <c r="D1203" i="15"/>
  <c r="D1195" i="15"/>
  <c r="D1187" i="15"/>
  <c r="D1179" i="15"/>
  <c r="D1171" i="15"/>
  <c r="D1163" i="15"/>
  <c r="D1155" i="15"/>
  <c r="D1147" i="15"/>
  <c r="D1139" i="15"/>
  <c r="D1131" i="15"/>
  <c r="D1123" i="15"/>
  <c r="D1115" i="15"/>
  <c r="D1107" i="15"/>
  <c r="D1099" i="15"/>
  <c r="D1091" i="15"/>
  <c r="D1083" i="15"/>
  <c r="D1075" i="15"/>
  <c r="D1067" i="15"/>
  <c r="D1059" i="15"/>
  <c r="D1051" i="15"/>
  <c r="D1043" i="15"/>
  <c r="D1035" i="15"/>
  <c r="D1027" i="15"/>
  <c r="D1019" i="15"/>
  <c r="D1011" i="15"/>
  <c r="D1003" i="15"/>
  <c r="D995" i="15"/>
  <c r="E2107" i="15"/>
  <c r="E2086" i="15"/>
  <c r="E2070" i="15"/>
  <c r="E2054" i="15"/>
  <c r="E2046" i="15"/>
  <c r="E2038" i="15"/>
  <c r="E2030" i="15"/>
  <c r="E2022" i="15"/>
  <c r="E2014" i="15"/>
  <c r="E2006" i="15"/>
  <c r="E1998" i="15"/>
  <c r="E1990" i="15"/>
  <c r="E1982" i="15"/>
  <c r="E1974" i="15"/>
  <c r="E1966" i="15"/>
  <c r="E1958" i="15"/>
  <c r="E1950" i="15"/>
  <c r="E1942" i="15"/>
  <c r="E1934" i="15"/>
  <c r="E1926" i="15"/>
  <c r="E1918" i="15"/>
  <c r="E1910" i="15"/>
  <c r="E1902" i="15"/>
  <c r="E1894" i="15"/>
  <c r="E1886" i="15"/>
  <c r="E1878" i="15"/>
  <c r="E1870" i="15"/>
  <c r="E1862" i="15"/>
  <c r="E1854" i="15"/>
  <c r="E1846" i="15"/>
  <c r="E1838" i="15"/>
  <c r="E1830" i="15"/>
  <c r="E1822" i="15"/>
  <c r="E1814" i="15"/>
  <c r="E1806" i="15"/>
  <c r="E1798" i="15"/>
  <c r="E1790" i="15"/>
  <c r="E1782" i="15"/>
  <c r="E1774" i="15"/>
  <c r="E1766" i="15"/>
  <c r="E1758" i="15"/>
  <c r="E1750" i="15"/>
  <c r="E1742" i="15"/>
  <c r="E1734" i="15"/>
  <c r="E1726" i="15"/>
  <c r="E1718" i="15"/>
  <c r="E1710" i="15"/>
  <c r="E1702" i="15"/>
  <c r="E1694" i="15"/>
  <c r="E1686" i="15"/>
  <c r="E1678" i="15"/>
  <c r="E1670" i="15"/>
  <c r="E1662" i="15"/>
  <c r="E1654" i="15"/>
  <c r="E1646" i="15"/>
  <c r="E1638" i="15"/>
  <c r="E1630" i="15"/>
  <c r="E1622" i="15"/>
  <c r="E1614" i="15"/>
  <c r="E1606" i="15"/>
  <c r="E1598" i="15"/>
  <c r="E1590" i="15"/>
  <c r="E1582" i="15"/>
  <c r="E1574" i="15"/>
  <c r="E1566" i="15"/>
  <c r="E1558" i="15"/>
  <c r="E1550" i="15"/>
  <c r="E1542" i="15"/>
  <c r="E1534" i="15"/>
  <c r="E1526" i="15"/>
  <c r="E1518" i="15"/>
  <c r="E1510" i="15"/>
  <c r="E1502" i="15"/>
  <c r="E1494" i="15"/>
  <c r="E1486" i="15"/>
  <c r="E1478" i="15"/>
  <c r="E1470" i="15"/>
  <c r="E1462" i="15"/>
  <c r="E1454" i="15"/>
  <c r="E1446" i="15"/>
  <c r="E1438" i="15"/>
  <c r="E1430" i="15"/>
  <c r="E1422" i="15"/>
  <c r="E1414" i="15"/>
  <c r="E1406" i="15"/>
  <c r="E1398" i="15"/>
  <c r="E1390" i="15"/>
  <c r="E1382" i="15"/>
  <c r="E1374" i="15"/>
  <c r="E1366" i="15"/>
  <c r="E1358" i="15"/>
  <c r="E1350" i="15"/>
  <c r="E1342" i="15"/>
  <c r="E1334" i="15"/>
  <c r="E1326" i="15"/>
  <c r="E1318" i="15"/>
  <c r="E1310" i="15"/>
  <c r="E1302" i="15"/>
  <c r="E1294" i="15"/>
  <c r="E1286" i="15"/>
  <c r="E1278" i="15"/>
  <c r="E1270" i="15"/>
  <c r="E1262" i="15"/>
  <c r="E1254" i="15"/>
  <c r="E1246" i="15"/>
  <c r="E1238" i="15"/>
  <c r="E1230" i="15"/>
  <c r="E1222" i="15"/>
  <c r="E1214" i="15"/>
  <c r="E1206" i="15"/>
  <c r="E1198" i="15"/>
  <c r="E1190" i="15"/>
  <c r="E1182" i="15"/>
  <c r="E1174" i="15"/>
  <c r="E1166" i="15"/>
  <c r="E1158" i="15"/>
  <c r="E1150" i="15"/>
  <c r="E1142" i="15"/>
  <c r="E1134" i="15"/>
  <c r="E1126" i="15"/>
  <c r="E1118" i="15"/>
  <c r="E1110" i="15"/>
  <c r="E1102" i="15"/>
  <c r="E1094" i="15"/>
  <c r="E1086" i="15"/>
  <c r="E1078" i="15"/>
  <c r="E1070" i="15"/>
  <c r="E1062" i="15"/>
  <c r="E2097" i="15"/>
  <c r="E2081" i="15"/>
  <c r="E2065" i="15"/>
  <c r="D2052" i="15"/>
  <c r="D2044" i="15"/>
  <c r="D2036" i="15"/>
  <c r="D2028" i="15"/>
  <c r="D2020" i="15"/>
  <c r="D2012" i="15"/>
  <c r="D2004" i="15"/>
  <c r="D1996" i="15"/>
  <c r="D1988" i="15"/>
  <c r="D1980" i="15"/>
  <c r="D1972" i="15"/>
  <c r="D1964" i="15"/>
  <c r="D1956" i="15"/>
  <c r="D1948" i="15"/>
  <c r="D1940" i="15"/>
  <c r="D1932" i="15"/>
  <c r="D1924" i="15"/>
  <c r="D1916" i="15"/>
  <c r="D1908" i="15"/>
  <c r="D1900" i="15"/>
  <c r="D1892" i="15"/>
  <c r="D1884" i="15"/>
  <c r="D1876" i="15"/>
  <c r="D1868" i="15"/>
  <c r="D1860" i="15"/>
  <c r="D1852" i="15"/>
  <c r="D1844" i="15"/>
  <c r="D1836" i="15"/>
  <c r="D1828" i="15"/>
  <c r="D1820" i="15"/>
  <c r="D1812" i="15"/>
  <c r="D1804" i="15"/>
  <c r="D1796" i="15"/>
  <c r="D1788" i="15"/>
  <c r="D1780" i="15"/>
  <c r="D1772" i="15"/>
  <c r="D1764" i="15"/>
  <c r="D1756" i="15"/>
  <c r="E2261" i="15"/>
  <c r="E2253" i="15"/>
  <c r="E2245" i="15"/>
  <c r="E2237" i="15"/>
  <c r="E2229" i="15"/>
  <c r="E2221" i="15"/>
  <c r="E2213" i="15"/>
  <c r="E2205" i="15"/>
  <c r="E2197" i="15"/>
  <c r="E2189" i="15"/>
  <c r="E2181" i="15"/>
  <c r="E2173" i="15"/>
  <c r="E2165" i="15"/>
  <c r="E2157" i="15"/>
  <c r="E2149" i="15"/>
  <c r="E2141" i="15"/>
  <c r="E2133" i="15"/>
  <c r="E2125" i="15"/>
  <c r="E2117" i="15"/>
  <c r="D2597" i="15"/>
  <c r="D2575" i="15"/>
  <c r="D2559" i="15"/>
  <c r="D2543" i="15"/>
  <c r="D2533" i="15"/>
  <c r="D2525" i="15"/>
  <c r="D2517" i="15"/>
  <c r="D2509" i="15"/>
  <c r="D2501" i="15"/>
  <c r="D2493" i="15"/>
  <c r="D2485" i="15"/>
  <c r="D2477" i="15"/>
  <c r="D2469" i="15"/>
  <c r="D2461" i="15"/>
  <c r="D2453" i="15"/>
  <c r="D2445" i="15"/>
  <c r="D2437" i="15"/>
  <c r="D2429" i="15"/>
  <c r="D2421" i="15"/>
  <c r="D2413" i="15"/>
  <c r="D2405" i="15"/>
  <c r="D2397" i="15"/>
  <c r="D2389" i="15"/>
  <c r="D2381" i="15"/>
  <c r="D2373" i="15"/>
  <c r="D2365" i="15"/>
  <c r="D2357" i="15"/>
  <c r="D2349" i="15"/>
  <c r="D2341" i="15"/>
  <c r="D2333" i="15"/>
  <c r="D2325" i="15"/>
  <c r="D2317" i="15"/>
  <c r="D2309" i="15"/>
  <c r="D2301" i="15"/>
  <c r="D2293" i="15"/>
  <c r="D2285" i="15"/>
  <c r="D2277" i="15"/>
  <c r="D2269" i="15"/>
  <c r="D2261" i="15"/>
  <c r="D2253" i="15"/>
  <c r="D2245" i="15"/>
  <c r="D2237" i="15"/>
  <c r="D2229" i="15"/>
  <c r="D2221" i="15"/>
  <c r="D2213" i="15"/>
  <c r="D2205" i="15"/>
  <c r="D2197" i="15"/>
  <c r="D2189" i="15"/>
  <c r="D2181" i="15"/>
  <c r="D2173" i="15"/>
  <c r="D2165" i="15"/>
  <c r="D2157" i="15"/>
  <c r="D2149" i="15"/>
  <c r="D2141" i="15"/>
  <c r="D2133" i="15"/>
  <c r="D2125" i="15"/>
  <c r="D2117" i="15"/>
  <c r="D2109" i="15"/>
  <c r="D2101" i="15"/>
  <c r="D2093" i="15"/>
  <c r="D2085" i="15"/>
  <c r="D2077" i="15"/>
  <c r="D2069" i="15"/>
  <c r="D2061" i="15"/>
  <c r="D2595" i="15"/>
  <c r="D2574" i="15"/>
  <c r="D2558" i="15"/>
  <c r="D2542" i="15"/>
  <c r="E2532" i="15"/>
  <c r="E2524" i="15"/>
  <c r="E2516" i="15"/>
  <c r="E2508" i="15"/>
  <c r="E2500" i="15"/>
  <c r="E2492" i="15"/>
  <c r="E2484" i="15"/>
  <c r="E2476" i="15"/>
  <c r="E2468" i="15"/>
  <c r="E2460" i="15"/>
  <c r="E2452" i="15"/>
  <c r="E2444" i="15"/>
  <c r="E2436" i="15"/>
  <c r="E2428" i="15"/>
  <c r="E2420" i="15"/>
  <c r="E2412" i="15"/>
  <c r="E2404" i="15"/>
  <c r="E2396" i="15"/>
  <c r="E2388" i="15"/>
  <c r="E2380" i="15"/>
  <c r="E2372" i="15"/>
  <c r="E2364" i="15"/>
  <c r="E2356" i="15"/>
  <c r="E2348" i="15"/>
  <c r="E2340" i="15"/>
  <c r="E2332" i="15"/>
  <c r="E2324" i="15"/>
  <c r="E2316" i="15"/>
  <c r="E2308" i="15"/>
  <c r="E2300" i="15"/>
  <c r="E2292" i="15"/>
  <c r="E2284" i="15"/>
  <c r="E2276" i="15"/>
  <c r="E2268" i="15"/>
  <c r="E2260" i="15"/>
  <c r="E2252" i="15"/>
  <c r="E2244" i="15"/>
  <c r="E2236" i="15"/>
  <c r="E2228" i="15"/>
  <c r="E2220" i="15"/>
  <c r="E2212" i="15"/>
  <c r="E2204" i="15"/>
  <c r="E2196" i="15"/>
  <c r="E2188" i="15"/>
  <c r="E2180" i="15"/>
  <c r="E2172" i="15"/>
  <c r="E2164" i="15"/>
  <c r="E2156" i="15"/>
  <c r="E2148" i="15"/>
  <c r="E2140" i="15"/>
  <c r="E2132" i="15"/>
  <c r="E2124" i="15"/>
  <c r="E2116" i="15"/>
  <c r="E2108" i="15"/>
  <c r="E2100" i="15"/>
  <c r="D2581" i="15"/>
  <c r="D2565" i="15"/>
  <c r="D2549" i="15"/>
  <c r="D2536" i="15"/>
  <c r="D2528" i="15"/>
  <c r="D2520" i="15"/>
  <c r="D2512" i="15"/>
  <c r="D2504" i="15"/>
  <c r="D2496" i="15"/>
  <c r="D2488" i="15"/>
  <c r="D2480" i="15"/>
  <c r="D2472" i="15"/>
  <c r="D2464" i="15"/>
  <c r="D2456" i="15"/>
  <c r="D2448" i="15"/>
  <c r="D2440" i="15"/>
  <c r="D2432" i="15"/>
  <c r="D2424" i="15"/>
  <c r="D2416" i="15"/>
  <c r="D2408" i="15"/>
  <c r="D2400" i="15"/>
  <c r="D2392" i="15"/>
  <c r="D2384" i="15"/>
  <c r="D2376" i="15"/>
  <c r="D2368" i="15"/>
  <c r="D2360" i="15"/>
  <c r="D2352" i="15"/>
  <c r="D2344" i="15"/>
  <c r="D2336" i="15"/>
  <c r="D2328" i="15"/>
  <c r="D2320" i="15"/>
  <c r="D2312" i="15"/>
  <c r="D2304" i="15"/>
  <c r="D2296" i="15"/>
  <c r="D2288" i="15"/>
  <c r="D2280" i="15"/>
  <c r="D2272" i="15"/>
  <c r="D2264" i="15"/>
  <c r="D2256" i="15"/>
  <c r="D2248" i="15"/>
  <c r="D2240" i="15"/>
  <c r="D2232" i="15"/>
  <c r="D2224" i="15"/>
  <c r="D2216" i="15"/>
  <c r="D2208" i="15"/>
  <c r="D2200" i="15"/>
  <c r="D2192" i="15"/>
  <c r="D2184" i="15"/>
  <c r="D2176" i="15"/>
  <c r="D2168" i="15"/>
  <c r="D2160" i="15"/>
  <c r="D2152" i="15"/>
  <c r="D2144" i="15"/>
  <c r="D2136" i="15"/>
  <c r="D2128" i="15"/>
  <c r="D2120" i="15"/>
  <c r="D2112" i="15"/>
  <c r="D2104" i="15"/>
  <c r="D2096" i="15"/>
  <c r="D2088" i="15"/>
  <c r="D2080" i="15"/>
  <c r="D2072" i="15"/>
  <c r="D2064" i="15"/>
  <c r="D2056" i="15"/>
  <c r="E2091" i="15"/>
  <c r="E2075" i="15"/>
  <c r="E2059" i="15"/>
  <c r="D2049" i="15"/>
  <c r="D2041" i="15"/>
  <c r="D2033" i="15"/>
  <c r="D2025" i="15"/>
  <c r="D2017" i="15"/>
  <c r="D2009" i="15"/>
  <c r="D2001" i="15"/>
  <c r="D1993" i="15"/>
  <c r="D1985" i="15"/>
  <c r="D1977" i="15"/>
  <c r="D1969" i="15"/>
  <c r="D1961" i="15"/>
  <c r="D1953" i="15"/>
  <c r="D1945" i="15"/>
  <c r="D1937" i="15"/>
  <c r="D1929" i="15"/>
  <c r="D1921" i="15"/>
  <c r="D1913" i="15"/>
  <c r="D1905" i="15"/>
  <c r="D1897" i="15"/>
  <c r="D1889" i="15"/>
  <c r="D1881" i="15"/>
  <c r="D1873" i="15"/>
  <c r="D1865" i="15"/>
  <c r="D1857" i="15"/>
  <c r="D1849" i="15"/>
  <c r="D1841" i="15"/>
  <c r="D1833" i="15"/>
  <c r="D1825" i="15"/>
  <c r="D1817" i="15"/>
  <c r="D1809" i="15"/>
  <c r="D1801" i="15"/>
  <c r="D1793" i="15"/>
  <c r="D1785" i="15"/>
  <c r="D1777" i="15"/>
  <c r="D1769" i="15"/>
  <c r="D1761" i="15"/>
  <c r="D1753" i="15"/>
  <c r="D1745" i="15"/>
  <c r="D1737" i="15"/>
  <c r="D1729" i="15"/>
  <c r="D1721" i="15"/>
  <c r="D1713" i="15"/>
  <c r="D1705" i="15"/>
  <c r="D1697" i="15"/>
  <c r="D1689" i="15"/>
  <c r="D1681" i="15"/>
  <c r="D1673" i="15"/>
  <c r="D1665" i="15"/>
  <c r="D1657" i="15"/>
  <c r="D1649" i="15"/>
  <c r="D1641" i="15"/>
  <c r="D1633" i="15"/>
  <c r="D1625" i="15"/>
  <c r="D1617" i="15"/>
  <c r="D1609" i="15"/>
  <c r="D1601" i="15"/>
  <c r="D1593" i="15"/>
  <c r="D1585" i="15"/>
  <c r="D1577" i="15"/>
  <c r="D1569" i="15"/>
  <c r="D1561" i="15"/>
  <c r="D1553" i="15"/>
  <c r="D1545" i="15"/>
  <c r="D1537" i="15"/>
  <c r="D1529" i="15"/>
  <c r="D1521" i="15"/>
  <c r="D1513" i="15"/>
  <c r="D1505" i="15"/>
  <c r="D1497" i="15"/>
  <c r="D1489" i="15"/>
  <c r="D1481" i="15"/>
  <c r="D1473" i="15"/>
  <c r="D1465" i="15"/>
  <c r="D1457" i="15"/>
  <c r="D1449" i="15"/>
  <c r="D1441" i="15"/>
  <c r="D1433" i="15"/>
  <c r="D1425" i="15"/>
  <c r="D1417" i="15"/>
  <c r="D1409" i="15"/>
  <c r="D1401" i="15"/>
  <c r="D1393" i="15"/>
  <c r="D1385" i="15"/>
  <c r="D1377" i="15"/>
  <c r="D1369" i="15"/>
  <c r="D1361" i="15"/>
  <c r="D1353" i="15"/>
  <c r="D1345" i="15"/>
  <c r="D1337" i="15"/>
  <c r="D1329" i="15"/>
  <c r="D1321" i="15"/>
  <c r="D1313" i="15"/>
  <c r="D1305" i="15"/>
  <c r="D1297" i="15"/>
  <c r="D1289" i="15"/>
  <c r="D1281" i="15"/>
  <c r="D1273" i="15"/>
  <c r="D1265" i="15"/>
  <c r="D1257" i="15"/>
  <c r="D1249" i="15"/>
  <c r="D1241" i="15"/>
  <c r="D1233" i="15"/>
  <c r="D1225" i="15"/>
  <c r="D1217" i="15"/>
  <c r="D1209" i="15"/>
  <c r="D1201" i="15"/>
  <c r="D1193" i="15"/>
  <c r="D1185" i="15"/>
  <c r="D1177" i="15"/>
  <c r="D1169" i="15"/>
  <c r="D1161" i="15"/>
  <c r="D1153" i="15"/>
  <c r="D1145" i="15"/>
  <c r="D1137" i="15"/>
  <c r="D1129" i="15"/>
  <c r="D1121" i="15"/>
  <c r="D1113" i="15"/>
  <c r="D1105" i="15"/>
  <c r="D1097" i="15"/>
  <c r="D1089" i="15"/>
  <c r="D1081" i="15"/>
  <c r="D1073" i="15"/>
  <c r="D1065" i="15"/>
  <c r="D1057" i="15"/>
  <c r="D1049" i="15"/>
  <c r="D1041" i="15"/>
  <c r="D1033" i="15"/>
  <c r="D1025" i="15"/>
  <c r="D1017" i="15"/>
  <c r="D1009" i="15"/>
  <c r="D1001" i="15"/>
  <c r="D993" i="15"/>
  <c r="E2099" i="15"/>
  <c r="E2082" i="15"/>
  <c r="E2066" i="15"/>
  <c r="E2052" i="15"/>
  <c r="E2044" i="15"/>
  <c r="E2036" i="15"/>
  <c r="E2028" i="15"/>
  <c r="E2020" i="15"/>
  <c r="E2012" i="15"/>
  <c r="E2004" i="15"/>
  <c r="E1996" i="15"/>
  <c r="E1988" i="15"/>
  <c r="E1980" i="15"/>
  <c r="E1972" i="15"/>
  <c r="E1964" i="15"/>
  <c r="E1956" i="15"/>
  <c r="E1948" i="15"/>
  <c r="E1940" i="15"/>
  <c r="E1932" i="15"/>
  <c r="E1924" i="15"/>
  <c r="E1916" i="15"/>
  <c r="E1908" i="15"/>
  <c r="E1900" i="15"/>
  <c r="E1892" i="15"/>
  <c r="E1884" i="15"/>
  <c r="E1876" i="15"/>
  <c r="E1868" i="15"/>
  <c r="E1860" i="15"/>
  <c r="E1852" i="15"/>
  <c r="E1844" i="15"/>
  <c r="E1836" i="15"/>
  <c r="E1828" i="15"/>
  <c r="E1820" i="15"/>
  <c r="E1812" i="15"/>
  <c r="E1804" i="15"/>
  <c r="E1796" i="15"/>
  <c r="E1788" i="15"/>
  <c r="E1780" i="15"/>
  <c r="E1772" i="15"/>
  <c r="E1764" i="15"/>
  <c r="E1756" i="15"/>
  <c r="E1748" i="15"/>
  <c r="E1740" i="15"/>
  <c r="E1732" i="15"/>
  <c r="E1724" i="15"/>
  <c r="E1716" i="15"/>
  <c r="E1708" i="15"/>
  <c r="E1700" i="15"/>
  <c r="E1692" i="15"/>
  <c r="E1684" i="15"/>
  <c r="E1676" i="15"/>
  <c r="E1668" i="15"/>
  <c r="E1660" i="15"/>
  <c r="E1652" i="15"/>
  <c r="E1644" i="15"/>
  <c r="E1636" i="15"/>
  <c r="E1628" i="15"/>
  <c r="E1620" i="15"/>
  <c r="E1612" i="15"/>
  <c r="E1604" i="15"/>
  <c r="E1596" i="15"/>
  <c r="E1588" i="15"/>
  <c r="E1580" i="15"/>
  <c r="E1572" i="15"/>
  <c r="E1564" i="15"/>
  <c r="E1556" i="15"/>
  <c r="E1548" i="15"/>
  <c r="E1540" i="15"/>
  <c r="E1532" i="15"/>
  <c r="E1524" i="15"/>
  <c r="E1516" i="15"/>
  <c r="E1508" i="15"/>
  <c r="E1500" i="15"/>
  <c r="E1492" i="15"/>
  <c r="E1484" i="15"/>
  <c r="E1476" i="15"/>
  <c r="E1468" i="15"/>
  <c r="E1460" i="15"/>
  <c r="E1452" i="15"/>
  <c r="E1444" i="15"/>
  <c r="E1436" i="15"/>
  <c r="E1428" i="15"/>
  <c r="E1420" i="15"/>
  <c r="E1412" i="15"/>
  <c r="E1404" i="15"/>
  <c r="E1396" i="15"/>
  <c r="E1388" i="15"/>
  <c r="E1380" i="15"/>
  <c r="E1372" i="15"/>
  <c r="E1364" i="15"/>
  <c r="E1356" i="15"/>
  <c r="E1348" i="15"/>
  <c r="E1340" i="15"/>
  <c r="E1332" i="15"/>
  <c r="E1324" i="15"/>
  <c r="E1316" i="15"/>
  <c r="E1308" i="15"/>
  <c r="E1300" i="15"/>
  <c r="E1292" i="15"/>
  <c r="E1284" i="15"/>
  <c r="E1276" i="15"/>
  <c r="E1268" i="15"/>
  <c r="E1260" i="15"/>
  <c r="E1252" i="15"/>
  <c r="E1244" i="15"/>
  <c r="E1236" i="15"/>
  <c r="E1228" i="15"/>
  <c r="E1220" i="15"/>
  <c r="E1212" i="15"/>
  <c r="E1204" i="15"/>
  <c r="E1196" i="15"/>
  <c r="E1188" i="15"/>
  <c r="E1180" i="15"/>
  <c r="E1172" i="15"/>
  <c r="E1164" i="15"/>
  <c r="E1156" i="15"/>
  <c r="E1148" i="15"/>
  <c r="E1140" i="15"/>
  <c r="E1132" i="15"/>
  <c r="E1124" i="15"/>
  <c r="E1116" i="15"/>
  <c r="E1108" i="15"/>
  <c r="E1100" i="15"/>
  <c r="E1092" i="15"/>
  <c r="E1084" i="15"/>
  <c r="E1076" i="15"/>
  <c r="E1068" i="15"/>
  <c r="E1060" i="15"/>
  <c r="E2093" i="15"/>
  <c r="E2077" i="15"/>
  <c r="E2061" i="15"/>
  <c r="D2050" i="15"/>
  <c r="D2042" i="15"/>
  <c r="D2034" i="15"/>
  <c r="D2026" i="15"/>
  <c r="D2018" i="15"/>
  <c r="D2010" i="15"/>
  <c r="D2002" i="15"/>
  <c r="D1994" i="15"/>
  <c r="D1986" i="15"/>
  <c r="D1978" i="15"/>
  <c r="D1970" i="15"/>
  <c r="D1962" i="15"/>
  <c r="D1954" i="15"/>
  <c r="D1946" i="15"/>
  <c r="D1938" i="15"/>
  <c r="D1930" i="15"/>
  <c r="D1922" i="15"/>
  <c r="D1914" i="15"/>
  <c r="D1906" i="15"/>
  <c r="D1898" i="15"/>
  <c r="D1890" i="15"/>
  <c r="D1882" i="15"/>
  <c r="D1874" i="15"/>
  <c r="D1866" i="15"/>
  <c r="D1858" i="15"/>
  <c r="D1850" i="15"/>
  <c r="D1842" i="15"/>
  <c r="D1834" i="15"/>
  <c r="D1826" i="15"/>
  <c r="D1818" i="15"/>
  <c r="D1810" i="15"/>
  <c r="D1802" i="15"/>
  <c r="D1794" i="15"/>
  <c r="D1786" i="15"/>
  <c r="D1778" i="15"/>
  <c r="D1770" i="15"/>
  <c r="D1762" i="15"/>
  <c r="D1754" i="15"/>
  <c r="E2259" i="15"/>
  <c r="E2251" i="15"/>
  <c r="E2243" i="15"/>
  <c r="E2235" i="15"/>
  <c r="E2227" i="15"/>
  <c r="E2219" i="15"/>
  <c r="E2211" i="15"/>
  <c r="E2203" i="15"/>
  <c r="E2195" i="15"/>
  <c r="E2187" i="15"/>
  <c r="E2179" i="15"/>
  <c r="E2171" i="15"/>
  <c r="E2163" i="15"/>
  <c r="E2155" i="15"/>
  <c r="E2147" i="15"/>
  <c r="E2139" i="15"/>
  <c r="E2131" i="15"/>
  <c r="E2123" i="15"/>
  <c r="E2115" i="15"/>
  <c r="D2589" i="15"/>
  <c r="D2571" i="15"/>
  <c r="D2555" i="15"/>
  <c r="D2539" i="15"/>
  <c r="D2531" i="15"/>
  <c r="D2523" i="15"/>
  <c r="D2515" i="15"/>
  <c r="D2507" i="15"/>
  <c r="D2499" i="15"/>
  <c r="D2491" i="15"/>
  <c r="D2483" i="15"/>
  <c r="D2475" i="15"/>
  <c r="D2467" i="15"/>
  <c r="D2459" i="15"/>
  <c r="D2451" i="15"/>
  <c r="D2443" i="15"/>
  <c r="D2435" i="15"/>
  <c r="D2427" i="15"/>
  <c r="D2419" i="15"/>
  <c r="D2411" i="15"/>
  <c r="D2403" i="15"/>
  <c r="D2395" i="15"/>
  <c r="D2387" i="15"/>
  <c r="D2379" i="15"/>
  <c r="D2371" i="15"/>
  <c r="D2363" i="15"/>
  <c r="D2355" i="15"/>
  <c r="D2347" i="15"/>
  <c r="D2339" i="15"/>
  <c r="D2331" i="15"/>
  <c r="D2323" i="15"/>
  <c r="D2315" i="15"/>
  <c r="D2307" i="15"/>
  <c r="D2299" i="15"/>
  <c r="D2291" i="15"/>
  <c r="D2283" i="15"/>
  <c r="D2275" i="15"/>
  <c r="D2267" i="15"/>
  <c r="D2259" i="15"/>
  <c r="D2251" i="15"/>
  <c r="D2243" i="15"/>
  <c r="D2235" i="15"/>
  <c r="D2227" i="15"/>
  <c r="D2219" i="15"/>
  <c r="D2211" i="15"/>
  <c r="D2203" i="15"/>
  <c r="D2195" i="15"/>
  <c r="D2187" i="15"/>
  <c r="D2179" i="15"/>
  <c r="D2171" i="15"/>
  <c r="D2163" i="15"/>
  <c r="D2155" i="15"/>
  <c r="D2147" i="15"/>
  <c r="D2139" i="15"/>
  <c r="D2131" i="15"/>
  <c r="D2123" i="15"/>
  <c r="D2115" i="15"/>
  <c r="D2107" i="15"/>
  <c r="D2099" i="15"/>
  <c r="D2091" i="15"/>
  <c r="D2083" i="15"/>
  <c r="D2075" i="15"/>
  <c r="D2067" i="15"/>
  <c r="D2059" i="15"/>
  <c r="D2587" i="15"/>
  <c r="D2570" i="15"/>
  <c r="D2554" i="15"/>
  <c r="E2538" i="15"/>
  <c r="E2530" i="15"/>
  <c r="E2522" i="15"/>
  <c r="E2514" i="15"/>
  <c r="E2506" i="15"/>
  <c r="E2498" i="15"/>
  <c r="E2490" i="15"/>
  <c r="E2482" i="15"/>
  <c r="E2474" i="15"/>
  <c r="E2466" i="15"/>
  <c r="E2458" i="15"/>
  <c r="E2450" i="15"/>
  <c r="E2442" i="15"/>
  <c r="E2434" i="15"/>
  <c r="E2426" i="15"/>
  <c r="E2418" i="15"/>
  <c r="E2410" i="15"/>
  <c r="E2402" i="15"/>
  <c r="E2394" i="15"/>
  <c r="E2386" i="15"/>
  <c r="E2378" i="15"/>
  <c r="E2370" i="15"/>
  <c r="E2362" i="15"/>
  <c r="E2354" i="15"/>
  <c r="E2346" i="15"/>
  <c r="E2338" i="15"/>
  <c r="E2330" i="15"/>
  <c r="E2322" i="15"/>
  <c r="E2314" i="15"/>
  <c r="E2306" i="15"/>
  <c r="E2298" i="15"/>
  <c r="E2290" i="15"/>
  <c r="E2282" i="15"/>
  <c r="E2274" i="15"/>
  <c r="E2266" i="15"/>
  <c r="E2258" i="15"/>
  <c r="E2250" i="15"/>
  <c r="E2242" i="15"/>
  <c r="E2234" i="15"/>
  <c r="E2226" i="15"/>
  <c r="E2218" i="15"/>
  <c r="E2210" i="15"/>
  <c r="E2202" i="15"/>
  <c r="E2194" i="15"/>
  <c r="E2186" i="15"/>
  <c r="E2178" i="15"/>
  <c r="E2170" i="15"/>
  <c r="E2162" i="15"/>
  <c r="E2154" i="15"/>
  <c r="E2146" i="15"/>
  <c r="E2138" i="15"/>
  <c r="E2130" i="15"/>
  <c r="E2122" i="15"/>
  <c r="E2114" i="15"/>
  <c r="E2106" i="15"/>
  <c r="E2098" i="15"/>
  <c r="D2577" i="15"/>
  <c r="D2561" i="15"/>
  <c r="D2545" i="15"/>
  <c r="D2534" i="15"/>
  <c r="D2526" i="15"/>
  <c r="D2518" i="15"/>
  <c r="D2510" i="15"/>
  <c r="D2502" i="15"/>
  <c r="D2494" i="15"/>
  <c r="D2486" i="15"/>
  <c r="D2478" i="15"/>
  <c r="D2470" i="15"/>
  <c r="D2462" i="15"/>
  <c r="D2454" i="15"/>
  <c r="D2446" i="15"/>
  <c r="D2438" i="15"/>
  <c r="D2430" i="15"/>
  <c r="D2422" i="15"/>
  <c r="D2414" i="15"/>
  <c r="D2406" i="15"/>
  <c r="D2398" i="15"/>
  <c r="D2390" i="15"/>
  <c r="D2382" i="15"/>
  <c r="D2374" i="15"/>
  <c r="D2366" i="15"/>
  <c r="D2358" i="15"/>
  <c r="D2350" i="15"/>
  <c r="D2342" i="15"/>
  <c r="D2334" i="15"/>
  <c r="D2326" i="15"/>
  <c r="D2318" i="15"/>
  <c r="D2310" i="15"/>
  <c r="D2302" i="15"/>
  <c r="D2294" i="15"/>
  <c r="D2286" i="15"/>
  <c r="D2278" i="15"/>
  <c r="D2270" i="15"/>
  <c r="D2262" i="15"/>
  <c r="D2254" i="15"/>
  <c r="D2246" i="15"/>
  <c r="D2238" i="15"/>
  <c r="D2230" i="15"/>
  <c r="D2222" i="15"/>
  <c r="D2214" i="15"/>
  <c r="D2206" i="15"/>
  <c r="D2198" i="15"/>
  <c r="D2190" i="15"/>
  <c r="D2182" i="15"/>
  <c r="D2174" i="15"/>
  <c r="D2166" i="15"/>
  <c r="D2158" i="15"/>
  <c r="D2150" i="15"/>
  <c r="D2142" i="15"/>
  <c r="D2134" i="15"/>
  <c r="D2126" i="15"/>
  <c r="D2118" i="15"/>
  <c r="D2110" i="15"/>
  <c r="D2102" i="15"/>
  <c r="D2094" i="15"/>
  <c r="D2086" i="15"/>
  <c r="D2078" i="15"/>
  <c r="D2070" i="15"/>
  <c r="D2062" i="15"/>
  <c r="E2109" i="15"/>
  <c r="E2087" i="15"/>
  <c r="E2071" i="15"/>
  <c r="E2055" i="15"/>
  <c r="D2047" i="15"/>
  <c r="D2039" i="15"/>
  <c r="D2031" i="15"/>
  <c r="D2023" i="15"/>
  <c r="D2015" i="15"/>
  <c r="D2007" i="15"/>
  <c r="D1999" i="15"/>
  <c r="D1991" i="15"/>
  <c r="D1983" i="15"/>
  <c r="D1975" i="15"/>
  <c r="D1967" i="15"/>
  <c r="D1959" i="15"/>
  <c r="D1951" i="15"/>
  <c r="D1943" i="15"/>
  <c r="D1935" i="15"/>
  <c r="D1927" i="15"/>
  <c r="D1919" i="15"/>
  <c r="D1911" i="15"/>
  <c r="D1903" i="15"/>
  <c r="D1895" i="15"/>
  <c r="D1887" i="15"/>
  <c r="D1879" i="15"/>
  <c r="D1871" i="15"/>
  <c r="D1863" i="15"/>
  <c r="D1855" i="15"/>
  <c r="D1847" i="15"/>
  <c r="D1839" i="15"/>
  <c r="D1831" i="15"/>
  <c r="D1823" i="15"/>
  <c r="D1815" i="15"/>
  <c r="D1807" i="15"/>
  <c r="D1799" i="15"/>
  <c r="D1791" i="15"/>
  <c r="D1783" i="15"/>
  <c r="D1775" i="15"/>
  <c r="D1767" i="15"/>
  <c r="D1759" i="15"/>
  <c r="D1751" i="15"/>
  <c r="D1743" i="15"/>
  <c r="D1735" i="15"/>
  <c r="D1727" i="15"/>
  <c r="D1719" i="15"/>
  <c r="D1711" i="15"/>
  <c r="D1703" i="15"/>
  <c r="D1695" i="15"/>
  <c r="D1687" i="15"/>
  <c r="D1679" i="15"/>
  <c r="D1671" i="15"/>
  <c r="D1663" i="15"/>
  <c r="D1655" i="15"/>
  <c r="D1647" i="15"/>
  <c r="D1639" i="15"/>
  <c r="D1631" i="15"/>
  <c r="D1623" i="15"/>
  <c r="D1615" i="15"/>
  <c r="D1607" i="15"/>
  <c r="D1599" i="15"/>
  <c r="D1591" i="15"/>
  <c r="D1583" i="15"/>
  <c r="D1575" i="15"/>
  <c r="D1567" i="15"/>
  <c r="D1559" i="15"/>
  <c r="D1551" i="15"/>
  <c r="D1543" i="15"/>
  <c r="D1535" i="15"/>
  <c r="D1527" i="15"/>
  <c r="D1519" i="15"/>
  <c r="D1511" i="15"/>
  <c r="D1503" i="15"/>
  <c r="D1495" i="15"/>
  <c r="D1487" i="15"/>
  <c r="D1479" i="15"/>
  <c r="D1471" i="15"/>
  <c r="D1463" i="15"/>
  <c r="D1455" i="15"/>
  <c r="D1447" i="15"/>
  <c r="D1439" i="15"/>
  <c r="D1431" i="15"/>
  <c r="D1423" i="15"/>
  <c r="D1415" i="15"/>
  <c r="D1407" i="15"/>
  <c r="D1399" i="15"/>
  <c r="D1391" i="15"/>
  <c r="D1383" i="15"/>
  <c r="D1375" i="15"/>
  <c r="D1367" i="15"/>
  <c r="D1359" i="15"/>
  <c r="D1351" i="15"/>
  <c r="D1343" i="15"/>
  <c r="D1335" i="15"/>
  <c r="D1327" i="15"/>
  <c r="D1319" i="15"/>
  <c r="D1311" i="15"/>
  <c r="D1303" i="15"/>
  <c r="D1295" i="15"/>
  <c r="D1287" i="15"/>
  <c r="D1279" i="15"/>
  <c r="D1271" i="15"/>
  <c r="D1263" i="15"/>
  <c r="D1255" i="15"/>
  <c r="D1247" i="15"/>
  <c r="D1239" i="15"/>
  <c r="D1231" i="15"/>
  <c r="D1223" i="15"/>
  <c r="D1215" i="15"/>
  <c r="D1207" i="15"/>
  <c r="D1199" i="15"/>
  <c r="D1191" i="15"/>
  <c r="D1183" i="15"/>
  <c r="D1175" i="15"/>
  <c r="D1167" i="15"/>
  <c r="D1159" i="15"/>
  <c r="D1151" i="15"/>
  <c r="D1143" i="15"/>
  <c r="D1135" i="15"/>
  <c r="D1127" i="15"/>
  <c r="D1119" i="15"/>
  <c r="D1111" i="15"/>
  <c r="D1103" i="15"/>
  <c r="D1095" i="15"/>
  <c r="D1087" i="15"/>
  <c r="D1079" i="15"/>
  <c r="D1071" i="15"/>
  <c r="D1063" i="15"/>
  <c r="D1055" i="15"/>
  <c r="D1047" i="15"/>
  <c r="D1039" i="15"/>
  <c r="D1031" i="15"/>
  <c r="D1023" i="15"/>
  <c r="D1015" i="15"/>
  <c r="D1007" i="15"/>
  <c r="D999" i="15"/>
  <c r="D991" i="15"/>
  <c r="E2094" i="15"/>
  <c r="E2078" i="15"/>
  <c r="E2062" i="15"/>
  <c r="E2050" i="15"/>
  <c r="E2042" i="15"/>
  <c r="E2034" i="15"/>
  <c r="E2026" i="15"/>
  <c r="E2018" i="15"/>
  <c r="E2010" i="15"/>
  <c r="E2002" i="15"/>
  <c r="E1994" i="15"/>
  <c r="E1986" i="15"/>
  <c r="E1978" i="15"/>
  <c r="E1970" i="15"/>
  <c r="E1962" i="15"/>
  <c r="E1954" i="15"/>
  <c r="E1946" i="15"/>
  <c r="E1938" i="15"/>
  <c r="E1930" i="15"/>
  <c r="E1922" i="15"/>
  <c r="E1914" i="15"/>
  <c r="E1906" i="15"/>
  <c r="E1898" i="15"/>
  <c r="E1890" i="15"/>
  <c r="E1882" i="15"/>
  <c r="E1874" i="15"/>
  <c r="E1866" i="15"/>
  <c r="E1858" i="15"/>
  <c r="E1850" i="15"/>
  <c r="E1842" i="15"/>
  <c r="E1834" i="15"/>
  <c r="E1826" i="15"/>
  <c r="E1818" i="15"/>
  <c r="E1810" i="15"/>
  <c r="E1802" i="15"/>
  <c r="E1794" i="15"/>
  <c r="E1786" i="15"/>
  <c r="E1778" i="15"/>
  <c r="E1770" i="15"/>
  <c r="E1762" i="15"/>
  <c r="E1754" i="15"/>
  <c r="E1746" i="15"/>
  <c r="E1738" i="15"/>
  <c r="E1730" i="15"/>
  <c r="E1722" i="15"/>
  <c r="E1714" i="15"/>
  <c r="E1706" i="15"/>
  <c r="E1698" i="15"/>
  <c r="E1690" i="15"/>
  <c r="E1682" i="15"/>
  <c r="E1674" i="15"/>
  <c r="E1666" i="15"/>
  <c r="E1658" i="15"/>
  <c r="E1650" i="15"/>
  <c r="E1642" i="15"/>
  <c r="E1634" i="15"/>
  <c r="E1626" i="15"/>
  <c r="E1618" i="15"/>
  <c r="E1610" i="15"/>
  <c r="E1602" i="15"/>
  <c r="E1594" i="15"/>
  <c r="E1586" i="15"/>
  <c r="E1578" i="15"/>
  <c r="E1570" i="15"/>
  <c r="E1562" i="15"/>
  <c r="E1554" i="15"/>
  <c r="E1546" i="15"/>
  <c r="E1538" i="15"/>
  <c r="E1530" i="15"/>
  <c r="E1522" i="15"/>
  <c r="E1514" i="15"/>
  <c r="E1506" i="15"/>
  <c r="E1498" i="15"/>
  <c r="E1490" i="15"/>
  <c r="E1482" i="15"/>
  <c r="E1474" i="15"/>
  <c r="E1466" i="15"/>
  <c r="E1458" i="15"/>
  <c r="E1450" i="15"/>
  <c r="E1442" i="15"/>
  <c r="E1434" i="15"/>
  <c r="E1426" i="15"/>
  <c r="E1418" i="15"/>
  <c r="E1410" i="15"/>
  <c r="E1402" i="15"/>
  <c r="E1394" i="15"/>
  <c r="E1386" i="15"/>
  <c r="E1378" i="15"/>
  <c r="E1370" i="15"/>
  <c r="E1362" i="15"/>
  <c r="E1354" i="15"/>
  <c r="E1346" i="15"/>
  <c r="E1338" i="15"/>
  <c r="E1330" i="15"/>
  <c r="E1322" i="15"/>
  <c r="E1314" i="15"/>
  <c r="E1306" i="15"/>
  <c r="E1298" i="15"/>
  <c r="E1290" i="15"/>
  <c r="E1282" i="15"/>
  <c r="E1274" i="15"/>
  <c r="E1266" i="15"/>
  <c r="E1258" i="15"/>
  <c r="E1250" i="15"/>
  <c r="E1242" i="15"/>
  <c r="E1234" i="15"/>
  <c r="E1226" i="15"/>
  <c r="E1218" i="15"/>
  <c r="E1210" i="15"/>
  <c r="E1202" i="15"/>
  <c r="E1194" i="15"/>
  <c r="E1186" i="15"/>
  <c r="E1178" i="15"/>
  <c r="E1170" i="15"/>
  <c r="E1162" i="15"/>
  <c r="E1154" i="15"/>
  <c r="E1146" i="15"/>
  <c r="E1138" i="15"/>
  <c r="E1130" i="15"/>
  <c r="E1122" i="15"/>
  <c r="E1114" i="15"/>
  <c r="E1106" i="15"/>
  <c r="E1098" i="15"/>
  <c r="E1090" i="15"/>
  <c r="E1082" i="15"/>
  <c r="E1074" i="15"/>
  <c r="E1066" i="15"/>
  <c r="E1058" i="15"/>
  <c r="E2089" i="15"/>
  <c r="E2073" i="15"/>
  <c r="E2057" i="15"/>
  <c r="D2048" i="15"/>
  <c r="D2040" i="15"/>
  <c r="D2032" i="15"/>
  <c r="D2024" i="15"/>
  <c r="D2016" i="15"/>
  <c r="D2008" i="15"/>
  <c r="D2000" i="15"/>
  <c r="D1992" i="15"/>
  <c r="D1984" i="15"/>
  <c r="D1976" i="15"/>
  <c r="D1968" i="15"/>
  <c r="D1960" i="15"/>
  <c r="D1952" i="15"/>
  <c r="D1944" i="15"/>
  <c r="D1936" i="15"/>
  <c r="D1928" i="15"/>
  <c r="D1920" i="15"/>
  <c r="D1912" i="15"/>
  <c r="D1904" i="15"/>
  <c r="D1896" i="15"/>
  <c r="D1888" i="15"/>
  <c r="D1880" i="15"/>
  <c r="D1872" i="15"/>
  <c r="D1864" i="15"/>
  <c r="D1856" i="15"/>
  <c r="D1848" i="15"/>
  <c r="D1840" i="15"/>
  <c r="D1832" i="15"/>
  <c r="D1824" i="15"/>
  <c r="D1816" i="15"/>
  <c r="D1808" i="15"/>
  <c r="D1800" i="15"/>
  <c r="D1792" i="15"/>
  <c r="D1784" i="15"/>
  <c r="D1776" i="15"/>
  <c r="D1768" i="15"/>
  <c r="D1760" i="15"/>
  <c r="D1752" i="15"/>
  <c r="D1748" i="15"/>
  <c r="D1740" i="15"/>
  <c r="D1732" i="15"/>
  <c r="D1724" i="15"/>
  <c r="D1716" i="15"/>
  <c r="D1708" i="15"/>
  <c r="D1700" i="15"/>
  <c r="D1692" i="15"/>
  <c r="D1684" i="15"/>
  <c r="D1676" i="15"/>
  <c r="D1668" i="15"/>
  <c r="D1660" i="15"/>
  <c r="D1652" i="15"/>
  <c r="D1644" i="15"/>
  <c r="D1636" i="15"/>
  <c r="D1628" i="15"/>
  <c r="D1620" i="15"/>
  <c r="D1612" i="15"/>
  <c r="D1604" i="15"/>
  <c r="D1596" i="15"/>
  <c r="D1588" i="15"/>
  <c r="D1580" i="15"/>
  <c r="D1572" i="15"/>
  <c r="D1564" i="15"/>
  <c r="D1556" i="15"/>
  <c r="D1548" i="15"/>
  <c r="D1540" i="15"/>
  <c r="D1532" i="15"/>
  <c r="D1524" i="15"/>
  <c r="D1516" i="15"/>
  <c r="D1508" i="15"/>
  <c r="D1500" i="15"/>
  <c r="D1492" i="15"/>
  <c r="D1484" i="15"/>
  <c r="D1476" i="15"/>
  <c r="D1468" i="15"/>
  <c r="D1460" i="15"/>
  <c r="D1452" i="15"/>
  <c r="D1444" i="15"/>
  <c r="D1436" i="15"/>
  <c r="D1428" i="15"/>
  <c r="D1420" i="15"/>
  <c r="D1412" i="15"/>
  <c r="D1404" i="15"/>
  <c r="D1396" i="15"/>
  <c r="D1388" i="15"/>
  <c r="D1380" i="15"/>
  <c r="D1372" i="15"/>
  <c r="D1364" i="15"/>
  <c r="D1356" i="15"/>
  <c r="D1348" i="15"/>
  <c r="D1340" i="15"/>
  <c r="D1332" i="15"/>
  <c r="D1324" i="15"/>
  <c r="D1316" i="15"/>
  <c r="D1308" i="15"/>
  <c r="D1300" i="15"/>
  <c r="D1292" i="15"/>
  <c r="D1284" i="15"/>
  <c r="D1276" i="15"/>
  <c r="D1268" i="15"/>
  <c r="D1260" i="15"/>
  <c r="D1252" i="15"/>
  <c r="D1244" i="15"/>
  <c r="D1236" i="15"/>
  <c r="D1228" i="15"/>
  <c r="D1220" i="15"/>
  <c r="D1212" i="15"/>
  <c r="D1204" i="15"/>
  <c r="D1196" i="15"/>
  <c r="D1188" i="15"/>
  <c r="D1180" i="15"/>
  <c r="D1172" i="15"/>
  <c r="D1164" i="15"/>
  <c r="D1156" i="15"/>
  <c r="D1148" i="15"/>
  <c r="D1140" i="15"/>
  <c r="D1132" i="15"/>
  <c r="D1124" i="15"/>
  <c r="D1116" i="15"/>
  <c r="D1108" i="15"/>
  <c r="D1100" i="15"/>
  <c r="D1092" i="15"/>
  <c r="D1084" i="15"/>
  <c r="D1076" i="15"/>
  <c r="D1068" i="15"/>
  <c r="D1060" i="15"/>
  <c r="D1052" i="15"/>
  <c r="D1044" i="15"/>
  <c r="D1036" i="15"/>
  <c r="D1028" i="15"/>
  <c r="D1020" i="15"/>
  <c r="D1012" i="15"/>
  <c r="D1004" i="15"/>
  <c r="D996" i="15"/>
  <c r="D988" i="15"/>
  <c r="E2088" i="15"/>
  <c r="E2072" i="15"/>
  <c r="E2056" i="15"/>
  <c r="E2047" i="15"/>
  <c r="E2039" i="15"/>
  <c r="E2031" i="15"/>
  <c r="E2023" i="15"/>
  <c r="E2015" i="15"/>
  <c r="E2007" i="15"/>
  <c r="E1999" i="15"/>
  <c r="E1991" i="15"/>
  <c r="E1983" i="15"/>
  <c r="E1975" i="15"/>
  <c r="E1967" i="15"/>
  <c r="E1959" i="15"/>
  <c r="E1951" i="15"/>
  <c r="E1943" i="15"/>
  <c r="E1935" i="15"/>
  <c r="E1927" i="15"/>
  <c r="E1919" i="15"/>
  <c r="E1911" i="15"/>
  <c r="E1903" i="15"/>
  <c r="E1895" i="15"/>
  <c r="E1887" i="15"/>
  <c r="E1879" i="15"/>
  <c r="E1871" i="15"/>
  <c r="E1863" i="15"/>
  <c r="E1855" i="15"/>
  <c r="E1847" i="15"/>
  <c r="E1839" i="15"/>
  <c r="E1831" i="15"/>
  <c r="E1823" i="15"/>
  <c r="E1815" i="15"/>
  <c r="E1807" i="15"/>
  <c r="E1799" i="15"/>
  <c r="E1791" i="15"/>
  <c r="E1783" i="15"/>
  <c r="E1775" i="15"/>
  <c r="E1767" i="15"/>
  <c r="E1759" i="15"/>
  <c r="E1751" i="15"/>
  <c r="E1743" i="15"/>
  <c r="E1735" i="15"/>
  <c r="E1727" i="15"/>
  <c r="E1719" i="15"/>
  <c r="E1711" i="15"/>
  <c r="E1703" i="15"/>
  <c r="E1695" i="15"/>
  <c r="E1687" i="15"/>
  <c r="E1679" i="15"/>
  <c r="E1671" i="15"/>
  <c r="E1663" i="15"/>
  <c r="E1655" i="15"/>
  <c r="E1647" i="15"/>
  <c r="E1639" i="15"/>
  <c r="E1631" i="15"/>
  <c r="E1623" i="15"/>
  <c r="E1615" i="15"/>
  <c r="E1607" i="15"/>
  <c r="E1599" i="15"/>
  <c r="E1591" i="15"/>
  <c r="E1583" i="15"/>
  <c r="E1575" i="15"/>
  <c r="E1567" i="15"/>
  <c r="E1559" i="15"/>
  <c r="E1551" i="15"/>
  <c r="E1543" i="15"/>
  <c r="E1535" i="15"/>
  <c r="E1527" i="15"/>
  <c r="E1519" i="15"/>
  <c r="E1511" i="15"/>
  <c r="E1503" i="15"/>
  <c r="E1495" i="15"/>
  <c r="E1487" i="15"/>
  <c r="E1479" i="15"/>
  <c r="E1471" i="15"/>
  <c r="E1463" i="15"/>
  <c r="E1455" i="15"/>
  <c r="E1447" i="15"/>
  <c r="E1439" i="15"/>
  <c r="E1431" i="15"/>
  <c r="E1423" i="15"/>
  <c r="E1415" i="15"/>
  <c r="E1407" i="15"/>
  <c r="E1399" i="15"/>
  <c r="E1391" i="15"/>
  <c r="E1383" i="15"/>
  <c r="E1375" i="15"/>
  <c r="E1367" i="15"/>
  <c r="E1359" i="15"/>
  <c r="E1351" i="15"/>
  <c r="E1343" i="15"/>
  <c r="E1335" i="15"/>
  <c r="E1327" i="15"/>
  <c r="E1319" i="15"/>
  <c r="E1311" i="15"/>
  <c r="E1303" i="15"/>
  <c r="E1295" i="15"/>
  <c r="E1287" i="15"/>
  <c r="E1279" i="15"/>
  <c r="E1271" i="15"/>
  <c r="E1263" i="15"/>
  <c r="E1255" i="15"/>
  <c r="E1247" i="15"/>
  <c r="E1239" i="15"/>
  <c r="E1231" i="15"/>
  <c r="E1223" i="15"/>
  <c r="E1215" i="15"/>
  <c r="E1207" i="15"/>
  <c r="E1199" i="15"/>
  <c r="E1191" i="15"/>
  <c r="E1183" i="15"/>
  <c r="E1175" i="15"/>
  <c r="E1167" i="15"/>
  <c r="E1159" i="15"/>
  <c r="E1151" i="15"/>
  <c r="E1143" i="15"/>
  <c r="E1135" i="15"/>
  <c r="E1127" i="15"/>
  <c r="E1119" i="15"/>
  <c r="E1111" i="15"/>
  <c r="E1103" i="15"/>
  <c r="E1095" i="15"/>
  <c r="E1087" i="15"/>
  <c r="E1079" i="15"/>
  <c r="E1071" i="15"/>
  <c r="E1063" i="15"/>
  <c r="E1044" i="15"/>
  <c r="E1028" i="15"/>
  <c r="E1012" i="15"/>
  <c r="E996" i="15"/>
  <c r="D984" i="15"/>
  <c r="D976" i="15"/>
  <c r="D968" i="15"/>
  <c r="D960" i="15"/>
  <c r="D952" i="15"/>
  <c r="D944" i="15"/>
  <c r="D936" i="15"/>
  <c r="D928" i="15"/>
  <c r="D920" i="15"/>
  <c r="D912" i="15"/>
  <c r="D904" i="15"/>
  <c r="D896" i="15"/>
  <c r="D888" i="15"/>
  <c r="D880" i="15"/>
  <c r="D872" i="15"/>
  <c r="D864" i="15"/>
  <c r="D856" i="15"/>
  <c r="D848" i="15"/>
  <c r="D840" i="15"/>
  <c r="D832" i="15"/>
  <c r="D824" i="15"/>
  <c r="D816" i="15"/>
  <c r="D808" i="15"/>
  <c r="D800" i="15"/>
  <c r="D792" i="15"/>
  <c r="D784" i="15"/>
  <c r="D776" i="15"/>
  <c r="D768" i="15"/>
  <c r="D760" i="15"/>
  <c r="D752" i="15"/>
  <c r="D744" i="15"/>
  <c r="D736" i="15"/>
  <c r="D728" i="15"/>
  <c r="D720" i="15"/>
  <c r="D712" i="15"/>
  <c r="D704" i="15"/>
  <c r="D696" i="15"/>
  <c r="D688" i="15"/>
  <c r="D680" i="15"/>
  <c r="D672" i="15"/>
  <c r="D664" i="15"/>
  <c r="D656" i="15"/>
  <c r="D648" i="15"/>
  <c r="D640" i="15"/>
  <c r="D632" i="15"/>
  <c r="D624" i="15"/>
  <c r="D616" i="15"/>
  <c r="D608" i="15"/>
  <c r="D600" i="15"/>
  <c r="D592" i="15"/>
  <c r="D584" i="15"/>
  <c r="D576" i="15"/>
  <c r="D568" i="15"/>
  <c r="D560" i="15"/>
  <c r="D552" i="15"/>
  <c r="D544" i="15"/>
  <c r="D536" i="15"/>
  <c r="D528" i="15"/>
  <c r="D520" i="15"/>
  <c r="D512" i="15"/>
  <c r="D504" i="15"/>
  <c r="D496" i="15"/>
  <c r="D488" i="15"/>
  <c r="D480" i="15"/>
  <c r="D472" i="15"/>
  <c r="D464" i="15"/>
  <c r="D456" i="15"/>
  <c r="D448" i="15"/>
  <c r="D440" i="15"/>
  <c r="D432" i="15"/>
  <c r="D424" i="15"/>
  <c r="D416" i="15"/>
  <c r="D408" i="15"/>
  <c r="D400" i="15"/>
  <c r="D392" i="15"/>
  <c r="D384" i="15"/>
  <c r="D376" i="15"/>
  <c r="D368" i="15"/>
  <c r="D360" i="15"/>
  <c r="D352" i="15"/>
  <c r="D344" i="15"/>
  <c r="D336" i="15"/>
  <c r="D328" i="15"/>
  <c r="D320" i="15"/>
  <c r="D312" i="15"/>
  <c r="D304" i="15"/>
  <c r="D296" i="15"/>
  <c r="D288" i="15"/>
  <c r="D280" i="15"/>
  <c r="D272" i="15"/>
  <c r="D264" i="15"/>
  <c r="D256" i="15"/>
  <c r="D248" i="15"/>
  <c r="D240" i="15"/>
  <c r="D232" i="15"/>
  <c r="D224" i="15"/>
  <c r="D216" i="15"/>
  <c r="D208" i="15"/>
  <c r="D200" i="15"/>
  <c r="D192" i="15"/>
  <c r="D184" i="15"/>
  <c r="D176" i="15"/>
  <c r="D168" i="15"/>
  <c r="D160" i="15"/>
  <c r="D152" i="15"/>
  <c r="D144" i="15"/>
  <c r="D136" i="15"/>
  <c r="D128" i="15"/>
  <c r="D120" i="15"/>
  <c r="D112" i="15"/>
  <c r="D104" i="15"/>
  <c r="D96" i="15"/>
  <c r="D88" i="15"/>
  <c r="D80" i="15"/>
  <c r="D72" i="15"/>
  <c r="D64" i="15"/>
  <c r="D56" i="15"/>
  <c r="D48" i="15"/>
  <c r="D40" i="15"/>
  <c r="D32" i="15"/>
  <c r="D24" i="15"/>
  <c r="D16" i="15"/>
  <c r="D8" i="15"/>
  <c r="D2383" i="14"/>
  <c r="D2375" i="14"/>
  <c r="D2367" i="14"/>
  <c r="D2359" i="14"/>
  <c r="D2351" i="14"/>
  <c r="D2343" i="14"/>
  <c r="D2335" i="14"/>
  <c r="D2327" i="14"/>
  <c r="D2319" i="14"/>
  <c r="D2311" i="14"/>
  <c r="E1055" i="15"/>
  <c r="E1039" i="15"/>
  <c r="E1023" i="15"/>
  <c r="E1007" i="15"/>
  <c r="E991" i="15"/>
  <c r="E981" i="15"/>
  <c r="E973" i="15"/>
  <c r="E965" i="15"/>
  <c r="E957" i="15"/>
  <c r="E949" i="15"/>
  <c r="E941" i="15"/>
  <c r="E933" i="15"/>
  <c r="E925" i="15"/>
  <c r="E917" i="15"/>
  <c r="E909" i="15"/>
  <c r="E901" i="15"/>
  <c r="E893" i="15"/>
  <c r="E885" i="15"/>
  <c r="E877" i="15"/>
  <c r="E869" i="15"/>
  <c r="E861" i="15"/>
  <c r="E853" i="15"/>
  <c r="E845" i="15"/>
  <c r="E837" i="15"/>
  <c r="E829" i="15"/>
  <c r="E821" i="15"/>
  <c r="E813" i="15"/>
  <c r="E805" i="15"/>
  <c r="E797" i="15"/>
  <c r="E789" i="15"/>
  <c r="E781" i="15"/>
  <c r="E773" i="15"/>
  <c r="E765" i="15"/>
  <c r="E757" i="15"/>
  <c r="E749" i="15"/>
  <c r="E741" i="15"/>
  <c r="E733" i="15"/>
  <c r="E725" i="15"/>
  <c r="E717" i="15"/>
  <c r="E709" i="15"/>
  <c r="E701" i="15"/>
  <c r="E693" i="15"/>
  <c r="E685" i="15"/>
  <c r="E677" i="15"/>
  <c r="E669" i="15"/>
  <c r="E661" i="15"/>
  <c r="E653" i="15"/>
  <c r="E645" i="15"/>
  <c r="E637" i="15"/>
  <c r="E629" i="15"/>
  <c r="E621" i="15"/>
  <c r="E613" i="15"/>
  <c r="E605" i="15"/>
  <c r="E597" i="15"/>
  <c r="E589" i="15"/>
  <c r="E581" i="15"/>
  <c r="E573" i="15"/>
  <c r="E565" i="15"/>
  <c r="E557" i="15"/>
  <c r="E549" i="15"/>
  <c r="E541" i="15"/>
  <c r="E533" i="15"/>
  <c r="E525" i="15"/>
  <c r="E517" i="15"/>
  <c r="E509" i="15"/>
  <c r="E501" i="15"/>
  <c r="E493" i="15"/>
  <c r="E485" i="15"/>
  <c r="E477" i="15"/>
  <c r="E469" i="15"/>
  <c r="E461" i="15"/>
  <c r="E453" i="15"/>
  <c r="E445" i="15"/>
  <c r="E437" i="15"/>
  <c r="E429" i="15"/>
  <c r="E421" i="15"/>
  <c r="E413" i="15"/>
  <c r="E405" i="15"/>
  <c r="E397" i="15"/>
  <c r="E389" i="15"/>
  <c r="E381" i="15"/>
  <c r="E373" i="15"/>
  <c r="E365" i="15"/>
  <c r="E357" i="15"/>
  <c r="E349" i="15"/>
  <c r="E341" i="15"/>
  <c r="E333" i="15"/>
  <c r="E325" i="15"/>
  <c r="E317" i="15"/>
  <c r="E309" i="15"/>
  <c r="E301" i="15"/>
  <c r="E293" i="15"/>
  <c r="E285" i="15"/>
  <c r="E277" i="15"/>
  <c r="E269" i="15"/>
  <c r="E261" i="15"/>
  <c r="E253" i="15"/>
  <c r="E245" i="15"/>
  <c r="E237" i="15"/>
  <c r="E229" i="15"/>
  <c r="E221" i="15"/>
  <c r="E213" i="15"/>
  <c r="E205" i="15"/>
  <c r="E197" i="15"/>
  <c r="E189" i="15"/>
  <c r="E181" i="15"/>
  <c r="E173" i="15"/>
  <c r="E165" i="15"/>
  <c r="E157" i="15"/>
  <c r="E149" i="15"/>
  <c r="E141" i="15"/>
  <c r="E133" i="15"/>
  <c r="E125" i="15"/>
  <c r="E117" i="15"/>
  <c r="E109" i="15"/>
  <c r="E101" i="15"/>
  <c r="E93" i="15"/>
  <c r="E85" i="15"/>
  <c r="E77" i="15"/>
  <c r="E69" i="15"/>
  <c r="E61" i="15"/>
  <c r="E53" i="15"/>
  <c r="E45" i="15"/>
  <c r="E37" i="15"/>
  <c r="E29" i="15"/>
  <c r="E21" i="15"/>
  <c r="E1046" i="15"/>
  <c r="E1030" i="15"/>
  <c r="E1014" i="15"/>
  <c r="E998" i="15"/>
  <c r="D985" i="15"/>
  <c r="D977" i="15"/>
  <c r="D969" i="15"/>
  <c r="D961" i="15"/>
  <c r="D953" i="15"/>
  <c r="D945" i="15"/>
  <c r="D937" i="15"/>
  <c r="D929" i="15"/>
  <c r="D921" i="15"/>
  <c r="D913" i="15"/>
  <c r="D905" i="15"/>
  <c r="D897" i="15"/>
  <c r="D889" i="15"/>
  <c r="D881" i="15"/>
  <c r="D873" i="15"/>
  <c r="D865" i="15"/>
  <c r="D857" i="15"/>
  <c r="D849" i="15"/>
  <c r="D841" i="15"/>
  <c r="D833" i="15"/>
  <c r="D825" i="15"/>
  <c r="D817" i="15"/>
  <c r="D809" i="15"/>
  <c r="D801" i="15"/>
  <c r="D793" i="15"/>
  <c r="D1746" i="15"/>
  <c r="D1738" i="15"/>
  <c r="D1730" i="15"/>
  <c r="D1722" i="15"/>
  <c r="D1714" i="15"/>
  <c r="D1706" i="15"/>
  <c r="D1698" i="15"/>
  <c r="D1690" i="15"/>
  <c r="D1682" i="15"/>
  <c r="D1674" i="15"/>
  <c r="D1666" i="15"/>
  <c r="D1658" i="15"/>
  <c r="D1650" i="15"/>
  <c r="D1642" i="15"/>
  <c r="D1634" i="15"/>
  <c r="D1626" i="15"/>
  <c r="D1618" i="15"/>
  <c r="D1610" i="15"/>
  <c r="D1602" i="15"/>
  <c r="D1594" i="15"/>
  <c r="D1586" i="15"/>
  <c r="D1578" i="15"/>
  <c r="D1570" i="15"/>
  <c r="D1562" i="15"/>
  <c r="D1554" i="15"/>
  <c r="D1546" i="15"/>
  <c r="D1538" i="15"/>
  <c r="D1530" i="15"/>
  <c r="D1522" i="15"/>
  <c r="D1514" i="15"/>
  <c r="D1506" i="15"/>
  <c r="D1498" i="15"/>
  <c r="D1490" i="15"/>
  <c r="D1482" i="15"/>
  <c r="D1474" i="15"/>
  <c r="D1466" i="15"/>
  <c r="D1458" i="15"/>
  <c r="D1450" i="15"/>
  <c r="D1442" i="15"/>
  <c r="D1434" i="15"/>
  <c r="D1426" i="15"/>
  <c r="D1418" i="15"/>
  <c r="D1410" i="15"/>
  <c r="D1402" i="15"/>
  <c r="D1394" i="15"/>
  <c r="D1386" i="15"/>
  <c r="D1378" i="15"/>
  <c r="D1370" i="15"/>
  <c r="D1362" i="15"/>
  <c r="D1354" i="15"/>
  <c r="D1346" i="15"/>
  <c r="D1338" i="15"/>
  <c r="D1330" i="15"/>
  <c r="D1322" i="15"/>
  <c r="D1314" i="15"/>
  <c r="D1306" i="15"/>
  <c r="D1298" i="15"/>
  <c r="D1290" i="15"/>
  <c r="D1282" i="15"/>
  <c r="D1274" i="15"/>
  <c r="D1266" i="15"/>
  <c r="D1258" i="15"/>
  <c r="D1250" i="15"/>
  <c r="D1242" i="15"/>
  <c r="D1234" i="15"/>
  <c r="D1226" i="15"/>
  <c r="D1218" i="15"/>
  <c r="D1210" i="15"/>
  <c r="D1202" i="15"/>
  <c r="D1194" i="15"/>
  <c r="D1186" i="15"/>
  <c r="D1178" i="15"/>
  <c r="D1170" i="15"/>
  <c r="D1162" i="15"/>
  <c r="D1154" i="15"/>
  <c r="D1146" i="15"/>
  <c r="D1138" i="15"/>
  <c r="D1130" i="15"/>
  <c r="D1122" i="15"/>
  <c r="D1114" i="15"/>
  <c r="D1106" i="15"/>
  <c r="D1098" i="15"/>
  <c r="D1090" i="15"/>
  <c r="D1082" i="15"/>
  <c r="D1074" i="15"/>
  <c r="D1066" i="15"/>
  <c r="D1058" i="15"/>
  <c r="D1050" i="15"/>
  <c r="D1042" i="15"/>
  <c r="D1034" i="15"/>
  <c r="D1026" i="15"/>
  <c r="D1018" i="15"/>
  <c r="D1010" i="15"/>
  <c r="D1002" i="15"/>
  <c r="D994" i="15"/>
  <c r="E2103" i="15"/>
  <c r="E2084" i="15"/>
  <c r="E2068" i="15"/>
  <c r="E2053" i="15"/>
  <c r="E2045" i="15"/>
  <c r="E2037" i="15"/>
  <c r="E2029" i="15"/>
  <c r="E2021" i="15"/>
  <c r="E2013" i="15"/>
  <c r="E2005" i="15"/>
  <c r="E1997" i="15"/>
  <c r="E1989" i="15"/>
  <c r="E1981" i="15"/>
  <c r="E1973" i="15"/>
  <c r="E1965" i="15"/>
  <c r="E1957" i="15"/>
  <c r="E1949" i="15"/>
  <c r="E1941" i="15"/>
  <c r="E1933" i="15"/>
  <c r="E1925" i="15"/>
  <c r="E1917" i="15"/>
  <c r="E1909" i="15"/>
  <c r="E1901" i="15"/>
  <c r="E1893" i="15"/>
  <c r="E1885" i="15"/>
  <c r="E1877" i="15"/>
  <c r="E1869" i="15"/>
  <c r="E1861" i="15"/>
  <c r="E1853" i="15"/>
  <c r="E1845" i="15"/>
  <c r="E1837" i="15"/>
  <c r="E1829" i="15"/>
  <c r="E1821" i="15"/>
  <c r="E1813" i="15"/>
  <c r="E1805" i="15"/>
  <c r="E1797" i="15"/>
  <c r="E1789" i="15"/>
  <c r="E1781" i="15"/>
  <c r="E1773" i="15"/>
  <c r="E1765" i="15"/>
  <c r="E1757" i="15"/>
  <c r="E1749" i="15"/>
  <c r="E1741" i="15"/>
  <c r="E1733" i="15"/>
  <c r="E1725" i="15"/>
  <c r="E1717" i="15"/>
  <c r="E1709" i="15"/>
  <c r="E1701" i="15"/>
  <c r="E1693" i="15"/>
  <c r="E1685" i="15"/>
  <c r="E1677" i="15"/>
  <c r="E1669" i="15"/>
  <c r="E1661" i="15"/>
  <c r="E1653" i="15"/>
  <c r="E1645" i="15"/>
  <c r="E1637" i="15"/>
  <c r="E1629" i="15"/>
  <c r="E1621" i="15"/>
  <c r="E1613" i="15"/>
  <c r="E1605" i="15"/>
  <c r="E1597" i="15"/>
  <c r="E1589" i="15"/>
  <c r="E1581" i="15"/>
  <c r="E1573" i="15"/>
  <c r="E1565" i="15"/>
  <c r="E1557" i="15"/>
  <c r="E1549" i="15"/>
  <c r="E1541" i="15"/>
  <c r="E1533" i="15"/>
  <c r="E1525" i="15"/>
  <c r="E1517" i="15"/>
  <c r="E1509" i="15"/>
  <c r="E1501" i="15"/>
  <c r="E1493" i="15"/>
  <c r="E1485" i="15"/>
  <c r="E1477" i="15"/>
  <c r="E1469" i="15"/>
  <c r="E1461" i="15"/>
  <c r="E1453" i="15"/>
  <c r="E1445" i="15"/>
  <c r="E1437" i="15"/>
  <c r="E1429" i="15"/>
  <c r="E1421" i="15"/>
  <c r="E1413" i="15"/>
  <c r="E1405" i="15"/>
  <c r="E1397" i="15"/>
  <c r="E1389" i="15"/>
  <c r="E1381" i="15"/>
  <c r="E1373" i="15"/>
  <c r="E1365" i="15"/>
  <c r="E1357" i="15"/>
  <c r="E1349" i="15"/>
  <c r="E1341" i="15"/>
  <c r="E1333" i="15"/>
  <c r="E1325" i="15"/>
  <c r="E1317" i="15"/>
  <c r="E1309" i="15"/>
  <c r="E1301" i="15"/>
  <c r="E1293" i="15"/>
  <c r="E1285" i="15"/>
  <c r="E1277" i="15"/>
  <c r="E1269" i="15"/>
  <c r="E1261" i="15"/>
  <c r="E1253" i="15"/>
  <c r="E1245" i="15"/>
  <c r="E1237" i="15"/>
  <c r="E1229" i="15"/>
  <c r="E1221" i="15"/>
  <c r="E1213" i="15"/>
  <c r="E1205" i="15"/>
  <c r="E1197" i="15"/>
  <c r="E1189" i="15"/>
  <c r="E1181" i="15"/>
  <c r="E1173" i="15"/>
  <c r="E1165" i="15"/>
  <c r="E1157" i="15"/>
  <c r="E1149" i="15"/>
  <c r="E1141" i="15"/>
  <c r="E1133" i="15"/>
  <c r="E1125" i="15"/>
  <c r="E1117" i="15"/>
  <c r="E1109" i="15"/>
  <c r="E1101" i="15"/>
  <c r="E1093" i="15"/>
  <c r="E1085" i="15"/>
  <c r="E1077" i="15"/>
  <c r="E1069" i="15"/>
  <c r="E1056" i="15"/>
  <c r="E1040" i="15"/>
  <c r="E1024" i="15"/>
  <c r="E1008" i="15"/>
  <c r="E992" i="15"/>
  <c r="D982" i="15"/>
  <c r="D974" i="15"/>
  <c r="D966" i="15"/>
  <c r="D958" i="15"/>
  <c r="D950" i="15"/>
  <c r="D942" i="15"/>
  <c r="D934" i="15"/>
  <c r="D926" i="15"/>
  <c r="D918" i="15"/>
  <c r="D910" i="15"/>
  <c r="D902" i="15"/>
  <c r="D894" i="15"/>
  <c r="D886" i="15"/>
  <c r="D878" i="15"/>
  <c r="D870" i="15"/>
  <c r="D862" i="15"/>
  <c r="D854" i="15"/>
  <c r="D846" i="15"/>
  <c r="D838" i="15"/>
  <c r="D830" i="15"/>
  <c r="D822" i="15"/>
  <c r="D814" i="15"/>
  <c r="D806" i="15"/>
  <c r="D798" i="15"/>
  <c r="D790" i="15"/>
  <c r="D782" i="15"/>
  <c r="D774" i="15"/>
  <c r="D766" i="15"/>
  <c r="D758" i="15"/>
  <c r="D750" i="15"/>
  <c r="D742" i="15"/>
  <c r="D734" i="15"/>
  <c r="D726" i="15"/>
  <c r="D718" i="15"/>
  <c r="D710" i="15"/>
  <c r="D702" i="15"/>
  <c r="D694" i="15"/>
  <c r="D686" i="15"/>
  <c r="D678" i="15"/>
  <c r="D670" i="15"/>
  <c r="D662" i="15"/>
  <c r="D654" i="15"/>
  <c r="D646" i="15"/>
  <c r="D638" i="15"/>
  <c r="D630" i="15"/>
  <c r="D622" i="15"/>
  <c r="D614" i="15"/>
  <c r="D606" i="15"/>
  <c r="D598" i="15"/>
  <c r="D590" i="15"/>
  <c r="D582" i="15"/>
  <c r="D574" i="15"/>
  <c r="D566" i="15"/>
  <c r="D558" i="15"/>
  <c r="D550" i="15"/>
  <c r="D542" i="15"/>
  <c r="D534" i="15"/>
  <c r="D526" i="15"/>
  <c r="D518" i="15"/>
  <c r="D510" i="15"/>
  <c r="D502" i="15"/>
  <c r="D494" i="15"/>
  <c r="D486" i="15"/>
  <c r="D478" i="15"/>
  <c r="D470" i="15"/>
  <c r="D462" i="15"/>
  <c r="D454" i="15"/>
  <c r="D446" i="15"/>
  <c r="D438" i="15"/>
  <c r="D430" i="15"/>
  <c r="D422" i="15"/>
  <c r="D414" i="15"/>
  <c r="D406" i="15"/>
  <c r="D398" i="15"/>
  <c r="D390" i="15"/>
  <c r="D382" i="15"/>
  <c r="D374" i="15"/>
  <c r="D366" i="15"/>
  <c r="D358" i="15"/>
  <c r="D350" i="15"/>
  <c r="D342" i="15"/>
  <c r="D334" i="15"/>
  <c r="D326" i="15"/>
  <c r="D318" i="15"/>
  <c r="D310" i="15"/>
  <c r="D302" i="15"/>
  <c r="D294" i="15"/>
  <c r="D286" i="15"/>
  <c r="D278" i="15"/>
  <c r="D270" i="15"/>
  <c r="D262" i="15"/>
  <c r="D254" i="15"/>
  <c r="D246" i="15"/>
  <c r="D238" i="15"/>
  <c r="D230" i="15"/>
  <c r="D222" i="15"/>
  <c r="D214" i="15"/>
  <c r="D206" i="15"/>
  <c r="D198" i="15"/>
  <c r="D190" i="15"/>
  <c r="D182" i="15"/>
  <c r="D174" i="15"/>
  <c r="D166" i="15"/>
  <c r="D158" i="15"/>
  <c r="D150" i="15"/>
  <c r="D142" i="15"/>
  <c r="D134" i="15"/>
  <c r="D126" i="15"/>
  <c r="D118" i="15"/>
  <c r="D110" i="15"/>
  <c r="D102" i="15"/>
  <c r="D94" i="15"/>
  <c r="D86" i="15"/>
  <c r="D78" i="15"/>
  <c r="D70" i="15"/>
  <c r="D62" i="15"/>
  <c r="D54" i="15"/>
  <c r="D46" i="15"/>
  <c r="D38" i="15"/>
  <c r="D30" i="15"/>
  <c r="D22" i="15"/>
  <c r="D14" i="15"/>
  <c r="D6" i="15"/>
  <c r="D2381" i="14"/>
  <c r="D2373" i="14"/>
  <c r="D2365" i="14"/>
  <c r="D2357" i="14"/>
  <c r="D2349" i="14"/>
  <c r="D2341" i="14"/>
  <c r="D2333" i="14"/>
  <c r="D2325" i="14"/>
  <c r="D2317" i="14"/>
  <c r="D2309" i="14"/>
  <c r="E1051" i="15"/>
  <c r="E1035" i="15"/>
  <c r="E1019" i="15"/>
  <c r="E1003" i="15"/>
  <c r="E987" i="15"/>
  <c r="E979" i="15"/>
  <c r="E971" i="15"/>
  <c r="E963" i="15"/>
  <c r="E955" i="15"/>
  <c r="E947" i="15"/>
  <c r="E939" i="15"/>
  <c r="E931" i="15"/>
  <c r="E923" i="15"/>
  <c r="E915" i="15"/>
  <c r="E907" i="15"/>
  <c r="E899" i="15"/>
  <c r="E891" i="15"/>
  <c r="E883" i="15"/>
  <c r="E875" i="15"/>
  <c r="E867" i="15"/>
  <c r="E859" i="15"/>
  <c r="E851" i="15"/>
  <c r="E843" i="15"/>
  <c r="E835" i="15"/>
  <c r="E827" i="15"/>
  <c r="E819" i="15"/>
  <c r="E811" i="15"/>
  <c r="E803" i="15"/>
  <c r="E795" i="15"/>
  <c r="E787" i="15"/>
  <c r="E779" i="15"/>
  <c r="E771" i="15"/>
  <c r="E763" i="15"/>
  <c r="E755" i="15"/>
  <c r="E747" i="15"/>
  <c r="E739" i="15"/>
  <c r="E731" i="15"/>
  <c r="E723" i="15"/>
  <c r="E715" i="15"/>
  <c r="E707" i="15"/>
  <c r="E699" i="15"/>
  <c r="E691" i="15"/>
  <c r="E683" i="15"/>
  <c r="E675" i="15"/>
  <c r="E667" i="15"/>
  <c r="E659" i="15"/>
  <c r="E651" i="15"/>
  <c r="E643" i="15"/>
  <c r="E635" i="15"/>
  <c r="E627" i="15"/>
  <c r="E619" i="15"/>
  <c r="E611" i="15"/>
  <c r="E603" i="15"/>
  <c r="E595" i="15"/>
  <c r="E587" i="15"/>
  <c r="E579" i="15"/>
  <c r="E571" i="15"/>
  <c r="E563" i="15"/>
  <c r="E555" i="15"/>
  <c r="E547" i="15"/>
  <c r="E539" i="15"/>
  <c r="E531" i="15"/>
  <c r="E523" i="15"/>
  <c r="E515" i="15"/>
  <c r="E507" i="15"/>
  <c r="E499" i="15"/>
  <c r="E491" i="15"/>
  <c r="E483" i="15"/>
  <c r="E475" i="15"/>
  <c r="E467" i="15"/>
  <c r="E459" i="15"/>
  <c r="E451" i="15"/>
  <c r="E443" i="15"/>
  <c r="E435" i="15"/>
  <c r="E427" i="15"/>
  <c r="E419" i="15"/>
  <c r="E411" i="15"/>
  <c r="E403" i="15"/>
  <c r="E395" i="15"/>
  <c r="E387" i="15"/>
  <c r="E379" i="15"/>
  <c r="E371" i="15"/>
  <c r="E363" i="15"/>
  <c r="E355" i="15"/>
  <c r="E347" i="15"/>
  <c r="E339" i="15"/>
  <c r="E331" i="15"/>
  <c r="E323" i="15"/>
  <c r="E315" i="15"/>
  <c r="E307" i="15"/>
  <c r="E299" i="15"/>
  <c r="E291" i="15"/>
  <c r="E283" i="15"/>
  <c r="E275" i="15"/>
  <c r="E267" i="15"/>
  <c r="E259" i="15"/>
  <c r="E251" i="15"/>
  <c r="E243" i="15"/>
  <c r="E235" i="15"/>
  <c r="E227" i="15"/>
  <c r="E219" i="15"/>
  <c r="E211" i="15"/>
  <c r="E203" i="15"/>
  <c r="E195" i="15"/>
  <c r="E187" i="15"/>
  <c r="E179" i="15"/>
  <c r="E171" i="15"/>
  <c r="E163" i="15"/>
  <c r="E155" i="15"/>
  <c r="E147" i="15"/>
  <c r="E139" i="15"/>
  <c r="E131" i="15"/>
  <c r="E123" i="15"/>
  <c r="E115" i="15"/>
  <c r="E107" i="15"/>
  <c r="E99" i="15"/>
  <c r="E91" i="15"/>
  <c r="E83" i="15"/>
  <c r="E75" i="15"/>
  <c r="E67" i="15"/>
  <c r="E59" i="15"/>
  <c r="E51" i="15"/>
  <c r="E43" i="15"/>
  <c r="E35" i="15"/>
  <c r="E27" i="15"/>
  <c r="E1059" i="15"/>
  <c r="E1042" i="15"/>
  <c r="E1026" i="15"/>
  <c r="E1010" i="15"/>
  <c r="E994" i="15"/>
  <c r="D983" i="15"/>
  <c r="D975" i="15"/>
  <c r="D967" i="15"/>
  <c r="D959" i="15"/>
  <c r="D951" i="15"/>
  <c r="D943" i="15"/>
  <c r="D935" i="15"/>
  <c r="D927" i="15"/>
  <c r="D919" i="15"/>
  <c r="D911" i="15"/>
  <c r="D903" i="15"/>
  <c r="D895" i="15"/>
  <c r="D887" i="15"/>
  <c r="D879" i="15"/>
  <c r="D871" i="15"/>
  <c r="D863" i="15"/>
  <c r="D855" i="15"/>
  <c r="D847" i="15"/>
  <c r="D839" i="15"/>
  <c r="D831" i="15"/>
  <c r="D823" i="15"/>
  <c r="D1744" i="15"/>
  <c r="D1736" i="15"/>
  <c r="D1728" i="15"/>
  <c r="D1720" i="15"/>
  <c r="D1712" i="15"/>
  <c r="D1704" i="15"/>
  <c r="D1696" i="15"/>
  <c r="D1688" i="15"/>
  <c r="D1680" i="15"/>
  <c r="D1672" i="15"/>
  <c r="D1664" i="15"/>
  <c r="D1656" i="15"/>
  <c r="D1648" i="15"/>
  <c r="D1640" i="15"/>
  <c r="D1632" i="15"/>
  <c r="D1624" i="15"/>
  <c r="D1616" i="15"/>
  <c r="D1608" i="15"/>
  <c r="D1600" i="15"/>
  <c r="D1592" i="15"/>
  <c r="D1584" i="15"/>
  <c r="D1576" i="15"/>
  <c r="D1568" i="15"/>
  <c r="D1560" i="15"/>
  <c r="D1552" i="15"/>
  <c r="D1544" i="15"/>
  <c r="D1536" i="15"/>
  <c r="D1528" i="15"/>
  <c r="D1520" i="15"/>
  <c r="D1512" i="15"/>
  <c r="D1504" i="15"/>
  <c r="D1496" i="15"/>
  <c r="D1488" i="15"/>
  <c r="D1480" i="15"/>
  <c r="D1472" i="15"/>
  <c r="D1464" i="15"/>
  <c r="D1456" i="15"/>
  <c r="D1448" i="15"/>
  <c r="D1440" i="15"/>
  <c r="D1432" i="15"/>
  <c r="D1424" i="15"/>
  <c r="D1416" i="15"/>
  <c r="D1408" i="15"/>
  <c r="D1400" i="15"/>
  <c r="D1392" i="15"/>
  <c r="D1384" i="15"/>
  <c r="D1376" i="15"/>
  <c r="D1368" i="15"/>
  <c r="D1360" i="15"/>
  <c r="D1352" i="15"/>
  <c r="D1344" i="15"/>
  <c r="D1336" i="15"/>
  <c r="D1328" i="15"/>
  <c r="D1320" i="15"/>
  <c r="D1312" i="15"/>
  <c r="D1304" i="15"/>
  <c r="D1296" i="15"/>
  <c r="D1288" i="15"/>
  <c r="D1280" i="15"/>
  <c r="D1272" i="15"/>
  <c r="D1264" i="15"/>
  <c r="D1256" i="15"/>
  <c r="D1248" i="15"/>
  <c r="D1240" i="15"/>
  <c r="D1232" i="15"/>
  <c r="D1224" i="15"/>
  <c r="D1216" i="15"/>
  <c r="D1208" i="15"/>
  <c r="D1200" i="15"/>
  <c r="D1192" i="15"/>
  <c r="D1184" i="15"/>
  <c r="D1176" i="15"/>
  <c r="D1168" i="15"/>
  <c r="D1160" i="15"/>
  <c r="D1152" i="15"/>
  <c r="D1144" i="15"/>
  <c r="D1136" i="15"/>
  <c r="D1128" i="15"/>
  <c r="D1120" i="15"/>
  <c r="D1112" i="15"/>
  <c r="D1104" i="15"/>
  <c r="D1096" i="15"/>
  <c r="D1088" i="15"/>
  <c r="D1080" i="15"/>
  <c r="D1072" i="15"/>
  <c r="D1064" i="15"/>
  <c r="D1056" i="15"/>
  <c r="D1048" i="15"/>
  <c r="D1040" i="15"/>
  <c r="D1032" i="15"/>
  <c r="D1024" i="15"/>
  <c r="D1016" i="15"/>
  <c r="D1008" i="15"/>
  <c r="D1000" i="15"/>
  <c r="D992" i="15"/>
  <c r="E2096" i="15"/>
  <c r="E2080" i="15"/>
  <c r="E2064" i="15"/>
  <c r="E2051" i="15"/>
  <c r="E2043" i="15"/>
  <c r="E2035" i="15"/>
  <c r="E2027" i="15"/>
  <c r="E2019" i="15"/>
  <c r="E2011" i="15"/>
  <c r="E2003" i="15"/>
  <c r="E1995" i="15"/>
  <c r="E1987" i="15"/>
  <c r="E1979" i="15"/>
  <c r="E1971" i="15"/>
  <c r="E1963" i="15"/>
  <c r="E1955" i="15"/>
  <c r="E1947" i="15"/>
  <c r="E1939" i="15"/>
  <c r="E1931" i="15"/>
  <c r="E1923" i="15"/>
  <c r="E1915" i="15"/>
  <c r="E1907" i="15"/>
  <c r="E1899" i="15"/>
  <c r="E1891" i="15"/>
  <c r="E1883" i="15"/>
  <c r="E1875" i="15"/>
  <c r="E1867" i="15"/>
  <c r="E1859" i="15"/>
  <c r="E1851" i="15"/>
  <c r="E1843" i="15"/>
  <c r="E1835" i="15"/>
  <c r="E1827" i="15"/>
  <c r="E1819" i="15"/>
  <c r="E1811" i="15"/>
  <c r="E1803" i="15"/>
  <c r="E1795" i="15"/>
  <c r="E1787" i="15"/>
  <c r="E1779" i="15"/>
  <c r="E1771" i="15"/>
  <c r="E1763" i="15"/>
  <c r="E1755" i="15"/>
  <c r="E1747" i="15"/>
  <c r="E1739" i="15"/>
  <c r="E1731" i="15"/>
  <c r="E1723" i="15"/>
  <c r="E1715" i="15"/>
  <c r="E1707" i="15"/>
  <c r="E1699" i="15"/>
  <c r="E1691" i="15"/>
  <c r="E1683" i="15"/>
  <c r="E1675" i="15"/>
  <c r="E1667" i="15"/>
  <c r="E1659" i="15"/>
  <c r="E1651" i="15"/>
  <c r="E1643" i="15"/>
  <c r="E1635" i="15"/>
  <c r="E1627" i="15"/>
  <c r="E1619" i="15"/>
  <c r="E1611" i="15"/>
  <c r="E1603" i="15"/>
  <c r="E1595" i="15"/>
  <c r="E1587" i="15"/>
  <c r="E1579" i="15"/>
  <c r="E1571" i="15"/>
  <c r="E1563" i="15"/>
  <c r="E1555" i="15"/>
  <c r="E1547" i="15"/>
  <c r="E1539" i="15"/>
  <c r="E1531" i="15"/>
  <c r="E1523" i="15"/>
  <c r="E1515" i="15"/>
  <c r="E1507" i="15"/>
  <c r="E1499" i="15"/>
  <c r="E1491" i="15"/>
  <c r="E1483" i="15"/>
  <c r="E1475" i="15"/>
  <c r="E1467" i="15"/>
  <c r="E1459" i="15"/>
  <c r="E1451" i="15"/>
  <c r="E1443" i="15"/>
  <c r="E1435" i="15"/>
  <c r="E1427" i="15"/>
  <c r="E1419" i="15"/>
  <c r="E1411" i="15"/>
  <c r="E1403" i="15"/>
  <c r="E1395" i="15"/>
  <c r="E1387" i="15"/>
  <c r="E1379" i="15"/>
  <c r="E1371" i="15"/>
  <c r="E1363" i="15"/>
  <c r="E1355" i="15"/>
  <c r="E1347" i="15"/>
  <c r="E1339" i="15"/>
  <c r="E1331" i="15"/>
  <c r="E1323" i="15"/>
  <c r="E1315" i="15"/>
  <c r="E1307" i="15"/>
  <c r="E1299" i="15"/>
  <c r="E1291" i="15"/>
  <c r="E1283" i="15"/>
  <c r="E1275" i="15"/>
  <c r="E1267" i="15"/>
  <c r="E1259" i="15"/>
  <c r="E1251" i="15"/>
  <c r="E1243" i="15"/>
  <c r="E1235" i="15"/>
  <c r="E1227" i="15"/>
  <c r="E1219" i="15"/>
  <c r="E1211" i="15"/>
  <c r="E1203" i="15"/>
  <c r="E1195" i="15"/>
  <c r="E1187" i="15"/>
  <c r="E1179" i="15"/>
  <c r="E1171" i="15"/>
  <c r="E1163" i="15"/>
  <c r="E1155" i="15"/>
  <c r="E1147" i="15"/>
  <c r="E1139" i="15"/>
  <c r="E1131" i="15"/>
  <c r="E1123" i="15"/>
  <c r="E1115" i="15"/>
  <c r="E1107" i="15"/>
  <c r="E1099" i="15"/>
  <c r="E1091" i="15"/>
  <c r="E1083" i="15"/>
  <c r="E1075" i="15"/>
  <c r="E1067" i="15"/>
  <c r="E1052" i="15"/>
  <c r="E1036" i="15"/>
  <c r="E1020" i="15"/>
  <c r="E1004" i="15"/>
  <c r="E988" i="15"/>
  <c r="D980" i="15"/>
  <c r="D972" i="15"/>
  <c r="D964" i="15"/>
  <c r="D956" i="15"/>
  <c r="D948" i="15"/>
  <c r="D940" i="15"/>
  <c r="D932" i="15"/>
  <c r="D924" i="15"/>
  <c r="D916" i="15"/>
  <c r="D908" i="15"/>
  <c r="D900" i="15"/>
  <c r="D892" i="15"/>
  <c r="D884" i="15"/>
  <c r="D876" i="15"/>
  <c r="D868" i="15"/>
  <c r="D860" i="15"/>
  <c r="D852" i="15"/>
  <c r="D844" i="15"/>
  <c r="D836" i="15"/>
  <c r="D828" i="15"/>
  <c r="D820" i="15"/>
  <c r="D812" i="15"/>
  <c r="D804" i="15"/>
  <c r="D796" i="15"/>
  <c r="D788" i="15"/>
  <c r="D780" i="15"/>
  <c r="D772" i="15"/>
  <c r="D764" i="15"/>
  <c r="D756" i="15"/>
  <c r="D748" i="15"/>
  <c r="D740" i="15"/>
  <c r="D732" i="15"/>
  <c r="D724" i="15"/>
  <c r="D716" i="15"/>
  <c r="D708" i="15"/>
  <c r="D700" i="15"/>
  <c r="D692" i="15"/>
  <c r="D684" i="15"/>
  <c r="D676" i="15"/>
  <c r="D668" i="15"/>
  <c r="D660" i="15"/>
  <c r="D652" i="15"/>
  <c r="D644" i="15"/>
  <c r="D636" i="15"/>
  <c r="D628" i="15"/>
  <c r="D620" i="15"/>
  <c r="D612" i="15"/>
  <c r="D604" i="15"/>
  <c r="D596" i="15"/>
  <c r="D588" i="15"/>
  <c r="D580" i="15"/>
  <c r="D572" i="15"/>
  <c r="D564" i="15"/>
  <c r="D556" i="15"/>
  <c r="D548" i="15"/>
  <c r="D540" i="15"/>
  <c r="D532" i="15"/>
  <c r="D524" i="15"/>
  <c r="D516" i="15"/>
  <c r="D508" i="15"/>
  <c r="D500" i="15"/>
  <c r="D492" i="15"/>
  <c r="D484" i="15"/>
  <c r="D476" i="15"/>
  <c r="D468" i="15"/>
  <c r="D460" i="15"/>
  <c r="D452" i="15"/>
  <c r="D444" i="15"/>
  <c r="D436" i="15"/>
  <c r="D428" i="15"/>
  <c r="D420" i="15"/>
  <c r="D412" i="15"/>
  <c r="D404" i="15"/>
  <c r="D396" i="15"/>
  <c r="D388" i="15"/>
  <c r="D380" i="15"/>
  <c r="D372" i="15"/>
  <c r="D364" i="15"/>
  <c r="D356" i="15"/>
  <c r="D348" i="15"/>
  <c r="D340" i="15"/>
  <c r="D332" i="15"/>
  <c r="D324" i="15"/>
  <c r="D316" i="15"/>
  <c r="D308" i="15"/>
  <c r="D300" i="15"/>
  <c r="D292" i="15"/>
  <c r="D284" i="15"/>
  <c r="D276" i="15"/>
  <c r="D268" i="15"/>
  <c r="D260" i="15"/>
  <c r="D252" i="15"/>
  <c r="D244" i="15"/>
  <c r="D236" i="15"/>
  <c r="D228" i="15"/>
  <c r="D220" i="15"/>
  <c r="D212" i="15"/>
  <c r="D204" i="15"/>
  <c r="D196" i="15"/>
  <c r="D188" i="15"/>
  <c r="D180" i="15"/>
  <c r="D172" i="15"/>
  <c r="D164" i="15"/>
  <c r="D156" i="15"/>
  <c r="D148" i="15"/>
  <c r="D140" i="15"/>
  <c r="D132" i="15"/>
  <c r="D124" i="15"/>
  <c r="D116" i="15"/>
  <c r="D108" i="15"/>
  <c r="D100" i="15"/>
  <c r="D92" i="15"/>
  <c r="D84" i="15"/>
  <c r="D76" i="15"/>
  <c r="D68" i="15"/>
  <c r="D60" i="15"/>
  <c r="D52" i="15"/>
  <c r="D44" i="15"/>
  <c r="D36" i="15"/>
  <c r="D28" i="15"/>
  <c r="D20" i="15"/>
  <c r="D12" i="15"/>
  <c r="D4" i="15"/>
  <c r="D2379" i="14"/>
  <c r="D2371" i="14"/>
  <c r="D2363" i="14"/>
  <c r="D2355" i="14"/>
  <c r="D2347" i="14"/>
  <c r="D2339" i="14"/>
  <c r="D2331" i="14"/>
  <c r="D2323" i="14"/>
  <c r="D2315" i="14"/>
  <c r="D2307" i="14"/>
  <c r="E1047" i="15"/>
  <c r="E1031" i="15"/>
  <c r="E1015" i="15"/>
  <c r="E999" i="15"/>
  <c r="E985" i="15"/>
  <c r="E977" i="15"/>
  <c r="E969" i="15"/>
  <c r="E961" i="15"/>
  <c r="E953" i="15"/>
  <c r="E945" i="15"/>
  <c r="E937" i="15"/>
  <c r="E929" i="15"/>
  <c r="E921" i="15"/>
  <c r="E913" i="15"/>
  <c r="E905" i="15"/>
  <c r="E897" i="15"/>
  <c r="E889" i="15"/>
  <c r="E881" i="15"/>
  <c r="E873" i="15"/>
  <c r="E865" i="15"/>
  <c r="E857" i="15"/>
  <c r="E849" i="15"/>
  <c r="E841" i="15"/>
  <c r="E833" i="15"/>
  <c r="E825" i="15"/>
  <c r="E817" i="15"/>
  <c r="E809" i="15"/>
  <c r="E801" i="15"/>
  <c r="E793" i="15"/>
  <c r="E785" i="15"/>
  <c r="E777" i="15"/>
  <c r="E769" i="15"/>
  <c r="E761" i="15"/>
  <c r="E753" i="15"/>
  <c r="E745" i="15"/>
  <c r="E737" i="15"/>
  <c r="E729" i="15"/>
  <c r="E721" i="15"/>
  <c r="E713" i="15"/>
  <c r="E705" i="15"/>
  <c r="E697" i="15"/>
  <c r="E689" i="15"/>
  <c r="E681" i="15"/>
  <c r="E673" i="15"/>
  <c r="E665" i="15"/>
  <c r="E657" i="15"/>
  <c r="E649" i="15"/>
  <c r="E641" i="15"/>
  <c r="E633" i="15"/>
  <c r="E625" i="15"/>
  <c r="E617" i="15"/>
  <c r="E609" i="15"/>
  <c r="E601" i="15"/>
  <c r="E593" i="15"/>
  <c r="E585" i="15"/>
  <c r="E577" i="15"/>
  <c r="E569" i="15"/>
  <c r="E561" i="15"/>
  <c r="E553" i="15"/>
  <c r="E545" i="15"/>
  <c r="E537" i="15"/>
  <c r="E529" i="15"/>
  <c r="E521" i="15"/>
  <c r="E513" i="15"/>
  <c r="E505" i="15"/>
  <c r="E497" i="15"/>
  <c r="E489" i="15"/>
  <c r="E481" i="15"/>
  <c r="E473" i="15"/>
  <c r="E465" i="15"/>
  <c r="E457" i="15"/>
  <c r="E449" i="15"/>
  <c r="E441" i="15"/>
  <c r="E433" i="15"/>
  <c r="E425" i="15"/>
  <c r="E417" i="15"/>
  <c r="E409" i="15"/>
  <c r="E401" i="15"/>
  <c r="E393" i="15"/>
  <c r="E385" i="15"/>
  <c r="E377" i="15"/>
  <c r="E369" i="15"/>
  <c r="E361" i="15"/>
  <c r="E353" i="15"/>
  <c r="E345" i="15"/>
  <c r="E337" i="15"/>
  <c r="E329" i="15"/>
  <c r="E321" i="15"/>
  <c r="E313" i="15"/>
  <c r="E305" i="15"/>
  <c r="E297" i="15"/>
  <c r="E289" i="15"/>
  <c r="E281" i="15"/>
  <c r="E273" i="15"/>
  <c r="E265" i="15"/>
  <c r="E257" i="15"/>
  <c r="E249" i="15"/>
  <c r="E241" i="15"/>
  <c r="E233" i="15"/>
  <c r="E225" i="15"/>
  <c r="E217" i="15"/>
  <c r="E209" i="15"/>
  <c r="E201" i="15"/>
  <c r="E193" i="15"/>
  <c r="E185" i="15"/>
  <c r="E177" i="15"/>
  <c r="E169" i="15"/>
  <c r="E161" i="15"/>
  <c r="E153" i="15"/>
  <c r="E145" i="15"/>
  <c r="E137" i="15"/>
  <c r="E129" i="15"/>
  <c r="E121" i="15"/>
  <c r="E113" i="15"/>
  <c r="E105" i="15"/>
  <c r="E97" i="15"/>
  <c r="E89" i="15"/>
  <c r="E81" i="15"/>
  <c r="E73" i="15"/>
  <c r="E65" i="15"/>
  <c r="E57" i="15"/>
  <c r="E49" i="15"/>
  <c r="E41" i="15"/>
  <c r="E33" i="15"/>
  <c r="E25" i="15"/>
  <c r="E1054" i="15"/>
  <c r="E1038" i="15"/>
  <c r="E1022" i="15"/>
  <c r="E1006" i="15"/>
  <c r="E990" i="15"/>
  <c r="D981" i="15"/>
  <c r="D973" i="15"/>
  <c r="D965" i="15"/>
  <c r="D957" i="15"/>
  <c r="D949" i="15"/>
  <c r="D941" i="15"/>
  <c r="D933" i="15"/>
  <c r="D925" i="15"/>
  <c r="D917" i="15"/>
  <c r="D909" i="15"/>
  <c r="D901" i="15"/>
  <c r="D893" i="15"/>
  <c r="D885" i="15"/>
  <c r="D877" i="15"/>
  <c r="D869" i="15"/>
  <c r="D861" i="15"/>
  <c r="D853" i="15"/>
  <c r="D845" i="15"/>
  <c r="D837" i="15"/>
  <c r="D829" i="15"/>
  <c r="D821" i="15"/>
  <c r="D1742" i="15"/>
  <c r="D1734" i="15"/>
  <c r="D1726" i="15"/>
  <c r="D1718" i="15"/>
  <c r="D1710" i="15"/>
  <c r="D1702" i="15"/>
  <c r="D1694" i="15"/>
  <c r="D1686" i="15"/>
  <c r="D1678" i="15"/>
  <c r="D1670" i="15"/>
  <c r="D1662" i="15"/>
  <c r="D1654" i="15"/>
  <c r="D1646" i="15"/>
  <c r="D1638" i="15"/>
  <c r="D1630" i="15"/>
  <c r="D1622" i="15"/>
  <c r="D1614" i="15"/>
  <c r="D1606" i="15"/>
  <c r="D1598" i="15"/>
  <c r="D1590" i="15"/>
  <c r="D1582" i="15"/>
  <c r="D1574" i="15"/>
  <c r="D1566" i="15"/>
  <c r="D1558" i="15"/>
  <c r="D1550" i="15"/>
  <c r="D1542" i="15"/>
  <c r="D1534" i="15"/>
  <c r="D1526" i="15"/>
  <c r="D1518" i="15"/>
  <c r="D1510" i="15"/>
  <c r="D1502" i="15"/>
  <c r="D1494" i="15"/>
  <c r="D1486" i="15"/>
  <c r="D1478" i="15"/>
  <c r="D1470" i="15"/>
  <c r="D1462" i="15"/>
  <c r="D1454" i="15"/>
  <c r="D1446" i="15"/>
  <c r="D1438" i="15"/>
  <c r="D1430" i="15"/>
  <c r="D1422" i="15"/>
  <c r="D1414" i="15"/>
  <c r="D1406" i="15"/>
  <c r="D1398" i="15"/>
  <c r="D1390" i="15"/>
  <c r="D1382" i="15"/>
  <c r="D1374" i="15"/>
  <c r="D1366" i="15"/>
  <c r="D1358" i="15"/>
  <c r="D1350" i="15"/>
  <c r="D1342" i="15"/>
  <c r="D1334" i="15"/>
  <c r="D1326" i="15"/>
  <c r="D1318" i="15"/>
  <c r="D1310" i="15"/>
  <c r="D1302" i="15"/>
  <c r="D1294" i="15"/>
  <c r="D1286" i="15"/>
  <c r="D1278" i="15"/>
  <c r="D1270" i="15"/>
  <c r="D1262" i="15"/>
  <c r="D1254" i="15"/>
  <c r="D1246" i="15"/>
  <c r="D1238" i="15"/>
  <c r="D1230" i="15"/>
  <c r="D1222" i="15"/>
  <c r="D1214" i="15"/>
  <c r="D1206" i="15"/>
  <c r="D1198" i="15"/>
  <c r="D1190" i="15"/>
  <c r="D1182" i="15"/>
  <c r="D1174" i="15"/>
  <c r="D1166" i="15"/>
  <c r="D1158" i="15"/>
  <c r="D1150" i="15"/>
  <c r="D1142" i="15"/>
  <c r="D1134" i="15"/>
  <c r="D1126" i="15"/>
  <c r="D1118" i="15"/>
  <c r="D1110" i="15"/>
  <c r="D1102" i="15"/>
  <c r="D1094" i="15"/>
  <c r="D1086" i="15"/>
  <c r="D1078" i="15"/>
  <c r="D1070" i="15"/>
  <c r="D1062" i="15"/>
  <c r="D1054" i="15"/>
  <c r="D1046" i="15"/>
  <c r="D1038" i="15"/>
  <c r="D1030" i="15"/>
  <c r="D1022" i="15"/>
  <c r="D1014" i="15"/>
  <c r="D1006" i="15"/>
  <c r="D998" i="15"/>
  <c r="D990" i="15"/>
  <c r="E2092" i="15"/>
  <c r="E2076" i="15"/>
  <c r="E2060" i="15"/>
  <c r="E2049" i="15"/>
  <c r="E2041" i="15"/>
  <c r="E2033" i="15"/>
  <c r="E2025" i="15"/>
  <c r="E2017" i="15"/>
  <c r="E2009" i="15"/>
  <c r="E2001" i="15"/>
  <c r="E1993" i="15"/>
  <c r="E1985" i="15"/>
  <c r="E1977" i="15"/>
  <c r="E1969" i="15"/>
  <c r="E1961" i="15"/>
  <c r="E1953" i="15"/>
  <c r="E1945" i="15"/>
  <c r="E1937" i="15"/>
  <c r="E1929" i="15"/>
  <c r="E1921" i="15"/>
  <c r="E1913" i="15"/>
  <c r="E1905" i="15"/>
  <c r="E1897" i="15"/>
  <c r="E1889" i="15"/>
  <c r="E1881" i="15"/>
  <c r="E1873" i="15"/>
  <c r="E1865" i="15"/>
  <c r="E1857" i="15"/>
  <c r="E1849" i="15"/>
  <c r="E1841" i="15"/>
  <c r="E1833" i="15"/>
  <c r="E1825" i="15"/>
  <c r="E1817" i="15"/>
  <c r="E1809" i="15"/>
  <c r="E1801" i="15"/>
  <c r="E1793" i="15"/>
  <c r="E1785" i="15"/>
  <c r="E1777" i="15"/>
  <c r="E1769" i="15"/>
  <c r="E1761" i="15"/>
  <c r="E1753" i="15"/>
  <c r="E1745" i="15"/>
  <c r="E1737" i="15"/>
  <c r="E1729" i="15"/>
  <c r="E1721" i="15"/>
  <c r="E1713" i="15"/>
  <c r="E1705" i="15"/>
  <c r="E1697" i="15"/>
  <c r="E1689" i="15"/>
  <c r="E1681" i="15"/>
  <c r="E1673" i="15"/>
  <c r="E1665" i="15"/>
  <c r="E1657" i="15"/>
  <c r="E1649" i="15"/>
  <c r="E1641" i="15"/>
  <c r="E1633" i="15"/>
  <c r="E1625" i="15"/>
  <c r="E1617" i="15"/>
  <c r="E1609" i="15"/>
  <c r="E1601" i="15"/>
  <c r="E1593" i="15"/>
  <c r="E1585" i="15"/>
  <c r="E1577" i="15"/>
  <c r="E1569" i="15"/>
  <c r="E1561" i="15"/>
  <c r="E1553" i="15"/>
  <c r="E1545" i="15"/>
  <c r="E1537" i="15"/>
  <c r="E1529" i="15"/>
  <c r="E1521" i="15"/>
  <c r="E1513" i="15"/>
  <c r="E1505" i="15"/>
  <c r="E1497" i="15"/>
  <c r="E1489" i="15"/>
  <c r="E1481" i="15"/>
  <c r="E1473" i="15"/>
  <c r="E1465" i="15"/>
  <c r="E1457" i="15"/>
  <c r="E1449" i="15"/>
  <c r="E1441" i="15"/>
  <c r="E1433" i="15"/>
  <c r="E1425" i="15"/>
  <c r="E1417" i="15"/>
  <c r="E1409" i="15"/>
  <c r="E1401" i="15"/>
  <c r="E1393" i="15"/>
  <c r="E1385" i="15"/>
  <c r="E1377" i="15"/>
  <c r="E1369" i="15"/>
  <c r="E1361" i="15"/>
  <c r="E1353" i="15"/>
  <c r="E1345" i="15"/>
  <c r="E1337" i="15"/>
  <c r="E1329" i="15"/>
  <c r="E1321" i="15"/>
  <c r="E1313" i="15"/>
  <c r="E1305" i="15"/>
  <c r="E1297" i="15"/>
  <c r="E1289" i="15"/>
  <c r="E1281" i="15"/>
  <c r="E1273" i="15"/>
  <c r="E1265" i="15"/>
  <c r="E1257" i="15"/>
  <c r="E1249" i="15"/>
  <c r="E1241" i="15"/>
  <c r="E1233" i="15"/>
  <c r="E1225" i="15"/>
  <c r="E1217" i="15"/>
  <c r="E1209" i="15"/>
  <c r="E1201" i="15"/>
  <c r="E1193" i="15"/>
  <c r="E1185" i="15"/>
  <c r="E1177" i="15"/>
  <c r="E1169" i="15"/>
  <c r="E1161" i="15"/>
  <c r="E1153" i="15"/>
  <c r="E1145" i="15"/>
  <c r="E1137" i="15"/>
  <c r="E1129" i="15"/>
  <c r="E1121" i="15"/>
  <c r="E1113" i="15"/>
  <c r="E1105" i="15"/>
  <c r="E1097" i="15"/>
  <c r="E1089" i="15"/>
  <c r="E1081" i="15"/>
  <c r="E1073" i="15"/>
  <c r="E1065" i="15"/>
  <c r="E1048" i="15"/>
  <c r="E1032" i="15"/>
  <c r="E1016" i="15"/>
  <c r="E1000" i="15"/>
  <c r="D986" i="15"/>
  <c r="D978" i="15"/>
  <c r="D970" i="15"/>
  <c r="D962" i="15"/>
  <c r="D954" i="15"/>
  <c r="D946" i="15"/>
  <c r="D938" i="15"/>
  <c r="D930" i="15"/>
  <c r="D922" i="15"/>
  <c r="D914" i="15"/>
  <c r="D906" i="15"/>
  <c r="D898" i="15"/>
  <c r="D890" i="15"/>
  <c r="D882" i="15"/>
  <c r="D874" i="15"/>
  <c r="D866" i="15"/>
  <c r="D858" i="15"/>
  <c r="D850" i="15"/>
  <c r="D842" i="15"/>
  <c r="D834" i="15"/>
  <c r="D826" i="15"/>
  <c r="D818" i="15"/>
  <c r="D810" i="15"/>
  <c r="D802" i="15"/>
  <c r="D794" i="15"/>
  <c r="D786" i="15"/>
  <c r="D778" i="15"/>
  <c r="D770" i="15"/>
  <c r="D762" i="15"/>
  <c r="D754" i="15"/>
  <c r="D746" i="15"/>
  <c r="D738" i="15"/>
  <c r="D730" i="15"/>
  <c r="D722" i="15"/>
  <c r="D714" i="15"/>
  <c r="D706" i="15"/>
  <c r="D698" i="15"/>
  <c r="D690" i="15"/>
  <c r="D682" i="15"/>
  <c r="D674" i="15"/>
  <c r="D666" i="15"/>
  <c r="D658" i="15"/>
  <c r="D650" i="15"/>
  <c r="D642" i="15"/>
  <c r="D634" i="15"/>
  <c r="D626" i="15"/>
  <c r="D618" i="15"/>
  <c r="D610" i="15"/>
  <c r="D602" i="15"/>
  <c r="D594" i="15"/>
  <c r="D586" i="15"/>
  <c r="D578" i="15"/>
  <c r="D570" i="15"/>
  <c r="D562" i="15"/>
  <c r="D554" i="15"/>
  <c r="D546" i="15"/>
  <c r="D538" i="15"/>
  <c r="D530" i="15"/>
  <c r="D522" i="15"/>
  <c r="D514" i="15"/>
  <c r="D506" i="15"/>
  <c r="D498" i="15"/>
  <c r="D490" i="15"/>
  <c r="D482" i="15"/>
  <c r="D474" i="15"/>
  <c r="D466" i="15"/>
  <c r="D458" i="15"/>
  <c r="D450" i="15"/>
  <c r="D442" i="15"/>
  <c r="D434" i="15"/>
  <c r="D426" i="15"/>
  <c r="D418" i="15"/>
  <c r="D410" i="15"/>
  <c r="D402" i="15"/>
  <c r="D394" i="15"/>
  <c r="D386" i="15"/>
  <c r="D378" i="15"/>
  <c r="D370" i="15"/>
  <c r="D362" i="15"/>
  <c r="D354" i="15"/>
  <c r="D346" i="15"/>
  <c r="D338" i="15"/>
  <c r="D330" i="15"/>
  <c r="D322" i="15"/>
  <c r="D314" i="15"/>
  <c r="D306" i="15"/>
  <c r="D298" i="15"/>
  <c r="D290" i="15"/>
  <c r="D282" i="15"/>
  <c r="D274" i="15"/>
  <c r="D266" i="15"/>
  <c r="D258" i="15"/>
  <c r="D250" i="15"/>
  <c r="D242" i="15"/>
  <c r="D234" i="15"/>
  <c r="D226" i="15"/>
  <c r="D218" i="15"/>
  <c r="D210" i="15"/>
  <c r="D202" i="15"/>
  <c r="D194" i="15"/>
  <c r="D186" i="15"/>
  <c r="D178" i="15"/>
  <c r="D170" i="15"/>
  <c r="D162" i="15"/>
  <c r="D154" i="15"/>
  <c r="D146" i="15"/>
  <c r="D138" i="15"/>
  <c r="D130" i="15"/>
  <c r="D122" i="15"/>
  <c r="D114" i="15"/>
  <c r="D106" i="15"/>
  <c r="D98" i="15"/>
  <c r="D90" i="15"/>
  <c r="D82" i="15"/>
  <c r="D74" i="15"/>
  <c r="D66" i="15"/>
  <c r="D58" i="15"/>
  <c r="D50" i="15"/>
  <c r="D42" i="15"/>
  <c r="D34" i="15"/>
  <c r="D26" i="15"/>
  <c r="D18" i="15"/>
  <c r="D10" i="15"/>
  <c r="D2" i="15"/>
  <c r="D2377" i="14"/>
  <c r="D2369" i="14"/>
  <c r="D2361" i="14"/>
  <c r="D2353" i="14"/>
  <c r="D2345" i="14"/>
  <c r="D2337" i="14"/>
  <c r="D2329" i="14"/>
  <c r="D2321" i="14"/>
  <c r="D2313" i="14"/>
  <c r="E1061" i="15"/>
  <c r="E1043" i="15"/>
  <c r="E1027" i="15"/>
  <c r="E1011" i="15"/>
  <c r="E995" i="15"/>
  <c r="E983" i="15"/>
  <c r="E975" i="15"/>
  <c r="E967" i="15"/>
  <c r="E959" i="15"/>
  <c r="E951" i="15"/>
  <c r="E943" i="15"/>
  <c r="E935" i="15"/>
  <c r="E927" i="15"/>
  <c r="E919" i="15"/>
  <c r="E911" i="15"/>
  <c r="E903" i="15"/>
  <c r="E895" i="15"/>
  <c r="E887" i="15"/>
  <c r="E879" i="15"/>
  <c r="E871" i="15"/>
  <c r="E863" i="15"/>
  <c r="E855" i="15"/>
  <c r="E847" i="15"/>
  <c r="E839" i="15"/>
  <c r="E831" i="15"/>
  <c r="E823" i="15"/>
  <c r="E815" i="15"/>
  <c r="E807" i="15"/>
  <c r="E799" i="15"/>
  <c r="E791" i="15"/>
  <c r="E783" i="15"/>
  <c r="E775" i="15"/>
  <c r="E767" i="15"/>
  <c r="E759" i="15"/>
  <c r="E751" i="15"/>
  <c r="E743" i="15"/>
  <c r="E735" i="15"/>
  <c r="E727" i="15"/>
  <c r="E719" i="15"/>
  <c r="E711" i="15"/>
  <c r="E703" i="15"/>
  <c r="E695" i="15"/>
  <c r="E687" i="15"/>
  <c r="E679" i="15"/>
  <c r="E671" i="15"/>
  <c r="E663" i="15"/>
  <c r="E655" i="15"/>
  <c r="E647" i="15"/>
  <c r="E639" i="15"/>
  <c r="E631" i="15"/>
  <c r="E623" i="15"/>
  <c r="E615" i="15"/>
  <c r="E607" i="15"/>
  <c r="E599" i="15"/>
  <c r="E591" i="15"/>
  <c r="E583" i="15"/>
  <c r="E575" i="15"/>
  <c r="E567" i="15"/>
  <c r="E559" i="15"/>
  <c r="E551" i="15"/>
  <c r="E543" i="15"/>
  <c r="E535" i="15"/>
  <c r="E527" i="15"/>
  <c r="E519" i="15"/>
  <c r="E511" i="15"/>
  <c r="E503" i="15"/>
  <c r="E495" i="15"/>
  <c r="E487" i="15"/>
  <c r="E479" i="15"/>
  <c r="E471" i="15"/>
  <c r="E463" i="15"/>
  <c r="E455" i="15"/>
  <c r="E447" i="15"/>
  <c r="E439" i="15"/>
  <c r="E431" i="15"/>
  <c r="E423" i="15"/>
  <c r="E415" i="15"/>
  <c r="E407" i="15"/>
  <c r="E399" i="15"/>
  <c r="E391" i="15"/>
  <c r="E383" i="15"/>
  <c r="E375" i="15"/>
  <c r="E367" i="15"/>
  <c r="E359" i="15"/>
  <c r="E351" i="15"/>
  <c r="E343" i="15"/>
  <c r="E335" i="15"/>
  <c r="E327" i="15"/>
  <c r="E319" i="15"/>
  <c r="E311" i="15"/>
  <c r="E303" i="15"/>
  <c r="E295" i="15"/>
  <c r="E287" i="15"/>
  <c r="E279" i="15"/>
  <c r="E271" i="15"/>
  <c r="E263" i="15"/>
  <c r="E255" i="15"/>
  <c r="E247" i="15"/>
  <c r="E239" i="15"/>
  <c r="E231" i="15"/>
  <c r="E223" i="15"/>
  <c r="E215" i="15"/>
  <c r="E207" i="15"/>
  <c r="E199" i="15"/>
  <c r="E191" i="15"/>
  <c r="E183" i="15"/>
  <c r="E175" i="15"/>
  <c r="E167" i="15"/>
  <c r="E159" i="15"/>
  <c r="E151" i="15"/>
  <c r="E143" i="15"/>
  <c r="E135" i="15"/>
  <c r="E127" i="15"/>
  <c r="E119" i="15"/>
  <c r="E111" i="15"/>
  <c r="E103" i="15"/>
  <c r="E95" i="15"/>
  <c r="E87" i="15"/>
  <c r="E79" i="15"/>
  <c r="E71" i="15"/>
  <c r="E63" i="15"/>
  <c r="E55" i="15"/>
  <c r="E47" i="15"/>
  <c r="E39" i="15"/>
  <c r="E31" i="15"/>
  <c r="E23" i="15"/>
  <c r="E1050" i="15"/>
  <c r="E1034" i="15"/>
  <c r="E1018" i="15"/>
  <c r="E1002" i="15"/>
  <c r="D987" i="15"/>
  <c r="D979" i="15"/>
  <c r="D971" i="15"/>
  <c r="D963" i="15"/>
  <c r="D955" i="15"/>
  <c r="D947" i="15"/>
  <c r="D939" i="15"/>
  <c r="D931" i="15"/>
  <c r="D923" i="15"/>
  <c r="D915" i="15"/>
  <c r="D907" i="15"/>
  <c r="D899" i="15"/>
  <c r="D891" i="15"/>
  <c r="D883" i="15"/>
  <c r="D875" i="15"/>
  <c r="D867" i="15"/>
  <c r="D859" i="15"/>
  <c r="D851" i="15"/>
  <c r="D843" i="15"/>
  <c r="D835" i="15"/>
  <c r="D827" i="15"/>
  <c r="D819" i="15"/>
  <c r="D811" i="15"/>
  <c r="D803" i="15"/>
  <c r="D795" i="15"/>
  <c r="D815" i="15"/>
  <c r="D799" i="15"/>
  <c r="D787" i="15"/>
  <c r="D779" i="15"/>
  <c r="D771" i="15"/>
  <c r="D763" i="15"/>
  <c r="D755" i="15"/>
  <c r="D747" i="15"/>
  <c r="D739" i="15"/>
  <c r="D731" i="15"/>
  <c r="D723" i="15"/>
  <c r="D715" i="15"/>
  <c r="D707" i="15"/>
  <c r="D699" i="15"/>
  <c r="D691" i="15"/>
  <c r="D683" i="15"/>
  <c r="D675" i="15"/>
  <c r="D667" i="15"/>
  <c r="D659" i="15"/>
  <c r="D651" i="15"/>
  <c r="D643" i="15"/>
  <c r="D635" i="15"/>
  <c r="D627" i="15"/>
  <c r="D619" i="15"/>
  <c r="D611" i="15"/>
  <c r="D603" i="15"/>
  <c r="D595" i="15"/>
  <c r="D587" i="15"/>
  <c r="D579" i="15"/>
  <c r="D571" i="15"/>
  <c r="D563" i="15"/>
  <c r="D555" i="15"/>
  <c r="D547" i="15"/>
  <c r="D539" i="15"/>
  <c r="D531" i="15"/>
  <c r="D523" i="15"/>
  <c r="D515" i="15"/>
  <c r="D507" i="15"/>
  <c r="D499" i="15"/>
  <c r="D491" i="15"/>
  <c r="D483" i="15"/>
  <c r="D475" i="15"/>
  <c r="D467" i="15"/>
  <c r="D459" i="15"/>
  <c r="D451" i="15"/>
  <c r="D443" i="15"/>
  <c r="D435" i="15"/>
  <c r="D427" i="15"/>
  <c r="D419" i="15"/>
  <c r="D411" i="15"/>
  <c r="D403" i="15"/>
  <c r="D395" i="15"/>
  <c r="D387" i="15"/>
  <c r="D379" i="15"/>
  <c r="D371" i="15"/>
  <c r="D363" i="15"/>
  <c r="D355" i="15"/>
  <c r="D347" i="15"/>
  <c r="D339" i="15"/>
  <c r="D331" i="15"/>
  <c r="D323" i="15"/>
  <c r="D315" i="15"/>
  <c r="D307" i="15"/>
  <c r="D299" i="15"/>
  <c r="D291" i="15"/>
  <c r="D283" i="15"/>
  <c r="D275" i="15"/>
  <c r="D267" i="15"/>
  <c r="D259" i="15"/>
  <c r="D251" i="15"/>
  <c r="D243" i="15"/>
  <c r="D235" i="15"/>
  <c r="D227" i="15"/>
  <c r="D219" i="15"/>
  <c r="D211" i="15"/>
  <c r="D203" i="15"/>
  <c r="D195" i="15"/>
  <c r="D187" i="15"/>
  <c r="D179" i="15"/>
  <c r="D171" i="15"/>
  <c r="D163" i="15"/>
  <c r="D155" i="15"/>
  <c r="D147" i="15"/>
  <c r="D139" i="15"/>
  <c r="D131" i="15"/>
  <c r="D123" i="15"/>
  <c r="D115" i="15"/>
  <c r="D107" i="15"/>
  <c r="D99" i="15"/>
  <c r="D91" i="15"/>
  <c r="D83" i="15"/>
  <c r="D75" i="15"/>
  <c r="D67" i="15"/>
  <c r="D59" i="15"/>
  <c r="D51" i="15"/>
  <c r="D43" i="15"/>
  <c r="D35" i="15"/>
  <c r="D27" i="15"/>
  <c r="D19" i="15"/>
  <c r="D11" i="15"/>
  <c r="D3" i="15"/>
  <c r="D2378" i="14"/>
  <c r="D2370" i="14"/>
  <c r="D2362" i="14"/>
  <c r="D2354" i="14"/>
  <c r="D2346" i="14"/>
  <c r="D2338" i="14"/>
  <c r="D2330" i="14"/>
  <c r="D2322" i="14"/>
  <c r="D2314" i="14"/>
  <c r="E1057" i="15"/>
  <c r="E1041" i="15"/>
  <c r="E1025" i="15"/>
  <c r="E1009" i="15"/>
  <c r="E993" i="15"/>
  <c r="E982" i="15"/>
  <c r="E974" i="15"/>
  <c r="E966" i="15"/>
  <c r="E958" i="15"/>
  <c r="E950" i="15"/>
  <c r="E942" i="15"/>
  <c r="E934" i="15"/>
  <c r="E926" i="15"/>
  <c r="E918" i="15"/>
  <c r="E910" i="15"/>
  <c r="E902" i="15"/>
  <c r="E894" i="15"/>
  <c r="E886" i="15"/>
  <c r="E878" i="15"/>
  <c r="E870" i="15"/>
  <c r="E862" i="15"/>
  <c r="E854" i="15"/>
  <c r="E846" i="15"/>
  <c r="E838" i="15"/>
  <c r="E830" i="15"/>
  <c r="E822" i="15"/>
  <c r="E814" i="15"/>
  <c r="E806" i="15"/>
  <c r="E798" i="15"/>
  <c r="E790" i="15"/>
  <c r="E782" i="15"/>
  <c r="E774" i="15"/>
  <c r="E766" i="15"/>
  <c r="E758" i="15"/>
  <c r="E750" i="15"/>
  <c r="E742" i="15"/>
  <c r="E734" i="15"/>
  <c r="E726" i="15"/>
  <c r="E718" i="15"/>
  <c r="E710" i="15"/>
  <c r="E702" i="15"/>
  <c r="E694" i="15"/>
  <c r="E686" i="15"/>
  <c r="E678" i="15"/>
  <c r="E670" i="15"/>
  <c r="E662" i="15"/>
  <c r="E654" i="15"/>
  <c r="E646" i="15"/>
  <c r="E638" i="15"/>
  <c r="E630" i="15"/>
  <c r="E622" i="15"/>
  <c r="E614" i="15"/>
  <c r="E606" i="15"/>
  <c r="E598" i="15"/>
  <c r="E590" i="15"/>
  <c r="E582" i="15"/>
  <c r="E574" i="15"/>
  <c r="E566" i="15"/>
  <c r="E558" i="15"/>
  <c r="E550" i="15"/>
  <c r="E542" i="15"/>
  <c r="E534" i="15"/>
  <c r="E526" i="15"/>
  <c r="E518" i="15"/>
  <c r="E510" i="15"/>
  <c r="E502" i="15"/>
  <c r="E494" i="15"/>
  <c r="E486" i="15"/>
  <c r="E478" i="15"/>
  <c r="E470" i="15"/>
  <c r="E462" i="15"/>
  <c r="E454" i="15"/>
  <c r="E446" i="15"/>
  <c r="E438" i="15"/>
  <c r="E430" i="15"/>
  <c r="E422" i="15"/>
  <c r="E414" i="15"/>
  <c r="E406" i="15"/>
  <c r="E398" i="15"/>
  <c r="E390" i="15"/>
  <c r="E382" i="15"/>
  <c r="E374" i="15"/>
  <c r="E366" i="15"/>
  <c r="E358" i="15"/>
  <c r="E350" i="15"/>
  <c r="E342" i="15"/>
  <c r="E334" i="15"/>
  <c r="E326" i="15"/>
  <c r="E318" i="15"/>
  <c r="E310" i="15"/>
  <c r="E302" i="15"/>
  <c r="E294" i="15"/>
  <c r="E286" i="15"/>
  <c r="E278" i="15"/>
  <c r="E270" i="15"/>
  <c r="E262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78" i="15"/>
  <c r="E70" i="15"/>
  <c r="E62" i="15"/>
  <c r="E54" i="15"/>
  <c r="E46" i="15"/>
  <c r="E38" i="15"/>
  <c r="E30" i="15"/>
  <c r="E22" i="15"/>
  <c r="E14" i="15"/>
  <c r="E6" i="15"/>
  <c r="E11" i="15"/>
  <c r="E2373" i="14"/>
  <c r="E2357" i="14"/>
  <c r="E2341" i="14"/>
  <c r="E2325" i="14"/>
  <c r="E2309" i="14"/>
  <c r="D2300" i="14"/>
  <c r="D2292" i="14"/>
  <c r="D2284" i="14"/>
  <c r="D2276" i="14"/>
  <c r="D2268" i="14"/>
  <c r="D2260" i="14"/>
  <c r="D2252" i="14"/>
  <c r="D2244" i="14"/>
  <c r="D2236" i="14"/>
  <c r="D2228" i="14"/>
  <c r="D2220" i="14"/>
  <c r="D2212" i="14"/>
  <c r="D2204" i="14"/>
  <c r="D2196" i="14"/>
  <c r="D2188" i="14"/>
  <c r="D2180" i="14"/>
  <c r="D2172" i="14"/>
  <c r="D2164" i="14"/>
  <c r="D2156" i="14"/>
  <c r="D2148" i="14"/>
  <c r="D2140" i="14"/>
  <c r="D2132" i="14"/>
  <c r="D2124" i="14"/>
  <c r="D2116" i="14"/>
  <c r="D2108" i="14"/>
  <c r="D2100" i="14"/>
  <c r="D2092" i="14"/>
  <c r="D2084" i="14"/>
  <c r="D2076" i="14"/>
  <c r="D2068" i="14"/>
  <c r="D2060" i="14"/>
  <c r="D2052" i="14"/>
  <c r="D2044" i="14"/>
  <c r="D2036" i="14"/>
  <c r="D2028" i="14"/>
  <c r="D2020" i="14"/>
  <c r="D2012" i="14"/>
  <c r="D2004" i="14"/>
  <c r="D1996" i="14"/>
  <c r="D1988" i="14"/>
  <c r="D1980" i="14"/>
  <c r="D1972" i="14"/>
  <c r="D1964" i="14"/>
  <c r="D1956" i="14"/>
  <c r="D1948" i="14"/>
  <c r="D1940" i="14"/>
  <c r="D1932" i="14"/>
  <c r="D1924" i="14"/>
  <c r="D1916" i="14"/>
  <c r="D1908" i="14"/>
  <c r="D1900" i="14"/>
  <c r="D1892" i="14"/>
  <c r="D1884" i="14"/>
  <c r="D1876" i="14"/>
  <c r="D1868" i="14"/>
  <c r="D1860" i="14"/>
  <c r="D1852" i="14"/>
  <c r="D1844" i="14"/>
  <c r="D1836" i="14"/>
  <c r="D1828" i="14"/>
  <c r="D1820" i="14"/>
  <c r="D1812" i="14"/>
  <c r="D1804" i="14"/>
  <c r="D1796" i="14"/>
  <c r="D1788" i="14"/>
  <c r="D1780" i="14"/>
  <c r="D1772" i="14"/>
  <c r="D1764" i="14"/>
  <c r="D1756" i="14"/>
  <c r="D1748" i="14"/>
  <c r="D1740" i="14"/>
  <c r="D1732" i="14"/>
  <c r="D1724" i="14"/>
  <c r="D1716" i="14"/>
  <c r="D1708" i="14"/>
  <c r="D1700" i="14"/>
  <c r="D1692" i="14"/>
  <c r="D1684" i="14"/>
  <c r="D1676" i="14"/>
  <c r="D1668" i="14"/>
  <c r="D1660" i="14"/>
  <c r="D1652" i="14"/>
  <c r="D1644" i="14"/>
  <c r="D1636" i="14"/>
  <c r="D1628" i="14"/>
  <c r="D1620" i="14"/>
  <c r="D1612" i="14"/>
  <c r="D1604" i="14"/>
  <c r="D1596" i="14"/>
  <c r="D1588" i="14"/>
  <c r="D1580" i="14"/>
  <c r="D1572" i="14"/>
  <c r="D1564" i="14"/>
  <c r="D1556" i="14"/>
  <c r="D1548" i="14"/>
  <c r="D1540" i="14"/>
  <c r="D1532" i="14"/>
  <c r="D1524" i="14"/>
  <c r="D1516" i="14"/>
  <c r="D1508" i="14"/>
  <c r="D1500" i="14"/>
  <c r="D1492" i="14"/>
  <c r="D1484" i="14"/>
  <c r="D1476" i="14"/>
  <c r="D1468" i="14"/>
  <c r="D1460" i="14"/>
  <c r="D1452" i="14"/>
  <c r="D1444" i="14"/>
  <c r="D1436" i="14"/>
  <c r="D1428" i="14"/>
  <c r="D1420" i="14"/>
  <c r="D1412" i="14"/>
  <c r="D1404" i="14"/>
  <c r="D1396" i="14"/>
  <c r="D1388" i="14"/>
  <c r="D1380" i="14"/>
  <c r="D1372" i="14"/>
  <c r="D1364" i="14"/>
  <c r="D1356" i="14"/>
  <c r="D1348" i="14"/>
  <c r="D1340" i="14"/>
  <c r="D1332" i="14"/>
  <c r="D1324" i="14"/>
  <c r="D1316" i="14"/>
  <c r="D1308" i="14"/>
  <c r="D1300" i="14"/>
  <c r="D1292" i="14"/>
  <c r="D1284" i="14"/>
  <c r="D1276" i="14"/>
  <c r="D1268" i="14"/>
  <c r="D1260" i="14"/>
  <c r="D1252" i="14"/>
  <c r="D1244" i="14"/>
  <c r="D1236" i="14"/>
  <c r="D1228" i="14"/>
  <c r="D1220" i="14"/>
  <c r="D1212" i="14"/>
  <c r="D1204" i="14"/>
  <c r="D1196" i="14"/>
  <c r="D1188" i="14"/>
  <c r="D1180" i="14"/>
  <c r="D1172" i="14"/>
  <c r="D1164" i="14"/>
  <c r="D1156" i="14"/>
  <c r="D1148" i="14"/>
  <c r="D1140" i="14"/>
  <c r="D1132" i="14"/>
  <c r="D1124" i="14"/>
  <c r="D1116" i="14"/>
  <c r="D1108" i="14"/>
  <c r="D1100" i="14"/>
  <c r="D1092" i="14"/>
  <c r="D1084" i="14"/>
  <c r="D1076" i="14"/>
  <c r="D1068" i="14"/>
  <c r="D1060" i="14"/>
  <c r="D1052" i="14"/>
  <c r="D1044" i="14"/>
  <c r="D1036" i="14"/>
  <c r="D1028" i="14"/>
  <c r="D1020" i="14"/>
  <c r="D1012" i="14"/>
  <c r="D1004" i="14"/>
  <c r="D996" i="14"/>
  <c r="D988" i="14"/>
  <c r="D980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772" i="14"/>
  <c r="D764" i="14"/>
  <c r="D756" i="14"/>
  <c r="D748" i="14"/>
  <c r="D740" i="14"/>
  <c r="D732" i="14"/>
  <c r="D724" i="14"/>
  <c r="D716" i="14"/>
  <c r="D708" i="14"/>
  <c r="D700" i="14"/>
  <c r="D692" i="14"/>
  <c r="D684" i="14"/>
  <c r="D676" i="14"/>
  <c r="D668" i="14"/>
  <c r="D660" i="14"/>
  <c r="D652" i="14"/>
  <c r="D644" i="14"/>
  <c r="D636" i="14"/>
  <c r="D628" i="14"/>
  <c r="D620" i="14"/>
  <c r="D612" i="14"/>
  <c r="D604" i="14"/>
  <c r="D596" i="14"/>
  <c r="D588" i="14"/>
  <c r="D580" i="14"/>
  <c r="D572" i="14"/>
  <c r="D564" i="14"/>
  <c r="D556" i="14"/>
  <c r="D548" i="14"/>
  <c r="D540" i="14"/>
  <c r="D532" i="14"/>
  <c r="D524" i="14"/>
  <c r="D516" i="14"/>
  <c r="D508" i="14"/>
  <c r="D500" i="14"/>
  <c r="D492" i="14"/>
  <c r="D484" i="14"/>
  <c r="D476" i="14"/>
  <c r="D468" i="14"/>
  <c r="D460" i="14"/>
  <c r="D452" i="14"/>
  <c r="D444" i="14"/>
  <c r="D436" i="14"/>
  <c r="D428" i="14"/>
  <c r="D420" i="14"/>
  <c r="D412" i="14"/>
  <c r="D404" i="14"/>
  <c r="D396" i="14"/>
  <c r="D388" i="14"/>
  <c r="D380" i="14"/>
  <c r="D372" i="14"/>
  <c r="D364" i="14"/>
  <c r="D356" i="14"/>
  <c r="D348" i="14"/>
  <c r="D340" i="14"/>
  <c r="D332" i="14"/>
  <c r="D324" i="14"/>
  <c r="D316" i="14"/>
  <c r="D308" i="14"/>
  <c r="E1" i="15"/>
  <c r="E2368" i="14"/>
  <c r="E2352" i="14"/>
  <c r="E2336" i="14"/>
  <c r="E2320" i="14"/>
  <c r="E2305" i="14"/>
  <c r="E2297" i="14"/>
  <c r="E2289" i="14"/>
  <c r="E2281" i="14"/>
  <c r="E2273" i="14"/>
  <c r="E2265" i="14"/>
  <c r="E2257" i="14"/>
  <c r="E2249" i="14"/>
  <c r="E2241" i="14"/>
  <c r="E2233" i="14"/>
  <c r="E2225" i="14"/>
  <c r="E2217" i="14"/>
  <c r="E2209" i="14"/>
  <c r="E2201" i="14"/>
  <c r="E2193" i="14"/>
  <c r="E2185" i="14"/>
  <c r="E2177" i="14"/>
  <c r="E2169" i="14"/>
  <c r="E2161" i="14"/>
  <c r="E2153" i="14"/>
  <c r="E2145" i="14"/>
  <c r="E2137" i="14"/>
  <c r="E2129" i="14"/>
  <c r="E2121" i="14"/>
  <c r="E2113" i="14"/>
  <c r="E2105" i="14"/>
  <c r="E2097" i="14"/>
  <c r="E2089" i="14"/>
  <c r="E2081" i="14"/>
  <c r="E2073" i="14"/>
  <c r="E2065" i="14"/>
  <c r="E2057" i="14"/>
  <c r="E2049" i="14"/>
  <c r="E2041" i="14"/>
  <c r="E2033" i="14"/>
  <c r="E2025" i="14"/>
  <c r="E2017" i="14"/>
  <c r="E2009" i="14"/>
  <c r="E2001" i="14"/>
  <c r="E1993" i="14"/>
  <c r="E1985" i="14"/>
  <c r="E1977" i="14"/>
  <c r="E1969" i="14"/>
  <c r="E1961" i="14"/>
  <c r="E1953" i="14"/>
  <c r="E1945" i="14"/>
  <c r="E1937" i="14"/>
  <c r="E1929" i="14"/>
  <c r="E1921" i="14"/>
  <c r="E1913" i="14"/>
  <c r="E1905" i="14"/>
  <c r="E1897" i="14"/>
  <c r="E1889" i="14"/>
  <c r="E1881" i="14"/>
  <c r="E1873" i="14"/>
  <c r="E1865" i="14"/>
  <c r="E1857" i="14"/>
  <c r="E1849" i="14"/>
  <c r="E1841" i="14"/>
  <c r="E1833" i="14"/>
  <c r="E1825" i="14"/>
  <c r="E1817" i="14"/>
  <c r="E1809" i="14"/>
  <c r="E1801" i="14"/>
  <c r="E1793" i="14"/>
  <c r="E1785" i="14"/>
  <c r="E1777" i="14"/>
  <c r="E1769" i="14"/>
  <c r="E1761" i="14"/>
  <c r="E1753" i="14"/>
  <c r="E1745" i="14"/>
  <c r="E1737" i="14"/>
  <c r="E1729" i="14"/>
  <c r="E1721" i="14"/>
  <c r="E1713" i="14"/>
  <c r="E1705" i="14"/>
  <c r="E1697" i="14"/>
  <c r="E1689" i="14"/>
  <c r="E1681" i="14"/>
  <c r="E1673" i="14"/>
  <c r="E1665" i="14"/>
  <c r="E1657" i="14"/>
  <c r="E1649" i="14"/>
  <c r="E1641" i="14"/>
  <c r="E1633" i="14"/>
  <c r="E1625" i="14"/>
  <c r="E1617" i="14"/>
  <c r="E1609" i="14"/>
  <c r="E1601" i="14"/>
  <c r="E1593" i="14"/>
  <c r="E1585" i="14"/>
  <c r="E1577" i="14"/>
  <c r="E1569" i="14"/>
  <c r="E1561" i="14"/>
  <c r="E1553" i="14"/>
  <c r="E1545" i="14"/>
  <c r="E1537" i="14"/>
  <c r="E1529" i="14"/>
  <c r="E1521" i="14"/>
  <c r="E1513" i="14"/>
  <c r="E1505" i="14"/>
  <c r="E1497" i="14"/>
  <c r="E1489" i="14"/>
  <c r="E1481" i="14"/>
  <c r="E1473" i="14"/>
  <c r="E1465" i="14"/>
  <c r="E1457" i="14"/>
  <c r="E1449" i="14"/>
  <c r="E1441" i="14"/>
  <c r="E1433" i="14"/>
  <c r="E1425" i="14"/>
  <c r="E1417" i="14"/>
  <c r="E1409" i="14"/>
  <c r="E1401" i="14"/>
  <c r="E1393" i="14"/>
  <c r="E1385" i="14"/>
  <c r="E1377" i="14"/>
  <c r="E1369" i="14"/>
  <c r="E1361" i="14"/>
  <c r="E1353" i="14"/>
  <c r="E1345" i="14"/>
  <c r="E1337" i="14"/>
  <c r="D813" i="15"/>
  <c r="D797" i="15"/>
  <c r="D785" i="15"/>
  <c r="D777" i="15"/>
  <c r="D769" i="15"/>
  <c r="D761" i="15"/>
  <c r="D753" i="15"/>
  <c r="D745" i="15"/>
  <c r="D737" i="15"/>
  <c r="D729" i="15"/>
  <c r="D721" i="15"/>
  <c r="D713" i="15"/>
  <c r="D705" i="15"/>
  <c r="D697" i="15"/>
  <c r="D689" i="15"/>
  <c r="D681" i="15"/>
  <c r="D673" i="15"/>
  <c r="D665" i="15"/>
  <c r="D657" i="15"/>
  <c r="D649" i="15"/>
  <c r="D641" i="15"/>
  <c r="D633" i="15"/>
  <c r="D625" i="15"/>
  <c r="D617" i="15"/>
  <c r="D609" i="15"/>
  <c r="D601" i="15"/>
  <c r="D593" i="15"/>
  <c r="D585" i="15"/>
  <c r="D577" i="15"/>
  <c r="D569" i="15"/>
  <c r="D561" i="15"/>
  <c r="D553" i="15"/>
  <c r="D545" i="15"/>
  <c r="D537" i="15"/>
  <c r="D529" i="15"/>
  <c r="D521" i="15"/>
  <c r="D513" i="15"/>
  <c r="D505" i="15"/>
  <c r="D497" i="15"/>
  <c r="D489" i="15"/>
  <c r="D481" i="15"/>
  <c r="D473" i="15"/>
  <c r="D465" i="15"/>
  <c r="D457" i="15"/>
  <c r="D449" i="15"/>
  <c r="D441" i="15"/>
  <c r="D433" i="15"/>
  <c r="D425" i="15"/>
  <c r="D417" i="15"/>
  <c r="D409" i="15"/>
  <c r="D401" i="15"/>
  <c r="D393" i="15"/>
  <c r="D385" i="15"/>
  <c r="D377" i="15"/>
  <c r="D369" i="15"/>
  <c r="D361" i="15"/>
  <c r="D353" i="15"/>
  <c r="D345" i="15"/>
  <c r="D337" i="15"/>
  <c r="D329" i="15"/>
  <c r="D321" i="15"/>
  <c r="D313" i="15"/>
  <c r="D305" i="15"/>
  <c r="D297" i="15"/>
  <c r="D289" i="15"/>
  <c r="D281" i="15"/>
  <c r="D273" i="15"/>
  <c r="D265" i="15"/>
  <c r="D257" i="15"/>
  <c r="D249" i="15"/>
  <c r="D241" i="15"/>
  <c r="D233" i="15"/>
  <c r="D225" i="15"/>
  <c r="D217" i="15"/>
  <c r="D209" i="15"/>
  <c r="D201" i="15"/>
  <c r="D193" i="15"/>
  <c r="D185" i="15"/>
  <c r="D177" i="15"/>
  <c r="D169" i="15"/>
  <c r="D161" i="15"/>
  <c r="D153" i="15"/>
  <c r="D145" i="15"/>
  <c r="D137" i="15"/>
  <c r="D129" i="15"/>
  <c r="D121" i="15"/>
  <c r="D113" i="15"/>
  <c r="D105" i="15"/>
  <c r="D97" i="15"/>
  <c r="D89" i="15"/>
  <c r="D81" i="15"/>
  <c r="D73" i="15"/>
  <c r="D65" i="15"/>
  <c r="D57" i="15"/>
  <c r="D49" i="15"/>
  <c r="D41" i="15"/>
  <c r="D33" i="15"/>
  <c r="D25" i="15"/>
  <c r="D17" i="15"/>
  <c r="D9" i="15"/>
  <c r="D1" i="15"/>
  <c r="D2376" i="14"/>
  <c r="D2368" i="14"/>
  <c r="D2360" i="14"/>
  <c r="D2352" i="14"/>
  <c r="D2344" i="14"/>
  <c r="D2336" i="14"/>
  <c r="D2328" i="14"/>
  <c r="D2320" i="14"/>
  <c r="D2312" i="14"/>
  <c r="E1053" i="15"/>
  <c r="E1037" i="15"/>
  <c r="E1021" i="15"/>
  <c r="E1005" i="15"/>
  <c r="E989" i="15"/>
  <c r="E980" i="15"/>
  <c r="E972" i="15"/>
  <c r="E964" i="15"/>
  <c r="E956" i="15"/>
  <c r="E948" i="15"/>
  <c r="E940" i="15"/>
  <c r="E932" i="15"/>
  <c r="E924" i="15"/>
  <c r="E916" i="15"/>
  <c r="E908" i="15"/>
  <c r="E900" i="15"/>
  <c r="E892" i="15"/>
  <c r="E884" i="15"/>
  <c r="E876" i="15"/>
  <c r="E868" i="15"/>
  <c r="E860" i="15"/>
  <c r="E852" i="15"/>
  <c r="E844" i="15"/>
  <c r="E836" i="15"/>
  <c r="E828" i="15"/>
  <c r="E820" i="15"/>
  <c r="E812" i="15"/>
  <c r="E804" i="15"/>
  <c r="E796" i="15"/>
  <c r="E788" i="15"/>
  <c r="E780" i="15"/>
  <c r="E772" i="15"/>
  <c r="E764" i="15"/>
  <c r="E756" i="15"/>
  <c r="E748" i="15"/>
  <c r="E740" i="15"/>
  <c r="E732" i="15"/>
  <c r="E724" i="15"/>
  <c r="E716" i="15"/>
  <c r="E708" i="15"/>
  <c r="E700" i="15"/>
  <c r="E692" i="15"/>
  <c r="E684" i="15"/>
  <c r="E676" i="15"/>
  <c r="E668" i="15"/>
  <c r="E660" i="15"/>
  <c r="E652" i="15"/>
  <c r="E644" i="15"/>
  <c r="E636" i="15"/>
  <c r="E628" i="15"/>
  <c r="E620" i="15"/>
  <c r="E612" i="15"/>
  <c r="E604" i="15"/>
  <c r="E596" i="15"/>
  <c r="E588" i="15"/>
  <c r="E580" i="15"/>
  <c r="E572" i="15"/>
  <c r="E564" i="15"/>
  <c r="E556" i="15"/>
  <c r="E548" i="15"/>
  <c r="E540" i="15"/>
  <c r="E532" i="15"/>
  <c r="E524" i="15"/>
  <c r="E516" i="15"/>
  <c r="E508" i="15"/>
  <c r="E500" i="15"/>
  <c r="E492" i="15"/>
  <c r="E484" i="15"/>
  <c r="E476" i="15"/>
  <c r="E468" i="15"/>
  <c r="E460" i="15"/>
  <c r="E452" i="15"/>
  <c r="E444" i="15"/>
  <c r="E436" i="15"/>
  <c r="E428" i="15"/>
  <c r="E420" i="15"/>
  <c r="E412" i="15"/>
  <c r="E404" i="15"/>
  <c r="E396" i="15"/>
  <c r="E388" i="15"/>
  <c r="E380" i="15"/>
  <c r="E372" i="15"/>
  <c r="E364" i="15"/>
  <c r="E356" i="15"/>
  <c r="E348" i="15"/>
  <c r="E340" i="15"/>
  <c r="E332" i="15"/>
  <c r="E324" i="15"/>
  <c r="E316" i="15"/>
  <c r="E308" i="15"/>
  <c r="E300" i="15"/>
  <c r="E292" i="15"/>
  <c r="E284" i="15"/>
  <c r="E276" i="15"/>
  <c r="E268" i="15"/>
  <c r="E260" i="15"/>
  <c r="E252" i="15"/>
  <c r="E244" i="15"/>
  <c r="E236" i="15"/>
  <c r="E228" i="15"/>
  <c r="E220" i="15"/>
  <c r="E212" i="15"/>
  <c r="E204" i="15"/>
  <c r="E196" i="15"/>
  <c r="E188" i="15"/>
  <c r="E180" i="15"/>
  <c r="E172" i="15"/>
  <c r="E164" i="15"/>
  <c r="E156" i="15"/>
  <c r="E148" i="15"/>
  <c r="E140" i="15"/>
  <c r="E132" i="15"/>
  <c r="E124" i="15"/>
  <c r="E116" i="15"/>
  <c r="E108" i="15"/>
  <c r="E100" i="15"/>
  <c r="E92" i="15"/>
  <c r="E84" i="15"/>
  <c r="E76" i="15"/>
  <c r="E68" i="15"/>
  <c r="E60" i="15"/>
  <c r="E52" i="15"/>
  <c r="E44" i="15"/>
  <c r="E36" i="15"/>
  <c r="E28" i="15"/>
  <c r="E20" i="15"/>
  <c r="E12" i="15"/>
  <c r="E4" i="15"/>
  <c r="E3" i="15"/>
  <c r="E2369" i="14"/>
  <c r="E2353" i="14"/>
  <c r="E2337" i="14"/>
  <c r="E2321" i="14"/>
  <c r="D2306" i="14"/>
  <c r="D2298" i="14"/>
  <c r="D2290" i="14"/>
  <c r="D2282" i="14"/>
  <c r="D2274" i="14"/>
  <c r="D2266" i="14"/>
  <c r="D2258" i="14"/>
  <c r="D2250" i="14"/>
  <c r="D2242" i="14"/>
  <c r="D2234" i="14"/>
  <c r="D2226" i="14"/>
  <c r="D2218" i="14"/>
  <c r="D2210" i="14"/>
  <c r="D2202" i="14"/>
  <c r="D2194" i="14"/>
  <c r="D2186" i="14"/>
  <c r="D2178" i="14"/>
  <c r="D2170" i="14"/>
  <c r="D2162" i="14"/>
  <c r="D2154" i="14"/>
  <c r="D2146" i="14"/>
  <c r="D2138" i="14"/>
  <c r="D2130" i="14"/>
  <c r="D2122" i="14"/>
  <c r="D2114" i="14"/>
  <c r="D2106" i="14"/>
  <c r="D2098" i="14"/>
  <c r="D2090" i="14"/>
  <c r="D2082" i="14"/>
  <c r="D2074" i="14"/>
  <c r="D2066" i="14"/>
  <c r="D2058" i="14"/>
  <c r="D2050" i="14"/>
  <c r="D2042" i="14"/>
  <c r="D2034" i="14"/>
  <c r="D2026" i="14"/>
  <c r="D2018" i="14"/>
  <c r="D2010" i="14"/>
  <c r="D2002" i="14"/>
  <c r="D1994" i="14"/>
  <c r="D1986" i="14"/>
  <c r="D1978" i="14"/>
  <c r="D1970" i="14"/>
  <c r="D1962" i="14"/>
  <c r="D1954" i="14"/>
  <c r="D1946" i="14"/>
  <c r="D1938" i="14"/>
  <c r="D1930" i="14"/>
  <c r="D1922" i="14"/>
  <c r="D1914" i="14"/>
  <c r="D1906" i="14"/>
  <c r="D1898" i="14"/>
  <c r="D1890" i="14"/>
  <c r="D1882" i="14"/>
  <c r="D1874" i="14"/>
  <c r="D1866" i="14"/>
  <c r="D1858" i="14"/>
  <c r="D1850" i="14"/>
  <c r="D1842" i="14"/>
  <c r="D1834" i="14"/>
  <c r="D1826" i="14"/>
  <c r="D1818" i="14"/>
  <c r="D1810" i="14"/>
  <c r="D1802" i="14"/>
  <c r="D1794" i="14"/>
  <c r="D1786" i="14"/>
  <c r="D1778" i="14"/>
  <c r="D1770" i="14"/>
  <c r="D1762" i="14"/>
  <c r="D1754" i="14"/>
  <c r="D1746" i="14"/>
  <c r="D1738" i="14"/>
  <c r="D1730" i="14"/>
  <c r="D1722" i="14"/>
  <c r="D1714" i="14"/>
  <c r="D1706" i="14"/>
  <c r="D1698" i="14"/>
  <c r="D1690" i="14"/>
  <c r="D1682" i="14"/>
  <c r="D1674" i="14"/>
  <c r="D1666" i="14"/>
  <c r="D1658" i="14"/>
  <c r="D1650" i="14"/>
  <c r="D1642" i="14"/>
  <c r="D1634" i="14"/>
  <c r="D1626" i="14"/>
  <c r="D1618" i="14"/>
  <c r="D1610" i="14"/>
  <c r="D1602" i="14"/>
  <c r="D1594" i="14"/>
  <c r="D1586" i="14"/>
  <c r="D1578" i="14"/>
  <c r="D1570" i="14"/>
  <c r="D1562" i="14"/>
  <c r="D1554" i="14"/>
  <c r="D1546" i="14"/>
  <c r="D1538" i="14"/>
  <c r="D1530" i="14"/>
  <c r="D1522" i="14"/>
  <c r="D1514" i="14"/>
  <c r="D1506" i="14"/>
  <c r="D1498" i="14"/>
  <c r="D1490" i="14"/>
  <c r="D1482" i="14"/>
  <c r="D1474" i="14"/>
  <c r="D1466" i="14"/>
  <c r="D1458" i="14"/>
  <c r="D1450" i="14"/>
  <c r="D1442" i="14"/>
  <c r="D1434" i="14"/>
  <c r="D1426" i="14"/>
  <c r="D1418" i="14"/>
  <c r="D1410" i="14"/>
  <c r="D1402" i="14"/>
  <c r="D1394" i="14"/>
  <c r="D1386" i="14"/>
  <c r="D1378" i="14"/>
  <c r="D1370" i="14"/>
  <c r="D1362" i="14"/>
  <c r="D1354" i="14"/>
  <c r="D1346" i="14"/>
  <c r="D1338" i="14"/>
  <c r="D1330" i="14"/>
  <c r="D1322" i="14"/>
  <c r="D1314" i="14"/>
  <c r="D1306" i="14"/>
  <c r="D1298" i="14"/>
  <c r="D1290" i="14"/>
  <c r="D1282" i="14"/>
  <c r="D1274" i="14"/>
  <c r="D1266" i="14"/>
  <c r="D1258" i="14"/>
  <c r="D1250" i="14"/>
  <c r="D1242" i="14"/>
  <c r="D1234" i="14"/>
  <c r="D1226" i="14"/>
  <c r="D1218" i="14"/>
  <c r="D1210" i="14"/>
  <c r="D1202" i="14"/>
  <c r="D1194" i="14"/>
  <c r="D1186" i="14"/>
  <c r="D1178" i="14"/>
  <c r="D1170" i="14"/>
  <c r="D1162" i="14"/>
  <c r="D1154" i="14"/>
  <c r="D1146" i="14"/>
  <c r="D1138" i="14"/>
  <c r="D1130" i="14"/>
  <c r="D1122" i="14"/>
  <c r="D1114" i="14"/>
  <c r="D1106" i="14"/>
  <c r="D1098" i="14"/>
  <c r="D1090" i="14"/>
  <c r="D1082" i="14"/>
  <c r="D1074" i="14"/>
  <c r="D1066" i="14"/>
  <c r="D1058" i="14"/>
  <c r="D1050" i="14"/>
  <c r="D1042" i="14"/>
  <c r="D1034" i="14"/>
  <c r="D1026" i="14"/>
  <c r="D1018" i="14"/>
  <c r="D1010" i="14"/>
  <c r="D1002" i="14"/>
  <c r="D994" i="14"/>
  <c r="D986" i="14"/>
  <c r="D978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70" i="14"/>
  <c r="D762" i="14"/>
  <c r="D754" i="14"/>
  <c r="D746" i="14"/>
  <c r="D738" i="14"/>
  <c r="D730" i="14"/>
  <c r="D722" i="14"/>
  <c r="D714" i="14"/>
  <c r="D706" i="14"/>
  <c r="D698" i="14"/>
  <c r="D690" i="14"/>
  <c r="D682" i="14"/>
  <c r="D674" i="14"/>
  <c r="D666" i="14"/>
  <c r="D658" i="14"/>
  <c r="D650" i="14"/>
  <c r="D642" i="14"/>
  <c r="D634" i="14"/>
  <c r="D626" i="14"/>
  <c r="D618" i="14"/>
  <c r="D610" i="14"/>
  <c r="D602" i="14"/>
  <c r="D594" i="14"/>
  <c r="D586" i="14"/>
  <c r="D578" i="14"/>
  <c r="D570" i="14"/>
  <c r="D562" i="14"/>
  <c r="D554" i="14"/>
  <c r="D546" i="14"/>
  <c r="D538" i="14"/>
  <c r="D530" i="14"/>
  <c r="D522" i="14"/>
  <c r="D514" i="14"/>
  <c r="D506" i="14"/>
  <c r="D498" i="14"/>
  <c r="D490" i="14"/>
  <c r="D482" i="14"/>
  <c r="D474" i="14"/>
  <c r="D466" i="14"/>
  <c r="D458" i="14"/>
  <c r="D450" i="14"/>
  <c r="D442" i="14"/>
  <c r="D434" i="14"/>
  <c r="D426" i="14"/>
  <c r="D418" i="14"/>
  <c r="D410" i="14"/>
  <c r="D402" i="14"/>
  <c r="D394" i="14"/>
  <c r="D386" i="14"/>
  <c r="D378" i="14"/>
  <c r="D370" i="14"/>
  <c r="D362" i="14"/>
  <c r="D354" i="14"/>
  <c r="D346" i="14"/>
  <c r="D338" i="14"/>
  <c r="D330" i="14"/>
  <c r="D322" i="14"/>
  <c r="D314" i="14"/>
  <c r="D306" i="14"/>
  <c r="E2380" i="14"/>
  <c r="E2364" i="14"/>
  <c r="E2348" i="14"/>
  <c r="E2332" i="14"/>
  <c r="E2316" i="14"/>
  <c r="E2303" i="14"/>
  <c r="E2295" i="14"/>
  <c r="E2287" i="14"/>
  <c r="E2279" i="14"/>
  <c r="E2271" i="14"/>
  <c r="E2263" i="14"/>
  <c r="E2255" i="14"/>
  <c r="E2247" i="14"/>
  <c r="E2239" i="14"/>
  <c r="E2231" i="14"/>
  <c r="E2223" i="14"/>
  <c r="E2215" i="14"/>
  <c r="E2207" i="14"/>
  <c r="E2199" i="14"/>
  <c r="E2191" i="14"/>
  <c r="E2183" i="14"/>
  <c r="E2175" i="14"/>
  <c r="E2167" i="14"/>
  <c r="E2159" i="14"/>
  <c r="E2151" i="14"/>
  <c r="E2143" i="14"/>
  <c r="E2135" i="14"/>
  <c r="E2127" i="14"/>
  <c r="E2119" i="14"/>
  <c r="E2111" i="14"/>
  <c r="E2103" i="14"/>
  <c r="E2095" i="14"/>
  <c r="E2087" i="14"/>
  <c r="E2079" i="14"/>
  <c r="E2071" i="14"/>
  <c r="E2063" i="14"/>
  <c r="E2055" i="14"/>
  <c r="E2047" i="14"/>
  <c r="E2039" i="14"/>
  <c r="E2031" i="14"/>
  <c r="E2023" i="14"/>
  <c r="E2015" i="14"/>
  <c r="E2007" i="14"/>
  <c r="E1999" i="14"/>
  <c r="E1991" i="14"/>
  <c r="E1983" i="14"/>
  <c r="E1975" i="14"/>
  <c r="E1967" i="14"/>
  <c r="E1959" i="14"/>
  <c r="E1951" i="14"/>
  <c r="E1943" i="14"/>
  <c r="E1935" i="14"/>
  <c r="E1927" i="14"/>
  <c r="E1919" i="14"/>
  <c r="E1911" i="14"/>
  <c r="E1903" i="14"/>
  <c r="E1895" i="14"/>
  <c r="E1887" i="14"/>
  <c r="E1879" i="14"/>
  <c r="E1871" i="14"/>
  <c r="E1863" i="14"/>
  <c r="E1855" i="14"/>
  <c r="E1847" i="14"/>
  <c r="E1839" i="14"/>
  <c r="E1831" i="14"/>
  <c r="E1823" i="14"/>
  <c r="E1815" i="14"/>
  <c r="E1807" i="14"/>
  <c r="E1799" i="14"/>
  <c r="E1791" i="14"/>
  <c r="E1783" i="14"/>
  <c r="E1775" i="14"/>
  <c r="E1767" i="14"/>
  <c r="E1759" i="14"/>
  <c r="E1751" i="14"/>
  <c r="E1743" i="14"/>
  <c r="E1735" i="14"/>
  <c r="E1727" i="14"/>
  <c r="E1719" i="14"/>
  <c r="E1711" i="14"/>
  <c r="E1703" i="14"/>
  <c r="E1695" i="14"/>
  <c r="E1687" i="14"/>
  <c r="E1679" i="14"/>
  <c r="E1671" i="14"/>
  <c r="E1663" i="14"/>
  <c r="E1655" i="14"/>
  <c r="E1647" i="14"/>
  <c r="E1639" i="14"/>
  <c r="E1631" i="14"/>
  <c r="E1623" i="14"/>
  <c r="E1615" i="14"/>
  <c r="E1607" i="14"/>
  <c r="E1599" i="14"/>
  <c r="E1591" i="14"/>
  <c r="E1583" i="14"/>
  <c r="E1575" i="14"/>
  <c r="E1567" i="14"/>
  <c r="E1559" i="14"/>
  <c r="E1551" i="14"/>
  <c r="E1543" i="14"/>
  <c r="E1535" i="14"/>
  <c r="E1527" i="14"/>
  <c r="E1519" i="14"/>
  <c r="E1511" i="14"/>
  <c r="E1503" i="14"/>
  <c r="E1495" i="14"/>
  <c r="E1487" i="14"/>
  <c r="E1479" i="14"/>
  <c r="E1471" i="14"/>
  <c r="E1463" i="14"/>
  <c r="E1455" i="14"/>
  <c r="E1447" i="14"/>
  <c r="E1439" i="14"/>
  <c r="E1431" i="14"/>
  <c r="E1423" i="14"/>
  <c r="E1415" i="14"/>
  <c r="E1407" i="14"/>
  <c r="E1399" i="14"/>
  <c r="E1391" i="14"/>
  <c r="E1383" i="14"/>
  <c r="E1375" i="14"/>
  <c r="E1367" i="14"/>
  <c r="E1359" i="14"/>
  <c r="E1351" i="14"/>
  <c r="E1343" i="14"/>
  <c r="D807" i="15"/>
  <c r="D791" i="15"/>
  <c r="D783" i="15"/>
  <c r="D775" i="15"/>
  <c r="D767" i="15"/>
  <c r="D759" i="15"/>
  <c r="D751" i="15"/>
  <c r="D743" i="15"/>
  <c r="D735" i="15"/>
  <c r="D727" i="15"/>
  <c r="D719" i="15"/>
  <c r="D711" i="15"/>
  <c r="D703" i="15"/>
  <c r="D695" i="15"/>
  <c r="D687" i="15"/>
  <c r="D679" i="15"/>
  <c r="D671" i="15"/>
  <c r="D663" i="15"/>
  <c r="D655" i="15"/>
  <c r="D647" i="15"/>
  <c r="D639" i="15"/>
  <c r="D631" i="15"/>
  <c r="D623" i="15"/>
  <c r="D615" i="15"/>
  <c r="D607" i="15"/>
  <c r="D599" i="15"/>
  <c r="D591" i="15"/>
  <c r="D583" i="15"/>
  <c r="D575" i="15"/>
  <c r="D567" i="15"/>
  <c r="D559" i="15"/>
  <c r="D551" i="15"/>
  <c r="D543" i="15"/>
  <c r="D535" i="15"/>
  <c r="D527" i="15"/>
  <c r="D519" i="15"/>
  <c r="D511" i="15"/>
  <c r="D503" i="15"/>
  <c r="D495" i="15"/>
  <c r="D487" i="15"/>
  <c r="D479" i="15"/>
  <c r="D471" i="15"/>
  <c r="D463" i="15"/>
  <c r="D455" i="15"/>
  <c r="D447" i="15"/>
  <c r="D439" i="15"/>
  <c r="D431" i="15"/>
  <c r="D423" i="15"/>
  <c r="D415" i="15"/>
  <c r="D407" i="15"/>
  <c r="D399" i="15"/>
  <c r="D391" i="15"/>
  <c r="D383" i="15"/>
  <c r="D375" i="15"/>
  <c r="D367" i="15"/>
  <c r="D359" i="15"/>
  <c r="D351" i="15"/>
  <c r="D343" i="15"/>
  <c r="D335" i="15"/>
  <c r="D327" i="15"/>
  <c r="D319" i="15"/>
  <c r="D311" i="15"/>
  <c r="D303" i="15"/>
  <c r="D295" i="15"/>
  <c r="D287" i="15"/>
  <c r="D279" i="15"/>
  <c r="D271" i="15"/>
  <c r="D263" i="15"/>
  <c r="D255" i="15"/>
  <c r="D247" i="15"/>
  <c r="D239" i="15"/>
  <c r="D231" i="15"/>
  <c r="D223" i="15"/>
  <c r="D215" i="15"/>
  <c r="D207" i="15"/>
  <c r="D199" i="15"/>
  <c r="D191" i="15"/>
  <c r="D183" i="15"/>
  <c r="D175" i="15"/>
  <c r="D167" i="15"/>
  <c r="D159" i="15"/>
  <c r="D151" i="15"/>
  <c r="D143" i="15"/>
  <c r="D135" i="15"/>
  <c r="D127" i="15"/>
  <c r="D119" i="15"/>
  <c r="D111" i="15"/>
  <c r="D103" i="15"/>
  <c r="D95" i="15"/>
  <c r="D87" i="15"/>
  <c r="D79" i="15"/>
  <c r="D71" i="15"/>
  <c r="D63" i="15"/>
  <c r="D55" i="15"/>
  <c r="D47" i="15"/>
  <c r="D39" i="15"/>
  <c r="D31" i="15"/>
  <c r="D23" i="15"/>
  <c r="D15" i="15"/>
  <c r="D7" i="15"/>
  <c r="D2382" i="14"/>
  <c r="D2374" i="14"/>
  <c r="D2366" i="14"/>
  <c r="D2358" i="14"/>
  <c r="D2350" i="14"/>
  <c r="D2342" i="14"/>
  <c r="D2334" i="14"/>
  <c r="D2326" i="14"/>
  <c r="D2318" i="14"/>
  <c r="D2310" i="14"/>
  <c r="E1049" i="15"/>
  <c r="E1033" i="15"/>
  <c r="E1017" i="15"/>
  <c r="E1001" i="15"/>
  <c r="E986" i="15"/>
  <c r="E978" i="15"/>
  <c r="E970" i="15"/>
  <c r="E962" i="15"/>
  <c r="E954" i="15"/>
  <c r="E946" i="15"/>
  <c r="E938" i="15"/>
  <c r="E930" i="15"/>
  <c r="E922" i="15"/>
  <c r="E914" i="15"/>
  <c r="E906" i="15"/>
  <c r="E898" i="15"/>
  <c r="E890" i="15"/>
  <c r="E882" i="15"/>
  <c r="E874" i="15"/>
  <c r="E866" i="15"/>
  <c r="E858" i="15"/>
  <c r="E850" i="15"/>
  <c r="E842" i="15"/>
  <c r="E834" i="15"/>
  <c r="E826" i="15"/>
  <c r="E818" i="15"/>
  <c r="E810" i="15"/>
  <c r="E802" i="15"/>
  <c r="E794" i="15"/>
  <c r="E786" i="15"/>
  <c r="E778" i="15"/>
  <c r="E770" i="15"/>
  <c r="E762" i="15"/>
  <c r="E754" i="15"/>
  <c r="E746" i="15"/>
  <c r="E738" i="15"/>
  <c r="E730" i="15"/>
  <c r="E722" i="15"/>
  <c r="E714" i="15"/>
  <c r="E706" i="15"/>
  <c r="E698" i="15"/>
  <c r="E690" i="15"/>
  <c r="E682" i="15"/>
  <c r="E674" i="15"/>
  <c r="E666" i="15"/>
  <c r="E658" i="15"/>
  <c r="E650" i="15"/>
  <c r="E642" i="15"/>
  <c r="E634" i="15"/>
  <c r="E626" i="15"/>
  <c r="E618" i="15"/>
  <c r="E610" i="15"/>
  <c r="E602" i="15"/>
  <c r="E594" i="15"/>
  <c r="E586" i="15"/>
  <c r="E578" i="15"/>
  <c r="E570" i="15"/>
  <c r="E562" i="15"/>
  <c r="E554" i="15"/>
  <c r="E546" i="15"/>
  <c r="E538" i="15"/>
  <c r="E530" i="15"/>
  <c r="E522" i="15"/>
  <c r="E514" i="15"/>
  <c r="E506" i="15"/>
  <c r="E498" i="15"/>
  <c r="E490" i="15"/>
  <c r="E482" i="15"/>
  <c r="E474" i="15"/>
  <c r="E466" i="15"/>
  <c r="E458" i="15"/>
  <c r="E450" i="15"/>
  <c r="E442" i="15"/>
  <c r="E434" i="15"/>
  <c r="E426" i="15"/>
  <c r="E418" i="15"/>
  <c r="E410" i="15"/>
  <c r="E402" i="15"/>
  <c r="E394" i="15"/>
  <c r="E386" i="15"/>
  <c r="E378" i="15"/>
  <c r="E370" i="15"/>
  <c r="E362" i="15"/>
  <c r="E354" i="15"/>
  <c r="E346" i="15"/>
  <c r="E338" i="15"/>
  <c r="E330" i="15"/>
  <c r="E322" i="15"/>
  <c r="E314" i="15"/>
  <c r="E306" i="15"/>
  <c r="E298" i="15"/>
  <c r="E290" i="15"/>
  <c r="E282" i="15"/>
  <c r="E274" i="15"/>
  <c r="E266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62" i="15"/>
  <c r="E154" i="15"/>
  <c r="E146" i="15"/>
  <c r="E138" i="15"/>
  <c r="E130" i="15"/>
  <c r="E122" i="15"/>
  <c r="E114" i="15"/>
  <c r="E106" i="15"/>
  <c r="E98" i="15"/>
  <c r="E90" i="15"/>
  <c r="E82" i="15"/>
  <c r="E74" i="15"/>
  <c r="E66" i="15"/>
  <c r="E58" i="15"/>
  <c r="E50" i="15"/>
  <c r="E42" i="15"/>
  <c r="E34" i="15"/>
  <c r="E26" i="15"/>
  <c r="E18" i="15"/>
  <c r="E10" i="15"/>
  <c r="E2" i="15"/>
  <c r="E2381" i="14"/>
  <c r="E2365" i="14"/>
  <c r="E2349" i="14"/>
  <c r="E2333" i="14"/>
  <c r="E2317" i="14"/>
  <c r="D2304" i="14"/>
  <c r="D2296" i="14"/>
  <c r="D2288" i="14"/>
  <c r="D2280" i="14"/>
  <c r="D2272" i="14"/>
  <c r="D2264" i="14"/>
  <c r="D2256" i="14"/>
  <c r="D2248" i="14"/>
  <c r="D2240" i="14"/>
  <c r="D2232" i="14"/>
  <c r="D2224" i="14"/>
  <c r="D2216" i="14"/>
  <c r="D2208" i="14"/>
  <c r="D2200" i="14"/>
  <c r="D2192" i="14"/>
  <c r="D2184" i="14"/>
  <c r="D2176" i="14"/>
  <c r="D2168" i="14"/>
  <c r="D2160" i="14"/>
  <c r="D2152" i="14"/>
  <c r="D2144" i="14"/>
  <c r="D2136" i="14"/>
  <c r="D2128" i="14"/>
  <c r="D2120" i="14"/>
  <c r="D2112" i="14"/>
  <c r="D2104" i="14"/>
  <c r="D2096" i="14"/>
  <c r="D2088" i="14"/>
  <c r="D2080" i="14"/>
  <c r="D2072" i="14"/>
  <c r="D2064" i="14"/>
  <c r="D2056" i="14"/>
  <c r="D2048" i="14"/>
  <c r="D2040" i="14"/>
  <c r="D2032" i="14"/>
  <c r="D2024" i="14"/>
  <c r="D2016" i="14"/>
  <c r="D2008" i="14"/>
  <c r="D2000" i="14"/>
  <c r="D1992" i="14"/>
  <c r="D1984" i="14"/>
  <c r="D1976" i="14"/>
  <c r="D1968" i="14"/>
  <c r="D1960" i="14"/>
  <c r="D1952" i="14"/>
  <c r="D1944" i="14"/>
  <c r="D1936" i="14"/>
  <c r="D1928" i="14"/>
  <c r="D1920" i="14"/>
  <c r="D1912" i="14"/>
  <c r="D1904" i="14"/>
  <c r="D1896" i="14"/>
  <c r="D1888" i="14"/>
  <c r="D1880" i="14"/>
  <c r="D1872" i="14"/>
  <c r="D1864" i="14"/>
  <c r="D1856" i="14"/>
  <c r="D1848" i="14"/>
  <c r="D1840" i="14"/>
  <c r="D1832" i="14"/>
  <c r="D1824" i="14"/>
  <c r="D1816" i="14"/>
  <c r="D1808" i="14"/>
  <c r="D1800" i="14"/>
  <c r="D1792" i="14"/>
  <c r="D1784" i="14"/>
  <c r="D1776" i="14"/>
  <c r="D1768" i="14"/>
  <c r="D1760" i="14"/>
  <c r="D1752" i="14"/>
  <c r="D1744" i="14"/>
  <c r="D1736" i="14"/>
  <c r="D1728" i="14"/>
  <c r="D1720" i="14"/>
  <c r="D1712" i="14"/>
  <c r="D1704" i="14"/>
  <c r="D1696" i="14"/>
  <c r="D1688" i="14"/>
  <c r="D1680" i="14"/>
  <c r="D1672" i="14"/>
  <c r="D1664" i="14"/>
  <c r="D1656" i="14"/>
  <c r="D1648" i="14"/>
  <c r="D1640" i="14"/>
  <c r="D1632" i="14"/>
  <c r="D1624" i="14"/>
  <c r="D1616" i="14"/>
  <c r="D1608" i="14"/>
  <c r="D1600" i="14"/>
  <c r="D1592" i="14"/>
  <c r="D1584" i="14"/>
  <c r="D1576" i="14"/>
  <c r="D1568" i="14"/>
  <c r="D1560" i="14"/>
  <c r="D1552" i="14"/>
  <c r="D1544" i="14"/>
  <c r="D1536" i="14"/>
  <c r="D1528" i="14"/>
  <c r="D1520" i="14"/>
  <c r="D1512" i="14"/>
  <c r="D1504" i="14"/>
  <c r="D1496" i="14"/>
  <c r="D1488" i="14"/>
  <c r="D1480" i="14"/>
  <c r="D1472" i="14"/>
  <c r="D1464" i="14"/>
  <c r="D1456" i="14"/>
  <c r="D1448" i="14"/>
  <c r="D1440" i="14"/>
  <c r="D1432" i="14"/>
  <c r="D1424" i="14"/>
  <c r="D1416" i="14"/>
  <c r="D1408" i="14"/>
  <c r="D1400" i="14"/>
  <c r="D1392" i="14"/>
  <c r="D1384" i="14"/>
  <c r="D1376" i="14"/>
  <c r="D1368" i="14"/>
  <c r="D1360" i="14"/>
  <c r="D1352" i="14"/>
  <c r="D1344" i="14"/>
  <c r="D1336" i="14"/>
  <c r="D1328" i="14"/>
  <c r="D1320" i="14"/>
  <c r="D1312" i="14"/>
  <c r="D1304" i="14"/>
  <c r="D1296" i="14"/>
  <c r="D1288" i="14"/>
  <c r="D1280" i="14"/>
  <c r="D1272" i="14"/>
  <c r="D1264" i="14"/>
  <c r="D1256" i="14"/>
  <c r="D1248" i="14"/>
  <c r="D1240" i="14"/>
  <c r="D1232" i="14"/>
  <c r="D1224" i="14"/>
  <c r="D1216" i="14"/>
  <c r="D1208" i="14"/>
  <c r="D1200" i="14"/>
  <c r="D1192" i="14"/>
  <c r="D1184" i="14"/>
  <c r="D1176" i="14"/>
  <c r="D1168" i="14"/>
  <c r="D1160" i="14"/>
  <c r="D1152" i="14"/>
  <c r="D1144" i="14"/>
  <c r="D1136" i="14"/>
  <c r="D1128" i="14"/>
  <c r="D1120" i="14"/>
  <c r="D1112" i="14"/>
  <c r="D1104" i="14"/>
  <c r="D1096" i="14"/>
  <c r="D1088" i="14"/>
  <c r="D1080" i="14"/>
  <c r="D1072" i="14"/>
  <c r="D1064" i="14"/>
  <c r="D1056" i="14"/>
  <c r="D1048" i="14"/>
  <c r="D1040" i="14"/>
  <c r="D1032" i="14"/>
  <c r="D1024" i="14"/>
  <c r="D1016" i="14"/>
  <c r="D1008" i="14"/>
  <c r="D1000" i="14"/>
  <c r="D992" i="14"/>
  <c r="D984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768" i="14"/>
  <c r="D760" i="14"/>
  <c r="D752" i="14"/>
  <c r="D744" i="14"/>
  <c r="D736" i="14"/>
  <c r="D728" i="14"/>
  <c r="D720" i="14"/>
  <c r="D712" i="14"/>
  <c r="D704" i="14"/>
  <c r="D696" i="14"/>
  <c r="D688" i="14"/>
  <c r="D680" i="14"/>
  <c r="D672" i="14"/>
  <c r="D664" i="14"/>
  <c r="D656" i="14"/>
  <c r="D648" i="14"/>
  <c r="D640" i="14"/>
  <c r="D632" i="14"/>
  <c r="D624" i="14"/>
  <c r="D616" i="14"/>
  <c r="D608" i="14"/>
  <c r="D600" i="14"/>
  <c r="D592" i="14"/>
  <c r="D584" i="14"/>
  <c r="D576" i="14"/>
  <c r="D568" i="14"/>
  <c r="D560" i="14"/>
  <c r="D552" i="14"/>
  <c r="D544" i="14"/>
  <c r="D536" i="14"/>
  <c r="D528" i="14"/>
  <c r="D520" i="14"/>
  <c r="D512" i="14"/>
  <c r="D504" i="14"/>
  <c r="D496" i="14"/>
  <c r="D488" i="14"/>
  <c r="D480" i="14"/>
  <c r="D472" i="14"/>
  <c r="D464" i="14"/>
  <c r="D456" i="14"/>
  <c r="D448" i="14"/>
  <c r="D440" i="14"/>
  <c r="D432" i="14"/>
  <c r="D424" i="14"/>
  <c r="D416" i="14"/>
  <c r="D408" i="14"/>
  <c r="D400" i="14"/>
  <c r="D392" i="14"/>
  <c r="D384" i="14"/>
  <c r="D376" i="14"/>
  <c r="D368" i="14"/>
  <c r="D360" i="14"/>
  <c r="D352" i="14"/>
  <c r="D344" i="14"/>
  <c r="D336" i="14"/>
  <c r="D328" i="14"/>
  <c r="D320" i="14"/>
  <c r="D312" i="14"/>
  <c r="E17" i="15"/>
  <c r="E2376" i="14"/>
  <c r="E2360" i="14"/>
  <c r="E2344" i="14"/>
  <c r="E2328" i="14"/>
  <c r="E2312" i="14"/>
  <c r="E2301" i="14"/>
  <c r="E2293" i="14"/>
  <c r="E2285" i="14"/>
  <c r="E2277" i="14"/>
  <c r="E2269" i="14"/>
  <c r="E2261" i="14"/>
  <c r="E2253" i="14"/>
  <c r="E2245" i="14"/>
  <c r="E2237" i="14"/>
  <c r="E2229" i="14"/>
  <c r="E2221" i="14"/>
  <c r="E2213" i="14"/>
  <c r="D805" i="15"/>
  <c r="D789" i="15"/>
  <c r="D781" i="15"/>
  <c r="D773" i="15"/>
  <c r="D765" i="15"/>
  <c r="D757" i="15"/>
  <c r="D749" i="15"/>
  <c r="D741" i="15"/>
  <c r="D733" i="15"/>
  <c r="D725" i="15"/>
  <c r="D717" i="15"/>
  <c r="D709" i="15"/>
  <c r="D701" i="15"/>
  <c r="D693" i="15"/>
  <c r="D685" i="15"/>
  <c r="D677" i="15"/>
  <c r="D669" i="15"/>
  <c r="D661" i="15"/>
  <c r="D653" i="15"/>
  <c r="D645" i="15"/>
  <c r="D637" i="15"/>
  <c r="D629" i="15"/>
  <c r="D621" i="15"/>
  <c r="D613" i="15"/>
  <c r="D605" i="15"/>
  <c r="D597" i="15"/>
  <c r="D589" i="15"/>
  <c r="D581" i="15"/>
  <c r="D573" i="15"/>
  <c r="D565" i="15"/>
  <c r="D557" i="15"/>
  <c r="D549" i="15"/>
  <c r="D541" i="15"/>
  <c r="D533" i="15"/>
  <c r="D525" i="15"/>
  <c r="D517" i="15"/>
  <c r="D509" i="15"/>
  <c r="D501" i="15"/>
  <c r="D493" i="15"/>
  <c r="D485" i="15"/>
  <c r="D477" i="15"/>
  <c r="D469" i="15"/>
  <c r="D461" i="15"/>
  <c r="D453" i="15"/>
  <c r="D445" i="15"/>
  <c r="D437" i="15"/>
  <c r="D429" i="15"/>
  <c r="D421" i="15"/>
  <c r="D413" i="15"/>
  <c r="D405" i="15"/>
  <c r="D397" i="15"/>
  <c r="D389" i="15"/>
  <c r="D381" i="15"/>
  <c r="D373" i="15"/>
  <c r="D365" i="15"/>
  <c r="D357" i="15"/>
  <c r="D349" i="15"/>
  <c r="D341" i="15"/>
  <c r="D333" i="15"/>
  <c r="D325" i="15"/>
  <c r="D317" i="15"/>
  <c r="D309" i="15"/>
  <c r="D301" i="15"/>
  <c r="D293" i="15"/>
  <c r="D285" i="15"/>
  <c r="D277" i="15"/>
  <c r="D269" i="15"/>
  <c r="D261" i="15"/>
  <c r="D253" i="15"/>
  <c r="D245" i="15"/>
  <c r="D237" i="15"/>
  <c r="D229" i="15"/>
  <c r="D221" i="15"/>
  <c r="D213" i="15"/>
  <c r="D205" i="15"/>
  <c r="D197" i="15"/>
  <c r="D189" i="15"/>
  <c r="D181" i="15"/>
  <c r="D173" i="15"/>
  <c r="D165" i="15"/>
  <c r="D157" i="15"/>
  <c r="D149" i="15"/>
  <c r="D141" i="15"/>
  <c r="D133" i="15"/>
  <c r="D125" i="15"/>
  <c r="D117" i="15"/>
  <c r="D109" i="15"/>
  <c r="D101" i="15"/>
  <c r="D93" i="15"/>
  <c r="D85" i="15"/>
  <c r="D77" i="15"/>
  <c r="D69" i="15"/>
  <c r="D61" i="15"/>
  <c r="D53" i="15"/>
  <c r="D45" i="15"/>
  <c r="D37" i="15"/>
  <c r="D29" i="15"/>
  <c r="D21" i="15"/>
  <c r="D13" i="15"/>
  <c r="D5" i="15"/>
  <c r="D2380" i="14"/>
  <c r="D2372" i="14"/>
  <c r="D2364" i="14"/>
  <c r="D2356" i="14"/>
  <c r="D2348" i="14"/>
  <c r="D2340" i="14"/>
  <c r="D2332" i="14"/>
  <c r="D2324" i="14"/>
  <c r="D2316" i="14"/>
  <c r="D2308" i="14"/>
  <c r="E1045" i="15"/>
  <c r="E1029" i="15"/>
  <c r="E1013" i="15"/>
  <c r="E997" i="15"/>
  <c r="E984" i="15"/>
  <c r="E976" i="15"/>
  <c r="E968" i="15"/>
  <c r="E960" i="15"/>
  <c r="E952" i="15"/>
  <c r="E944" i="15"/>
  <c r="E936" i="15"/>
  <c r="E928" i="15"/>
  <c r="E920" i="15"/>
  <c r="E912" i="15"/>
  <c r="E904" i="15"/>
  <c r="E896" i="15"/>
  <c r="E888" i="15"/>
  <c r="E880" i="15"/>
  <c r="E872" i="15"/>
  <c r="E864" i="15"/>
  <c r="E856" i="15"/>
  <c r="E848" i="15"/>
  <c r="E840" i="15"/>
  <c r="E832" i="15"/>
  <c r="E824" i="15"/>
  <c r="E816" i="15"/>
  <c r="E808" i="15"/>
  <c r="E800" i="15"/>
  <c r="E792" i="15"/>
  <c r="E784" i="15"/>
  <c r="E776" i="15"/>
  <c r="E768" i="15"/>
  <c r="E760" i="15"/>
  <c r="E752" i="15"/>
  <c r="E744" i="15"/>
  <c r="E736" i="15"/>
  <c r="E728" i="15"/>
  <c r="E720" i="15"/>
  <c r="E712" i="15"/>
  <c r="E704" i="15"/>
  <c r="E696" i="15"/>
  <c r="E688" i="15"/>
  <c r="E680" i="15"/>
  <c r="E672" i="15"/>
  <c r="E664" i="15"/>
  <c r="E656" i="15"/>
  <c r="E648" i="15"/>
  <c r="E640" i="15"/>
  <c r="E632" i="15"/>
  <c r="E624" i="15"/>
  <c r="E616" i="15"/>
  <c r="E608" i="15"/>
  <c r="E600" i="15"/>
  <c r="E592" i="15"/>
  <c r="E584" i="15"/>
  <c r="E576" i="15"/>
  <c r="E568" i="15"/>
  <c r="E560" i="15"/>
  <c r="E552" i="15"/>
  <c r="E544" i="15"/>
  <c r="E536" i="15"/>
  <c r="E528" i="15"/>
  <c r="E520" i="15"/>
  <c r="E512" i="15"/>
  <c r="E504" i="15"/>
  <c r="E496" i="15"/>
  <c r="E488" i="15"/>
  <c r="E480" i="15"/>
  <c r="E472" i="15"/>
  <c r="E464" i="15"/>
  <c r="E456" i="15"/>
  <c r="E448" i="15"/>
  <c r="E440" i="15"/>
  <c r="E432" i="15"/>
  <c r="E424" i="15"/>
  <c r="E416" i="15"/>
  <c r="E408" i="15"/>
  <c r="E400" i="15"/>
  <c r="E392" i="15"/>
  <c r="E384" i="15"/>
  <c r="E376" i="15"/>
  <c r="E368" i="15"/>
  <c r="E360" i="15"/>
  <c r="E352" i="15"/>
  <c r="E344" i="15"/>
  <c r="E336" i="15"/>
  <c r="E328" i="15"/>
  <c r="E320" i="15"/>
  <c r="E312" i="15"/>
  <c r="E304" i="15"/>
  <c r="E296" i="15"/>
  <c r="E288" i="15"/>
  <c r="E280" i="15"/>
  <c r="E272" i="15"/>
  <c r="E264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0" i="15"/>
  <c r="E72" i="15"/>
  <c r="E64" i="15"/>
  <c r="E56" i="15"/>
  <c r="E48" i="15"/>
  <c r="E40" i="15"/>
  <c r="E32" i="15"/>
  <c r="E24" i="15"/>
  <c r="E16" i="15"/>
  <c r="E8" i="15"/>
  <c r="E19" i="15"/>
  <c r="E2377" i="14"/>
  <c r="E2361" i="14"/>
  <c r="E2345" i="14"/>
  <c r="E2329" i="14"/>
  <c r="E2313" i="14"/>
  <c r="D2302" i="14"/>
  <c r="D2294" i="14"/>
  <c r="D2286" i="14"/>
  <c r="D2278" i="14"/>
  <c r="D2270" i="14"/>
  <c r="D2262" i="14"/>
  <c r="D2254" i="14"/>
  <c r="D2246" i="14"/>
  <c r="D2238" i="14"/>
  <c r="D2230" i="14"/>
  <c r="D2222" i="14"/>
  <c r="D2214" i="14"/>
  <c r="D2206" i="14"/>
  <c r="D2198" i="14"/>
  <c r="D2190" i="14"/>
  <c r="D2182" i="14"/>
  <c r="D2174" i="14"/>
  <c r="D2166" i="14"/>
  <c r="D2158" i="14"/>
  <c r="D2150" i="14"/>
  <c r="D2142" i="14"/>
  <c r="D2134" i="14"/>
  <c r="D2126" i="14"/>
  <c r="D2118" i="14"/>
  <c r="D2110" i="14"/>
  <c r="D2102" i="14"/>
  <c r="D2094" i="14"/>
  <c r="D2086" i="14"/>
  <c r="D2078" i="14"/>
  <c r="D2070" i="14"/>
  <c r="D2062" i="14"/>
  <c r="D2054" i="14"/>
  <c r="D2046" i="14"/>
  <c r="D2038" i="14"/>
  <c r="D2030" i="14"/>
  <c r="D2022" i="14"/>
  <c r="D2014" i="14"/>
  <c r="D2006" i="14"/>
  <c r="D1998" i="14"/>
  <c r="D1990" i="14"/>
  <c r="D1982" i="14"/>
  <c r="D1974" i="14"/>
  <c r="D1966" i="14"/>
  <c r="D1958" i="14"/>
  <c r="D1950" i="14"/>
  <c r="D1942" i="14"/>
  <c r="D1934" i="14"/>
  <c r="D1926" i="14"/>
  <c r="D1918" i="14"/>
  <c r="D1910" i="14"/>
  <c r="D1902" i="14"/>
  <c r="D1894" i="14"/>
  <c r="D1886" i="14"/>
  <c r="D1878" i="14"/>
  <c r="D1870" i="14"/>
  <c r="D1862" i="14"/>
  <c r="D1854" i="14"/>
  <c r="D1846" i="14"/>
  <c r="D1838" i="14"/>
  <c r="D1830" i="14"/>
  <c r="D1822" i="14"/>
  <c r="D1814" i="14"/>
  <c r="D1806" i="14"/>
  <c r="D1798" i="14"/>
  <c r="D1790" i="14"/>
  <c r="D1782" i="14"/>
  <c r="D1774" i="14"/>
  <c r="D1766" i="14"/>
  <c r="D1758" i="14"/>
  <c r="D1750" i="14"/>
  <c r="D1742" i="14"/>
  <c r="D1734" i="14"/>
  <c r="D1726" i="14"/>
  <c r="D1718" i="14"/>
  <c r="D1710" i="14"/>
  <c r="D1702" i="14"/>
  <c r="D1694" i="14"/>
  <c r="D1686" i="14"/>
  <c r="D1678" i="14"/>
  <c r="D1670" i="14"/>
  <c r="D1662" i="14"/>
  <c r="D1654" i="14"/>
  <c r="D1646" i="14"/>
  <c r="D1638" i="14"/>
  <c r="D1630" i="14"/>
  <c r="D1622" i="14"/>
  <c r="D1614" i="14"/>
  <c r="D1606" i="14"/>
  <c r="D1598" i="14"/>
  <c r="D1590" i="14"/>
  <c r="D1582" i="14"/>
  <c r="D1574" i="14"/>
  <c r="D1566" i="14"/>
  <c r="D1558" i="14"/>
  <c r="D1550" i="14"/>
  <c r="D1542" i="14"/>
  <c r="D1534" i="14"/>
  <c r="D1526" i="14"/>
  <c r="D1518" i="14"/>
  <c r="D1510" i="14"/>
  <c r="D1502" i="14"/>
  <c r="D1494" i="14"/>
  <c r="D1486" i="14"/>
  <c r="D1478" i="14"/>
  <c r="D1470" i="14"/>
  <c r="D1462" i="14"/>
  <c r="D1454" i="14"/>
  <c r="D1446" i="14"/>
  <c r="D1438" i="14"/>
  <c r="D1430" i="14"/>
  <c r="D1422" i="14"/>
  <c r="D1414" i="14"/>
  <c r="D1406" i="14"/>
  <c r="D1398" i="14"/>
  <c r="D1390" i="14"/>
  <c r="D1382" i="14"/>
  <c r="D1374" i="14"/>
  <c r="D1366" i="14"/>
  <c r="D1358" i="14"/>
  <c r="D1350" i="14"/>
  <c r="D1342" i="14"/>
  <c r="D1334" i="14"/>
  <c r="D1326" i="14"/>
  <c r="D1318" i="14"/>
  <c r="D1310" i="14"/>
  <c r="D1302" i="14"/>
  <c r="D1294" i="14"/>
  <c r="D1286" i="14"/>
  <c r="D1278" i="14"/>
  <c r="D1270" i="14"/>
  <c r="D1262" i="14"/>
  <c r="D1254" i="14"/>
  <c r="D1246" i="14"/>
  <c r="D1238" i="14"/>
  <c r="D1230" i="14"/>
  <c r="D1222" i="14"/>
  <c r="D1214" i="14"/>
  <c r="D1206" i="14"/>
  <c r="D1198" i="14"/>
  <c r="D1190" i="14"/>
  <c r="D1182" i="14"/>
  <c r="D1174" i="14"/>
  <c r="D1166" i="14"/>
  <c r="D1158" i="14"/>
  <c r="D1150" i="14"/>
  <c r="D1142" i="14"/>
  <c r="D1134" i="14"/>
  <c r="D1126" i="14"/>
  <c r="D1118" i="14"/>
  <c r="D1110" i="14"/>
  <c r="D1102" i="14"/>
  <c r="D1094" i="14"/>
  <c r="D1086" i="14"/>
  <c r="D1078" i="14"/>
  <c r="D1070" i="14"/>
  <c r="D1062" i="14"/>
  <c r="D1054" i="14"/>
  <c r="D1046" i="14"/>
  <c r="D1038" i="14"/>
  <c r="D1030" i="14"/>
  <c r="D1022" i="14"/>
  <c r="D1014" i="14"/>
  <c r="D1006" i="14"/>
  <c r="D998" i="14"/>
  <c r="D990" i="14"/>
  <c r="D982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774" i="14"/>
  <c r="D766" i="14"/>
  <c r="D758" i="14"/>
  <c r="D750" i="14"/>
  <c r="D742" i="14"/>
  <c r="D734" i="14"/>
  <c r="D726" i="14"/>
  <c r="D718" i="14"/>
  <c r="D710" i="14"/>
  <c r="D678" i="14"/>
  <c r="D646" i="14"/>
  <c r="D614" i="14"/>
  <c r="D582" i="14"/>
  <c r="D550" i="14"/>
  <c r="D518" i="14"/>
  <c r="D486" i="14"/>
  <c r="D454" i="14"/>
  <c r="D422" i="14"/>
  <c r="D390" i="14"/>
  <c r="D358" i="14"/>
  <c r="D326" i="14"/>
  <c r="E2372" i="14"/>
  <c r="E2308" i="14"/>
  <c r="E2275" i="14"/>
  <c r="E2243" i="14"/>
  <c r="E2211" i="14"/>
  <c r="E2195" i="14"/>
  <c r="E2179" i="14"/>
  <c r="E2163" i="14"/>
  <c r="E2147" i="14"/>
  <c r="E2131" i="14"/>
  <c r="E2115" i="14"/>
  <c r="E2099" i="14"/>
  <c r="E2083" i="14"/>
  <c r="E2067" i="14"/>
  <c r="E2051" i="14"/>
  <c r="E2035" i="14"/>
  <c r="E2019" i="14"/>
  <c r="E2003" i="14"/>
  <c r="E1987" i="14"/>
  <c r="E1971" i="14"/>
  <c r="E1955" i="14"/>
  <c r="E1939" i="14"/>
  <c r="E1923" i="14"/>
  <c r="E1907" i="14"/>
  <c r="E1891" i="14"/>
  <c r="E1875" i="14"/>
  <c r="E1859" i="14"/>
  <c r="E1843" i="14"/>
  <c r="E1827" i="14"/>
  <c r="E1811" i="14"/>
  <c r="E1795" i="14"/>
  <c r="E1779" i="14"/>
  <c r="E1763" i="14"/>
  <c r="E1747" i="14"/>
  <c r="E1731" i="14"/>
  <c r="E1715" i="14"/>
  <c r="E1699" i="14"/>
  <c r="E1683" i="14"/>
  <c r="E1667" i="14"/>
  <c r="E1651" i="14"/>
  <c r="E1635" i="14"/>
  <c r="E1619" i="14"/>
  <c r="E1603" i="14"/>
  <c r="E1587" i="14"/>
  <c r="E1571" i="14"/>
  <c r="E1555" i="14"/>
  <c r="E1539" i="14"/>
  <c r="E1523" i="14"/>
  <c r="E1507" i="14"/>
  <c r="E1491" i="14"/>
  <c r="E1475" i="14"/>
  <c r="E1459" i="14"/>
  <c r="E1443" i="14"/>
  <c r="E1427" i="14"/>
  <c r="E1411" i="14"/>
  <c r="E1395" i="14"/>
  <c r="E1379" i="14"/>
  <c r="E1363" i="14"/>
  <c r="E1347" i="14"/>
  <c r="E1333" i="14"/>
  <c r="E1325" i="14"/>
  <c r="E1317" i="14"/>
  <c r="E1309" i="14"/>
  <c r="E1301" i="14"/>
  <c r="E1293" i="14"/>
  <c r="E1285" i="14"/>
  <c r="E1277" i="14"/>
  <c r="E1269" i="14"/>
  <c r="E1261" i="14"/>
  <c r="E1253" i="14"/>
  <c r="E1245" i="14"/>
  <c r="E1237" i="14"/>
  <c r="E1229" i="14"/>
  <c r="E1221" i="14"/>
  <c r="E1213" i="14"/>
  <c r="E1205" i="14"/>
  <c r="E1197" i="14"/>
  <c r="E1189" i="14"/>
  <c r="E1181" i="14"/>
  <c r="E1173" i="14"/>
  <c r="E1165" i="14"/>
  <c r="E1157" i="14"/>
  <c r="E1149" i="14"/>
  <c r="E1141" i="14"/>
  <c r="E1133" i="14"/>
  <c r="E1125" i="14"/>
  <c r="E1117" i="14"/>
  <c r="E1109" i="14"/>
  <c r="E1101" i="14"/>
  <c r="E1093" i="14"/>
  <c r="E1085" i="14"/>
  <c r="E1077" i="14"/>
  <c r="E1069" i="14"/>
  <c r="E1061" i="14"/>
  <c r="E1053" i="14"/>
  <c r="E1045" i="14"/>
  <c r="E1037" i="14"/>
  <c r="E1029" i="14"/>
  <c r="E1021" i="14"/>
  <c r="E1013" i="14"/>
  <c r="E1005" i="14"/>
  <c r="E997" i="14"/>
  <c r="E989" i="14"/>
  <c r="E981" i="14"/>
  <c r="E973" i="14"/>
  <c r="E965" i="14"/>
  <c r="E957" i="14"/>
  <c r="E949" i="14"/>
  <c r="E941" i="14"/>
  <c r="E933" i="14"/>
  <c r="E925" i="14"/>
  <c r="E917" i="14"/>
  <c r="E909" i="14"/>
  <c r="E901" i="14"/>
  <c r="E893" i="14"/>
  <c r="E885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73" i="14"/>
  <c r="E765" i="14"/>
  <c r="E757" i="14"/>
  <c r="E749" i="14"/>
  <c r="E741" i="14"/>
  <c r="E733" i="14"/>
  <c r="E725" i="14"/>
  <c r="E717" i="14"/>
  <c r="E709" i="14"/>
  <c r="E701" i="14"/>
  <c r="E693" i="14"/>
  <c r="E685" i="14"/>
  <c r="E677" i="14"/>
  <c r="E669" i="14"/>
  <c r="E661" i="14"/>
  <c r="E653" i="14"/>
  <c r="E645" i="14"/>
  <c r="E637" i="14"/>
  <c r="E629" i="14"/>
  <c r="E621" i="14"/>
  <c r="E613" i="14"/>
  <c r="E605" i="14"/>
  <c r="E597" i="14"/>
  <c r="E589" i="14"/>
  <c r="E581" i="14"/>
  <c r="E573" i="14"/>
  <c r="E565" i="14"/>
  <c r="E557" i="14"/>
  <c r="E549" i="14"/>
  <c r="E541" i="14"/>
  <c r="E533" i="14"/>
  <c r="E525" i="14"/>
  <c r="E7" i="15"/>
  <c r="E2371" i="14"/>
  <c r="E2355" i="14"/>
  <c r="E2339" i="14"/>
  <c r="E2323" i="14"/>
  <c r="E2307" i="14"/>
  <c r="D2299" i="14"/>
  <c r="D2291" i="14"/>
  <c r="D2283" i="14"/>
  <c r="D2275" i="14"/>
  <c r="D2267" i="14"/>
  <c r="D2259" i="14"/>
  <c r="D2251" i="14"/>
  <c r="D2243" i="14"/>
  <c r="D2235" i="14"/>
  <c r="D2227" i="14"/>
  <c r="D2219" i="14"/>
  <c r="D2211" i="14"/>
  <c r="D2203" i="14"/>
  <c r="D2195" i="14"/>
  <c r="D2187" i="14"/>
  <c r="D2179" i="14"/>
  <c r="D2171" i="14"/>
  <c r="D2163" i="14"/>
  <c r="D2155" i="14"/>
  <c r="D2147" i="14"/>
  <c r="D2139" i="14"/>
  <c r="D2131" i="14"/>
  <c r="D2123" i="14"/>
  <c r="D2115" i="14"/>
  <c r="D2107" i="14"/>
  <c r="D2099" i="14"/>
  <c r="D2091" i="14"/>
  <c r="D2083" i="14"/>
  <c r="D2075" i="14"/>
  <c r="D2067" i="14"/>
  <c r="D2059" i="14"/>
  <c r="D2051" i="14"/>
  <c r="D2043" i="14"/>
  <c r="D2035" i="14"/>
  <c r="D2027" i="14"/>
  <c r="D2019" i="14"/>
  <c r="D2011" i="14"/>
  <c r="D2003" i="14"/>
  <c r="D1995" i="14"/>
  <c r="D1987" i="14"/>
  <c r="D1979" i="14"/>
  <c r="D1971" i="14"/>
  <c r="D1963" i="14"/>
  <c r="D1955" i="14"/>
  <c r="D1947" i="14"/>
  <c r="D1939" i="14"/>
  <c r="D1931" i="14"/>
  <c r="D1923" i="14"/>
  <c r="D1915" i="14"/>
  <c r="D1907" i="14"/>
  <c r="D1899" i="14"/>
  <c r="D1891" i="14"/>
  <c r="D1883" i="14"/>
  <c r="D1875" i="14"/>
  <c r="D1867" i="14"/>
  <c r="D1859" i="14"/>
  <c r="D1851" i="14"/>
  <c r="D1843" i="14"/>
  <c r="D1835" i="14"/>
  <c r="D1827" i="14"/>
  <c r="D1819" i="14"/>
  <c r="D1811" i="14"/>
  <c r="D1803" i="14"/>
  <c r="D1795" i="14"/>
  <c r="D1787" i="14"/>
  <c r="D1779" i="14"/>
  <c r="D1771" i="14"/>
  <c r="D1763" i="14"/>
  <c r="D1755" i="14"/>
  <c r="D1747" i="14"/>
  <c r="D1739" i="14"/>
  <c r="D1731" i="14"/>
  <c r="D1723" i="14"/>
  <c r="D1715" i="14"/>
  <c r="D1707" i="14"/>
  <c r="D1699" i="14"/>
  <c r="D1691" i="14"/>
  <c r="D1683" i="14"/>
  <c r="D1675" i="14"/>
  <c r="D1667" i="14"/>
  <c r="D1659" i="14"/>
  <c r="D1651" i="14"/>
  <c r="D1643" i="14"/>
  <c r="D1635" i="14"/>
  <c r="D1627" i="14"/>
  <c r="D1619" i="14"/>
  <c r="D1611" i="14"/>
  <c r="D1603" i="14"/>
  <c r="D1595" i="14"/>
  <c r="D1587" i="14"/>
  <c r="D1579" i="14"/>
  <c r="D1571" i="14"/>
  <c r="D1563" i="14"/>
  <c r="D1555" i="14"/>
  <c r="D1547" i="14"/>
  <c r="D1539" i="14"/>
  <c r="D1531" i="14"/>
  <c r="D1523" i="14"/>
  <c r="D1515" i="14"/>
  <c r="D1507" i="14"/>
  <c r="D1499" i="14"/>
  <c r="D1491" i="14"/>
  <c r="D1483" i="14"/>
  <c r="D1475" i="14"/>
  <c r="D1467" i="14"/>
  <c r="D1459" i="14"/>
  <c r="D1451" i="14"/>
  <c r="D1443" i="14"/>
  <c r="D1435" i="14"/>
  <c r="D1427" i="14"/>
  <c r="D1419" i="14"/>
  <c r="D1411" i="14"/>
  <c r="D1403" i="14"/>
  <c r="D1395" i="14"/>
  <c r="D1387" i="14"/>
  <c r="D1379" i="14"/>
  <c r="D1371" i="14"/>
  <c r="D1363" i="14"/>
  <c r="D1355" i="14"/>
  <c r="D1347" i="14"/>
  <c r="D1339" i="14"/>
  <c r="D1331" i="14"/>
  <c r="D1323" i="14"/>
  <c r="D1315" i="14"/>
  <c r="D1307" i="14"/>
  <c r="D1299" i="14"/>
  <c r="D1291" i="14"/>
  <c r="D1283" i="14"/>
  <c r="D1275" i="14"/>
  <c r="D1267" i="14"/>
  <c r="D1259" i="14"/>
  <c r="D1251" i="14"/>
  <c r="D1243" i="14"/>
  <c r="D1235" i="14"/>
  <c r="D1227" i="14"/>
  <c r="D1219" i="14"/>
  <c r="D1211" i="14"/>
  <c r="D1203" i="14"/>
  <c r="D1195" i="14"/>
  <c r="D1187" i="14"/>
  <c r="D1179" i="14"/>
  <c r="D1171" i="14"/>
  <c r="D1163" i="14"/>
  <c r="D1155" i="14"/>
  <c r="D1147" i="14"/>
  <c r="D1139" i="14"/>
  <c r="D1131" i="14"/>
  <c r="D1123" i="14"/>
  <c r="D1115" i="14"/>
  <c r="D1107" i="14"/>
  <c r="D1099" i="14"/>
  <c r="D1091" i="14"/>
  <c r="D1083" i="14"/>
  <c r="D1075" i="14"/>
  <c r="D1067" i="14"/>
  <c r="D1059" i="14"/>
  <c r="D1051" i="14"/>
  <c r="D1043" i="14"/>
  <c r="D1035" i="14"/>
  <c r="D1027" i="14"/>
  <c r="D1019" i="14"/>
  <c r="D1011" i="14"/>
  <c r="D1003" i="14"/>
  <c r="D995" i="14"/>
  <c r="D987" i="14"/>
  <c r="D979" i="14"/>
  <c r="D971" i="14"/>
  <c r="D963" i="14"/>
  <c r="D955" i="14"/>
  <c r="D947" i="14"/>
  <c r="D939" i="14"/>
  <c r="D931" i="14"/>
  <c r="D923" i="14"/>
  <c r="D915" i="14"/>
  <c r="D907" i="14"/>
  <c r="D899" i="14"/>
  <c r="D891" i="14"/>
  <c r="D883" i="14"/>
  <c r="D875" i="14"/>
  <c r="D867" i="14"/>
  <c r="D859" i="14"/>
  <c r="D851" i="14"/>
  <c r="D843" i="14"/>
  <c r="D835" i="14"/>
  <c r="D827" i="14"/>
  <c r="D819" i="14"/>
  <c r="D811" i="14"/>
  <c r="D803" i="14"/>
  <c r="D795" i="14"/>
  <c r="D787" i="14"/>
  <c r="D779" i="14"/>
  <c r="D771" i="14"/>
  <c r="D763" i="14"/>
  <c r="D755" i="14"/>
  <c r="D747" i="14"/>
  <c r="D739" i="14"/>
  <c r="D731" i="14"/>
  <c r="D723" i="14"/>
  <c r="D715" i="14"/>
  <c r="D707" i="14"/>
  <c r="D699" i="14"/>
  <c r="D691" i="14"/>
  <c r="D683" i="14"/>
  <c r="D675" i="14"/>
  <c r="D667" i="14"/>
  <c r="D659" i="14"/>
  <c r="D651" i="14"/>
  <c r="D643" i="14"/>
  <c r="D635" i="14"/>
  <c r="D627" i="14"/>
  <c r="D619" i="14"/>
  <c r="D611" i="14"/>
  <c r="D603" i="14"/>
  <c r="D595" i="14"/>
  <c r="D587" i="14"/>
  <c r="D579" i="14"/>
  <c r="D571" i="14"/>
  <c r="D563" i="14"/>
  <c r="D555" i="14"/>
  <c r="D547" i="14"/>
  <c r="D539" i="14"/>
  <c r="D531" i="14"/>
  <c r="D523" i="14"/>
  <c r="D515" i="14"/>
  <c r="D507" i="14"/>
  <c r="D499" i="14"/>
  <c r="D491" i="14"/>
  <c r="D483" i="14"/>
  <c r="D475" i="14"/>
  <c r="D467" i="14"/>
  <c r="D459" i="14"/>
  <c r="D451" i="14"/>
  <c r="D443" i="14"/>
  <c r="D435" i="14"/>
  <c r="D427" i="14"/>
  <c r="D419" i="14"/>
  <c r="D411" i="14"/>
  <c r="D403" i="14"/>
  <c r="D395" i="14"/>
  <c r="D387" i="14"/>
  <c r="D379" i="14"/>
  <c r="D371" i="14"/>
  <c r="D363" i="14"/>
  <c r="D355" i="14"/>
  <c r="D347" i="14"/>
  <c r="D339" i="14"/>
  <c r="D331" i="14"/>
  <c r="D323" i="14"/>
  <c r="D315" i="14"/>
  <c r="D307" i="14"/>
  <c r="E2378" i="14"/>
  <c r="E2362" i="14"/>
  <c r="E2346" i="14"/>
  <c r="E2330" i="14"/>
  <c r="E2314" i="14"/>
  <c r="E2302" i="14"/>
  <c r="E2294" i="14"/>
  <c r="E2286" i="14"/>
  <c r="E2278" i="14"/>
  <c r="E2270" i="14"/>
  <c r="E2262" i="14"/>
  <c r="E2254" i="14"/>
  <c r="E2246" i="14"/>
  <c r="E2238" i="14"/>
  <c r="E2230" i="14"/>
  <c r="E2222" i="14"/>
  <c r="E2214" i="14"/>
  <c r="E2206" i="14"/>
  <c r="E2198" i="14"/>
  <c r="E2190" i="14"/>
  <c r="E2182" i="14"/>
  <c r="E2174" i="14"/>
  <c r="E2166" i="14"/>
  <c r="E2158" i="14"/>
  <c r="E2150" i="14"/>
  <c r="E2142" i="14"/>
  <c r="E2134" i="14"/>
  <c r="E2126" i="14"/>
  <c r="E2118" i="14"/>
  <c r="E2110" i="14"/>
  <c r="E2102" i="14"/>
  <c r="E2094" i="14"/>
  <c r="E2086" i="14"/>
  <c r="E2078" i="14"/>
  <c r="E2070" i="14"/>
  <c r="E2062" i="14"/>
  <c r="E2054" i="14"/>
  <c r="E2046" i="14"/>
  <c r="E2038" i="14"/>
  <c r="E2030" i="14"/>
  <c r="E2022" i="14"/>
  <c r="E2014" i="14"/>
  <c r="E2006" i="14"/>
  <c r="E1998" i="14"/>
  <c r="E1990" i="14"/>
  <c r="E1982" i="14"/>
  <c r="E1974" i="14"/>
  <c r="E1966" i="14"/>
  <c r="E1958" i="14"/>
  <c r="E1950" i="14"/>
  <c r="E1942" i="14"/>
  <c r="E1934" i="14"/>
  <c r="E1926" i="14"/>
  <c r="E1918" i="14"/>
  <c r="E1910" i="14"/>
  <c r="E1902" i="14"/>
  <c r="E1894" i="14"/>
  <c r="E1886" i="14"/>
  <c r="E1878" i="14"/>
  <c r="E1870" i="14"/>
  <c r="E1862" i="14"/>
  <c r="E1854" i="14"/>
  <c r="E1846" i="14"/>
  <c r="E1838" i="14"/>
  <c r="E1830" i="14"/>
  <c r="E1822" i="14"/>
  <c r="E1814" i="14"/>
  <c r="E1806" i="14"/>
  <c r="E1798" i="14"/>
  <c r="E1790" i="14"/>
  <c r="E1782" i="14"/>
  <c r="E1774" i="14"/>
  <c r="E1766" i="14"/>
  <c r="E1758" i="14"/>
  <c r="E1750" i="14"/>
  <c r="E1742" i="14"/>
  <c r="E1734" i="14"/>
  <c r="E1726" i="14"/>
  <c r="E1718" i="14"/>
  <c r="E1710" i="14"/>
  <c r="E1702" i="14"/>
  <c r="E1694" i="14"/>
  <c r="E1686" i="14"/>
  <c r="E1678" i="14"/>
  <c r="E1670" i="14"/>
  <c r="E1662" i="14"/>
  <c r="E1654" i="14"/>
  <c r="E1646" i="14"/>
  <c r="E1638" i="14"/>
  <c r="E1630" i="14"/>
  <c r="E1622" i="14"/>
  <c r="E1614" i="14"/>
  <c r="E1606" i="14"/>
  <c r="E1598" i="14"/>
  <c r="E1590" i="14"/>
  <c r="E1582" i="14"/>
  <c r="E1574" i="14"/>
  <c r="E1566" i="14"/>
  <c r="E1558" i="14"/>
  <c r="E1550" i="14"/>
  <c r="E1542" i="14"/>
  <c r="E1534" i="14"/>
  <c r="E1526" i="14"/>
  <c r="E1518" i="14"/>
  <c r="E1510" i="14"/>
  <c r="E1502" i="14"/>
  <c r="E1494" i="14"/>
  <c r="E1486" i="14"/>
  <c r="E1478" i="14"/>
  <c r="E1470" i="14"/>
  <c r="E1462" i="14"/>
  <c r="E1454" i="14"/>
  <c r="E1446" i="14"/>
  <c r="E1438" i="14"/>
  <c r="E1430" i="14"/>
  <c r="E1422" i="14"/>
  <c r="E1414" i="14"/>
  <c r="E1406" i="14"/>
  <c r="E1398" i="14"/>
  <c r="E1390" i="14"/>
  <c r="E1382" i="14"/>
  <c r="E1374" i="14"/>
  <c r="E1366" i="14"/>
  <c r="E1358" i="14"/>
  <c r="E1350" i="14"/>
  <c r="E1342" i="14"/>
  <c r="E1334" i="14"/>
  <c r="E1326" i="14"/>
  <c r="E1318" i="14"/>
  <c r="E1310" i="14"/>
  <c r="E1302" i="14"/>
  <c r="E1294" i="14"/>
  <c r="E1286" i="14"/>
  <c r="E1278" i="14"/>
  <c r="E1270" i="14"/>
  <c r="E1262" i="14"/>
  <c r="E1254" i="14"/>
  <c r="E1246" i="14"/>
  <c r="E1238" i="14"/>
  <c r="E1230" i="14"/>
  <c r="E1222" i="14"/>
  <c r="E1214" i="14"/>
  <c r="E1206" i="14"/>
  <c r="E1198" i="14"/>
  <c r="E1190" i="14"/>
  <c r="E1182" i="14"/>
  <c r="E1174" i="14"/>
  <c r="E1166" i="14"/>
  <c r="E1158" i="14"/>
  <c r="E1150" i="14"/>
  <c r="E1142" i="14"/>
  <c r="E1134" i="14"/>
  <c r="E1126" i="14"/>
  <c r="E1118" i="14"/>
  <c r="E1110" i="14"/>
  <c r="E1102" i="14"/>
  <c r="E1094" i="14"/>
  <c r="E1086" i="14"/>
  <c r="E1078" i="14"/>
  <c r="E1070" i="14"/>
  <c r="E1062" i="14"/>
  <c r="E1054" i="14"/>
  <c r="E1046" i="14"/>
  <c r="E1038" i="14"/>
  <c r="E1030" i="14"/>
  <c r="E1022" i="14"/>
  <c r="E1014" i="14"/>
  <c r="E1006" i="14"/>
  <c r="E998" i="14"/>
  <c r="E990" i="14"/>
  <c r="E982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4" i="14"/>
  <c r="E766" i="14"/>
  <c r="E758" i="14"/>
  <c r="E750" i="14"/>
  <c r="E742" i="14"/>
  <c r="E734" i="14"/>
  <c r="E726" i="14"/>
  <c r="E718" i="14"/>
  <c r="E710" i="14"/>
  <c r="E702" i="14"/>
  <c r="E694" i="14"/>
  <c r="E686" i="14"/>
  <c r="E678" i="14"/>
  <c r="E670" i="14"/>
  <c r="E662" i="14"/>
  <c r="E654" i="14"/>
  <c r="E646" i="14"/>
  <c r="E638" i="14"/>
  <c r="E630" i="14"/>
  <c r="E622" i="14"/>
  <c r="E614" i="14"/>
  <c r="E606" i="14"/>
  <c r="E598" i="14"/>
  <c r="E590" i="14"/>
  <c r="E582" i="14"/>
  <c r="E574" i="14"/>
  <c r="E566" i="14"/>
  <c r="E558" i="14"/>
  <c r="E550" i="14"/>
  <c r="E542" i="14"/>
  <c r="E534" i="14"/>
  <c r="E520" i="14"/>
  <c r="E504" i="14"/>
  <c r="E488" i="14"/>
  <c r="E472" i="14"/>
  <c r="E456" i="14"/>
  <c r="E440" i="14"/>
  <c r="E424" i="14"/>
  <c r="E408" i="14"/>
  <c r="E392" i="14"/>
  <c r="E376" i="14"/>
  <c r="E360" i="14"/>
  <c r="E344" i="14"/>
  <c r="E328" i="14"/>
  <c r="E312" i="14"/>
  <c r="D301" i="14"/>
  <c r="D293" i="14"/>
  <c r="D285" i="14"/>
  <c r="D277" i="14"/>
  <c r="D269" i="14"/>
  <c r="D261" i="14"/>
  <c r="D253" i="14"/>
  <c r="D245" i="14"/>
  <c r="D237" i="14"/>
  <c r="D229" i="14"/>
  <c r="D221" i="14"/>
  <c r="D213" i="14"/>
  <c r="D205" i="14"/>
  <c r="D197" i="14"/>
  <c r="D189" i="14"/>
  <c r="D181" i="14"/>
  <c r="D173" i="14"/>
  <c r="D165" i="14"/>
  <c r="D157" i="14"/>
  <c r="D149" i="14"/>
  <c r="D141" i="14"/>
  <c r="D133" i="14"/>
  <c r="D125" i="14"/>
  <c r="D117" i="14"/>
  <c r="D109" i="14"/>
  <c r="D101" i="14"/>
  <c r="D93" i="14"/>
  <c r="D85" i="14"/>
  <c r="D77" i="14"/>
  <c r="D69" i="14"/>
  <c r="D61" i="14"/>
  <c r="D53" i="14"/>
  <c r="D45" i="14"/>
  <c r="D37" i="14"/>
  <c r="D29" i="14"/>
  <c r="D21" i="14"/>
  <c r="D13" i="14"/>
  <c r="D5" i="14"/>
  <c r="D1046" i="13"/>
  <c r="D1038" i="13"/>
  <c r="D1030" i="13"/>
  <c r="D1022" i="13"/>
  <c r="D1014" i="13"/>
  <c r="D1006" i="13"/>
  <c r="D998" i="13"/>
  <c r="D990" i="13"/>
  <c r="D982" i="13"/>
  <c r="D974" i="13"/>
  <c r="D966" i="13"/>
  <c r="D958" i="13"/>
  <c r="D950" i="13"/>
  <c r="D942" i="13"/>
  <c r="D934" i="13"/>
  <c r="D926" i="13"/>
  <c r="D918" i="13"/>
  <c r="D910" i="13"/>
  <c r="D902" i="13"/>
  <c r="D894" i="13"/>
  <c r="D886" i="13"/>
  <c r="D878" i="13"/>
  <c r="D870" i="13"/>
  <c r="D862" i="13"/>
  <c r="D854" i="13"/>
  <c r="D846" i="13"/>
  <c r="D838" i="13"/>
  <c r="D830" i="13"/>
  <c r="D822" i="13"/>
  <c r="D814" i="13"/>
  <c r="D806" i="13"/>
  <c r="D798" i="13"/>
  <c r="D790" i="13"/>
  <c r="D782" i="13"/>
  <c r="D774" i="13"/>
  <c r="D766" i="13"/>
  <c r="D758" i="13"/>
  <c r="D750" i="13"/>
  <c r="D742" i="13"/>
  <c r="D734" i="13"/>
  <c r="D726" i="13"/>
  <c r="D718" i="13"/>
  <c r="D710" i="13"/>
  <c r="D702" i="13"/>
  <c r="D694" i="13"/>
  <c r="D686" i="13"/>
  <c r="D678" i="13"/>
  <c r="D670" i="13"/>
  <c r="D662" i="13"/>
  <c r="D654" i="13"/>
  <c r="D646" i="13"/>
  <c r="D638" i="13"/>
  <c r="D630" i="13"/>
  <c r="D622" i="13"/>
  <c r="D614" i="13"/>
  <c r="D606" i="13"/>
  <c r="D598" i="13"/>
  <c r="D590" i="13"/>
  <c r="D582" i="13"/>
  <c r="D574" i="13"/>
  <c r="D566" i="13"/>
  <c r="D558" i="13"/>
  <c r="D550" i="13"/>
  <c r="D542" i="13"/>
  <c r="D534" i="13"/>
  <c r="D526" i="13"/>
  <c r="D518" i="13"/>
  <c r="D510" i="13"/>
  <c r="D502" i="13"/>
  <c r="D494" i="13"/>
  <c r="D486" i="13"/>
  <c r="D478" i="13"/>
  <c r="D470" i="13"/>
  <c r="D462" i="13"/>
  <c r="D454" i="13"/>
  <c r="D446" i="13"/>
  <c r="D438" i="13"/>
  <c r="D430" i="13"/>
  <c r="D422" i="13"/>
  <c r="D414" i="13"/>
  <c r="D406" i="13"/>
  <c r="D398" i="13"/>
  <c r="D390" i="13"/>
  <c r="D382" i="13"/>
  <c r="D374" i="13"/>
  <c r="D366" i="13"/>
  <c r="D358" i="13"/>
  <c r="D350" i="13"/>
  <c r="D342" i="13"/>
  <c r="D334" i="13"/>
  <c r="D326" i="13"/>
  <c r="D318" i="13"/>
  <c r="D310" i="13"/>
  <c r="D302" i="13"/>
  <c r="D294" i="13"/>
  <c r="D286" i="13"/>
  <c r="D278" i="13"/>
  <c r="D270" i="13"/>
  <c r="D262" i="13"/>
  <c r="D254" i="13"/>
  <c r="D246" i="13"/>
  <c r="D238" i="13"/>
  <c r="D230" i="13"/>
  <c r="D222" i="13"/>
  <c r="D214" i="13"/>
  <c r="D206" i="13"/>
  <c r="D198" i="13"/>
  <c r="D190" i="13"/>
  <c r="D182" i="13"/>
  <c r="D174" i="13"/>
  <c r="D166" i="13"/>
  <c r="D158" i="13"/>
  <c r="D150" i="13"/>
  <c r="D142" i="13"/>
  <c r="D134" i="13"/>
  <c r="D126" i="13"/>
  <c r="D118" i="13"/>
  <c r="D110" i="13"/>
  <c r="D102" i="13"/>
  <c r="D94" i="13"/>
  <c r="D86" i="13"/>
  <c r="D78" i="13"/>
  <c r="D70" i="13"/>
  <c r="D62" i="13"/>
  <c r="D54" i="13"/>
  <c r="D46" i="13"/>
  <c r="D38" i="13"/>
  <c r="D30" i="13"/>
  <c r="D22" i="13"/>
  <c r="D14" i="13"/>
  <c r="D6" i="13"/>
  <c r="D612" i="12"/>
  <c r="D604" i="12"/>
  <c r="D596" i="12"/>
  <c r="D588" i="12"/>
  <c r="D580" i="12"/>
  <c r="D572" i="12"/>
  <c r="D564" i="12"/>
  <c r="D556" i="12"/>
  <c r="D548" i="12"/>
  <c r="D540" i="12"/>
  <c r="D532" i="12"/>
  <c r="D524" i="12"/>
  <c r="D516" i="12"/>
  <c r="D508" i="12"/>
  <c r="D500" i="12"/>
  <c r="D492" i="12"/>
  <c r="D484" i="12"/>
  <c r="D476" i="12"/>
  <c r="D468" i="12"/>
  <c r="D460" i="12"/>
  <c r="D452" i="12"/>
  <c r="D444" i="12"/>
  <c r="D436" i="12"/>
  <c r="D428" i="12"/>
  <c r="D420" i="12"/>
  <c r="D412" i="12"/>
  <c r="D404" i="12"/>
  <c r="D396" i="12"/>
  <c r="D388" i="12"/>
  <c r="D380" i="12"/>
  <c r="D372" i="12"/>
  <c r="D364" i="12"/>
  <c r="D356" i="12"/>
  <c r="D348" i="12"/>
  <c r="D340" i="12"/>
  <c r="D332" i="12"/>
  <c r="D324" i="12"/>
  <c r="D316" i="12"/>
  <c r="D308" i="12"/>
  <c r="D300" i="12"/>
  <c r="D292" i="12"/>
  <c r="D284" i="12"/>
  <c r="D276" i="12"/>
  <c r="D268" i="12"/>
  <c r="D260" i="12"/>
  <c r="D252" i="12"/>
  <c r="D244" i="12"/>
  <c r="D236" i="12"/>
  <c r="D228" i="12"/>
  <c r="D220" i="12"/>
  <c r="D212" i="12"/>
  <c r="D204" i="12"/>
  <c r="D196" i="12"/>
  <c r="D188" i="12"/>
  <c r="D180" i="12"/>
  <c r="D172" i="12"/>
  <c r="D164" i="12"/>
  <c r="D156" i="12"/>
  <c r="D148" i="12"/>
  <c r="D140" i="12"/>
  <c r="D132" i="12"/>
  <c r="D124" i="12"/>
  <c r="D116" i="12"/>
  <c r="D108" i="12"/>
  <c r="D100" i="12"/>
  <c r="D92" i="12"/>
  <c r="D84" i="12"/>
  <c r="D76" i="12"/>
  <c r="D68" i="12"/>
  <c r="D60" i="12"/>
  <c r="D52" i="12"/>
  <c r="D44" i="12"/>
  <c r="D36" i="12"/>
  <c r="E511" i="14"/>
  <c r="E495" i="14"/>
  <c r="E479" i="14"/>
  <c r="E463" i="14"/>
  <c r="E447" i="14"/>
  <c r="E431" i="14"/>
  <c r="E415" i="14"/>
  <c r="E399" i="14"/>
  <c r="E383" i="14"/>
  <c r="E367" i="14"/>
  <c r="E351" i="14"/>
  <c r="E335" i="14"/>
  <c r="E319" i="14"/>
  <c r="E304" i="14"/>
  <c r="E296" i="14"/>
  <c r="E288" i="14"/>
  <c r="E280" i="14"/>
  <c r="E272" i="14"/>
  <c r="E264" i="14"/>
  <c r="E256" i="14"/>
  <c r="E248" i="14"/>
  <c r="E240" i="14"/>
  <c r="E232" i="14"/>
  <c r="E224" i="14"/>
  <c r="E216" i="14"/>
  <c r="E208" i="14"/>
  <c r="E200" i="14"/>
  <c r="E192" i="14"/>
  <c r="E184" i="14"/>
  <c r="E176" i="14"/>
  <c r="E168" i="14"/>
  <c r="E160" i="14"/>
  <c r="E152" i="14"/>
  <c r="E144" i="14"/>
  <c r="E136" i="14"/>
  <c r="E128" i="14"/>
  <c r="E120" i="14"/>
  <c r="E112" i="14"/>
  <c r="E104" i="14"/>
  <c r="E96" i="14"/>
  <c r="E88" i="14"/>
  <c r="E80" i="14"/>
  <c r="E72" i="14"/>
  <c r="E64" i="14"/>
  <c r="E56" i="14"/>
  <c r="E48" i="14"/>
  <c r="E40" i="14"/>
  <c r="E32" i="14"/>
  <c r="E24" i="14"/>
  <c r="E16" i="14"/>
  <c r="E8" i="14"/>
  <c r="E1049" i="13"/>
  <c r="E1041" i="13"/>
  <c r="E1033" i="13"/>
  <c r="E1025" i="13"/>
  <c r="E1017" i="13"/>
  <c r="E1009" i="13"/>
  <c r="E1001" i="13"/>
  <c r="E993" i="13"/>
  <c r="E985" i="13"/>
  <c r="E977" i="13"/>
  <c r="E969" i="13"/>
  <c r="E961" i="13"/>
  <c r="E953" i="13"/>
  <c r="E945" i="13"/>
  <c r="E937" i="13"/>
  <c r="E929" i="13"/>
  <c r="E921" i="13"/>
  <c r="E913" i="13"/>
  <c r="E905" i="13"/>
  <c r="E897" i="13"/>
  <c r="E889" i="13"/>
  <c r="E881" i="13"/>
  <c r="E873" i="13"/>
  <c r="E865" i="13"/>
  <c r="E857" i="13"/>
  <c r="E849" i="13"/>
  <c r="E841" i="13"/>
  <c r="E833" i="13"/>
  <c r="E825" i="13"/>
  <c r="E817" i="13"/>
  <c r="E809" i="13"/>
  <c r="E801" i="13"/>
  <c r="E793" i="13"/>
  <c r="E785" i="13"/>
  <c r="E777" i="13"/>
  <c r="E769" i="13"/>
  <c r="E761" i="13"/>
  <c r="E753" i="13"/>
  <c r="E745" i="13"/>
  <c r="E737" i="13"/>
  <c r="E729" i="13"/>
  <c r="E721" i="13"/>
  <c r="E713" i="13"/>
  <c r="E705" i="13"/>
  <c r="E697" i="13"/>
  <c r="E689" i="13"/>
  <c r="E681" i="13"/>
  <c r="E673" i="13"/>
  <c r="E665" i="13"/>
  <c r="E657" i="13"/>
  <c r="E649" i="13"/>
  <c r="E641" i="13"/>
  <c r="E633" i="13"/>
  <c r="E625" i="13"/>
  <c r="E617" i="13"/>
  <c r="E609" i="13"/>
  <c r="E601" i="13"/>
  <c r="E593" i="13"/>
  <c r="E585" i="13"/>
  <c r="D702" i="14"/>
  <c r="D670" i="14"/>
  <c r="D638" i="14"/>
  <c r="D606" i="14"/>
  <c r="D574" i="14"/>
  <c r="D542" i="14"/>
  <c r="D510" i="14"/>
  <c r="D478" i="14"/>
  <c r="D446" i="14"/>
  <c r="D414" i="14"/>
  <c r="D382" i="14"/>
  <c r="D350" i="14"/>
  <c r="D318" i="14"/>
  <c r="E2356" i="14"/>
  <c r="E2299" i="14"/>
  <c r="E2267" i="14"/>
  <c r="E2235" i="14"/>
  <c r="E2205" i="14"/>
  <c r="E2189" i="14"/>
  <c r="E2173" i="14"/>
  <c r="E2157" i="14"/>
  <c r="E2141" i="14"/>
  <c r="E2125" i="14"/>
  <c r="E2109" i="14"/>
  <c r="E2093" i="14"/>
  <c r="E2077" i="14"/>
  <c r="E2061" i="14"/>
  <c r="E2045" i="14"/>
  <c r="E2029" i="14"/>
  <c r="E2013" i="14"/>
  <c r="E1997" i="14"/>
  <c r="E1981" i="14"/>
  <c r="E1965" i="14"/>
  <c r="E1949" i="14"/>
  <c r="E1933" i="14"/>
  <c r="E1917" i="14"/>
  <c r="E1901" i="14"/>
  <c r="E1885" i="14"/>
  <c r="E1869" i="14"/>
  <c r="E1853" i="14"/>
  <c r="E1837" i="14"/>
  <c r="E1821" i="14"/>
  <c r="E1805" i="14"/>
  <c r="E1789" i="14"/>
  <c r="E1773" i="14"/>
  <c r="E1757" i="14"/>
  <c r="E1741" i="14"/>
  <c r="E1725" i="14"/>
  <c r="E1709" i="14"/>
  <c r="E1693" i="14"/>
  <c r="E1677" i="14"/>
  <c r="E1661" i="14"/>
  <c r="E1645" i="14"/>
  <c r="E1629" i="14"/>
  <c r="E1613" i="14"/>
  <c r="E1597" i="14"/>
  <c r="E1581" i="14"/>
  <c r="E1565" i="14"/>
  <c r="E1549" i="14"/>
  <c r="E1533" i="14"/>
  <c r="E1517" i="14"/>
  <c r="E1501" i="14"/>
  <c r="E1485" i="14"/>
  <c r="E1469" i="14"/>
  <c r="E1453" i="14"/>
  <c r="E1437" i="14"/>
  <c r="E1421" i="14"/>
  <c r="E1405" i="14"/>
  <c r="E1389" i="14"/>
  <c r="E1373" i="14"/>
  <c r="E1357" i="14"/>
  <c r="E1341" i="14"/>
  <c r="E1331" i="14"/>
  <c r="E1323" i="14"/>
  <c r="E1315" i="14"/>
  <c r="E1307" i="14"/>
  <c r="E1299" i="14"/>
  <c r="E1291" i="14"/>
  <c r="E1283" i="14"/>
  <c r="E1275" i="14"/>
  <c r="E1267" i="14"/>
  <c r="E1259" i="14"/>
  <c r="E1251" i="14"/>
  <c r="E1243" i="14"/>
  <c r="E1235" i="14"/>
  <c r="E1227" i="14"/>
  <c r="E1219" i="14"/>
  <c r="E1211" i="14"/>
  <c r="E1203" i="14"/>
  <c r="E1195" i="14"/>
  <c r="E1187" i="14"/>
  <c r="E1179" i="14"/>
  <c r="E1171" i="14"/>
  <c r="E1163" i="14"/>
  <c r="E1155" i="14"/>
  <c r="E1147" i="14"/>
  <c r="E1139" i="14"/>
  <c r="E1131" i="14"/>
  <c r="E1123" i="14"/>
  <c r="E1115" i="14"/>
  <c r="E1107" i="14"/>
  <c r="E1099" i="14"/>
  <c r="E1091" i="14"/>
  <c r="E1083" i="14"/>
  <c r="E1075" i="14"/>
  <c r="E1067" i="14"/>
  <c r="E1059" i="14"/>
  <c r="E1051" i="14"/>
  <c r="E1043" i="14"/>
  <c r="E1035" i="14"/>
  <c r="E1027" i="14"/>
  <c r="E1019" i="14"/>
  <c r="E1011" i="14"/>
  <c r="E1003" i="14"/>
  <c r="E995" i="14"/>
  <c r="E987" i="14"/>
  <c r="E979" i="14"/>
  <c r="E971" i="14"/>
  <c r="E963" i="14"/>
  <c r="E955" i="14"/>
  <c r="E947" i="14"/>
  <c r="E939" i="14"/>
  <c r="E931" i="14"/>
  <c r="E923" i="14"/>
  <c r="E915" i="14"/>
  <c r="E907" i="14"/>
  <c r="E899" i="14"/>
  <c r="E891" i="14"/>
  <c r="E883" i="14"/>
  <c r="E875" i="14"/>
  <c r="E867" i="14"/>
  <c r="E859" i="14"/>
  <c r="E851" i="14"/>
  <c r="E843" i="14"/>
  <c r="E835" i="14"/>
  <c r="E827" i="14"/>
  <c r="E819" i="14"/>
  <c r="E811" i="14"/>
  <c r="E803" i="14"/>
  <c r="E795" i="14"/>
  <c r="E787" i="14"/>
  <c r="E779" i="14"/>
  <c r="E771" i="14"/>
  <c r="E763" i="14"/>
  <c r="E755" i="14"/>
  <c r="E747" i="14"/>
  <c r="E739" i="14"/>
  <c r="E731" i="14"/>
  <c r="E723" i="14"/>
  <c r="E715" i="14"/>
  <c r="E707" i="14"/>
  <c r="E699" i="14"/>
  <c r="E691" i="14"/>
  <c r="E683" i="14"/>
  <c r="E675" i="14"/>
  <c r="E667" i="14"/>
  <c r="E659" i="14"/>
  <c r="E651" i="14"/>
  <c r="E643" i="14"/>
  <c r="E635" i="14"/>
  <c r="E627" i="14"/>
  <c r="E619" i="14"/>
  <c r="E611" i="14"/>
  <c r="E603" i="14"/>
  <c r="E595" i="14"/>
  <c r="E587" i="14"/>
  <c r="E579" i="14"/>
  <c r="E571" i="14"/>
  <c r="E563" i="14"/>
  <c r="E555" i="14"/>
  <c r="E547" i="14"/>
  <c r="E539" i="14"/>
  <c r="E531" i="14"/>
  <c r="E523" i="14"/>
  <c r="E2383" i="14"/>
  <c r="E2367" i="14"/>
  <c r="E2351" i="14"/>
  <c r="E2335" i="14"/>
  <c r="E2319" i="14"/>
  <c r="D2305" i="14"/>
  <c r="D2297" i="14"/>
  <c r="D2289" i="14"/>
  <c r="D2281" i="14"/>
  <c r="D2273" i="14"/>
  <c r="D2265" i="14"/>
  <c r="D2257" i="14"/>
  <c r="D2249" i="14"/>
  <c r="D2241" i="14"/>
  <c r="D2233" i="14"/>
  <c r="D2225" i="14"/>
  <c r="D2217" i="14"/>
  <c r="D2209" i="14"/>
  <c r="D2201" i="14"/>
  <c r="D2193" i="14"/>
  <c r="D2185" i="14"/>
  <c r="D2177" i="14"/>
  <c r="D2169" i="14"/>
  <c r="D2161" i="14"/>
  <c r="D2153" i="14"/>
  <c r="D2145" i="14"/>
  <c r="D2137" i="14"/>
  <c r="D2129" i="14"/>
  <c r="D2121" i="14"/>
  <c r="D2113" i="14"/>
  <c r="D2105" i="14"/>
  <c r="D2097" i="14"/>
  <c r="D2089" i="14"/>
  <c r="D2081" i="14"/>
  <c r="D2073" i="14"/>
  <c r="D2065" i="14"/>
  <c r="D2057" i="14"/>
  <c r="D2049" i="14"/>
  <c r="D2041" i="14"/>
  <c r="D2033" i="14"/>
  <c r="D2025" i="14"/>
  <c r="D2017" i="14"/>
  <c r="D2009" i="14"/>
  <c r="D2001" i="14"/>
  <c r="D1993" i="14"/>
  <c r="D1985" i="14"/>
  <c r="D1977" i="14"/>
  <c r="D1969" i="14"/>
  <c r="D1961" i="14"/>
  <c r="D1953" i="14"/>
  <c r="D1945" i="14"/>
  <c r="D1937" i="14"/>
  <c r="D1929" i="14"/>
  <c r="D1921" i="14"/>
  <c r="D1913" i="14"/>
  <c r="D1905" i="14"/>
  <c r="D1897" i="14"/>
  <c r="D1889" i="14"/>
  <c r="D1881" i="14"/>
  <c r="D1873" i="14"/>
  <c r="D1865" i="14"/>
  <c r="D1857" i="14"/>
  <c r="D1849" i="14"/>
  <c r="D1841" i="14"/>
  <c r="D1833" i="14"/>
  <c r="D1825" i="14"/>
  <c r="D1817" i="14"/>
  <c r="D1809" i="14"/>
  <c r="D1801" i="14"/>
  <c r="D1793" i="14"/>
  <c r="D1785" i="14"/>
  <c r="D1777" i="14"/>
  <c r="D1769" i="14"/>
  <c r="D1761" i="14"/>
  <c r="D1753" i="14"/>
  <c r="D1745" i="14"/>
  <c r="D1737" i="14"/>
  <c r="D1729" i="14"/>
  <c r="D1721" i="14"/>
  <c r="D1713" i="14"/>
  <c r="D1705" i="14"/>
  <c r="D1697" i="14"/>
  <c r="D1689" i="14"/>
  <c r="D1681" i="14"/>
  <c r="D1673" i="14"/>
  <c r="D1665" i="14"/>
  <c r="D1657" i="14"/>
  <c r="D1649" i="14"/>
  <c r="D1641" i="14"/>
  <c r="D1633" i="14"/>
  <c r="D1625" i="14"/>
  <c r="D1617" i="14"/>
  <c r="D1609" i="14"/>
  <c r="D1601" i="14"/>
  <c r="D1593" i="14"/>
  <c r="D1585" i="14"/>
  <c r="D1577" i="14"/>
  <c r="D1569" i="14"/>
  <c r="D1561" i="14"/>
  <c r="D1553" i="14"/>
  <c r="D1545" i="14"/>
  <c r="D1537" i="14"/>
  <c r="D1529" i="14"/>
  <c r="D1521" i="14"/>
  <c r="D1513" i="14"/>
  <c r="D1505" i="14"/>
  <c r="D1497" i="14"/>
  <c r="D1489" i="14"/>
  <c r="D1481" i="14"/>
  <c r="D1473" i="14"/>
  <c r="D1465" i="14"/>
  <c r="D1457" i="14"/>
  <c r="D1449" i="14"/>
  <c r="D1441" i="14"/>
  <c r="D1433" i="14"/>
  <c r="D1425" i="14"/>
  <c r="D1417" i="14"/>
  <c r="D1409" i="14"/>
  <c r="D1401" i="14"/>
  <c r="D1393" i="14"/>
  <c r="D1385" i="14"/>
  <c r="D1377" i="14"/>
  <c r="D1369" i="14"/>
  <c r="D1361" i="14"/>
  <c r="D1353" i="14"/>
  <c r="D1345" i="14"/>
  <c r="D1337" i="14"/>
  <c r="D1329" i="14"/>
  <c r="D1321" i="14"/>
  <c r="D1313" i="14"/>
  <c r="D1305" i="14"/>
  <c r="D1297" i="14"/>
  <c r="D1289" i="14"/>
  <c r="D1281" i="14"/>
  <c r="D1273" i="14"/>
  <c r="D1265" i="14"/>
  <c r="D1257" i="14"/>
  <c r="D1249" i="14"/>
  <c r="D1241" i="14"/>
  <c r="D1233" i="14"/>
  <c r="D1225" i="14"/>
  <c r="D1217" i="14"/>
  <c r="D1209" i="14"/>
  <c r="D1201" i="14"/>
  <c r="D1193" i="14"/>
  <c r="D1185" i="14"/>
  <c r="D1177" i="14"/>
  <c r="D1169" i="14"/>
  <c r="D1161" i="14"/>
  <c r="D1153" i="14"/>
  <c r="D1145" i="14"/>
  <c r="D1137" i="14"/>
  <c r="D1129" i="14"/>
  <c r="D1121" i="14"/>
  <c r="D1113" i="14"/>
  <c r="D1105" i="14"/>
  <c r="D1097" i="14"/>
  <c r="D1089" i="14"/>
  <c r="D1081" i="14"/>
  <c r="D1073" i="14"/>
  <c r="D1065" i="14"/>
  <c r="D1057" i="14"/>
  <c r="D1049" i="14"/>
  <c r="D1041" i="14"/>
  <c r="D1033" i="14"/>
  <c r="D1025" i="14"/>
  <c r="D1017" i="14"/>
  <c r="D1009" i="14"/>
  <c r="D1001" i="14"/>
  <c r="D993" i="14"/>
  <c r="D985" i="14"/>
  <c r="D977" i="14"/>
  <c r="D969" i="14"/>
  <c r="D961" i="14"/>
  <c r="D953" i="14"/>
  <c r="D945" i="14"/>
  <c r="D937" i="14"/>
  <c r="D929" i="14"/>
  <c r="D921" i="14"/>
  <c r="D913" i="14"/>
  <c r="D905" i="14"/>
  <c r="D897" i="14"/>
  <c r="D889" i="14"/>
  <c r="D881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9" i="14"/>
  <c r="D761" i="14"/>
  <c r="D753" i="14"/>
  <c r="D745" i="14"/>
  <c r="D737" i="14"/>
  <c r="D729" i="14"/>
  <c r="D721" i="14"/>
  <c r="D713" i="14"/>
  <c r="D705" i="14"/>
  <c r="D697" i="14"/>
  <c r="D689" i="14"/>
  <c r="D681" i="14"/>
  <c r="D673" i="14"/>
  <c r="D665" i="14"/>
  <c r="D657" i="14"/>
  <c r="D649" i="14"/>
  <c r="D641" i="14"/>
  <c r="D633" i="14"/>
  <c r="D625" i="14"/>
  <c r="D617" i="14"/>
  <c r="D609" i="14"/>
  <c r="D601" i="14"/>
  <c r="D593" i="14"/>
  <c r="D585" i="14"/>
  <c r="D577" i="14"/>
  <c r="D569" i="14"/>
  <c r="D561" i="14"/>
  <c r="D553" i="14"/>
  <c r="D545" i="14"/>
  <c r="D537" i="14"/>
  <c r="D529" i="14"/>
  <c r="D521" i="14"/>
  <c r="D513" i="14"/>
  <c r="D505" i="14"/>
  <c r="D497" i="14"/>
  <c r="D489" i="14"/>
  <c r="D481" i="14"/>
  <c r="D473" i="14"/>
  <c r="D465" i="14"/>
  <c r="D457" i="14"/>
  <c r="D449" i="14"/>
  <c r="D441" i="14"/>
  <c r="D433" i="14"/>
  <c r="D425" i="14"/>
  <c r="D417" i="14"/>
  <c r="D409" i="14"/>
  <c r="D401" i="14"/>
  <c r="D393" i="14"/>
  <c r="D385" i="14"/>
  <c r="D377" i="14"/>
  <c r="D369" i="14"/>
  <c r="D361" i="14"/>
  <c r="D353" i="14"/>
  <c r="D345" i="14"/>
  <c r="D337" i="14"/>
  <c r="D329" i="14"/>
  <c r="D321" i="14"/>
  <c r="D313" i="14"/>
  <c r="E13" i="15"/>
  <c r="E2374" i="14"/>
  <c r="E2358" i="14"/>
  <c r="E2342" i="14"/>
  <c r="E2326" i="14"/>
  <c r="E2310" i="14"/>
  <c r="E2300" i="14"/>
  <c r="E2292" i="14"/>
  <c r="E2284" i="14"/>
  <c r="E2276" i="14"/>
  <c r="E2268" i="14"/>
  <c r="E2260" i="14"/>
  <c r="E2252" i="14"/>
  <c r="E2244" i="14"/>
  <c r="E2236" i="14"/>
  <c r="E2228" i="14"/>
  <c r="E2220" i="14"/>
  <c r="E2212" i="14"/>
  <c r="E2204" i="14"/>
  <c r="E2196" i="14"/>
  <c r="E2188" i="14"/>
  <c r="E2180" i="14"/>
  <c r="E2172" i="14"/>
  <c r="E2164" i="14"/>
  <c r="E2156" i="14"/>
  <c r="E2148" i="14"/>
  <c r="E2140" i="14"/>
  <c r="E2132" i="14"/>
  <c r="E2124" i="14"/>
  <c r="E2116" i="14"/>
  <c r="E2108" i="14"/>
  <c r="E2100" i="14"/>
  <c r="E2092" i="14"/>
  <c r="E2084" i="14"/>
  <c r="E2076" i="14"/>
  <c r="E2068" i="14"/>
  <c r="E2060" i="14"/>
  <c r="E2052" i="14"/>
  <c r="E2044" i="14"/>
  <c r="E2036" i="14"/>
  <c r="E2028" i="14"/>
  <c r="E2020" i="14"/>
  <c r="E2012" i="14"/>
  <c r="E2004" i="14"/>
  <c r="E1996" i="14"/>
  <c r="E1988" i="14"/>
  <c r="E1980" i="14"/>
  <c r="E1972" i="14"/>
  <c r="E1964" i="14"/>
  <c r="E1956" i="14"/>
  <c r="E1948" i="14"/>
  <c r="E1940" i="14"/>
  <c r="E1932" i="14"/>
  <c r="E1924" i="14"/>
  <c r="E1916" i="14"/>
  <c r="E1908" i="14"/>
  <c r="E1900" i="14"/>
  <c r="E1892" i="14"/>
  <c r="E1884" i="14"/>
  <c r="E1876" i="14"/>
  <c r="E1868" i="14"/>
  <c r="E1860" i="14"/>
  <c r="E1852" i="14"/>
  <c r="E1844" i="14"/>
  <c r="E1836" i="14"/>
  <c r="E1828" i="14"/>
  <c r="E1820" i="14"/>
  <c r="E1812" i="14"/>
  <c r="E1804" i="14"/>
  <c r="E1796" i="14"/>
  <c r="E1788" i="14"/>
  <c r="E1780" i="14"/>
  <c r="E1772" i="14"/>
  <c r="E1764" i="14"/>
  <c r="E1756" i="14"/>
  <c r="E1748" i="14"/>
  <c r="E1740" i="14"/>
  <c r="E1732" i="14"/>
  <c r="E1724" i="14"/>
  <c r="E1716" i="14"/>
  <c r="E1708" i="14"/>
  <c r="E1700" i="14"/>
  <c r="E1692" i="14"/>
  <c r="E1684" i="14"/>
  <c r="E1676" i="14"/>
  <c r="E1668" i="14"/>
  <c r="E1660" i="14"/>
  <c r="E1652" i="14"/>
  <c r="E1644" i="14"/>
  <c r="E1636" i="14"/>
  <c r="E1628" i="14"/>
  <c r="E1620" i="14"/>
  <c r="E1612" i="14"/>
  <c r="E1604" i="14"/>
  <c r="E1596" i="14"/>
  <c r="E1588" i="14"/>
  <c r="E1580" i="14"/>
  <c r="E1572" i="14"/>
  <c r="E1564" i="14"/>
  <c r="E1556" i="14"/>
  <c r="E1548" i="14"/>
  <c r="E1540" i="14"/>
  <c r="E1532" i="14"/>
  <c r="E1524" i="14"/>
  <c r="E1516" i="14"/>
  <c r="E1508" i="14"/>
  <c r="E1500" i="14"/>
  <c r="E1492" i="14"/>
  <c r="E1484" i="14"/>
  <c r="E1476" i="14"/>
  <c r="E1468" i="14"/>
  <c r="E1460" i="14"/>
  <c r="E1452" i="14"/>
  <c r="E1444" i="14"/>
  <c r="E1436" i="14"/>
  <c r="E1428" i="14"/>
  <c r="E1420" i="14"/>
  <c r="E1412" i="14"/>
  <c r="E1404" i="14"/>
  <c r="E1396" i="14"/>
  <c r="E1388" i="14"/>
  <c r="E1380" i="14"/>
  <c r="E1372" i="14"/>
  <c r="E1364" i="14"/>
  <c r="E1356" i="14"/>
  <c r="E1348" i="14"/>
  <c r="E1340" i="14"/>
  <c r="E1332" i="14"/>
  <c r="E1324" i="14"/>
  <c r="E1316" i="14"/>
  <c r="E1308" i="14"/>
  <c r="E1300" i="14"/>
  <c r="E1292" i="14"/>
  <c r="E1284" i="14"/>
  <c r="E1276" i="14"/>
  <c r="E1268" i="14"/>
  <c r="E1260" i="14"/>
  <c r="E1252" i="14"/>
  <c r="E1244" i="14"/>
  <c r="E1236" i="14"/>
  <c r="E1228" i="14"/>
  <c r="E1220" i="14"/>
  <c r="E1212" i="14"/>
  <c r="E1204" i="14"/>
  <c r="E1196" i="14"/>
  <c r="E1188" i="14"/>
  <c r="E1180" i="14"/>
  <c r="E1172" i="14"/>
  <c r="E1164" i="14"/>
  <c r="E1156" i="14"/>
  <c r="E1148" i="14"/>
  <c r="E1140" i="14"/>
  <c r="E1132" i="14"/>
  <c r="E1124" i="14"/>
  <c r="E1116" i="14"/>
  <c r="E1108" i="14"/>
  <c r="E1100" i="14"/>
  <c r="E1092" i="14"/>
  <c r="E1084" i="14"/>
  <c r="E1076" i="14"/>
  <c r="E1068" i="14"/>
  <c r="E1060" i="14"/>
  <c r="E1052" i="14"/>
  <c r="E1044" i="14"/>
  <c r="E1036" i="14"/>
  <c r="E1028" i="14"/>
  <c r="E1020" i="14"/>
  <c r="E1012" i="14"/>
  <c r="E1004" i="14"/>
  <c r="E996" i="14"/>
  <c r="E988" i="14"/>
  <c r="E980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68" i="14"/>
  <c r="E660" i="14"/>
  <c r="E652" i="14"/>
  <c r="E644" i="14"/>
  <c r="E636" i="14"/>
  <c r="E628" i="14"/>
  <c r="E620" i="14"/>
  <c r="E612" i="14"/>
  <c r="E604" i="14"/>
  <c r="E596" i="14"/>
  <c r="E588" i="14"/>
  <c r="E580" i="14"/>
  <c r="E572" i="14"/>
  <c r="E564" i="14"/>
  <c r="E556" i="14"/>
  <c r="E548" i="14"/>
  <c r="E540" i="14"/>
  <c r="E532" i="14"/>
  <c r="E516" i="14"/>
  <c r="E500" i="14"/>
  <c r="E484" i="14"/>
  <c r="E468" i="14"/>
  <c r="E452" i="14"/>
  <c r="E436" i="14"/>
  <c r="E420" i="14"/>
  <c r="E404" i="14"/>
  <c r="E388" i="14"/>
  <c r="E372" i="14"/>
  <c r="E356" i="14"/>
  <c r="E340" i="14"/>
  <c r="E324" i="14"/>
  <c r="E308" i="14"/>
  <c r="D299" i="14"/>
  <c r="D291" i="14"/>
  <c r="D283" i="14"/>
  <c r="D275" i="14"/>
  <c r="D267" i="14"/>
  <c r="D259" i="14"/>
  <c r="D251" i="14"/>
  <c r="D243" i="14"/>
  <c r="D235" i="14"/>
  <c r="D227" i="14"/>
  <c r="D219" i="14"/>
  <c r="D211" i="14"/>
  <c r="D203" i="14"/>
  <c r="D195" i="14"/>
  <c r="D187" i="14"/>
  <c r="D179" i="14"/>
  <c r="D171" i="14"/>
  <c r="D163" i="14"/>
  <c r="D155" i="14"/>
  <c r="D147" i="14"/>
  <c r="D139" i="14"/>
  <c r="D131" i="14"/>
  <c r="D123" i="14"/>
  <c r="D115" i="14"/>
  <c r="D107" i="14"/>
  <c r="D99" i="14"/>
  <c r="D91" i="14"/>
  <c r="D83" i="14"/>
  <c r="D75" i="14"/>
  <c r="D67" i="14"/>
  <c r="D59" i="14"/>
  <c r="D51" i="14"/>
  <c r="D43" i="14"/>
  <c r="D35" i="14"/>
  <c r="D27" i="14"/>
  <c r="D19" i="14"/>
  <c r="D11" i="14"/>
  <c r="D3" i="14"/>
  <c r="D1044" i="13"/>
  <c r="D1036" i="13"/>
  <c r="D1028" i="13"/>
  <c r="D1020" i="13"/>
  <c r="D1012" i="13"/>
  <c r="D1004" i="13"/>
  <c r="D996" i="13"/>
  <c r="D988" i="13"/>
  <c r="D980" i="13"/>
  <c r="D972" i="13"/>
  <c r="D964" i="13"/>
  <c r="D956" i="13"/>
  <c r="D948" i="13"/>
  <c r="D940" i="13"/>
  <c r="D932" i="13"/>
  <c r="D924" i="13"/>
  <c r="D916" i="13"/>
  <c r="D908" i="13"/>
  <c r="D900" i="13"/>
  <c r="D892" i="13"/>
  <c r="D884" i="13"/>
  <c r="D876" i="13"/>
  <c r="D868" i="13"/>
  <c r="D860" i="13"/>
  <c r="D852" i="13"/>
  <c r="D844" i="13"/>
  <c r="D836" i="13"/>
  <c r="D828" i="13"/>
  <c r="D820" i="13"/>
  <c r="D812" i="13"/>
  <c r="D804" i="13"/>
  <c r="D796" i="13"/>
  <c r="D788" i="13"/>
  <c r="D780" i="13"/>
  <c r="D772" i="13"/>
  <c r="D764" i="13"/>
  <c r="D756" i="13"/>
  <c r="D748" i="13"/>
  <c r="D740" i="13"/>
  <c r="D732" i="13"/>
  <c r="D724" i="13"/>
  <c r="D716" i="13"/>
  <c r="D708" i="13"/>
  <c r="D700" i="13"/>
  <c r="D692" i="13"/>
  <c r="D684" i="13"/>
  <c r="D676" i="13"/>
  <c r="D668" i="13"/>
  <c r="D660" i="13"/>
  <c r="D652" i="13"/>
  <c r="D644" i="13"/>
  <c r="D636" i="13"/>
  <c r="D628" i="13"/>
  <c r="D620" i="13"/>
  <c r="D612" i="13"/>
  <c r="D604" i="13"/>
  <c r="D596" i="13"/>
  <c r="D588" i="13"/>
  <c r="D580" i="13"/>
  <c r="D572" i="13"/>
  <c r="D564" i="13"/>
  <c r="D556" i="13"/>
  <c r="D548" i="13"/>
  <c r="D540" i="13"/>
  <c r="D532" i="13"/>
  <c r="D524" i="13"/>
  <c r="D516" i="13"/>
  <c r="D508" i="13"/>
  <c r="D500" i="13"/>
  <c r="D492" i="13"/>
  <c r="D484" i="13"/>
  <c r="D476" i="13"/>
  <c r="D468" i="13"/>
  <c r="D460" i="13"/>
  <c r="D452" i="13"/>
  <c r="D444" i="13"/>
  <c r="D436" i="13"/>
  <c r="D428" i="13"/>
  <c r="D420" i="13"/>
  <c r="D412" i="13"/>
  <c r="D404" i="13"/>
  <c r="D396" i="13"/>
  <c r="D388" i="13"/>
  <c r="D380" i="13"/>
  <c r="D372" i="13"/>
  <c r="D364" i="13"/>
  <c r="D356" i="13"/>
  <c r="D348" i="13"/>
  <c r="D340" i="13"/>
  <c r="D332" i="13"/>
  <c r="D324" i="13"/>
  <c r="D316" i="13"/>
  <c r="D308" i="13"/>
  <c r="D300" i="13"/>
  <c r="D292" i="13"/>
  <c r="D284" i="13"/>
  <c r="D276" i="13"/>
  <c r="D268" i="13"/>
  <c r="D260" i="13"/>
  <c r="D252" i="13"/>
  <c r="D244" i="13"/>
  <c r="D236" i="13"/>
  <c r="D228" i="13"/>
  <c r="D220" i="13"/>
  <c r="D212" i="13"/>
  <c r="D204" i="13"/>
  <c r="D196" i="13"/>
  <c r="D188" i="13"/>
  <c r="D180" i="13"/>
  <c r="D172" i="13"/>
  <c r="D164" i="13"/>
  <c r="D156" i="13"/>
  <c r="D148" i="13"/>
  <c r="D140" i="13"/>
  <c r="D132" i="13"/>
  <c r="D124" i="13"/>
  <c r="D116" i="13"/>
  <c r="D108" i="13"/>
  <c r="D100" i="13"/>
  <c r="D92" i="13"/>
  <c r="D84" i="13"/>
  <c r="D76" i="13"/>
  <c r="D68" i="13"/>
  <c r="D60" i="13"/>
  <c r="D52" i="13"/>
  <c r="D44" i="13"/>
  <c r="D36" i="13"/>
  <c r="D28" i="13"/>
  <c r="D20" i="13"/>
  <c r="D12" i="13"/>
  <c r="D4" i="13"/>
  <c r="D610" i="12"/>
  <c r="D602" i="12"/>
  <c r="D594" i="12"/>
  <c r="D586" i="12"/>
  <c r="D578" i="12"/>
  <c r="D570" i="12"/>
  <c r="D562" i="12"/>
  <c r="D554" i="12"/>
  <c r="D546" i="12"/>
  <c r="D538" i="12"/>
  <c r="D530" i="12"/>
  <c r="D522" i="12"/>
  <c r="D514" i="12"/>
  <c r="D506" i="12"/>
  <c r="D498" i="12"/>
  <c r="D490" i="12"/>
  <c r="D482" i="12"/>
  <c r="D474" i="12"/>
  <c r="D466" i="12"/>
  <c r="D458" i="12"/>
  <c r="D450" i="12"/>
  <c r="D442" i="12"/>
  <c r="D434" i="12"/>
  <c r="D426" i="12"/>
  <c r="D418" i="12"/>
  <c r="D410" i="12"/>
  <c r="D402" i="12"/>
  <c r="D394" i="12"/>
  <c r="D386" i="12"/>
  <c r="D378" i="12"/>
  <c r="D370" i="12"/>
  <c r="D362" i="12"/>
  <c r="D354" i="12"/>
  <c r="D346" i="12"/>
  <c r="D338" i="12"/>
  <c r="D330" i="12"/>
  <c r="D322" i="12"/>
  <c r="D314" i="12"/>
  <c r="D306" i="12"/>
  <c r="D298" i="12"/>
  <c r="D290" i="12"/>
  <c r="D282" i="12"/>
  <c r="D274" i="12"/>
  <c r="D266" i="12"/>
  <c r="D258" i="12"/>
  <c r="D250" i="12"/>
  <c r="D242" i="12"/>
  <c r="D234" i="12"/>
  <c r="D226" i="12"/>
  <c r="D218" i="12"/>
  <c r="D210" i="12"/>
  <c r="D202" i="12"/>
  <c r="D194" i="12"/>
  <c r="D186" i="12"/>
  <c r="D178" i="12"/>
  <c r="D170" i="12"/>
  <c r="D162" i="12"/>
  <c r="D154" i="12"/>
  <c r="D146" i="12"/>
  <c r="D138" i="12"/>
  <c r="D130" i="12"/>
  <c r="D122" i="12"/>
  <c r="D114" i="12"/>
  <c r="D106" i="12"/>
  <c r="D98" i="12"/>
  <c r="D90" i="12"/>
  <c r="D82" i="12"/>
  <c r="D74" i="12"/>
  <c r="D66" i="12"/>
  <c r="D58" i="12"/>
  <c r="D50" i="12"/>
  <c r="D42" i="12"/>
  <c r="E526" i="14"/>
  <c r="E507" i="14"/>
  <c r="E491" i="14"/>
  <c r="E475" i="14"/>
  <c r="E459" i="14"/>
  <c r="E443" i="14"/>
  <c r="E427" i="14"/>
  <c r="E411" i="14"/>
  <c r="E395" i="14"/>
  <c r="E379" i="14"/>
  <c r="E363" i="14"/>
  <c r="E347" i="14"/>
  <c r="E331" i="14"/>
  <c r="E315" i="14"/>
  <c r="E302" i="14"/>
  <c r="E294" i="14"/>
  <c r="E286" i="14"/>
  <c r="E278" i="14"/>
  <c r="E270" i="14"/>
  <c r="E262" i="14"/>
  <c r="E254" i="14"/>
  <c r="E246" i="14"/>
  <c r="E238" i="14"/>
  <c r="E230" i="14"/>
  <c r="E222" i="14"/>
  <c r="E214" i="14"/>
  <c r="E206" i="14"/>
  <c r="E198" i="14"/>
  <c r="E190" i="14"/>
  <c r="E182" i="14"/>
  <c r="E174" i="14"/>
  <c r="E166" i="14"/>
  <c r="E158" i="14"/>
  <c r="E150" i="14"/>
  <c r="E142" i="14"/>
  <c r="E134" i="14"/>
  <c r="E126" i="14"/>
  <c r="E118" i="14"/>
  <c r="E110" i="14"/>
  <c r="E102" i="14"/>
  <c r="E94" i="14"/>
  <c r="E86" i="14"/>
  <c r="E78" i="14"/>
  <c r="E70" i="14"/>
  <c r="E62" i="14"/>
  <c r="E54" i="14"/>
  <c r="E46" i="14"/>
  <c r="E38" i="14"/>
  <c r="E30" i="14"/>
  <c r="E22" i="14"/>
  <c r="E14" i="14"/>
  <c r="E6" i="14"/>
  <c r="E1047" i="13"/>
  <c r="E1039" i="13"/>
  <c r="E1031" i="13"/>
  <c r="E1023" i="13"/>
  <c r="E1015" i="13"/>
  <c r="E1007" i="13"/>
  <c r="E999" i="13"/>
  <c r="E991" i="13"/>
  <c r="E983" i="13"/>
  <c r="E975" i="13"/>
  <c r="E967" i="13"/>
  <c r="E959" i="13"/>
  <c r="E951" i="13"/>
  <c r="E943" i="13"/>
  <c r="E935" i="13"/>
  <c r="E927" i="13"/>
  <c r="E919" i="13"/>
  <c r="E911" i="13"/>
  <c r="E903" i="13"/>
  <c r="E895" i="13"/>
  <c r="E887" i="13"/>
  <c r="E879" i="13"/>
  <c r="E871" i="13"/>
  <c r="E863" i="13"/>
  <c r="E855" i="13"/>
  <c r="E847" i="13"/>
  <c r="E839" i="13"/>
  <c r="E831" i="13"/>
  <c r="E823" i="13"/>
  <c r="E815" i="13"/>
  <c r="E807" i="13"/>
  <c r="E799" i="13"/>
  <c r="E791" i="13"/>
  <c r="E783" i="13"/>
  <c r="E775" i="13"/>
  <c r="E767" i="13"/>
  <c r="E759" i="13"/>
  <c r="E751" i="13"/>
  <c r="E743" i="13"/>
  <c r="E735" i="13"/>
  <c r="E727" i="13"/>
  <c r="E719" i="13"/>
  <c r="E711" i="13"/>
  <c r="E703" i="13"/>
  <c r="E695" i="13"/>
  <c r="E687" i="13"/>
  <c r="E679" i="13"/>
  <c r="E671" i="13"/>
  <c r="E663" i="13"/>
  <c r="E655" i="13"/>
  <c r="E647" i="13"/>
  <c r="E639" i="13"/>
  <c r="E631" i="13"/>
  <c r="E623" i="13"/>
  <c r="E615" i="13"/>
  <c r="E607" i="13"/>
  <c r="E599" i="13"/>
  <c r="E591" i="13"/>
  <c r="E583" i="13"/>
  <c r="D694" i="14"/>
  <c r="D662" i="14"/>
  <c r="D630" i="14"/>
  <c r="D598" i="14"/>
  <c r="D566" i="14"/>
  <c r="D534" i="14"/>
  <c r="D502" i="14"/>
  <c r="D470" i="14"/>
  <c r="D438" i="14"/>
  <c r="D406" i="14"/>
  <c r="D374" i="14"/>
  <c r="D342" i="14"/>
  <c r="D310" i="14"/>
  <c r="E2340" i="14"/>
  <c r="E2291" i="14"/>
  <c r="E2259" i="14"/>
  <c r="E2227" i="14"/>
  <c r="E2203" i="14"/>
  <c r="E2187" i="14"/>
  <c r="E2171" i="14"/>
  <c r="E2155" i="14"/>
  <c r="E2139" i="14"/>
  <c r="E2123" i="14"/>
  <c r="E2107" i="14"/>
  <c r="E2091" i="14"/>
  <c r="E2075" i="14"/>
  <c r="E2059" i="14"/>
  <c r="E2043" i="14"/>
  <c r="E2027" i="14"/>
  <c r="E2011" i="14"/>
  <c r="E1995" i="14"/>
  <c r="E1979" i="14"/>
  <c r="E1963" i="14"/>
  <c r="E1947" i="14"/>
  <c r="E1931" i="14"/>
  <c r="E1915" i="14"/>
  <c r="E1899" i="14"/>
  <c r="E1883" i="14"/>
  <c r="E1867" i="14"/>
  <c r="E1851" i="14"/>
  <c r="E1835" i="14"/>
  <c r="E1819" i="14"/>
  <c r="E1803" i="14"/>
  <c r="E1787" i="14"/>
  <c r="E1771" i="14"/>
  <c r="E1755" i="14"/>
  <c r="E1739" i="14"/>
  <c r="E1723" i="14"/>
  <c r="E1707" i="14"/>
  <c r="E1691" i="14"/>
  <c r="E1675" i="14"/>
  <c r="E1659" i="14"/>
  <c r="E1643" i="14"/>
  <c r="E1627" i="14"/>
  <c r="E1611" i="14"/>
  <c r="E1595" i="14"/>
  <c r="E1579" i="14"/>
  <c r="E1563" i="14"/>
  <c r="E1547" i="14"/>
  <c r="E1531" i="14"/>
  <c r="E1515" i="14"/>
  <c r="E1499" i="14"/>
  <c r="E1483" i="14"/>
  <c r="E1467" i="14"/>
  <c r="E1451" i="14"/>
  <c r="E1435" i="14"/>
  <c r="E1419" i="14"/>
  <c r="E1403" i="14"/>
  <c r="E1387" i="14"/>
  <c r="E1371" i="14"/>
  <c r="E1355" i="14"/>
  <c r="E1339" i="14"/>
  <c r="E1329" i="14"/>
  <c r="E1321" i="14"/>
  <c r="E1313" i="14"/>
  <c r="E1305" i="14"/>
  <c r="E1297" i="14"/>
  <c r="E1289" i="14"/>
  <c r="E1281" i="14"/>
  <c r="E1273" i="14"/>
  <c r="E1265" i="14"/>
  <c r="E1257" i="14"/>
  <c r="E1249" i="14"/>
  <c r="E1241" i="14"/>
  <c r="E1233" i="14"/>
  <c r="E1225" i="14"/>
  <c r="E1217" i="14"/>
  <c r="E1209" i="14"/>
  <c r="E1201" i="14"/>
  <c r="E1193" i="14"/>
  <c r="E1185" i="14"/>
  <c r="E1177" i="14"/>
  <c r="E1169" i="14"/>
  <c r="E1161" i="14"/>
  <c r="E1153" i="14"/>
  <c r="E1145" i="14"/>
  <c r="E1137" i="14"/>
  <c r="E1129" i="14"/>
  <c r="E1121" i="14"/>
  <c r="E1113" i="14"/>
  <c r="E1105" i="14"/>
  <c r="E1097" i="14"/>
  <c r="E1089" i="14"/>
  <c r="E1081" i="14"/>
  <c r="E1073" i="14"/>
  <c r="E1065" i="14"/>
  <c r="E1057" i="14"/>
  <c r="E1049" i="14"/>
  <c r="E1041" i="14"/>
  <c r="E1033" i="14"/>
  <c r="E1025" i="14"/>
  <c r="E1017" i="14"/>
  <c r="E1009" i="14"/>
  <c r="E1001" i="14"/>
  <c r="E993" i="14"/>
  <c r="E985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9" i="14"/>
  <c r="E761" i="14"/>
  <c r="E753" i="14"/>
  <c r="E745" i="14"/>
  <c r="E737" i="14"/>
  <c r="E729" i="14"/>
  <c r="E721" i="14"/>
  <c r="E713" i="14"/>
  <c r="E705" i="14"/>
  <c r="E697" i="14"/>
  <c r="E689" i="14"/>
  <c r="E681" i="14"/>
  <c r="E673" i="14"/>
  <c r="E665" i="14"/>
  <c r="E657" i="14"/>
  <c r="E649" i="14"/>
  <c r="E641" i="14"/>
  <c r="E633" i="14"/>
  <c r="E625" i="14"/>
  <c r="E617" i="14"/>
  <c r="E609" i="14"/>
  <c r="E601" i="14"/>
  <c r="E593" i="14"/>
  <c r="E585" i="14"/>
  <c r="E577" i="14"/>
  <c r="E569" i="14"/>
  <c r="E561" i="14"/>
  <c r="E553" i="14"/>
  <c r="E545" i="14"/>
  <c r="E537" i="14"/>
  <c r="E529" i="14"/>
  <c r="E521" i="14"/>
  <c r="E2379" i="14"/>
  <c r="E2363" i="14"/>
  <c r="E2347" i="14"/>
  <c r="E2331" i="14"/>
  <c r="E2315" i="14"/>
  <c r="D2303" i="14"/>
  <c r="D2295" i="14"/>
  <c r="D2287" i="14"/>
  <c r="D2279" i="14"/>
  <c r="D2271" i="14"/>
  <c r="D2263" i="14"/>
  <c r="D2255" i="14"/>
  <c r="D2247" i="14"/>
  <c r="D2239" i="14"/>
  <c r="D2231" i="14"/>
  <c r="D2223" i="14"/>
  <c r="D2215" i="14"/>
  <c r="D2207" i="14"/>
  <c r="D2199" i="14"/>
  <c r="D2191" i="14"/>
  <c r="D2183" i="14"/>
  <c r="D2175" i="14"/>
  <c r="D2167" i="14"/>
  <c r="D2159" i="14"/>
  <c r="D2151" i="14"/>
  <c r="D2143" i="14"/>
  <c r="D2135" i="14"/>
  <c r="D2127" i="14"/>
  <c r="D2119" i="14"/>
  <c r="D2111" i="14"/>
  <c r="D2103" i="14"/>
  <c r="D2095" i="14"/>
  <c r="D2087" i="14"/>
  <c r="D2079" i="14"/>
  <c r="D2071" i="14"/>
  <c r="D2063" i="14"/>
  <c r="D2055" i="14"/>
  <c r="D2047" i="14"/>
  <c r="D2039" i="14"/>
  <c r="D2031" i="14"/>
  <c r="D2023" i="14"/>
  <c r="D2015" i="14"/>
  <c r="D2007" i="14"/>
  <c r="D1999" i="14"/>
  <c r="D1991" i="14"/>
  <c r="D1983" i="14"/>
  <c r="D1975" i="14"/>
  <c r="D1967" i="14"/>
  <c r="D1959" i="14"/>
  <c r="D1951" i="14"/>
  <c r="D1943" i="14"/>
  <c r="D1935" i="14"/>
  <c r="D1927" i="14"/>
  <c r="D1919" i="14"/>
  <c r="D1911" i="14"/>
  <c r="D1903" i="14"/>
  <c r="D1895" i="14"/>
  <c r="D1887" i="14"/>
  <c r="D1879" i="14"/>
  <c r="D1871" i="14"/>
  <c r="D1863" i="14"/>
  <c r="D1855" i="14"/>
  <c r="D1847" i="14"/>
  <c r="D1839" i="14"/>
  <c r="D1831" i="14"/>
  <c r="D1823" i="14"/>
  <c r="D1815" i="14"/>
  <c r="D1807" i="14"/>
  <c r="D1799" i="14"/>
  <c r="D1791" i="14"/>
  <c r="D1783" i="14"/>
  <c r="D1775" i="14"/>
  <c r="D1767" i="14"/>
  <c r="D1759" i="14"/>
  <c r="D1751" i="14"/>
  <c r="D1743" i="14"/>
  <c r="D1735" i="14"/>
  <c r="D1727" i="14"/>
  <c r="D1719" i="14"/>
  <c r="D1711" i="14"/>
  <c r="D1703" i="14"/>
  <c r="D1695" i="14"/>
  <c r="D1687" i="14"/>
  <c r="D1679" i="14"/>
  <c r="D1671" i="14"/>
  <c r="D1663" i="14"/>
  <c r="D1655" i="14"/>
  <c r="D1647" i="14"/>
  <c r="D1639" i="14"/>
  <c r="D1631" i="14"/>
  <c r="D1623" i="14"/>
  <c r="D1615" i="14"/>
  <c r="D1607" i="14"/>
  <c r="D1599" i="14"/>
  <c r="D1591" i="14"/>
  <c r="D1583" i="14"/>
  <c r="D1575" i="14"/>
  <c r="D1567" i="14"/>
  <c r="D1559" i="14"/>
  <c r="D1551" i="14"/>
  <c r="D1543" i="14"/>
  <c r="D1535" i="14"/>
  <c r="D1527" i="14"/>
  <c r="D1519" i="14"/>
  <c r="D1511" i="14"/>
  <c r="D1503" i="14"/>
  <c r="D1495" i="14"/>
  <c r="D1487" i="14"/>
  <c r="D1479" i="14"/>
  <c r="D1471" i="14"/>
  <c r="D1463" i="14"/>
  <c r="D1455" i="14"/>
  <c r="D1447" i="14"/>
  <c r="D1439" i="14"/>
  <c r="D1431" i="14"/>
  <c r="D1423" i="14"/>
  <c r="D1415" i="14"/>
  <c r="D1407" i="14"/>
  <c r="D1399" i="14"/>
  <c r="D1391" i="14"/>
  <c r="D1383" i="14"/>
  <c r="D1375" i="14"/>
  <c r="D1367" i="14"/>
  <c r="D1359" i="14"/>
  <c r="D1351" i="14"/>
  <c r="D1343" i="14"/>
  <c r="D1335" i="14"/>
  <c r="D1327" i="14"/>
  <c r="D1319" i="14"/>
  <c r="D1311" i="14"/>
  <c r="D1303" i="14"/>
  <c r="D1295" i="14"/>
  <c r="D1287" i="14"/>
  <c r="D1279" i="14"/>
  <c r="D1271" i="14"/>
  <c r="D1263" i="14"/>
  <c r="D1255" i="14"/>
  <c r="D1247" i="14"/>
  <c r="D1239" i="14"/>
  <c r="D1231" i="14"/>
  <c r="D1223" i="14"/>
  <c r="D1215" i="14"/>
  <c r="D1207" i="14"/>
  <c r="D1199" i="14"/>
  <c r="D1191" i="14"/>
  <c r="D1183" i="14"/>
  <c r="D1175" i="14"/>
  <c r="D1167" i="14"/>
  <c r="D1159" i="14"/>
  <c r="D1151" i="14"/>
  <c r="D1143" i="14"/>
  <c r="D1135" i="14"/>
  <c r="D1127" i="14"/>
  <c r="D1119" i="14"/>
  <c r="D1111" i="14"/>
  <c r="D1103" i="14"/>
  <c r="D1095" i="14"/>
  <c r="D1087" i="14"/>
  <c r="D1079" i="14"/>
  <c r="D1071" i="14"/>
  <c r="D1063" i="14"/>
  <c r="D1055" i="14"/>
  <c r="D1047" i="14"/>
  <c r="D1039" i="14"/>
  <c r="D1031" i="14"/>
  <c r="D1023" i="14"/>
  <c r="D1015" i="14"/>
  <c r="D1007" i="14"/>
  <c r="D999" i="14"/>
  <c r="D991" i="14"/>
  <c r="D983" i="14"/>
  <c r="D975" i="14"/>
  <c r="D967" i="14"/>
  <c r="D959" i="14"/>
  <c r="D951" i="14"/>
  <c r="D943" i="14"/>
  <c r="D935" i="14"/>
  <c r="D927" i="14"/>
  <c r="D919" i="14"/>
  <c r="D911" i="14"/>
  <c r="D903" i="14"/>
  <c r="D895" i="14"/>
  <c r="D887" i="14"/>
  <c r="D879" i="14"/>
  <c r="D871" i="14"/>
  <c r="D863" i="14"/>
  <c r="D855" i="14"/>
  <c r="D847" i="14"/>
  <c r="D839" i="14"/>
  <c r="D831" i="14"/>
  <c r="D823" i="14"/>
  <c r="D815" i="14"/>
  <c r="D807" i="14"/>
  <c r="D799" i="14"/>
  <c r="D791" i="14"/>
  <c r="D783" i="14"/>
  <c r="D775" i="14"/>
  <c r="D767" i="14"/>
  <c r="D759" i="14"/>
  <c r="D751" i="14"/>
  <c r="D743" i="14"/>
  <c r="D735" i="14"/>
  <c r="D727" i="14"/>
  <c r="D719" i="14"/>
  <c r="D711" i="14"/>
  <c r="D703" i="14"/>
  <c r="D695" i="14"/>
  <c r="D687" i="14"/>
  <c r="D679" i="14"/>
  <c r="D671" i="14"/>
  <c r="D663" i="14"/>
  <c r="D655" i="14"/>
  <c r="D647" i="14"/>
  <c r="D639" i="14"/>
  <c r="D631" i="14"/>
  <c r="D623" i="14"/>
  <c r="D615" i="14"/>
  <c r="D607" i="14"/>
  <c r="D599" i="14"/>
  <c r="D591" i="14"/>
  <c r="D583" i="14"/>
  <c r="D575" i="14"/>
  <c r="D567" i="14"/>
  <c r="D559" i="14"/>
  <c r="D551" i="14"/>
  <c r="D543" i="14"/>
  <c r="D535" i="14"/>
  <c r="D527" i="14"/>
  <c r="D519" i="14"/>
  <c r="D511" i="14"/>
  <c r="D503" i="14"/>
  <c r="D495" i="14"/>
  <c r="D487" i="14"/>
  <c r="D479" i="14"/>
  <c r="D471" i="14"/>
  <c r="D463" i="14"/>
  <c r="D455" i="14"/>
  <c r="D447" i="14"/>
  <c r="D439" i="14"/>
  <c r="D431" i="14"/>
  <c r="D423" i="14"/>
  <c r="D415" i="14"/>
  <c r="D407" i="14"/>
  <c r="D399" i="14"/>
  <c r="D391" i="14"/>
  <c r="D383" i="14"/>
  <c r="D375" i="14"/>
  <c r="D367" i="14"/>
  <c r="D359" i="14"/>
  <c r="D351" i="14"/>
  <c r="D343" i="14"/>
  <c r="D335" i="14"/>
  <c r="D327" i="14"/>
  <c r="D319" i="14"/>
  <c r="D311" i="14"/>
  <c r="E5" i="15"/>
  <c r="E2370" i="14"/>
  <c r="E2354" i="14"/>
  <c r="E2338" i="14"/>
  <c r="E2322" i="14"/>
  <c r="E2306" i="14"/>
  <c r="E2298" i="14"/>
  <c r="E2290" i="14"/>
  <c r="E2282" i="14"/>
  <c r="E2274" i="14"/>
  <c r="E2266" i="14"/>
  <c r="E2258" i="14"/>
  <c r="E2250" i="14"/>
  <c r="E2242" i="14"/>
  <c r="E2234" i="14"/>
  <c r="E2226" i="14"/>
  <c r="E2218" i="14"/>
  <c r="E2210" i="14"/>
  <c r="E2202" i="14"/>
  <c r="E2194" i="14"/>
  <c r="E2186" i="14"/>
  <c r="E2178" i="14"/>
  <c r="E2170" i="14"/>
  <c r="E2162" i="14"/>
  <c r="E2154" i="14"/>
  <c r="E2146" i="14"/>
  <c r="E2138" i="14"/>
  <c r="E2130" i="14"/>
  <c r="E2122" i="14"/>
  <c r="E2114" i="14"/>
  <c r="E2106" i="14"/>
  <c r="E2098" i="14"/>
  <c r="E2090" i="14"/>
  <c r="E2082" i="14"/>
  <c r="E2074" i="14"/>
  <c r="E2066" i="14"/>
  <c r="E2058" i="14"/>
  <c r="E2050" i="14"/>
  <c r="E2042" i="14"/>
  <c r="E2034" i="14"/>
  <c r="E2026" i="14"/>
  <c r="E2018" i="14"/>
  <c r="E2010" i="14"/>
  <c r="E2002" i="14"/>
  <c r="E1994" i="14"/>
  <c r="E1986" i="14"/>
  <c r="E1978" i="14"/>
  <c r="E1970" i="14"/>
  <c r="E1962" i="14"/>
  <c r="E1954" i="14"/>
  <c r="E1946" i="14"/>
  <c r="E1938" i="14"/>
  <c r="E1930" i="14"/>
  <c r="E1922" i="14"/>
  <c r="E1914" i="14"/>
  <c r="E1906" i="14"/>
  <c r="E1898" i="14"/>
  <c r="E1890" i="14"/>
  <c r="E1882" i="14"/>
  <c r="E1874" i="14"/>
  <c r="E1866" i="14"/>
  <c r="E1858" i="14"/>
  <c r="E1850" i="14"/>
  <c r="E1842" i="14"/>
  <c r="E1834" i="14"/>
  <c r="E1826" i="14"/>
  <c r="E1818" i="14"/>
  <c r="E1810" i="14"/>
  <c r="E1802" i="14"/>
  <c r="E1794" i="14"/>
  <c r="E1786" i="14"/>
  <c r="E1778" i="14"/>
  <c r="E1770" i="14"/>
  <c r="E1762" i="14"/>
  <c r="E1754" i="14"/>
  <c r="E1746" i="14"/>
  <c r="E1738" i="14"/>
  <c r="E1730" i="14"/>
  <c r="E1722" i="14"/>
  <c r="E1714" i="14"/>
  <c r="E1706" i="14"/>
  <c r="E1698" i="14"/>
  <c r="E1690" i="14"/>
  <c r="E1682" i="14"/>
  <c r="E1674" i="14"/>
  <c r="E1666" i="14"/>
  <c r="E1658" i="14"/>
  <c r="E1650" i="14"/>
  <c r="E1642" i="14"/>
  <c r="E1634" i="14"/>
  <c r="E1626" i="14"/>
  <c r="E1618" i="14"/>
  <c r="E1610" i="14"/>
  <c r="E1602" i="14"/>
  <c r="E1594" i="14"/>
  <c r="E1586" i="14"/>
  <c r="E1578" i="14"/>
  <c r="E1570" i="14"/>
  <c r="E1562" i="14"/>
  <c r="E1554" i="14"/>
  <c r="E1546" i="14"/>
  <c r="E1538" i="14"/>
  <c r="E1530" i="14"/>
  <c r="E1522" i="14"/>
  <c r="E1514" i="14"/>
  <c r="E1506" i="14"/>
  <c r="E1498" i="14"/>
  <c r="E1490" i="14"/>
  <c r="E1482" i="14"/>
  <c r="E1474" i="14"/>
  <c r="E1466" i="14"/>
  <c r="E1458" i="14"/>
  <c r="E1450" i="14"/>
  <c r="E1442" i="14"/>
  <c r="E1434" i="14"/>
  <c r="E1426" i="14"/>
  <c r="E1418" i="14"/>
  <c r="E1410" i="14"/>
  <c r="E1402" i="14"/>
  <c r="E1394" i="14"/>
  <c r="E1386" i="14"/>
  <c r="E1378" i="14"/>
  <c r="E1370" i="14"/>
  <c r="E1362" i="14"/>
  <c r="E1354" i="14"/>
  <c r="E1346" i="14"/>
  <c r="E1338" i="14"/>
  <c r="E1330" i="14"/>
  <c r="E1322" i="14"/>
  <c r="E1314" i="14"/>
  <c r="E1306" i="14"/>
  <c r="E1298" i="14"/>
  <c r="E1290" i="14"/>
  <c r="E1282" i="14"/>
  <c r="E1274" i="14"/>
  <c r="E1266" i="14"/>
  <c r="E1258" i="14"/>
  <c r="E1250" i="14"/>
  <c r="E1242" i="14"/>
  <c r="E1234" i="14"/>
  <c r="E1226" i="14"/>
  <c r="E1218" i="14"/>
  <c r="E1210" i="14"/>
  <c r="E1202" i="14"/>
  <c r="E1194" i="14"/>
  <c r="E1186" i="14"/>
  <c r="E1178" i="14"/>
  <c r="E1170" i="14"/>
  <c r="E1162" i="14"/>
  <c r="E1154" i="14"/>
  <c r="E1146" i="14"/>
  <c r="E1138" i="14"/>
  <c r="E1130" i="14"/>
  <c r="E1122" i="14"/>
  <c r="E1114" i="14"/>
  <c r="E1106" i="14"/>
  <c r="E1098" i="14"/>
  <c r="E1090" i="14"/>
  <c r="E1082" i="14"/>
  <c r="E1074" i="14"/>
  <c r="E1066" i="14"/>
  <c r="E1058" i="14"/>
  <c r="E1050" i="14"/>
  <c r="E1042" i="14"/>
  <c r="E1034" i="14"/>
  <c r="E1026" i="14"/>
  <c r="E1018" i="14"/>
  <c r="E1010" i="14"/>
  <c r="E1002" i="14"/>
  <c r="E994" i="14"/>
  <c r="E986" i="14"/>
  <c r="E978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0" i="14"/>
  <c r="E762" i="14"/>
  <c r="E754" i="14"/>
  <c r="E746" i="14"/>
  <c r="E738" i="14"/>
  <c r="E730" i="14"/>
  <c r="E722" i="14"/>
  <c r="E714" i="14"/>
  <c r="E706" i="14"/>
  <c r="E698" i="14"/>
  <c r="E690" i="14"/>
  <c r="E682" i="14"/>
  <c r="E674" i="14"/>
  <c r="E666" i="14"/>
  <c r="E658" i="14"/>
  <c r="E650" i="14"/>
  <c r="E642" i="14"/>
  <c r="E634" i="14"/>
  <c r="E626" i="14"/>
  <c r="E618" i="14"/>
  <c r="E610" i="14"/>
  <c r="E602" i="14"/>
  <c r="E594" i="14"/>
  <c r="E586" i="14"/>
  <c r="E578" i="14"/>
  <c r="E570" i="14"/>
  <c r="E562" i="14"/>
  <c r="E554" i="14"/>
  <c r="E546" i="14"/>
  <c r="E538" i="14"/>
  <c r="E530" i="14"/>
  <c r="E512" i="14"/>
  <c r="E496" i="14"/>
  <c r="E480" i="14"/>
  <c r="E464" i="14"/>
  <c r="E448" i="14"/>
  <c r="E432" i="14"/>
  <c r="E416" i="14"/>
  <c r="E400" i="14"/>
  <c r="E384" i="14"/>
  <c r="E368" i="14"/>
  <c r="E352" i="14"/>
  <c r="E336" i="14"/>
  <c r="E320" i="14"/>
  <c r="D305" i="14"/>
  <c r="D297" i="14"/>
  <c r="D289" i="14"/>
  <c r="D281" i="14"/>
  <c r="D273" i="14"/>
  <c r="D265" i="14"/>
  <c r="D257" i="14"/>
  <c r="D249" i="14"/>
  <c r="D241" i="14"/>
  <c r="D233" i="14"/>
  <c r="D225" i="14"/>
  <c r="D217" i="14"/>
  <c r="D209" i="14"/>
  <c r="D201" i="14"/>
  <c r="D193" i="14"/>
  <c r="D185" i="14"/>
  <c r="D177" i="14"/>
  <c r="D169" i="14"/>
  <c r="D161" i="14"/>
  <c r="D153" i="14"/>
  <c r="D145" i="14"/>
  <c r="D137" i="14"/>
  <c r="D129" i="14"/>
  <c r="D121" i="14"/>
  <c r="D113" i="14"/>
  <c r="D105" i="14"/>
  <c r="D97" i="14"/>
  <c r="D89" i="14"/>
  <c r="D81" i="14"/>
  <c r="D73" i="14"/>
  <c r="D65" i="14"/>
  <c r="D57" i="14"/>
  <c r="D49" i="14"/>
  <c r="D41" i="14"/>
  <c r="D33" i="14"/>
  <c r="D25" i="14"/>
  <c r="D17" i="14"/>
  <c r="D9" i="14"/>
  <c r="D1" i="14"/>
  <c r="D1042" i="13"/>
  <c r="D1034" i="13"/>
  <c r="D1026" i="13"/>
  <c r="D1018" i="13"/>
  <c r="D1010" i="13"/>
  <c r="D1002" i="13"/>
  <c r="D994" i="13"/>
  <c r="D986" i="13"/>
  <c r="D978" i="13"/>
  <c r="D970" i="13"/>
  <c r="D962" i="13"/>
  <c r="D954" i="13"/>
  <c r="D946" i="13"/>
  <c r="D938" i="13"/>
  <c r="D930" i="13"/>
  <c r="D922" i="13"/>
  <c r="D686" i="14"/>
  <c r="D654" i="14"/>
  <c r="D622" i="14"/>
  <c r="D590" i="14"/>
  <c r="D558" i="14"/>
  <c r="D526" i="14"/>
  <c r="D494" i="14"/>
  <c r="D462" i="14"/>
  <c r="D430" i="14"/>
  <c r="D398" i="14"/>
  <c r="D366" i="14"/>
  <c r="D334" i="14"/>
  <c r="E9" i="15"/>
  <c r="E2324" i="14"/>
  <c r="E2283" i="14"/>
  <c r="E2251" i="14"/>
  <c r="E2219" i="14"/>
  <c r="E2197" i="14"/>
  <c r="E2181" i="14"/>
  <c r="E2165" i="14"/>
  <c r="E2149" i="14"/>
  <c r="E2133" i="14"/>
  <c r="E2117" i="14"/>
  <c r="E2101" i="14"/>
  <c r="E2085" i="14"/>
  <c r="E2069" i="14"/>
  <c r="E2053" i="14"/>
  <c r="E2037" i="14"/>
  <c r="E2021" i="14"/>
  <c r="E2005" i="14"/>
  <c r="E1989" i="14"/>
  <c r="E1973" i="14"/>
  <c r="E1957" i="14"/>
  <c r="E1941" i="14"/>
  <c r="E1925" i="14"/>
  <c r="E1909" i="14"/>
  <c r="E1893" i="14"/>
  <c r="E1877" i="14"/>
  <c r="E1861" i="14"/>
  <c r="E1845" i="14"/>
  <c r="E1829" i="14"/>
  <c r="E1813" i="14"/>
  <c r="E1797" i="14"/>
  <c r="E1781" i="14"/>
  <c r="E1765" i="14"/>
  <c r="E1749" i="14"/>
  <c r="E1733" i="14"/>
  <c r="E1717" i="14"/>
  <c r="E1701" i="14"/>
  <c r="E1685" i="14"/>
  <c r="E1669" i="14"/>
  <c r="E1653" i="14"/>
  <c r="E1637" i="14"/>
  <c r="E1621" i="14"/>
  <c r="E1605" i="14"/>
  <c r="E1589" i="14"/>
  <c r="E1573" i="14"/>
  <c r="E1557" i="14"/>
  <c r="E1541" i="14"/>
  <c r="E1525" i="14"/>
  <c r="E1509" i="14"/>
  <c r="E1493" i="14"/>
  <c r="E1477" i="14"/>
  <c r="E1461" i="14"/>
  <c r="E1445" i="14"/>
  <c r="E1429" i="14"/>
  <c r="E1413" i="14"/>
  <c r="E1397" i="14"/>
  <c r="E1381" i="14"/>
  <c r="E1365" i="14"/>
  <c r="E1349" i="14"/>
  <c r="E1335" i="14"/>
  <c r="E1327" i="14"/>
  <c r="E1319" i="14"/>
  <c r="E1311" i="14"/>
  <c r="E1303" i="14"/>
  <c r="E1295" i="14"/>
  <c r="E1287" i="14"/>
  <c r="E1279" i="14"/>
  <c r="E1271" i="14"/>
  <c r="E1263" i="14"/>
  <c r="E1255" i="14"/>
  <c r="E1247" i="14"/>
  <c r="E1239" i="14"/>
  <c r="E1231" i="14"/>
  <c r="E1223" i="14"/>
  <c r="E1215" i="14"/>
  <c r="E1207" i="14"/>
  <c r="E1199" i="14"/>
  <c r="E1191" i="14"/>
  <c r="E1183" i="14"/>
  <c r="E1175" i="14"/>
  <c r="E1167" i="14"/>
  <c r="E1159" i="14"/>
  <c r="E1151" i="14"/>
  <c r="E1143" i="14"/>
  <c r="E1135" i="14"/>
  <c r="E1127" i="14"/>
  <c r="E1119" i="14"/>
  <c r="E1111" i="14"/>
  <c r="E1103" i="14"/>
  <c r="E1095" i="14"/>
  <c r="E1087" i="14"/>
  <c r="E1079" i="14"/>
  <c r="E1071" i="14"/>
  <c r="E1063" i="14"/>
  <c r="E1055" i="14"/>
  <c r="E1047" i="14"/>
  <c r="E1039" i="14"/>
  <c r="E1031" i="14"/>
  <c r="E1023" i="14"/>
  <c r="E1015" i="14"/>
  <c r="E1007" i="14"/>
  <c r="E999" i="14"/>
  <c r="E991" i="14"/>
  <c r="E983" i="14"/>
  <c r="E975" i="14"/>
  <c r="E967" i="14"/>
  <c r="E959" i="14"/>
  <c r="E951" i="14"/>
  <c r="E943" i="14"/>
  <c r="E935" i="14"/>
  <c r="E927" i="14"/>
  <c r="E919" i="14"/>
  <c r="E911" i="14"/>
  <c r="E903" i="14"/>
  <c r="E895" i="14"/>
  <c r="E887" i="14"/>
  <c r="E879" i="14"/>
  <c r="E871" i="14"/>
  <c r="E863" i="14"/>
  <c r="E855" i="14"/>
  <c r="E847" i="14"/>
  <c r="E839" i="14"/>
  <c r="E831" i="14"/>
  <c r="E823" i="14"/>
  <c r="E815" i="14"/>
  <c r="E807" i="14"/>
  <c r="E799" i="14"/>
  <c r="E791" i="14"/>
  <c r="E783" i="14"/>
  <c r="E775" i="14"/>
  <c r="E767" i="14"/>
  <c r="E759" i="14"/>
  <c r="E751" i="14"/>
  <c r="E743" i="14"/>
  <c r="E735" i="14"/>
  <c r="E727" i="14"/>
  <c r="E719" i="14"/>
  <c r="E711" i="14"/>
  <c r="E703" i="14"/>
  <c r="E695" i="14"/>
  <c r="E687" i="14"/>
  <c r="E679" i="14"/>
  <c r="E671" i="14"/>
  <c r="E663" i="14"/>
  <c r="E655" i="14"/>
  <c r="E647" i="14"/>
  <c r="E639" i="14"/>
  <c r="E631" i="14"/>
  <c r="E623" i="14"/>
  <c r="E615" i="14"/>
  <c r="E607" i="14"/>
  <c r="E599" i="14"/>
  <c r="E591" i="14"/>
  <c r="E583" i="14"/>
  <c r="E575" i="14"/>
  <c r="E567" i="14"/>
  <c r="E559" i="14"/>
  <c r="E551" i="14"/>
  <c r="E543" i="14"/>
  <c r="E535" i="14"/>
  <c r="E527" i="14"/>
  <c r="E15" i="15"/>
  <c r="E2375" i="14"/>
  <c r="E2359" i="14"/>
  <c r="E2343" i="14"/>
  <c r="E2327" i="14"/>
  <c r="E2311" i="14"/>
  <c r="D2301" i="14"/>
  <c r="D2293" i="14"/>
  <c r="D2285" i="14"/>
  <c r="D2277" i="14"/>
  <c r="D2269" i="14"/>
  <c r="D2261" i="14"/>
  <c r="D2253" i="14"/>
  <c r="D2245" i="14"/>
  <c r="D2237" i="14"/>
  <c r="D2229" i="14"/>
  <c r="D2221" i="14"/>
  <c r="D2213" i="14"/>
  <c r="D2205" i="14"/>
  <c r="D2197" i="14"/>
  <c r="D2189" i="14"/>
  <c r="D2181" i="14"/>
  <c r="D2173" i="14"/>
  <c r="D2165" i="14"/>
  <c r="D2157" i="14"/>
  <c r="D2149" i="14"/>
  <c r="D2141" i="14"/>
  <c r="D2133" i="14"/>
  <c r="D2125" i="14"/>
  <c r="D2117" i="14"/>
  <c r="D2109" i="14"/>
  <c r="D2101" i="14"/>
  <c r="D2093" i="14"/>
  <c r="D2085" i="14"/>
  <c r="D2077" i="14"/>
  <c r="D2069" i="14"/>
  <c r="D2061" i="14"/>
  <c r="D2053" i="14"/>
  <c r="D2045" i="14"/>
  <c r="D2037" i="14"/>
  <c r="D2029" i="14"/>
  <c r="D2021" i="14"/>
  <c r="D2013" i="14"/>
  <c r="D2005" i="14"/>
  <c r="D1997" i="14"/>
  <c r="D1989" i="14"/>
  <c r="D1981" i="14"/>
  <c r="D1973" i="14"/>
  <c r="D1965" i="14"/>
  <c r="D1957" i="14"/>
  <c r="D1949" i="14"/>
  <c r="D1941" i="14"/>
  <c r="D1933" i="14"/>
  <c r="D1925" i="14"/>
  <c r="D1917" i="14"/>
  <c r="D1909" i="14"/>
  <c r="D1901" i="14"/>
  <c r="D1893" i="14"/>
  <c r="D1885" i="14"/>
  <c r="D1877" i="14"/>
  <c r="D1869" i="14"/>
  <c r="D1861" i="14"/>
  <c r="D1853" i="14"/>
  <c r="D1845" i="14"/>
  <c r="D1837" i="14"/>
  <c r="D1829" i="14"/>
  <c r="D1821" i="14"/>
  <c r="D1813" i="14"/>
  <c r="D1805" i="14"/>
  <c r="D1797" i="14"/>
  <c r="D1789" i="14"/>
  <c r="D1781" i="14"/>
  <c r="D1773" i="14"/>
  <c r="D1765" i="14"/>
  <c r="D1757" i="14"/>
  <c r="D1749" i="14"/>
  <c r="D1741" i="14"/>
  <c r="D1733" i="14"/>
  <c r="D1725" i="14"/>
  <c r="D1717" i="14"/>
  <c r="D1709" i="14"/>
  <c r="D1701" i="14"/>
  <c r="D1693" i="14"/>
  <c r="D1685" i="14"/>
  <c r="D1677" i="14"/>
  <c r="D1669" i="14"/>
  <c r="D1661" i="14"/>
  <c r="D1653" i="14"/>
  <c r="D1645" i="14"/>
  <c r="D1637" i="14"/>
  <c r="D1629" i="14"/>
  <c r="D1621" i="14"/>
  <c r="D1613" i="14"/>
  <c r="D1605" i="14"/>
  <c r="D1597" i="14"/>
  <c r="D1589" i="14"/>
  <c r="D1581" i="14"/>
  <c r="D1573" i="14"/>
  <c r="D1565" i="14"/>
  <c r="D1557" i="14"/>
  <c r="D1549" i="14"/>
  <c r="D1541" i="14"/>
  <c r="D1533" i="14"/>
  <c r="D1525" i="14"/>
  <c r="D1517" i="14"/>
  <c r="D1509" i="14"/>
  <c r="D1501" i="14"/>
  <c r="D1493" i="14"/>
  <c r="D1485" i="14"/>
  <c r="D1477" i="14"/>
  <c r="D1469" i="14"/>
  <c r="D1461" i="14"/>
  <c r="D1453" i="14"/>
  <c r="D1445" i="14"/>
  <c r="D1437" i="14"/>
  <c r="D1429" i="14"/>
  <c r="D1421" i="14"/>
  <c r="D1413" i="14"/>
  <c r="D1405" i="14"/>
  <c r="D1397" i="14"/>
  <c r="D1389" i="14"/>
  <c r="D1381" i="14"/>
  <c r="D1373" i="14"/>
  <c r="D1365" i="14"/>
  <c r="D1357" i="14"/>
  <c r="D1349" i="14"/>
  <c r="D1341" i="14"/>
  <c r="D1333" i="14"/>
  <c r="D1325" i="14"/>
  <c r="D1317" i="14"/>
  <c r="D1309" i="14"/>
  <c r="D1301" i="14"/>
  <c r="D1293" i="14"/>
  <c r="D1285" i="14"/>
  <c r="D1277" i="14"/>
  <c r="D1269" i="14"/>
  <c r="D1261" i="14"/>
  <c r="D1253" i="14"/>
  <c r="D1245" i="14"/>
  <c r="D1237" i="14"/>
  <c r="D1229" i="14"/>
  <c r="D1221" i="14"/>
  <c r="D1213" i="14"/>
  <c r="D1205" i="14"/>
  <c r="D1197" i="14"/>
  <c r="D1189" i="14"/>
  <c r="D1181" i="14"/>
  <c r="D1173" i="14"/>
  <c r="D1165" i="14"/>
  <c r="D1157" i="14"/>
  <c r="D1149" i="14"/>
  <c r="D1141" i="14"/>
  <c r="D1133" i="14"/>
  <c r="D1125" i="14"/>
  <c r="D1117" i="14"/>
  <c r="D1109" i="14"/>
  <c r="D1101" i="14"/>
  <c r="D1093" i="14"/>
  <c r="D1085" i="14"/>
  <c r="D1077" i="14"/>
  <c r="D1069" i="14"/>
  <c r="D1061" i="14"/>
  <c r="D1053" i="14"/>
  <c r="D1045" i="14"/>
  <c r="D1037" i="14"/>
  <c r="D1029" i="14"/>
  <c r="D1021" i="14"/>
  <c r="D1013" i="14"/>
  <c r="D1005" i="14"/>
  <c r="D997" i="14"/>
  <c r="D989" i="14"/>
  <c r="D981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73" i="14"/>
  <c r="D765" i="14"/>
  <c r="D757" i="14"/>
  <c r="D749" i="14"/>
  <c r="D741" i="14"/>
  <c r="D733" i="14"/>
  <c r="D725" i="14"/>
  <c r="D717" i="14"/>
  <c r="D709" i="14"/>
  <c r="D701" i="14"/>
  <c r="D693" i="14"/>
  <c r="D685" i="14"/>
  <c r="D677" i="14"/>
  <c r="D669" i="14"/>
  <c r="D661" i="14"/>
  <c r="D653" i="14"/>
  <c r="D645" i="14"/>
  <c r="D637" i="14"/>
  <c r="D629" i="14"/>
  <c r="D621" i="14"/>
  <c r="D613" i="14"/>
  <c r="D605" i="14"/>
  <c r="D597" i="14"/>
  <c r="D589" i="14"/>
  <c r="D581" i="14"/>
  <c r="D573" i="14"/>
  <c r="D565" i="14"/>
  <c r="D557" i="14"/>
  <c r="D549" i="14"/>
  <c r="D541" i="14"/>
  <c r="D533" i="14"/>
  <c r="D525" i="14"/>
  <c r="D517" i="14"/>
  <c r="D509" i="14"/>
  <c r="D501" i="14"/>
  <c r="D493" i="14"/>
  <c r="D485" i="14"/>
  <c r="D477" i="14"/>
  <c r="D469" i="14"/>
  <c r="D461" i="14"/>
  <c r="D453" i="14"/>
  <c r="D445" i="14"/>
  <c r="D437" i="14"/>
  <c r="D429" i="14"/>
  <c r="D421" i="14"/>
  <c r="D413" i="14"/>
  <c r="D405" i="14"/>
  <c r="D397" i="14"/>
  <c r="D389" i="14"/>
  <c r="D381" i="14"/>
  <c r="D373" i="14"/>
  <c r="D365" i="14"/>
  <c r="D357" i="14"/>
  <c r="D349" i="14"/>
  <c r="D341" i="14"/>
  <c r="D333" i="14"/>
  <c r="D325" i="14"/>
  <c r="D317" i="14"/>
  <c r="D309" i="14"/>
  <c r="E2382" i="14"/>
  <c r="E2366" i="14"/>
  <c r="E2350" i="14"/>
  <c r="E2334" i="14"/>
  <c r="E2318" i="14"/>
  <c r="E2304" i="14"/>
  <c r="E2296" i="14"/>
  <c r="E2288" i="14"/>
  <c r="E2280" i="14"/>
  <c r="E2272" i="14"/>
  <c r="E2264" i="14"/>
  <c r="E2256" i="14"/>
  <c r="E2248" i="14"/>
  <c r="E2240" i="14"/>
  <c r="E2232" i="14"/>
  <c r="E2224" i="14"/>
  <c r="E2216" i="14"/>
  <c r="E2208" i="14"/>
  <c r="E2200" i="14"/>
  <c r="E2192" i="14"/>
  <c r="E2184" i="14"/>
  <c r="E2176" i="14"/>
  <c r="E2168" i="14"/>
  <c r="E2160" i="14"/>
  <c r="E2152" i="14"/>
  <c r="E2144" i="14"/>
  <c r="E2136" i="14"/>
  <c r="E2128" i="14"/>
  <c r="E2120" i="14"/>
  <c r="E2112" i="14"/>
  <c r="E2104" i="14"/>
  <c r="E2096" i="14"/>
  <c r="E2088" i="14"/>
  <c r="E2080" i="14"/>
  <c r="E2072" i="14"/>
  <c r="E2064" i="14"/>
  <c r="E2056" i="14"/>
  <c r="E2048" i="14"/>
  <c r="E2040" i="14"/>
  <c r="E2032" i="14"/>
  <c r="E2024" i="14"/>
  <c r="E2016" i="14"/>
  <c r="E2008" i="14"/>
  <c r="E2000" i="14"/>
  <c r="E1992" i="14"/>
  <c r="E1984" i="14"/>
  <c r="E1976" i="14"/>
  <c r="E1968" i="14"/>
  <c r="E1960" i="14"/>
  <c r="E1952" i="14"/>
  <c r="E1944" i="14"/>
  <c r="E1936" i="14"/>
  <c r="E1928" i="14"/>
  <c r="E1920" i="14"/>
  <c r="E1912" i="14"/>
  <c r="E1904" i="14"/>
  <c r="E1896" i="14"/>
  <c r="E1888" i="14"/>
  <c r="E1880" i="14"/>
  <c r="E1872" i="14"/>
  <c r="E1864" i="14"/>
  <c r="E1856" i="14"/>
  <c r="E1848" i="14"/>
  <c r="E1840" i="14"/>
  <c r="E1832" i="14"/>
  <c r="E1824" i="14"/>
  <c r="E1816" i="14"/>
  <c r="E1808" i="14"/>
  <c r="E1800" i="14"/>
  <c r="E1792" i="14"/>
  <c r="E1784" i="14"/>
  <c r="E1776" i="14"/>
  <c r="E1768" i="14"/>
  <c r="E1760" i="14"/>
  <c r="E1752" i="14"/>
  <c r="E1744" i="14"/>
  <c r="E1736" i="14"/>
  <c r="E1728" i="14"/>
  <c r="E1720" i="14"/>
  <c r="E1712" i="14"/>
  <c r="E1704" i="14"/>
  <c r="E1696" i="14"/>
  <c r="E1688" i="14"/>
  <c r="E1680" i="14"/>
  <c r="E1672" i="14"/>
  <c r="E1664" i="14"/>
  <c r="E1656" i="14"/>
  <c r="E1648" i="14"/>
  <c r="E1640" i="14"/>
  <c r="E1632" i="14"/>
  <c r="E1624" i="14"/>
  <c r="E1616" i="14"/>
  <c r="E1608" i="14"/>
  <c r="E1600" i="14"/>
  <c r="E1592" i="14"/>
  <c r="E1584" i="14"/>
  <c r="E1576" i="14"/>
  <c r="E1568" i="14"/>
  <c r="E1560" i="14"/>
  <c r="E1552" i="14"/>
  <c r="E1544" i="14"/>
  <c r="E1536" i="14"/>
  <c r="E1528" i="14"/>
  <c r="E1520" i="14"/>
  <c r="E1512" i="14"/>
  <c r="E1504" i="14"/>
  <c r="E1496" i="14"/>
  <c r="E1488" i="14"/>
  <c r="E1480" i="14"/>
  <c r="E1472" i="14"/>
  <c r="E1464" i="14"/>
  <c r="E1456" i="14"/>
  <c r="E1448" i="14"/>
  <c r="E1440" i="14"/>
  <c r="E1432" i="14"/>
  <c r="E1424" i="14"/>
  <c r="E1416" i="14"/>
  <c r="E1408" i="14"/>
  <c r="E1400" i="14"/>
  <c r="E1392" i="14"/>
  <c r="E1384" i="14"/>
  <c r="E1376" i="14"/>
  <c r="E1368" i="14"/>
  <c r="E1360" i="14"/>
  <c r="E1352" i="14"/>
  <c r="E1344" i="14"/>
  <c r="E1336" i="14"/>
  <c r="E1328" i="14"/>
  <c r="E1320" i="14"/>
  <c r="E1312" i="14"/>
  <c r="E1304" i="14"/>
  <c r="E1296" i="14"/>
  <c r="E1288" i="14"/>
  <c r="E1280" i="14"/>
  <c r="E1272" i="14"/>
  <c r="E1264" i="14"/>
  <c r="E1256" i="14"/>
  <c r="E1248" i="14"/>
  <c r="E1240" i="14"/>
  <c r="E1232" i="14"/>
  <c r="E1224" i="14"/>
  <c r="E1216" i="14"/>
  <c r="E1208" i="14"/>
  <c r="E1200" i="14"/>
  <c r="E1192" i="14"/>
  <c r="E1184" i="14"/>
  <c r="E1176" i="14"/>
  <c r="E1168" i="14"/>
  <c r="E1160" i="14"/>
  <c r="E1152" i="14"/>
  <c r="E1144" i="14"/>
  <c r="E1136" i="14"/>
  <c r="E1128" i="14"/>
  <c r="E1120" i="14"/>
  <c r="E1112" i="14"/>
  <c r="E1104" i="14"/>
  <c r="E1096" i="14"/>
  <c r="E1088" i="14"/>
  <c r="E1080" i="14"/>
  <c r="E1072" i="14"/>
  <c r="E1064" i="14"/>
  <c r="E1056" i="14"/>
  <c r="E1048" i="14"/>
  <c r="E1040" i="14"/>
  <c r="E1032" i="14"/>
  <c r="E1024" i="14"/>
  <c r="E1016" i="14"/>
  <c r="E1008" i="14"/>
  <c r="E1000" i="14"/>
  <c r="E992" i="14"/>
  <c r="E984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72" i="14"/>
  <c r="E664" i="14"/>
  <c r="E656" i="14"/>
  <c r="E648" i="14"/>
  <c r="E640" i="14"/>
  <c r="E632" i="14"/>
  <c r="E624" i="14"/>
  <c r="E616" i="14"/>
  <c r="E608" i="14"/>
  <c r="E600" i="14"/>
  <c r="E592" i="14"/>
  <c r="E584" i="14"/>
  <c r="E576" i="14"/>
  <c r="E568" i="14"/>
  <c r="E560" i="14"/>
  <c r="E552" i="14"/>
  <c r="E544" i="14"/>
  <c r="E536" i="14"/>
  <c r="E528" i="14"/>
  <c r="E508" i="14"/>
  <c r="E492" i="14"/>
  <c r="E476" i="14"/>
  <c r="E460" i="14"/>
  <c r="E444" i="14"/>
  <c r="E428" i="14"/>
  <c r="E412" i="14"/>
  <c r="E396" i="14"/>
  <c r="E380" i="14"/>
  <c r="E364" i="14"/>
  <c r="E348" i="14"/>
  <c r="E332" i="14"/>
  <c r="E316" i="14"/>
  <c r="D303" i="14"/>
  <c r="D295" i="14"/>
  <c r="D287" i="14"/>
  <c r="D279" i="14"/>
  <c r="D271" i="14"/>
  <c r="D263" i="14"/>
  <c r="D255" i="14"/>
  <c r="D247" i="14"/>
  <c r="D239" i="14"/>
  <c r="D231" i="14"/>
  <c r="D223" i="14"/>
  <c r="D215" i="14"/>
  <c r="D207" i="14"/>
  <c r="D199" i="14"/>
  <c r="D191" i="14"/>
  <c r="D183" i="14"/>
  <c r="D175" i="14"/>
  <c r="D167" i="14"/>
  <c r="D159" i="14"/>
  <c r="D151" i="14"/>
  <c r="D143" i="14"/>
  <c r="D135" i="14"/>
  <c r="D127" i="14"/>
  <c r="D119" i="14"/>
  <c r="D111" i="14"/>
  <c r="D103" i="14"/>
  <c r="D95" i="14"/>
  <c r="D87" i="14"/>
  <c r="D79" i="14"/>
  <c r="D71" i="14"/>
  <c r="D63" i="14"/>
  <c r="D55" i="14"/>
  <c r="D47" i="14"/>
  <c r="D39" i="14"/>
  <c r="D31" i="14"/>
  <c r="D23" i="14"/>
  <c r="D15" i="14"/>
  <c r="D7" i="14"/>
  <c r="D1048" i="13"/>
  <c r="D1040" i="13"/>
  <c r="D1032" i="13"/>
  <c r="D1024" i="13"/>
  <c r="D1016" i="13"/>
  <c r="D1008" i="13"/>
  <c r="D1000" i="13"/>
  <c r="D992" i="13"/>
  <c r="D984" i="13"/>
  <c r="D976" i="13"/>
  <c r="D968" i="13"/>
  <c r="D960" i="13"/>
  <c r="D952" i="13"/>
  <c r="D944" i="13"/>
  <c r="D936" i="13"/>
  <c r="D928" i="13"/>
  <c r="D920" i="13"/>
  <c r="D912" i="13"/>
  <c r="D904" i="13"/>
  <c r="D896" i="13"/>
  <c r="D888" i="13"/>
  <c r="D880" i="13"/>
  <c r="D872" i="13"/>
  <c r="D864" i="13"/>
  <c r="D856" i="13"/>
  <c r="D848" i="13"/>
  <c r="D840" i="13"/>
  <c r="D832" i="13"/>
  <c r="D824" i="13"/>
  <c r="D816" i="13"/>
  <c r="D808" i="13"/>
  <c r="D800" i="13"/>
  <c r="D792" i="13"/>
  <c r="D784" i="13"/>
  <c r="D776" i="13"/>
  <c r="D768" i="13"/>
  <c r="D760" i="13"/>
  <c r="D752" i="13"/>
  <c r="D744" i="13"/>
  <c r="D736" i="13"/>
  <c r="D728" i="13"/>
  <c r="D720" i="13"/>
  <c r="D712" i="13"/>
  <c r="D704" i="13"/>
  <c r="D696" i="13"/>
  <c r="D688" i="13"/>
  <c r="D680" i="13"/>
  <c r="D672" i="13"/>
  <c r="D664" i="13"/>
  <c r="D656" i="13"/>
  <c r="D648" i="13"/>
  <c r="D640" i="13"/>
  <c r="D632" i="13"/>
  <c r="D624" i="13"/>
  <c r="D616" i="13"/>
  <c r="D608" i="13"/>
  <c r="D600" i="13"/>
  <c r="D592" i="13"/>
  <c r="D584" i="13"/>
  <c r="D576" i="13"/>
  <c r="D568" i="13"/>
  <c r="D560" i="13"/>
  <c r="D552" i="13"/>
  <c r="D544" i="13"/>
  <c r="D536" i="13"/>
  <c r="D528" i="13"/>
  <c r="D520" i="13"/>
  <c r="D512" i="13"/>
  <c r="D504" i="13"/>
  <c r="D496" i="13"/>
  <c r="D488" i="13"/>
  <c r="D480" i="13"/>
  <c r="D472" i="13"/>
  <c r="D464" i="13"/>
  <c r="D456" i="13"/>
  <c r="D448" i="13"/>
  <c r="D440" i="13"/>
  <c r="D432" i="13"/>
  <c r="D424" i="13"/>
  <c r="D416" i="13"/>
  <c r="D408" i="13"/>
  <c r="D400" i="13"/>
  <c r="D392" i="13"/>
  <c r="D384" i="13"/>
  <c r="D376" i="13"/>
  <c r="D368" i="13"/>
  <c r="D360" i="13"/>
  <c r="D352" i="13"/>
  <c r="D344" i="13"/>
  <c r="D336" i="13"/>
  <c r="D328" i="13"/>
  <c r="D320" i="13"/>
  <c r="D312" i="13"/>
  <c r="D304" i="13"/>
  <c r="D296" i="13"/>
  <c r="D288" i="13"/>
  <c r="D280" i="13"/>
  <c r="D272" i="13"/>
  <c r="D264" i="13"/>
  <c r="D256" i="13"/>
  <c r="D248" i="13"/>
  <c r="D240" i="13"/>
  <c r="D232" i="13"/>
  <c r="D224" i="13"/>
  <c r="D216" i="13"/>
  <c r="D208" i="13"/>
  <c r="D200" i="13"/>
  <c r="D192" i="13"/>
  <c r="D184" i="13"/>
  <c r="D176" i="13"/>
  <c r="D168" i="13"/>
  <c r="D160" i="13"/>
  <c r="D152" i="13"/>
  <c r="D144" i="13"/>
  <c r="D136" i="13"/>
  <c r="D128" i="13"/>
  <c r="D120" i="13"/>
  <c r="D112" i="13"/>
  <c r="D104" i="13"/>
  <c r="D96" i="13"/>
  <c r="D88" i="13"/>
  <c r="D80" i="13"/>
  <c r="D72" i="13"/>
  <c r="D64" i="13"/>
  <c r="D56" i="13"/>
  <c r="D48" i="13"/>
  <c r="D40" i="13"/>
  <c r="D32" i="13"/>
  <c r="D24" i="13"/>
  <c r="D16" i="13"/>
  <c r="D8" i="13"/>
  <c r="D614" i="12"/>
  <c r="D606" i="12"/>
  <c r="D598" i="12"/>
  <c r="D590" i="12"/>
  <c r="D582" i="12"/>
  <c r="D574" i="12"/>
  <c r="D566" i="12"/>
  <c r="D558" i="12"/>
  <c r="D550" i="12"/>
  <c r="D542" i="12"/>
  <c r="D534" i="12"/>
  <c r="D526" i="12"/>
  <c r="D518" i="12"/>
  <c r="D914" i="13"/>
  <c r="D882" i="13"/>
  <c r="D850" i="13"/>
  <c r="D818" i="13"/>
  <c r="D786" i="13"/>
  <c r="D754" i="13"/>
  <c r="D722" i="13"/>
  <c r="D690" i="13"/>
  <c r="D658" i="13"/>
  <c r="D626" i="13"/>
  <c r="D594" i="13"/>
  <c r="D562" i="13"/>
  <c r="D530" i="13"/>
  <c r="D498" i="13"/>
  <c r="D466" i="13"/>
  <c r="D434" i="13"/>
  <c r="D402" i="13"/>
  <c r="D370" i="13"/>
  <c r="D338" i="13"/>
  <c r="D306" i="13"/>
  <c r="D274" i="13"/>
  <c r="D242" i="13"/>
  <c r="D210" i="13"/>
  <c r="D178" i="13"/>
  <c r="D146" i="13"/>
  <c r="D114" i="13"/>
  <c r="D82" i="13"/>
  <c r="D50" i="13"/>
  <c r="D18" i="13"/>
  <c r="D600" i="12"/>
  <c r="D568" i="12"/>
  <c r="D536" i="12"/>
  <c r="D510" i="12"/>
  <c r="D494" i="12"/>
  <c r="D478" i="12"/>
  <c r="D462" i="12"/>
  <c r="D446" i="12"/>
  <c r="D430" i="12"/>
  <c r="D414" i="12"/>
  <c r="D398" i="12"/>
  <c r="D382" i="12"/>
  <c r="D366" i="12"/>
  <c r="D350" i="12"/>
  <c r="D334" i="12"/>
  <c r="D318" i="12"/>
  <c r="D302" i="12"/>
  <c r="D286" i="12"/>
  <c r="D270" i="12"/>
  <c r="D254" i="12"/>
  <c r="D238" i="12"/>
  <c r="D222" i="12"/>
  <c r="D206" i="12"/>
  <c r="D190" i="12"/>
  <c r="D174" i="12"/>
  <c r="D158" i="12"/>
  <c r="D142" i="12"/>
  <c r="D126" i="12"/>
  <c r="D110" i="12"/>
  <c r="D94" i="12"/>
  <c r="D78" i="12"/>
  <c r="D62" i="12"/>
  <c r="D46" i="12"/>
  <c r="E515" i="14"/>
  <c r="E483" i="14"/>
  <c r="E451" i="14"/>
  <c r="E419" i="14"/>
  <c r="E387" i="14"/>
  <c r="E355" i="14"/>
  <c r="E323" i="14"/>
  <c r="E298" i="14"/>
  <c r="E282" i="14"/>
  <c r="E266" i="14"/>
  <c r="E250" i="14"/>
  <c r="E234" i="14"/>
  <c r="E218" i="14"/>
  <c r="E202" i="14"/>
  <c r="E186" i="14"/>
  <c r="E170" i="14"/>
  <c r="E154" i="14"/>
  <c r="E138" i="14"/>
  <c r="E122" i="14"/>
  <c r="E106" i="14"/>
  <c r="E90" i="14"/>
  <c r="E74" i="14"/>
  <c r="E58" i="14"/>
  <c r="E42" i="14"/>
  <c r="E26" i="14"/>
  <c r="E10" i="14"/>
  <c r="E1043" i="13"/>
  <c r="E1027" i="13"/>
  <c r="E1011" i="13"/>
  <c r="E995" i="13"/>
  <c r="E979" i="13"/>
  <c r="E963" i="13"/>
  <c r="E947" i="13"/>
  <c r="E931" i="13"/>
  <c r="E915" i="13"/>
  <c r="E899" i="13"/>
  <c r="E883" i="13"/>
  <c r="E867" i="13"/>
  <c r="E851" i="13"/>
  <c r="E835" i="13"/>
  <c r="E819" i="13"/>
  <c r="E803" i="13"/>
  <c r="E787" i="13"/>
  <c r="E771" i="13"/>
  <c r="E755" i="13"/>
  <c r="E739" i="13"/>
  <c r="E723" i="13"/>
  <c r="E707" i="13"/>
  <c r="E691" i="13"/>
  <c r="E675" i="13"/>
  <c r="E659" i="13"/>
  <c r="E643" i="13"/>
  <c r="E627" i="13"/>
  <c r="E611" i="13"/>
  <c r="E595" i="13"/>
  <c r="E579" i="13"/>
  <c r="E571" i="13"/>
  <c r="E563" i="13"/>
  <c r="E555" i="13"/>
  <c r="E547" i="13"/>
  <c r="E539" i="13"/>
  <c r="E531" i="13"/>
  <c r="E523" i="13"/>
  <c r="E515" i="13"/>
  <c r="E507" i="13"/>
  <c r="E499" i="13"/>
  <c r="E491" i="13"/>
  <c r="E483" i="13"/>
  <c r="E475" i="13"/>
  <c r="E467" i="13"/>
  <c r="E459" i="13"/>
  <c r="E451" i="13"/>
  <c r="E443" i="13"/>
  <c r="E435" i="13"/>
  <c r="E427" i="13"/>
  <c r="E419" i="13"/>
  <c r="E411" i="13"/>
  <c r="E403" i="13"/>
  <c r="E395" i="13"/>
  <c r="E387" i="13"/>
  <c r="E379" i="13"/>
  <c r="E371" i="13"/>
  <c r="E363" i="13"/>
  <c r="E355" i="13"/>
  <c r="E347" i="13"/>
  <c r="E339" i="13"/>
  <c r="E331" i="13"/>
  <c r="E323" i="13"/>
  <c r="E315" i="13"/>
  <c r="E307" i="13"/>
  <c r="E299" i="13"/>
  <c r="E291" i="13"/>
  <c r="E283" i="13"/>
  <c r="E275" i="13"/>
  <c r="E267" i="13"/>
  <c r="E259" i="13"/>
  <c r="E251" i="13"/>
  <c r="E243" i="13"/>
  <c r="E235" i="13"/>
  <c r="E227" i="13"/>
  <c r="E219" i="13"/>
  <c r="E211" i="13"/>
  <c r="E203" i="13"/>
  <c r="E195" i="13"/>
  <c r="E187" i="13"/>
  <c r="E179" i="13"/>
  <c r="E171" i="13"/>
  <c r="E163" i="13"/>
  <c r="E155" i="13"/>
  <c r="E147" i="13"/>
  <c r="E139" i="13"/>
  <c r="E131" i="13"/>
  <c r="E123" i="13"/>
  <c r="E115" i="13"/>
  <c r="E107" i="13"/>
  <c r="E99" i="13"/>
  <c r="E91" i="13"/>
  <c r="E83" i="13"/>
  <c r="E75" i="13"/>
  <c r="E67" i="13"/>
  <c r="E59" i="13"/>
  <c r="E51" i="13"/>
  <c r="E43" i="13"/>
  <c r="E35" i="13"/>
  <c r="E27" i="13"/>
  <c r="E19" i="13"/>
  <c r="E11" i="13"/>
  <c r="E3" i="13"/>
  <c r="E609" i="12"/>
  <c r="E601" i="12"/>
  <c r="E593" i="12"/>
  <c r="E585" i="12"/>
  <c r="E577" i="12"/>
  <c r="E569" i="12"/>
  <c r="E561" i="12"/>
  <c r="E553" i="12"/>
  <c r="E545" i="12"/>
  <c r="E537" i="12"/>
  <c r="E529" i="12"/>
  <c r="E521" i="12"/>
  <c r="E513" i="12"/>
  <c r="E505" i="12"/>
  <c r="E497" i="12"/>
  <c r="E489" i="12"/>
  <c r="E481" i="12"/>
  <c r="E473" i="12"/>
  <c r="E465" i="12"/>
  <c r="E457" i="12"/>
  <c r="E449" i="12"/>
  <c r="E441" i="12"/>
  <c r="E433" i="12"/>
  <c r="E425" i="12"/>
  <c r="E417" i="12"/>
  <c r="E409" i="12"/>
  <c r="E401" i="12"/>
  <c r="E393" i="12"/>
  <c r="E385" i="12"/>
  <c r="E377" i="12"/>
  <c r="E369" i="12"/>
  <c r="E361" i="12"/>
  <c r="E353" i="12"/>
  <c r="E345" i="12"/>
  <c r="E337" i="12"/>
  <c r="E329" i="12"/>
  <c r="E321" i="12"/>
  <c r="E313" i="12"/>
  <c r="E305" i="12"/>
  <c r="E297" i="12"/>
  <c r="E289" i="12"/>
  <c r="E281" i="12"/>
  <c r="E273" i="12"/>
  <c r="E265" i="12"/>
  <c r="E257" i="12"/>
  <c r="E249" i="12"/>
  <c r="E241" i="12"/>
  <c r="E233" i="12"/>
  <c r="E225" i="12"/>
  <c r="E524" i="14"/>
  <c r="E506" i="14"/>
  <c r="E490" i="14"/>
  <c r="E474" i="14"/>
  <c r="E458" i="14"/>
  <c r="E442" i="14"/>
  <c r="E426" i="14"/>
  <c r="E410" i="14"/>
  <c r="E394" i="14"/>
  <c r="E378" i="14"/>
  <c r="E362" i="14"/>
  <c r="E346" i="14"/>
  <c r="E330" i="14"/>
  <c r="E314" i="14"/>
  <c r="D302" i="14"/>
  <c r="D294" i="14"/>
  <c r="D286" i="14"/>
  <c r="D278" i="14"/>
  <c r="D270" i="14"/>
  <c r="D262" i="14"/>
  <c r="D254" i="14"/>
  <c r="D246" i="14"/>
  <c r="D238" i="14"/>
  <c r="D230" i="14"/>
  <c r="D222" i="14"/>
  <c r="D214" i="14"/>
  <c r="D206" i="14"/>
  <c r="D198" i="14"/>
  <c r="D190" i="14"/>
  <c r="D182" i="14"/>
  <c r="D174" i="14"/>
  <c r="D166" i="14"/>
  <c r="D158" i="14"/>
  <c r="D150" i="14"/>
  <c r="D142" i="14"/>
  <c r="D134" i="14"/>
  <c r="D126" i="14"/>
  <c r="D118" i="14"/>
  <c r="D110" i="14"/>
  <c r="D102" i="14"/>
  <c r="D94" i="14"/>
  <c r="D86" i="14"/>
  <c r="D78" i="14"/>
  <c r="D70" i="14"/>
  <c r="D62" i="14"/>
  <c r="D54" i="14"/>
  <c r="D46" i="14"/>
  <c r="D38" i="14"/>
  <c r="D30" i="14"/>
  <c r="D22" i="14"/>
  <c r="D14" i="14"/>
  <c r="D6" i="14"/>
  <c r="D1047" i="13"/>
  <c r="D1039" i="13"/>
  <c r="D1031" i="13"/>
  <c r="D1023" i="13"/>
  <c r="D1015" i="13"/>
  <c r="D1007" i="13"/>
  <c r="D999" i="13"/>
  <c r="D991" i="13"/>
  <c r="D983" i="13"/>
  <c r="D975" i="13"/>
  <c r="D967" i="13"/>
  <c r="D959" i="13"/>
  <c r="D951" i="13"/>
  <c r="D943" i="13"/>
  <c r="D935" i="13"/>
  <c r="D927" i="13"/>
  <c r="D919" i="13"/>
  <c r="D911" i="13"/>
  <c r="D903" i="13"/>
  <c r="D895" i="13"/>
  <c r="D887" i="13"/>
  <c r="D879" i="13"/>
  <c r="D871" i="13"/>
  <c r="D863" i="13"/>
  <c r="D855" i="13"/>
  <c r="D847" i="13"/>
  <c r="D839" i="13"/>
  <c r="D831" i="13"/>
  <c r="D823" i="13"/>
  <c r="D815" i="13"/>
  <c r="D807" i="13"/>
  <c r="D799" i="13"/>
  <c r="D791" i="13"/>
  <c r="D783" i="13"/>
  <c r="D775" i="13"/>
  <c r="D767" i="13"/>
  <c r="D759" i="13"/>
  <c r="D751" i="13"/>
  <c r="D743" i="13"/>
  <c r="D735" i="13"/>
  <c r="D727" i="13"/>
  <c r="D719" i="13"/>
  <c r="D711" i="13"/>
  <c r="D703" i="13"/>
  <c r="D695" i="13"/>
  <c r="D687" i="13"/>
  <c r="D679" i="13"/>
  <c r="D671" i="13"/>
  <c r="D663" i="13"/>
  <c r="D655" i="13"/>
  <c r="D647" i="13"/>
  <c r="D639" i="13"/>
  <c r="D631" i="13"/>
  <c r="D623" i="13"/>
  <c r="D615" i="13"/>
  <c r="D607" i="13"/>
  <c r="D599" i="13"/>
  <c r="D591" i="13"/>
  <c r="D583" i="13"/>
  <c r="D575" i="13"/>
  <c r="D567" i="13"/>
  <c r="D559" i="13"/>
  <c r="D551" i="13"/>
  <c r="D543" i="13"/>
  <c r="D535" i="13"/>
  <c r="D527" i="13"/>
  <c r="D519" i="13"/>
  <c r="D511" i="13"/>
  <c r="D503" i="13"/>
  <c r="D495" i="13"/>
  <c r="D487" i="13"/>
  <c r="D479" i="13"/>
  <c r="D471" i="13"/>
  <c r="D463" i="13"/>
  <c r="D455" i="13"/>
  <c r="D447" i="13"/>
  <c r="D439" i="13"/>
  <c r="D431" i="13"/>
  <c r="D423" i="13"/>
  <c r="D415" i="13"/>
  <c r="D407" i="13"/>
  <c r="D399" i="13"/>
  <c r="D391" i="13"/>
  <c r="D383" i="13"/>
  <c r="D375" i="13"/>
  <c r="D367" i="13"/>
  <c r="D359" i="13"/>
  <c r="D351" i="13"/>
  <c r="D343" i="13"/>
  <c r="D335" i="13"/>
  <c r="D327" i="13"/>
  <c r="D319" i="13"/>
  <c r="D311" i="13"/>
  <c r="D303" i="13"/>
  <c r="D295" i="13"/>
  <c r="D287" i="13"/>
  <c r="D279" i="13"/>
  <c r="D271" i="13"/>
  <c r="D263" i="13"/>
  <c r="D255" i="13"/>
  <c r="D247" i="13"/>
  <c r="D239" i="13"/>
  <c r="D231" i="13"/>
  <c r="D223" i="13"/>
  <c r="D215" i="13"/>
  <c r="D207" i="13"/>
  <c r="D199" i="13"/>
  <c r="D191" i="13"/>
  <c r="D183" i="13"/>
  <c r="D175" i="13"/>
  <c r="D167" i="13"/>
  <c r="D159" i="13"/>
  <c r="D151" i="13"/>
  <c r="D143" i="13"/>
  <c r="D135" i="13"/>
  <c r="D127" i="13"/>
  <c r="D119" i="13"/>
  <c r="D111" i="13"/>
  <c r="D103" i="13"/>
  <c r="D95" i="13"/>
  <c r="D87" i="13"/>
  <c r="D79" i="13"/>
  <c r="D71" i="13"/>
  <c r="D63" i="13"/>
  <c r="D55" i="13"/>
  <c r="D47" i="13"/>
  <c r="D39" i="13"/>
  <c r="D31" i="13"/>
  <c r="D23" i="13"/>
  <c r="D15" i="13"/>
  <c r="D7" i="13"/>
  <c r="D613" i="12"/>
  <c r="D605" i="12"/>
  <c r="D597" i="12"/>
  <c r="D589" i="12"/>
  <c r="D581" i="12"/>
  <c r="D573" i="12"/>
  <c r="D565" i="12"/>
  <c r="D557" i="12"/>
  <c r="D549" i="12"/>
  <c r="D541" i="12"/>
  <c r="D533" i="12"/>
  <c r="D525" i="12"/>
  <c r="D517" i="12"/>
  <c r="D509" i="12"/>
  <c r="D501" i="12"/>
  <c r="D493" i="12"/>
  <c r="D485" i="12"/>
  <c r="D477" i="12"/>
  <c r="D469" i="12"/>
  <c r="D461" i="12"/>
  <c r="D453" i="12"/>
  <c r="D445" i="12"/>
  <c r="D437" i="12"/>
  <c r="D429" i="12"/>
  <c r="D421" i="12"/>
  <c r="D413" i="12"/>
  <c r="D405" i="12"/>
  <c r="D397" i="12"/>
  <c r="D389" i="12"/>
  <c r="D381" i="12"/>
  <c r="D373" i="12"/>
  <c r="D365" i="12"/>
  <c r="D357" i="12"/>
  <c r="D349" i="12"/>
  <c r="D341" i="12"/>
  <c r="D333" i="12"/>
  <c r="D325" i="12"/>
  <c r="D317" i="12"/>
  <c r="D309" i="12"/>
  <c r="D301" i="12"/>
  <c r="D293" i="12"/>
  <c r="D285" i="12"/>
  <c r="D277" i="12"/>
  <c r="D269" i="12"/>
  <c r="D261" i="12"/>
  <c r="D253" i="12"/>
  <c r="D245" i="12"/>
  <c r="D237" i="12"/>
  <c r="D229" i="12"/>
  <c r="D221" i="12"/>
  <c r="D213" i="12"/>
  <c r="D205" i="12"/>
  <c r="D197" i="12"/>
  <c r="D189" i="12"/>
  <c r="D181" i="12"/>
  <c r="D173" i="12"/>
  <c r="D165" i="12"/>
  <c r="D157" i="12"/>
  <c r="D149" i="12"/>
  <c r="D141" i="12"/>
  <c r="D133" i="12"/>
  <c r="D125" i="12"/>
  <c r="D117" i="12"/>
  <c r="D109" i="12"/>
  <c r="D101" i="12"/>
  <c r="D93" i="12"/>
  <c r="D85" i="12"/>
  <c r="D77" i="12"/>
  <c r="D69" i="12"/>
  <c r="D61" i="12"/>
  <c r="D53" i="12"/>
  <c r="D45" i="12"/>
  <c r="D37" i="12"/>
  <c r="E517" i="14"/>
  <c r="E501" i="14"/>
  <c r="E485" i="14"/>
  <c r="E469" i="14"/>
  <c r="E453" i="14"/>
  <c r="E437" i="14"/>
  <c r="E421" i="14"/>
  <c r="E405" i="14"/>
  <c r="E389" i="14"/>
  <c r="E373" i="14"/>
  <c r="E357" i="14"/>
  <c r="E341" i="14"/>
  <c r="E325" i="14"/>
  <c r="E309" i="14"/>
  <c r="E299" i="14"/>
  <c r="E291" i="14"/>
  <c r="E283" i="14"/>
  <c r="E275" i="14"/>
  <c r="E267" i="14"/>
  <c r="E259" i="14"/>
  <c r="E251" i="14"/>
  <c r="E243" i="14"/>
  <c r="E235" i="14"/>
  <c r="E227" i="14"/>
  <c r="E219" i="14"/>
  <c r="E211" i="14"/>
  <c r="E203" i="14"/>
  <c r="E195" i="14"/>
  <c r="E187" i="14"/>
  <c r="E179" i="14"/>
  <c r="E171" i="14"/>
  <c r="E163" i="14"/>
  <c r="E155" i="14"/>
  <c r="E147" i="14"/>
  <c r="E139" i="14"/>
  <c r="E131" i="14"/>
  <c r="E123" i="14"/>
  <c r="E115" i="14"/>
  <c r="E107" i="14"/>
  <c r="E99" i="14"/>
  <c r="E91" i="14"/>
  <c r="E83" i="14"/>
  <c r="E75" i="14"/>
  <c r="E67" i="14"/>
  <c r="E59" i="14"/>
  <c r="E51" i="14"/>
  <c r="E43" i="14"/>
  <c r="E35" i="14"/>
  <c r="E27" i="14"/>
  <c r="E19" i="14"/>
  <c r="E11" i="14"/>
  <c r="E3" i="14"/>
  <c r="E1044" i="13"/>
  <c r="E1036" i="13"/>
  <c r="E1028" i="13"/>
  <c r="E1020" i="13"/>
  <c r="E1012" i="13"/>
  <c r="E1004" i="13"/>
  <c r="E996" i="13"/>
  <c r="E988" i="13"/>
  <c r="E980" i="13"/>
  <c r="E972" i="13"/>
  <c r="E964" i="13"/>
  <c r="E956" i="13"/>
  <c r="E948" i="13"/>
  <c r="E940" i="13"/>
  <c r="E932" i="13"/>
  <c r="E924" i="13"/>
  <c r="E916" i="13"/>
  <c r="E908" i="13"/>
  <c r="E900" i="13"/>
  <c r="E892" i="13"/>
  <c r="E884" i="13"/>
  <c r="E876" i="13"/>
  <c r="E868" i="13"/>
  <c r="E860" i="13"/>
  <c r="E852" i="13"/>
  <c r="E844" i="13"/>
  <c r="E836" i="13"/>
  <c r="E828" i="13"/>
  <c r="E820" i="13"/>
  <c r="E812" i="13"/>
  <c r="E804" i="13"/>
  <c r="E796" i="13"/>
  <c r="E788" i="13"/>
  <c r="E780" i="13"/>
  <c r="E772" i="13"/>
  <c r="E764" i="13"/>
  <c r="E756" i="13"/>
  <c r="E748" i="13"/>
  <c r="E740" i="13"/>
  <c r="E732" i="13"/>
  <c r="E724" i="13"/>
  <c r="E716" i="13"/>
  <c r="E708" i="13"/>
  <c r="E700" i="13"/>
  <c r="E692" i="13"/>
  <c r="E684" i="13"/>
  <c r="E676" i="13"/>
  <c r="E668" i="13"/>
  <c r="E660" i="13"/>
  <c r="E652" i="13"/>
  <c r="E644" i="13"/>
  <c r="E636" i="13"/>
  <c r="E628" i="13"/>
  <c r="E620" i="13"/>
  <c r="E612" i="13"/>
  <c r="E604" i="13"/>
  <c r="E596" i="13"/>
  <c r="E588" i="13"/>
  <c r="E580" i="13"/>
  <c r="E572" i="13"/>
  <c r="E564" i="13"/>
  <c r="E556" i="13"/>
  <c r="E548" i="13"/>
  <c r="E540" i="13"/>
  <c r="E532" i="13"/>
  <c r="E524" i="13"/>
  <c r="E516" i="13"/>
  <c r="E508" i="13"/>
  <c r="E500" i="13"/>
  <c r="E492" i="13"/>
  <c r="E484" i="13"/>
  <c r="E476" i="13"/>
  <c r="E468" i="13"/>
  <c r="E460" i="13"/>
  <c r="E452" i="13"/>
  <c r="E444" i="13"/>
  <c r="E436" i="13"/>
  <c r="E428" i="13"/>
  <c r="E420" i="13"/>
  <c r="E412" i="13"/>
  <c r="E404" i="13"/>
  <c r="E396" i="13"/>
  <c r="E388" i="13"/>
  <c r="E380" i="13"/>
  <c r="E372" i="13"/>
  <c r="E364" i="13"/>
  <c r="E356" i="13"/>
  <c r="E348" i="13"/>
  <c r="E340" i="13"/>
  <c r="E332" i="13"/>
  <c r="E324" i="13"/>
  <c r="E316" i="13"/>
  <c r="E308" i="13"/>
  <c r="E300" i="13"/>
  <c r="E292" i="13"/>
  <c r="E284" i="13"/>
  <c r="E276" i="13"/>
  <c r="E268" i="13"/>
  <c r="E260" i="13"/>
  <c r="E252" i="13"/>
  <c r="E244" i="13"/>
  <c r="E236" i="13"/>
  <c r="E228" i="13"/>
  <c r="E220" i="13"/>
  <c r="E212" i="13"/>
  <c r="E204" i="13"/>
  <c r="E196" i="13"/>
  <c r="E188" i="13"/>
  <c r="E180" i="13"/>
  <c r="E172" i="13"/>
  <c r="E164" i="13"/>
  <c r="E156" i="13"/>
  <c r="E148" i="13"/>
  <c r="E140" i="13"/>
  <c r="E132" i="13"/>
  <c r="E124" i="13"/>
  <c r="E116" i="13"/>
  <c r="E108" i="13"/>
  <c r="E100" i="13"/>
  <c r="E92" i="13"/>
  <c r="E84" i="13"/>
  <c r="E76" i="13"/>
  <c r="E68" i="13"/>
  <c r="E60" i="13"/>
  <c r="E52" i="13"/>
  <c r="E44" i="13"/>
  <c r="E36" i="13"/>
  <c r="E28" i="13"/>
  <c r="E20" i="13"/>
  <c r="E12" i="13"/>
  <c r="E4" i="13"/>
  <c r="E610" i="12"/>
  <c r="E602" i="12"/>
  <c r="E594" i="12"/>
  <c r="E586" i="12"/>
  <c r="E578" i="12"/>
  <c r="D906" i="13"/>
  <c r="D874" i="13"/>
  <c r="D842" i="13"/>
  <c r="D810" i="13"/>
  <c r="D778" i="13"/>
  <c r="D746" i="13"/>
  <c r="D714" i="13"/>
  <c r="D682" i="13"/>
  <c r="D650" i="13"/>
  <c r="D618" i="13"/>
  <c r="D586" i="13"/>
  <c r="D554" i="13"/>
  <c r="D522" i="13"/>
  <c r="D490" i="13"/>
  <c r="D458" i="13"/>
  <c r="D426" i="13"/>
  <c r="D394" i="13"/>
  <c r="D362" i="13"/>
  <c r="D330" i="13"/>
  <c r="D298" i="13"/>
  <c r="D266" i="13"/>
  <c r="D234" i="13"/>
  <c r="D202" i="13"/>
  <c r="D170" i="13"/>
  <c r="D138" i="13"/>
  <c r="D106" i="13"/>
  <c r="D74" i="13"/>
  <c r="D42" i="13"/>
  <c r="D10" i="13"/>
  <c r="D592" i="12"/>
  <c r="D560" i="12"/>
  <c r="D528" i="12"/>
  <c r="D504" i="12"/>
  <c r="D488" i="12"/>
  <c r="D472" i="12"/>
  <c r="D456" i="12"/>
  <c r="D440" i="12"/>
  <c r="D424" i="12"/>
  <c r="D408" i="12"/>
  <c r="D392" i="12"/>
  <c r="D376" i="12"/>
  <c r="D360" i="12"/>
  <c r="D344" i="12"/>
  <c r="D328" i="12"/>
  <c r="D312" i="12"/>
  <c r="D296" i="12"/>
  <c r="D280" i="12"/>
  <c r="D264" i="12"/>
  <c r="D248" i="12"/>
  <c r="D232" i="12"/>
  <c r="D216" i="12"/>
  <c r="D200" i="12"/>
  <c r="D184" i="12"/>
  <c r="D168" i="12"/>
  <c r="D152" i="12"/>
  <c r="D136" i="12"/>
  <c r="D120" i="12"/>
  <c r="D104" i="12"/>
  <c r="D88" i="12"/>
  <c r="D72" i="12"/>
  <c r="D56" i="12"/>
  <c r="D40" i="12"/>
  <c r="E503" i="14"/>
  <c r="E471" i="14"/>
  <c r="E439" i="14"/>
  <c r="E407" i="14"/>
  <c r="E375" i="14"/>
  <c r="E343" i="14"/>
  <c r="E311" i="14"/>
  <c r="E292" i="14"/>
  <c r="E276" i="14"/>
  <c r="E260" i="14"/>
  <c r="E244" i="14"/>
  <c r="E228" i="14"/>
  <c r="E212" i="14"/>
  <c r="E196" i="14"/>
  <c r="E180" i="14"/>
  <c r="E164" i="14"/>
  <c r="E148" i="14"/>
  <c r="E132" i="14"/>
  <c r="E116" i="14"/>
  <c r="E100" i="14"/>
  <c r="E84" i="14"/>
  <c r="E68" i="14"/>
  <c r="E52" i="14"/>
  <c r="E36" i="14"/>
  <c r="E20" i="14"/>
  <c r="E4" i="14"/>
  <c r="E1037" i="13"/>
  <c r="E1021" i="13"/>
  <c r="E1005" i="13"/>
  <c r="E989" i="13"/>
  <c r="E973" i="13"/>
  <c r="E957" i="13"/>
  <c r="E941" i="13"/>
  <c r="E925" i="13"/>
  <c r="E909" i="13"/>
  <c r="E893" i="13"/>
  <c r="E877" i="13"/>
  <c r="E861" i="13"/>
  <c r="E845" i="13"/>
  <c r="E829" i="13"/>
  <c r="E813" i="13"/>
  <c r="E797" i="13"/>
  <c r="E781" i="13"/>
  <c r="E765" i="13"/>
  <c r="E749" i="13"/>
  <c r="E733" i="13"/>
  <c r="E717" i="13"/>
  <c r="E701" i="13"/>
  <c r="E685" i="13"/>
  <c r="E669" i="13"/>
  <c r="E653" i="13"/>
  <c r="E637" i="13"/>
  <c r="E621" i="13"/>
  <c r="E605" i="13"/>
  <c r="E589" i="13"/>
  <c r="E577" i="13"/>
  <c r="E569" i="13"/>
  <c r="E561" i="13"/>
  <c r="E553" i="13"/>
  <c r="E545" i="13"/>
  <c r="E537" i="13"/>
  <c r="E529" i="13"/>
  <c r="E521" i="13"/>
  <c r="E513" i="13"/>
  <c r="E505" i="13"/>
  <c r="E497" i="13"/>
  <c r="E489" i="13"/>
  <c r="E481" i="13"/>
  <c r="E473" i="13"/>
  <c r="E465" i="13"/>
  <c r="E457" i="13"/>
  <c r="E449" i="13"/>
  <c r="E441" i="13"/>
  <c r="E433" i="13"/>
  <c r="E425" i="13"/>
  <c r="E417" i="13"/>
  <c r="E409" i="13"/>
  <c r="E401" i="13"/>
  <c r="E393" i="13"/>
  <c r="E385" i="13"/>
  <c r="E377" i="13"/>
  <c r="E369" i="13"/>
  <c r="E361" i="13"/>
  <c r="E353" i="13"/>
  <c r="E345" i="13"/>
  <c r="E337" i="13"/>
  <c r="E329" i="13"/>
  <c r="E321" i="13"/>
  <c r="E313" i="13"/>
  <c r="E305" i="13"/>
  <c r="E297" i="13"/>
  <c r="E289" i="13"/>
  <c r="E281" i="13"/>
  <c r="E273" i="13"/>
  <c r="E265" i="13"/>
  <c r="E257" i="13"/>
  <c r="E249" i="13"/>
  <c r="E241" i="13"/>
  <c r="E233" i="13"/>
  <c r="E225" i="13"/>
  <c r="E217" i="13"/>
  <c r="E209" i="13"/>
  <c r="E201" i="13"/>
  <c r="E193" i="13"/>
  <c r="E185" i="13"/>
  <c r="E177" i="13"/>
  <c r="E169" i="13"/>
  <c r="E161" i="13"/>
  <c r="E153" i="13"/>
  <c r="E145" i="13"/>
  <c r="E137" i="13"/>
  <c r="E129" i="13"/>
  <c r="E121" i="13"/>
  <c r="E113" i="13"/>
  <c r="E105" i="13"/>
  <c r="E97" i="13"/>
  <c r="E89" i="13"/>
  <c r="E81" i="13"/>
  <c r="E73" i="13"/>
  <c r="E65" i="13"/>
  <c r="E57" i="13"/>
  <c r="E49" i="13"/>
  <c r="E41" i="13"/>
  <c r="E33" i="13"/>
  <c r="E25" i="13"/>
  <c r="E17" i="13"/>
  <c r="E9" i="13"/>
  <c r="E1" i="13"/>
  <c r="E607" i="12"/>
  <c r="E599" i="12"/>
  <c r="E591" i="12"/>
  <c r="E583" i="12"/>
  <c r="E575" i="12"/>
  <c r="E567" i="12"/>
  <c r="E559" i="12"/>
  <c r="E551" i="12"/>
  <c r="E543" i="12"/>
  <c r="E535" i="12"/>
  <c r="E527" i="12"/>
  <c r="E519" i="12"/>
  <c r="E511" i="12"/>
  <c r="E503" i="12"/>
  <c r="E495" i="12"/>
  <c r="E487" i="12"/>
  <c r="E479" i="12"/>
  <c r="E471" i="12"/>
  <c r="E463" i="12"/>
  <c r="E455" i="12"/>
  <c r="E447" i="12"/>
  <c r="E439" i="12"/>
  <c r="E431" i="12"/>
  <c r="E423" i="12"/>
  <c r="E415" i="12"/>
  <c r="E407" i="12"/>
  <c r="E399" i="12"/>
  <c r="E391" i="12"/>
  <c r="E383" i="12"/>
  <c r="E375" i="12"/>
  <c r="E367" i="12"/>
  <c r="E359" i="12"/>
  <c r="E351" i="12"/>
  <c r="E343" i="12"/>
  <c r="E335" i="12"/>
  <c r="E327" i="12"/>
  <c r="E319" i="12"/>
  <c r="E311" i="12"/>
  <c r="E303" i="12"/>
  <c r="E295" i="12"/>
  <c r="E287" i="12"/>
  <c r="E279" i="12"/>
  <c r="E271" i="12"/>
  <c r="E263" i="12"/>
  <c r="E255" i="12"/>
  <c r="E247" i="12"/>
  <c r="E239" i="12"/>
  <c r="E231" i="12"/>
  <c r="E223" i="12"/>
  <c r="E518" i="14"/>
  <c r="E502" i="14"/>
  <c r="E486" i="14"/>
  <c r="E470" i="14"/>
  <c r="E454" i="14"/>
  <c r="E438" i="14"/>
  <c r="E422" i="14"/>
  <c r="E406" i="14"/>
  <c r="E390" i="14"/>
  <c r="E374" i="14"/>
  <c r="E358" i="14"/>
  <c r="E342" i="14"/>
  <c r="E326" i="14"/>
  <c r="E310" i="14"/>
  <c r="D300" i="14"/>
  <c r="D292" i="14"/>
  <c r="D284" i="14"/>
  <c r="D276" i="14"/>
  <c r="D268" i="14"/>
  <c r="D260" i="14"/>
  <c r="D252" i="14"/>
  <c r="D244" i="14"/>
  <c r="D236" i="14"/>
  <c r="D228" i="14"/>
  <c r="D220" i="14"/>
  <c r="D212" i="14"/>
  <c r="D204" i="14"/>
  <c r="D196" i="14"/>
  <c r="D188" i="14"/>
  <c r="D180" i="14"/>
  <c r="D172" i="14"/>
  <c r="D164" i="14"/>
  <c r="D156" i="14"/>
  <c r="D148" i="14"/>
  <c r="D140" i="14"/>
  <c r="D132" i="14"/>
  <c r="D124" i="14"/>
  <c r="D116" i="14"/>
  <c r="D108" i="14"/>
  <c r="D100" i="14"/>
  <c r="D92" i="14"/>
  <c r="D84" i="14"/>
  <c r="D76" i="14"/>
  <c r="D68" i="14"/>
  <c r="D60" i="14"/>
  <c r="D52" i="14"/>
  <c r="D44" i="14"/>
  <c r="D36" i="14"/>
  <c r="D28" i="14"/>
  <c r="D20" i="14"/>
  <c r="D12" i="14"/>
  <c r="D4" i="14"/>
  <c r="D1045" i="13"/>
  <c r="D1037" i="13"/>
  <c r="D1029" i="13"/>
  <c r="D1021" i="13"/>
  <c r="D1013" i="13"/>
  <c r="D1005" i="13"/>
  <c r="D997" i="13"/>
  <c r="D989" i="13"/>
  <c r="D981" i="13"/>
  <c r="D973" i="13"/>
  <c r="D965" i="13"/>
  <c r="D957" i="13"/>
  <c r="D949" i="13"/>
  <c r="D941" i="13"/>
  <c r="D933" i="13"/>
  <c r="D925" i="13"/>
  <c r="D917" i="13"/>
  <c r="D909" i="13"/>
  <c r="D901" i="13"/>
  <c r="D893" i="13"/>
  <c r="D885" i="13"/>
  <c r="D877" i="13"/>
  <c r="D869" i="13"/>
  <c r="D861" i="13"/>
  <c r="D853" i="13"/>
  <c r="D845" i="13"/>
  <c r="D837" i="13"/>
  <c r="D829" i="13"/>
  <c r="D821" i="13"/>
  <c r="D813" i="13"/>
  <c r="D805" i="13"/>
  <c r="D797" i="13"/>
  <c r="D789" i="13"/>
  <c r="D781" i="13"/>
  <c r="D773" i="13"/>
  <c r="D765" i="13"/>
  <c r="D757" i="13"/>
  <c r="D749" i="13"/>
  <c r="D741" i="13"/>
  <c r="D733" i="13"/>
  <c r="D725" i="13"/>
  <c r="D717" i="13"/>
  <c r="D709" i="13"/>
  <c r="D701" i="13"/>
  <c r="D693" i="13"/>
  <c r="D685" i="13"/>
  <c r="D677" i="13"/>
  <c r="D669" i="13"/>
  <c r="D661" i="13"/>
  <c r="D653" i="13"/>
  <c r="D645" i="13"/>
  <c r="D637" i="13"/>
  <c r="D629" i="13"/>
  <c r="D621" i="13"/>
  <c r="D613" i="13"/>
  <c r="D605" i="13"/>
  <c r="D597" i="13"/>
  <c r="D589" i="13"/>
  <c r="D581" i="13"/>
  <c r="D573" i="13"/>
  <c r="D565" i="13"/>
  <c r="D557" i="13"/>
  <c r="D549" i="13"/>
  <c r="D541" i="13"/>
  <c r="D533" i="13"/>
  <c r="D525" i="13"/>
  <c r="D517" i="13"/>
  <c r="D509" i="13"/>
  <c r="D501" i="13"/>
  <c r="D493" i="13"/>
  <c r="D485" i="13"/>
  <c r="D477" i="13"/>
  <c r="D469" i="13"/>
  <c r="D461" i="13"/>
  <c r="D453" i="13"/>
  <c r="D445" i="13"/>
  <c r="D437" i="13"/>
  <c r="D429" i="13"/>
  <c r="D421" i="13"/>
  <c r="D413" i="13"/>
  <c r="D405" i="13"/>
  <c r="D397" i="13"/>
  <c r="D389" i="13"/>
  <c r="D381" i="13"/>
  <c r="D373" i="13"/>
  <c r="D365" i="13"/>
  <c r="D357" i="13"/>
  <c r="D349" i="13"/>
  <c r="D341" i="13"/>
  <c r="D333" i="13"/>
  <c r="D325" i="13"/>
  <c r="D317" i="13"/>
  <c r="D309" i="13"/>
  <c r="D301" i="13"/>
  <c r="D293" i="13"/>
  <c r="D285" i="13"/>
  <c r="D277" i="13"/>
  <c r="D269" i="13"/>
  <c r="D261" i="13"/>
  <c r="D253" i="13"/>
  <c r="D245" i="13"/>
  <c r="D237" i="13"/>
  <c r="D229" i="13"/>
  <c r="D221" i="13"/>
  <c r="D213" i="13"/>
  <c r="D205" i="13"/>
  <c r="D197" i="13"/>
  <c r="D189" i="13"/>
  <c r="D181" i="13"/>
  <c r="D173" i="13"/>
  <c r="D165" i="13"/>
  <c r="D157" i="13"/>
  <c r="D149" i="13"/>
  <c r="D141" i="13"/>
  <c r="D133" i="13"/>
  <c r="D125" i="13"/>
  <c r="D117" i="13"/>
  <c r="D109" i="13"/>
  <c r="D101" i="13"/>
  <c r="D93" i="13"/>
  <c r="D85" i="13"/>
  <c r="D77" i="13"/>
  <c r="D69" i="13"/>
  <c r="D61" i="13"/>
  <c r="D53" i="13"/>
  <c r="D45" i="13"/>
  <c r="D37" i="13"/>
  <c r="D29" i="13"/>
  <c r="D21" i="13"/>
  <c r="D13" i="13"/>
  <c r="D5" i="13"/>
  <c r="D611" i="12"/>
  <c r="D603" i="12"/>
  <c r="D595" i="12"/>
  <c r="D587" i="12"/>
  <c r="D579" i="12"/>
  <c r="D571" i="12"/>
  <c r="D563" i="12"/>
  <c r="D555" i="12"/>
  <c r="D547" i="12"/>
  <c r="D539" i="12"/>
  <c r="D531" i="12"/>
  <c r="D523" i="12"/>
  <c r="D515" i="12"/>
  <c r="D507" i="12"/>
  <c r="D499" i="12"/>
  <c r="D491" i="12"/>
  <c r="D483" i="12"/>
  <c r="D475" i="12"/>
  <c r="D467" i="12"/>
  <c r="D459" i="12"/>
  <c r="D451" i="12"/>
  <c r="D443" i="12"/>
  <c r="D435" i="12"/>
  <c r="D427" i="12"/>
  <c r="D419" i="12"/>
  <c r="D411" i="12"/>
  <c r="D403" i="12"/>
  <c r="D395" i="12"/>
  <c r="D387" i="12"/>
  <c r="D379" i="12"/>
  <c r="D371" i="12"/>
  <c r="D363" i="12"/>
  <c r="D355" i="12"/>
  <c r="D347" i="12"/>
  <c r="D339" i="12"/>
  <c r="D331" i="12"/>
  <c r="D323" i="12"/>
  <c r="D315" i="12"/>
  <c r="D307" i="12"/>
  <c r="D299" i="12"/>
  <c r="D291" i="12"/>
  <c r="D283" i="12"/>
  <c r="D275" i="12"/>
  <c r="D267" i="12"/>
  <c r="D259" i="12"/>
  <c r="D251" i="12"/>
  <c r="D243" i="12"/>
  <c r="D235" i="12"/>
  <c r="D227" i="12"/>
  <c r="D219" i="12"/>
  <c r="D211" i="12"/>
  <c r="D203" i="12"/>
  <c r="D195" i="12"/>
  <c r="D187" i="12"/>
  <c r="D179" i="12"/>
  <c r="D171" i="12"/>
  <c r="D163" i="12"/>
  <c r="D155" i="12"/>
  <c r="D147" i="12"/>
  <c r="D139" i="12"/>
  <c r="D131" i="12"/>
  <c r="D123" i="12"/>
  <c r="D115" i="12"/>
  <c r="D107" i="12"/>
  <c r="D99" i="12"/>
  <c r="D91" i="12"/>
  <c r="D83" i="12"/>
  <c r="D75" i="12"/>
  <c r="D67" i="12"/>
  <c r="D59" i="12"/>
  <c r="D51" i="12"/>
  <c r="D43" i="12"/>
  <c r="D35" i="12"/>
  <c r="E513" i="14"/>
  <c r="E497" i="14"/>
  <c r="E481" i="14"/>
  <c r="E465" i="14"/>
  <c r="E449" i="14"/>
  <c r="E433" i="14"/>
  <c r="E417" i="14"/>
  <c r="E401" i="14"/>
  <c r="E385" i="14"/>
  <c r="E369" i="14"/>
  <c r="E353" i="14"/>
  <c r="E337" i="14"/>
  <c r="E321" i="14"/>
  <c r="E305" i="14"/>
  <c r="E297" i="14"/>
  <c r="E289" i="14"/>
  <c r="E281" i="14"/>
  <c r="E273" i="14"/>
  <c r="E265" i="14"/>
  <c r="E257" i="14"/>
  <c r="E249" i="14"/>
  <c r="E241" i="14"/>
  <c r="E233" i="14"/>
  <c r="E225" i="14"/>
  <c r="E217" i="14"/>
  <c r="E209" i="14"/>
  <c r="E201" i="14"/>
  <c r="E193" i="14"/>
  <c r="E185" i="14"/>
  <c r="E177" i="14"/>
  <c r="E169" i="14"/>
  <c r="E161" i="14"/>
  <c r="E153" i="14"/>
  <c r="E145" i="14"/>
  <c r="E137" i="14"/>
  <c r="E129" i="14"/>
  <c r="E121" i="14"/>
  <c r="E113" i="14"/>
  <c r="E105" i="14"/>
  <c r="E97" i="14"/>
  <c r="E89" i="14"/>
  <c r="E81" i="14"/>
  <c r="E73" i="14"/>
  <c r="E65" i="14"/>
  <c r="E57" i="14"/>
  <c r="E49" i="14"/>
  <c r="E41" i="14"/>
  <c r="E33" i="14"/>
  <c r="E25" i="14"/>
  <c r="E17" i="14"/>
  <c r="E9" i="14"/>
  <c r="E1" i="14"/>
  <c r="E1042" i="13"/>
  <c r="E1034" i="13"/>
  <c r="E1026" i="13"/>
  <c r="E1018" i="13"/>
  <c r="E1010" i="13"/>
  <c r="E1002" i="13"/>
  <c r="E994" i="13"/>
  <c r="E986" i="13"/>
  <c r="E978" i="13"/>
  <c r="E970" i="13"/>
  <c r="E962" i="13"/>
  <c r="E954" i="13"/>
  <c r="E946" i="13"/>
  <c r="E938" i="13"/>
  <c r="E930" i="13"/>
  <c r="E922" i="13"/>
  <c r="E914" i="13"/>
  <c r="E906" i="13"/>
  <c r="E898" i="13"/>
  <c r="E890" i="13"/>
  <c r="E882" i="13"/>
  <c r="E874" i="13"/>
  <c r="E866" i="13"/>
  <c r="E858" i="13"/>
  <c r="E850" i="13"/>
  <c r="E842" i="13"/>
  <c r="E834" i="13"/>
  <c r="E826" i="13"/>
  <c r="E818" i="13"/>
  <c r="E810" i="13"/>
  <c r="E802" i="13"/>
  <c r="E794" i="13"/>
  <c r="E786" i="13"/>
  <c r="E778" i="13"/>
  <c r="E770" i="13"/>
  <c r="E762" i="13"/>
  <c r="E754" i="13"/>
  <c r="E746" i="13"/>
  <c r="E738" i="13"/>
  <c r="E730" i="13"/>
  <c r="E722" i="13"/>
  <c r="E714" i="13"/>
  <c r="E706" i="13"/>
  <c r="E698" i="13"/>
  <c r="E690" i="13"/>
  <c r="E682" i="13"/>
  <c r="E674" i="13"/>
  <c r="E666" i="13"/>
  <c r="E658" i="13"/>
  <c r="E650" i="13"/>
  <c r="E642" i="13"/>
  <c r="E634" i="13"/>
  <c r="E626" i="13"/>
  <c r="E618" i="13"/>
  <c r="E610" i="13"/>
  <c r="E602" i="13"/>
  <c r="E594" i="13"/>
  <c r="E586" i="13"/>
  <c r="E578" i="13"/>
  <c r="E570" i="13"/>
  <c r="E562" i="13"/>
  <c r="E554" i="13"/>
  <c r="E546" i="13"/>
  <c r="E538" i="13"/>
  <c r="E530" i="13"/>
  <c r="E522" i="13"/>
  <c r="E514" i="13"/>
  <c r="E506" i="13"/>
  <c r="E498" i="13"/>
  <c r="E490" i="13"/>
  <c r="E482" i="13"/>
  <c r="E474" i="13"/>
  <c r="E466" i="13"/>
  <c r="E458" i="13"/>
  <c r="E450" i="13"/>
  <c r="E442" i="13"/>
  <c r="E434" i="13"/>
  <c r="E426" i="13"/>
  <c r="E418" i="13"/>
  <c r="E410" i="13"/>
  <c r="E402" i="13"/>
  <c r="E394" i="13"/>
  <c r="E386" i="13"/>
  <c r="E378" i="13"/>
  <c r="E370" i="13"/>
  <c r="E362" i="13"/>
  <c r="E354" i="13"/>
  <c r="E346" i="13"/>
  <c r="E338" i="13"/>
  <c r="E330" i="13"/>
  <c r="E322" i="13"/>
  <c r="E314" i="13"/>
  <c r="E306" i="13"/>
  <c r="E298" i="13"/>
  <c r="E290" i="13"/>
  <c r="E282" i="13"/>
  <c r="E274" i="13"/>
  <c r="E266" i="13"/>
  <c r="E258" i="13"/>
  <c r="E250" i="13"/>
  <c r="E242" i="13"/>
  <c r="E234" i="13"/>
  <c r="E226" i="13"/>
  <c r="E218" i="13"/>
  <c r="E210" i="13"/>
  <c r="E202" i="13"/>
  <c r="E194" i="13"/>
  <c r="E186" i="13"/>
  <c r="E178" i="13"/>
  <c r="E170" i="13"/>
  <c r="E162" i="13"/>
  <c r="E154" i="13"/>
  <c r="E146" i="13"/>
  <c r="E138" i="13"/>
  <c r="E130" i="13"/>
  <c r="E122" i="13"/>
  <c r="E114" i="13"/>
  <c r="E106" i="13"/>
  <c r="E98" i="13"/>
  <c r="E90" i="13"/>
  <c r="E82" i="13"/>
  <c r="E74" i="13"/>
  <c r="E66" i="13"/>
  <c r="E58" i="13"/>
  <c r="E50" i="13"/>
  <c r="E42" i="13"/>
  <c r="E34" i="13"/>
  <c r="E26" i="13"/>
  <c r="E18" i="13"/>
  <c r="E10" i="13"/>
  <c r="E2" i="13"/>
  <c r="E608" i="12"/>
  <c r="E600" i="12"/>
  <c r="E592" i="12"/>
  <c r="E584" i="12"/>
  <c r="E576" i="12"/>
  <c r="E568" i="12"/>
  <c r="E560" i="12"/>
  <c r="E552" i="12"/>
  <c r="E544" i="12"/>
  <c r="E536" i="12"/>
  <c r="E528" i="12"/>
  <c r="E520" i="12"/>
  <c r="E512" i="12"/>
  <c r="E504" i="12"/>
  <c r="E496" i="12"/>
  <c r="E488" i="12"/>
  <c r="E480" i="12"/>
  <c r="E472" i="12"/>
  <c r="E464" i="12"/>
  <c r="E456" i="12"/>
  <c r="E448" i="12"/>
  <c r="E440" i="12"/>
  <c r="E432" i="12"/>
  <c r="E424" i="12"/>
  <c r="E416" i="12"/>
  <c r="E408" i="12"/>
  <c r="E400" i="12"/>
  <c r="E392" i="12"/>
  <c r="E384" i="12"/>
  <c r="E376" i="12"/>
  <c r="E368" i="12"/>
  <c r="E360" i="12"/>
  <c r="E352" i="12"/>
  <c r="E344" i="12"/>
  <c r="E336" i="12"/>
  <c r="E328" i="12"/>
  <c r="E320" i="12"/>
  <c r="E312" i="12"/>
  <c r="E304" i="12"/>
  <c r="E296" i="12"/>
  <c r="E288" i="12"/>
  <c r="E280" i="12"/>
  <c r="E272" i="12"/>
  <c r="E264" i="12"/>
  <c r="E256" i="12"/>
  <c r="E248" i="12"/>
  <c r="E240" i="12"/>
  <c r="E232" i="12"/>
  <c r="E224" i="12"/>
  <c r="E216" i="12"/>
  <c r="E210" i="12"/>
  <c r="E194" i="12"/>
  <c r="E178" i="12"/>
  <c r="E162" i="12"/>
  <c r="E146" i="12"/>
  <c r="E130" i="12"/>
  <c r="E114" i="12"/>
  <c r="E98" i="12"/>
  <c r="E82" i="12"/>
  <c r="E66" i="12"/>
  <c r="E50" i="12"/>
  <c r="E34" i="12"/>
  <c r="D26" i="12"/>
  <c r="D18" i="12"/>
  <c r="D10" i="12"/>
  <c r="D2" i="12"/>
  <c r="D740" i="11"/>
  <c r="D732" i="11"/>
  <c r="D724" i="11"/>
  <c r="D716" i="11"/>
  <c r="D708" i="11"/>
  <c r="D700" i="11"/>
  <c r="D692" i="11"/>
  <c r="D684" i="11"/>
  <c r="D676" i="11"/>
  <c r="D668" i="11"/>
  <c r="D660" i="11"/>
  <c r="D652" i="11"/>
  <c r="D644" i="11"/>
  <c r="D636" i="11"/>
  <c r="D628" i="11"/>
  <c r="D620" i="11"/>
  <c r="D612" i="11"/>
  <c r="D604" i="11"/>
  <c r="D596" i="11"/>
  <c r="D588" i="11"/>
  <c r="D580" i="11"/>
  <c r="D572" i="11"/>
  <c r="D564" i="11"/>
  <c r="D556" i="11"/>
  <c r="D548" i="11"/>
  <c r="D540" i="11"/>
  <c r="D532" i="11"/>
  <c r="D524" i="11"/>
  <c r="D516" i="11"/>
  <c r="D508" i="11"/>
  <c r="D500" i="11"/>
  <c r="D492" i="11"/>
  <c r="D484" i="11"/>
  <c r="D476" i="11"/>
  <c r="D468" i="11"/>
  <c r="D460" i="11"/>
  <c r="D452" i="11"/>
  <c r="D444" i="11"/>
  <c r="D436" i="11"/>
  <c r="D428" i="11"/>
  <c r="D420" i="11"/>
  <c r="D412" i="11"/>
  <c r="D404" i="11"/>
  <c r="D396" i="11"/>
  <c r="D388" i="11"/>
  <c r="D380" i="11"/>
  <c r="D372" i="11"/>
  <c r="D364" i="11"/>
  <c r="D356" i="11"/>
  <c r="D348" i="11"/>
  <c r="D340" i="11"/>
  <c r="D332" i="11"/>
  <c r="D324" i="11"/>
  <c r="D316" i="11"/>
  <c r="D308" i="11"/>
  <c r="D300" i="11"/>
  <c r="D292" i="11"/>
  <c r="D284" i="11"/>
  <c r="D276" i="11"/>
  <c r="D268" i="11"/>
  <c r="D260" i="11"/>
  <c r="D252" i="11"/>
  <c r="D244" i="11"/>
  <c r="D236" i="11"/>
  <c r="D228" i="11"/>
  <c r="D220" i="11"/>
  <c r="D212" i="11"/>
  <c r="D204" i="11"/>
  <c r="D196" i="11"/>
  <c r="D188" i="11"/>
  <c r="D180" i="11"/>
  <c r="D172" i="11"/>
  <c r="D164" i="11"/>
  <c r="D156" i="11"/>
  <c r="D148" i="11"/>
  <c r="D140" i="11"/>
  <c r="D132" i="11"/>
  <c r="D124" i="11"/>
  <c r="D116" i="11"/>
  <c r="D108" i="11"/>
  <c r="D100" i="11"/>
  <c r="D92" i="11"/>
  <c r="D84" i="11"/>
  <c r="D76" i="11"/>
  <c r="D68" i="11"/>
  <c r="D60" i="11"/>
  <c r="D52" i="11"/>
  <c r="D44" i="11"/>
  <c r="D36" i="11"/>
  <c r="D28" i="11"/>
  <c r="D20" i="11"/>
  <c r="D12" i="11"/>
  <c r="D4" i="11"/>
  <c r="D217" i="9"/>
  <c r="D209" i="9"/>
  <c r="D201" i="9"/>
  <c r="D193" i="9"/>
  <c r="D185" i="9"/>
  <c r="D177" i="9"/>
  <c r="D169" i="9"/>
  <c r="D161" i="9"/>
  <c r="D153" i="9"/>
  <c r="D145" i="9"/>
  <c r="D137" i="9"/>
  <c r="D129" i="9"/>
  <c r="D121" i="9"/>
  <c r="D113" i="9"/>
  <c r="D105" i="9"/>
  <c r="D97" i="9"/>
  <c r="D89" i="9"/>
  <c r="D81" i="9"/>
  <c r="D73" i="9"/>
  <c r="D65" i="9"/>
  <c r="D57" i="9"/>
  <c r="D49" i="9"/>
  <c r="D41" i="9"/>
  <c r="D33" i="9"/>
  <c r="D25" i="9"/>
  <c r="D17" i="9"/>
  <c r="D9" i="9"/>
  <c r="D1" i="9"/>
  <c r="D579" i="8"/>
  <c r="D569" i="8"/>
  <c r="D561" i="8"/>
  <c r="D553" i="8"/>
  <c r="D545" i="8"/>
  <c r="D537" i="8"/>
  <c r="D529" i="8"/>
  <c r="D521" i="8"/>
  <c r="D513" i="8"/>
  <c r="D505" i="8"/>
  <c r="D497" i="8"/>
  <c r="D489" i="8"/>
  <c r="D481" i="8"/>
  <c r="D473" i="8"/>
  <c r="D465" i="8"/>
  <c r="D457" i="8"/>
  <c r="D449" i="8"/>
  <c r="D441" i="8"/>
  <c r="D433" i="8"/>
  <c r="D425" i="8"/>
  <c r="D417" i="8"/>
  <c r="D409" i="8"/>
  <c r="D401" i="8"/>
  <c r="D393" i="8"/>
  <c r="D385" i="8"/>
  <c r="D377" i="8"/>
  <c r="D369" i="8"/>
  <c r="D361" i="8"/>
  <c r="D353" i="8"/>
  <c r="D345" i="8"/>
  <c r="D337" i="8"/>
  <c r="D329" i="8"/>
  <c r="D321" i="8"/>
  <c r="D313" i="8"/>
  <c r="D305" i="8"/>
  <c r="D297" i="8"/>
  <c r="D289" i="8"/>
  <c r="D281" i="8"/>
  <c r="D273" i="8"/>
  <c r="D265" i="8"/>
  <c r="D257" i="8"/>
  <c r="D249" i="8"/>
  <c r="D241" i="8"/>
  <c r="D233" i="8"/>
  <c r="D225" i="8"/>
  <c r="D217" i="8"/>
  <c r="D209" i="8"/>
  <c r="D201" i="8"/>
  <c r="D193" i="8"/>
  <c r="D185" i="8"/>
  <c r="D177" i="8"/>
  <c r="D169" i="8"/>
  <c r="D161" i="8"/>
  <c r="D153" i="8"/>
  <c r="D145" i="8"/>
  <c r="D137" i="8"/>
  <c r="D129" i="8"/>
  <c r="D121" i="8"/>
  <c r="E209" i="12"/>
  <c r="E193" i="12"/>
  <c r="E177" i="12"/>
  <c r="E161" i="12"/>
  <c r="E145" i="12"/>
  <c r="E129" i="12"/>
  <c r="E113" i="12"/>
  <c r="E97" i="12"/>
  <c r="E81" i="12"/>
  <c r="E65" i="12"/>
  <c r="E49" i="12"/>
  <c r="D34" i="12"/>
  <c r="E25" i="12"/>
  <c r="E17" i="12"/>
  <c r="E9" i="12"/>
  <c r="E1" i="12"/>
  <c r="E739" i="11"/>
  <c r="E731" i="11"/>
  <c r="E723" i="11"/>
  <c r="E715" i="11"/>
  <c r="E707" i="11"/>
  <c r="E699" i="11"/>
  <c r="E691" i="11"/>
  <c r="E683" i="11"/>
  <c r="E675" i="11"/>
  <c r="E667" i="11"/>
  <c r="E659" i="11"/>
  <c r="E651" i="11"/>
  <c r="E643" i="11"/>
  <c r="E635" i="11"/>
  <c r="E627" i="11"/>
  <c r="E619" i="11"/>
  <c r="E611" i="11"/>
  <c r="E603" i="11"/>
  <c r="E595" i="11"/>
  <c r="E587" i="11"/>
  <c r="E579" i="11"/>
  <c r="E571" i="11"/>
  <c r="E563" i="11"/>
  <c r="E555" i="11"/>
  <c r="E547" i="11"/>
  <c r="E539" i="11"/>
  <c r="E531" i="11"/>
  <c r="E523" i="11"/>
  <c r="E515" i="11"/>
  <c r="E507" i="11"/>
  <c r="E499" i="11"/>
  <c r="E491" i="11"/>
  <c r="E483" i="11"/>
  <c r="E475" i="11"/>
  <c r="E467" i="11"/>
  <c r="E459" i="11"/>
  <c r="E451" i="11"/>
  <c r="E443" i="11"/>
  <c r="E435" i="11"/>
  <c r="E427" i="11"/>
  <c r="E419" i="11"/>
  <c r="E411" i="11"/>
  <c r="E403" i="11"/>
  <c r="E395" i="11"/>
  <c r="E387" i="11"/>
  <c r="E379" i="11"/>
  <c r="E371" i="11"/>
  <c r="E363" i="11"/>
  <c r="E355" i="11"/>
  <c r="E347" i="11"/>
  <c r="E339" i="11"/>
  <c r="E331" i="11"/>
  <c r="E323" i="11"/>
  <c r="E315" i="11"/>
  <c r="E307" i="11"/>
  <c r="E299" i="11"/>
  <c r="E291" i="11"/>
  <c r="E283" i="11"/>
  <c r="E275" i="11"/>
  <c r="E267" i="11"/>
  <c r="E259" i="11"/>
  <c r="E251" i="11"/>
  <c r="E243" i="11"/>
  <c r="E235" i="11"/>
  <c r="E227" i="11"/>
  <c r="E219" i="11"/>
  <c r="E211" i="11"/>
  <c r="E203" i="11"/>
  <c r="E195" i="11"/>
  <c r="E187" i="11"/>
  <c r="E179" i="11"/>
  <c r="E171" i="11"/>
  <c r="E163" i="11"/>
  <c r="E155" i="11"/>
  <c r="E147" i="11"/>
  <c r="E139" i="11"/>
  <c r="E131" i="11"/>
  <c r="E123" i="11"/>
  <c r="E115" i="11"/>
  <c r="E107" i="11"/>
  <c r="E99" i="11"/>
  <c r="E91" i="11"/>
  <c r="E83" i="11"/>
  <c r="E75" i="11"/>
  <c r="E67" i="11"/>
  <c r="D898" i="13"/>
  <c r="D866" i="13"/>
  <c r="D834" i="13"/>
  <c r="D802" i="13"/>
  <c r="D770" i="13"/>
  <c r="D738" i="13"/>
  <c r="D706" i="13"/>
  <c r="D674" i="13"/>
  <c r="D642" i="13"/>
  <c r="D610" i="13"/>
  <c r="D578" i="13"/>
  <c r="D546" i="13"/>
  <c r="D514" i="13"/>
  <c r="D482" i="13"/>
  <c r="D450" i="13"/>
  <c r="D418" i="13"/>
  <c r="D386" i="13"/>
  <c r="D354" i="13"/>
  <c r="D322" i="13"/>
  <c r="D290" i="13"/>
  <c r="D258" i="13"/>
  <c r="D226" i="13"/>
  <c r="D194" i="13"/>
  <c r="D162" i="13"/>
  <c r="D130" i="13"/>
  <c r="D98" i="13"/>
  <c r="D66" i="13"/>
  <c r="D34" i="13"/>
  <c r="D2" i="13"/>
  <c r="D584" i="12"/>
  <c r="D552" i="12"/>
  <c r="D520" i="12"/>
  <c r="D502" i="12"/>
  <c r="D486" i="12"/>
  <c r="D470" i="12"/>
  <c r="D454" i="12"/>
  <c r="D438" i="12"/>
  <c r="D422" i="12"/>
  <c r="D406" i="12"/>
  <c r="D390" i="12"/>
  <c r="D374" i="12"/>
  <c r="D358" i="12"/>
  <c r="D342" i="12"/>
  <c r="D326" i="12"/>
  <c r="D310" i="12"/>
  <c r="D294" i="12"/>
  <c r="D278" i="12"/>
  <c r="D262" i="12"/>
  <c r="D246" i="12"/>
  <c r="D230" i="12"/>
  <c r="D214" i="12"/>
  <c r="D198" i="12"/>
  <c r="D182" i="12"/>
  <c r="D166" i="12"/>
  <c r="D150" i="12"/>
  <c r="D134" i="12"/>
  <c r="D118" i="12"/>
  <c r="D102" i="12"/>
  <c r="D86" i="12"/>
  <c r="D70" i="12"/>
  <c r="D54" i="12"/>
  <c r="D38" i="12"/>
  <c r="E499" i="14"/>
  <c r="E467" i="14"/>
  <c r="E435" i="14"/>
  <c r="E403" i="14"/>
  <c r="E371" i="14"/>
  <c r="E339" i="14"/>
  <c r="E307" i="14"/>
  <c r="E290" i="14"/>
  <c r="E274" i="14"/>
  <c r="E258" i="14"/>
  <c r="E242" i="14"/>
  <c r="E226" i="14"/>
  <c r="E210" i="14"/>
  <c r="E194" i="14"/>
  <c r="E178" i="14"/>
  <c r="E162" i="14"/>
  <c r="E146" i="14"/>
  <c r="E130" i="14"/>
  <c r="E114" i="14"/>
  <c r="E98" i="14"/>
  <c r="E82" i="14"/>
  <c r="E66" i="14"/>
  <c r="E50" i="14"/>
  <c r="E34" i="14"/>
  <c r="E18" i="14"/>
  <c r="E2" i="14"/>
  <c r="E1035" i="13"/>
  <c r="E1019" i="13"/>
  <c r="E1003" i="13"/>
  <c r="E987" i="13"/>
  <c r="E971" i="13"/>
  <c r="E955" i="13"/>
  <c r="E939" i="13"/>
  <c r="E923" i="13"/>
  <c r="E907" i="13"/>
  <c r="E891" i="13"/>
  <c r="E875" i="13"/>
  <c r="E859" i="13"/>
  <c r="E843" i="13"/>
  <c r="E827" i="13"/>
  <c r="E811" i="13"/>
  <c r="E795" i="13"/>
  <c r="E779" i="13"/>
  <c r="E763" i="13"/>
  <c r="E747" i="13"/>
  <c r="E731" i="13"/>
  <c r="E715" i="13"/>
  <c r="E699" i="13"/>
  <c r="E683" i="13"/>
  <c r="E667" i="13"/>
  <c r="E651" i="13"/>
  <c r="E635" i="13"/>
  <c r="E619" i="13"/>
  <c r="E603" i="13"/>
  <c r="E587" i="13"/>
  <c r="E575" i="13"/>
  <c r="E567" i="13"/>
  <c r="E559" i="13"/>
  <c r="E551" i="13"/>
  <c r="E543" i="13"/>
  <c r="E535" i="13"/>
  <c r="E527" i="13"/>
  <c r="E519" i="13"/>
  <c r="E511" i="13"/>
  <c r="E503" i="13"/>
  <c r="E495" i="13"/>
  <c r="E487" i="13"/>
  <c r="E479" i="13"/>
  <c r="E471" i="13"/>
  <c r="E463" i="13"/>
  <c r="E455" i="13"/>
  <c r="E447" i="13"/>
  <c r="E439" i="13"/>
  <c r="E431" i="13"/>
  <c r="E423" i="13"/>
  <c r="E415" i="13"/>
  <c r="E407" i="13"/>
  <c r="E399" i="13"/>
  <c r="E391" i="13"/>
  <c r="E383" i="13"/>
  <c r="E375" i="13"/>
  <c r="E367" i="13"/>
  <c r="E359" i="13"/>
  <c r="E351" i="13"/>
  <c r="E343" i="13"/>
  <c r="E335" i="13"/>
  <c r="E327" i="13"/>
  <c r="E319" i="13"/>
  <c r="E311" i="13"/>
  <c r="E303" i="13"/>
  <c r="E295" i="13"/>
  <c r="E287" i="13"/>
  <c r="E279" i="13"/>
  <c r="E271" i="13"/>
  <c r="E263" i="13"/>
  <c r="E255" i="13"/>
  <c r="E247" i="13"/>
  <c r="E239" i="13"/>
  <c r="E231" i="13"/>
  <c r="E223" i="13"/>
  <c r="E215" i="13"/>
  <c r="E207" i="13"/>
  <c r="E199" i="13"/>
  <c r="E191" i="13"/>
  <c r="E183" i="13"/>
  <c r="E175" i="13"/>
  <c r="E167" i="13"/>
  <c r="E159" i="13"/>
  <c r="E151" i="13"/>
  <c r="E143" i="13"/>
  <c r="E135" i="13"/>
  <c r="E127" i="13"/>
  <c r="E119" i="13"/>
  <c r="E111" i="13"/>
  <c r="E103" i="13"/>
  <c r="E95" i="13"/>
  <c r="E87" i="13"/>
  <c r="E79" i="13"/>
  <c r="E71" i="13"/>
  <c r="E63" i="13"/>
  <c r="E55" i="13"/>
  <c r="E47" i="13"/>
  <c r="E39" i="13"/>
  <c r="E31" i="13"/>
  <c r="E23" i="13"/>
  <c r="E15" i="13"/>
  <c r="E7" i="13"/>
  <c r="E613" i="12"/>
  <c r="E605" i="12"/>
  <c r="E597" i="12"/>
  <c r="E589" i="12"/>
  <c r="E581" i="12"/>
  <c r="E573" i="12"/>
  <c r="E565" i="12"/>
  <c r="E557" i="12"/>
  <c r="E549" i="12"/>
  <c r="E541" i="12"/>
  <c r="E533" i="12"/>
  <c r="E525" i="12"/>
  <c r="E517" i="12"/>
  <c r="E509" i="12"/>
  <c r="E501" i="12"/>
  <c r="E493" i="12"/>
  <c r="E485" i="12"/>
  <c r="E477" i="12"/>
  <c r="E469" i="12"/>
  <c r="E461" i="12"/>
  <c r="E453" i="12"/>
  <c r="E445" i="12"/>
  <c r="E437" i="12"/>
  <c r="E429" i="12"/>
  <c r="E421" i="12"/>
  <c r="E413" i="12"/>
  <c r="E405" i="12"/>
  <c r="E397" i="12"/>
  <c r="E389" i="12"/>
  <c r="E381" i="12"/>
  <c r="E373" i="12"/>
  <c r="E365" i="12"/>
  <c r="E357" i="12"/>
  <c r="E349" i="12"/>
  <c r="E341" i="12"/>
  <c r="E333" i="12"/>
  <c r="E325" i="12"/>
  <c r="E317" i="12"/>
  <c r="E309" i="12"/>
  <c r="E301" i="12"/>
  <c r="E293" i="12"/>
  <c r="E285" i="12"/>
  <c r="E277" i="12"/>
  <c r="E269" i="12"/>
  <c r="E261" i="12"/>
  <c r="E253" i="12"/>
  <c r="E245" i="12"/>
  <c r="E237" i="12"/>
  <c r="E229" i="12"/>
  <c r="E221" i="12"/>
  <c r="E514" i="14"/>
  <c r="E498" i="14"/>
  <c r="E482" i="14"/>
  <c r="E466" i="14"/>
  <c r="E450" i="14"/>
  <c r="E434" i="14"/>
  <c r="E418" i="14"/>
  <c r="E402" i="14"/>
  <c r="E386" i="14"/>
  <c r="E370" i="14"/>
  <c r="E354" i="14"/>
  <c r="E338" i="14"/>
  <c r="E322" i="14"/>
  <c r="E306" i="14"/>
  <c r="D298" i="14"/>
  <c r="D290" i="14"/>
  <c r="D282" i="14"/>
  <c r="D274" i="14"/>
  <c r="D266" i="14"/>
  <c r="D258" i="14"/>
  <c r="D250" i="14"/>
  <c r="D242" i="14"/>
  <c r="D234" i="14"/>
  <c r="D226" i="14"/>
  <c r="D218" i="14"/>
  <c r="D210" i="14"/>
  <c r="D202" i="14"/>
  <c r="D194" i="14"/>
  <c r="D186" i="14"/>
  <c r="D178" i="14"/>
  <c r="D170" i="14"/>
  <c r="D162" i="14"/>
  <c r="D154" i="14"/>
  <c r="D146" i="14"/>
  <c r="D138" i="14"/>
  <c r="D130" i="14"/>
  <c r="D122" i="14"/>
  <c r="D114" i="14"/>
  <c r="D106" i="14"/>
  <c r="D98" i="14"/>
  <c r="D90" i="14"/>
  <c r="D82" i="14"/>
  <c r="D74" i="14"/>
  <c r="D66" i="14"/>
  <c r="D58" i="14"/>
  <c r="D50" i="14"/>
  <c r="D42" i="14"/>
  <c r="D34" i="14"/>
  <c r="D26" i="14"/>
  <c r="D18" i="14"/>
  <c r="D10" i="14"/>
  <c r="D2" i="14"/>
  <c r="D1043" i="13"/>
  <c r="D1035" i="13"/>
  <c r="D1027" i="13"/>
  <c r="D1019" i="13"/>
  <c r="D1011" i="13"/>
  <c r="D1003" i="13"/>
  <c r="D995" i="13"/>
  <c r="D987" i="13"/>
  <c r="D979" i="13"/>
  <c r="D971" i="13"/>
  <c r="D963" i="13"/>
  <c r="D955" i="13"/>
  <c r="D947" i="13"/>
  <c r="D939" i="13"/>
  <c r="D931" i="13"/>
  <c r="D923" i="13"/>
  <c r="D915" i="13"/>
  <c r="D907" i="13"/>
  <c r="D899" i="13"/>
  <c r="D891" i="13"/>
  <c r="D883" i="13"/>
  <c r="D875" i="13"/>
  <c r="D867" i="13"/>
  <c r="D859" i="13"/>
  <c r="D851" i="13"/>
  <c r="D843" i="13"/>
  <c r="D835" i="13"/>
  <c r="D827" i="13"/>
  <c r="D819" i="13"/>
  <c r="D811" i="13"/>
  <c r="D803" i="13"/>
  <c r="D795" i="13"/>
  <c r="D787" i="13"/>
  <c r="D779" i="13"/>
  <c r="D771" i="13"/>
  <c r="D763" i="13"/>
  <c r="D755" i="13"/>
  <c r="D747" i="13"/>
  <c r="D739" i="13"/>
  <c r="D731" i="13"/>
  <c r="D723" i="13"/>
  <c r="D715" i="13"/>
  <c r="D707" i="13"/>
  <c r="D699" i="13"/>
  <c r="D691" i="13"/>
  <c r="D683" i="13"/>
  <c r="D675" i="13"/>
  <c r="D667" i="13"/>
  <c r="D659" i="13"/>
  <c r="D651" i="13"/>
  <c r="D643" i="13"/>
  <c r="D635" i="13"/>
  <c r="D627" i="13"/>
  <c r="D619" i="13"/>
  <c r="D611" i="13"/>
  <c r="D603" i="13"/>
  <c r="D595" i="13"/>
  <c r="D587" i="13"/>
  <c r="D579" i="13"/>
  <c r="D571" i="13"/>
  <c r="D563" i="13"/>
  <c r="D555" i="13"/>
  <c r="D547" i="13"/>
  <c r="D539" i="13"/>
  <c r="D531" i="13"/>
  <c r="D523" i="13"/>
  <c r="D515" i="13"/>
  <c r="D507" i="13"/>
  <c r="D499" i="13"/>
  <c r="D491" i="13"/>
  <c r="D483" i="13"/>
  <c r="D475" i="13"/>
  <c r="D467" i="13"/>
  <c r="D459" i="13"/>
  <c r="D451" i="13"/>
  <c r="D443" i="13"/>
  <c r="D435" i="13"/>
  <c r="D427" i="13"/>
  <c r="D419" i="13"/>
  <c r="D411" i="13"/>
  <c r="D403" i="13"/>
  <c r="D395" i="13"/>
  <c r="D387" i="13"/>
  <c r="D379" i="13"/>
  <c r="D371" i="13"/>
  <c r="D363" i="13"/>
  <c r="D355" i="13"/>
  <c r="D347" i="13"/>
  <c r="D339" i="13"/>
  <c r="D331" i="13"/>
  <c r="D323" i="13"/>
  <c r="D315" i="13"/>
  <c r="D307" i="13"/>
  <c r="D299" i="13"/>
  <c r="D291" i="13"/>
  <c r="D283" i="13"/>
  <c r="D275" i="13"/>
  <c r="D267" i="13"/>
  <c r="D259" i="13"/>
  <c r="D251" i="13"/>
  <c r="D243" i="13"/>
  <c r="D235" i="13"/>
  <c r="D227" i="13"/>
  <c r="D219" i="13"/>
  <c r="D211" i="13"/>
  <c r="D203" i="13"/>
  <c r="D195" i="13"/>
  <c r="D187" i="13"/>
  <c r="D179" i="13"/>
  <c r="D171" i="13"/>
  <c r="D163" i="13"/>
  <c r="D155" i="13"/>
  <c r="D147" i="13"/>
  <c r="D139" i="13"/>
  <c r="D131" i="13"/>
  <c r="D123" i="13"/>
  <c r="D115" i="13"/>
  <c r="D107" i="13"/>
  <c r="D99" i="13"/>
  <c r="D91" i="13"/>
  <c r="D83" i="13"/>
  <c r="D75" i="13"/>
  <c r="D67" i="13"/>
  <c r="D59" i="13"/>
  <c r="D51" i="13"/>
  <c r="D43" i="13"/>
  <c r="D35" i="13"/>
  <c r="D27" i="13"/>
  <c r="D19" i="13"/>
  <c r="D11" i="13"/>
  <c r="D3" i="13"/>
  <c r="D609" i="12"/>
  <c r="D601" i="12"/>
  <c r="D593" i="12"/>
  <c r="D585" i="12"/>
  <c r="D577" i="12"/>
  <c r="D569" i="12"/>
  <c r="D561" i="12"/>
  <c r="D553" i="12"/>
  <c r="D545" i="12"/>
  <c r="D537" i="12"/>
  <c r="D529" i="12"/>
  <c r="D521" i="12"/>
  <c r="D513" i="12"/>
  <c r="D505" i="12"/>
  <c r="D497" i="12"/>
  <c r="D489" i="12"/>
  <c r="D481" i="12"/>
  <c r="D473" i="12"/>
  <c r="D465" i="12"/>
  <c r="D457" i="12"/>
  <c r="D449" i="12"/>
  <c r="D441" i="12"/>
  <c r="D433" i="12"/>
  <c r="D425" i="12"/>
  <c r="D417" i="12"/>
  <c r="D409" i="12"/>
  <c r="D401" i="12"/>
  <c r="D393" i="12"/>
  <c r="D385" i="12"/>
  <c r="D377" i="12"/>
  <c r="D369" i="12"/>
  <c r="D361" i="12"/>
  <c r="D353" i="12"/>
  <c r="D345" i="12"/>
  <c r="D337" i="12"/>
  <c r="D329" i="12"/>
  <c r="D321" i="12"/>
  <c r="D313" i="12"/>
  <c r="D305" i="12"/>
  <c r="D297" i="12"/>
  <c r="D289" i="12"/>
  <c r="D281" i="12"/>
  <c r="D273" i="12"/>
  <c r="D265" i="12"/>
  <c r="D257" i="12"/>
  <c r="D249" i="12"/>
  <c r="D241" i="12"/>
  <c r="D233" i="12"/>
  <c r="D225" i="12"/>
  <c r="D217" i="12"/>
  <c r="D209" i="12"/>
  <c r="D201" i="12"/>
  <c r="D193" i="12"/>
  <c r="D185" i="12"/>
  <c r="D177" i="12"/>
  <c r="D169" i="12"/>
  <c r="D161" i="12"/>
  <c r="D153" i="12"/>
  <c r="D145" i="12"/>
  <c r="D137" i="12"/>
  <c r="D129" i="12"/>
  <c r="D121" i="12"/>
  <c r="D113" i="12"/>
  <c r="D105" i="12"/>
  <c r="D97" i="12"/>
  <c r="D89" i="12"/>
  <c r="D81" i="12"/>
  <c r="D73" i="12"/>
  <c r="D65" i="12"/>
  <c r="D57" i="12"/>
  <c r="D49" i="12"/>
  <c r="D41" i="12"/>
  <c r="D33" i="12"/>
  <c r="E509" i="14"/>
  <c r="E493" i="14"/>
  <c r="E477" i="14"/>
  <c r="E461" i="14"/>
  <c r="E445" i="14"/>
  <c r="E429" i="14"/>
  <c r="E413" i="14"/>
  <c r="E397" i="14"/>
  <c r="E381" i="14"/>
  <c r="E365" i="14"/>
  <c r="E349" i="14"/>
  <c r="E333" i="14"/>
  <c r="E317" i="14"/>
  <c r="E303" i="14"/>
  <c r="E295" i="14"/>
  <c r="E287" i="14"/>
  <c r="E279" i="14"/>
  <c r="E271" i="14"/>
  <c r="E263" i="14"/>
  <c r="E255" i="14"/>
  <c r="E247" i="14"/>
  <c r="E239" i="14"/>
  <c r="E231" i="14"/>
  <c r="E223" i="14"/>
  <c r="E215" i="14"/>
  <c r="E207" i="14"/>
  <c r="E199" i="14"/>
  <c r="E191" i="14"/>
  <c r="E183" i="14"/>
  <c r="E175" i="14"/>
  <c r="E167" i="14"/>
  <c r="E159" i="14"/>
  <c r="E151" i="14"/>
  <c r="E143" i="14"/>
  <c r="E135" i="14"/>
  <c r="E127" i="14"/>
  <c r="E119" i="14"/>
  <c r="E111" i="14"/>
  <c r="E103" i="14"/>
  <c r="E95" i="14"/>
  <c r="E87" i="14"/>
  <c r="E79" i="14"/>
  <c r="E71" i="14"/>
  <c r="E63" i="14"/>
  <c r="E55" i="14"/>
  <c r="E47" i="14"/>
  <c r="E39" i="14"/>
  <c r="E31" i="14"/>
  <c r="E23" i="14"/>
  <c r="E15" i="14"/>
  <c r="E7" i="14"/>
  <c r="E1048" i="13"/>
  <c r="E1040" i="13"/>
  <c r="E1032" i="13"/>
  <c r="E1024" i="13"/>
  <c r="E1016" i="13"/>
  <c r="E1008" i="13"/>
  <c r="E1000" i="13"/>
  <c r="E992" i="13"/>
  <c r="E984" i="13"/>
  <c r="E976" i="13"/>
  <c r="E968" i="13"/>
  <c r="E960" i="13"/>
  <c r="E952" i="13"/>
  <c r="E944" i="13"/>
  <c r="E936" i="13"/>
  <c r="E928" i="13"/>
  <c r="E920" i="13"/>
  <c r="E912" i="13"/>
  <c r="E904" i="13"/>
  <c r="E896" i="13"/>
  <c r="E888" i="13"/>
  <c r="E880" i="13"/>
  <c r="E872" i="13"/>
  <c r="E864" i="13"/>
  <c r="E856" i="13"/>
  <c r="E848" i="13"/>
  <c r="E840" i="13"/>
  <c r="E832" i="13"/>
  <c r="E824" i="13"/>
  <c r="E816" i="13"/>
  <c r="E808" i="13"/>
  <c r="E800" i="13"/>
  <c r="E792" i="13"/>
  <c r="E784" i="13"/>
  <c r="E776" i="13"/>
  <c r="E768" i="13"/>
  <c r="E760" i="13"/>
  <c r="E752" i="13"/>
  <c r="E744" i="13"/>
  <c r="E736" i="13"/>
  <c r="E728" i="13"/>
  <c r="E720" i="13"/>
  <c r="E712" i="13"/>
  <c r="E704" i="13"/>
  <c r="E696" i="13"/>
  <c r="E688" i="13"/>
  <c r="E680" i="13"/>
  <c r="E672" i="13"/>
  <c r="E664" i="13"/>
  <c r="E656" i="13"/>
  <c r="E648" i="13"/>
  <c r="E640" i="13"/>
  <c r="E632" i="13"/>
  <c r="E624" i="13"/>
  <c r="E616" i="13"/>
  <c r="E608" i="13"/>
  <c r="E600" i="13"/>
  <c r="E592" i="13"/>
  <c r="E584" i="13"/>
  <c r="E576" i="13"/>
  <c r="E568" i="13"/>
  <c r="E560" i="13"/>
  <c r="E552" i="13"/>
  <c r="E544" i="13"/>
  <c r="E536" i="13"/>
  <c r="E528" i="13"/>
  <c r="E520" i="13"/>
  <c r="E512" i="13"/>
  <c r="E504" i="13"/>
  <c r="E496" i="13"/>
  <c r="E488" i="13"/>
  <c r="E480" i="13"/>
  <c r="E472" i="13"/>
  <c r="E464" i="13"/>
  <c r="E456" i="13"/>
  <c r="E448" i="13"/>
  <c r="E440" i="13"/>
  <c r="E432" i="13"/>
  <c r="E424" i="13"/>
  <c r="E416" i="13"/>
  <c r="E408" i="13"/>
  <c r="E400" i="13"/>
  <c r="E392" i="13"/>
  <c r="E384" i="13"/>
  <c r="E376" i="13"/>
  <c r="E368" i="13"/>
  <c r="E360" i="13"/>
  <c r="E352" i="13"/>
  <c r="E344" i="13"/>
  <c r="E336" i="13"/>
  <c r="E328" i="13"/>
  <c r="E320" i="13"/>
  <c r="E312" i="13"/>
  <c r="E304" i="13"/>
  <c r="E296" i="13"/>
  <c r="E288" i="13"/>
  <c r="E280" i="13"/>
  <c r="E272" i="13"/>
  <c r="E264" i="13"/>
  <c r="E256" i="13"/>
  <c r="E248" i="13"/>
  <c r="E240" i="13"/>
  <c r="E232" i="13"/>
  <c r="E224" i="13"/>
  <c r="E216" i="13"/>
  <c r="E208" i="13"/>
  <c r="E200" i="13"/>
  <c r="E192" i="13"/>
  <c r="E184" i="13"/>
  <c r="E176" i="13"/>
  <c r="E168" i="13"/>
  <c r="E160" i="13"/>
  <c r="E152" i="13"/>
  <c r="E144" i="13"/>
  <c r="E136" i="13"/>
  <c r="E128" i="13"/>
  <c r="E120" i="13"/>
  <c r="E112" i="13"/>
  <c r="E104" i="13"/>
  <c r="E96" i="13"/>
  <c r="E88" i="13"/>
  <c r="E80" i="13"/>
  <c r="E72" i="13"/>
  <c r="E64" i="13"/>
  <c r="E56" i="13"/>
  <c r="E48" i="13"/>
  <c r="E40" i="13"/>
  <c r="E32" i="13"/>
  <c r="E24" i="13"/>
  <c r="E16" i="13"/>
  <c r="E8" i="13"/>
  <c r="E614" i="12"/>
  <c r="E606" i="12"/>
  <c r="E598" i="12"/>
  <c r="E590" i="12"/>
  <c r="E582" i="12"/>
  <c r="E574" i="12"/>
  <c r="E566" i="12"/>
  <c r="E558" i="12"/>
  <c r="E550" i="12"/>
  <c r="E542" i="12"/>
  <c r="E534" i="12"/>
  <c r="E526" i="12"/>
  <c r="E518" i="12"/>
  <c r="E510" i="12"/>
  <c r="E502" i="12"/>
  <c r="E494" i="12"/>
  <c r="E486" i="12"/>
  <c r="E478" i="12"/>
  <c r="E470" i="12"/>
  <c r="E462" i="12"/>
  <c r="E454" i="12"/>
  <c r="E446" i="12"/>
  <c r="E438" i="12"/>
  <c r="E430" i="12"/>
  <c r="E422" i="12"/>
  <c r="E414" i="12"/>
  <c r="E406" i="12"/>
  <c r="E398" i="12"/>
  <c r="E390" i="12"/>
  <c r="E382" i="12"/>
  <c r="E374" i="12"/>
  <c r="E366" i="12"/>
  <c r="E358" i="12"/>
  <c r="E350" i="12"/>
  <c r="E342" i="12"/>
  <c r="E334" i="12"/>
  <c r="E326" i="12"/>
  <c r="E318" i="12"/>
  <c r="E310" i="12"/>
  <c r="E302" i="12"/>
  <c r="E294" i="12"/>
  <c r="E286" i="12"/>
  <c r="E278" i="12"/>
  <c r="E270" i="12"/>
  <c r="E262" i="12"/>
  <c r="E254" i="12"/>
  <c r="E246" i="12"/>
  <c r="E238" i="12"/>
  <c r="E230" i="12"/>
  <c r="E222" i="12"/>
  <c r="E214" i="12"/>
  <c r="E206" i="12"/>
  <c r="E190" i="12"/>
  <c r="E174" i="12"/>
  <c r="E158" i="12"/>
  <c r="E142" i="12"/>
  <c r="E126" i="12"/>
  <c r="E110" i="12"/>
  <c r="E94" i="12"/>
  <c r="E78" i="12"/>
  <c r="E62" i="12"/>
  <c r="E46" i="12"/>
  <c r="D32" i="12"/>
  <c r="D24" i="12"/>
  <c r="D16" i="12"/>
  <c r="D8" i="12"/>
  <c r="D746" i="11"/>
  <c r="D738" i="11"/>
  <c r="D730" i="11"/>
  <c r="D722" i="11"/>
  <c r="D714" i="11"/>
  <c r="D706" i="11"/>
  <c r="D698" i="11"/>
  <c r="D690" i="11"/>
  <c r="D682" i="11"/>
  <c r="D674" i="11"/>
  <c r="D666" i="11"/>
  <c r="D658" i="11"/>
  <c r="D650" i="11"/>
  <c r="D642" i="11"/>
  <c r="D634" i="11"/>
  <c r="D626" i="11"/>
  <c r="D618" i="11"/>
  <c r="D610" i="11"/>
  <c r="D602" i="11"/>
  <c r="D594" i="11"/>
  <c r="D586" i="11"/>
  <c r="D578" i="11"/>
  <c r="D570" i="11"/>
  <c r="D562" i="11"/>
  <c r="D554" i="11"/>
  <c r="D546" i="11"/>
  <c r="D538" i="11"/>
  <c r="D530" i="11"/>
  <c r="D522" i="11"/>
  <c r="D514" i="11"/>
  <c r="D506" i="11"/>
  <c r="D498" i="11"/>
  <c r="D490" i="11"/>
  <c r="D482" i="11"/>
  <c r="D474" i="11"/>
  <c r="D466" i="11"/>
  <c r="D458" i="11"/>
  <c r="D450" i="11"/>
  <c r="D442" i="11"/>
  <c r="D434" i="11"/>
  <c r="D426" i="11"/>
  <c r="D418" i="11"/>
  <c r="D410" i="11"/>
  <c r="D402" i="11"/>
  <c r="D394" i="11"/>
  <c r="D386" i="11"/>
  <c r="D378" i="11"/>
  <c r="D370" i="11"/>
  <c r="D362" i="11"/>
  <c r="D354" i="11"/>
  <c r="D346" i="11"/>
  <c r="D338" i="11"/>
  <c r="D330" i="11"/>
  <c r="D322" i="11"/>
  <c r="D314" i="11"/>
  <c r="D306" i="11"/>
  <c r="D298" i="11"/>
  <c r="D290" i="11"/>
  <c r="D282" i="11"/>
  <c r="D274" i="11"/>
  <c r="D266" i="11"/>
  <c r="D258" i="11"/>
  <c r="D250" i="11"/>
  <c r="D242" i="11"/>
  <c r="D234" i="11"/>
  <c r="D226" i="11"/>
  <c r="D218" i="11"/>
  <c r="D210" i="11"/>
  <c r="D202" i="11"/>
  <c r="D194" i="11"/>
  <c r="D186" i="11"/>
  <c r="D178" i="11"/>
  <c r="D170" i="11"/>
  <c r="D162" i="11"/>
  <c r="D154" i="11"/>
  <c r="D146" i="11"/>
  <c r="D138" i="11"/>
  <c r="D130" i="11"/>
  <c r="D122" i="11"/>
  <c r="D114" i="11"/>
  <c r="D106" i="11"/>
  <c r="D98" i="11"/>
  <c r="D90" i="11"/>
  <c r="D82" i="11"/>
  <c r="D74" i="11"/>
  <c r="D66" i="11"/>
  <c r="D58" i="11"/>
  <c r="D50" i="11"/>
  <c r="D42" i="11"/>
  <c r="D34" i="11"/>
  <c r="D26" i="11"/>
  <c r="D18" i="11"/>
  <c r="D10" i="11"/>
  <c r="D2" i="11"/>
  <c r="D215" i="9"/>
  <c r="D207" i="9"/>
  <c r="D199" i="9"/>
  <c r="D191" i="9"/>
  <c r="D183" i="9"/>
  <c r="D175" i="9"/>
  <c r="D167" i="9"/>
  <c r="D159" i="9"/>
  <c r="D151" i="9"/>
  <c r="D143" i="9"/>
  <c r="D135" i="9"/>
  <c r="D127" i="9"/>
  <c r="D119" i="9"/>
  <c r="D111" i="9"/>
  <c r="D103" i="9"/>
  <c r="D95" i="9"/>
  <c r="D87" i="9"/>
  <c r="D79" i="9"/>
  <c r="D71" i="9"/>
  <c r="D63" i="9"/>
  <c r="D55" i="9"/>
  <c r="D47" i="9"/>
  <c r="D39" i="9"/>
  <c r="D31" i="9"/>
  <c r="D23" i="9"/>
  <c r="D15" i="9"/>
  <c r="D7" i="9"/>
  <c r="D591" i="8"/>
  <c r="D575" i="8"/>
  <c r="D567" i="8"/>
  <c r="D559" i="8"/>
  <c r="D551" i="8"/>
  <c r="D543" i="8"/>
  <c r="D535" i="8"/>
  <c r="D527" i="8"/>
  <c r="D519" i="8"/>
  <c r="D511" i="8"/>
  <c r="D503" i="8"/>
  <c r="D495" i="8"/>
  <c r="D487" i="8"/>
  <c r="D479" i="8"/>
  <c r="D471" i="8"/>
  <c r="D463" i="8"/>
  <c r="D455" i="8"/>
  <c r="D447" i="8"/>
  <c r="D439" i="8"/>
  <c r="D431" i="8"/>
  <c r="D423" i="8"/>
  <c r="D415" i="8"/>
  <c r="D407" i="8"/>
  <c r="D399" i="8"/>
  <c r="D391" i="8"/>
  <c r="D383" i="8"/>
  <c r="D375" i="8"/>
  <c r="D367" i="8"/>
  <c r="D359" i="8"/>
  <c r="D351" i="8"/>
  <c r="D343" i="8"/>
  <c r="D335" i="8"/>
  <c r="D327" i="8"/>
  <c r="D319" i="8"/>
  <c r="D311" i="8"/>
  <c r="D303" i="8"/>
  <c r="D295" i="8"/>
  <c r="D287" i="8"/>
  <c r="D279" i="8"/>
  <c r="D271" i="8"/>
  <c r="D263" i="8"/>
  <c r="D255" i="8"/>
  <c r="D247" i="8"/>
  <c r="D239" i="8"/>
  <c r="D231" i="8"/>
  <c r="D223" i="8"/>
  <c r="D215" i="8"/>
  <c r="D207" i="8"/>
  <c r="D199" i="8"/>
  <c r="D191" i="8"/>
  <c r="D183" i="8"/>
  <c r="D175" i="8"/>
  <c r="D167" i="8"/>
  <c r="D159" i="8"/>
  <c r="D151" i="8"/>
  <c r="D143" i="8"/>
  <c r="D135" i="8"/>
  <c r="D127" i="8"/>
  <c r="D119" i="8"/>
  <c r="E205" i="12"/>
  <c r="E189" i="12"/>
  <c r="E173" i="12"/>
  <c r="E157" i="12"/>
  <c r="E141" i="12"/>
  <c r="E125" i="12"/>
  <c r="E109" i="12"/>
  <c r="E93" i="12"/>
  <c r="E77" i="12"/>
  <c r="E61" i="12"/>
  <c r="E45" i="12"/>
  <c r="E31" i="12"/>
  <c r="E23" i="12"/>
  <c r="E15" i="12"/>
  <c r="E7" i="12"/>
  <c r="E745" i="11"/>
  <c r="E737" i="11"/>
  <c r="E729" i="11"/>
  <c r="E721" i="11"/>
  <c r="E713" i="11"/>
  <c r="E705" i="11"/>
  <c r="E697" i="11"/>
  <c r="E689" i="11"/>
  <c r="E681" i="11"/>
  <c r="E673" i="11"/>
  <c r="E665" i="11"/>
  <c r="E657" i="11"/>
  <c r="E649" i="11"/>
  <c r="E641" i="11"/>
  <c r="E633" i="11"/>
  <c r="E625" i="11"/>
  <c r="E617" i="11"/>
  <c r="E609" i="11"/>
  <c r="E601" i="11"/>
  <c r="E593" i="11"/>
  <c r="E585" i="11"/>
  <c r="E577" i="11"/>
  <c r="E569" i="11"/>
  <c r="E561" i="11"/>
  <c r="E553" i="11"/>
  <c r="E545" i="11"/>
  <c r="E537" i="11"/>
  <c r="E529" i="11"/>
  <c r="E521" i="11"/>
  <c r="E513" i="11"/>
  <c r="E505" i="11"/>
  <c r="E497" i="11"/>
  <c r="E489" i="11"/>
  <c r="E481" i="11"/>
  <c r="E473" i="11"/>
  <c r="E465" i="11"/>
  <c r="E457" i="11"/>
  <c r="E449" i="11"/>
  <c r="E441" i="11"/>
  <c r="E433" i="11"/>
  <c r="E425" i="11"/>
  <c r="E417" i="11"/>
  <c r="E409" i="11"/>
  <c r="E401" i="11"/>
  <c r="E393" i="11"/>
  <c r="E385" i="11"/>
  <c r="E377" i="11"/>
  <c r="E369" i="11"/>
  <c r="E361" i="11"/>
  <c r="E353" i="11"/>
  <c r="E345" i="11"/>
  <c r="E337" i="11"/>
  <c r="E329" i="11"/>
  <c r="E321" i="11"/>
  <c r="E313" i="11"/>
  <c r="E305" i="11"/>
  <c r="E297" i="11"/>
  <c r="E289" i="11"/>
  <c r="E281" i="11"/>
  <c r="E273" i="11"/>
  <c r="E265" i="11"/>
  <c r="E257" i="11"/>
  <c r="E249" i="11"/>
  <c r="E241" i="11"/>
  <c r="E233" i="11"/>
  <c r="E225" i="11"/>
  <c r="E217" i="11"/>
  <c r="E209" i="11"/>
  <c r="E201" i="11"/>
  <c r="E193" i="11"/>
  <c r="E185" i="11"/>
  <c r="E177" i="11"/>
  <c r="E169" i="11"/>
  <c r="E161" i="11"/>
  <c r="E153" i="11"/>
  <c r="E145" i="11"/>
  <c r="E137" i="11"/>
  <c r="E129" i="11"/>
  <c r="E121" i="11"/>
  <c r="E113" i="11"/>
  <c r="E105" i="11"/>
  <c r="E97" i="11"/>
  <c r="E89" i="11"/>
  <c r="E81" i="11"/>
  <c r="E73" i="11"/>
  <c r="D890" i="13"/>
  <c r="D858" i="13"/>
  <c r="D826" i="13"/>
  <c r="D794" i="13"/>
  <c r="D762" i="13"/>
  <c r="D730" i="13"/>
  <c r="D698" i="13"/>
  <c r="D666" i="13"/>
  <c r="D634" i="13"/>
  <c r="D602" i="13"/>
  <c r="D570" i="13"/>
  <c r="D538" i="13"/>
  <c r="D506" i="13"/>
  <c r="D474" i="13"/>
  <c r="D442" i="13"/>
  <c r="D410" i="13"/>
  <c r="D378" i="13"/>
  <c r="D346" i="13"/>
  <c r="D314" i="13"/>
  <c r="D282" i="13"/>
  <c r="D250" i="13"/>
  <c r="D218" i="13"/>
  <c r="D186" i="13"/>
  <c r="D154" i="13"/>
  <c r="D122" i="13"/>
  <c r="D90" i="13"/>
  <c r="D58" i="13"/>
  <c r="D26" i="13"/>
  <c r="D608" i="12"/>
  <c r="D576" i="12"/>
  <c r="D544" i="12"/>
  <c r="D512" i="12"/>
  <c r="D496" i="12"/>
  <c r="D480" i="12"/>
  <c r="D464" i="12"/>
  <c r="D448" i="12"/>
  <c r="D432" i="12"/>
  <c r="D416" i="12"/>
  <c r="D400" i="12"/>
  <c r="D384" i="12"/>
  <c r="D368" i="12"/>
  <c r="D352" i="12"/>
  <c r="D336" i="12"/>
  <c r="D320" i="12"/>
  <c r="D304" i="12"/>
  <c r="D288" i="12"/>
  <c r="D272" i="12"/>
  <c r="D256" i="12"/>
  <c r="D240" i="12"/>
  <c r="D224" i="12"/>
  <c r="D208" i="12"/>
  <c r="D192" i="12"/>
  <c r="D176" i="12"/>
  <c r="D160" i="12"/>
  <c r="D144" i="12"/>
  <c r="D128" i="12"/>
  <c r="D112" i="12"/>
  <c r="D96" i="12"/>
  <c r="D80" i="12"/>
  <c r="D64" i="12"/>
  <c r="D48" i="12"/>
  <c r="E519" i="14"/>
  <c r="E487" i="14"/>
  <c r="E455" i="14"/>
  <c r="E423" i="14"/>
  <c r="E391" i="14"/>
  <c r="E359" i="14"/>
  <c r="E327" i="14"/>
  <c r="E300" i="14"/>
  <c r="E284" i="14"/>
  <c r="E268" i="14"/>
  <c r="E252" i="14"/>
  <c r="E236" i="14"/>
  <c r="E220" i="14"/>
  <c r="E204" i="14"/>
  <c r="E188" i="14"/>
  <c r="E172" i="14"/>
  <c r="E156" i="14"/>
  <c r="E140" i="14"/>
  <c r="E124" i="14"/>
  <c r="E108" i="14"/>
  <c r="E92" i="14"/>
  <c r="E76" i="14"/>
  <c r="E60" i="14"/>
  <c r="E44" i="14"/>
  <c r="E28" i="14"/>
  <c r="E12" i="14"/>
  <c r="E1045" i="13"/>
  <c r="E1029" i="13"/>
  <c r="E1013" i="13"/>
  <c r="E997" i="13"/>
  <c r="E981" i="13"/>
  <c r="E965" i="13"/>
  <c r="E949" i="13"/>
  <c r="E933" i="13"/>
  <c r="E917" i="13"/>
  <c r="E901" i="13"/>
  <c r="E885" i="13"/>
  <c r="E869" i="13"/>
  <c r="E853" i="13"/>
  <c r="E837" i="13"/>
  <c r="E821" i="13"/>
  <c r="E805" i="13"/>
  <c r="E789" i="13"/>
  <c r="E773" i="13"/>
  <c r="E757" i="13"/>
  <c r="E741" i="13"/>
  <c r="E725" i="13"/>
  <c r="E709" i="13"/>
  <c r="E693" i="13"/>
  <c r="E677" i="13"/>
  <c r="E661" i="13"/>
  <c r="E645" i="13"/>
  <c r="E629" i="13"/>
  <c r="E613" i="13"/>
  <c r="E597" i="13"/>
  <c r="E581" i="13"/>
  <c r="E573" i="13"/>
  <c r="E565" i="13"/>
  <c r="E557" i="13"/>
  <c r="E549" i="13"/>
  <c r="E541" i="13"/>
  <c r="E533" i="13"/>
  <c r="E525" i="13"/>
  <c r="E517" i="13"/>
  <c r="E509" i="13"/>
  <c r="E501" i="13"/>
  <c r="E469" i="13"/>
  <c r="E437" i="13"/>
  <c r="E405" i="13"/>
  <c r="E373" i="13"/>
  <c r="E341" i="13"/>
  <c r="E309" i="13"/>
  <c r="E277" i="13"/>
  <c r="E245" i="13"/>
  <c r="E213" i="13"/>
  <c r="E181" i="13"/>
  <c r="E149" i="13"/>
  <c r="E117" i="13"/>
  <c r="E85" i="13"/>
  <c r="E53" i="13"/>
  <c r="E21" i="13"/>
  <c r="E603" i="12"/>
  <c r="E571" i="12"/>
  <c r="E539" i="12"/>
  <c r="E507" i="12"/>
  <c r="E475" i="12"/>
  <c r="E443" i="12"/>
  <c r="E411" i="12"/>
  <c r="E379" i="12"/>
  <c r="E347" i="12"/>
  <c r="E315" i="12"/>
  <c r="E283" i="12"/>
  <c r="E251" i="12"/>
  <c r="E219" i="12"/>
  <c r="E462" i="14"/>
  <c r="E398" i="14"/>
  <c r="E334" i="14"/>
  <c r="D288" i="14"/>
  <c r="D256" i="14"/>
  <c r="D224" i="14"/>
  <c r="D192" i="14"/>
  <c r="D160" i="14"/>
  <c r="D128" i="14"/>
  <c r="D96" i="14"/>
  <c r="D64" i="14"/>
  <c r="D32" i="14"/>
  <c r="D1049" i="13"/>
  <c r="D1017" i="13"/>
  <c r="D985" i="13"/>
  <c r="D953" i="13"/>
  <c r="D921" i="13"/>
  <c r="D889" i="13"/>
  <c r="D857" i="13"/>
  <c r="D825" i="13"/>
  <c r="D793" i="13"/>
  <c r="D761" i="13"/>
  <c r="D729" i="13"/>
  <c r="D697" i="13"/>
  <c r="D665" i="13"/>
  <c r="D633" i="13"/>
  <c r="D601" i="13"/>
  <c r="D569" i="13"/>
  <c r="D537" i="13"/>
  <c r="D505" i="13"/>
  <c r="D473" i="13"/>
  <c r="D441" i="13"/>
  <c r="D409" i="13"/>
  <c r="D377" i="13"/>
  <c r="D345" i="13"/>
  <c r="D313" i="13"/>
  <c r="D281" i="13"/>
  <c r="D249" i="13"/>
  <c r="D217" i="13"/>
  <c r="D185" i="13"/>
  <c r="D153" i="13"/>
  <c r="D121" i="13"/>
  <c r="D89" i="13"/>
  <c r="D57" i="13"/>
  <c r="D25" i="13"/>
  <c r="D607" i="12"/>
  <c r="D575" i="12"/>
  <c r="D543" i="12"/>
  <c r="D511" i="12"/>
  <c r="D479" i="12"/>
  <c r="D447" i="12"/>
  <c r="D415" i="12"/>
  <c r="D383" i="12"/>
  <c r="D351" i="12"/>
  <c r="D319" i="12"/>
  <c r="D287" i="12"/>
  <c r="D255" i="12"/>
  <c r="D223" i="12"/>
  <c r="D191" i="12"/>
  <c r="D159" i="12"/>
  <c r="D127" i="12"/>
  <c r="D95" i="12"/>
  <c r="D63" i="12"/>
  <c r="E522" i="14"/>
  <c r="E457" i="14"/>
  <c r="E393" i="14"/>
  <c r="E329" i="14"/>
  <c r="E285" i="14"/>
  <c r="E253" i="14"/>
  <c r="E221" i="14"/>
  <c r="E189" i="14"/>
  <c r="E157" i="14"/>
  <c r="E125" i="14"/>
  <c r="E93" i="14"/>
  <c r="E61" i="14"/>
  <c r="E29" i="14"/>
  <c r="E1046" i="13"/>
  <c r="E1014" i="13"/>
  <c r="E982" i="13"/>
  <c r="E950" i="13"/>
  <c r="E918" i="13"/>
  <c r="E886" i="13"/>
  <c r="E854" i="13"/>
  <c r="E822" i="13"/>
  <c r="E790" i="13"/>
  <c r="E758" i="13"/>
  <c r="E726" i="13"/>
  <c r="E694" i="13"/>
  <c r="E662" i="13"/>
  <c r="E630" i="13"/>
  <c r="E598" i="13"/>
  <c r="E566" i="13"/>
  <c r="E534" i="13"/>
  <c r="E502" i="13"/>
  <c r="E470" i="13"/>
  <c r="E438" i="13"/>
  <c r="E406" i="13"/>
  <c r="E374" i="13"/>
  <c r="E342" i="13"/>
  <c r="E310" i="13"/>
  <c r="E278" i="13"/>
  <c r="E246" i="13"/>
  <c r="E214" i="13"/>
  <c r="E182" i="13"/>
  <c r="E150" i="13"/>
  <c r="E118" i="13"/>
  <c r="E86" i="13"/>
  <c r="E54" i="13"/>
  <c r="E22" i="13"/>
  <c r="E604" i="12"/>
  <c r="E572" i="12"/>
  <c r="E556" i="12"/>
  <c r="E540" i="12"/>
  <c r="E524" i="12"/>
  <c r="E508" i="12"/>
  <c r="E492" i="12"/>
  <c r="E476" i="12"/>
  <c r="E460" i="12"/>
  <c r="E444" i="12"/>
  <c r="E428" i="12"/>
  <c r="E412" i="12"/>
  <c r="E396" i="12"/>
  <c r="E380" i="12"/>
  <c r="E364" i="12"/>
  <c r="E348" i="12"/>
  <c r="E332" i="12"/>
  <c r="E316" i="12"/>
  <c r="E300" i="12"/>
  <c r="E284" i="12"/>
  <c r="E268" i="12"/>
  <c r="E252" i="12"/>
  <c r="E236" i="12"/>
  <c r="E220" i="12"/>
  <c r="E202" i="12"/>
  <c r="E170" i="12"/>
  <c r="E138" i="12"/>
  <c r="E106" i="12"/>
  <c r="E74" i="12"/>
  <c r="E42" i="12"/>
  <c r="D22" i="12"/>
  <c r="D6" i="12"/>
  <c r="D736" i="11"/>
  <c r="D720" i="11"/>
  <c r="D704" i="11"/>
  <c r="D688" i="11"/>
  <c r="D672" i="11"/>
  <c r="D656" i="11"/>
  <c r="D640" i="11"/>
  <c r="D624" i="11"/>
  <c r="D608" i="11"/>
  <c r="D592" i="11"/>
  <c r="D576" i="11"/>
  <c r="D560" i="11"/>
  <c r="D544" i="11"/>
  <c r="D528" i="11"/>
  <c r="D512" i="11"/>
  <c r="D496" i="11"/>
  <c r="D480" i="11"/>
  <c r="D464" i="11"/>
  <c r="D448" i="11"/>
  <c r="D432" i="11"/>
  <c r="D416" i="11"/>
  <c r="D400" i="11"/>
  <c r="D384" i="11"/>
  <c r="D368" i="11"/>
  <c r="D352" i="11"/>
  <c r="D336" i="11"/>
  <c r="D320" i="11"/>
  <c r="D304" i="11"/>
  <c r="D288" i="11"/>
  <c r="D272" i="11"/>
  <c r="D256" i="11"/>
  <c r="D240" i="11"/>
  <c r="D224" i="11"/>
  <c r="D208" i="11"/>
  <c r="D192" i="11"/>
  <c r="D176" i="11"/>
  <c r="D160" i="11"/>
  <c r="D144" i="11"/>
  <c r="D128" i="11"/>
  <c r="D112" i="11"/>
  <c r="D96" i="11"/>
  <c r="D80" i="11"/>
  <c r="D64" i="11"/>
  <c r="D48" i="11"/>
  <c r="D32" i="11"/>
  <c r="D16" i="11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587" i="8"/>
  <c r="D565" i="8"/>
  <c r="D549" i="8"/>
  <c r="D533" i="8"/>
  <c r="D517" i="8"/>
  <c r="D501" i="8"/>
  <c r="D485" i="8"/>
  <c r="D469" i="8"/>
  <c r="D453" i="8"/>
  <c r="D437" i="8"/>
  <c r="D421" i="8"/>
  <c r="D405" i="8"/>
  <c r="D389" i="8"/>
  <c r="D373" i="8"/>
  <c r="D357" i="8"/>
  <c r="D341" i="8"/>
  <c r="D325" i="8"/>
  <c r="D309" i="8"/>
  <c r="D293" i="8"/>
  <c r="D277" i="8"/>
  <c r="D261" i="8"/>
  <c r="D245" i="8"/>
  <c r="D229" i="8"/>
  <c r="D213" i="8"/>
  <c r="D197" i="8"/>
  <c r="D181" i="8"/>
  <c r="D165" i="8"/>
  <c r="D149" i="8"/>
  <c r="D133" i="8"/>
  <c r="D117" i="8"/>
  <c r="E185" i="12"/>
  <c r="E153" i="12"/>
  <c r="E121" i="12"/>
  <c r="E89" i="12"/>
  <c r="E57" i="12"/>
  <c r="E29" i="12"/>
  <c r="E13" i="12"/>
  <c r="E743" i="11"/>
  <c r="E727" i="11"/>
  <c r="E711" i="11"/>
  <c r="E695" i="11"/>
  <c r="E679" i="11"/>
  <c r="E663" i="11"/>
  <c r="E647" i="11"/>
  <c r="E631" i="11"/>
  <c r="E615" i="11"/>
  <c r="E599" i="11"/>
  <c r="E583" i="11"/>
  <c r="E567" i="11"/>
  <c r="E551" i="11"/>
  <c r="E535" i="11"/>
  <c r="E519" i="11"/>
  <c r="E503" i="11"/>
  <c r="E487" i="11"/>
  <c r="E471" i="11"/>
  <c r="E455" i="11"/>
  <c r="E439" i="11"/>
  <c r="E423" i="11"/>
  <c r="E407" i="11"/>
  <c r="E391" i="11"/>
  <c r="E375" i="11"/>
  <c r="E359" i="11"/>
  <c r="E343" i="11"/>
  <c r="E327" i="11"/>
  <c r="E311" i="11"/>
  <c r="E295" i="11"/>
  <c r="E279" i="11"/>
  <c r="E263" i="11"/>
  <c r="E247" i="11"/>
  <c r="E231" i="11"/>
  <c r="E215" i="11"/>
  <c r="E199" i="11"/>
  <c r="E183" i="11"/>
  <c r="E167" i="11"/>
  <c r="E151" i="11"/>
  <c r="E135" i="11"/>
  <c r="E119" i="11"/>
  <c r="E103" i="11"/>
  <c r="E87" i="11"/>
  <c r="E71" i="11"/>
  <c r="E61" i="11"/>
  <c r="E53" i="11"/>
  <c r="E45" i="11"/>
  <c r="E37" i="11"/>
  <c r="E29" i="11"/>
  <c r="E21" i="11"/>
  <c r="E13" i="11"/>
  <c r="E5" i="11"/>
  <c r="E218" i="9"/>
  <c r="E210" i="9"/>
  <c r="E202" i="9"/>
  <c r="E194" i="9"/>
  <c r="E186" i="9"/>
  <c r="E178" i="9"/>
  <c r="E170" i="9"/>
  <c r="E162" i="9"/>
  <c r="E154" i="9"/>
  <c r="E146" i="9"/>
  <c r="E138" i="9"/>
  <c r="E130" i="9"/>
  <c r="E122" i="9"/>
  <c r="E114" i="9"/>
  <c r="E106" i="9"/>
  <c r="E98" i="9"/>
  <c r="E90" i="9"/>
  <c r="E82" i="9"/>
  <c r="E74" i="9"/>
  <c r="E66" i="9"/>
  <c r="E58" i="9"/>
  <c r="E50" i="9"/>
  <c r="E42" i="9"/>
  <c r="E34" i="9"/>
  <c r="E26" i="9"/>
  <c r="E18" i="9"/>
  <c r="E10" i="9"/>
  <c r="E2" i="9"/>
  <c r="D582" i="8"/>
  <c r="E570" i="8"/>
  <c r="E562" i="8"/>
  <c r="E554" i="8"/>
  <c r="E546" i="8"/>
  <c r="E538" i="8"/>
  <c r="E530" i="8"/>
  <c r="E522" i="8"/>
  <c r="E514" i="8"/>
  <c r="E506" i="8"/>
  <c r="E498" i="8"/>
  <c r="E490" i="8"/>
  <c r="E482" i="8"/>
  <c r="E474" i="8"/>
  <c r="E466" i="8"/>
  <c r="E458" i="8"/>
  <c r="E450" i="8"/>
  <c r="E442" i="8"/>
  <c r="E434" i="8"/>
  <c r="E426" i="8"/>
  <c r="E418" i="8"/>
  <c r="E410" i="8"/>
  <c r="E402" i="8"/>
  <c r="E394" i="8"/>
  <c r="E386" i="8"/>
  <c r="E378" i="8"/>
  <c r="E370" i="8"/>
  <c r="E362" i="8"/>
  <c r="E354" i="8"/>
  <c r="E346" i="8"/>
  <c r="E338" i="8"/>
  <c r="E330" i="8"/>
  <c r="E322" i="8"/>
  <c r="E314" i="8"/>
  <c r="E306" i="8"/>
  <c r="E298" i="8"/>
  <c r="E290" i="8"/>
  <c r="E282" i="8"/>
  <c r="E274" i="8"/>
  <c r="E266" i="8"/>
  <c r="E258" i="8"/>
  <c r="E250" i="8"/>
  <c r="E242" i="8"/>
  <c r="E234" i="8"/>
  <c r="E226" i="8"/>
  <c r="E218" i="8"/>
  <c r="E210" i="8"/>
  <c r="E202" i="8"/>
  <c r="E194" i="8"/>
  <c r="E186" i="8"/>
  <c r="E178" i="8"/>
  <c r="E170" i="8"/>
  <c r="E162" i="8"/>
  <c r="E154" i="8"/>
  <c r="E146" i="8"/>
  <c r="E138" i="8"/>
  <c r="E130" i="8"/>
  <c r="E122" i="8"/>
  <c r="E114" i="8"/>
  <c r="E106" i="8"/>
  <c r="E98" i="8"/>
  <c r="E90" i="8"/>
  <c r="E82" i="8"/>
  <c r="E74" i="8"/>
  <c r="E66" i="8"/>
  <c r="E58" i="8"/>
  <c r="E50" i="8"/>
  <c r="E42" i="8"/>
  <c r="E34" i="8"/>
  <c r="E26" i="8"/>
  <c r="E18" i="8"/>
  <c r="E10" i="8"/>
  <c r="E2" i="8"/>
  <c r="E405" i="7"/>
  <c r="E397" i="7"/>
  <c r="E389" i="7"/>
  <c r="E381" i="7"/>
  <c r="E373" i="7"/>
  <c r="E365" i="7"/>
  <c r="E357" i="7"/>
  <c r="E349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213" i="12"/>
  <c r="E196" i="12"/>
  <c r="E180" i="12"/>
  <c r="E164" i="12"/>
  <c r="E148" i="12"/>
  <c r="E132" i="12"/>
  <c r="E116" i="12"/>
  <c r="E100" i="12"/>
  <c r="E84" i="12"/>
  <c r="E68" i="12"/>
  <c r="E52" i="12"/>
  <c r="E36" i="12"/>
  <c r="D27" i="12"/>
  <c r="D19" i="12"/>
  <c r="D11" i="12"/>
  <c r="D3" i="12"/>
  <c r="D741" i="11"/>
  <c r="D733" i="11"/>
  <c r="D725" i="11"/>
  <c r="D717" i="11"/>
  <c r="D709" i="11"/>
  <c r="D701" i="11"/>
  <c r="D693" i="11"/>
  <c r="D685" i="11"/>
  <c r="D677" i="11"/>
  <c r="D669" i="11"/>
  <c r="D661" i="11"/>
  <c r="D653" i="11"/>
  <c r="D645" i="11"/>
  <c r="D637" i="11"/>
  <c r="D629" i="11"/>
  <c r="D621" i="11"/>
  <c r="D613" i="11"/>
  <c r="D605" i="11"/>
  <c r="D597" i="11"/>
  <c r="D589" i="11"/>
  <c r="D581" i="11"/>
  <c r="D573" i="11"/>
  <c r="D565" i="11"/>
  <c r="D557" i="11"/>
  <c r="D549" i="11"/>
  <c r="D541" i="11"/>
  <c r="D533" i="11"/>
  <c r="D525" i="11"/>
  <c r="D517" i="11"/>
  <c r="D509" i="11"/>
  <c r="D501" i="11"/>
  <c r="D493" i="11"/>
  <c r="D485" i="11"/>
  <c r="D477" i="11"/>
  <c r="D469" i="11"/>
  <c r="D461" i="11"/>
  <c r="D453" i="11"/>
  <c r="D445" i="11"/>
  <c r="D437" i="11"/>
  <c r="D429" i="11"/>
  <c r="D421" i="11"/>
  <c r="D413" i="11"/>
  <c r="D405" i="11"/>
  <c r="D397" i="11"/>
  <c r="D389" i="11"/>
  <c r="D381" i="11"/>
  <c r="D373" i="11"/>
  <c r="D365" i="11"/>
  <c r="D357" i="11"/>
  <c r="D349" i="11"/>
  <c r="D341" i="11"/>
  <c r="D333" i="11"/>
  <c r="D325" i="11"/>
  <c r="D317" i="11"/>
  <c r="D309" i="11"/>
  <c r="D301" i="11"/>
  <c r="D293" i="11"/>
  <c r="D285" i="11"/>
  <c r="D277" i="11"/>
  <c r="D269" i="11"/>
  <c r="D261" i="11"/>
  <c r="D253" i="11"/>
  <c r="D245" i="11"/>
  <c r="D237" i="11"/>
  <c r="D229" i="11"/>
  <c r="D221" i="11"/>
  <c r="D213" i="11"/>
  <c r="D205" i="11"/>
  <c r="D197" i="11"/>
  <c r="D189" i="11"/>
  <c r="D181" i="11"/>
  <c r="D173" i="11"/>
  <c r="D165" i="11"/>
  <c r="D157" i="11"/>
  <c r="D149" i="11"/>
  <c r="D141" i="11"/>
  <c r="D133" i="11"/>
  <c r="D125" i="11"/>
  <c r="D117" i="11"/>
  <c r="D109" i="11"/>
  <c r="D101" i="11"/>
  <c r="D93" i="11"/>
  <c r="D85" i="11"/>
  <c r="D77" i="11"/>
  <c r="D69" i="11"/>
  <c r="D61" i="11"/>
  <c r="D53" i="11"/>
  <c r="D45" i="11"/>
  <c r="D37" i="11"/>
  <c r="D29" i="11"/>
  <c r="D21" i="11"/>
  <c r="D13" i="11"/>
  <c r="D5" i="11"/>
  <c r="D218" i="9"/>
  <c r="D210" i="9"/>
  <c r="D202" i="9"/>
  <c r="D194" i="9"/>
  <c r="D186" i="9"/>
  <c r="D178" i="9"/>
  <c r="D170" i="9"/>
  <c r="D162" i="9"/>
  <c r="D154" i="9"/>
  <c r="D146" i="9"/>
  <c r="D138" i="9"/>
  <c r="D130" i="9"/>
  <c r="D122" i="9"/>
  <c r="D114" i="9"/>
  <c r="D106" i="9"/>
  <c r="D98" i="9"/>
  <c r="D90" i="9"/>
  <c r="D82" i="9"/>
  <c r="D74" i="9"/>
  <c r="D66" i="9"/>
  <c r="D58" i="9"/>
  <c r="D50" i="9"/>
  <c r="D42" i="9"/>
  <c r="D34" i="9"/>
  <c r="D26" i="9"/>
  <c r="D18" i="9"/>
  <c r="D10" i="9"/>
  <c r="D2" i="9"/>
  <c r="D581" i="8"/>
  <c r="D570" i="8"/>
  <c r="D562" i="8"/>
  <c r="D554" i="8"/>
  <c r="D546" i="8"/>
  <c r="D538" i="8"/>
  <c r="D530" i="8"/>
  <c r="D522" i="8"/>
  <c r="D514" i="8"/>
  <c r="D506" i="8"/>
  <c r="D498" i="8"/>
  <c r="D490" i="8"/>
  <c r="D482" i="8"/>
  <c r="D474" i="8"/>
  <c r="D466" i="8"/>
  <c r="D458" i="8"/>
  <c r="D450" i="8"/>
  <c r="D442" i="8"/>
  <c r="D434" i="8"/>
  <c r="D426" i="8"/>
  <c r="D418" i="8"/>
  <c r="D410" i="8"/>
  <c r="D402" i="8"/>
  <c r="D394" i="8"/>
  <c r="D386" i="8"/>
  <c r="D378" i="8"/>
  <c r="D370" i="8"/>
  <c r="D362" i="8"/>
  <c r="D354" i="8"/>
  <c r="D346" i="8"/>
  <c r="D338" i="8"/>
  <c r="D330" i="8"/>
  <c r="D322" i="8"/>
  <c r="D314" i="8"/>
  <c r="D306" i="8"/>
  <c r="D298" i="8"/>
  <c r="D290" i="8"/>
  <c r="D282" i="8"/>
  <c r="D274" i="8"/>
  <c r="D266" i="8"/>
  <c r="D258" i="8"/>
  <c r="D250" i="8"/>
  <c r="D242" i="8"/>
  <c r="D234" i="8"/>
  <c r="D226" i="8"/>
  <c r="D218" i="8"/>
  <c r="D210" i="8"/>
  <c r="D202" i="8"/>
  <c r="D194" i="8"/>
  <c r="D186" i="8"/>
  <c r="D178" i="8"/>
  <c r="D170" i="8"/>
  <c r="D162" i="8"/>
  <c r="D154" i="8"/>
  <c r="D146" i="8"/>
  <c r="D138" i="8"/>
  <c r="D130" i="8"/>
  <c r="D122" i="8"/>
  <c r="D114" i="8"/>
  <c r="D106" i="8"/>
  <c r="D98" i="8"/>
  <c r="D90" i="8"/>
  <c r="D82" i="8"/>
  <c r="D74" i="8"/>
  <c r="D66" i="8"/>
  <c r="D58" i="8"/>
  <c r="D50" i="8"/>
  <c r="D42" i="8"/>
  <c r="D34" i="8"/>
  <c r="D26" i="8"/>
  <c r="D18" i="8"/>
  <c r="D10" i="8"/>
  <c r="D2" i="8"/>
  <c r="D405" i="7"/>
  <c r="D397" i="7"/>
  <c r="D389" i="7"/>
  <c r="D381" i="7"/>
  <c r="D373" i="7"/>
  <c r="D365" i="7"/>
  <c r="D357" i="7"/>
  <c r="D349" i="7"/>
  <c r="D341" i="7"/>
  <c r="D333" i="7"/>
  <c r="D325" i="7"/>
  <c r="D317" i="7"/>
  <c r="D309" i="7"/>
  <c r="D301" i="7"/>
  <c r="D293" i="7"/>
  <c r="D285" i="7"/>
  <c r="D277" i="7"/>
  <c r="D269" i="7"/>
  <c r="D261" i="7"/>
  <c r="D253" i="7"/>
  <c r="D245" i="7"/>
  <c r="D237" i="7"/>
  <c r="D229" i="7"/>
  <c r="D221" i="7"/>
  <c r="D213" i="7"/>
  <c r="D205" i="7"/>
  <c r="D197" i="7"/>
  <c r="D189" i="7"/>
  <c r="D181" i="7"/>
  <c r="D173" i="7"/>
  <c r="D165" i="7"/>
  <c r="D157" i="7"/>
  <c r="D149" i="7"/>
  <c r="D141" i="7"/>
  <c r="D133" i="7"/>
  <c r="D125" i="7"/>
  <c r="D117" i="7"/>
  <c r="D109" i="7"/>
  <c r="D101" i="7"/>
  <c r="D93" i="7"/>
  <c r="D85" i="7"/>
  <c r="D77" i="7"/>
  <c r="D69" i="7"/>
  <c r="D61" i="7"/>
  <c r="D53" i="7"/>
  <c r="D45" i="7"/>
  <c r="D37" i="7"/>
  <c r="D29" i="7"/>
  <c r="D21" i="7"/>
  <c r="D13" i="7"/>
  <c r="D5" i="7"/>
  <c r="D1015" i="6"/>
  <c r="D1007" i="6"/>
  <c r="D999" i="6"/>
  <c r="D991" i="6"/>
  <c r="D983" i="6"/>
  <c r="D975" i="6"/>
  <c r="D967" i="6"/>
  <c r="D959" i="6"/>
  <c r="D951" i="6"/>
  <c r="D943" i="6"/>
  <c r="D935" i="6"/>
  <c r="D927" i="6"/>
  <c r="D919" i="6"/>
  <c r="D911" i="6"/>
  <c r="D903" i="6"/>
  <c r="D895" i="6"/>
  <c r="D887" i="6"/>
  <c r="D879" i="6"/>
  <c r="D871" i="6"/>
  <c r="D863" i="6"/>
  <c r="D855" i="6"/>
  <c r="D847" i="6"/>
  <c r="D839" i="6"/>
  <c r="D831" i="6"/>
  <c r="D823" i="6"/>
  <c r="D815" i="6"/>
  <c r="D807" i="6"/>
  <c r="D799" i="6"/>
  <c r="E203" i="12"/>
  <c r="E187" i="12"/>
  <c r="E171" i="12"/>
  <c r="E155" i="12"/>
  <c r="E139" i="12"/>
  <c r="E123" i="12"/>
  <c r="E107" i="12"/>
  <c r="E91" i="12"/>
  <c r="E75" i="12"/>
  <c r="E59" i="12"/>
  <c r="E43" i="12"/>
  <c r="E30" i="12"/>
  <c r="E22" i="12"/>
  <c r="E14" i="12"/>
  <c r="E6" i="12"/>
  <c r="E744" i="11"/>
  <c r="E736" i="11"/>
  <c r="E728" i="11"/>
  <c r="E720" i="11"/>
  <c r="E712" i="11"/>
  <c r="E704" i="11"/>
  <c r="E696" i="11"/>
  <c r="E688" i="11"/>
  <c r="E680" i="11"/>
  <c r="E672" i="11"/>
  <c r="E664" i="11"/>
  <c r="E656" i="11"/>
  <c r="E648" i="11"/>
  <c r="E640" i="11"/>
  <c r="E632" i="11"/>
  <c r="E624" i="11"/>
  <c r="E616" i="11"/>
  <c r="E608" i="11"/>
  <c r="E600" i="11"/>
  <c r="E592" i="11"/>
  <c r="E584" i="11"/>
  <c r="E576" i="11"/>
  <c r="E568" i="11"/>
  <c r="E560" i="11"/>
  <c r="E552" i="11"/>
  <c r="E544" i="11"/>
  <c r="E536" i="11"/>
  <c r="E528" i="11"/>
  <c r="E520" i="11"/>
  <c r="E512" i="11"/>
  <c r="E504" i="11"/>
  <c r="E496" i="11"/>
  <c r="E488" i="11"/>
  <c r="E480" i="11"/>
  <c r="E472" i="11"/>
  <c r="E464" i="11"/>
  <c r="E456" i="11"/>
  <c r="E448" i="11"/>
  <c r="E440" i="11"/>
  <c r="E432" i="11"/>
  <c r="E424" i="11"/>
  <c r="E416" i="11"/>
  <c r="E408" i="11"/>
  <c r="E400" i="11"/>
  <c r="E392" i="11"/>
  <c r="E384" i="11"/>
  <c r="E376" i="11"/>
  <c r="E368" i="11"/>
  <c r="E360" i="11"/>
  <c r="E352" i="11"/>
  <c r="E344" i="11"/>
  <c r="E336" i="11"/>
  <c r="E328" i="11"/>
  <c r="E320" i="11"/>
  <c r="E312" i="11"/>
  <c r="E304" i="11"/>
  <c r="E296" i="11"/>
  <c r="E288" i="11"/>
  <c r="E280" i="11"/>
  <c r="E272" i="11"/>
  <c r="E264" i="11"/>
  <c r="E256" i="11"/>
  <c r="E248" i="11"/>
  <c r="E240" i="11"/>
  <c r="E232" i="11"/>
  <c r="E224" i="11"/>
  <c r="E216" i="11"/>
  <c r="E208" i="11"/>
  <c r="E200" i="11"/>
  <c r="E192" i="11"/>
  <c r="E184" i="11"/>
  <c r="E176" i="11"/>
  <c r="E168" i="11"/>
  <c r="E160" i="11"/>
  <c r="E152" i="11"/>
  <c r="E144" i="11"/>
  <c r="E136" i="11"/>
  <c r="E128" i="11"/>
  <c r="E120" i="11"/>
  <c r="E112" i="11"/>
  <c r="E104" i="11"/>
  <c r="E96" i="11"/>
  <c r="E88" i="11"/>
  <c r="E80" i="11"/>
  <c r="E72" i="11"/>
  <c r="E64" i="11"/>
  <c r="E56" i="11"/>
  <c r="E48" i="11"/>
  <c r="E40" i="11"/>
  <c r="E32" i="11"/>
  <c r="E24" i="11"/>
  <c r="E16" i="11"/>
  <c r="E8" i="11"/>
  <c r="E221" i="9"/>
  <c r="E213" i="9"/>
  <c r="E205" i="9"/>
  <c r="E197" i="9"/>
  <c r="E189" i="9"/>
  <c r="E181" i="9"/>
  <c r="E173" i="9"/>
  <c r="E165" i="9"/>
  <c r="E157" i="9"/>
  <c r="E149" i="9"/>
  <c r="E141" i="9"/>
  <c r="E133" i="9"/>
  <c r="E125" i="9"/>
  <c r="E117" i="9"/>
  <c r="E109" i="9"/>
  <c r="E101" i="9"/>
  <c r="E93" i="9"/>
  <c r="E85" i="9"/>
  <c r="E77" i="9"/>
  <c r="E69" i="9"/>
  <c r="E61" i="9"/>
  <c r="E53" i="9"/>
  <c r="E45" i="9"/>
  <c r="E37" i="9"/>
  <c r="E29" i="9"/>
  <c r="E21" i="9"/>
  <c r="E13" i="9"/>
  <c r="E5" i="9"/>
  <c r="D588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373" i="8"/>
  <c r="E365" i="8"/>
  <c r="E357" i="8"/>
  <c r="E349" i="8"/>
  <c r="E341" i="8"/>
  <c r="E333" i="8"/>
  <c r="E325" i="8"/>
  <c r="E317" i="8"/>
  <c r="E309" i="8"/>
  <c r="E301" i="8"/>
  <c r="E293" i="8"/>
  <c r="E285" i="8"/>
  <c r="E277" i="8"/>
  <c r="E269" i="8"/>
  <c r="E261" i="8"/>
  <c r="E253" i="8"/>
  <c r="E245" i="8"/>
  <c r="E237" i="8"/>
  <c r="E229" i="8"/>
  <c r="E221" i="8"/>
  <c r="E213" i="8"/>
  <c r="E205" i="8"/>
  <c r="E197" i="8"/>
  <c r="E189" i="8"/>
  <c r="E181" i="8"/>
  <c r="E173" i="8"/>
  <c r="E165" i="8"/>
  <c r="E157" i="8"/>
  <c r="E149" i="8"/>
  <c r="E141" i="8"/>
  <c r="E133" i="8"/>
  <c r="E125" i="8"/>
  <c r="E117" i="8"/>
  <c r="E109" i="8"/>
  <c r="E101" i="8"/>
  <c r="E93" i="8"/>
  <c r="E85" i="8"/>
  <c r="E77" i="8"/>
  <c r="E69" i="8"/>
  <c r="E61" i="8"/>
  <c r="E53" i="8"/>
  <c r="E45" i="8"/>
  <c r="E37" i="8"/>
  <c r="E29" i="8"/>
  <c r="E21" i="8"/>
  <c r="E13" i="8"/>
  <c r="E5" i="8"/>
  <c r="E408" i="7"/>
  <c r="E400" i="7"/>
  <c r="E392" i="7"/>
  <c r="E384" i="7"/>
  <c r="E376" i="7"/>
  <c r="E368" i="7"/>
  <c r="E360" i="7"/>
  <c r="E352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D91" i="8"/>
  <c r="D59" i="8"/>
  <c r="D27" i="8"/>
  <c r="D406" i="7"/>
  <c r="D374" i="7"/>
  <c r="D342" i="7"/>
  <c r="D310" i="7"/>
  <c r="D278" i="7"/>
  <c r="D246" i="7"/>
  <c r="D214" i="7"/>
  <c r="D182" i="7"/>
  <c r="D154" i="7"/>
  <c r="D138" i="7"/>
  <c r="D122" i="7"/>
  <c r="D106" i="7"/>
  <c r="D90" i="7"/>
  <c r="D74" i="7"/>
  <c r="D58" i="7"/>
  <c r="D42" i="7"/>
  <c r="E30" i="7"/>
  <c r="D20" i="7"/>
  <c r="E9" i="7"/>
  <c r="E1016" i="6"/>
  <c r="D1006" i="6"/>
  <c r="E995" i="6"/>
  <c r="E984" i="6"/>
  <c r="D974" i="6"/>
  <c r="E963" i="6"/>
  <c r="E952" i="6"/>
  <c r="D942" i="6"/>
  <c r="E931" i="6"/>
  <c r="E920" i="6"/>
  <c r="D910" i="6"/>
  <c r="E899" i="6"/>
  <c r="E888" i="6"/>
  <c r="D878" i="6"/>
  <c r="E867" i="6"/>
  <c r="E856" i="6"/>
  <c r="D846" i="6"/>
  <c r="E835" i="6"/>
  <c r="E824" i="6"/>
  <c r="D814" i="6"/>
  <c r="E803" i="6"/>
  <c r="E793" i="6"/>
  <c r="E785" i="6"/>
  <c r="E777" i="6"/>
  <c r="E769" i="6"/>
  <c r="E761" i="6"/>
  <c r="E753" i="6"/>
  <c r="E745" i="6"/>
  <c r="E737" i="6"/>
  <c r="E729" i="6"/>
  <c r="E721" i="6"/>
  <c r="E713" i="6"/>
  <c r="E705" i="6"/>
  <c r="E697" i="6"/>
  <c r="E689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85" i="6"/>
  <c r="E577" i="6"/>
  <c r="E569" i="6"/>
  <c r="E561" i="6"/>
  <c r="E553" i="6"/>
  <c r="E545" i="6"/>
  <c r="E537" i="6"/>
  <c r="E529" i="6"/>
  <c r="E521" i="6"/>
  <c r="E513" i="6"/>
  <c r="E505" i="6"/>
  <c r="E497" i="6"/>
  <c r="E489" i="6"/>
  <c r="E481" i="6"/>
  <c r="E473" i="6"/>
  <c r="E465" i="6"/>
  <c r="E457" i="6"/>
  <c r="E449" i="6"/>
  <c r="E441" i="6"/>
  <c r="E485" i="13"/>
  <c r="E453" i="13"/>
  <c r="E421" i="13"/>
  <c r="E389" i="13"/>
  <c r="E357" i="13"/>
  <c r="E325" i="13"/>
  <c r="E293" i="13"/>
  <c r="E261" i="13"/>
  <c r="E229" i="13"/>
  <c r="E197" i="13"/>
  <c r="E165" i="13"/>
  <c r="E133" i="13"/>
  <c r="E101" i="13"/>
  <c r="E69" i="13"/>
  <c r="E37" i="13"/>
  <c r="E5" i="13"/>
  <c r="E587" i="12"/>
  <c r="E555" i="12"/>
  <c r="E523" i="12"/>
  <c r="E491" i="12"/>
  <c r="E459" i="12"/>
  <c r="E427" i="12"/>
  <c r="E395" i="12"/>
  <c r="E363" i="12"/>
  <c r="E331" i="12"/>
  <c r="E299" i="12"/>
  <c r="E267" i="12"/>
  <c r="E235" i="12"/>
  <c r="E494" i="14"/>
  <c r="E430" i="14"/>
  <c r="E366" i="14"/>
  <c r="D304" i="14"/>
  <c r="D272" i="14"/>
  <c r="D240" i="14"/>
  <c r="D208" i="14"/>
  <c r="D176" i="14"/>
  <c r="D144" i="14"/>
  <c r="D112" i="14"/>
  <c r="D80" i="14"/>
  <c r="D48" i="14"/>
  <c r="D16" i="14"/>
  <c r="D1033" i="13"/>
  <c r="D1001" i="13"/>
  <c r="D969" i="13"/>
  <c r="D937" i="13"/>
  <c r="D905" i="13"/>
  <c r="D873" i="13"/>
  <c r="D841" i="13"/>
  <c r="D809" i="13"/>
  <c r="D777" i="13"/>
  <c r="D745" i="13"/>
  <c r="D713" i="13"/>
  <c r="D681" i="13"/>
  <c r="D649" i="13"/>
  <c r="D617" i="13"/>
  <c r="D585" i="13"/>
  <c r="D553" i="13"/>
  <c r="D521" i="13"/>
  <c r="D489" i="13"/>
  <c r="D457" i="13"/>
  <c r="D425" i="13"/>
  <c r="D393" i="13"/>
  <c r="D361" i="13"/>
  <c r="D329" i="13"/>
  <c r="D297" i="13"/>
  <c r="D265" i="13"/>
  <c r="D233" i="13"/>
  <c r="D201" i="13"/>
  <c r="D169" i="13"/>
  <c r="D137" i="13"/>
  <c r="D105" i="13"/>
  <c r="D73" i="13"/>
  <c r="D41" i="13"/>
  <c r="D9" i="13"/>
  <c r="D591" i="12"/>
  <c r="D559" i="12"/>
  <c r="D527" i="12"/>
  <c r="D495" i="12"/>
  <c r="D463" i="12"/>
  <c r="D431" i="12"/>
  <c r="D399" i="12"/>
  <c r="D367" i="12"/>
  <c r="D335" i="12"/>
  <c r="D303" i="12"/>
  <c r="D271" i="12"/>
  <c r="D239" i="12"/>
  <c r="D207" i="12"/>
  <c r="D175" i="12"/>
  <c r="D143" i="12"/>
  <c r="D111" i="12"/>
  <c r="D79" i="12"/>
  <c r="D47" i="12"/>
  <c r="E489" i="14"/>
  <c r="E425" i="14"/>
  <c r="E361" i="14"/>
  <c r="E301" i="14"/>
  <c r="E269" i="14"/>
  <c r="E237" i="14"/>
  <c r="E205" i="14"/>
  <c r="E173" i="14"/>
  <c r="E141" i="14"/>
  <c r="E109" i="14"/>
  <c r="E77" i="14"/>
  <c r="E45" i="14"/>
  <c r="E13" i="14"/>
  <c r="E1030" i="13"/>
  <c r="E998" i="13"/>
  <c r="E966" i="13"/>
  <c r="E934" i="13"/>
  <c r="E902" i="13"/>
  <c r="E870" i="13"/>
  <c r="E838" i="13"/>
  <c r="E806" i="13"/>
  <c r="E774" i="13"/>
  <c r="E742" i="13"/>
  <c r="E710" i="13"/>
  <c r="E678" i="13"/>
  <c r="E646" i="13"/>
  <c r="E614" i="13"/>
  <c r="E582" i="13"/>
  <c r="E550" i="13"/>
  <c r="E518" i="13"/>
  <c r="E486" i="13"/>
  <c r="E454" i="13"/>
  <c r="E422" i="13"/>
  <c r="E390" i="13"/>
  <c r="E358" i="13"/>
  <c r="E326" i="13"/>
  <c r="E294" i="13"/>
  <c r="E262" i="13"/>
  <c r="E230" i="13"/>
  <c r="E198" i="13"/>
  <c r="E166" i="13"/>
  <c r="E134" i="13"/>
  <c r="E102" i="13"/>
  <c r="E70" i="13"/>
  <c r="E38" i="13"/>
  <c r="E6" i="13"/>
  <c r="E588" i="12"/>
  <c r="E564" i="12"/>
  <c r="E548" i="12"/>
  <c r="E532" i="12"/>
  <c r="E516" i="12"/>
  <c r="E500" i="12"/>
  <c r="E484" i="12"/>
  <c r="E468" i="12"/>
  <c r="E452" i="12"/>
  <c r="E436" i="12"/>
  <c r="E420" i="12"/>
  <c r="E404" i="12"/>
  <c r="E388" i="12"/>
  <c r="E372" i="12"/>
  <c r="E356" i="12"/>
  <c r="E340" i="12"/>
  <c r="E324" i="12"/>
  <c r="E308" i="12"/>
  <c r="E292" i="12"/>
  <c r="E276" i="12"/>
  <c r="E260" i="12"/>
  <c r="E244" i="12"/>
  <c r="E228" i="12"/>
  <c r="E212" i="12"/>
  <c r="E186" i="12"/>
  <c r="E154" i="12"/>
  <c r="E122" i="12"/>
  <c r="E90" i="12"/>
  <c r="E58" i="12"/>
  <c r="D30" i="12"/>
  <c r="D14" i="12"/>
  <c r="D744" i="11"/>
  <c r="D728" i="11"/>
  <c r="D712" i="11"/>
  <c r="D696" i="11"/>
  <c r="D680" i="11"/>
  <c r="D664" i="11"/>
  <c r="D648" i="11"/>
  <c r="D632" i="11"/>
  <c r="D616" i="11"/>
  <c r="D600" i="11"/>
  <c r="D584" i="11"/>
  <c r="D568" i="11"/>
  <c r="D552" i="11"/>
  <c r="D536" i="11"/>
  <c r="D520" i="11"/>
  <c r="D504" i="11"/>
  <c r="D488" i="11"/>
  <c r="D472" i="11"/>
  <c r="D456" i="11"/>
  <c r="D440" i="11"/>
  <c r="D424" i="11"/>
  <c r="D408" i="11"/>
  <c r="D392" i="11"/>
  <c r="D376" i="11"/>
  <c r="D360" i="11"/>
  <c r="D344" i="11"/>
  <c r="D328" i="11"/>
  <c r="D312" i="11"/>
  <c r="D296" i="11"/>
  <c r="D280" i="11"/>
  <c r="D264" i="11"/>
  <c r="D248" i="11"/>
  <c r="D232" i="11"/>
  <c r="D216" i="11"/>
  <c r="D200" i="11"/>
  <c r="D184" i="11"/>
  <c r="D168" i="11"/>
  <c r="D152" i="11"/>
  <c r="D136" i="11"/>
  <c r="D120" i="11"/>
  <c r="D104" i="11"/>
  <c r="D88" i="11"/>
  <c r="D72" i="11"/>
  <c r="D56" i="11"/>
  <c r="D40" i="11"/>
  <c r="D24" i="11"/>
  <c r="D8" i="11"/>
  <c r="D213" i="9"/>
  <c r="D197" i="9"/>
  <c r="D181" i="9"/>
  <c r="D165" i="9"/>
  <c r="D149" i="9"/>
  <c r="D133" i="9"/>
  <c r="D117" i="9"/>
  <c r="D101" i="9"/>
  <c r="D85" i="9"/>
  <c r="D69" i="9"/>
  <c r="D53" i="9"/>
  <c r="D37" i="9"/>
  <c r="D21" i="9"/>
  <c r="D5" i="9"/>
  <c r="D573" i="8"/>
  <c r="D557" i="8"/>
  <c r="D541" i="8"/>
  <c r="D525" i="8"/>
  <c r="D509" i="8"/>
  <c r="D493" i="8"/>
  <c r="D477" i="8"/>
  <c r="D461" i="8"/>
  <c r="D445" i="8"/>
  <c r="D429" i="8"/>
  <c r="D413" i="8"/>
  <c r="D397" i="8"/>
  <c r="D381" i="8"/>
  <c r="D365" i="8"/>
  <c r="D349" i="8"/>
  <c r="D333" i="8"/>
  <c r="D317" i="8"/>
  <c r="D301" i="8"/>
  <c r="D285" i="8"/>
  <c r="D269" i="8"/>
  <c r="D253" i="8"/>
  <c r="D237" i="8"/>
  <c r="D221" i="8"/>
  <c r="D205" i="8"/>
  <c r="D189" i="8"/>
  <c r="D173" i="8"/>
  <c r="D157" i="8"/>
  <c r="D141" i="8"/>
  <c r="D125" i="8"/>
  <c r="E201" i="12"/>
  <c r="E169" i="12"/>
  <c r="E137" i="12"/>
  <c r="E105" i="12"/>
  <c r="E73" i="12"/>
  <c r="E41" i="12"/>
  <c r="E21" i="12"/>
  <c r="E5" i="12"/>
  <c r="E735" i="11"/>
  <c r="E719" i="11"/>
  <c r="E703" i="11"/>
  <c r="E687" i="11"/>
  <c r="E671" i="11"/>
  <c r="E655" i="11"/>
  <c r="E639" i="11"/>
  <c r="E623" i="11"/>
  <c r="E607" i="11"/>
  <c r="E591" i="11"/>
  <c r="E575" i="11"/>
  <c r="E559" i="11"/>
  <c r="E543" i="11"/>
  <c r="E527" i="11"/>
  <c r="E511" i="11"/>
  <c r="E495" i="11"/>
  <c r="E479" i="11"/>
  <c r="E463" i="11"/>
  <c r="E447" i="11"/>
  <c r="E431" i="11"/>
  <c r="E415" i="11"/>
  <c r="E399" i="11"/>
  <c r="E383" i="11"/>
  <c r="E367" i="11"/>
  <c r="E351" i="11"/>
  <c r="E335" i="11"/>
  <c r="E319" i="11"/>
  <c r="E303" i="11"/>
  <c r="E287" i="11"/>
  <c r="E271" i="11"/>
  <c r="E255" i="11"/>
  <c r="E239" i="11"/>
  <c r="E223" i="11"/>
  <c r="E207" i="11"/>
  <c r="E191" i="11"/>
  <c r="E175" i="11"/>
  <c r="E159" i="11"/>
  <c r="E143" i="11"/>
  <c r="E127" i="11"/>
  <c r="E111" i="11"/>
  <c r="E95" i="11"/>
  <c r="E79" i="11"/>
  <c r="E65" i="11"/>
  <c r="E57" i="11"/>
  <c r="E49" i="11"/>
  <c r="E41" i="11"/>
  <c r="E33" i="11"/>
  <c r="E25" i="11"/>
  <c r="E17" i="11"/>
  <c r="E9" i="11"/>
  <c r="E1" i="11"/>
  <c r="E214" i="9"/>
  <c r="E206" i="9"/>
  <c r="E198" i="9"/>
  <c r="E190" i="9"/>
  <c r="E182" i="9"/>
  <c r="E174" i="9"/>
  <c r="E166" i="9"/>
  <c r="E158" i="9"/>
  <c r="E150" i="9"/>
  <c r="E142" i="9"/>
  <c r="E134" i="9"/>
  <c r="E126" i="9"/>
  <c r="E118" i="9"/>
  <c r="E110" i="9"/>
  <c r="E102" i="9"/>
  <c r="E94" i="9"/>
  <c r="E86" i="9"/>
  <c r="E78" i="9"/>
  <c r="E70" i="9"/>
  <c r="E62" i="9"/>
  <c r="E54" i="9"/>
  <c r="E46" i="9"/>
  <c r="E38" i="9"/>
  <c r="E30" i="9"/>
  <c r="E22" i="9"/>
  <c r="E14" i="9"/>
  <c r="E6" i="9"/>
  <c r="D590" i="8"/>
  <c r="E574" i="8"/>
  <c r="E566" i="8"/>
  <c r="E558" i="8"/>
  <c r="E550" i="8"/>
  <c r="E542" i="8"/>
  <c r="E534" i="8"/>
  <c r="E526" i="8"/>
  <c r="E518" i="8"/>
  <c r="E510" i="8"/>
  <c r="E502" i="8"/>
  <c r="E494" i="8"/>
  <c r="E486" i="8"/>
  <c r="E478" i="8"/>
  <c r="E470" i="8"/>
  <c r="E462" i="8"/>
  <c r="E454" i="8"/>
  <c r="E446" i="8"/>
  <c r="E438" i="8"/>
  <c r="E430" i="8"/>
  <c r="E422" i="8"/>
  <c r="E414" i="8"/>
  <c r="E406" i="8"/>
  <c r="E398" i="8"/>
  <c r="E390" i="8"/>
  <c r="E382" i="8"/>
  <c r="E374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2" i="8"/>
  <c r="E254" i="8"/>
  <c r="E246" i="8"/>
  <c r="E238" i="8"/>
  <c r="E230" i="8"/>
  <c r="E222" i="8"/>
  <c r="E214" i="8"/>
  <c r="E206" i="8"/>
  <c r="E198" i="8"/>
  <c r="E190" i="8"/>
  <c r="E182" i="8"/>
  <c r="E174" i="8"/>
  <c r="E166" i="8"/>
  <c r="E158" i="8"/>
  <c r="E150" i="8"/>
  <c r="E142" i="8"/>
  <c r="E134" i="8"/>
  <c r="E126" i="8"/>
  <c r="E118" i="8"/>
  <c r="E110" i="8"/>
  <c r="E102" i="8"/>
  <c r="E94" i="8"/>
  <c r="E86" i="8"/>
  <c r="E78" i="8"/>
  <c r="E70" i="8"/>
  <c r="E62" i="8"/>
  <c r="E54" i="8"/>
  <c r="E46" i="8"/>
  <c r="E38" i="8"/>
  <c r="E30" i="8"/>
  <c r="E22" i="8"/>
  <c r="E14" i="8"/>
  <c r="E6" i="8"/>
  <c r="E409" i="7"/>
  <c r="E401" i="7"/>
  <c r="E393" i="7"/>
  <c r="E385" i="7"/>
  <c r="E377" i="7"/>
  <c r="E369" i="7"/>
  <c r="E361" i="7"/>
  <c r="E353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204" i="12"/>
  <c r="E188" i="12"/>
  <c r="E172" i="12"/>
  <c r="E156" i="12"/>
  <c r="E140" i="12"/>
  <c r="E124" i="12"/>
  <c r="E108" i="12"/>
  <c r="E92" i="12"/>
  <c r="E76" i="12"/>
  <c r="E60" i="12"/>
  <c r="E44" i="12"/>
  <c r="D31" i="12"/>
  <c r="D23" i="12"/>
  <c r="D15" i="12"/>
  <c r="D7" i="12"/>
  <c r="D745" i="11"/>
  <c r="D737" i="11"/>
  <c r="D729" i="11"/>
  <c r="D721" i="11"/>
  <c r="D713" i="11"/>
  <c r="D705" i="11"/>
  <c r="D697" i="11"/>
  <c r="D689" i="11"/>
  <c r="D681" i="11"/>
  <c r="D673" i="11"/>
  <c r="D665" i="11"/>
  <c r="D657" i="11"/>
  <c r="D649" i="11"/>
  <c r="D641" i="11"/>
  <c r="D633" i="11"/>
  <c r="D625" i="11"/>
  <c r="D617" i="11"/>
  <c r="D609" i="11"/>
  <c r="D601" i="11"/>
  <c r="D593" i="11"/>
  <c r="D585" i="11"/>
  <c r="D577" i="11"/>
  <c r="D569" i="11"/>
  <c r="D561" i="11"/>
  <c r="D553" i="11"/>
  <c r="D545" i="11"/>
  <c r="D537" i="11"/>
  <c r="D529" i="11"/>
  <c r="D521" i="11"/>
  <c r="D513" i="11"/>
  <c r="D505" i="11"/>
  <c r="D497" i="11"/>
  <c r="D489" i="11"/>
  <c r="D481" i="11"/>
  <c r="D473" i="11"/>
  <c r="D465" i="11"/>
  <c r="D457" i="11"/>
  <c r="D449" i="11"/>
  <c r="D441" i="11"/>
  <c r="D433" i="11"/>
  <c r="D425" i="11"/>
  <c r="D417" i="11"/>
  <c r="D409" i="11"/>
  <c r="D401" i="11"/>
  <c r="D393" i="11"/>
  <c r="D385" i="11"/>
  <c r="D377" i="11"/>
  <c r="D369" i="11"/>
  <c r="D361" i="11"/>
  <c r="D353" i="11"/>
  <c r="D345" i="11"/>
  <c r="D337" i="11"/>
  <c r="D329" i="11"/>
  <c r="D321" i="11"/>
  <c r="D313" i="11"/>
  <c r="D305" i="11"/>
  <c r="D297" i="11"/>
  <c r="D289" i="11"/>
  <c r="D281" i="11"/>
  <c r="D273" i="11"/>
  <c r="D265" i="11"/>
  <c r="D257" i="11"/>
  <c r="D249" i="11"/>
  <c r="D241" i="11"/>
  <c r="D233" i="11"/>
  <c r="D225" i="11"/>
  <c r="D217" i="11"/>
  <c r="D209" i="11"/>
  <c r="D201" i="11"/>
  <c r="D193" i="11"/>
  <c r="D185" i="11"/>
  <c r="D177" i="11"/>
  <c r="D169" i="11"/>
  <c r="D161" i="11"/>
  <c r="D153" i="11"/>
  <c r="D145" i="11"/>
  <c r="D137" i="11"/>
  <c r="D129" i="11"/>
  <c r="D121" i="11"/>
  <c r="D113" i="11"/>
  <c r="D105" i="11"/>
  <c r="D97" i="11"/>
  <c r="D89" i="11"/>
  <c r="D81" i="11"/>
  <c r="D73" i="11"/>
  <c r="D65" i="11"/>
  <c r="D57" i="11"/>
  <c r="D49" i="11"/>
  <c r="D41" i="11"/>
  <c r="D33" i="11"/>
  <c r="D25" i="11"/>
  <c r="D17" i="11"/>
  <c r="D9" i="11"/>
  <c r="D1" i="11"/>
  <c r="D214" i="9"/>
  <c r="D206" i="9"/>
  <c r="D198" i="9"/>
  <c r="D190" i="9"/>
  <c r="D182" i="9"/>
  <c r="D174" i="9"/>
  <c r="D166" i="9"/>
  <c r="D158" i="9"/>
  <c r="D150" i="9"/>
  <c r="D142" i="9"/>
  <c r="D134" i="9"/>
  <c r="D126" i="9"/>
  <c r="D118" i="9"/>
  <c r="D110" i="9"/>
  <c r="D102" i="9"/>
  <c r="D94" i="9"/>
  <c r="D86" i="9"/>
  <c r="D78" i="9"/>
  <c r="D70" i="9"/>
  <c r="D62" i="9"/>
  <c r="D54" i="9"/>
  <c r="D46" i="9"/>
  <c r="D38" i="9"/>
  <c r="D30" i="9"/>
  <c r="D22" i="9"/>
  <c r="D14" i="9"/>
  <c r="D6" i="9"/>
  <c r="D589" i="8"/>
  <c r="D574" i="8"/>
  <c r="D566" i="8"/>
  <c r="D558" i="8"/>
  <c r="D550" i="8"/>
  <c r="D542" i="8"/>
  <c r="D534" i="8"/>
  <c r="D526" i="8"/>
  <c r="D518" i="8"/>
  <c r="D510" i="8"/>
  <c r="D502" i="8"/>
  <c r="D494" i="8"/>
  <c r="D486" i="8"/>
  <c r="D478" i="8"/>
  <c r="D470" i="8"/>
  <c r="D462" i="8"/>
  <c r="D454" i="8"/>
  <c r="D446" i="8"/>
  <c r="D438" i="8"/>
  <c r="D430" i="8"/>
  <c r="D422" i="8"/>
  <c r="D414" i="8"/>
  <c r="D406" i="8"/>
  <c r="D398" i="8"/>
  <c r="D390" i="8"/>
  <c r="D382" i="8"/>
  <c r="D374" i="8"/>
  <c r="D366" i="8"/>
  <c r="D358" i="8"/>
  <c r="D350" i="8"/>
  <c r="D342" i="8"/>
  <c r="D334" i="8"/>
  <c r="D326" i="8"/>
  <c r="D318" i="8"/>
  <c r="D310" i="8"/>
  <c r="D302" i="8"/>
  <c r="D294" i="8"/>
  <c r="D286" i="8"/>
  <c r="D278" i="8"/>
  <c r="D270" i="8"/>
  <c r="D262" i="8"/>
  <c r="D254" i="8"/>
  <c r="D246" i="8"/>
  <c r="D238" i="8"/>
  <c r="D230" i="8"/>
  <c r="D222" i="8"/>
  <c r="D214" i="8"/>
  <c r="D206" i="8"/>
  <c r="D198" i="8"/>
  <c r="D190" i="8"/>
  <c r="D182" i="8"/>
  <c r="D174" i="8"/>
  <c r="D166" i="8"/>
  <c r="D158" i="8"/>
  <c r="D150" i="8"/>
  <c r="D142" i="8"/>
  <c r="D134" i="8"/>
  <c r="D126" i="8"/>
  <c r="D118" i="8"/>
  <c r="D110" i="8"/>
  <c r="D102" i="8"/>
  <c r="D94" i="8"/>
  <c r="D86" i="8"/>
  <c r="D78" i="8"/>
  <c r="D70" i="8"/>
  <c r="D62" i="8"/>
  <c r="D54" i="8"/>
  <c r="D46" i="8"/>
  <c r="D38" i="8"/>
  <c r="D30" i="8"/>
  <c r="D22" i="8"/>
  <c r="D14" i="8"/>
  <c r="D6" i="8"/>
  <c r="D409" i="7"/>
  <c r="D401" i="7"/>
  <c r="D393" i="7"/>
  <c r="D385" i="7"/>
  <c r="D377" i="7"/>
  <c r="D369" i="7"/>
  <c r="D361" i="7"/>
  <c r="D353" i="7"/>
  <c r="D345" i="7"/>
  <c r="D337" i="7"/>
  <c r="D329" i="7"/>
  <c r="D321" i="7"/>
  <c r="D313" i="7"/>
  <c r="D305" i="7"/>
  <c r="D297" i="7"/>
  <c r="D289" i="7"/>
  <c r="D281" i="7"/>
  <c r="D273" i="7"/>
  <c r="D265" i="7"/>
  <c r="D257" i="7"/>
  <c r="D249" i="7"/>
  <c r="D241" i="7"/>
  <c r="D233" i="7"/>
  <c r="D225" i="7"/>
  <c r="D217" i="7"/>
  <c r="D209" i="7"/>
  <c r="D201" i="7"/>
  <c r="D193" i="7"/>
  <c r="D185" i="7"/>
  <c r="D177" i="7"/>
  <c r="D169" i="7"/>
  <c r="D161" i="7"/>
  <c r="D153" i="7"/>
  <c r="D145" i="7"/>
  <c r="D137" i="7"/>
  <c r="D129" i="7"/>
  <c r="D121" i="7"/>
  <c r="D113" i="7"/>
  <c r="D105" i="7"/>
  <c r="D97" i="7"/>
  <c r="D89" i="7"/>
  <c r="D81" i="7"/>
  <c r="D73" i="7"/>
  <c r="D65" i="7"/>
  <c r="D57" i="7"/>
  <c r="D49" i="7"/>
  <c r="D41" i="7"/>
  <c r="D33" i="7"/>
  <c r="D25" i="7"/>
  <c r="D17" i="7"/>
  <c r="D9" i="7"/>
  <c r="D1" i="7"/>
  <c r="D1011" i="6"/>
  <c r="D1003" i="6"/>
  <c r="D995" i="6"/>
  <c r="D987" i="6"/>
  <c r="D979" i="6"/>
  <c r="D971" i="6"/>
  <c r="D963" i="6"/>
  <c r="D955" i="6"/>
  <c r="D947" i="6"/>
  <c r="D939" i="6"/>
  <c r="D931" i="6"/>
  <c r="D923" i="6"/>
  <c r="D915" i="6"/>
  <c r="D907" i="6"/>
  <c r="D899" i="6"/>
  <c r="D891" i="6"/>
  <c r="D883" i="6"/>
  <c r="D875" i="6"/>
  <c r="D867" i="6"/>
  <c r="D859" i="6"/>
  <c r="D851" i="6"/>
  <c r="D843" i="6"/>
  <c r="D835" i="6"/>
  <c r="D827" i="6"/>
  <c r="D819" i="6"/>
  <c r="D811" i="6"/>
  <c r="D803" i="6"/>
  <c r="E211" i="12"/>
  <c r="E195" i="12"/>
  <c r="E179" i="12"/>
  <c r="E163" i="12"/>
  <c r="E147" i="12"/>
  <c r="E131" i="12"/>
  <c r="E115" i="12"/>
  <c r="E99" i="12"/>
  <c r="E83" i="12"/>
  <c r="E67" i="12"/>
  <c r="E51" i="12"/>
  <c r="E35" i="12"/>
  <c r="E26" i="12"/>
  <c r="E18" i="12"/>
  <c r="E10" i="12"/>
  <c r="E2" i="12"/>
  <c r="E740" i="11"/>
  <c r="E732" i="11"/>
  <c r="E724" i="11"/>
  <c r="E716" i="11"/>
  <c r="E708" i="11"/>
  <c r="E700" i="11"/>
  <c r="E692" i="11"/>
  <c r="E684" i="11"/>
  <c r="E676" i="11"/>
  <c r="E668" i="11"/>
  <c r="E660" i="11"/>
  <c r="E652" i="11"/>
  <c r="E644" i="11"/>
  <c r="E636" i="11"/>
  <c r="E628" i="11"/>
  <c r="E620" i="11"/>
  <c r="E612" i="11"/>
  <c r="E604" i="11"/>
  <c r="E596" i="11"/>
  <c r="E588" i="11"/>
  <c r="E580" i="11"/>
  <c r="E572" i="11"/>
  <c r="E564" i="11"/>
  <c r="E556" i="11"/>
  <c r="E548" i="11"/>
  <c r="E540" i="11"/>
  <c r="E532" i="11"/>
  <c r="E524" i="11"/>
  <c r="E516" i="11"/>
  <c r="E508" i="11"/>
  <c r="E500" i="11"/>
  <c r="E492" i="11"/>
  <c r="E484" i="11"/>
  <c r="E476" i="11"/>
  <c r="E468" i="11"/>
  <c r="E460" i="11"/>
  <c r="E452" i="11"/>
  <c r="E444" i="11"/>
  <c r="E436" i="11"/>
  <c r="E428" i="11"/>
  <c r="E420" i="11"/>
  <c r="E412" i="11"/>
  <c r="E404" i="11"/>
  <c r="E396" i="11"/>
  <c r="E388" i="11"/>
  <c r="E380" i="11"/>
  <c r="E372" i="11"/>
  <c r="E364" i="11"/>
  <c r="E356" i="11"/>
  <c r="E348" i="11"/>
  <c r="E340" i="11"/>
  <c r="E332" i="11"/>
  <c r="E324" i="11"/>
  <c r="E316" i="11"/>
  <c r="E308" i="11"/>
  <c r="E300" i="11"/>
  <c r="E292" i="11"/>
  <c r="E284" i="11"/>
  <c r="E276" i="11"/>
  <c r="E268" i="11"/>
  <c r="E260" i="11"/>
  <c r="E252" i="11"/>
  <c r="E244" i="11"/>
  <c r="E236" i="11"/>
  <c r="E228" i="11"/>
  <c r="E220" i="11"/>
  <c r="E212" i="11"/>
  <c r="E204" i="11"/>
  <c r="E196" i="11"/>
  <c r="E188" i="11"/>
  <c r="E180" i="11"/>
  <c r="E172" i="11"/>
  <c r="E164" i="11"/>
  <c r="E156" i="11"/>
  <c r="E148" i="11"/>
  <c r="E140" i="11"/>
  <c r="E132" i="11"/>
  <c r="E124" i="11"/>
  <c r="E116" i="11"/>
  <c r="E108" i="11"/>
  <c r="E100" i="11"/>
  <c r="E92" i="11"/>
  <c r="E84" i="11"/>
  <c r="E76" i="11"/>
  <c r="E68" i="11"/>
  <c r="E60" i="11"/>
  <c r="E52" i="11"/>
  <c r="E44" i="11"/>
  <c r="E36" i="11"/>
  <c r="E28" i="11"/>
  <c r="E20" i="11"/>
  <c r="E12" i="11"/>
  <c r="E4" i="11"/>
  <c r="E217" i="9"/>
  <c r="E209" i="9"/>
  <c r="E201" i="9"/>
  <c r="E193" i="9"/>
  <c r="E185" i="9"/>
  <c r="E177" i="9"/>
  <c r="E169" i="9"/>
  <c r="E161" i="9"/>
  <c r="E153" i="9"/>
  <c r="E145" i="9"/>
  <c r="E137" i="9"/>
  <c r="E129" i="9"/>
  <c r="E121" i="9"/>
  <c r="E113" i="9"/>
  <c r="E105" i="9"/>
  <c r="E97" i="9"/>
  <c r="E89" i="9"/>
  <c r="E81" i="9"/>
  <c r="E73" i="9"/>
  <c r="E65" i="9"/>
  <c r="E57" i="9"/>
  <c r="E49" i="9"/>
  <c r="E41" i="9"/>
  <c r="E33" i="9"/>
  <c r="E25" i="9"/>
  <c r="E17" i="9"/>
  <c r="E9" i="9"/>
  <c r="E1" i="9"/>
  <c r="D580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69" i="8"/>
  <c r="E361" i="8"/>
  <c r="E353" i="8"/>
  <c r="E345" i="8"/>
  <c r="E337" i="8"/>
  <c r="E329" i="8"/>
  <c r="E321" i="8"/>
  <c r="E313" i="8"/>
  <c r="E305" i="8"/>
  <c r="E297" i="8"/>
  <c r="E289" i="8"/>
  <c r="E281" i="8"/>
  <c r="E273" i="8"/>
  <c r="E265" i="8"/>
  <c r="E257" i="8"/>
  <c r="E249" i="8"/>
  <c r="E241" i="8"/>
  <c r="E233" i="8"/>
  <c r="E225" i="8"/>
  <c r="E217" i="8"/>
  <c r="E209" i="8"/>
  <c r="E201" i="8"/>
  <c r="E193" i="8"/>
  <c r="E185" i="8"/>
  <c r="E177" i="8"/>
  <c r="E169" i="8"/>
  <c r="E161" i="8"/>
  <c r="E153" i="8"/>
  <c r="E145" i="8"/>
  <c r="E137" i="8"/>
  <c r="E129" i="8"/>
  <c r="E121" i="8"/>
  <c r="E113" i="8"/>
  <c r="E105" i="8"/>
  <c r="E97" i="8"/>
  <c r="E89" i="8"/>
  <c r="E81" i="8"/>
  <c r="E73" i="8"/>
  <c r="E65" i="8"/>
  <c r="E57" i="8"/>
  <c r="E49" i="8"/>
  <c r="E41" i="8"/>
  <c r="E33" i="8"/>
  <c r="E25" i="8"/>
  <c r="E17" i="8"/>
  <c r="E9" i="8"/>
  <c r="E1" i="8"/>
  <c r="E404" i="7"/>
  <c r="E396" i="7"/>
  <c r="E388" i="7"/>
  <c r="E380" i="7"/>
  <c r="E372" i="7"/>
  <c r="E364" i="7"/>
  <c r="E356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D107" i="8"/>
  <c r="D75" i="8"/>
  <c r="D43" i="8"/>
  <c r="D11" i="8"/>
  <c r="D390" i="7"/>
  <c r="D358" i="7"/>
  <c r="D326" i="7"/>
  <c r="D294" i="7"/>
  <c r="D262" i="7"/>
  <c r="D230" i="7"/>
  <c r="D198" i="7"/>
  <c r="D166" i="7"/>
  <c r="D146" i="7"/>
  <c r="D130" i="7"/>
  <c r="D114" i="7"/>
  <c r="D98" i="7"/>
  <c r="D82" i="7"/>
  <c r="D66" i="7"/>
  <c r="D50" i="7"/>
  <c r="D36" i="7"/>
  <c r="E25" i="7"/>
  <c r="E14" i="7"/>
  <c r="D4" i="7"/>
  <c r="E1011" i="6"/>
  <c r="E1000" i="6"/>
  <c r="D990" i="6"/>
  <c r="E979" i="6"/>
  <c r="E968" i="6"/>
  <c r="D958" i="6"/>
  <c r="E947" i="6"/>
  <c r="E936" i="6"/>
  <c r="D926" i="6"/>
  <c r="E915" i="6"/>
  <c r="E904" i="6"/>
  <c r="D894" i="6"/>
  <c r="E883" i="6"/>
  <c r="E872" i="6"/>
  <c r="D862" i="6"/>
  <c r="E851" i="6"/>
  <c r="E840" i="6"/>
  <c r="D830" i="6"/>
  <c r="E819" i="6"/>
  <c r="E808" i="6"/>
  <c r="D798" i="6"/>
  <c r="E789" i="6"/>
  <c r="E781" i="6"/>
  <c r="E773" i="6"/>
  <c r="E765" i="6"/>
  <c r="E757" i="6"/>
  <c r="E749" i="6"/>
  <c r="E741" i="6"/>
  <c r="E733" i="6"/>
  <c r="E725" i="6"/>
  <c r="E717" i="6"/>
  <c r="E709" i="6"/>
  <c r="E701" i="6"/>
  <c r="E693" i="6"/>
  <c r="E685" i="6"/>
  <c r="E677" i="6"/>
  <c r="E669" i="6"/>
  <c r="E661" i="6"/>
  <c r="E653" i="6"/>
  <c r="E645" i="6"/>
  <c r="E637" i="6"/>
  <c r="E629" i="6"/>
  <c r="E621" i="6"/>
  <c r="E613" i="6"/>
  <c r="E605" i="6"/>
  <c r="E597" i="6"/>
  <c r="E589" i="6"/>
  <c r="E581" i="6"/>
  <c r="E573" i="6"/>
  <c r="E565" i="6"/>
  <c r="E557" i="6"/>
  <c r="E549" i="6"/>
  <c r="E541" i="6"/>
  <c r="E533" i="6"/>
  <c r="E525" i="6"/>
  <c r="E517" i="6"/>
  <c r="E509" i="6"/>
  <c r="E501" i="6"/>
  <c r="E493" i="6"/>
  <c r="E485" i="6"/>
  <c r="E477" i="6"/>
  <c r="E469" i="6"/>
  <c r="E461" i="6"/>
  <c r="E453" i="6"/>
  <c r="E445" i="6"/>
  <c r="E437" i="6"/>
  <c r="E477" i="13"/>
  <c r="E445" i="13"/>
  <c r="E413" i="13"/>
  <c r="E381" i="13"/>
  <c r="E349" i="13"/>
  <c r="E317" i="13"/>
  <c r="E285" i="13"/>
  <c r="E253" i="13"/>
  <c r="E221" i="13"/>
  <c r="E189" i="13"/>
  <c r="E157" i="13"/>
  <c r="E125" i="13"/>
  <c r="E93" i="13"/>
  <c r="E61" i="13"/>
  <c r="E29" i="13"/>
  <c r="E611" i="12"/>
  <c r="E579" i="12"/>
  <c r="E547" i="12"/>
  <c r="E515" i="12"/>
  <c r="E483" i="12"/>
  <c r="E451" i="12"/>
  <c r="E419" i="12"/>
  <c r="E387" i="12"/>
  <c r="E355" i="12"/>
  <c r="E323" i="12"/>
  <c r="E291" i="12"/>
  <c r="E259" i="12"/>
  <c r="E227" i="12"/>
  <c r="E478" i="14"/>
  <c r="E414" i="14"/>
  <c r="E350" i="14"/>
  <c r="D296" i="14"/>
  <c r="D264" i="14"/>
  <c r="D232" i="14"/>
  <c r="D200" i="14"/>
  <c r="D168" i="14"/>
  <c r="D136" i="14"/>
  <c r="D104" i="14"/>
  <c r="D72" i="14"/>
  <c r="D40" i="14"/>
  <c r="D8" i="14"/>
  <c r="D1025" i="13"/>
  <c r="D993" i="13"/>
  <c r="D961" i="13"/>
  <c r="D929" i="13"/>
  <c r="D897" i="13"/>
  <c r="D865" i="13"/>
  <c r="D833" i="13"/>
  <c r="D801" i="13"/>
  <c r="D769" i="13"/>
  <c r="D737" i="13"/>
  <c r="D705" i="13"/>
  <c r="D673" i="13"/>
  <c r="D641" i="13"/>
  <c r="D609" i="13"/>
  <c r="D577" i="13"/>
  <c r="D545" i="13"/>
  <c r="D513" i="13"/>
  <c r="D481" i="13"/>
  <c r="D449" i="13"/>
  <c r="D417" i="13"/>
  <c r="D385" i="13"/>
  <c r="D353" i="13"/>
  <c r="D321" i="13"/>
  <c r="D289" i="13"/>
  <c r="D257" i="13"/>
  <c r="D225" i="13"/>
  <c r="D193" i="13"/>
  <c r="D161" i="13"/>
  <c r="D129" i="13"/>
  <c r="D97" i="13"/>
  <c r="D65" i="13"/>
  <c r="D33" i="13"/>
  <c r="D1" i="13"/>
  <c r="D583" i="12"/>
  <c r="D551" i="12"/>
  <c r="D519" i="12"/>
  <c r="D487" i="12"/>
  <c r="D455" i="12"/>
  <c r="D423" i="12"/>
  <c r="D391" i="12"/>
  <c r="D359" i="12"/>
  <c r="D327" i="12"/>
  <c r="D295" i="12"/>
  <c r="D263" i="12"/>
  <c r="D231" i="12"/>
  <c r="D199" i="12"/>
  <c r="D167" i="12"/>
  <c r="D135" i="12"/>
  <c r="D103" i="12"/>
  <c r="D71" i="12"/>
  <c r="D39" i="12"/>
  <c r="E473" i="14"/>
  <c r="E409" i="14"/>
  <c r="E345" i="14"/>
  <c r="E293" i="14"/>
  <c r="E261" i="14"/>
  <c r="E229" i="14"/>
  <c r="E197" i="14"/>
  <c r="E165" i="14"/>
  <c r="E133" i="14"/>
  <c r="E101" i="14"/>
  <c r="E69" i="14"/>
  <c r="E37" i="14"/>
  <c r="E5" i="14"/>
  <c r="E1022" i="13"/>
  <c r="E990" i="13"/>
  <c r="E958" i="13"/>
  <c r="E926" i="13"/>
  <c r="E894" i="13"/>
  <c r="E862" i="13"/>
  <c r="E830" i="13"/>
  <c r="E798" i="13"/>
  <c r="E766" i="13"/>
  <c r="E734" i="13"/>
  <c r="E702" i="13"/>
  <c r="E670" i="13"/>
  <c r="E638" i="13"/>
  <c r="E606" i="13"/>
  <c r="E574" i="13"/>
  <c r="E542" i="13"/>
  <c r="E510" i="13"/>
  <c r="E478" i="13"/>
  <c r="E446" i="13"/>
  <c r="E414" i="13"/>
  <c r="E382" i="13"/>
  <c r="E350" i="13"/>
  <c r="E318" i="13"/>
  <c r="E286" i="13"/>
  <c r="E254" i="13"/>
  <c r="E222" i="13"/>
  <c r="E190" i="13"/>
  <c r="E158" i="13"/>
  <c r="E126" i="13"/>
  <c r="E94" i="13"/>
  <c r="E62" i="13"/>
  <c r="E30" i="13"/>
  <c r="E612" i="12"/>
  <c r="E580" i="12"/>
  <c r="E562" i="12"/>
  <c r="E546" i="12"/>
  <c r="E530" i="12"/>
  <c r="E514" i="12"/>
  <c r="E498" i="12"/>
  <c r="E482" i="12"/>
  <c r="E466" i="12"/>
  <c r="E450" i="12"/>
  <c r="E434" i="12"/>
  <c r="E418" i="12"/>
  <c r="E402" i="12"/>
  <c r="E386" i="12"/>
  <c r="E370" i="12"/>
  <c r="E354" i="12"/>
  <c r="E338" i="12"/>
  <c r="E322" i="12"/>
  <c r="E306" i="12"/>
  <c r="E290" i="12"/>
  <c r="E274" i="12"/>
  <c r="E258" i="12"/>
  <c r="E242" i="12"/>
  <c r="E226" i="12"/>
  <c r="E217" i="12"/>
  <c r="E182" i="12"/>
  <c r="E150" i="12"/>
  <c r="E118" i="12"/>
  <c r="E86" i="12"/>
  <c r="E54" i="12"/>
  <c r="D28" i="12"/>
  <c r="D12" i="12"/>
  <c r="D742" i="11"/>
  <c r="D726" i="11"/>
  <c r="D710" i="11"/>
  <c r="D694" i="11"/>
  <c r="D678" i="11"/>
  <c r="D662" i="11"/>
  <c r="D646" i="11"/>
  <c r="D630" i="11"/>
  <c r="D614" i="11"/>
  <c r="D598" i="11"/>
  <c r="D582" i="11"/>
  <c r="D566" i="11"/>
  <c r="D550" i="11"/>
  <c r="D534" i="11"/>
  <c r="D518" i="11"/>
  <c r="D502" i="11"/>
  <c r="D486" i="11"/>
  <c r="D470" i="11"/>
  <c r="D454" i="11"/>
  <c r="D438" i="11"/>
  <c r="D422" i="11"/>
  <c r="D406" i="11"/>
  <c r="D390" i="11"/>
  <c r="D374" i="11"/>
  <c r="D358" i="11"/>
  <c r="D342" i="11"/>
  <c r="D326" i="11"/>
  <c r="D310" i="11"/>
  <c r="D294" i="11"/>
  <c r="D278" i="11"/>
  <c r="D262" i="11"/>
  <c r="D246" i="11"/>
  <c r="D230" i="11"/>
  <c r="D214" i="11"/>
  <c r="D198" i="11"/>
  <c r="D182" i="11"/>
  <c r="D166" i="11"/>
  <c r="D150" i="11"/>
  <c r="D134" i="11"/>
  <c r="D118" i="11"/>
  <c r="D102" i="11"/>
  <c r="D86" i="11"/>
  <c r="D70" i="11"/>
  <c r="D54" i="11"/>
  <c r="D38" i="11"/>
  <c r="D22" i="11"/>
  <c r="D6" i="11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571" i="8"/>
  <c r="D555" i="8"/>
  <c r="D539" i="8"/>
  <c r="D523" i="8"/>
  <c r="D507" i="8"/>
  <c r="D491" i="8"/>
  <c r="D475" i="8"/>
  <c r="D459" i="8"/>
  <c r="D443" i="8"/>
  <c r="D427" i="8"/>
  <c r="D411" i="8"/>
  <c r="D395" i="8"/>
  <c r="D379" i="8"/>
  <c r="D363" i="8"/>
  <c r="D347" i="8"/>
  <c r="D331" i="8"/>
  <c r="D315" i="8"/>
  <c r="D299" i="8"/>
  <c r="D283" i="8"/>
  <c r="D267" i="8"/>
  <c r="D251" i="8"/>
  <c r="D235" i="8"/>
  <c r="D219" i="8"/>
  <c r="D203" i="8"/>
  <c r="D187" i="8"/>
  <c r="D171" i="8"/>
  <c r="D155" i="8"/>
  <c r="D139" i="8"/>
  <c r="D123" i="8"/>
  <c r="E197" i="12"/>
  <c r="E165" i="12"/>
  <c r="E133" i="12"/>
  <c r="E101" i="12"/>
  <c r="E69" i="12"/>
  <c r="E37" i="12"/>
  <c r="E19" i="12"/>
  <c r="E3" i="12"/>
  <c r="E733" i="11"/>
  <c r="E717" i="11"/>
  <c r="E701" i="11"/>
  <c r="E685" i="11"/>
  <c r="E669" i="11"/>
  <c r="E653" i="11"/>
  <c r="E637" i="11"/>
  <c r="E621" i="11"/>
  <c r="E605" i="11"/>
  <c r="E589" i="11"/>
  <c r="E573" i="11"/>
  <c r="E557" i="11"/>
  <c r="E541" i="11"/>
  <c r="E525" i="11"/>
  <c r="E509" i="11"/>
  <c r="E493" i="11"/>
  <c r="E477" i="11"/>
  <c r="E461" i="11"/>
  <c r="E445" i="11"/>
  <c r="E429" i="11"/>
  <c r="E413" i="11"/>
  <c r="E397" i="11"/>
  <c r="E381" i="11"/>
  <c r="E365" i="11"/>
  <c r="E349" i="11"/>
  <c r="E333" i="11"/>
  <c r="E317" i="11"/>
  <c r="E301" i="11"/>
  <c r="E285" i="11"/>
  <c r="E269" i="11"/>
  <c r="E253" i="11"/>
  <c r="E237" i="11"/>
  <c r="E221" i="11"/>
  <c r="E205" i="11"/>
  <c r="E189" i="11"/>
  <c r="E173" i="11"/>
  <c r="E157" i="11"/>
  <c r="E141" i="11"/>
  <c r="E125" i="11"/>
  <c r="E109" i="11"/>
  <c r="E93" i="11"/>
  <c r="E77" i="11"/>
  <c r="E63" i="11"/>
  <c r="E55" i="11"/>
  <c r="E47" i="11"/>
  <c r="E39" i="11"/>
  <c r="E31" i="11"/>
  <c r="E23" i="11"/>
  <c r="E15" i="11"/>
  <c r="E7" i="11"/>
  <c r="E220" i="9"/>
  <c r="E212" i="9"/>
  <c r="E204" i="9"/>
  <c r="E196" i="9"/>
  <c r="E188" i="9"/>
  <c r="E180" i="9"/>
  <c r="E172" i="9"/>
  <c r="E164" i="9"/>
  <c r="E156" i="9"/>
  <c r="E148" i="9"/>
  <c r="E140" i="9"/>
  <c r="E132" i="9"/>
  <c r="E124" i="9"/>
  <c r="E116" i="9"/>
  <c r="E108" i="9"/>
  <c r="E100" i="9"/>
  <c r="E92" i="9"/>
  <c r="E84" i="9"/>
  <c r="E76" i="9"/>
  <c r="E68" i="9"/>
  <c r="E60" i="9"/>
  <c r="E52" i="9"/>
  <c r="E44" i="9"/>
  <c r="E36" i="9"/>
  <c r="E28" i="9"/>
  <c r="E20" i="9"/>
  <c r="E12" i="9"/>
  <c r="E4" i="9"/>
  <c r="D586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468" i="8"/>
  <c r="E460" i="8"/>
  <c r="E452" i="8"/>
  <c r="E444" i="8"/>
  <c r="E436" i="8"/>
  <c r="E428" i="8"/>
  <c r="E420" i="8"/>
  <c r="E412" i="8"/>
  <c r="E404" i="8"/>
  <c r="E396" i="8"/>
  <c r="E388" i="8"/>
  <c r="E380" i="8"/>
  <c r="E372" i="8"/>
  <c r="E364" i="8"/>
  <c r="E356" i="8"/>
  <c r="E348" i="8"/>
  <c r="E340" i="8"/>
  <c r="E332" i="8"/>
  <c r="E324" i="8"/>
  <c r="E316" i="8"/>
  <c r="E308" i="8"/>
  <c r="E300" i="8"/>
  <c r="E292" i="8"/>
  <c r="E284" i="8"/>
  <c r="E276" i="8"/>
  <c r="E268" i="8"/>
  <c r="E260" i="8"/>
  <c r="E252" i="8"/>
  <c r="E244" i="8"/>
  <c r="E236" i="8"/>
  <c r="E228" i="8"/>
  <c r="E220" i="8"/>
  <c r="E212" i="8"/>
  <c r="E204" i="8"/>
  <c r="E196" i="8"/>
  <c r="E188" i="8"/>
  <c r="E180" i="8"/>
  <c r="E172" i="8"/>
  <c r="E164" i="8"/>
  <c r="E156" i="8"/>
  <c r="E148" i="8"/>
  <c r="E140" i="8"/>
  <c r="E132" i="8"/>
  <c r="E124" i="8"/>
  <c r="E116" i="8"/>
  <c r="E108" i="8"/>
  <c r="E100" i="8"/>
  <c r="E92" i="8"/>
  <c r="E84" i="8"/>
  <c r="E76" i="8"/>
  <c r="E68" i="8"/>
  <c r="E60" i="8"/>
  <c r="E52" i="8"/>
  <c r="E44" i="8"/>
  <c r="E36" i="8"/>
  <c r="E28" i="8"/>
  <c r="E20" i="8"/>
  <c r="E12" i="8"/>
  <c r="E4" i="8"/>
  <c r="E407" i="7"/>
  <c r="E399" i="7"/>
  <c r="E391" i="7"/>
  <c r="E383" i="7"/>
  <c r="E375" i="7"/>
  <c r="E367" i="7"/>
  <c r="E359" i="7"/>
  <c r="E351" i="7"/>
  <c r="E343" i="7"/>
  <c r="E335" i="7"/>
  <c r="E327" i="7"/>
  <c r="E319" i="7"/>
  <c r="E311" i="7"/>
  <c r="E303" i="7"/>
  <c r="E295" i="7"/>
  <c r="E287" i="7"/>
  <c r="E279" i="7"/>
  <c r="E271" i="7"/>
  <c r="E263" i="7"/>
  <c r="E255" i="7"/>
  <c r="E247" i="7"/>
  <c r="E239" i="7"/>
  <c r="E231" i="7"/>
  <c r="E223" i="7"/>
  <c r="E215" i="7"/>
  <c r="E207" i="7"/>
  <c r="E199" i="7"/>
  <c r="E191" i="7"/>
  <c r="E183" i="7"/>
  <c r="E175" i="7"/>
  <c r="E167" i="7"/>
  <c r="E159" i="7"/>
  <c r="E200" i="12"/>
  <c r="E184" i="12"/>
  <c r="E168" i="12"/>
  <c r="E152" i="12"/>
  <c r="E136" i="12"/>
  <c r="E120" i="12"/>
  <c r="E104" i="12"/>
  <c r="E88" i="12"/>
  <c r="E72" i="12"/>
  <c r="E56" i="12"/>
  <c r="E40" i="12"/>
  <c r="D29" i="12"/>
  <c r="D21" i="12"/>
  <c r="D13" i="12"/>
  <c r="D5" i="12"/>
  <c r="D743" i="11"/>
  <c r="D735" i="11"/>
  <c r="D727" i="11"/>
  <c r="D719" i="11"/>
  <c r="D711" i="11"/>
  <c r="D703" i="11"/>
  <c r="D695" i="11"/>
  <c r="D687" i="11"/>
  <c r="D679" i="11"/>
  <c r="D671" i="11"/>
  <c r="D663" i="11"/>
  <c r="D655" i="11"/>
  <c r="D647" i="11"/>
  <c r="D639" i="11"/>
  <c r="D631" i="11"/>
  <c r="D623" i="11"/>
  <c r="D615" i="11"/>
  <c r="D607" i="11"/>
  <c r="D599" i="11"/>
  <c r="D591" i="11"/>
  <c r="D583" i="11"/>
  <c r="D575" i="11"/>
  <c r="D567" i="11"/>
  <c r="D559" i="11"/>
  <c r="D551" i="11"/>
  <c r="D543" i="11"/>
  <c r="D535" i="11"/>
  <c r="D527" i="11"/>
  <c r="D519" i="11"/>
  <c r="D511" i="11"/>
  <c r="D503" i="11"/>
  <c r="D495" i="11"/>
  <c r="D487" i="11"/>
  <c r="D479" i="11"/>
  <c r="D471" i="11"/>
  <c r="D463" i="11"/>
  <c r="D455" i="11"/>
  <c r="D447" i="11"/>
  <c r="D439" i="11"/>
  <c r="D431" i="11"/>
  <c r="D423" i="11"/>
  <c r="D415" i="11"/>
  <c r="D407" i="11"/>
  <c r="D399" i="11"/>
  <c r="D391" i="11"/>
  <c r="D383" i="11"/>
  <c r="D375" i="11"/>
  <c r="D367" i="11"/>
  <c r="D359" i="11"/>
  <c r="D351" i="11"/>
  <c r="D343" i="11"/>
  <c r="D335" i="11"/>
  <c r="D327" i="11"/>
  <c r="D319" i="11"/>
  <c r="D311" i="11"/>
  <c r="D303" i="11"/>
  <c r="D295" i="11"/>
  <c r="D287" i="11"/>
  <c r="D279" i="11"/>
  <c r="D271" i="11"/>
  <c r="D263" i="11"/>
  <c r="D255" i="11"/>
  <c r="D247" i="11"/>
  <c r="D239" i="11"/>
  <c r="D231" i="11"/>
  <c r="D223" i="11"/>
  <c r="D215" i="11"/>
  <c r="D207" i="11"/>
  <c r="D199" i="11"/>
  <c r="D191" i="11"/>
  <c r="D183" i="11"/>
  <c r="D175" i="11"/>
  <c r="D167" i="11"/>
  <c r="D159" i="11"/>
  <c r="D151" i="11"/>
  <c r="D143" i="11"/>
  <c r="D135" i="11"/>
  <c r="D127" i="11"/>
  <c r="D119" i="11"/>
  <c r="D111" i="11"/>
  <c r="D103" i="11"/>
  <c r="D95" i="11"/>
  <c r="D87" i="11"/>
  <c r="D79" i="11"/>
  <c r="D71" i="11"/>
  <c r="D63" i="11"/>
  <c r="D55" i="11"/>
  <c r="D47" i="11"/>
  <c r="D39" i="11"/>
  <c r="D31" i="11"/>
  <c r="D23" i="11"/>
  <c r="D15" i="11"/>
  <c r="D7" i="11"/>
  <c r="D220" i="9"/>
  <c r="D212" i="9"/>
  <c r="D204" i="9"/>
  <c r="D196" i="9"/>
  <c r="D188" i="9"/>
  <c r="D180" i="9"/>
  <c r="D172" i="9"/>
  <c r="D164" i="9"/>
  <c r="D156" i="9"/>
  <c r="D148" i="9"/>
  <c r="D140" i="9"/>
  <c r="D132" i="9"/>
  <c r="D124" i="9"/>
  <c r="D116" i="9"/>
  <c r="D108" i="9"/>
  <c r="D100" i="9"/>
  <c r="D92" i="9"/>
  <c r="D84" i="9"/>
  <c r="D76" i="9"/>
  <c r="D68" i="9"/>
  <c r="D60" i="9"/>
  <c r="D52" i="9"/>
  <c r="D44" i="9"/>
  <c r="D36" i="9"/>
  <c r="D28" i="9"/>
  <c r="D20" i="9"/>
  <c r="D12" i="9"/>
  <c r="D4" i="9"/>
  <c r="D585" i="8"/>
  <c r="D572" i="8"/>
  <c r="D564" i="8"/>
  <c r="D556" i="8"/>
  <c r="D548" i="8"/>
  <c r="D540" i="8"/>
  <c r="D532" i="8"/>
  <c r="D524" i="8"/>
  <c r="D516" i="8"/>
  <c r="D508" i="8"/>
  <c r="D500" i="8"/>
  <c r="D492" i="8"/>
  <c r="D484" i="8"/>
  <c r="D476" i="8"/>
  <c r="D468" i="8"/>
  <c r="D460" i="8"/>
  <c r="D452" i="8"/>
  <c r="D444" i="8"/>
  <c r="D436" i="8"/>
  <c r="D428" i="8"/>
  <c r="D420" i="8"/>
  <c r="D412" i="8"/>
  <c r="D404" i="8"/>
  <c r="D396" i="8"/>
  <c r="D388" i="8"/>
  <c r="D380" i="8"/>
  <c r="D372" i="8"/>
  <c r="D364" i="8"/>
  <c r="D356" i="8"/>
  <c r="D348" i="8"/>
  <c r="D340" i="8"/>
  <c r="D332" i="8"/>
  <c r="D324" i="8"/>
  <c r="D316" i="8"/>
  <c r="D308" i="8"/>
  <c r="D300" i="8"/>
  <c r="D292" i="8"/>
  <c r="D284" i="8"/>
  <c r="D276" i="8"/>
  <c r="D268" i="8"/>
  <c r="D260" i="8"/>
  <c r="D252" i="8"/>
  <c r="D244" i="8"/>
  <c r="D236" i="8"/>
  <c r="D228" i="8"/>
  <c r="D220" i="8"/>
  <c r="D212" i="8"/>
  <c r="D204" i="8"/>
  <c r="D196" i="8"/>
  <c r="D188" i="8"/>
  <c r="D180" i="8"/>
  <c r="D172" i="8"/>
  <c r="D164" i="8"/>
  <c r="D156" i="8"/>
  <c r="D148" i="8"/>
  <c r="D140" i="8"/>
  <c r="D132" i="8"/>
  <c r="D124" i="8"/>
  <c r="D116" i="8"/>
  <c r="D108" i="8"/>
  <c r="D100" i="8"/>
  <c r="D92" i="8"/>
  <c r="D84" i="8"/>
  <c r="D76" i="8"/>
  <c r="D68" i="8"/>
  <c r="D60" i="8"/>
  <c r="D52" i="8"/>
  <c r="D44" i="8"/>
  <c r="D36" i="8"/>
  <c r="D28" i="8"/>
  <c r="D20" i="8"/>
  <c r="D12" i="8"/>
  <c r="D4" i="8"/>
  <c r="D407" i="7"/>
  <c r="D399" i="7"/>
  <c r="D391" i="7"/>
  <c r="D383" i="7"/>
  <c r="D375" i="7"/>
  <c r="D367" i="7"/>
  <c r="D359" i="7"/>
  <c r="D351" i="7"/>
  <c r="D343" i="7"/>
  <c r="D335" i="7"/>
  <c r="D327" i="7"/>
  <c r="D319" i="7"/>
  <c r="D311" i="7"/>
  <c r="D303" i="7"/>
  <c r="D295" i="7"/>
  <c r="D287" i="7"/>
  <c r="D279" i="7"/>
  <c r="D271" i="7"/>
  <c r="D263" i="7"/>
  <c r="D255" i="7"/>
  <c r="D247" i="7"/>
  <c r="D239" i="7"/>
  <c r="D231" i="7"/>
  <c r="D223" i="7"/>
  <c r="D215" i="7"/>
  <c r="D207" i="7"/>
  <c r="D199" i="7"/>
  <c r="D191" i="7"/>
  <c r="D183" i="7"/>
  <c r="D175" i="7"/>
  <c r="D167" i="7"/>
  <c r="D159" i="7"/>
  <c r="D151" i="7"/>
  <c r="D143" i="7"/>
  <c r="D135" i="7"/>
  <c r="D127" i="7"/>
  <c r="D119" i="7"/>
  <c r="D111" i="7"/>
  <c r="D103" i="7"/>
  <c r="D95" i="7"/>
  <c r="D87" i="7"/>
  <c r="D79" i="7"/>
  <c r="D71" i="7"/>
  <c r="D63" i="7"/>
  <c r="D55" i="7"/>
  <c r="D47" i="7"/>
  <c r="D39" i="7"/>
  <c r="D31" i="7"/>
  <c r="D23" i="7"/>
  <c r="D15" i="7"/>
  <c r="D7" i="7"/>
  <c r="D1017" i="6"/>
  <c r="D1009" i="6"/>
  <c r="D1001" i="6"/>
  <c r="D993" i="6"/>
  <c r="D985" i="6"/>
  <c r="D977" i="6"/>
  <c r="D969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849" i="6"/>
  <c r="D841" i="6"/>
  <c r="D833" i="6"/>
  <c r="D825" i="6"/>
  <c r="D817" i="6"/>
  <c r="D809" i="6"/>
  <c r="D801" i="6"/>
  <c r="E207" i="12"/>
  <c r="E191" i="12"/>
  <c r="E175" i="12"/>
  <c r="E159" i="12"/>
  <c r="E143" i="12"/>
  <c r="E127" i="12"/>
  <c r="E111" i="12"/>
  <c r="E95" i="12"/>
  <c r="E79" i="12"/>
  <c r="E63" i="12"/>
  <c r="E47" i="12"/>
  <c r="E32" i="12"/>
  <c r="E24" i="12"/>
  <c r="E16" i="12"/>
  <c r="E8" i="12"/>
  <c r="E746" i="11"/>
  <c r="E738" i="11"/>
  <c r="E730" i="11"/>
  <c r="E722" i="11"/>
  <c r="E714" i="11"/>
  <c r="E706" i="11"/>
  <c r="E698" i="11"/>
  <c r="E690" i="11"/>
  <c r="E682" i="11"/>
  <c r="E674" i="11"/>
  <c r="E666" i="11"/>
  <c r="E658" i="11"/>
  <c r="E650" i="11"/>
  <c r="E642" i="11"/>
  <c r="E634" i="11"/>
  <c r="E626" i="11"/>
  <c r="E618" i="11"/>
  <c r="E610" i="11"/>
  <c r="E602" i="11"/>
  <c r="E594" i="11"/>
  <c r="E586" i="11"/>
  <c r="E578" i="11"/>
  <c r="E570" i="11"/>
  <c r="E562" i="11"/>
  <c r="E554" i="11"/>
  <c r="E546" i="11"/>
  <c r="E538" i="11"/>
  <c r="E530" i="11"/>
  <c r="E522" i="11"/>
  <c r="E514" i="11"/>
  <c r="E506" i="11"/>
  <c r="E498" i="11"/>
  <c r="E490" i="11"/>
  <c r="E482" i="11"/>
  <c r="E474" i="11"/>
  <c r="E466" i="11"/>
  <c r="E458" i="11"/>
  <c r="E450" i="11"/>
  <c r="E442" i="11"/>
  <c r="E434" i="11"/>
  <c r="E426" i="11"/>
  <c r="E418" i="11"/>
  <c r="E410" i="11"/>
  <c r="E402" i="11"/>
  <c r="E394" i="11"/>
  <c r="E386" i="11"/>
  <c r="E378" i="11"/>
  <c r="E370" i="11"/>
  <c r="E362" i="11"/>
  <c r="E354" i="11"/>
  <c r="E346" i="11"/>
  <c r="E338" i="11"/>
  <c r="E330" i="11"/>
  <c r="E322" i="11"/>
  <c r="E314" i="11"/>
  <c r="E306" i="11"/>
  <c r="E298" i="11"/>
  <c r="E290" i="11"/>
  <c r="E282" i="11"/>
  <c r="E274" i="11"/>
  <c r="E266" i="11"/>
  <c r="E258" i="11"/>
  <c r="E250" i="11"/>
  <c r="E242" i="11"/>
  <c r="E234" i="11"/>
  <c r="E226" i="11"/>
  <c r="E218" i="11"/>
  <c r="E210" i="11"/>
  <c r="E202" i="11"/>
  <c r="E194" i="11"/>
  <c r="E186" i="11"/>
  <c r="E178" i="11"/>
  <c r="E170" i="11"/>
  <c r="E162" i="11"/>
  <c r="E154" i="11"/>
  <c r="E146" i="11"/>
  <c r="E138" i="11"/>
  <c r="E130" i="11"/>
  <c r="E122" i="11"/>
  <c r="E114" i="11"/>
  <c r="E106" i="11"/>
  <c r="E98" i="11"/>
  <c r="E90" i="11"/>
  <c r="E82" i="11"/>
  <c r="E74" i="11"/>
  <c r="E66" i="11"/>
  <c r="E58" i="11"/>
  <c r="E50" i="11"/>
  <c r="E42" i="11"/>
  <c r="E34" i="11"/>
  <c r="E26" i="11"/>
  <c r="E18" i="11"/>
  <c r="E10" i="11"/>
  <c r="E2" i="11"/>
  <c r="E215" i="9"/>
  <c r="E207" i="9"/>
  <c r="E199" i="9"/>
  <c r="E191" i="9"/>
  <c r="E183" i="9"/>
  <c r="E175" i="9"/>
  <c r="E167" i="9"/>
  <c r="E159" i="9"/>
  <c r="E151" i="9"/>
  <c r="E143" i="9"/>
  <c r="E135" i="9"/>
  <c r="E127" i="9"/>
  <c r="E119" i="9"/>
  <c r="E111" i="9"/>
  <c r="E103" i="9"/>
  <c r="E95" i="9"/>
  <c r="E87" i="9"/>
  <c r="E79" i="9"/>
  <c r="E71" i="9"/>
  <c r="E63" i="9"/>
  <c r="E55" i="9"/>
  <c r="E47" i="9"/>
  <c r="E39" i="9"/>
  <c r="E31" i="9"/>
  <c r="E23" i="9"/>
  <c r="E15" i="9"/>
  <c r="E7" i="9"/>
  <c r="D592" i="8"/>
  <c r="D576" i="8"/>
  <c r="E567" i="8"/>
  <c r="E559" i="8"/>
  <c r="E551" i="8"/>
  <c r="E543" i="8"/>
  <c r="E535" i="8"/>
  <c r="E527" i="8"/>
  <c r="E519" i="8"/>
  <c r="E511" i="8"/>
  <c r="E503" i="8"/>
  <c r="E495" i="8"/>
  <c r="E487" i="8"/>
  <c r="E479" i="8"/>
  <c r="E471" i="8"/>
  <c r="E463" i="8"/>
  <c r="E455" i="8"/>
  <c r="E447" i="8"/>
  <c r="E439" i="8"/>
  <c r="E431" i="8"/>
  <c r="E423" i="8"/>
  <c r="E415" i="8"/>
  <c r="E407" i="8"/>
  <c r="E399" i="8"/>
  <c r="E391" i="8"/>
  <c r="E383" i="8"/>
  <c r="E375" i="8"/>
  <c r="E367" i="8"/>
  <c r="E359" i="8"/>
  <c r="E351" i="8"/>
  <c r="E343" i="8"/>
  <c r="E335" i="8"/>
  <c r="E327" i="8"/>
  <c r="E319" i="8"/>
  <c r="E311" i="8"/>
  <c r="E303" i="8"/>
  <c r="E295" i="8"/>
  <c r="E287" i="8"/>
  <c r="E279" i="8"/>
  <c r="E271" i="8"/>
  <c r="E263" i="8"/>
  <c r="E255" i="8"/>
  <c r="E247" i="8"/>
  <c r="E239" i="8"/>
  <c r="E231" i="8"/>
  <c r="E223" i="8"/>
  <c r="E215" i="8"/>
  <c r="E207" i="8"/>
  <c r="E199" i="8"/>
  <c r="E191" i="8"/>
  <c r="E183" i="8"/>
  <c r="E175" i="8"/>
  <c r="E167" i="8"/>
  <c r="E159" i="8"/>
  <c r="E151" i="8"/>
  <c r="E143" i="8"/>
  <c r="E135" i="8"/>
  <c r="E127" i="8"/>
  <c r="E119" i="8"/>
  <c r="E111" i="8"/>
  <c r="E103" i="8"/>
  <c r="E95" i="8"/>
  <c r="E87" i="8"/>
  <c r="E79" i="8"/>
  <c r="E71" i="8"/>
  <c r="E63" i="8"/>
  <c r="E55" i="8"/>
  <c r="E47" i="8"/>
  <c r="E39" i="8"/>
  <c r="E31" i="8"/>
  <c r="E23" i="8"/>
  <c r="E15" i="8"/>
  <c r="E7" i="8"/>
  <c r="E410" i="7"/>
  <c r="E402" i="7"/>
  <c r="E394" i="7"/>
  <c r="E386" i="7"/>
  <c r="E378" i="7"/>
  <c r="E370" i="7"/>
  <c r="E362" i="7"/>
  <c r="E354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D99" i="8"/>
  <c r="D67" i="8"/>
  <c r="D35" i="8"/>
  <c r="D3" i="8"/>
  <c r="D382" i="7"/>
  <c r="D350" i="7"/>
  <c r="D318" i="7"/>
  <c r="D286" i="7"/>
  <c r="D254" i="7"/>
  <c r="D222" i="7"/>
  <c r="D190" i="7"/>
  <c r="D158" i="7"/>
  <c r="D142" i="7"/>
  <c r="D126" i="7"/>
  <c r="D110" i="7"/>
  <c r="D94" i="7"/>
  <c r="D78" i="7"/>
  <c r="D62" i="7"/>
  <c r="D46" i="7"/>
  <c r="E33" i="7"/>
  <c r="E22" i="7"/>
  <c r="D12" i="7"/>
  <c r="E1" i="7"/>
  <c r="E1008" i="6"/>
  <c r="D998" i="6"/>
  <c r="E987" i="6"/>
  <c r="E976" i="6"/>
  <c r="D966" i="6"/>
  <c r="E955" i="6"/>
  <c r="E493" i="13"/>
  <c r="E365" i="13"/>
  <c r="E237" i="13"/>
  <c r="E109" i="13"/>
  <c r="E595" i="12"/>
  <c r="E467" i="12"/>
  <c r="E339" i="12"/>
  <c r="E510" i="14"/>
  <c r="D280" i="14"/>
  <c r="D152" i="14"/>
  <c r="D24" i="14"/>
  <c r="D945" i="13"/>
  <c r="D817" i="13"/>
  <c r="D689" i="13"/>
  <c r="D561" i="13"/>
  <c r="D433" i="13"/>
  <c r="D305" i="13"/>
  <c r="D177" i="13"/>
  <c r="D49" i="13"/>
  <c r="D535" i="12"/>
  <c r="D407" i="12"/>
  <c r="D279" i="12"/>
  <c r="D151" i="12"/>
  <c r="E505" i="14"/>
  <c r="E277" i="14"/>
  <c r="E149" i="14"/>
  <c r="E21" i="14"/>
  <c r="E942" i="13"/>
  <c r="E814" i="13"/>
  <c r="E686" i="13"/>
  <c r="E558" i="13"/>
  <c r="E430" i="13"/>
  <c r="E302" i="13"/>
  <c r="E174" i="13"/>
  <c r="E46" i="13"/>
  <c r="E554" i="12"/>
  <c r="E490" i="12"/>
  <c r="E426" i="12"/>
  <c r="E362" i="12"/>
  <c r="E298" i="12"/>
  <c r="E234" i="12"/>
  <c r="E134" i="12"/>
  <c r="D20" i="12"/>
  <c r="D702" i="11"/>
  <c r="D638" i="11"/>
  <c r="D574" i="11"/>
  <c r="D510" i="11"/>
  <c r="D446" i="11"/>
  <c r="D382" i="11"/>
  <c r="D318" i="11"/>
  <c r="D254" i="11"/>
  <c r="D190" i="11"/>
  <c r="D126" i="11"/>
  <c r="D62" i="11"/>
  <c r="D219" i="9"/>
  <c r="D155" i="9"/>
  <c r="D91" i="9"/>
  <c r="D27" i="9"/>
  <c r="D547" i="8"/>
  <c r="D483" i="8"/>
  <c r="D419" i="8"/>
  <c r="D355" i="8"/>
  <c r="D291" i="8"/>
  <c r="D227" i="8"/>
  <c r="D163" i="8"/>
  <c r="E181" i="12"/>
  <c r="E53" i="12"/>
  <c r="E725" i="11"/>
  <c r="E661" i="11"/>
  <c r="E597" i="11"/>
  <c r="E533" i="11"/>
  <c r="E469" i="11"/>
  <c r="E405" i="11"/>
  <c r="E341" i="11"/>
  <c r="E277" i="11"/>
  <c r="E213" i="11"/>
  <c r="E149" i="11"/>
  <c r="E85" i="11"/>
  <c r="E43" i="11"/>
  <c r="E11" i="11"/>
  <c r="E200" i="9"/>
  <c r="E168" i="9"/>
  <c r="E136" i="9"/>
  <c r="E104" i="9"/>
  <c r="E72" i="9"/>
  <c r="E40" i="9"/>
  <c r="E8" i="9"/>
  <c r="E560" i="8"/>
  <c r="E528" i="8"/>
  <c r="E496" i="8"/>
  <c r="E464" i="8"/>
  <c r="E432" i="8"/>
  <c r="E400" i="8"/>
  <c r="E368" i="8"/>
  <c r="E336" i="8"/>
  <c r="E304" i="8"/>
  <c r="E272" i="8"/>
  <c r="E240" i="8"/>
  <c r="E208" i="8"/>
  <c r="E176" i="8"/>
  <c r="E144" i="8"/>
  <c r="E112" i="8"/>
  <c r="E80" i="8"/>
  <c r="E48" i="8"/>
  <c r="E16" i="8"/>
  <c r="E395" i="7"/>
  <c r="E363" i="7"/>
  <c r="E331" i="7"/>
  <c r="E299" i="7"/>
  <c r="E267" i="7"/>
  <c r="E235" i="7"/>
  <c r="E203" i="7"/>
  <c r="E171" i="7"/>
  <c r="E176" i="12"/>
  <c r="E112" i="12"/>
  <c r="E48" i="12"/>
  <c r="D9" i="12"/>
  <c r="D723" i="11"/>
  <c r="D691" i="11"/>
  <c r="D659" i="11"/>
  <c r="D627" i="11"/>
  <c r="D595" i="11"/>
  <c r="D563" i="11"/>
  <c r="D531" i="11"/>
  <c r="D499" i="11"/>
  <c r="D467" i="11"/>
  <c r="D435" i="11"/>
  <c r="D403" i="11"/>
  <c r="D371" i="11"/>
  <c r="D339" i="11"/>
  <c r="D307" i="11"/>
  <c r="D275" i="11"/>
  <c r="D243" i="11"/>
  <c r="D211" i="11"/>
  <c r="D179" i="11"/>
  <c r="D147" i="11"/>
  <c r="D115" i="11"/>
  <c r="D83" i="11"/>
  <c r="D51" i="11"/>
  <c r="D19" i="11"/>
  <c r="D208" i="9"/>
  <c r="D176" i="9"/>
  <c r="D144" i="9"/>
  <c r="D112" i="9"/>
  <c r="D80" i="9"/>
  <c r="D48" i="9"/>
  <c r="D16" i="9"/>
  <c r="D568" i="8"/>
  <c r="D536" i="8"/>
  <c r="D504" i="8"/>
  <c r="D472" i="8"/>
  <c r="D440" i="8"/>
  <c r="D408" i="8"/>
  <c r="D376" i="8"/>
  <c r="D344" i="8"/>
  <c r="D312" i="8"/>
  <c r="D280" i="8"/>
  <c r="D248" i="8"/>
  <c r="D216" i="8"/>
  <c r="D184" i="8"/>
  <c r="D152" i="8"/>
  <c r="D120" i="8"/>
  <c r="D88" i="8"/>
  <c r="D56" i="8"/>
  <c r="D24" i="8"/>
  <c r="D403" i="7"/>
  <c r="D371" i="7"/>
  <c r="D339" i="7"/>
  <c r="D307" i="7"/>
  <c r="D275" i="7"/>
  <c r="D243" i="7"/>
  <c r="D211" i="7"/>
  <c r="D179" i="7"/>
  <c r="D147" i="7"/>
  <c r="D115" i="7"/>
  <c r="D83" i="7"/>
  <c r="D51" i="7"/>
  <c r="D19" i="7"/>
  <c r="D1005" i="6"/>
  <c r="D973" i="6"/>
  <c r="D941" i="6"/>
  <c r="D909" i="6"/>
  <c r="D877" i="6"/>
  <c r="D845" i="6"/>
  <c r="D813" i="6"/>
  <c r="E183" i="12"/>
  <c r="E119" i="12"/>
  <c r="E55" i="12"/>
  <c r="E12" i="12"/>
  <c r="E726" i="11"/>
  <c r="E694" i="11"/>
  <c r="E662" i="11"/>
  <c r="E630" i="11"/>
  <c r="E598" i="11"/>
  <c r="E566" i="11"/>
  <c r="E534" i="11"/>
  <c r="E502" i="11"/>
  <c r="E470" i="11"/>
  <c r="E438" i="11"/>
  <c r="E406" i="11"/>
  <c r="E374" i="11"/>
  <c r="E342" i="11"/>
  <c r="E310" i="11"/>
  <c r="E278" i="11"/>
  <c r="E246" i="11"/>
  <c r="E214" i="11"/>
  <c r="E182" i="11"/>
  <c r="E150" i="11"/>
  <c r="E118" i="11"/>
  <c r="E86" i="11"/>
  <c r="E54" i="11"/>
  <c r="E22" i="11"/>
  <c r="E211" i="9"/>
  <c r="E179" i="9"/>
  <c r="E147" i="9"/>
  <c r="E115" i="9"/>
  <c r="E83" i="9"/>
  <c r="E51" i="9"/>
  <c r="E19" i="9"/>
  <c r="E571" i="8"/>
  <c r="E539" i="8"/>
  <c r="E507" i="8"/>
  <c r="E475" i="8"/>
  <c r="E443" i="8"/>
  <c r="E411" i="8"/>
  <c r="E379" i="8"/>
  <c r="E347" i="8"/>
  <c r="E315" i="8"/>
  <c r="E283" i="8"/>
  <c r="E251" i="8"/>
  <c r="E219" i="8"/>
  <c r="E187" i="8"/>
  <c r="E155" i="8"/>
  <c r="E123" i="8"/>
  <c r="E91" i="8"/>
  <c r="E59" i="8"/>
  <c r="E27" i="8"/>
  <c r="E406" i="7"/>
  <c r="E374" i="7"/>
  <c r="E342" i="7"/>
  <c r="E310" i="7"/>
  <c r="E278" i="7"/>
  <c r="E246" i="7"/>
  <c r="E214" i="7"/>
  <c r="E182" i="7"/>
  <c r="E150" i="7"/>
  <c r="E118" i="7"/>
  <c r="E86" i="7"/>
  <c r="E54" i="7"/>
  <c r="D51" i="8"/>
  <c r="D334" i="7"/>
  <c r="D206" i="7"/>
  <c r="D118" i="7"/>
  <c r="D54" i="7"/>
  <c r="E6" i="7"/>
  <c r="D982" i="6"/>
  <c r="E944" i="6"/>
  <c r="E923" i="6"/>
  <c r="D902" i="6"/>
  <c r="E880" i="6"/>
  <c r="E859" i="6"/>
  <c r="D838" i="6"/>
  <c r="E816" i="6"/>
  <c r="E795" i="6"/>
  <c r="E779" i="6"/>
  <c r="E763" i="6"/>
  <c r="E747" i="6"/>
  <c r="E731" i="6"/>
  <c r="E715" i="6"/>
  <c r="E699" i="6"/>
  <c r="E683" i="6"/>
  <c r="E667" i="6"/>
  <c r="E651" i="6"/>
  <c r="E635" i="6"/>
  <c r="E619" i="6"/>
  <c r="E603" i="6"/>
  <c r="E587" i="6"/>
  <c r="E571" i="6"/>
  <c r="E555" i="6"/>
  <c r="E539" i="6"/>
  <c r="E523" i="6"/>
  <c r="E507" i="6"/>
  <c r="E491" i="6"/>
  <c r="E475" i="6"/>
  <c r="E459" i="6"/>
  <c r="E443" i="6"/>
  <c r="E431" i="6"/>
  <c r="E423" i="6"/>
  <c r="E415" i="6"/>
  <c r="E407" i="6"/>
  <c r="E399" i="6"/>
  <c r="E391" i="6"/>
  <c r="E383" i="6"/>
  <c r="E375" i="6"/>
  <c r="E367" i="6"/>
  <c r="E359" i="6"/>
  <c r="E351" i="6"/>
  <c r="E343" i="6"/>
  <c r="E335" i="6"/>
  <c r="E327" i="6"/>
  <c r="E319" i="6"/>
  <c r="E311" i="6"/>
  <c r="E303" i="6"/>
  <c r="E295" i="6"/>
  <c r="E287" i="6"/>
  <c r="E279" i="6"/>
  <c r="E271" i="6"/>
  <c r="E263" i="6"/>
  <c r="E255" i="6"/>
  <c r="E247" i="6"/>
  <c r="E239" i="6"/>
  <c r="E231" i="6"/>
  <c r="E223" i="6"/>
  <c r="E215" i="6"/>
  <c r="E207" i="6"/>
  <c r="E199" i="6"/>
  <c r="E191" i="6"/>
  <c r="E183" i="6"/>
  <c r="E175" i="6"/>
  <c r="E167" i="6"/>
  <c r="E159" i="6"/>
  <c r="E151" i="6"/>
  <c r="E143" i="6"/>
  <c r="E135" i="6"/>
  <c r="E127" i="6"/>
  <c r="E119" i="6"/>
  <c r="E111" i="6"/>
  <c r="E103" i="6"/>
  <c r="E95" i="6"/>
  <c r="E87" i="6"/>
  <c r="E79" i="6"/>
  <c r="E71" i="6"/>
  <c r="E63" i="6"/>
  <c r="E55" i="6"/>
  <c r="E47" i="6"/>
  <c r="E39" i="6"/>
  <c r="E31" i="6"/>
  <c r="E23" i="6"/>
  <c r="E15" i="6"/>
  <c r="E7" i="6"/>
  <c r="E396" i="5"/>
  <c r="E388" i="5"/>
  <c r="E380" i="5"/>
  <c r="E372" i="5"/>
  <c r="E364" i="5"/>
  <c r="E356" i="5"/>
  <c r="E348" i="5"/>
  <c r="E340" i="5"/>
  <c r="E332" i="5"/>
  <c r="E324" i="5"/>
  <c r="E316" i="5"/>
  <c r="E308" i="5"/>
  <c r="E300" i="5"/>
  <c r="E292" i="5"/>
  <c r="E284" i="5"/>
  <c r="E276" i="5"/>
  <c r="E268" i="5"/>
  <c r="E260" i="5"/>
  <c r="E252" i="5"/>
  <c r="E244" i="5"/>
  <c r="E236" i="5"/>
  <c r="E228" i="5"/>
  <c r="E220" i="5"/>
  <c r="E212" i="5"/>
  <c r="E204" i="5"/>
  <c r="E196" i="5"/>
  <c r="E188" i="5"/>
  <c r="E180" i="5"/>
  <c r="E172" i="5"/>
  <c r="E164" i="5"/>
  <c r="E156" i="5"/>
  <c r="E148" i="5"/>
  <c r="E140" i="5"/>
  <c r="E132" i="5"/>
  <c r="E124" i="5"/>
  <c r="E116" i="5"/>
  <c r="E108" i="5"/>
  <c r="E100" i="5"/>
  <c r="E92" i="5"/>
  <c r="E84" i="5"/>
  <c r="E76" i="5"/>
  <c r="E68" i="5"/>
  <c r="E60" i="5"/>
  <c r="E52" i="5"/>
  <c r="E44" i="5"/>
  <c r="E36" i="5"/>
  <c r="E28" i="5"/>
  <c r="E20" i="5"/>
  <c r="E12" i="5"/>
  <c r="E4" i="5"/>
  <c r="F235" i="4"/>
  <c r="F227" i="4"/>
  <c r="F219" i="4"/>
  <c r="F211" i="4"/>
  <c r="F203" i="4"/>
  <c r="F195" i="4"/>
  <c r="F187" i="4"/>
  <c r="F179" i="4"/>
  <c r="F171" i="4"/>
  <c r="F163" i="4"/>
  <c r="F155" i="4"/>
  <c r="F147" i="4"/>
  <c r="F139" i="4"/>
  <c r="F131" i="4"/>
  <c r="F123" i="4"/>
  <c r="F115" i="4"/>
  <c r="F107" i="4"/>
  <c r="F99" i="4"/>
  <c r="F91" i="4"/>
  <c r="F83" i="4"/>
  <c r="F75" i="4"/>
  <c r="F67" i="4"/>
  <c r="F59" i="4"/>
  <c r="F51" i="4"/>
  <c r="F43" i="4"/>
  <c r="F35" i="4"/>
  <c r="F27" i="4"/>
  <c r="F19" i="4"/>
  <c r="F11" i="4"/>
  <c r="F3" i="4"/>
  <c r="F749" i="3"/>
  <c r="F741" i="3"/>
  <c r="F733" i="3"/>
  <c r="F725" i="3"/>
  <c r="F717" i="3"/>
  <c r="F709" i="3"/>
  <c r="F701" i="3"/>
  <c r="F693" i="3"/>
  <c r="F685" i="3"/>
  <c r="D89" i="8"/>
  <c r="D57" i="8"/>
  <c r="D25" i="8"/>
  <c r="D404" i="7"/>
  <c r="D372" i="7"/>
  <c r="D340" i="7"/>
  <c r="D308" i="7"/>
  <c r="D276" i="7"/>
  <c r="D244" i="7"/>
  <c r="D212" i="7"/>
  <c r="D180" i="7"/>
  <c r="E153" i="7"/>
  <c r="E137" i="7"/>
  <c r="E121" i="7"/>
  <c r="E105" i="7"/>
  <c r="E89" i="7"/>
  <c r="E73" i="7"/>
  <c r="E57" i="7"/>
  <c r="E41" i="7"/>
  <c r="D30" i="7"/>
  <c r="E19" i="7"/>
  <c r="E8" i="7"/>
  <c r="D1016" i="6"/>
  <c r="E1005" i="6"/>
  <c r="E994" i="6"/>
  <c r="D984" i="6"/>
  <c r="E973" i="6"/>
  <c r="E962" i="6"/>
  <c r="D952" i="6"/>
  <c r="E941" i="6"/>
  <c r="E930" i="6"/>
  <c r="D920" i="6"/>
  <c r="E909" i="6"/>
  <c r="E898" i="6"/>
  <c r="D888" i="6"/>
  <c r="E877" i="6"/>
  <c r="E866" i="6"/>
  <c r="D856" i="6"/>
  <c r="E845" i="6"/>
  <c r="E834" i="6"/>
  <c r="D824" i="6"/>
  <c r="E813" i="6"/>
  <c r="E802" i="6"/>
  <c r="D793" i="6"/>
  <c r="D785" i="6"/>
  <c r="D777" i="6"/>
  <c r="D769" i="6"/>
  <c r="D761" i="6"/>
  <c r="D753" i="6"/>
  <c r="D745" i="6"/>
  <c r="D737" i="6"/>
  <c r="D729" i="6"/>
  <c r="D721" i="6"/>
  <c r="D713" i="6"/>
  <c r="D705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65" i="6"/>
  <c r="D457" i="6"/>
  <c r="D449" i="6"/>
  <c r="D441" i="6"/>
  <c r="D433" i="6"/>
  <c r="D425" i="6"/>
  <c r="D417" i="6"/>
  <c r="D409" i="6"/>
  <c r="D401" i="6"/>
  <c r="D393" i="6"/>
  <c r="D385" i="6"/>
  <c r="D377" i="6"/>
  <c r="D369" i="6"/>
  <c r="D361" i="6"/>
  <c r="D353" i="6"/>
  <c r="D345" i="6"/>
  <c r="D337" i="6"/>
  <c r="D329" i="6"/>
  <c r="D321" i="6"/>
  <c r="D313" i="6"/>
  <c r="D305" i="6"/>
  <c r="D297" i="6"/>
  <c r="D289" i="6"/>
  <c r="D281" i="6"/>
  <c r="D273" i="6"/>
  <c r="D265" i="6"/>
  <c r="D257" i="6"/>
  <c r="D249" i="6"/>
  <c r="D241" i="6"/>
  <c r="D233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81" i="6"/>
  <c r="D73" i="6"/>
  <c r="D65" i="6"/>
  <c r="D57" i="6"/>
  <c r="D49" i="6"/>
  <c r="D41" i="6"/>
  <c r="D33" i="6"/>
  <c r="D25" i="6"/>
  <c r="D17" i="6"/>
  <c r="D9" i="6"/>
  <c r="D1" i="6"/>
  <c r="D390" i="5"/>
  <c r="D382" i="5"/>
  <c r="D374" i="5"/>
  <c r="D366" i="5"/>
  <c r="D358" i="5"/>
  <c r="D350" i="5"/>
  <c r="D342" i="5"/>
  <c r="D334" i="5"/>
  <c r="D326" i="5"/>
  <c r="D318" i="5"/>
  <c r="D310" i="5"/>
  <c r="D302" i="5"/>
  <c r="D294" i="5"/>
  <c r="D286" i="5"/>
  <c r="D278" i="5"/>
  <c r="D270" i="5"/>
  <c r="D262" i="5"/>
  <c r="D254" i="5"/>
  <c r="D246" i="5"/>
  <c r="D238" i="5"/>
  <c r="D230" i="5"/>
  <c r="D222" i="5"/>
  <c r="D214" i="5"/>
  <c r="D206" i="5"/>
  <c r="D198" i="5"/>
  <c r="D190" i="5"/>
  <c r="D182" i="5"/>
  <c r="D174" i="5"/>
  <c r="D166" i="5"/>
  <c r="D158" i="5"/>
  <c r="D150" i="5"/>
  <c r="D142" i="5"/>
  <c r="D134" i="5"/>
  <c r="D126" i="5"/>
  <c r="D118" i="5"/>
  <c r="D110" i="5"/>
  <c r="D102" i="5"/>
  <c r="D94" i="5"/>
  <c r="D86" i="5"/>
  <c r="D78" i="5"/>
  <c r="D70" i="5"/>
  <c r="D62" i="5"/>
  <c r="D54" i="5"/>
  <c r="D46" i="5"/>
  <c r="D38" i="5"/>
  <c r="D30" i="5"/>
  <c r="D22" i="5"/>
  <c r="D14" i="5"/>
  <c r="D6" i="5"/>
  <c r="E237" i="4"/>
  <c r="E229" i="4"/>
  <c r="E221" i="4"/>
  <c r="E213" i="4"/>
  <c r="E205" i="4"/>
  <c r="E197" i="4"/>
  <c r="E189" i="4"/>
  <c r="E181" i="4"/>
  <c r="E173" i="4"/>
  <c r="E165" i="4"/>
  <c r="E157" i="4"/>
  <c r="E149" i="4"/>
  <c r="E141" i="4"/>
  <c r="E133" i="4"/>
  <c r="E125" i="4"/>
  <c r="E117" i="4"/>
  <c r="E109" i="4"/>
  <c r="E101" i="4"/>
  <c r="E93" i="4"/>
  <c r="E85" i="4"/>
  <c r="E77" i="4"/>
  <c r="E69" i="4"/>
  <c r="E61" i="4"/>
  <c r="E53" i="4"/>
  <c r="E45" i="4"/>
  <c r="E37" i="4"/>
  <c r="E29" i="4"/>
  <c r="E21" i="4"/>
  <c r="E13" i="4"/>
  <c r="E5" i="4"/>
  <c r="E751" i="3"/>
  <c r="E743" i="3"/>
  <c r="E735" i="3"/>
  <c r="E727" i="3"/>
  <c r="E719" i="3"/>
  <c r="E711" i="3"/>
  <c r="E703" i="3"/>
  <c r="E695" i="3"/>
  <c r="E687" i="3"/>
  <c r="E679" i="3"/>
  <c r="E671" i="3"/>
  <c r="E663" i="3"/>
  <c r="E655" i="3"/>
  <c r="E647" i="3"/>
  <c r="E639" i="3"/>
  <c r="E631" i="3"/>
  <c r="E623" i="3"/>
  <c r="E615" i="3"/>
  <c r="E607" i="3"/>
  <c r="E599" i="3"/>
  <c r="E591" i="3"/>
  <c r="E583" i="3"/>
  <c r="E575" i="3"/>
  <c r="E567" i="3"/>
  <c r="E559" i="3"/>
  <c r="E551" i="3"/>
  <c r="E543" i="3"/>
  <c r="E535" i="3"/>
  <c r="E527" i="3"/>
  <c r="E519" i="3"/>
  <c r="E511" i="3"/>
  <c r="E503" i="3"/>
  <c r="D103" i="8"/>
  <c r="D71" i="8"/>
  <c r="D39" i="8"/>
  <c r="D7" i="8"/>
  <c r="D386" i="7"/>
  <c r="D354" i="7"/>
  <c r="D322" i="7"/>
  <c r="D290" i="7"/>
  <c r="D258" i="7"/>
  <c r="D226" i="7"/>
  <c r="D194" i="7"/>
  <c r="D162" i="7"/>
  <c r="D144" i="7"/>
  <c r="D128" i="7"/>
  <c r="D112" i="7"/>
  <c r="D96" i="7"/>
  <c r="D80" i="7"/>
  <c r="D64" i="7"/>
  <c r="D48" i="7"/>
  <c r="E34" i="7"/>
  <c r="D24" i="7"/>
  <c r="E13" i="7"/>
  <c r="E2" i="7"/>
  <c r="D1010" i="6"/>
  <c r="E999" i="6"/>
  <c r="E988" i="6"/>
  <c r="D978" i="6"/>
  <c r="E967" i="6"/>
  <c r="E956" i="6"/>
  <c r="D946" i="6"/>
  <c r="E935" i="6"/>
  <c r="E924" i="6"/>
  <c r="D914" i="6"/>
  <c r="E903" i="6"/>
  <c r="E892" i="6"/>
  <c r="D882" i="6"/>
  <c r="E871" i="6"/>
  <c r="E860" i="6"/>
  <c r="D850" i="6"/>
  <c r="E839" i="6"/>
  <c r="E828" i="6"/>
  <c r="D818" i="6"/>
  <c r="E807" i="6"/>
  <c r="E796" i="6"/>
  <c r="E788" i="6"/>
  <c r="E780" i="6"/>
  <c r="E772" i="6"/>
  <c r="E764" i="6"/>
  <c r="E756" i="6"/>
  <c r="E748" i="6"/>
  <c r="E740" i="6"/>
  <c r="E732" i="6"/>
  <c r="E724" i="6"/>
  <c r="E716" i="6"/>
  <c r="E708" i="6"/>
  <c r="E700" i="6"/>
  <c r="E692" i="6"/>
  <c r="E684" i="6"/>
  <c r="E676" i="6"/>
  <c r="E668" i="6"/>
  <c r="E660" i="6"/>
  <c r="E652" i="6"/>
  <c r="E644" i="6"/>
  <c r="E636" i="6"/>
  <c r="E628" i="6"/>
  <c r="E620" i="6"/>
  <c r="E612" i="6"/>
  <c r="E604" i="6"/>
  <c r="E596" i="6"/>
  <c r="E588" i="6"/>
  <c r="E580" i="6"/>
  <c r="E572" i="6"/>
  <c r="E564" i="6"/>
  <c r="E556" i="6"/>
  <c r="E548" i="6"/>
  <c r="E540" i="6"/>
  <c r="E532" i="6"/>
  <c r="E524" i="6"/>
  <c r="E516" i="6"/>
  <c r="E508" i="6"/>
  <c r="E500" i="6"/>
  <c r="E492" i="6"/>
  <c r="E484" i="6"/>
  <c r="E476" i="6"/>
  <c r="E468" i="6"/>
  <c r="E460" i="6"/>
  <c r="E452" i="6"/>
  <c r="E444" i="6"/>
  <c r="E436" i="6"/>
  <c r="E428" i="6"/>
  <c r="E420" i="6"/>
  <c r="E412" i="6"/>
  <c r="E404" i="6"/>
  <c r="E396" i="6"/>
  <c r="E388" i="6"/>
  <c r="E380" i="6"/>
  <c r="E372" i="6"/>
  <c r="E364" i="6"/>
  <c r="E356" i="6"/>
  <c r="E348" i="6"/>
  <c r="E340" i="6"/>
  <c r="E332" i="6"/>
  <c r="E324" i="6"/>
  <c r="E316" i="6"/>
  <c r="E308" i="6"/>
  <c r="E300" i="6"/>
  <c r="E292" i="6"/>
  <c r="E284" i="6"/>
  <c r="E276" i="6"/>
  <c r="E268" i="6"/>
  <c r="E260" i="6"/>
  <c r="E252" i="6"/>
  <c r="E244" i="6"/>
  <c r="E236" i="6"/>
  <c r="E228" i="6"/>
  <c r="E220" i="6"/>
  <c r="E212" i="6"/>
  <c r="E204" i="6"/>
  <c r="E196" i="6"/>
  <c r="E188" i="6"/>
  <c r="E180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393" i="5"/>
  <c r="E385" i="5"/>
  <c r="E377" i="5"/>
  <c r="E369" i="5"/>
  <c r="E361" i="5"/>
  <c r="E353" i="5"/>
  <c r="E345" i="5"/>
  <c r="E337" i="5"/>
  <c r="E329" i="5"/>
  <c r="E321" i="5"/>
  <c r="E313" i="5"/>
  <c r="E305" i="5"/>
  <c r="E297" i="5"/>
  <c r="E289" i="5"/>
  <c r="E281" i="5"/>
  <c r="E273" i="5"/>
  <c r="E265" i="5"/>
  <c r="E257" i="5"/>
  <c r="E249" i="5"/>
  <c r="E241" i="5"/>
  <c r="E233" i="5"/>
  <c r="E225" i="5"/>
  <c r="E217" i="5"/>
  <c r="E209" i="5"/>
  <c r="E201" i="5"/>
  <c r="E193" i="5"/>
  <c r="E185" i="5"/>
  <c r="E177" i="5"/>
  <c r="E169" i="5"/>
  <c r="E161" i="5"/>
  <c r="E153" i="5"/>
  <c r="E145" i="5"/>
  <c r="E137" i="5"/>
  <c r="E129" i="5"/>
  <c r="E121" i="5"/>
  <c r="E113" i="5"/>
  <c r="E105" i="5"/>
  <c r="E97" i="5"/>
  <c r="E89" i="5"/>
  <c r="E81" i="5"/>
  <c r="E73" i="5"/>
  <c r="E65" i="5"/>
  <c r="E57" i="5"/>
  <c r="E49" i="5"/>
  <c r="E41" i="5"/>
  <c r="E33" i="5"/>
  <c r="E25" i="5"/>
  <c r="E17" i="5"/>
  <c r="E9" i="5"/>
  <c r="E1" i="5"/>
  <c r="F232" i="4"/>
  <c r="F224" i="4"/>
  <c r="F216" i="4"/>
  <c r="F208" i="4"/>
  <c r="F200" i="4"/>
  <c r="F192" i="4"/>
  <c r="F184" i="4"/>
  <c r="F176" i="4"/>
  <c r="F168" i="4"/>
  <c r="F160" i="4"/>
  <c r="F152" i="4"/>
  <c r="F144" i="4"/>
  <c r="F136" i="4"/>
  <c r="F128" i="4"/>
  <c r="F120" i="4"/>
  <c r="F112" i="4"/>
  <c r="F104" i="4"/>
  <c r="F96" i="4"/>
  <c r="F88" i="4"/>
  <c r="F80" i="4"/>
  <c r="F72" i="4"/>
  <c r="F64" i="4"/>
  <c r="F56" i="4"/>
  <c r="F48" i="4"/>
  <c r="F40" i="4"/>
  <c r="F32" i="4"/>
  <c r="F24" i="4"/>
  <c r="F16" i="4"/>
  <c r="F8" i="4"/>
  <c r="F754" i="3"/>
  <c r="F746" i="3"/>
  <c r="F738" i="3"/>
  <c r="F730" i="3"/>
  <c r="F722" i="3"/>
  <c r="F714" i="3"/>
  <c r="F706" i="3"/>
  <c r="F698" i="3"/>
  <c r="F690" i="3"/>
  <c r="D77" i="8"/>
  <c r="D360" i="7"/>
  <c r="D232" i="7"/>
  <c r="E131" i="7"/>
  <c r="E67" i="7"/>
  <c r="E15" i="7"/>
  <c r="E990" i="6"/>
  <c r="D948" i="6"/>
  <c r="E905" i="6"/>
  <c r="E862" i="6"/>
  <c r="D820" i="6"/>
  <c r="D782" i="6"/>
  <c r="D750" i="6"/>
  <c r="D718" i="6"/>
  <c r="D686" i="6"/>
  <c r="D654" i="6"/>
  <c r="D622" i="6"/>
  <c r="D590" i="6"/>
  <c r="D558" i="6"/>
  <c r="D526" i="6"/>
  <c r="D494" i="6"/>
  <c r="D462" i="6"/>
  <c r="D430" i="6"/>
  <c r="D398" i="6"/>
  <c r="D366" i="6"/>
  <c r="D334" i="6"/>
  <c r="D302" i="6"/>
  <c r="D270" i="6"/>
  <c r="D238" i="6"/>
  <c r="D206" i="6"/>
  <c r="D174" i="6"/>
  <c r="D142" i="6"/>
  <c r="D110" i="6"/>
  <c r="D78" i="6"/>
  <c r="D46" i="6"/>
  <c r="D14" i="6"/>
  <c r="D379" i="5"/>
  <c r="D347" i="5"/>
  <c r="D315" i="5"/>
  <c r="D283" i="5"/>
  <c r="D251" i="5"/>
  <c r="D219" i="5"/>
  <c r="D187" i="5"/>
  <c r="D155" i="5"/>
  <c r="D123" i="5"/>
  <c r="D91" i="5"/>
  <c r="D59" i="5"/>
  <c r="D27" i="5"/>
  <c r="E234" i="4"/>
  <c r="E202" i="4"/>
  <c r="E170" i="4"/>
  <c r="E138" i="4"/>
  <c r="E106" i="4"/>
  <c r="E74" i="4"/>
  <c r="E44" i="4"/>
  <c r="E4" i="4"/>
  <c r="E726" i="3"/>
  <c r="E694" i="3"/>
  <c r="F677" i="3"/>
  <c r="F666" i="3"/>
  <c r="E656" i="3"/>
  <c r="F645" i="3"/>
  <c r="F634" i="3"/>
  <c r="E624" i="3"/>
  <c r="F613" i="3"/>
  <c r="F602" i="3"/>
  <c r="E592" i="3"/>
  <c r="F581" i="3"/>
  <c r="F570" i="3"/>
  <c r="E560" i="3"/>
  <c r="F549" i="3"/>
  <c r="F538" i="3"/>
  <c r="E528" i="3"/>
  <c r="F517" i="3"/>
  <c r="F506" i="3"/>
  <c r="F496" i="3"/>
  <c r="F488" i="3"/>
  <c r="F480" i="3"/>
  <c r="F472" i="3"/>
  <c r="F464" i="3"/>
  <c r="F456" i="3"/>
  <c r="F448" i="3"/>
  <c r="F440" i="3"/>
  <c r="F432" i="3"/>
  <c r="F424" i="3"/>
  <c r="F416" i="3"/>
  <c r="F408" i="3"/>
  <c r="F400" i="3"/>
  <c r="F392" i="3"/>
  <c r="F384" i="3"/>
  <c r="F376" i="3"/>
  <c r="F368" i="3"/>
  <c r="F360" i="3"/>
  <c r="F352" i="3"/>
  <c r="F344" i="3"/>
  <c r="F336" i="3"/>
  <c r="F328" i="3"/>
  <c r="F320" i="3"/>
  <c r="F312" i="3"/>
  <c r="F304" i="3"/>
  <c r="F296" i="3"/>
  <c r="F288" i="3"/>
  <c r="F280" i="3"/>
  <c r="F272" i="3"/>
  <c r="F264" i="3"/>
  <c r="F256" i="3"/>
  <c r="F248" i="3"/>
  <c r="F240" i="3"/>
  <c r="F232" i="3"/>
  <c r="F224" i="3"/>
  <c r="F216" i="3"/>
  <c r="F208" i="3"/>
  <c r="F200" i="3"/>
  <c r="F192" i="3"/>
  <c r="F184" i="3"/>
  <c r="F176" i="3"/>
  <c r="F168" i="3"/>
  <c r="F160" i="3"/>
  <c r="F152" i="3"/>
  <c r="F144" i="3"/>
  <c r="F136" i="3"/>
  <c r="F128" i="3"/>
  <c r="F120" i="3"/>
  <c r="F112" i="3"/>
  <c r="F104" i="3"/>
  <c r="F96" i="3"/>
  <c r="F88" i="3"/>
  <c r="F80" i="3"/>
  <c r="F72" i="3"/>
  <c r="F64" i="3"/>
  <c r="F56" i="3"/>
  <c r="F48" i="3"/>
  <c r="F40" i="3"/>
  <c r="F32" i="3"/>
  <c r="F24" i="3"/>
  <c r="F16" i="3"/>
  <c r="F8" i="3"/>
  <c r="F180" i="2"/>
  <c r="F172" i="2"/>
  <c r="F164" i="2"/>
  <c r="F156" i="2"/>
  <c r="F148" i="2"/>
  <c r="F140" i="2"/>
  <c r="F132" i="2"/>
  <c r="F124" i="2"/>
  <c r="F116" i="2"/>
  <c r="F108" i="2"/>
  <c r="F100" i="2"/>
  <c r="F92" i="2"/>
  <c r="F84" i="2"/>
  <c r="F76" i="2"/>
  <c r="F68" i="2"/>
  <c r="F60" i="2"/>
  <c r="F52" i="2"/>
  <c r="F44" i="2"/>
  <c r="F36" i="2"/>
  <c r="F28" i="2"/>
  <c r="F20" i="2"/>
  <c r="F12" i="2"/>
  <c r="F4" i="2"/>
  <c r="F53" i="1"/>
  <c r="E43" i="1"/>
  <c r="E32" i="1"/>
  <c r="F17" i="1"/>
  <c r="E5" i="1"/>
  <c r="E72" i="2"/>
  <c r="E56" i="2"/>
  <c r="E40" i="2"/>
  <c r="E28" i="2"/>
  <c r="E12" i="2"/>
  <c r="E53" i="1"/>
  <c r="F34" i="1"/>
  <c r="F9" i="1"/>
  <c r="E7" i="7"/>
  <c r="D940" i="6"/>
  <c r="E854" i="6"/>
  <c r="D768" i="6"/>
  <c r="D696" i="6"/>
  <c r="D592" i="6"/>
  <c r="D496" i="6"/>
  <c r="D400" i="6"/>
  <c r="D304" i="6"/>
  <c r="D200" i="6"/>
  <c r="D112" i="6"/>
  <c r="D8" i="6"/>
  <c r="D301" i="5"/>
  <c r="D221" i="5"/>
  <c r="D117" i="5"/>
  <c r="D21" i="5"/>
  <c r="E148" i="4"/>
  <c r="E46" i="4"/>
  <c r="E704" i="3"/>
  <c r="E662" i="3"/>
  <c r="F632" i="3"/>
  <c r="F603" i="3"/>
  <c r="E566" i="3"/>
  <c r="E542" i="3"/>
  <c r="F515" i="3"/>
  <c r="E487" i="3"/>
  <c r="E461" i="3"/>
  <c r="E437" i="3"/>
  <c r="E413" i="3"/>
  <c r="E393" i="3"/>
  <c r="E371" i="3"/>
  <c r="E345" i="3"/>
  <c r="E319" i="3"/>
  <c r="E297" i="3"/>
  <c r="E273" i="3"/>
  <c r="E251" i="3"/>
  <c r="E225" i="3"/>
  <c r="E201" i="3"/>
  <c r="E177" i="3"/>
  <c r="E157" i="3"/>
  <c r="E133" i="3"/>
  <c r="E113" i="3"/>
  <c r="E89" i="3"/>
  <c r="E67" i="3"/>
  <c r="E45" i="3"/>
  <c r="E23" i="3"/>
  <c r="E177" i="2"/>
  <c r="E157" i="2"/>
  <c r="E133" i="2"/>
  <c r="E109" i="2"/>
  <c r="E89" i="2"/>
  <c r="E65" i="2"/>
  <c r="E45" i="2"/>
  <c r="E23" i="2"/>
  <c r="E3" i="2"/>
  <c r="F29" i="1"/>
  <c r="D101" i="8"/>
  <c r="D384" i="7"/>
  <c r="D256" i="7"/>
  <c r="E143" i="7"/>
  <c r="E79" i="7"/>
  <c r="E23" i="7"/>
  <c r="E998" i="6"/>
  <c r="D956" i="6"/>
  <c r="E913" i="6"/>
  <c r="E870" i="6"/>
  <c r="D828" i="6"/>
  <c r="D788" i="6"/>
  <c r="D756" i="6"/>
  <c r="D724" i="6"/>
  <c r="D692" i="6"/>
  <c r="D660" i="6"/>
  <c r="D628" i="6"/>
  <c r="D596" i="6"/>
  <c r="D564" i="6"/>
  <c r="D532" i="6"/>
  <c r="D500" i="6"/>
  <c r="D468" i="6"/>
  <c r="D436" i="6"/>
  <c r="D404" i="6"/>
  <c r="D372" i="6"/>
  <c r="D340" i="6"/>
  <c r="D308" i="6"/>
  <c r="D276" i="6"/>
  <c r="D244" i="6"/>
  <c r="D212" i="6"/>
  <c r="D180" i="6"/>
  <c r="D148" i="6"/>
  <c r="D116" i="6"/>
  <c r="D84" i="6"/>
  <c r="D52" i="6"/>
  <c r="D20" i="6"/>
  <c r="D385" i="5"/>
  <c r="D353" i="5"/>
  <c r="D321" i="5"/>
  <c r="D289" i="5"/>
  <c r="D257" i="5"/>
  <c r="D225" i="5"/>
  <c r="D193" i="5"/>
  <c r="D161" i="5"/>
  <c r="D129" i="5"/>
  <c r="D97" i="5"/>
  <c r="D65" i="5"/>
  <c r="D33" i="5"/>
  <c r="D1" i="5"/>
  <c r="E208" i="4"/>
  <c r="E176" i="4"/>
  <c r="E144" i="4"/>
  <c r="E112" i="4"/>
  <c r="E80" i="4"/>
  <c r="E50" i="4"/>
  <c r="E22" i="4"/>
  <c r="E748" i="3"/>
  <c r="E716" i="3"/>
  <c r="F684" i="3"/>
  <c r="E674" i="3"/>
  <c r="F663" i="3"/>
  <c r="F652" i="3"/>
  <c r="E642" i="3"/>
  <c r="F631" i="3"/>
  <c r="F620" i="3"/>
  <c r="E610" i="3"/>
  <c r="F599" i="3"/>
  <c r="F588" i="3"/>
  <c r="E578" i="3"/>
  <c r="F567" i="3"/>
  <c r="F556" i="3"/>
  <c r="E546" i="3"/>
  <c r="F535" i="3"/>
  <c r="F524" i="3"/>
  <c r="E514" i="3"/>
  <c r="F503" i="3"/>
  <c r="E494" i="3"/>
  <c r="E486" i="3"/>
  <c r="E478" i="3"/>
  <c r="E470" i="3"/>
  <c r="E462" i="3"/>
  <c r="E454" i="3"/>
  <c r="E446" i="3"/>
  <c r="E438" i="3"/>
  <c r="E430" i="3"/>
  <c r="E422" i="3"/>
  <c r="E414" i="3"/>
  <c r="E406" i="3"/>
  <c r="E398" i="3"/>
  <c r="E390" i="3"/>
  <c r="E382" i="3"/>
  <c r="E374" i="3"/>
  <c r="E366" i="3"/>
  <c r="E358" i="3"/>
  <c r="E350" i="3"/>
  <c r="E342" i="3"/>
  <c r="E334" i="3"/>
  <c r="E326" i="3"/>
  <c r="E318" i="3"/>
  <c r="E310" i="3"/>
  <c r="E302" i="3"/>
  <c r="E294" i="3"/>
  <c r="E286" i="3"/>
  <c r="E278" i="3"/>
  <c r="E270" i="3"/>
  <c r="E262" i="3"/>
  <c r="E254" i="3"/>
  <c r="E246" i="3"/>
  <c r="E238" i="3"/>
  <c r="E230" i="3"/>
  <c r="E222" i="3"/>
  <c r="E214" i="3"/>
  <c r="E206" i="3"/>
  <c r="E198" i="3"/>
  <c r="E190" i="3"/>
  <c r="E182" i="3"/>
  <c r="E174" i="3"/>
  <c r="E166" i="3"/>
  <c r="E158" i="3"/>
  <c r="E150" i="3"/>
  <c r="E142" i="3"/>
  <c r="E134" i="3"/>
  <c r="E126" i="3"/>
  <c r="E118" i="3"/>
  <c r="E110" i="3"/>
  <c r="E102" i="3"/>
  <c r="E94" i="3"/>
  <c r="E86" i="3"/>
  <c r="E78" i="3"/>
  <c r="E70" i="3"/>
  <c r="E62" i="3"/>
  <c r="E54" i="3"/>
  <c r="E46" i="3"/>
  <c r="E38" i="3"/>
  <c r="E30" i="3"/>
  <c r="E22" i="3"/>
  <c r="E14" i="3"/>
  <c r="E6" i="3"/>
  <c r="E178" i="2"/>
  <c r="E170" i="2"/>
  <c r="E162" i="2"/>
  <c r="E154" i="2"/>
  <c r="E146" i="2"/>
  <c r="E138" i="2"/>
  <c r="E130" i="2"/>
  <c r="E122" i="2"/>
  <c r="E114" i="2"/>
  <c r="E106" i="2"/>
  <c r="E98" i="2"/>
  <c r="E90" i="2"/>
  <c r="E78" i="2"/>
  <c r="E62" i="2"/>
  <c r="E46" i="2"/>
  <c r="E26" i="2"/>
  <c r="E8" i="2"/>
  <c r="E51" i="1"/>
  <c r="F20" i="1"/>
  <c r="D776" i="6"/>
  <c r="D632" i="6"/>
  <c r="D544" i="6"/>
  <c r="D432" i="6"/>
  <c r="D336" i="6"/>
  <c r="D232" i="6"/>
  <c r="D128" i="6"/>
  <c r="D40" i="6"/>
  <c r="D341" i="5"/>
  <c r="D229" i="5"/>
  <c r="D125" i="5"/>
  <c r="D29" i="5"/>
  <c r="E180" i="4"/>
  <c r="E84" i="4"/>
  <c r="E744" i="3"/>
  <c r="F672" i="3"/>
  <c r="F635" i="3"/>
  <c r="F600" i="3"/>
  <c r="F568" i="3"/>
  <c r="E526" i="3"/>
  <c r="E497" i="3"/>
  <c r="E471" i="3"/>
  <c r="E445" i="3"/>
  <c r="E421" i="3"/>
  <c r="E397" i="3"/>
  <c r="E373" i="3"/>
  <c r="E349" i="3"/>
  <c r="E329" i="3"/>
  <c r="E303" i="3"/>
  <c r="E277" i="3"/>
  <c r="E253" i="3"/>
  <c r="E227" i="3"/>
  <c r="E205" i="3"/>
  <c r="E179" i="3"/>
  <c r="E155" i="3"/>
  <c r="E131" i="3"/>
  <c r="E105" i="3"/>
  <c r="E77" i="3"/>
  <c r="E51" i="3"/>
  <c r="E25" i="3"/>
  <c r="E179" i="2"/>
  <c r="E153" i="2"/>
  <c r="E129" i="2"/>
  <c r="E105" i="2"/>
  <c r="E79" i="2"/>
  <c r="E53" i="2"/>
  <c r="E27" i="2"/>
  <c r="E58" i="1"/>
  <c r="F25" i="1"/>
  <c r="D61" i="8"/>
  <c r="D344" i="7"/>
  <c r="D216" i="7"/>
  <c r="E123" i="7"/>
  <c r="E59" i="7"/>
  <c r="D10" i="7"/>
  <c r="E985" i="6"/>
  <c r="E942" i="6"/>
  <c r="D900" i="6"/>
  <c r="E857" i="6"/>
  <c r="E814" i="6"/>
  <c r="D778" i="6"/>
  <c r="D746" i="6"/>
  <c r="D714" i="6"/>
  <c r="D682" i="6"/>
  <c r="D650" i="6"/>
  <c r="D618" i="6"/>
  <c r="D586" i="6"/>
  <c r="D554" i="6"/>
  <c r="D522" i="6"/>
  <c r="D490" i="6"/>
  <c r="D458" i="6"/>
  <c r="D426" i="6"/>
  <c r="D394" i="6"/>
  <c r="D362" i="6"/>
  <c r="D330" i="6"/>
  <c r="D298" i="6"/>
  <c r="D266" i="6"/>
  <c r="D234" i="6"/>
  <c r="D202" i="6"/>
  <c r="D170" i="6"/>
  <c r="D138" i="6"/>
  <c r="D106" i="6"/>
  <c r="D74" i="6"/>
  <c r="D42" i="6"/>
  <c r="D10" i="6"/>
  <c r="D375" i="5"/>
  <c r="D343" i="5"/>
  <c r="D311" i="5"/>
  <c r="D279" i="5"/>
  <c r="D247" i="5"/>
  <c r="D215" i="5"/>
  <c r="D183" i="5"/>
  <c r="D151" i="5"/>
  <c r="D119" i="5"/>
  <c r="D87" i="5"/>
  <c r="D55" i="5"/>
  <c r="D23" i="5"/>
  <c r="E230" i="4"/>
  <c r="E198" i="4"/>
  <c r="E166" i="4"/>
  <c r="E134" i="4"/>
  <c r="E102" i="4"/>
  <c r="E70" i="4"/>
  <c r="E34" i="4"/>
  <c r="E754" i="3"/>
  <c r="E722" i="3"/>
  <c r="E690" i="3"/>
  <c r="E676" i="3"/>
  <c r="F665" i="3"/>
  <c r="F654" i="3"/>
  <c r="E644" i="3"/>
  <c r="F633" i="3"/>
  <c r="F622" i="3"/>
  <c r="E612" i="3"/>
  <c r="F601" i="3"/>
  <c r="F590" i="3"/>
  <c r="E580" i="3"/>
  <c r="F569" i="3"/>
  <c r="F558" i="3"/>
  <c r="E548" i="3"/>
  <c r="F537" i="3"/>
  <c r="F526" i="3"/>
  <c r="E516" i="3"/>
  <c r="F505" i="3"/>
  <c r="F495" i="3"/>
  <c r="F487" i="3"/>
  <c r="F479" i="3"/>
  <c r="F471" i="3"/>
  <c r="F463" i="3"/>
  <c r="F455" i="3"/>
  <c r="F447" i="3"/>
  <c r="F439" i="3"/>
  <c r="F431" i="3"/>
  <c r="F423" i="3"/>
  <c r="F415" i="3"/>
  <c r="F407" i="3"/>
  <c r="F399" i="3"/>
  <c r="F391" i="3"/>
  <c r="F383" i="3"/>
  <c r="F375" i="3"/>
  <c r="F367" i="3"/>
  <c r="F359" i="3"/>
  <c r="F351" i="3"/>
  <c r="F343" i="3"/>
  <c r="F335" i="3"/>
  <c r="F327" i="3"/>
  <c r="F319" i="3"/>
  <c r="F311" i="3"/>
  <c r="F303" i="3"/>
  <c r="F295" i="3"/>
  <c r="F287" i="3"/>
  <c r="F279" i="3"/>
  <c r="F271" i="3"/>
  <c r="F263" i="3"/>
  <c r="F255" i="3"/>
  <c r="F247" i="3"/>
  <c r="F239" i="3"/>
  <c r="F231" i="3"/>
  <c r="F223" i="3"/>
  <c r="F215" i="3"/>
  <c r="F207" i="3"/>
  <c r="F199" i="3"/>
  <c r="F191" i="3"/>
  <c r="F183" i="3"/>
  <c r="F175" i="3"/>
  <c r="F167" i="3"/>
  <c r="F159" i="3"/>
  <c r="F151" i="3"/>
  <c r="F143" i="3"/>
  <c r="F135" i="3"/>
  <c r="F127" i="3"/>
  <c r="F119" i="3"/>
  <c r="F111" i="3"/>
  <c r="F103" i="3"/>
  <c r="F95" i="3"/>
  <c r="F87" i="3"/>
  <c r="F79" i="3"/>
  <c r="F71" i="3"/>
  <c r="F63" i="3"/>
  <c r="F55" i="3"/>
  <c r="F47" i="3"/>
  <c r="F39" i="3"/>
  <c r="F31" i="3"/>
  <c r="F23" i="3"/>
  <c r="F15" i="3"/>
  <c r="F7" i="3"/>
  <c r="F179" i="2"/>
  <c r="F171" i="2"/>
  <c r="F163" i="2"/>
  <c r="F155" i="2"/>
  <c r="F147" i="2"/>
  <c r="F139" i="2"/>
  <c r="F131" i="2"/>
  <c r="F123" i="2"/>
  <c r="F115" i="2"/>
  <c r="F107" i="2"/>
  <c r="F99" i="2"/>
  <c r="F91" i="2"/>
  <c r="F83" i="2"/>
  <c r="F75" i="2"/>
  <c r="F67" i="2"/>
  <c r="F59" i="2"/>
  <c r="F51" i="2"/>
  <c r="F43" i="2"/>
  <c r="F35" i="2"/>
  <c r="F27" i="2"/>
  <c r="F19" i="2"/>
  <c r="F11" i="2"/>
  <c r="F3" i="2"/>
  <c r="F52" i="1"/>
  <c r="E42" i="1"/>
  <c r="F30" i="1"/>
  <c r="F15" i="1"/>
  <c r="F3" i="1"/>
  <c r="D336" i="7"/>
  <c r="D208" i="7"/>
  <c r="E119" i="7"/>
  <c r="E55" i="7"/>
  <c r="E993" i="6"/>
  <c r="D908" i="6"/>
  <c r="E822" i="6"/>
  <c r="D744" i="6"/>
  <c r="D664" i="6"/>
  <c r="D576" i="6"/>
  <c r="D488" i="6"/>
  <c r="D392" i="6"/>
  <c r="D296" i="6"/>
  <c r="D208" i="6"/>
  <c r="D120" i="6"/>
  <c r="D24" i="6"/>
  <c r="D333" i="5"/>
  <c r="D245" i="5"/>
  <c r="D157" i="5"/>
  <c r="D61" i="5"/>
  <c r="E212" i="4"/>
  <c r="E124" i="4"/>
  <c r="E20" i="4"/>
  <c r="E688" i="3"/>
  <c r="F651" i="3"/>
  <c r="E622" i="3"/>
  <c r="E590" i="3"/>
  <c r="F563" i="3"/>
  <c r="F531" i="3"/>
  <c r="E495" i="3"/>
  <c r="E473" i="3"/>
  <c r="E451" i="3"/>
  <c r="E429" i="3"/>
  <c r="E401" i="3"/>
  <c r="E375" i="3"/>
  <c r="E353" i="3"/>
  <c r="E325" i="3"/>
  <c r="E305" i="3"/>
  <c r="E279" i="3"/>
  <c r="E255" i="3"/>
  <c r="E233" i="3"/>
  <c r="E209" i="3"/>
  <c r="E185" i="3"/>
  <c r="E159" i="3"/>
  <c r="E135" i="3"/>
  <c r="E109" i="3"/>
  <c r="E87" i="3"/>
  <c r="E65" i="3"/>
  <c r="E41" i="3"/>
  <c r="E15" i="3"/>
  <c r="E173" i="2"/>
  <c r="E149" i="2"/>
  <c r="E125" i="2"/>
  <c r="E101" i="2"/>
  <c r="E75" i="2"/>
  <c r="E51" i="2"/>
  <c r="E25" i="2"/>
  <c r="E56" i="1"/>
  <c r="F18" i="1"/>
  <c r="E293" i="5"/>
  <c r="E277" i="5"/>
  <c r="E261" i="5"/>
  <c r="E245" i="5"/>
  <c r="E229" i="5"/>
  <c r="E213" i="5"/>
  <c r="E197" i="5"/>
  <c r="E181" i="5"/>
  <c r="E165" i="5"/>
  <c r="E149" i="5"/>
  <c r="E133" i="5"/>
  <c r="E117" i="5"/>
  <c r="E101" i="5"/>
  <c r="E85" i="5"/>
  <c r="E69" i="5"/>
  <c r="E53" i="5"/>
  <c r="E37" i="5"/>
  <c r="E21" i="5"/>
  <c r="E5" i="5"/>
  <c r="F236" i="4"/>
  <c r="F220" i="4"/>
  <c r="F204" i="4"/>
  <c r="F188" i="4"/>
  <c r="F172" i="4"/>
  <c r="F156" i="4"/>
  <c r="F140" i="4"/>
  <c r="F124" i="4"/>
  <c r="F116" i="4"/>
  <c r="F100" i="4"/>
  <c r="F84" i="4"/>
  <c r="F68" i="4"/>
  <c r="F52" i="4"/>
  <c r="F36" i="4"/>
  <c r="F20" i="4"/>
  <c r="F4" i="4"/>
  <c r="F742" i="3"/>
  <c r="F726" i="3"/>
  <c r="F710" i="3"/>
  <c r="F694" i="3"/>
  <c r="D13" i="8"/>
  <c r="D168" i="7"/>
  <c r="E36" i="7"/>
  <c r="E969" i="6"/>
  <c r="D884" i="6"/>
  <c r="E798" i="6"/>
  <c r="D734" i="6"/>
  <c r="D670" i="6"/>
  <c r="D606" i="6"/>
  <c r="D510" i="6"/>
  <c r="D446" i="6"/>
  <c r="D414" i="6"/>
  <c r="D350" i="6"/>
  <c r="D286" i="6"/>
  <c r="D222" i="6"/>
  <c r="D158" i="6"/>
  <c r="D94" i="6"/>
  <c r="D30" i="6"/>
  <c r="D363" i="5"/>
  <c r="D299" i="5"/>
  <c r="D235" i="5"/>
  <c r="D171" i="5"/>
  <c r="D107" i="5"/>
  <c r="D43" i="5"/>
  <c r="E218" i="4"/>
  <c r="E154" i="4"/>
  <c r="E90" i="4"/>
  <c r="E24" i="4"/>
  <c r="E710" i="3"/>
  <c r="F661" i="3"/>
  <c r="E640" i="3"/>
  <c r="E608" i="3"/>
  <c r="F586" i="3"/>
  <c r="F565" i="3"/>
  <c r="E544" i="3"/>
  <c r="F522" i="3"/>
  <c r="F501" i="3"/>
  <c r="F484" i="3"/>
  <c r="F468" i="3"/>
  <c r="F444" i="3"/>
  <c r="F428" i="3"/>
  <c r="F412" i="3"/>
  <c r="F396" i="3"/>
  <c r="F380" i="3"/>
  <c r="F364" i="3"/>
  <c r="F348" i="3"/>
  <c r="F332" i="3"/>
  <c r="F324" i="3"/>
  <c r="F308" i="3"/>
  <c r="F292" i="3"/>
  <c r="F276" i="3"/>
  <c r="F260" i="3"/>
  <c r="F244" i="3"/>
  <c r="F228" i="3"/>
  <c r="F212" i="3"/>
  <c r="F196" i="3"/>
  <c r="F180" i="3"/>
  <c r="F172" i="3"/>
  <c r="F156" i="3"/>
  <c r="F140" i="3"/>
  <c r="F124" i="3"/>
  <c r="F108" i="3"/>
  <c r="F92" i="3"/>
  <c r="F68" i="3"/>
  <c r="F52" i="3"/>
  <c r="F36" i="3"/>
  <c r="F12" i="3"/>
  <c r="F176" i="2"/>
  <c r="F160" i="2"/>
  <c r="F144" i="2"/>
  <c r="F128" i="2"/>
  <c r="F112" i="2"/>
  <c r="F96" i="2"/>
  <c r="F80" i="2"/>
  <c r="F72" i="2"/>
  <c r="F56" i="2"/>
  <c r="F32" i="2"/>
  <c r="F24" i="2"/>
  <c r="F8" i="2"/>
  <c r="F49" i="1"/>
  <c r="E25" i="1"/>
  <c r="E80" i="2"/>
  <c r="E64" i="2"/>
  <c r="E34" i="2"/>
  <c r="E4" i="2"/>
  <c r="F24" i="1"/>
  <c r="E982" i="6"/>
  <c r="D812" i="6"/>
  <c r="D640" i="6"/>
  <c r="D448" i="6"/>
  <c r="D248" i="6"/>
  <c r="D64" i="6"/>
  <c r="D261" i="5"/>
  <c r="D69" i="5"/>
  <c r="E92" i="4"/>
  <c r="E678" i="3"/>
  <c r="E614" i="3"/>
  <c r="F552" i="3"/>
  <c r="F499" i="3"/>
  <c r="E449" i="3"/>
  <c r="E405" i="3"/>
  <c r="E383" i="3"/>
  <c r="E333" i="3"/>
  <c r="E285" i="3"/>
  <c r="E237" i="3"/>
  <c r="E189" i="3"/>
  <c r="E165" i="3"/>
  <c r="E123" i="3"/>
  <c r="E53" i="3"/>
  <c r="E13" i="3"/>
  <c r="E145" i="2"/>
  <c r="E97" i="2"/>
  <c r="E77" i="2"/>
  <c r="E13" i="2"/>
  <c r="E50" i="1"/>
  <c r="D37" i="8"/>
  <c r="D192" i="7"/>
  <c r="D2" i="7"/>
  <c r="E934" i="6"/>
  <c r="E849" i="6"/>
  <c r="D772" i="6"/>
  <c r="D708" i="6"/>
  <c r="D612" i="6"/>
  <c r="D548" i="6"/>
  <c r="D484" i="6"/>
  <c r="D420" i="6"/>
  <c r="D356" i="6"/>
  <c r="D292" i="6"/>
  <c r="D228" i="6"/>
  <c r="D164" i="6"/>
  <c r="D100" i="6"/>
  <c r="D68" i="6"/>
  <c r="D4" i="6"/>
  <c r="D337" i="5"/>
  <c r="D241" i="5"/>
  <c r="D177" i="5"/>
  <c r="D113" i="5"/>
  <c r="D49" i="5"/>
  <c r="D17" i="5"/>
  <c r="E192" i="4"/>
  <c r="E128" i="4"/>
  <c r="E64" i="4"/>
  <c r="E10" i="4"/>
  <c r="E700" i="3"/>
  <c r="F668" i="3"/>
  <c r="F647" i="3"/>
  <c r="E626" i="3"/>
  <c r="F604" i="3"/>
  <c r="F583" i="3"/>
  <c r="E562" i="3"/>
  <c r="F540" i="3"/>
  <c r="F519" i="3"/>
  <c r="E498" i="3"/>
  <c r="E482" i="3"/>
  <c r="E466" i="3"/>
  <c r="E450" i="3"/>
  <c r="E434" i="3"/>
  <c r="E418" i="3"/>
  <c r="E402" i="3"/>
  <c r="E386" i="3"/>
  <c r="E370" i="3"/>
  <c r="E354" i="3"/>
  <c r="E338" i="3"/>
  <c r="E322" i="3"/>
  <c r="E306" i="3"/>
  <c r="E290" i="3"/>
  <c r="E274" i="3"/>
  <c r="E258" i="3"/>
  <c r="E234" i="3"/>
  <c r="E218" i="3"/>
  <c r="E202" i="3"/>
  <c r="E186" i="3"/>
  <c r="E170" i="3"/>
  <c r="E154" i="3"/>
  <c r="E146" i="3"/>
  <c r="E130" i="3"/>
  <c r="E114" i="3"/>
  <c r="E98" i="3"/>
  <c r="E82" i="3"/>
  <c r="E66" i="3"/>
  <c r="E50" i="3"/>
  <c r="E34" i="3"/>
  <c r="E10" i="3"/>
  <c r="E174" i="2"/>
  <c r="E158" i="2"/>
  <c r="E134" i="2"/>
  <c r="E126" i="2"/>
  <c r="E110" i="2"/>
  <c r="E94" i="2"/>
  <c r="E70" i="2"/>
  <c r="E18" i="2"/>
  <c r="F39" i="1"/>
  <c r="D688" i="6"/>
  <c r="D480" i="6"/>
  <c r="D288" i="6"/>
  <c r="D80" i="6"/>
  <c r="D277" i="5"/>
  <c r="D77" i="5"/>
  <c r="E132" i="4"/>
  <c r="E696" i="3"/>
  <c r="F659" i="3"/>
  <c r="F587" i="3"/>
  <c r="E510" i="3"/>
  <c r="E459" i="3"/>
  <c r="E433" i="3"/>
  <c r="E361" i="3"/>
  <c r="E315" i="3"/>
  <c r="E265" i="3"/>
  <c r="E217" i="3"/>
  <c r="E169" i="3"/>
  <c r="E117" i="3"/>
  <c r="E91" i="3"/>
  <c r="E37" i="3"/>
  <c r="E165" i="2"/>
  <c r="E117" i="2"/>
  <c r="E69" i="2"/>
  <c r="E15" i="2"/>
  <c r="E3" i="1"/>
  <c r="D280" i="7"/>
  <c r="E91" i="7"/>
  <c r="E1006" i="6"/>
  <c r="E878" i="6"/>
  <c r="D794" i="6"/>
  <c r="D730" i="6"/>
  <c r="D666" i="6"/>
  <c r="D570" i="6"/>
  <c r="D506" i="6"/>
  <c r="D442" i="6"/>
  <c r="D378" i="6"/>
  <c r="D314" i="6"/>
  <c r="D250" i="6"/>
  <c r="D186" i="6"/>
  <c r="D122" i="6"/>
  <c r="D58" i="6"/>
  <c r="D391" i="5"/>
  <c r="D327" i="5"/>
  <c r="D263" i="5"/>
  <c r="D199" i="5"/>
  <c r="D135" i="5"/>
  <c r="D71" i="5"/>
  <c r="D7" i="5"/>
  <c r="E182" i="4"/>
  <c r="E86" i="4"/>
  <c r="E54" i="4"/>
  <c r="E738" i="3"/>
  <c r="F681" i="3"/>
  <c r="E660" i="3"/>
  <c r="F638" i="3"/>
  <c r="E628" i="3"/>
  <c r="F606" i="3"/>
  <c r="F371" i="3"/>
  <c r="F315" i="3"/>
  <c r="F291" i="3"/>
  <c r="F275" i="3"/>
  <c r="F259" i="3"/>
  <c r="F243" i="3"/>
  <c r="F227" i="3"/>
  <c r="F203" i="3"/>
  <c r="F187" i="3"/>
  <c r="F171" i="3"/>
  <c r="F147" i="3"/>
  <c r="F131" i="3"/>
  <c r="F115" i="3"/>
  <c r="F99" i="3"/>
  <c r="F83" i="3"/>
  <c r="F59" i="3"/>
  <c r="F43" i="3"/>
  <c r="F27" i="3"/>
  <c r="F11" i="3"/>
  <c r="F175" i="2"/>
  <c r="F151" i="2"/>
  <c r="F135" i="2"/>
  <c r="F119" i="2"/>
  <c r="F103" i="2"/>
  <c r="F79" i="2"/>
  <c r="F55" i="2"/>
  <c r="F39" i="2"/>
  <c r="F23" i="2"/>
  <c r="F7" i="2"/>
  <c r="E48" i="1"/>
  <c r="E9" i="1"/>
  <c r="D272" i="7"/>
  <c r="E87" i="7"/>
  <c r="E950" i="6"/>
  <c r="D784" i="6"/>
  <c r="D616" i="6"/>
  <c r="D440" i="6"/>
  <c r="D264" i="6"/>
  <c r="D72" i="6"/>
  <c r="D293" i="5"/>
  <c r="D109" i="5"/>
  <c r="E76" i="4"/>
  <c r="E736" i="3"/>
  <c r="F640" i="3"/>
  <c r="E606" i="3"/>
  <c r="F544" i="3"/>
  <c r="F512" i="3"/>
  <c r="E463" i="3"/>
  <c r="E415" i="3"/>
  <c r="E363" i="3"/>
  <c r="E317" i="3"/>
  <c r="E269" i="3"/>
  <c r="E223" i="3"/>
  <c r="E173" i="3"/>
  <c r="E121" i="3"/>
  <c r="E75" i="3"/>
  <c r="E27" i="3"/>
  <c r="E161" i="2"/>
  <c r="E115" i="2"/>
  <c r="E37" i="2"/>
  <c r="F41" i="1"/>
  <c r="E32" i="7"/>
  <c r="E461" i="13"/>
  <c r="E333" i="13"/>
  <c r="E205" i="13"/>
  <c r="E77" i="13"/>
  <c r="E563" i="12"/>
  <c r="E435" i="12"/>
  <c r="E307" i="12"/>
  <c r="E446" i="14"/>
  <c r="D248" i="14"/>
  <c r="D120" i="14"/>
  <c r="D1041" i="13"/>
  <c r="D913" i="13"/>
  <c r="D785" i="13"/>
  <c r="D657" i="13"/>
  <c r="D529" i="13"/>
  <c r="D401" i="13"/>
  <c r="D273" i="13"/>
  <c r="D145" i="13"/>
  <c r="D17" i="13"/>
  <c r="D503" i="12"/>
  <c r="D375" i="12"/>
  <c r="D247" i="12"/>
  <c r="D119" i="12"/>
  <c r="E441" i="14"/>
  <c r="E245" i="14"/>
  <c r="E117" i="14"/>
  <c r="E1038" i="13"/>
  <c r="E910" i="13"/>
  <c r="E782" i="13"/>
  <c r="E654" i="13"/>
  <c r="E526" i="13"/>
  <c r="E398" i="13"/>
  <c r="E270" i="13"/>
  <c r="E142" i="13"/>
  <c r="E14" i="13"/>
  <c r="E538" i="12"/>
  <c r="E474" i="12"/>
  <c r="E410" i="12"/>
  <c r="E346" i="12"/>
  <c r="E282" i="12"/>
  <c r="E218" i="12"/>
  <c r="E102" i="12"/>
  <c r="D4" i="12"/>
  <c r="D686" i="11"/>
  <c r="D622" i="11"/>
  <c r="D558" i="11"/>
  <c r="D494" i="11"/>
  <c r="D430" i="11"/>
  <c r="D366" i="11"/>
  <c r="D302" i="11"/>
  <c r="D238" i="11"/>
  <c r="D174" i="11"/>
  <c r="D110" i="11"/>
  <c r="D46" i="11"/>
  <c r="D203" i="9"/>
  <c r="D139" i="9"/>
  <c r="D75" i="9"/>
  <c r="D11" i="9"/>
  <c r="D531" i="8"/>
  <c r="D467" i="8"/>
  <c r="D403" i="8"/>
  <c r="D339" i="8"/>
  <c r="D275" i="8"/>
  <c r="D211" i="8"/>
  <c r="D147" i="8"/>
  <c r="E149" i="12"/>
  <c r="E27" i="12"/>
  <c r="E709" i="11"/>
  <c r="E645" i="11"/>
  <c r="E581" i="11"/>
  <c r="E517" i="11"/>
  <c r="E453" i="11"/>
  <c r="E389" i="11"/>
  <c r="E325" i="11"/>
  <c r="E261" i="11"/>
  <c r="E197" i="11"/>
  <c r="E133" i="11"/>
  <c r="E69" i="11"/>
  <c r="E35" i="11"/>
  <c r="E3" i="11"/>
  <c r="E192" i="9"/>
  <c r="E160" i="9"/>
  <c r="E128" i="9"/>
  <c r="E96" i="9"/>
  <c r="E64" i="9"/>
  <c r="E32" i="9"/>
  <c r="D594" i="8"/>
  <c r="E552" i="8"/>
  <c r="E520" i="8"/>
  <c r="E488" i="8"/>
  <c r="E456" i="8"/>
  <c r="E424" i="8"/>
  <c r="E392" i="8"/>
  <c r="E360" i="8"/>
  <c r="E328" i="8"/>
  <c r="E296" i="8"/>
  <c r="E264" i="8"/>
  <c r="E232" i="8"/>
  <c r="E200" i="8"/>
  <c r="E168" i="8"/>
  <c r="E136" i="8"/>
  <c r="E104" i="8"/>
  <c r="E72" i="8"/>
  <c r="E40" i="8"/>
  <c r="E8" i="8"/>
  <c r="E387" i="7"/>
  <c r="E355" i="7"/>
  <c r="E323" i="7"/>
  <c r="E291" i="7"/>
  <c r="E259" i="7"/>
  <c r="E227" i="7"/>
  <c r="E195" i="7"/>
  <c r="E163" i="7"/>
  <c r="E160" i="12"/>
  <c r="E96" i="12"/>
  <c r="E33" i="12"/>
  <c r="D1" i="12"/>
  <c r="D715" i="11"/>
  <c r="D683" i="11"/>
  <c r="D651" i="11"/>
  <c r="D619" i="11"/>
  <c r="D587" i="11"/>
  <c r="D555" i="11"/>
  <c r="D523" i="11"/>
  <c r="D491" i="11"/>
  <c r="D459" i="11"/>
  <c r="D427" i="11"/>
  <c r="D395" i="11"/>
  <c r="D363" i="11"/>
  <c r="D331" i="11"/>
  <c r="D299" i="11"/>
  <c r="D267" i="11"/>
  <c r="D235" i="11"/>
  <c r="D203" i="11"/>
  <c r="D171" i="11"/>
  <c r="D139" i="11"/>
  <c r="D107" i="11"/>
  <c r="D75" i="11"/>
  <c r="D43" i="11"/>
  <c r="D11" i="11"/>
  <c r="D200" i="9"/>
  <c r="D168" i="9"/>
  <c r="D136" i="9"/>
  <c r="D104" i="9"/>
  <c r="D72" i="9"/>
  <c r="D40" i="9"/>
  <c r="D8" i="9"/>
  <c r="D560" i="8"/>
  <c r="D528" i="8"/>
  <c r="D496" i="8"/>
  <c r="D464" i="8"/>
  <c r="D432" i="8"/>
  <c r="D400" i="8"/>
  <c r="D368" i="8"/>
  <c r="D336" i="8"/>
  <c r="D304" i="8"/>
  <c r="D272" i="8"/>
  <c r="D240" i="8"/>
  <c r="D208" i="8"/>
  <c r="D176" i="8"/>
  <c r="D144" i="8"/>
  <c r="D112" i="8"/>
  <c r="D80" i="8"/>
  <c r="D48" i="8"/>
  <c r="D16" i="8"/>
  <c r="D395" i="7"/>
  <c r="D363" i="7"/>
  <c r="D331" i="7"/>
  <c r="D299" i="7"/>
  <c r="D267" i="7"/>
  <c r="D235" i="7"/>
  <c r="D203" i="7"/>
  <c r="D171" i="7"/>
  <c r="D139" i="7"/>
  <c r="D107" i="7"/>
  <c r="D75" i="7"/>
  <c r="D43" i="7"/>
  <c r="D11" i="7"/>
  <c r="D997" i="6"/>
  <c r="D965" i="6"/>
  <c r="D933" i="6"/>
  <c r="D901" i="6"/>
  <c r="D869" i="6"/>
  <c r="D837" i="6"/>
  <c r="D805" i="6"/>
  <c r="E167" i="12"/>
  <c r="E103" i="12"/>
  <c r="E39" i="12"/>
  <c r="E4" i="12"/>
  <c r="E718" i="11"/>
  <c r="E686" i="11"/>
  <c r="E654" i="11"/>
  <c r="E622" i="11"/>
  <c r="E590" i="11"/>
  <c r="E558" i="11"/>
  <c r="E526" i="11"/>
  <c r="E494" i="11"/>
  <c r="E462" i="11"/>
  <c r="E430" i="11"/>
  <c r="E398" i="11"/>
  <c r="E366" i="11"/>
  <c r="E334" i="11"/>
  <c r="E302" i="11"/>
  <c r="E270" i="11"/>
  <c r="E238" i="11"/>
  <c r="E206" i="11"/>
  <c r="E174" i="11"/>
  <c r="E142" i="11"/>
  <c r="E110" i="11"/>
  <c r="E78" i="11"/>
  <c r="E46" i="11"/>
  <c r="E14" i="11"/>
  <c r="E203" i="9"/>
  <c r="E171" i="9"/>
  <c r="E139" i="9"/>
  <c r="E107" i="9"/>
  <c r="E75" i="9"/>
  <c r="E43" i="9"/>
  <c r="E11" i="9"/>
  <c r="E563" i="8"/>
  <c r="E531" i="8"/>
  <c r="E499" i="8"/>
  <c r="E467" i="8"/>
  <c r="E435" i="8"/>
  <c r="E403" i="8"/>
  <c r="E371" i="8"/>
  <c r="E339" i="8"/>
  <c r="E307" i="8"/>
  <c r="E275" i="8"/>
  <c r="E243" i="8"/>
  <c r="E211" i="8"/>
  <c r="E179" i="8"/>
  <c r="E147" i="8"/>
  <c r="E115" i="8"/>
  <c r="E83" i="8"/>
  <c r="E51" i="8"/>
  <c r="E19" i="8"/>
  <c r="E398" i="7"/>
  <c r="E366" i="7"/>
  <c r="E334" i="7"/>
  <c r="E302" i="7"/>
  <c r="E270" i="7"/>
  <c r="E238" i="7"/>
  <c r="E206" i="7"/>
  <c r="E174" i="7"/>
  <c r="E142" i="7"/>
  <c r="E110" i="7"/>
  <c r="E78" i="7"/>
  <c r="E46" i="7"/>
  <c r="D19" i="8"/>
  <c r="D302" i="7"/>
  <c r="D174" i="7"/>
  <c r="D102" i="7"/>
  <c r="E38" i="7"/>
  <c r="D1014" i="6"/>
  <c r="E971" i="6"/>
  <c r="E939" i="6"/>
  <c r="D918" i="6"/>
  <c r="E896" i="6"/>
  <c r="E875" i="6"/>
  <c r="D854" i="6"/>
  <c r="E832" i="6"/>
  <c r="E811" i="6"/>
  <c r="E791" i="6"/>
  <c r="E775" i="6"/>
  <c r="E759" i="6"/>
  <c r="E743" i="6"/>
  <c r="E727" i="6"/>
  <c r="E711" i="6"/>
  <c r="E695" i="6"/>
  <c r="E679" i="6"/>
  <c r="E663" i="6"/>
  <c r="E647" i="6"/>
  <c r="E631" i="6"/>
  <c r="E615" i="6"/>
  <c r="E599" i="6"/>
  <c r="E583" i="6"/>
  <c r="E567" i="6"/>
  <c r="E551" i="6"/>
  <c r="E535" i="6"/>
  <c r="E519" i="6"/>
  <c r="E503" i="6"/>
  <c r="E487" i="6"/>
  <c r="E471" i="6"/>
  <c r="E455" i="6"/>
  <c r="E439" i="6"/>
  <c r="E429" i="6"/>
  <c r="E421" i="6"/>
  <c r="E413" i="6"/>
  <c r="E405" i="6"/>
  <c r="E397" i="6"/>
  <c r="E389" i="6"/>
  <c r="E381" i="6"/>
  <c r="E373" i="6"/>
  <c r="E365" i="6"/>
  <c r="E357" i="6"/>
  <c r="E349" i="6"/>
  <c r="E341" i="6"/>
  <c r="E333" i="6"/>
  <c r="E325" i="6"/>
  <c r="E317" i="6"/>
  <c r="E309" i="6"/>
  <c r="E301" i="6"/>
  <c r="E293" i="6"/>
  <c r="E285" i="6"/>
  <c r="E277" i="6"/>
  <c r="E269" i="6"/>
  <c r="E261" i="6"/>
  <c r="E253" i="6"/>
  <c r="E245" i="6"/>
  <c r="E237" i="6"/>
  <c r="E229" i="6"/>
  <c r="E221" i="6"/>
  <c r="E213" i="6"/>
  <c r="E205" i="6"/>
  <c r="E197" i="6"/>
  <c r="E189" i="6"/>
  <c r="E181" i="6"/>
  <c r="E173" i="6"/>
  <c r="E165" i="6"/>
  <c r="E157" i="6"/>
  <c r="E149" i="6"/>
  <c r="E141" i="6"/>
  <c r="E133" i="6"/>
  <c r="E125" i="6"/>
  <c r="E117" i="6"/>
  <c r="E109" i="6"/>
  <c r="E101" i="6"/>
  <c r="E93" i="6"/>
  <c r="E85" i="6"/>
  <c r="E77" i="6"/>
  <c r="E69" i="6"/>
  <c r="E61" i="6"/>
  <c r="E53" i="6"/>
  <c r="E45" i="6"/>
  <c r="E37" i="6"/>
  <c r="E29" i="6"/>
  <c r="E21" i="6"/>
  <c r="E13" i="6"/>
  <c r="E5" i="6"/>
  <c r="E394" i="5"/>
  <c r="E386" i="5"/>
  <c r="E378" i="5"/>
  <c r="E370" i="5"/>
  <c r="E362" i="5"/>
  <c r="E354" i="5"/>
  <c r="E346" i="5"/>
  <c r="E338" i="5"/>
  <c r="E330" i="5"/>
  <c r="E322" i="5"/>
  <c r="E314" i="5"/>
  <c r="E306" i="5"/>
  <c r="E298" i="5"/>
  <c r="E290" i="5"/>
  <c r="E282" i="5"/>
  <c r="E274" i="5"/>
  <c r="E266" i="5"/>
  <c r="E258" i="5"/>
  <c r="E250" i="5"/>
  <c r="E242" i="5"/>
  <c r="E234" i="5"/>
  <c r="E226" i="5"/>
  <c r="E218" i="5"/>
  <c r="E210" i="5"/>
  <c r="E202" i="5"/>
  <c r="E194" i="5"/>
  <c r="E186" i="5"/>
  <c r="E178" i="5"/>
  <c r="E170" i="5"/>
  <c r="E162" i="5"/>
  <c r="E154" i="5"/>
  <c r="E146" i="5"/>
  <c r="E138" i="5"/>
  <c r="E130" i="5"/>
  <c r="E122" i="5"/>
  <c r="E114" i="5"/>
  <c r="E106" i="5"/>
  <c r="E98" i="5"/>
  <c r="E90" i="5"/>
  <c r="E82" i="5"/>
  <c r="E74" i="5"/>
  <c r="E66" i="5"/>
  <c r="E58" i="5"/>
  <c r="E50" i="5"/>
  <c r="E42" i="5"/>
  <c r="E34" i="5"/>
  <c r="E26" i="5"/>
  <c r="E18" i="5"/>
  <c r="E10" i="5"/>
  <c r="E2" i="5"/>
  <c r="F233" i="4"/>
  <c r="F225" i="4"/>
  <c r="F217" i="4"/>
  <c r="F209" i="4"/>
  <c r="F201" i="4"/>
  <c r="F193" i="4"/>
  <c r="F185" i="4"/>
  <c r="F177" i="4"/>
  <c r="F169" i="4"/>
  <c r="F161" i="4"/>
  <c r="F153" i="4"/>
  <c r="F145" i="4"/>
  <c r="F137" i="4"/>
  <c r="F129" i="4"/>
  <c r="F121" i="4"/>
  <c r="F113" i="4"/>
  <c r="F105" i="4"/>
  <c r="F97" i="4"/>
  <c r="F89" i="4"/>
  <c r="F81" i="4"/>
  <c r="F73" i="4"/>
  <c r="F65" i="4"/>
  <c r="F57" i="4"/>
  <c r="F49" i="4"/>
  <c r="F41" i="4"/>
  <c r="F33" i="4"/>
  <c r="F25" i="4"/>
  <c r="F17" i="4"/>
  <c r="F9" i="4"/>
  <c r="F755" i="3"/>
  <c r="F747" i="3"/>
  <c r="F739" i="3"/>
  <c r="F731" i="3"/>
  <c r="F723" i="3"/>
  <c r="F715" i="3"/>
  <c r="F707" i="3"/>
  <c r="F699" i="3"/>
  <c r="F691" i="3"/>
  <c r="D113" i="8"/>
  <c r="D81" i="8"/>
  <c r="D49" i="8"/>
  <c r="D17" i="8"/>
  <c r="D396" i="7"/>
  <c r="D364" i="7"/>
  <c r="D332" i="7"/>
  <c r="D300" i="7"/>
  <c r="D268" i="7"/>
  <c r="D236" i="7"/>
  <c r="D204" i="7"/>
  <c r="D172" i="7"/>
  <c r="E149" i="7"/>
  <c r="E133" i="7"/>
  <c r="E117" i="7"/>
  <c r="E101" i="7"/>
  <c r="E85" i="7"/>
  <c r="E69" i="7"/>
  <c r="E53" i="7"/>
  <c r="D38" i="7"/>
  <c r="E27" i="7"/>
  <c r="E16" i="7"/>
  <c r="D6" i="7"/>
  <c r="E1013" i="6"/>
  <c r="E1002" i="6"/>
  <c r="D992" i="6"/>
  <c r="E981" i="6"/>
  <c r="E970" i="6"/>
  <c r="D960" i="6"/>
  <c r="E949" i="6"/>
  <c r="E938" i="6"/>
  <c r="D928" i="6"/>
  <c r="E917" i="6"/>
  <c r="E906" i="6"/>
  <c r="D896" i="6"/>
  <c r="E885" i="6"/>
  <c r="E874" i="6"/>
  <c r="D864" i="6"/>
  <c r="E853" i="6"/>
  <c r="E842" i="6"/>
  <c r="D832" i="6"/>
  <c r="E821" i="6"/>
  <c r="E810" i="6"/>
  <c r="D800" i="6"/>
  <c r="D791" i="6"/>
  <c r="D783" i="6"/>
  <c r="D775" i="6"/>
  <c r="D767" i="6"/>
  <c r="D759" i="6"/>
  <c r="D751" i="6"/>
  <c r="D743" i="6"/>
  <c r="D735" i="6"/>
  <c r="D727" i="6"/>
  <c r="D719" i="6"/>
  <c r="D711" i="6"/>
  <c r="D703" i="6"/>
  <c r="D695" i="6"/>
  <c r="D687" i="6"/>
  <c r="D679" i="6"/>
  <c r="D671" i="6"/>
  <c r="D663" i="6"/>
  <c r="D655" i="6"/>
  <c r="D647" i="6"/>
  <c r="D639" i="6"/>
  <c r="D631" i="6"/>
  <c r="D623" i="6"/>
  <c r="D615" i="6"/>
  <c r="D607" i="6"/>
  <c r="D599" i="6"/>
  <c r="D591" i="6"/>
  <c r="D583" i="6"/>
  <c r="D575" i="6"/>
  <c r="D567" i="6"/>
  <c r="D559" i="6"/>
  <c r="D551" i="6"/>
  <c r="D543" i="6"/>
  <c r="D535" i="6"/>
  <c r="D527" i="6"/>
  <c r="D519" i="6"/>
  <c r="D511" i="6"/>
  <c r="D503" i="6"/>
  <c r="D495" i="6"/>
  <c r="D487" i="6"/>
  <c r="D479" i="6"/>
  <c r="D471" i="6"/>
  <c r="D463" i="6"/>
  <c r="D455" i="6"/>
  <c r="D447" i="6"/>
  <c r="D439" i="6"/>
  <c r="D431" i="6"/>
  <c r="D423" i="6"/>
  <c r="D415" i="6"/>
  <c r="D407" i="6"/>
  <c r="D399" i="6"/>
  <c r="D391" i="6"/>
  <c r="D383" i="6"/>
  <c r="D375" i="6"/>
  <c r="D367" i="6"/>
  <c r="D359" i="6"/>
  <c r="D351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15" i="6"/>
  <c r="D207" i="6"/>
  <c r="D199" i="6"/>
  <c r="D191" i="6"/>
  <c r="D183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396" i="5"/>
  <c r="D388" i="5"/>
  <c r="D380" i="5"/>
  <c r="D372" i="5"/>
  <c r="D364" i="5"/>
  <c r="D356" i="5"/>
  <c r="D348" i="5"/>
  <c r="D340" i="5"/>
  <c r="D332" i="5"/>
  <c r="D324" i="5"/>
  <c r="D316" i="5"/>
  <c r="D308" i="5"/>
  <c r="D300" i="5"/>
  <c r="D292" i="5"/>
  <c r="D284" i="5"/>
  <c r="D276" i="5"/>
  <c r="D268" i="5"/>
  <c r="D260" i="5"/>
  <c r="D252" i="5"/>
  <c r="D244" i="5"/>
  <c r="D236" i="5"/>
  <c r="D228" i="5"/>
  <c r="D220" i="5"/>
  <c r="D212" i="5"/>
  <c r="D204" i="5"/>
  <c r="D196" i="5"/>
  <c r="D188" i="5"/>
  <c r="D180" i="5"/>
  <c r="D172" i="5"/>
  <c r="D164" i="5"/>
  <c r="D156" i="5"/>
  <c r="D148" i="5"/>
  <c r="D140" i="5"/>
  <c r="D132" i="5"/>
  <c r="D124" i="5"/>
  <c r="D116" i="5"/>
  <c r="D108" i="5"/>
  <c r="D100" i="5"/>
  <c r="D92" i="5"/>
  <c r="D84" i="5"/>
  <c r="D76" i="5"/>
  <c r="D68" i="5"/>
  <c r="D60" i="5"/>
  <c r="D52" i="5"/>
  <c r="D44" i="5"/>
  <c r="D36" i="5"/>
  <c r="D28" i="5"/>
  <c r="D20" i="5"/>
  <c r="D12" i="5"/>
  <c r="D4" i="5"/>
  <c r="E235" i="4"/>
  <c r="E227" i="4"/>
  <c r="E219" i="4"/>
  <c r="E211" i="4"/>
  <c r="E203" i="4"/>
  <c r="E195" i="4"/>
  <c r="E187" i="4"/>
  <c r="E179" i="4"/>
  <c r="E171" i="4"/>
  <c r="E163" i="4"/>
  <c r="E155" i="4"/>
  <c r="E147" i="4"/>
  <c r="E139" i="4"/>
  <c r="E131" i="4"/>
  <c r="E123" i="4"/>
  <c r="E115" i="4"/>
  <c r="E107" i="4"/>
  <c r="E99" i="4"/>
  <c r="E91" i="4"/>
  <c r="E83" i="4"/>
  <c r="E75" i="4"/>
  <c r="E67" i="4"/>
  <c r="E59" i="4"/>
  <c r="E51" i="4"/>
  <c r="E43" i="4"/>
  <c r="E35" i="4"/>
  <c r="E27" i="4"/>
  <c r="E19" i="4"/>
  <c r="E11" i="4"/>
  <c r="E3" i="4"/>
  <c r="E749" i="3"/>
  <c r="E741" i="3"/>
  <c r="E733" i="3"/>
  <c r="E725" i="3"/>
  <c r="E717" i="3"/>
  <c r="E709" i="3"/>
  <c r="E701" i="3"/>
  <c r="E693" i="3"/>
  <c r="E685" i="3"/>
  <c r="E677" i="3"/>
  <c r="E669" i="3"/>
  <c r="E661" i="3"/>
  <c r="E653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D95" i="8"/>
  <c r="D63" i="8"/>
  <c r="D31" i="8"/>
  <c r="D410" i="7"/>
  <c r="D378" i="7"/>
  <c r="D346" i="7"/>
  <c r="D314" i="7"/>
  <c r="D282" i="7"/>
  <c r="D250" i="7"/>
  <c r="D218" i="7"/>
  <c r="D186" i="7"/>
  <c r="D156" i="7"/>
  <c r="D140" i="7"/>
  <c r="D124" i="7"/>
  <c r="D108" i="7"/>
  <c r="D92" i="7"/>
  <c r="D76" i="7"/>
  <c r="D60" i="7"/>
  <c r="D44" i="7"/>
  <c r="D32" i="7"/>
  <c r="E21" i="7"/>
  <c r="E10" i="7"/>
  <c r="D1018" i="6"/>
  <c r="E1007" i="6"/>
  <c r="E996" i="6"/>
  <c r="D986" i="6"/>
  <c r="E975" i="6"/>
  <c r="E964" i="6"/>
  <c r="D954" i="6"/>
  <c r="E943" i="6"/>
  <c r="E932" i="6"/>
  <c r="D922" i="6"/>
  <c r="E911" i="6"/>
  <c r="E900" i="6"/>
  <c r="D890" i="6"/>
  <c r="E879" i="6"/>
  <c r="E868" i="6"/>
  <c r="D858" i="6"/>
  <c r="E847" i="6"/>
  <c r="E836" i="6"/>
  <c r="D826" i="6"/>
  <c r="E815" i="6"/>
  <c r="E804" i="6"/>
  <c r="E794" i="6"/>
  <c r="E786" i="6"/>
  <c r="E778" i="6"/>
  <c r="E770" i="6"/>
  <c r="E762" i="6"/>
  <c r="E754" i="6"/>
  <c r="E746" i="6"/>
  <c r="E738" i="6"/>
  <c r="E730" i="6"/>
  <c r="E722" i="6"/>
  <c r="E714" i="6"/>
  <c r="E706" i="6"/>
  <c r="E698" i="6"/>
  <c r="E690" i="6"/>
  <c r="E682" i="6"/>
  <c r="E674" i="6"/>
  <c r="E666" i="6"/>
  <c r="E658" i="6"/>
  <c r="E650" i="6"/>
  <c r="E642" i="6"/>
  <c r="E634" i="6"/>
  <c r="E626" i="6"/>
  <c r="E618" i="6"/>
  <c r="E610" i="6"/>
  <c r="E602" i="6"/>
  <c r="E594" i="6"/>
  <c r="E586" i="6"/>
  <c r="E578" i="6"/>
  <c r="E570" i="6"/>
  <c r="E562" i="6"/>
  <c r="E554" i="6"/>
  <c r="E546" i="6"/>
  <c r="E538" i="6"/>
  <c r="E530" i="6"/>
  <c r="E522" i="6"/>
  <c r="E514" i="6"/>
  <c r="E506" i="6"/>
  <c r="E498" i="6"/>
  <c r="E490" i="6"/>
  <c r="E482" i="6"/>
  <c r="E474" i="6"/>
  <c r="E466" i="6"/>
  <c r="E458" i="6"/>
  <c r="E450" i="6"/>
  <c r="E442" i="6"/>
  <c r="E434" i="6"/>
  <c r="E426" i="6"/>
  <c r="E418" i="6"/>
  <c r="E410" i="6"/>
  <c r="E402" i="6"/>
  <c r="E394" i="6"/>
  <c r="E386" i="6"/>
  <c r="E378" i="6"/>
  <c r="E370" i="6"/>
  <c r="E362" i="6"/>
  <c r="E354" i="6"/>
  <c r="E346" i="6"/>
  <c r="E338" i="6"/>
  <c r="E330" i="6"/>
  <c r="E322" i="6"/>
  <c r="E314" i="6"/>
  <c r="E306" i="6"/>
  <c r="E298" i="6"/>
  <c r="E290" i="6"/>
  <c r="E282" i="6"/>
  <c r="E274" i="6"/>
  <c r="E266" i="6"/>
  <c r="E258" i="6"/>
  <c r="E250" i="6"/>
  <c r="E242" i="6"/>
  <c r="E234" i="6"/>
  <c r="E226" i="6"/>
  <c r="E218" i="6"/>
  <c r="E210" i="6"/>
  <c r="E202" i="6"/>
  <c r="E194" i="6"/>
  <c r="E186" i="6"/>
  <c r="E178" i="6"/>
  <c r="E170" i="6"/>
  <c r="E162" i="6"/>
  <c r="E154" i="6"/>
  <c r="E146" i="6"/>
  <c r="E138" i="6"/>
  <c r="E130" i="6"/>
  <c r="E122" i="6"/>
  <c r="E114" i="6"/>
  <c r="E106" i="6"/>
  <c r="E98" i="6"/>
  <c r="E90" i="6"/>
  <c r="E82" i="6"/>
  <c r="E74" i="6"/>
  <c r="E66" i="6"/>
  <c r="E58" i="6"/>
  <c r="E50" i="6"/>
  <c r="E42" i="6"/>
  <c r="E34" i="6"/>
  <c r="E26" i="6"/>
  <c r="E18" i="6"/>
  <c r="E10" i="6"/>
  <c r="E2" i="6"/>
  <c r="E391" i="5"/>
  <c r="E383" i="5"/>
  <c r="E375" i="5"/>
  <c r="E367" i="5"/>
  <c r="E359" i="5"/>
  <c r="E351" i="5"/>
  <c r="E343" i="5"/>
  <c r="E335" i="5"/>
  <c r="E327" i="5"/>
  <c r="E319" i="5"/>
  <c r="E311" i="5"/>
  <c r="E303" i="5"/>
  <c r="E295" i="5"/>
  <c r="E287" i="5"/>
  <c r="E279" i="5"/>
  <c r="E271" i="5"/>
  <c r="E263" i="5"/>
  <c r="E255" i="5"/>
  <c r="E247" i="5"/>
  <c r="E239" i="5"/>
  <c r="E231" i="5"/>
  <c r="E223" i="5"/>
  <c r="E215" i="5"/>
  <c r="E207" i="5"/>
  <c r="E199" i="5"/>
  <c r="E191" i="5"/>
  <c r="E183" i="5"/>
  <c r="E175" i="5"/>
  <c r="E167" i="5"/>
  <c r="E159" i="5"/>
  <c r="E151" i="5"/>
  <c r="E143" i="5"/>
  <c r="E135" i="5"/>
  <c r="E127" i="5"/>
  <c r="E119" i="5"/>
  <c r="E111" i="5"/>
  <c r="E103" i="5"/>
  <c r="E95" i="5"/>
  <c r="E87" i="5"/>
  <c r="E79" i="5"/>
  <c r="E71" i="5"/>
  <c r="E63" i="5"/>
  <c r="E55" i="5"/>
  <c r="E47" i="5"/>
  <c r="E39" i="5"/>
  <c r="E31" i="5"/>
  <c r="E23" i="5"/>
  <c r="E15" i="5"/>
  <c r="E7" i="5"/>
  <c r="F238" i="4"/>
  <c r="F230" i="4"/>
  <c r="F222" i="4"/>
  <c r="F214" i="4"/>
  <c r="F206" i="4"/>
  <c r="F198" i="4"/>
  <c r="F190" i="4"/>
  <c r="F182" i="4"/>
  <c r="F174" i="4"/>
  <c r="F166" i="4"/>
  <c r="F158" i="4"/>
  <c r="F150" i="4"/>
  <c r="F142" i="4"/>
  <c r="F134" i="4"/>
  <c r="F126" i="4"/>
  <c r="F118" i="4"/>
  <c r="F110" i="4"/>
  <c r="F102" i="4"/>
  <c r="F94" i="4"/>
  <c r="F86" i="4"/>
  <c r="F78" i="4"/>
  <c r="F70" i="4"/>
  <c r="F62" i="4"/>
  <c r="F54" i="4"/>
  <c r="F46" i="4"/>
  <c r="F38" i="4"/>
  <c r="F30" i="4"/>
  <c r="F22" i="4"/>
  <c r="F14" i="4"/>
  <c r="F6" i="4"/>
  <c r="F752" i="3"/>
  <c r="F744" i="3"/>
  <c r="F736" i="3"/>
  <c r="F728" i="3"/>
  <c r="F720" i="3"/>
  <c r="F712" i="3"/>
  <c r="F704" i="3"/>
  <c r="F696" i="3"/>
  <c r="F688" i="3"/>
  <c r="D45" i="8"/>
  <c r="D328" i="7"/>
  <c r="D200" i="7"/>
  <c r="E115" i="7"/>
  <c r="E51" i="7"/>
  <c r="E4" i="7"/>
  <c r="D980" i="6"/>
  <c r="E937" i="6"/>
  <c r="E894" i="6"/>
  <c r="D852" i="6"/>
  <c r="E809" i="6"/>
  <c r="D774" i="6"/>
  <c r="D742" i="6"/>
  <c r="D710" i="6"/>
  <c r="D678" i="6"/>
  <c r="D646" i="6"/>
  <c r="D614" i="6"/>
  <c r="D582" i="6"/>
  <c r="D550" i="6"/>
  <c r="D518" i="6"/>
  <c r="D486" i="6"/>
  <c r="D454" i="6"/>
  <c r="D422" i="6"/>
  <c r="D390" i="6"/>
  <c r="D358" i="6"/>
  <c r="D326" i="6"/>
  <c r="D294" i="6"/>
  <c r="D262" i="6"/>
  <c r="D230" i="6"/>
  <c r="D198" i="6"/>
  <c r="D166" i="6"/>
  <c r="D134" i="6"/>
  <c r="D102" i="6"/>
  <c r="D70" i="6"/>
  <c r="D38" i="6"/>
  <c r="D6" i="6"/>
  <c r="D371" i="5"/>
  <c r="D339" i="5"/>
  <c r="D307" i="5"/>
  <c r="D275" i="5"/>
  <c r="D243" i="5"/>
  <c r="D211" i="5"/>
  <c r="D179" i="5"/>
  <c r="D147" i="5"/>
  <c r="D115" i="5"/>
  <c r="D83" i="5"/>
  <c r="D51" i="5"/>
  <c r="D19" i="5"/>
  <c r="E226" i="4"/>
  <c r="E194" i="4"/>
  <c r="E162" i="4"/>
  <c r="E130" i="4"/>
  <c r="E98" i="4"/>
  <c r="E66" i="4"/>
  <c r="E38" i="4"/>
  <c r="E750" i="3"/>
  <c r="E718" i="3"/>
  <c r="E686" i="3"/>
  <c r="F674" i="3"/>
  <c r="E664" i="3"/>
  <c r="F653" i="3"/>
  <c r="F642" i="3"/>
  <c r="E632" i="3"/>
  <c r="F621" i="3"/>
  <c r="F610" i="3"/>
  <c r="E600" i="3"/>
  <c r="F589" i="3"/>
  <c r="F578" i="3"/>
  <c r="E568" i="3"/>
  <c r="F557" i="3"/>
  <c r="F546" i="3"/>
  <c r="E536" i="3"/>
  <c r="F525" i="3"/>
  <c r="F514" i="3"/>
  <c r="E504" i="3"/>
  <c r="F494" i="3"/>
  <c r="F486" i="3"/>
  <c r="F478" i="3"/>
  <c r="F470" i="3"/>
  <c r="F462" i="3"/>
  <c r="F454" i="3"/>
  <c r="F446" i="3"/>
  <c r="F438" i="3"/>
  <c r="F430" i="3"/>
  <c r="F422" i="3"/>
  <c r="F414" i="3"/>
  <c r="F406" i="3"/>
  <c r="F398" i="3"/>
  <c r="F390" i="3"/>
  <c r="F382" i="3"/>
  <c r="F374" i="3"/>
  <c r="F366" i="3"/>
  <c r="F358" i="3"/>
  <c r="F350" i="3"/>
  <c r="F342" i="3"/>
  <c r="F334" i="3"/>
  <c r="F326" i="3"/>
  <c r="F318" i="3"/>
  <c r="F310" i="3"/>
  <c r="F302" i="3"/>
  <c r="F294" i="3"/>
  <c r="F286" i="3"/>
  <c r="F278" i="3"/>
  <c r="F270" i="3"/>
  <c r="F262" i="3"/>
  <c r="F254" i="3"/>
  <c r="F246" i="3"/>
  <c r="F238" i="3"/>
  <c r="F230" i="3"/>
  <c r="F222" i="3"/>
  <c r="F214" i="3"/>
  <c r="F206" i="3"/>
  <c r="F198" i="3"/>
  <c r="F190" i="3"/>
  <c r="F182" i="3"/>
  <c r="F174" i="3"/>
  <c r="F166" i="3"/>
  <c r="F158" i="3"/>
  <c r="F150" i="3"/>
  <c r="F142" i="3"/>
  <c r="F134" i="3"/>
  <c r="F126" i="3"/>
  <c r="F118" i="3"/>
  <c r="F110" i="3"/>
  <c r="F102" i="3"/>
  <c r="F94" i="3"/>
  <c r="F86" i="3"/>
  <c r="F78" i="3"/>
  <c r="F70" i="3"/>
  <c r="F62" i="3"/>
  <c r="F54" i="3"/>
  <c r="F46" i="3"/>
  <c r="F38" i="3"/>
  <c r="F30" i="3"/>
  <c r="F22" i="3"/>
  <c r="F14" i="3"/>
  <c r="F6" i="3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2" i="2"/>
  <c r="F51" i="1"/>
  <c r="F40" i="1"/>
  <c r="F28" i="1"/>
  <c r="F13" i="1"/>
  <c r="E86" i="2"/>
  <c r="E68" i="2"/>
  <c r="E52" i="2"/>
  <c r="E38" i="2"/>
  <c r="E24" i="2"/>
  <c r="E10" i="2"/>
  <c r="F48" i="1"/>
  <c r="F27" i="1"/>
  <c r="F4" i="1"/>
  <c r="D1004" i="6"/>
  <c r="E918" i="6"/>
  <c r="E833" i="6"/>
  <c r="D752" i="6"/>
  <c r="D672" i="6"/>
  <c r="D560" i="6"/>
  <c r="D472" i="6"/>
  <c r="D376" i="6"/>
  <c r="D272" i="6"/>
  <c r="D176" i="6"/>
  <c r="D88" i="6"/>
  <c r="D381" i="5"/>
  <c r="D285" i="5"/>
  <c r="D189" i="5"/>
  <c r="D93" i="5"/>
  <c r="E236" i="4"/>
  <c r="E116" i="4"/>
  <c r="E26" i="4"/>
  <c r="F680" i="3"/>
  <c r="E654" i="3"/>
  <c r="F624" i="3"/>
  <c r="F592" i="3"/>
  <c r="F560" i="3"/>
  <c r="E534" i="3"/>
  <c r="F507" i="3"/>
  <c r="E479" i="3"/>
  <c r="E455" i="3"/>
  <c r="E431" i="3"/>
  <c r="E407" i="3"/>
  <c r="E387" i="3"/>
  <c r="E365" i="3"/>
  <c r="E339" i="3"/>
  <c r="E313" i="3"/>
  <c r="E291" i="3"/>
  <c r="E267" i="3"/>
  <c r="E245" i="3"/>
  <c r="E219" i="3"/>
  <c r="E195" i="3"/>
  <c r="E171" i="3"/>
  <c r="E151" i="3"/>
  <c r="E127" i="3"/>
  <c r="E107" i="3"/>
  <c r="E83" i="3"/>
  <c r="E61" i="3"/>
  <c r="E39" i="3"/>
  <c r="E19" i="3"/>
  <c r="E175" i="2"/>
  <c r="E151" i="2"/>
  <c r="E127" i="2"/>
  <c r="E103" i="2"/>
  <c r="E83" i="2"/>
  <c r="E59" i="2"/>
  <c r="E39" i="2"/>
  <c r="E17" i="2"/>
  <c r="E54" i="1"/>
  <c r="F22" i="1"/>
  <c r="D69" i="8"/>
  <c r="D352" i="7"/>
  <c r="D224" i="7"/>
  <c r="E127" i="7"/>
  <c r="E63" i="7"/>
  <c r="E12" i="7"/>
  <c r="D988" i="6"/>
  <c r="E945" i="6"/>
  <c r="E902" i="6"/>
  <c r="D860" i="6"/>
  <c r="E817" i="6"/>
  <c r="D780" i="6"/>
  <c r="D748" i="6"/>
  <c r="D716" i="6"/>
  <c r="D684" i="6"/>
  <c r="D652" i="6"/>
  <c r="D620" i="6"/>
  <c r="D588" i="6"/>
  <c r="D556" i="6"/>
  <c r="D524" i="6"/>
  <c r="D492" i="6"/>
  <c r="D460" i="6"/>
  <c r="D428" i="6"/>
  <c r="D396" i="6"/>
  <c r="D364" i="6"/>
  <c r="D332" i="6"/>
  <c r="D300" i="6"/>
  <c r="D268" i="6"/>
  <c r="D236" i="6"/>
  <c r="D204" i="6"/>
  <c r="D172" i="6"/>
  <c r="D140" i="6"/>
  <c r="D108" i="6"/>
  <c r="D76" i="6"/>
  <c r="D44" i="6"/>
  <c r="D12" i="6"/>
  <c r="D377" i="5"/>
  <c r="D345" i="5"/>
  <c r="D313" i="5"/>
  <c r="D281" i="5"/>
  <c r="D249" i="5"/>
  <c r="D217" i="5"/>
  <c r="D185" i="5"/>
  <c r="D153" i="5"/>
  <c r="D121" i="5"/>
  <c r="D89" i="5"/>
  <c r="D57" i="5"/>
  <c r="D25" i="5"/>
  <c r="E232" i="4"/>
  <c r="E200" i="4"/>
  <c r="E168" i="4"/>
  <c r="E136" i="4"/>
  <c r="E104" i="4"/>
  <c r="E72" i="4"/>
  <c r="E42" i="4"/>
  <c r="E16" i="4"/>
  <c r="E740" i="3"/>
  <c r="E708" i="3"/>
  <c r="E682" i="3"/>
  <c r="F671" i="3"/>
  <c r="F660" i="3"/>
  <c r="E650" i="3"/>
  <c r="F639" i="3"/>
  <c r="F628" i="3"/>
  <c r="E618" i="3"/>
  <c r="F607" i="3"/>
  <c r="F596" i="3"/>
  <c r="E586" i="3"/>
  <c r="F575" i="3"/>
  <c r="F564" i="3"/>
  <c r="E554" i="3"/>
  <c r="F543" i="3"/>
  <c r="F532" i="3"/>
  <c r="E522" i="3"/>
  <c r="F511" i="3"/>
  <c r="F500" i="3"/>
  <c r="E492" i="3"/>
  <c r="E484" i="3"/>
  <c r="E476" i="3"/>
  <c r="E468" i="3"/>
  <c r="E460" i="3"/>
  <c r="E452" i="3"/>
  <c r="E444" i="3"/>
  <c r="E436" i="3"/>
  <c r="E428" i="3"/>
  <c r="E420" i="3"/>
  <c r="E412" i="3"/>
  <c r="E404" i="3"/>
  <c r="E396" i="3"/>
  <c r="E388" i="3"/>
  <c r="E380" i="3"/>
  <c r="E372" i="3"/>
  <c r="E364" i="3"/>
  <c r="E356" i="3"/>
  <c r="E348" i="3"/>
  <c r="E340" i="3"/>
  <c r="E332" i="3"/>
  <c r="E324" i="3"/>
  <c r="E316" i="3"/>
  <c r="E308" i="3"/>
  <c r="E300" i="3"/>
  <c r="E292" i="3"/>
  <c r="E284" i="3"/>
  <c r="E276" i="3"/>
  <c r="E268" i="3"/>
  <c r="E260" i="3"/>
  <c r="E252" i="3"/>
  <c r="E244" i="3"/>
  <c r="E236" i="3"/>
  <c r="E228" i="3"/>
  <c r="E220" i="3"/>
  <c r="E212" i="3"/>
  <c r="E204" i="3"/>
  <c r="E196" i="3"/>
  <c r="E188" i="3"/>
  <c r="E180" i="3"/>
  <c r="E172" i="3"/>
  <c r="E164" i="3"/>
  <c r="E156" i="3"/>
  <c r="E148" i="3"/>
  <c r="E140" i="3"/>
  <c r="E132" i="3"/>
  <c r="E124" i="3"/>
  <c r="E116" i="3"/>
  <c r="E108" i="3"/>
  <c r="E100" i="3"/>
  <c r="E92" i="3"/>
  <c r="E84" i="3"/>
  <c r="E76" i="3"/>
  <c r="E68" i="3"/>
  <c r="E60" i="3"/>
  <c r="E52" i="3"/>
  <c r="E44" i="3"/>
  <c r="E36" i="3"/>
  <c r="E28" i="3"/>
  <c r="E20" i="3"/>
  <c r="E12" i="3"/>
  <c r="E4" i="3"/>
  <c r="E176" i="2"/>
  <c r="E168" i="2"/>
  <c r="E160" i="2"/>
  <c r="E152" i="2"/>
  <c r="E144" i="2"/>
  <c r="E136" i="2"/>
  <c r="E128" i="2"/>
  <c r="E120" i="2"/>
  <c r="E112" i="2"/>
  <c r="E104" i="2"/>
  <c r="E96" i="2"/>
  <c r="E88" i="2"/>
  <c r="E74" i="2"/>
  <c r="E58" i="2"/>
  <c r="E42" i="2"/>
  <c r="E22" i="2"/>
  <c r="E6" i="2"/>
  <c r="F45" i="1"/>
  <c r="F12" i="1"/>
  <c r="D720" i="6"/>
  <c r="D608" i="6"/>
  <c r="D512" i="6"/>
  <c r="D408" i="6"/>
  <c r="D312" i="6"/>
  <c r="D216" i="6"/>
  <c r="D104" i="6"/>
  <c r="D16" i="6"/>
  <c r="D309" i="5"/>
  <c r="D205" i="5"/>
  <c r="D101" i="5"/>
  <c r="D5" i="5"/>
  <c r="E156" i="4"/>
  <c r="E60" i="4"/>
  <c r="E720" i="3"/>
  <c r="F664" i="3"/>
  <c r="F627" i="3"/>
  <c r="F595" i="3"/>
  <c r="E558" i="3"/>
  <c r="E518" i="3"/>
  <c r="E489" i="3"/>
  <c r="E465" i="3"/>
  <c r="E439" i="3"/>
  <c r="E417" i="3"/>
  <c r="E391" i="3"/>
  <c r="E367" i="3"/>
  <c r="E343" i="3"/>
  <c r="E323" i="3"/>
  <c r="E295" i="3"/>
  <c r="E271" i="3"/>
  <c r="E247" i="3"/>
  <c r="E221" i="3"/>
  <c r="E199" i="3"/>
  <c r="E175" i="3"/>
  <c r="E149" i="3"/>
  <c r="E125" i="3"/>
  <c r="E99" i="3"/>
  <c r="E69" i="3"/>
  <c r="E43" i="3"/>
  <c r="E17" i="3"/>
  <c r="E171" i="2"/>
  <c r="E147" i="2"/>
  <c r="E123" i="2"/>
  <c r="E99" i="2"/>
  <c r="E73" i="2"/>
  <c r="E47" i="2"/>
  <c r="E21" i="2"/>
  <c r="F47" i="1"/>
  <c r="F10" i="1"/>
  <c r="D29" i="8"/>
  <c r="D312" i="7"/>
  <c r="D184" i="7"/>
  <c r="E107" i="7"/>
  <c r="E43" i="7"/>
  <c r="E1017" i="6"/>
  <c r="E974" i="6"/>
  <c r="D932" i="6"/>
  <c r="E889" i="6"/>
  <c r="E846" i="6"/>
  <c r="D804" i="6"/>
  <c r="D770" i="6"/>
  <c r="D738" i="6"/>
  <c r="D706" i="6"/>
  <c r="D674" i="6"/>
  <c r="D642" i="6"/>
  <c r="D610" i="6"/>
  <c r="D578" i="6"/>
  <c r="D546" i="6"/>
  <c r="D514" i="6"/>
  <c r="D482" i="6"/>
  <c r="D450" i="6"/>
  <c r="D418" i="6"/>
  <c r="D386" i="6"/>
  <c r="D354" i="6"/>
  <c r="D322" i="6"/>
  <c r="D290" i="6"/>
  <c r="D258" i="6"/>
  <c r="D226" i="6"/>
  <c r="D194" i="6"/>
  <c r="D162" i="6"/>
  <c r="D130" i="6"/>
  <c r="D98" i="6"/>
  <c r="D66" i="6"/>
  <c r="D34" i="6"/>
  <c r="D2" i="6"/>
  <c r="D367" i="5"/>
  <c r="D335" i="5"/>
  <c r="D303" i="5"/>
  <c r="D271" i="5"/>
  <c r="D239" i="5"/>
  <c r="D207" i="5"/>
  <c r="D175" i="5"/>
  <c r="D143" i="5"/>
  <c r="D111" i="5"/>
  <c r="D79" i="5"/>
  <c r="D47" i="5"/>
  <c r="D15" i="5"/>
  <c r="E222" i="4"/>
  <c r="E190" i="4"/>
  <c r="E158" i="4"/>
  <c r="E126" i="4"/>
  <c r="E94" i="4"/>
  <c r="E62" i="4"/>
  <c r="E28" i="4"/>
  <c r="E746" i="3"/>
  <c r="E714" i="3"/>
  <c r="E684" i="3"/>
  <c r="F673" i="3"/>
  <c r="F662" i="3"/>
  <c r="E652" i="3"/>
  <c r="F641" i="3"/>
  <c r="F630" i="3"/>
  <c r="E620" i="3"/>
  <c r="F609" i="3"/>
  <c r="F598" i="3"/>
  <c r="E588" i="3"/>
  <c r="F577" i="3"/>
  <c r="F566" i="3"/>
  <c r="E556" i="3"/>
  <c r="F545" i="3"/>
  <c r="F534" i="3"/>
  <c r="E524" i="3"/>
  <c r="F513" i="3"/>
  <c r="F502" i="3"/>
  <c r="F493" i="3"/>
  <c r="F485" i="3"/>
  <c r="F477" i="3"/>
  <c r="F469" i="3"/>
  <c r="F461" i="3"/>
  <c r="F453" i="3"/>
  <c r="F445" i="3"/>
  <c r="F437" i="3"/>
  <c r="F429" i="3"/>
  <c r="F421" i="3"/>
  <c r="F413" i="3"/>
  <c r="F405" i="3"/>
  <c r="F397" i="3"/>
  <c r="F389" i="3"/>
  <c r="F381" i="3"/>
  <c r="F373" i="3"/>
  <c r="F365" i="3"/>
  <c r="F357" i="3"/>
  <c r="F349" i="3"/>
  <c r="F341" i="3"/>
  <c r="F333" i="3"/>
  <c r="F325" i="3"/>
  <c r="F317" i="3"/>
  <c r="F309" i="3"/>
  <c r="F301" i="3"/>
  <c r="F293" i="3"/>
  <c r="F285" i="3"/>
  <c r="F277" i="3"/>
  <c r="F269" i="3"/>
  <c r="F261" i="3"/>
  <c r="F253" i="3"/>
  <c r="F245" i="3"/>
  <c r="F237" i="3"/>
  <c r="F229" i="3"/>
  <c r="F221" i="3"/>
  <c r="F213" i="3"/>
  <c r="F205" i="3"/>
  <c r="F197" i="3"/>
  <c r="F189" i="3"/>
  <c r="F181" i="3"/>
  <c r="F173" i="3"/>
  <c r="F165" i="3"/>
  <c r="F157" i="3"/>
  <c r="F149" i="3"/>
  <c r="F141" i="3"/>
  <c r="F133" i="3"/>
  <c r="F125" i="3"/>
  <c r="F117" i="3"/>
  <c r="F109" i="3"/>
  <c r="F101" i="3"/>
  <c r="F93" i="3"/>
  <c r="F85" i="3"/>
  <c r="F77" i="3"/>
  <c r="F69" i="3"/>
  <c r="F61" i="3"/>
  <c r="F53" i="3"/>
  <c r="F45" i="3"/>
  <c r="F37" i="3"/>
  <c r="F29" i="3"/>
  <c r="F21" i="3"/>
  <c r="F13" i="3"/>
  <c r="F5" i="3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58" i="1"/>
  <c r="F50" i="1"/>
  <c r="E39" i="1"/>
  <c r="F26" i="1"/>
  <c r="F11" i="1"/>
  <c r="D85" i="8"/>
  <c r="D304" i="7"/>
  <c r="D176" i="7"/>
  <c r="E103" i="7"/>
  <c r="E39" i="7"/>
  <c r="D972" i="6"/>
  <c r="E886" i="6"/>
  <c r="E801" i="6"/>
  <c r="D728" i="6"/>
  <c r="D648" i="6"/>
  <c r="D552" i="6"/>
  <c r="D464" i="6"/>
  <c r="D368" i="6"/>
  <c r="D280" i="6"/>
  <c r="D184" i="6"/>
  <c r="D96" i="6"/>
  <c r="D397" i="5"/>
  <c r="D317" i="5"/>
  <c r="D213" i="5"/>
  <c r="D133" i="5"/>
  <c r="D37" i="5"/>
  <c r="E188" i="4"/>
  <c r="E100" i="4"/>
  <c r="E6" i="4"/>
  <c r="F675" i="3"/>
  <c r="F643" i="3"/>
  <c r="F616" i="3"/>
  <c r="F584" i="3"/>
  <c r="F555" i="3"/>
  <c r="F523" i="3"/>
  <c r="E491" i="3"/>
  <c r="E467" i="3"/>
  <c r="E447" i="3"/>
  <c r="E423" i="3"/>
  <c r="E395" i="3"/>
  <c r="E369" i="3"/>
  <c r="E347" i="3"/>
  <c r="E321" i="3"/>
  <c r="E299" i="3"/>
  <c r="E275" i="3"/>
  <c r="E249" i="3"/>
  <c r="E229" i="3"/>
  <c r="E203" i="3"/>
  <c r="E181" i="3"/>
  <c r="E153" i="3"/>
  <c r="E129" i="3"/>
  <c r="E103" i="3"/>
  <c r="E81" i="3"/>
  <c r="E59" i="3"/>
  <c r="E35" i="3"/>
  <c r="E11" i="3"/>
  <c r="E167" i="2"/>
  <c r="E143" i="2"/>
  <c r="E121" i="2"/>
  <c r="E95" i="2"/>
  <c r="E67" i="2"/>
  <c r="E43" i="2"/>
  <c r="E19" i="2"/>
  <c r="E52" i="1"/>
  <c r="F8" i="1"/>
  <c r="E285" i="5"/>
  <c r="E269" i="5"/>
  <c r="E253" i="5"/>
  <c r="E237" i="5"/>
  <c r="E221" i="5"/>
  <c r="E205" i="5"/>
  <c r="E189" i="5"/>
  <c r="E173" i="5"/>
  <c r="E157" i="5"/>
  <c r="E141" i="5"/>
  <c r="E125" i="5"/>
  <c r="E109" i="5"/>
  <c r="E93" i="5"/>
  <c r="E77" i="5"/>
  <c r="E61" i="5"/>
  <c r="E45" i="5"/>
  <c r="E29" i="5"/>
  <c r="E13" i="5"/>
  <c r="F228" i="4"/>
  <c r="F212" i="4"/>
  <c r="F196" i="4"/>
  <c r="F180" i="4"/>
  <c r="F164" i="4"/>
  <c r="F148" i="4"/>
  <c r="F132" i="4"/>
  <c r="F108" i="4"/>
  <c r="F92" i="4"/>
  <c r="F76" i="4"/>
  <c r="F60" i="4"/>
  <c r="F44" i="4"/>
  <c r="F28" i="4"/>
  <c r="F12" i="4"/>
  <c r="F750" i="3"/>
  <c r="F734" i="3"/>
  <c r="F718" i="3"/>
  <c r="F702" i="3"/>
  <c r="F686" i="3"/>
  <c r="D296" i="7"/>
  <c r="E99" i="7"/>
  <c r="D1012" i="6"/>
  <c r="E926" i="6"/>
  <c r="E841" i="6"/>
  <c r="D766" i="6"/>
  <c r="D702" i="6"/>
  <c r="D638" i="6"/>
  <c r="D574" i="6"/>
  <c r="D542" i="6"/>
  <c r="D478" i="6"/>
  <c r="D382" i="6"/>
  <c r="D318" i="6"/>
  <c r="D254" i="6"/>
  <c r="D190" i="6"/>
  <c r="D126" i="6"/>
  <c r="D62" i="6"/>
  <c r="D395" i="5"/>
  <c r="D331" i="5"/>
  <c r="D267" i="5"/>
  <c r="D203" i="5"/>
  <c r="D139" i="5"/>
  <c r="D75" i="5"/>
  <c r="D11" i="5"/>
  <c r="E186" i="4"/>
  <c r="E122" i="4"/>
  <c r="E58" i="4"/>
  <c r="E742" i="3"/>
  <c r="F682" i="3"/>
  <c r="E672" i="3"/>
  <c r="F650" i="3"/>
  <c r="F629" i="3"/>
  <c r="F618" i="3"/>
  <c r="F597" i="3"/>
  <c r="E576" i="3"/>
  <c r="F554" i="3"/>
  <c r="F533" i="3"/>
  <c r="E512" i="3"/>
  <c r="F492" i="3"/>
  <c r="F476" i="3"/>
  <c r="F460" i="3"/>
  <c r="F452" i="3"/>
  <c r="F436" i="3"/>
  <c r="F420" i="3"/>
  <c r="F404" i="3"/>
  <c r="F388" i="3"/>
  <c r="F372" i="3"/>
  <c r="F356" i="3"/>
  <c r="F340" i="3"/>
  <c r="F316" i="3"/>
  <c r="F300" i="3"/>
  <c r="F284" i="3"/>
  <c r="F268" i="3"/>
  <c r="F252" i="3"/>
  <c r="F236" i="3"/>
  <c r="F220" i="3"/>
  <c r="F204" i="3"/>
  <c r="F188" i="3"/>
  <c r="F164" i="3"/>
  <c r="F148" i="3"/>
  <c r="F132" i="3"/>
  <c r="F116" i="3"/>
  <c r="F100" i="3"/>
  <c r="F84" i="3"/>
  <c r="F76" i="3"/>
  <c r="F60" i="3"/>
  <c r="F44" i="3"/>
  <c r="F28" i="3"/>
  <c r="F20" i="3"/>
  <c r="F4" i="3"/>
  <c r="F168" i="2"/>
  <c r="F152" i="2"/>
  <c r="F136" i="2"/>
  <c r="F120" i="2"/>
  <c r="F104" i="2"/>
  <c r="F88" i="2"/>
  <c r="F64" i="2"/>
  <c r="F48" i="2"/>
  <c r="F40" i="2"/>
  <c r="F16" i="2"/>
  <c r="F57" i="1"/>
  <c r="F37" i="1"/>
  <c r="E10" i="1"/>
  <c r="E48" i="2"/>
  <c r="E20" i="2"/>
  <c r="F42" i="1"/>
  <c r="D53" i="8"/>
  <c r="E897" i="6"/>
  <c r="D736" i="6"/>
  <c r="D536" i="6"/>
  <c r="D344" i="6"/>
  <c r="D152" i="6"/>
  <c r="D357" i="5"/>
  <c r="D165" i="5"/>
  <c r="E204" i="4"/>
  <c r="E752" i="3"/>
  <c r="E646" i="3"/>
  <c r="E582" i="3"/>
  <c r="F528" i="3"/>
  <c r="E475" i="3"/>
  <c r="E427" i="3"/>
  <c r="E357" i="3"/>
  <c r="E307" i="3"/>
  <c r="E263" i="3"/>
  <c r="E213" i="3"/>
  <c r="E145" i="3"/>
  <c r="E101" i="3"/>
  <c r="E79" i="3"/>
  <c r="E33" i="3"/>
  <c r="E169" i="2"/>
  <c r="E119" i="2"/>
  <c r="E55" i="2"/>
  <c r="E33" i="2"/>
  <c r="F14" i="1"/>
  <c r="D320" i="7"/>
  <c r="E111" i="7"/>
  <c r="E47" i="7"/>
  <c r="E977" i="6"/>
  <c r="D892" i="6"/>
  <c r="E806" i="6"/>
  <c r="D740" i="6"/>
  <c r="D676" i="6"/>
  <c r="D644" i="6"/>
  <c r="D580" i="6"/>
  <c r="D516" i="6"/>
  <c r="D452" i="6"/>
  <c r="D388" i="6"/>
  <c r="D324" i="6"/>
  <c r="D260" i="6"/>
  <c r="D196" i="6"/>
  <c r="D132" i="6"/>
  <c r="D36" i="6"/>
  <c r="D369" i="5"/>
  <c r="D305" i="5"/>
  <c r="D273" i="5"/>
  <c r="D209" i="5"/>
  <c r="D145" i="5"/>
  <c r="D81" i="5"/>
  <c r="E224" i="4"/>
  <c r="E160" i="4"/>
  <c r="E96" i="4"/>
  <c r="E36" i="4"/>
  <c r="E732" i="3"/>
  <c r="F679" i="3"/>
  <c r="E658" i="3"/>
  <c r="F636" i="3"/>
  <c r="F615" i="3"/>
  <c r="E594" i="3"/>
  <c r="F572" i="3"/>
  <c r="F551" i="3"/>
  <c r="E530" i="3"/>
  <c r="F508" i="3"/>
  <c r="E490" i="3"/>
  <c r="E474" i="3"/>
  <c r="E458" i="3"/>
  <c r="E442" i="3"/>
  <c r="E426" i="3"/>
  <c r="E410" i="3"/>
  <c r="E394" i="3"/>
  <c r="E378" i="3"/>
  <c r="E362" i="3"/>
  <c r="E346" i="3"/>
  <c r="E330" i="3"/>
  <c r="E314" i="3"/>
  <c r="E298" i="3"/>
  <c r="E282" i="3"/>
  <c r="E266" i="3"/>
  <c r="E250" i="3"/>
  <c r="E242" i="3"/>
  <c r="E226" i="3"/>
  <c r="E210" i="3"/>
  <c r="E194" i="3"/>
  <c r="E178" i="3"/>
  <c r="E162" i="3"/>
  <c r="E138" i="3"/>
  <c r="E122" i="3"/>
  <c r="E106" i="3"/>
  <c r="E90" i="3"/>
  <c r="E74" i="3"/>
  <c r="E58" i="3"/>
  <c r="E42" i="3"/>
  <c r="E26" i="3"/>
  <c r="E18" i="3"/>
  <c r="E2" i="3"/>
  <c r="E166" i="2"/>
  <c r="E150" i="2"/>
  <c r="E142" i="2"/>
  <c r="E118" i="2"/>
  <c r="E102" i="2"/>
  <c r="E84" i="2"/>
  <c r="E54" i="2"/>
  <c r="E36" i="2"/>
  <c r="E2" i="2"/>
  <c r="F7" i="1"/>
  <c r="D584" i="6"/>
  <c r="D384" i="6"/>
  <c r="D192" i="6"/>
  <c r="D389" i="5"/>
  <c r="D173" i="5"/>
  <c r="E220" i="4"/>
  <c r="E40" i="4"/>
  <c r="F619" i="3"/>
  <c r="E550" i="3"/>
  <c r="E483" i="3"/>
  <c r="E411" i="3"/>
  <c r="E385" i="3"/>
  <c r="E341" i="3"/>
  <c r="E289" i="3"/>
  <c r="E241" i="3"/>
  <c r="E193" i="3"/>
  <c r="E143" i="3"/>
  <c r="E63" i="3"/>
  <c r="E9" i="3"/>
  <c r="E141" i="2"/>
  <c r="E91" i="2"/>
  <c r="E41" i="2"/>
  <c r="F43" i="1"/>
  <c r="D408" i="7"/>
  <c r="E155" i="7"/>
  <c r="E31" i="7"/>
  <c r="D964" i="6"/>
  <c r="E921" i="6"/>
  <c r="D836" i="6"/>
  <c r="D762" i="6"/>
  <c r="D698" i="6"/>
  <c r="D634" i="6"/>
  <c r="D602" i="6"/>
  <c r="D538" i="6"/>
  <c r="D474" i="6"/>
  <c r="D410" i="6"/>
  <c r="D346" i="6"/>
  <c r="D282" i="6"/>
  <c r="D218" i="6"/>
  <c r="D154" i="6"/>
  <c r="D90" i="6"/>
  <c r="D26" i="6"/>
  <c r="D359" i="5"/>
  <c r="D295" i="5"/>
  <c r="D231" i="5"/>
  <c r="D167" i="5"/>
  <c r="D103" i="5"/>
  <c r="D39" i="5"/>
  <c r="E214" i="4"/>
  <c r="E150" i="4"/>
  <c r="E118" i="4"/>
  <c r="E14" i="4"/>
  <c r="E706" i="3"/>
  <c r="F670" i="3"/>
  <c r="F649" i="3"/>
  <c r="F617" i="3"/>
  <c r="E596" i="3"/>
  <c r="F585" i="3"/>
  <c r="F574" i="3"/>
  <c r="E564" i="3"/>
  <c r="F553" i="3"/>
  <c r="F542" i="3"/>
  <c r="E532" i="3"/>
  <c r="F521" i="3"/>
  <c r="F510" i="3"/>
  <c r="E500" i="3"/>
  <c r="F491" i="3"/>
  <c r="F483" i="3"/>
  <c r="F475" i="3"/>
  <c r="F467" i="3"/>
  <c r="F459" i="3"/>
  <c r="F451" i="3"/>
  <c r="F443" i="3"/>
  <c r="F435" i="3"/>
  <c r="F427" i="3"/>
  <c r="F419" i="3"/>
  <c r="F411" i="3"/>
  <c r="F403" i="3"/>
  <c r="F395" i="3"/>
  <c r="F387" i="3"/>
  <c r="F379" i="3"/>
  <c r="F363" i="3"/>
  <c r="F355" i="3"/>
  <c r="F347" i="3"/>
  <c r="F339" i="3"/>
  <c r="F331" i="3"/>
  <c r="F323" i="3"/>
  <c r="F307" i="3"/>
  <c r="F299" i="3"/>
  <c r="F283" i="3"/>
  <c r="F267" i="3"/>
  <c r="F251" i="3"/>
  <c r="F235" i="3"/>
  <c r="F219" i="3"/>
  <c r="F211" i="3"/>
  <c r="F195" i="3"/>
  <c r="F179" i="3"/>
  <c r="F163" i="3"/>
  <c r="F155" i="3"/>
  <c r="F139" i="3"/>
  <c r="F123" i="3"/>
  <c r="F107" i="3"/>
  <c r="F91" i="3"/>
  <c r="F75" i="3"/>
  <c r="F67" i="3"/>
  <c r="F51" i="3"/>
  <c r="F35" i="3"/>
  <c r="F19" i="3"/>
  <c r="F3" i="3"/>
  <c r="F167" i="2"/>
  <c r="F159" i="2"/>
  <c r="F143" i="2"/>
  <c r="F127" i="2"/>
  <c r="F111" i="2"/>
  <c r="F95" i="2"/>
  <c r="F87" i="2"/>
  <c r="F71" i="2"/>
  <c r="F63" i="2"/>
  <c r="F47" i="2"/>
  <c r="F31" i="2"/>
  <c r="F15" i="2"/>
  <c r="F56" i="1"/>
  <c r="E36" i="1"/>
  <c r="F23" i="1"/>
  <c r="D400" i="7"/>
  <c r="E151" i="7"/>
  <c r="D18" i="7"/>
  <c r="E865" i="6"/>
  <c r="D704" i="6"/>
  <c r="D528" i="6"/>
  <c r="D352" i="6"/>
  <c r="D160" i="6"/>
  <c r="D373" i="5"/>
  <c r="D197" i="5"/>
  <c r="D13" i="5"/>
  <c r="E164" i="4"/>
  <c r="F667" i="3"/>
  <c r="F579" i="3"/>
  <c r="E485" i="3"/>
  <c r="E441" i="3"/>
  <c r="E389" i="3"/>
  <c r="E337" i="3"/>
  <c r="E293" i="3"/>
  <c r="E243" i="3"/>
  <c r="E197" i="3"/>
  <c r="E147" i="3"/>
  <c r="E97" i="3"/>
  <c r="E55" i="3"/>
  <c r="E5" i="3"/>
  <c r="E137" i="2"/>
  <c r="E87" i="2"/>
  <c r="E61" i="2"/>
  <c r="E11" i="2"/>
  <c r="E61" i="7"/>
  <c r="D312" i="5"/>
  <c r="D264" i="5"/>
  <c r="D248" i="5"/>
  <c r="D232" i="5"/>
  <c r="D216" i="5"/>
  <c r="D200" i="5"/>
  <c r="D184" i="5"/>
  <c r="D168" i="5"/>
  <c r="D152" i="5"/>
  <c r="D136" i="5"/>
  <c r="D120" i="5"/>
  <c r="D104" i="5"/>
  <c r="D88" i="5"/>
  <c r="D72" i="5"/>
  <c r="D56" i="5"/>
  <c r="D40" i="5"/>
  <c r="D24" i="5"/>
  <c r="D8" i="5"/>
  <c r="E231" i="4"/>
  <c r="E215" i="4"/>
  <c r="E199" i="4"/>
  <c r="E183" i="4"/>
  <c r="E175" i="4"/>
  <c r="E159" i="4"/>
  <c r="E143" i="4"/>
  <c r="E127" i="4"/>
  <c r="E111" i="4"/>
  <c r="E95" i="4"/>
  <c r="E79" i="4"/>
  <c r="E55" i="4"/>
  <c r="E39" i="4"/>
  <c r="E31" i="4"/>
  <c r="E15" i="4"/>
  <c r="E753" i="3"/>
  <c r="E737" i="3"/>
  <c r="E721" i="3"/>
  <c r="E697" i="3"/>
  <c r="E681" i="3"/>
  <c r="E665" i="3"/>
  <c r="E649" i="3"/>
  <c r="E633" i="3"/>
  <c r="E617" i="3"/>
  <c r="E601" i="3"/>
  <c r="E585" i="3"/>
  <c r="E569" i="3"/>
  <c r="E553" i="3"/>
  <c r="E537" i="3"/>
  <c r="E521" i="3"/>
  <c r="E505" i="3"/>
  <c r="D79" i="8"/>
  <c r="D15" i="8"/>
  <c r="D362" i="7"/>
  <c r="D298" i="7"/>
  <c r="D234" i="7"/>
  <c r="D170" i="7"/>
  <c r="D132" i="7"/>
  <c r="D100" i="7"/>
  <c r="D68" i="7"/>
  <c r="E37" i="7"/>
  <c r="D16" i="7"/>
  <c r="E5" i="7"/>
  <c r="E991" i="6"/>
  <c r="D970" i="6"/>
  <c r="E948" i="6"/>
  <c r="D938" i="6"/>
  <c r="E916" i="6"/>
  <c r="E895" i="6"/>
  <c r="D874" i="6"/>
  <c r="E852" i="6"/>
  <c r="E831" i="6"/>
  <c r="D810" i="6"/>
  <c r="E790" i="6"/>
  <c r="E774" i="6"/>
  <c r="E758" i="6"/>
  <c r="E742" i="6"/>
  <c r="E726" i="6"/>
  <c r="E710" i="6"/>
  <c r="E694" i="6"/>
  <c r="E670" i="6"/>
  <c r="E654" i="6"/>
  <c r="E638" i="6"/>
  <c r="E622" i="6"/>
  <c r="E606" i="6"/>
  <c r="E582" i="6"/>
  <c r="E566" i="6"/>
  <c r="E550" i="6"/>
  <c r="E534" i="6"/>
  <c r="E518" i="6"/>
  <c r="E502" i="6"/>
  <c r="E429" i="13"/>
  <c r="E301" i="13"/>
  <c r="E173" i="13"/>
  <c r="E45" i="13"/>
  <c r="E531" i="12"/>
  <c r="E403" i="12"/>
  <c r="E275" i="12"/>
  <c r="E382" i="14"/>
  <c r="D216" i="14"/>
  <c r="D88" i="14"/>
  <c r="D1009" i="13"/>
  <c r="D881" i="13"/>
  <c r="D753" i="13"/>
  <c r="D625" i="13"/>
  <c r="D497" i="13"/>
  <c r="D369" i="13"/>
  <c r="D241" i="13"/>
  <c r="D113" i="13"/>
  <c r="D599" i="12"/>
  <c r="D471" i="12"/>
  <c r="D343" i="12"/>
  <c r="D215" i="12"/>
  <c r="D87" i="12"/>
  <c r="E377" i="14"/>
  <c r="E213" i="14"/>
  <c r="E85" i="14"/>
  <c r="E1006" i="13"/>
  <c r="E878" i="13"/>
  <c r="E750" i="13"/>
  <c r="E622" i="13"/>
  <c r="E494" i="13"/>
  <c r="E366" i="13"/>
  <c r="E238" i="13"/>
  <c r="E110" i="13"/>
  <c r="E596" i="12"/>
  <c r="E522" i="12"/>
  <c r="E458" i="12"/>
  <c r="E394" i="12"/>
  <c r="E330" i="12"/>
  <c r="E266" i="12"/>
  <c r="E198" i="12"/>
  <c r="E70" i="12"/>
  <c r="D734" i="11"/>
  <c r="D670" i="11"/>
  <c r="D606" i="11"/>
  <c r="D542" i="11"/>
  <c r="D478" i="11"/>
  <c r="D414" i="11"/>
  <c r="D350" i="11"/>
  <c r="D286" i="11"/>
  <c r="D222" i="11"/>
  <c r="D158" i="11"/>
  <c r="D94" i="11"/>
  <c r="D30" i="11"/>
  <c r="D187" i="9"/>
  <c r="D123" i="9"/>
  <c r="D59" i="9"/>
  <c r="D583" i="8"/>
  <c r="D515" i="8"/>
  <c r="D451" i="8"/>
  <c r="D387" i="8"/>
  <c r="D323" i="8"/>
  <c r="D259" i="8"/>
  <c r="D195" i="8"/>
  <c r="D131" i="8"/>
  <c r="E117" i="12"/>
  <c r="E11" i="12"/>
  <c r="E693" i="11"/>
  <c r="E629" i="11"/>
  <c r="E565" i="11"/>
  <c r="E501" i="11"/>
  <c r="E437" i="11"/>
  <c r="E373" i="11"/>
  <c r="E309" i="11"/>
  <c r="E245" i="11"/>
  <c r="E181" i="11"/>
  <c r="E117" i="11"/>
  <c r="E59" i="11"/>
  <c r="E27" i="11"/>
  <c r="E216" i="9"/>
  <c r="E184" i="9"/>
  <c r="E152" i="9"/>
  <c r="E120" i="9"/>
  <c r="E88" i="9"/>
  <c r="E56" i="9"/>
  <c r="E24" i="9"/>
  <c r="D578" i="8"/>
  <c r="E544" i="8"/>
  <c r="E512" i="8"/>
  <c r="E480" i="8"/>
  <c r="E448" i="8"/>
  <c r="E416" i="8"/>
  <c r="E384" i="8"/>
  <c r="E352" i="8"/>
  <c r="E320" i="8"/>
  <c r="E288" i="8"/>
  <c r="E256" i="8"/>
  <c r="E224" i="8"/>
  <c r="E192" i="8"/>
  <c r="E160" i="8"/>
  <c r="E128" i="8"/>
  <c r="E96" i="8"/>
  <c r="E64" i="8"/>
  <c r="E32" i="8"/>
  <c r="E411" i="7"/>
  <c r="E379" i="7"/>
  <c r="E347" i="7"/>
  <c r="E315" i="7"/>
  <c r="E283" i="7"/>
  <c r="E251" i="7"/>
  <c r="E219" i="7"/>
  <c r="E187" i="7"/>
  <c r="E208" i="12"/>
  <c r="E144" i="12"/>
  <c r="E80" i="12"/>
  <c r="D25" i="12"/>
  <c r="D739" i="11"/>
  <c r="D707" i="11"/>
  <c r="D675" i="11"/>
  <c r="D643" i="11"/>
  <c r="D611" i="11"/>
  <c r="D579" i="11"/>
  <c r="D547" i="11"/>
  <c r="D515" i="11"/>
  <c r="D483" i="11"/>
  <c r="D451" i="11"/>
  <c r="D419" i="11"/>
  <c r="D387" i="11"/>
  <c r="D355" i="11"/>
  <c r="D323" i="11"/>
  <c r="D291" i="11"/>
  <c r="D259" i="11"/>
  <c r="D227" i="11"/>
  <c r="D195" i="11"/>
  <c r="D163" i="11"/>
  <c r="D131" i="11"/>
  <c r="D99" i="11"/>
  <c r="D67" i="11"/>
  <c r="D35" i="11"/>
  <c r="D3" i="11"/>
  <c r="D192" i="9"/>
  <c r="D160" i="9"/>
  <c r="D128" i="9"/>
  <c r="D96" i="9"/>
  <c r="D64" i="9"/>
  <c r="D32" i="9"/>
  <c r="D593" i="8"/>
  <c r="D552" i="8"/>
  <c r="D520" i="8"/>
  <c r="D488" i="8"/>
  <c r="D456" i="8"/>
  <c r="D424" i="8"/>
  <c r="D392" i="8"/>
  <c r="D360" i="8"/>
  <c r="D328" i="8"/>
  <c r="D296" i="8"/>
  <c r="D264" i="8"/>
  <c r="D232" i="8"/>
  <c r="D200" i="8"/>
  <c r="D168" i="8"/>
  <c r="D136" i="8"/>
  <c r="D104" i="8"/>
  <c r="D72" i="8"/>
  <c r="D40" i="8"/>
  <c r="D8" i="8"/>
  <c r="D387" i="7"/>
  <c r="D355" i="7"/>
  <c r="D323" i="7"/>
  <c r="D291" i="7"/>
  <c r="D259" i="7"/>
  <c r="D227" i="7"/>
  <c r="D195" i="7"/>
  <c r="D163" i="7"/>
  <c r="D131" i="7"/>
  <c r="D99" i="7"/>
  <c r="D67" i="7"/>
  <c r="D35" i="7"/>
  <c r="D3" i="7"/>
  <c r="D989" i="6"/>
  <c r="D957" i="6"/>
  <c r="D925" i="6"/>
  <c r="D893" i="6"/>
  <c r="D861" i="6"/>
  <c r="D829" i="6"/>
  <c r="D797" i="6"/>
  <c r="E151" i="12"/>
  <c r="E87" i="12"/>
  <c r="E28" i="12"/>
  <c r="E742" i="11"/>
  <c r="E710" i="11"/>
  <c r="E678" i="11"/>
  <c r="E646" i="11"/>
  <c r="E614" i="11"/>
  <c r="E582" i="11"/>
  <c r="E550" i="11"/>
  <c r="E518" i="11"/>
  <c r="E486" i="11"/>
  <c r="E454" i="11"/>
  <c r="E422" i="11"/>
  <c r="E390" i="11"/>
  <c r="E358" i="11"/>
  <c r="E326" i="11"/>
  <c r="E294" i="11"/>
  <c r="E262" i="11"/>
  <c r="E230" i="11"/>
  <c r="E198" i="11"/>
  <c r="E166" i="11"/>
  <c r="E134" i="11"/>
  <c r="E102" i="11"/>
  <c r="E70" i="11"/>
  <c r="E38" i="11"/>
  <c r="E6" i="11"/>
  <c r="E195" i="9"/>
  <c r="E163" i="9"/>
  <c r="E131" i="9"/>
  <c r="E99" i="9"/>
  <c r="E67" i="9"/>
  <c r="E35" i="9"/>
  <c r="E3" i="9"/>
  <c r="E555" i="8"/>
  <c r="E523" i="8"/>
  <c r="E491" i="8"/>
  <c r="E459" i="8"/>
  <c r="E427" i="8"/>
  <c r="E395" i="8"/>
  <c r="E363" i="8"/>
  <c r="E331" i="8"/>
  <c r="E299" i="8"/>
  <c r="E267" i="8"/>
  <c r="E235" i="8"/>
  <c r="E203" i="8"/>
  <c r="E171" i="8"/>
  <c r="E139" i="8"/>
  <c r="E107" i="8"/>
  <c r="E75" i="8"/>
  <c r="E43" i="8"/>
  <c r="E11" i="8"/>
  <c r="E390" i="7"/>
  <c r="E358" i="7"/>
  <c r="E326" i="7"/>
  <c r="E294" i="7"/>
  <c r="E262" i="7"/>
  <c r="E230" i="7"/>
  <c r="E198" i="7"/>
  <c r="E166" i="7"/>
  <c r="E134" i="7"/>
  <c r="E102" i="7"/>
  <c r="E70" i="7"/>
  <c r="D115" i="8"/>
  <c r="D398" i="7"/>
  <c r="D270" i="7"/>
  <c r="D150" i="7"/>
  <c r="D86" i="7"/>
  <c r="D28" i="7"/>
  <c r="E1003" i="6"/>
  <c r="E960" i="6"/>
  <c r="D934" i="6"/>
  <c r="E912" i="6"/>
  <c r="E891" i="6"/>
  <c r="D870" i="6"/>
  <c r="E848" i="6"/>
  <c r="E827" i="6"/>
  <c r="D806" i="6"/>
  <c r="E787" i="6"/>
  <c r="E771" i="6"/>
  <c r="E755" i="6"/>
  <c r="E739" i="6"/>
  <c r="E723" i="6"/>
  <c r="E707" i="6"/>
  <c r="E691" i="6"/>
  <c r="E675" i="6"/>
  <c r="E659" i="6"/>
  <c r="E643" i="6"/>
  <c r="E627" i="6"/>
  <c r="E611" i="6"/>
  <c r="E595" i="6"/>
  <c r="E579" i="6"/>
  <c r="E563" i="6"/>
  <c r="E547" i="6"/>
  <c r="E531" i="6"/>
  <c r="E515" i="6"/>
  <c r="E499" i="6"/>
  <c r="E483" i="6"/>
  <c r="E467" i="6"/>
  <c r="E451" i="6"/>
  <c r="E435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9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15" i="6"/>
  <c r="E107" i="6"/>
  <c r="E99" i="6"/>
  <c r="E91" i="6"/>
  <c r="E83" i="6"/>
  <c r="E75" i="6"/>
  <c r="E67" i="6"/>
  <c r="E59" i="6"/>
  <c r="E51" i="6"/>
  <c r="E43" i="6"/>
  <c r="E35" i="6"/>
  <c r="E27" i="6"/>
  <c r="E19" i="6"/>
  <c r="E11" i="6"/>
  <c r="E3" i="6"/>
  <c r="E392" i="5"/>
  <c r="E384" i="5"/>
  <c r="E376" i="5"/>
  <c r="E368" i="5"/>
  <c r="E360" i="5"/>
  <c r="E352" i="5"/>
  <c r="E344" i="5"/>
  <c r="E336" i="5"/>
  <c r="E328" i="5"/>
  <c r="E320" i="5"/>
  <c r="E312" i="5"/>
  <c r="E304" i="5"/>
  <c r="E296" i="5"/>
  <c r="E288" i="5"/>
  <c r="E280" i="5"/>
  <c r="E272" i="5"/>
  <c r="E264" i="5"/>
  <c r="E256" i="5"/>
  <c r="E248" i="5"/>
  <c r="E240" i="5"/>
  <c r="E232" i="5"/>
  <c r="E224" i="5"/>
  <c r="E216" i="5"/>
  <c r="E208" i="5"/>
  <c r="E200" i="5"/>
  <c r="E192" i="5"/>
  <c r="E184" i="5"/>
  <c r="E176" i="5"/>
  <c r="E168" i="5"/>
  <c r="E160" i="5"/>
  <c r="E152" i="5"/>
  <c r="E144" i="5"/>
  <c r="E136" i="5"/>
  <c r="E128" i="5"/>
  <c r="E120" i="5"/>
  <c r="E112" i="5"/>
  <c r="E104" i="5"/>
  <c r="E96" i="5"/>
  <c r="E88" i="5"/>
  <c r="E80" i="5"/>
  <c r="E72" i="5"/>
  <c r="E64" i="5"/>
  <c r="E56" i="5"/>
  <c r="E48" i="5"/>
  <c r="E40" i="5"/>
  <c r="E32" i="5"/>
  <c r="E24" i="5"/>
  <c r="E16" i="5"/>
  <c r="E8" i="5"/>
  <c r="F239" i="4"/>
  <c r="F231" i="4"/>
  <c r="F223" i="4"/>
  <c r="F215" i="4"/>
  <c r="F207" i="4"/>
  <c r="F199" i="4"/>
  <c r="F191" i="4"/>
  <c r="F183" i="4"/>
  <c r="F175" i="4"/>
  <c r="F167" i="4"/>
  <c r="F159" i="4"/>
  <c r="F151" i="4"/>
  <c r="F143" i="4"/>
  <c r="F135" i="4"/>
  <c r="F127" i="4"/>
  <c r="F119" i="4"/>
  <c r="F111" i="4"/>
  <c r="F103" i="4"/>
  <c r="F95" i="4"/>
  <c r="F87" i="4"/>
  <c r="F79" i="4"/>
  <c r="F71" i="4"/>
  <c r="F63" i="4"/>
  <c r="F55" i="4"/>
  <c r="F47" i="4"/>
  <c r="F39" i="4"/>
  <c r="F31" i="4"/>
  <c r="F23" i="4"/>
  <c r="F15" i="4"/>
  <c r="F7" i="4"/>
  <c r="F753" i="3"/>
  <c r="F745" i="3"/>
  <c r="F737" i="3"/>
  <c r="F729" i="3"/>
  <c r="F721" i="3"/>
  <c r="F713" i="3"/>
  <c r="F705" i="3"/>
  <c r="F697" i="3"/>
  <c r="F689" i="3"/>
  <c r="D105" i="8"/>
  <c r="D73" i="8"/>
  <c r="D41" i="8"/>
  <c r="D9" i="8"/>
  <c r="D388" i="7"/>
  <c r="D356" i="7"/>
  <c r="D324" i="7"/>
  <c r="D292" i="7"/>
  <c r="D260" i="7"/>
  <c r="D228" i="7"/>
  <c r="D196" i="7"/>
  <c r="D164" i="7"/>
  <c r="E145" i="7"/>
  <c r="E129" i="7"/>
  <c r="E113" i="7"/>
  <c r="E97" i="7"/>
  <c r="E81" i="7"/>
  <c r="E65" i="7"/>
  <c r="E49" i="7"/>
  <c r="E35" i="7"/>
  <c r="E24" i="7"/>
  <c r="D14" i="7"/>
  <c r="E3" i="7"/>
  <c r="E1010" i="6"/>
  <c r="D1000" i="6"/>
  <c r="E989" i="6"/>
  <c r="E978" i="6"/>
  <c r="D968" i="6"/>
  <c r="E957" i="6"/>
  <c r="E946" i="6"/>
  <c r="D936" i="6"/>
  <c r="E925" i="6"/>
  <c r="E914" i="6"/>
  <c r="D904" i="6"/>
  <c r="E893" i="6"/>
  <c r="E882" i="6"/>
  <c r="D872" i="6"/>
  <c r="E861" i="6"/>
  <c r="E850" i="6"/>
  <c r="D840" i="6"/>
  <c r="E829" i="6"/>
  <c r="E818" i="6"/>
  <c r="D808" i="6"/>
  <c r="E797" i="6"/>
  <c r="D789" i="6"/>
  <c r="D781" i="6"/>
  <c r="D773" i="6"/>
  <c r="D765" i="6"/>
  <c r="D757" i="6"/>
  <c r="D749" i="6"/>
  <c r="D741" i="6"/>
  <c r="D733" i="6"/>
  <c r="D725" i="6"/>
  <c r="D717" i="6"/>
  <c r="D709" i="6"/>
  <c r="D701" i="6"/>
  <c r="D693" i="6"/>
  <c r="D685" i="6"/>
  <c r="D677" i="6"/>
  <c r="D669" i="6"/>
  <c r="D661" i="6"/>
  <c r="D653" i="6"/>
  <c r="D645" i="6"/>
  <c r="D637" i="6"/>
  <c r="D629" i="6"/>
  <c r="D621" i="6"/>
  <c r="D613" i="6"/>
  <c r="D605" i="6"/>
  <c r="D597" i="6"/>
  <c r="D589" i="6"/>
  <c r="D581" i="6"/>
  <c r="D573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445" i="6"/>
  <c r="D437" i="6"/>
  <c r="D429" i="6"/>
  <c r="D421" i="6"/>
  <c r="D413" i="6"/>
  <c r="D405" i="6"/>
  <c r="D397" i="6"/>
  <c r="D389" i="6"/>
  <c r="D381" i="6"/>
  <c r="D373" i="6"/>
  <c r="D365" i="6"/>
  <c r="D357" i="6"/>
  <c r="D349" i="6"/>
  <c r="D341" i="6"/>
  <c r="D333" i="6"/>
  <c r="D325" i="6"/>
  <c r="D317" i="6"/>
  <c r="D309" i="6"/>
  <c r="D301" i="6"/>
  <c r="D293" i="6"/>
  <c r="D285" i="6"/>
  <c r="D277" i="6"/>
  <c r="D269" i="6"/>
  <c r="D261" i="6"/>
  <c r="D253" i="6"/>
  <c r="D245" i="6"/>
  <c r="D237" i="6"/>
  <c r="D229" i="6"/>
  <c r="D221" i="6"/>
  <c r="D213" i="6"/>
  <c r="D205" i="6"/>
  <c r="D197" i="6"/>
  <c r="D189" i="6"/>
  <c r="D181" i="6"/>
  <c r="D173" i="6"/>
  <c r="D165" i="6"/>
  <c r="D157" i="6"/>
  <c r="D149" i="6"/>
  <c r="D141" i="6"/>
  <c r="D133" i="6"/>
  <c r="D125" i="6"/>
  <c r="D117" i="6"/>
  <c r="D109" i="6"/>
  <c r="D101" i="6"/>
  <c r="D93" i="6"/>
  <c r="D85" i="6"/>
  <c r="D77" i="6"/>
  <c r="D69" i="6"/>
  <c r="D61" i="6"/>
  <c r="D53" i="6"/>
  <c r="D45" i="6"/>
  <c r="D37" i="6"/>
  <c r="D29" i="6"/>
  <c r="D21" i="6"/>
  <c r="D13" i="6"/>
  <c r="D5" i="6"/>
  <c r="D394" i="5"/>
  <c r="D386" i="5"/>
  <c r="D378" i="5"/>
  <c r="D370" i="5"/>
  <c r="D362" i="5"/>
  <c r="D354" i="5"/>
  <c r="D346" i="5"/>
  <c r="D338" i="5"/>
  <c r="D330" i="5"/>
  <c r="D322" i="5"/>
  <c r="D314" i="5"/>
  <c r="D306" i="5"/>
  <c r="D298" i="5"/>
  <c r="D290" i="5"/>
  <c r="D282" i="5"/>
  <c r="D274" i="5"/>
  <c r="D266" i="5"/>
  <c r="D258" i="5"/>
  <c r="D250" i="5"/>
  <c r="D242" i="5"/>
  <c r="D234" i="5"/>
  <c r="D226" i="5"/>
  <c r="D218" i="5"/>
  <c r="D210" i="5"/>
  <c r="D202" i="5"/>
  <c r="D194" i="5"/>
  <c r="D186" i="5"/>
  <c r="D178" i="5"/>
  <c r="D170" i="5"/>
  <c r="D162" i="5"/>
  <c r="D154" i="5"/>
  <c r="D146" i="5"/>
  <c r="D138" i="5"/>
  <c r="D130" i="5"/>
  <c r="D122" i="5"/>
  <c r="D114" i="5"/>
  <c r="D106" i="5"/>
  <c r="D98" i="5"/>
  <c r="D90" i="5"/>
  <c r="D82" i="5"/>
  <c r="D74" i="5"/>
  <c r="D66" i="5"/>
  <c r="D58" i="5"/>
  <c r="D50" i="5"/>
  <c r="D42" i="5"/>
  <c r="D34" i="5"/>
  <c r="D26" i="5"/>
  <c r="D18" i="5"/>
  <c r="D10" i="5"/>
  <c r="D2" i="5"/>
  <c r="E233" i="4"/>
  <c r="E225" i="4"/>
  <c r="E217" i="4"/>
  <c r="E209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5" i="4"/>
  <c r="E97" i="4"/>
  <c r="E89" i="4"/>
  <c r="E81" i="4"/>
  <c r="E73" i="4"/>
  <c r="E65" i="4"/>
  <c r="E57" i="4"/>
  <c r="E49" i="4"/>
  <c r="E41" i="4"/>
  <c r="E33" i="4"/>
  <c r="E25" i="4"/>
  <c r="E17" i="4"/>
  <c r="E9" i="4"/>
  <c r="E755" i="3"/>
  <c r="E747" i="3"/>
  <c r="E739" i="3"/>
  <c r="E731" i="3"/>
  <c r="E723" i="3"/>
  <c r="E715" i="3"/>
  <c r="E707" i="3"/>
  <c r="E699" i="3"/>
  <c r="E691" i="3"/>
  <c r="E683" i="3"/>
  <c r="E675" i="3"/>
  <c r="E667" i="3"/>
  <c r="E659" i="3"/>
  <c r="E651" i="3"/>
  <c r="E643" i="3"/>
  <c r="E635" i="3"/>
  <c r="E627" i="3"/>
  <c r="E619" i="3"/>
  <c r="E611" i="3"/>
  <c r="E603" i="3"/>
  <c r="E595" i="3"/>
  <c r="E587" i="3"/>
  <c r="E579" i="3"/>
  <c r="E571" i="3"/>
  <c r="E563" i="3"/>
  <c r="E555" i="3"/>
  <c r="E547" i="3"/>
  <c r="E539" i="3"/>
  <c r="E531" i="3"/>
  <c r="E523" i="3"/>
  <c r="E515" i="3"/>
  <c r="E507" i="3"/>
  <c r="E499" i="3"/>
  <c r="D87" i="8"/>
  <c r="D55" i="8"/>
  <c r="D23" i="8"/>
  <c r="D402" i="7"/>
  <c r="D370" i="7"/>
  <c r="D338" i="7"/>
  <c r="D306" i="7"/>
  <c r="D274" i="7"/>
  <c r="D242" i="7"/>
  <c r="D210" i="7"/>
  <c r="D178" i="7"/>
  <c r="D152" i="7"/>
  <c r="D136" i="7"/>
  <c r="D120" i="7"/>
  <c r="D104" i="7"/>
  <c r="D88" i="7"/>
  <c r="D72" i="7"/>
  <c r="D56" i="7"/>
  <c r="D40" i="7"/>
  <c r="E29" i="7"/>
  <c r="E18" i="7"/>
  <c r="D8" i="7"/>
  <c r="E1015" i="6"/>
  <c r="E1004" i="6"/>
  <c r="D994" i="6"/>
  <c r="E983" i="6"/>
  <c r="E972" i="6"/>
  <c r="D962" i="6"/>
  <c r="E951" i="6"/>
  <c r="E940" i="6"/>
  <c r="D930" i="6"/>
  <c r="E919" i="6"/>
  <c r="E908" i="6"/>
  <c r="D898" i="6"/>
  <c r="E887" i="6"/>
  <c r="E876" i="6"/>
  <c r="D866" i="6"/>
  <c r="E855" i="6"/>
  <c r="E844" i="6"/>
  <c r="D834" i="6"/>
  <c r="E823" i="6"/>
  <c r="E812" i="6"/>
  <c r="D802" i="6"/>
  <c r="E792" i="6"/>
  <c r="E784" i="6"/>
  <c r="E776" i="6"/>
  <c r="E768" i="6"/>
  <c r="E760" i="6"/>
  <c r="E752" i="6"/>
  <c r="E744" i="6"/>
  <c r="E736" i="6"/>
  <c r="E728" i="6"/>
  <c r="E720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397" i="5"/>
  <c r="E389" i="5"/>
  <c r="E381" i="5"/>
  <c r="E373" i="5"/>
  <c r="E365" i="5"/>
  <c r="E357" i="5"/>
  <c r="E349" i="5"/>
  <c r="E341" i="5"/>
  <c r="E333" i="5"/>
  <c r="E325" i="5"/>
  <c r="E317" i="5"/>
  <c r="E309" i="5"/>
  <c r="E301" i="5"/>
  <c r="E397" i="13"/>
  <c r="E269" i="13"/>
  <c r="E141" i="13"/>
  <c r="E13" i="13"/>
  <c r="E499" i="12"/>
  <c r="E371" i="12"/>
  <c r="E243" i="12"/>
  <c r="E318" i="14"/>
  <c r="D184" i="14"/>
  <c r="D56" i="14"/>
  <c r="D977" i="13"/>
  <c r="D849" i="13"/>
  <c r="D721" i="13"/>
  <c r="D593" i="13"/>
  <c r="D465" i="13"/>
  <c r="D337" i="13"/>
  <c r="D209" i="13"/>
  <c r="D81" i="13"/>
  <c r="D567" i="12"/>
  <c r="D439" i="12"/>
  <c r="D311" i="12"/>
  <c r="D183" i="12"/>
  <c r="D55" i="12"/>
  <c r="E313" i="14"/>
  <c r="E181" i="14"/>
  <c r="E53" i="14"/>
  <c r="E974" i="13"/>
  <c r="E846" i="13"/>
  <c r="E718" i="13"/>
  <c r="E590" i="13"/>
  <c r="E462" i="13"/>
  <c r="E334" i="13"/>
  <c r="E206" i="13"/>
  <c r="E78" i="13"/>
  <c r="E570" i="12"/>
  <c r="E506" i="12"/>
  <c r="E442" i="12"/>
  <c r="E378" i="12"/>
  <c r="E314" i="12"/>
  <c r="E250" i="12"/>
  <c r="E166" i="12"/>
  <c r="E38" i="12"/>
  <c r="D718" i="11"/>
  <c r="D654" i="11"/>
  <c r="D590" i="11"/>
  <c r="D526" i="11"/>
  <c r="D462" i="11"/>
  <c r="D398" i="11"/>
  <c r="D334" i="11"/>
  <c r="D270" i="11"/>
  <c r="D206" i="11"/>
  <c r="D142" i="11"/>
  <c r="D78" i="11"/>
  <c r="D14" i="11"/>
  <c r="D171" i="9"/>
  <c r="D107" i="9"/>
  <c r="D43" i="9"/>
  <c r="D563" i="8"/>
  <c r="D499" i="8"/>
  <c r="D435" i="8"/>
  <c r="D371" i="8"/>
  <c r="D307" i="8"/>
  <c r="D243" i="8"/>
  <c r="D179" i="8"/>
  <c r="E215" i="12"/>
  <c r="E85" i="12"/>
  <c r="E741" i="11"/>
  <c r="E677" i="11"/>
  <c r="E613" i="11"/>
  <c r="E549" i="11"/>
  <c r="E485" i="11"/>
  <c r="E421" i="11"/>
  <c r="E357" i="11"/>
  <c r="E293" i="11"/>
  <c r="E229" i="11"/>
  <c r="E165" i="11"/>
  <c r="E101" i="11"/>
  <c r="E51" i="11"/>
  <c r="E19" i="11"/>
  <c r="E208" i="9"/>
  <c r="E176" i="9"/>
  <c r="E144" i="9"/>
  <c r="E112" i="9"/>
  <c r="E80" i="9"/>
  <c r="E48" i="9"/>
  <c r="E16" i="9"/>
  <c r="E568" i="8"/>
  <c r="E536" i="8"/>
  <c r="E504" i="8"/>
  <c r="E472" i="8"/>
  <c r="E440" i="8"/>
  <c r="E408" i="8"/>
  <c r="E376" i="8"/>
  <c r="E344" i="8"/>
  <c r="E312" i="8"/>
  <c r="E280" i="8"/>
  <c r="E248" i="8"/>
  <c r="E216" i="8"/>
  <c r="E184" i="8"/>
  <c r="E152" i="8"/>
  <c r="E120" i="8"/>
  <c r="E88" i="8"/>
  <c r="E56" i="8"/>
  <c r="E24" i="8"/>
  <c r="E403" i="7"/>
  <c r="E371" i="7"/>
  <c r="E339" i="7"/>
  <c r="E307" i="7"/>
  <c r="E275" i="7"/>
  <c r="E243" i="7"/>
  <c r="E211" i="7"/>
  <c r="E179" i="7"/>
  <c r="E192" i="12"/>
  <c r="E128" i="12"/>
  <c r="E64" i="12"/>
  <c r="D17" i="12"/>
  <c r="D731" i="11"/>
  <c r="D699" i="11"/>
  <c r="D667" i="11"/>
  <c r="D635" i="11"/>
  <c r="D603" i="11"/>
  <c r="D571" i="11"/>
  <c r="D539" i="11"/>
  <c r="D507" i="11"/>
  <c r="D475" i="11"/>
  <c r="D443" i="11"/>
  <c r="D411" i="11"/>
  <c r="D379" i="11"/>
  <c r="D347" i="11"/>
  <c r="D315" i="11"/>
  <c r="D283" i="11"/>
  <c r="D251" i="11"/>
  <c r="D219" i="11"/>
  <c r="D187" i="11"/>
  <c r="D155" i="11"/>
  <c r="D123" i="11"/>
  <c r="D91" i="11"/>
  <c r="D59" i="11"/>
  <c r="D27" i="11"/>
  <c r="D216" i="9"/>
  <c r="D184" i="9"/>
  <c r="D152" i="9"/>
  <c r="D120" i="9"/>
  <c r="D88" i="9"/>
  <c r="D56" i="9"/>
  <c r="D24" i="9"/>
  <c r="D577" i="8"/>
  <c r="D544" i="8"/>
  <c r="D512" i="8"/>
  <c r="D480" i="8"/>
  <c r="D448" i="8"/>
  <c r="D416" i="8"/>
  <c r="D384" i="8"/>
  <c r="D352" i="8"/>
  <c r="D320" i="8"/>
  <c r="D288" i="8"/>
  <c r="D256" i="8"/>
  <c r="D224" i="8"/>
  <c r="D192" i="8"/>
  <c r="D160" i="8"/>
  <c r="D128" i="8"/>
  <c r="D96" i="8"/>
  <c r="D64" i="8"/>
  <c r="D32" i="8"/>
  <c r="D411" i="7"/>
  <c r="D379" i="7"/>
  <c r="D347" i="7"/>
  <c r="D315" i="7"/>
  <c r="D283" i="7"/>
  <c r="D251" i="7"/>
  <c r="D219" i="7"/>
  <c r="D187" i="7"/>
  <c r="D155" i="7"/>
  <c r="D123" i="7"/>
  <c r="D91" i="7"/>
  <c r="D59" i="7"/>
  <c r="D27" i="7"/>
  <c r="D1013" i="6"/>
  <c r="D981" i="6"/>
  <c r="D949" i="6"/>
  <c r="D917" i="6"/>
  <c r="D885" i="6"/>
  <c r="D853" i="6"/>
  <c r="D821" i="6"/>
  <c r="E199" i="12"/>
  <c r="E135" i="12"/>
  <c r="E71" i="12"/>
  <c r="E20" i="12"/>
  <c r="E734" i="11"/>
  <c r="E702" i="11"/>
  <c r="E670" i="11"/>
  <c r="E638" i="11"/>
  <c r="E606" i="11"/>
  <c r="E574" i="11"/>
  <c r="E542" i="11"/>
  <c r="E510" i="11"/>
  <c r="E478" i="11"/>
  <c r="E446" i="11"/>
  <c r="E414" i="11"/>
  <c r="E382" i="11"/>
  <c r="E350" i="11"/>
  <c r="E318" i="11"/>
  <c r="E286" i="11"/>
  <c r="E254" i="11"/>
  <c r="E222" i="11"/>
  <c r="E190" i="11"/>
  <c r="E158" i="11"/>
  <c r="E126" i="11"/>
  <c r="E94" i="11"/>
  <c r="E62" i="11"/>
  <c r="E30" i="11"/>
  <c r="E219" i="9"/>
  <c r="E187" i="9"/>
  <c r="E155" i="9"/>
  <c r="E123" i="9"/>
  <c r="E91" i="9"/>
  <c r="E59" i="9"/>
  <c r="E27" i="9"/>
  <c r="D584" i="8"/>
  <c r="E547" i="8"/>
  <c r="E515" i="8"/>
  <c r="E483" i="8"/>
  <c r="E451" i="8"/>
  <c r="E419" i="8"/>
  <c r="E387" i="8"/>
  <c r="E355" i="8"/>
  <c r="E323" i="8"/>
  <c r="E291" i="8"/>
  <c r="E259" i="8"/>
  <c r="E227" i="8"/>
  <c r="E195" i="8"/>
  <c r="E163" i="8"/>
  <c r="E131" i="8"/>
  <c r="E99" i="8"/>
  <c r="E67" i="8"/>
  <c r="E35" i="8"/>
  <c r="E3" i="8"/>
  <c r="E382" i="7"/>
  <c r="E350" i="7"/>
  <c r="E318" i="7"/>
  <c r="E286" i="7"/>
  <c r="E254" i="7"/>
  <c r="E222" i="7"/>
  <c r="E190" i="7"/>
  <c r="E158" i="7"/>
  <c r="E126" i="7"/>
  <c r="E94" i="7"/>
  <c r="E62" i="7"/>
  <c r="D83" i="8"/>
  <c r="D366" i="7"/>
  <c r="D238" i="7"/>
  <c r="D134" i="7"/>
  <c r="D70" i="7"/>
  <c r="E17" i="7"/>
  <c r="E992" i="6"/>
  <c r="D950" i="6"/>
  <c r="E928" i="6"/>
  <c r="E907" i="6"/>
  <c r="D886" i="6"/>
  <c r="E864" i="6"/>
  <c r="E843" i="6"/>
  <c r="D822" i="6"/>
  <c r="E800" i="6"/>
  <c r="E783" i="6"/>
  <c r="E767" i="6"/>
  <c r="E751" i="6"/>
  <c r="E735" i="6"/>
  <c r="E719" i="6"/>
  <c r="E703" i="6"/>
  <c r="E687" i="6"/>
  <c r="E671" i="6"/>
  <c r="E655" i="6"/>
  <c r="E639" i="6"/>
  <c r="E623" i="6"/>
  <c r="E607" i="6"/>
  <c r="E591" i="6"/>
  <c r="E575" i="6"/>
  <c r="E559" i="6"/>
  <c r="E543" i="6"/>
  <c r="E527" i="6"/>
  <c r="E511" i="6"/>
  <c r="E495" i="6"/>
  <c r="E479" i="6"/>
  <c r="E463" i="6"/>
  <c r="E447" i="6"/>
  <c r="E433" i="6"/>
  <c r="E425" i="6"/>
  <c r="E417" i="6"/>
  <c r="E409" i="6"/>
  <c r="E401" i="6"/>
  <c r="E393" i="6"/>
  <c r="E385" i="6"/>
  <c r="E377" i="6"/>
  <c r="E369" i="6"/>
  <c r="E361" i="6"/>
  <c r="E353" i="6"/>
  <c r="E345" i="6"/>
  <c r="E337" i="6"/>
  <c r="E329" i="6"/>
  <c r="E321" i="6"/>
  <c r="E313" i="6"/>
  <c r="E305" i="6"/>
  <c r="E297" i="6"/>
  <c r="E289" i="6"/>
  <c r="E281" i="6"/>
  <c r="E273" i="6"/>
  <c r="E265" i="6"/>
  <c r="E257" i="6"/>
  <c r="E249" i="6"/>
  <c r="E241" i="6"/>
  <c r="E233" i="6"/>
  <c r="E225" i="6"/>
  <c r="E217" i="6"/>
  <c r="E209" i="6"/>
  <c r="E201" i="6"/>
  <c r="E193" i="6"/>
  <c r="E185" i="6"/>
  <c r="E177" i="6"/>
  <c r="E169" i="6"/>
  <c r="E161" i="6"/>
  <c r="E153" i="6"/>
  <c r="E145" i="6"/>
  <c r="E137" i="6"/>
  <c r="E129" i="6"/>
  <c r="E121" i="6"/>
  <c r="E113" i="6"/>
  <c r="E105" i="6"/>
  <c r="E97" i="6"/>
  <c r="E89" i="6"/>
  <c r="E81" i="6"/>
  <c r="E73" i="6"/>
  <c r="E65" i="6"/>
  <c r="E57" i="6"/>
  <c r="E49" i="6"/>
  <c r="E41" i="6"/>
  <c r="E33" i="6"/>
  <c r="E25" i="6"/>
  <c r="E17" i="6"/>
  <c r="E9" i="6"/>
  <c r="E1" i="6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110" i="5"/>
  <c r="E102" i="5"/>
  <c r="E94" i="5"/>
  <c r="E86" i="5"/>
  <c r="E78" i="5"/>
  <c r="E70" i="5"/>
  <c r="E62" i="5"/>
  <c r="E54" i="5"/>
  <c r="E46" i="5"/>
  <c r="E38" i="5"/>
  <c r="E30" i="5"/>
  <c r="E22" i="5"/>
  <c r="E14" i="5"/>
  <c r="E6" i="5"/>
  <c r="F237" i="4"/>
  <c r="F229" i="4"/>
  <c r="F221" i="4"/>
  <c r="F213" i="4"/>
  <c r="F205" i="4"/>
  <c r="F197" i="4"/>
  <c r="F189" i="4"/>
  <c r="F181" i="4"/>
  <c r="F173" i="4"/>
  <c r="F165" i="4"/>
  <c r="F157" i="4"/>
  <c r="F149" i="4"/>
  <c r="F141" i="4"/>
  <c r="F133" i="4"/>
  <c r="F125" i="4"/>
  <c r="F117" i="4"/>
  <c r="F109" i="4"/>
  <c r="F101" i="4"/>
  <c r="F93" i="4"/>
  <c r="F85" i="4"/>
  <c r="F77" i="4"/>
  <c r="F69" i="4"/>
  <c r="F61" i="4"/>
  <c r="F53" i="4"/>
  <c r="F45" i="4"/>
  <c r="F37" i="4"/>
  <c r="F29" i="4"/>
  <c r="F21" i="4"/>
  <c r="F13" i="4"/>
  <c r="F5" i="4"/>
  <c r="F751" i="3"/>
  <c r="F743" i="3"/>
  <c r="F735" i="3"/>
  <c r="F727" i="3"/>
  <c r="F719" i="3"/>
  <c r="F711" i="3"/>
  <c r="F703" i="3"/>
  <c r="F695" i="3"/>
  <c r="F687" i="3"/>
  <c r="D97" i="8"/>
  <c r="D65" i="8"/>
  <c r="D33" i="8"/>
  <c r="D1" i="8"/>
  <c r="D380" i="7"/>
  <c r="D348" i="7"/>
  <c r="D316" i="7"/>
  <c r="D284" i="7"/>
  <c r="D252" i="7"/>
  <c r="D220" i="7"/>
  <c r="D188" i="7"/>
  <c r="E157" i="7"/>
  <c r="E141" i="7"/>
  <c r="E125" i="7"/>
  <c r="E109" i="7"/>
  <c r="E93" i="7"/>
  <c r="E77" i="7"/>
  <c r="E45" i="7"/>
  <c r="D22" i="7"/>
  <c r="E11" i="7"/>
  <c r="E1018" i="6"/>
  <c r="D1008" i="6"/>
  <c r="E997" i="6"/>
  <c r="E986" i="6"/>
  <c r="D976" i="6"/>
  <c r="E965" i="6"/>
  <c r="E954" i="6"/>
  <c r="D944" i="6"/>
  <c r="E933" i="6"/>
  <c r="E922" i="6"/>
  <c r="D912" i="6"/>
  <c r="E901" i="6"/>
  <c r="E890" i="6"/>
  <c r="D880" i="6"/>
  <c r="E869" i="6"/>
  <c r="E858" i="6"/>
  <c r="D848" i="6"/>
  <c r="E837" i="6"/>
  <c r="E826" i="6"/>
  <c r="D816" i="6"/>
  <c r="E805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9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9" i="6"/>
  <c r="D571" i="6"/>
  <c r="D563" i="6"/>
  <c r="D555" i="6"/>
  <c r="D547" i="6"/>
  <c r="D539" i="6"/>
  <c r="D531" i="6"/>
  <c r="D523" i="6"/>
  <c r="D515" i="6"/>
  <c r="D507" i="6"/>
  <c r="D499" i="6"/>
  <c r="D491" i="6"/>
  <c r="D483" i="6"/>
  <c r="D475" i="6"/>
  <c r="D467" i="6"/>
  <c r="D459" i="6"/>
  <c r="D451" i="6"/>
  <c r="D443" i="6"/>
  <c r="D435" i="6"/>
  <c r="D427" i="6"/>
  <c r="D419" i="6"/>
  <c r="D411" i="6"/>
  <c r="D403" i="6"/>
  <c r="D395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9" i="6"/>
  <c r="D131" i="6"/>
  <c r="D123" i="6"/>
  <c r="D115" i="6"/>
  <c r="D107" i="6"/>
  <c r="D99" i="6"/>
  <c r="D91" i="6"/>
  <c r="D83" i="6"/>
  <c r="D75" i="6"/>
  <c r="D67" i="6"/>
  <c r="D59" i="6"/>
  <c r="D51" i="6"/>
  <c r="D43" i="6"/>
  <c r="D35" i="6"/>
  <c r="D27" i="6"/>
  <c r="D19" i="6"/>
  <c r="D11" i="6"/>
  <c r="D3" i="6"/>
  <c r="D392" i="5"/>
  <c r="D384" i="5"/>
  <c r="D376" i="5"/>
  <c r="D368" i="5"/>
  <c r="D360" i="5"/>
  <c r="D352" i="5"/>
  <c r="D344" i="5"/>
  <c r="D336" i="5"/>
  <c r="D328" i="5"/>
  <c r="D320" i="5"/>
  <c r="D304" i="5"/>
  <c r="D296" i="5"/>
  <c r="D288" i="5"/>
  <c r="D280" i="5"/>
  <c r="D272" i="5"/>
  <c r="D256" i="5"/>
  <c r="D240" i="5"/>
  <c r="D224" i="5"/>
  <c r="D208" i="5"/>
  <c r="D192" i="5"/>
  <c r="D176" i="5"/>
  <c r="D160" i="5"/>
  <c r="D144" i="5"/>
  <c r="D128" i="5"/>
  <c r="D112" i="5"/>
  <c r="D96" i="5"/>
  <c r="D80" i="5"/>
  <c r="D64" i="5"/>
  <c r="D48" i="5"/>
  <c r="D32" i="5"/>
  <c r="D16" i="5"/>
  <c r="E239" i="4"/>
  <c r="E223" i="4"/>
  <c r="E207" i="4"/>
  <c r="E191" i="4"/>
  <c r="E167" i="4"/>
  <c r="E151" i="4"/>
  <c r="E135" i="4"/>
  <c r="E119" i="4"/>
  <c r="E103" i="4"/>
  <c r="E87" i="4"/>
  <c r="E71" i="4"/>
  <c r="E63" i="4"/>
  <c r="E47" i="4"/>
  <c r="E23" i="4"/>
  <c r="E7" i="4"/>
  <c r="E745" i="3"/>
  <c r="E729" i="3"/>
  <c r="E713" i="3"/>
  <c r="E705" i="3"/>
  <c r="E689" i="3"/>
  <c r="E673" i="3"/>
  <c r="E657" i="3"/>
  <c r="E641" i="3"/>
  <c r="E625" i="3"/>
  <c r="E609" i="3"/>
  <c r="E593" i="3"/>
  <c r="E577" i="3"/>
  <c r="E561" i="3"/>
  <c r="E545" i="3"/>
  <c r="E529" i="3"/>
  <c r="E513" i="3"/>
  <c r="D111" i="8"/>
  <c r="D47" i="8"/>
  <c r="D394" i="7"/>
  <c r="D330" i="7"/>
  <c r="D266" i="7"/>
  <c r="D202" i="7"/>
  <c r="D148" i="7"/>
  <c r="D116" i="7"/>
  <c r="D84" i="7"/>
  <c r="D52" i="7"/>
  <c r="E26" i="7"/>
  <c r="E1012" i="6"/>
  <c r="D1002" i="6"/>
  <c r="E980" i="6"/>
  <c r="E959" i="6"/>
  <c r="E927" i="6"/>
  <c r="D906" i="6"/>
  <c r="E884" i="6"/>
  <c r="E863" i="6"/>
  <c r="D842" i="6"/>
  <c r="E820" i="6"/>
  <c r="E799" i="6"/>
  <c r="E782" i="6"/>
  <c r="E766" i="6"/>
  <c r="E750" i="6"/>
  <c r="E734" i="6"/>
  <c r="E718" i="6"/>
  <c r="E702" i="6"/>
  <c r="E686" i="6"/>
  <c r="E678" i="6"/>
  <c r="E662" i="6"/>
  <c r="E646" i="6"/>
  <c r="E630" i="6"/>
  <c r="E614" i="6"/>
  <c r="E598" i="6"/>
  <c r="E574" i="6"/>
  <c r="E558" i="6"/>
  <c r="E542" i="6"/>
  <c r="E526" i="6"/>
  <c r="E510" i="6"/>
  <c r="E494" i="6"/>
  <c r="E590" i="6"/>
  <c r="E462" i="6"/>
  <c r="E430" i="6"/>
  <c r="E398" i="6"/>
  <c r="E366" i="6"/>
  <c r="E334" i="6"/>
  <c r="E302" i="6"/>
  <c r="E270" i="6"/>
  <c r="E238" i="6"/>
  <c r="E206" i="6"/>
  <c r="E174" i="6"/>
  <c r="E142" i="6"/>
  <c r="E110" i="6"/>
  <c r="E78" i="6"/>
  <c r="E46" i="6"/>
  <c r="E14" i="6"/>
  <c r="E379" i="5"/>
  <c r="E347" i="5"/>
  <c r="E315" i="5"/>
  <c r="E283" i="5"/>
  <c r="E251" i="5"/>
  <c r="E219" i="5"/>
  <c r="E187" i="5"/>
  <c r="E155" i="5"/>
  <c r="E123" i="5"/>
  <c r="E91" i="5"/>
  <c r="E59" i="5"/>
  <c r="E27" i="5"/>
  <c r="F234" i="4"/>
  <c r="F202" i="4"/>
  <c r="F170" i="4"/>
  <c r="F138" i="4"/>
  <c r="F106" i="4"/>
  <c r="F74" i="4"/>
  <c r="F42" i="4"/>
  <c r="F10" i="4"/>
  <c r="F732" i="3"/>
  <c r="F700" i="3"/>
  <c r="D264" i="7"/>
  <c r="E1001" i="6"/>
  <c r="E830" i="6"/>
  <c r="D694" i="6"/>
  <c r="D566" i="6"/>
  <c r="D438" i="6"/>
  <c r="D310" i="6"/>
  <c r="D182" i="6"/>
  <c r="D54" i="6"/>
  <c r="D323" i="5"/>
  <c r="D195" i="5"/>
  <c r="D67" i="5"/>
  <c r="E178" i="4"/>
  <c r="E52" i="4"/>
  <c r="E680" i="3"/>
  <c r="F637" i="3"/>
  <c r="F594" i="3"/>
  <c r="E552" i="3"/>
  <c r="F509" i="3"/>
  <c r="F474" i="3"/>
  <c r="F442" i="3"/>
  <c r="F410" i="3"/>
  <c r="F378" i="3"/>
  <c r="F346" i="3"/>
  <c r="F314" i="3"/>
  <c r="F282" i="3"/>
  <c r="F250" i="3"/>
  <c r="F218" i="3"/>
  <c r="F186" i="3"/>
  <c r="F154" i="3"/>
  <c r="F122" i="3"/>
  <c r="F90" i="3"/>
  <c r="F58" i="3"/>
  <c r="F26" i="3"/>
  <c r="F174" i="2"/>
  <c r="F142" i="2"/>
  <c r="F110" i="2"/>
  <c r="F78" i="2"/>
  <c r="F46" i="2"/>
  <c r="F14" i="2"/>
  <c r="E35" i="1"/>
  <c r="E60" i="2"/>
  <c r="E57" i="1"/>
  <c r="E961" i="6"/>
  <c r="D624" i="6"/>
  <c r="D224" i="6"/>
  <c r="D237" i="5"/>
  <c r="E68" i="4"/>
  <c r="F611" i="3"/>
  <c r="E493" i="3"/>
  <c r="E399" i="3"/>
  <c r="E301" i="3"/>
  <c r="E207" i="3"/>
  <c r="E119" i="3"/>
  <c r="E29" i="3"/>
  <c r="E113" i="2"/>
  <c r="E29" i="2"/>
  <c r="D5" i="8"/>
  <c r="D34" i="7"/>
  <c r="E881" i="6"/>
  <c r="D732" i="6"/>
  <c r="D604" i="6"/>
  <c r="D476" i="6"/>
  <c r="D348" i="6"/>
  <c r="D220" i="6"/>
  <c r="D92" i="6"/>
  <c r="D361" i="5"/>
  <c r="D233" i="5"/>
  <c r="D105" i="5"/>
  <c r="E216" i="4"/>
  <c r="E88" i="4"/>
  <c r="E724" i="3"/>
  <c r="F655" i="3"/>
  <c r="F612" i="3"/>
  <c r="E570" i="3"/>
  <c r="F527" i="3"/>
  <c r="E488" i="3"/>
  <c r="E456" i="3"/>
  <c r="E424" i="3"/>
  <c r="E392" i="3"/>
  <c r="E360" i="3"/>
  <c r="E328" i="3"/>
  <c r="E296" i="3"/>
  <c r="E264" i="3"/>
  <c r="E232" i="3"/>
  <c r="E200" i="3"/>
  <c r="E168" i="3"/>
  <c r="E136" i="3"/>
  <c r="E104" i="3"/>
  <c r="E72" i="3"/>
  <c r="E40" i="3"/>
  <c r="E8" i="3"/>
  <c r="E156" i="2"/>
  <c r="E124" i="2"/>
  <c r="E92" i="2"/>
  <c r="E32" i="2"/>
  <c r="D21" i="8"/>
  <c r="D360" i="6"/>
  <c r="D365" i="5"/>
  <c r="E196" i="4"/>
  <c r="F648" i="3"/>
  <c r="F504" i="3"/>
  <c r="E403" i="3"/>
  <c r="E309" i="3"/>
  <c r="E211" i="3"/>
  <c r="E111" i="3"/>
  <c r="E3" i="3"/>
  <c r="E85" i="2"/>
  <c r="F35" i="1"/>
  <c r="E139" i="7"/>
  <c r="E953" i="6"/>
  <c r="D786" i="6"/>
  <c r="D658" i="6"/>
  <c r="D530" i="6"/>
  <c r="D402" i="6"/>
  <c r="D274" i="6"/>
  <c r="D146" i="6"/>
  <c r="D18" i="6"/>
  <c r="D287" i="5"/>
  <c r="D159" i="5"/>
  <c r="D31" i="5"/>
  <c r="E142" i="4"/>
  <c r="E8" i="4"/>
  <c r="E668" i="3"/>
  <c r="F625" i="3"/>
  <c r="F582" i="3"/>
  <c r="E540" i="3"/>
  <c r="F497" i="3"/>
  <c r="F465" i="3"/>
  <c r="F433" i="3"/>
  <c r="F401" i="3"/>
  <c r="F369" i="3"/>
  <c r="F337" i="3"/>
  <c r="F305" i="3"/>
  <c r="F273" i="3"/>
  <c r="F241" i="3"/>
  <c r="F209" i="3"/>
  <c r="F177" i="3"/>
  <c r="F145" i="3"/>
  <c r="F113" i="3"/>
  <c r="F81" i="3"/>
  <c r="F49" i="3"/>
  <c r="F17" i="3"/>
  <c r="F165" i="2"/>
  <c r="F133" i="2"/>
  <c r="F101" i="2"/>
  <c r="F69" i="2"/>
  <c r="F37" i="2"/>
  <c r="F5" i="2"/>
  <c r="F19" i="1"/>
  <c r="E135" i="7"/>
  <c r="D844" i="6"/>
  <c r="D504" i="6"/>
  <c r="D144" i="6"/>
  <c r="D181" i="5"/>
  <c r="E32" i="4"/>
  <c r="E598" i="3"/>
  <c r="E481" i="3"/>
  <c r="E381" i="3"/>
  <c r="E287" i="3"/>
  <c r="E191" i="3"/>
  <c r="E93" i="3"/>
  <c r="E181" i="2"/>
  <c r="E81" i="2"/>
  <c r="F32" i="1"/>
  <c r="F21" i="2"/>
  <c r="D368" i="7"/>
  <c r="D680" i="6"/>
  <c r="E228" i="4"/>
  <c r="E331" i="3"/>
  <c r="E47" i="3"/>
  <c r="E31" i="2"/>
  <c r="E470" i="6"/>
  <c r="E118" i="6"/>
  <c r="E22" i="6"/>
  <c r="E323" i="5"/>
  <c r="E227" i="5"/>
  <c r="E131" i="5"/>
  <c r="E35" i="5"/>
  <c r="F178" i="4"/>
  <c r="F82" i="4"/>
  <c r="F740" i="3"/>
  <c r="D26" i="7"/>
  <c r="D726" i="6"/>
  <c r="D342" i="6"/>
  <c r="D355" i="5"/>
  <c r="E210" i="4"/>
  <c r="E648" i="3"/>
  <c r="E520" i="3"/>
  <c r="F450" i="3"/>
  <c r="F386" i="3"/>
  <c r="F322" i="3"/>
  <c r="F258" i="3"/>
  <c r="F194" i="3"/>
  <c r="F130" i="3"/>
  <c r="F66" i="3"/>
  <c r="F2" i="3"/>
  <c r="F118" i="2"/>
  <c r="F54" i="2"/>
  <c r="F46" i="1"/>
  <c r="E16" i="2"/>
  <c r="D712" i="6"/>
  <c r="D325" i="5"/>
  <c r="E172" i="4"/>
  <c r="F520" i="3"/>
  <c r="E327" i="3"/>
  <c r="E139" i="3"/>
  <c r="E139" i="2"/>
  <c r="F5" i="1"/>
  <c r="D924" i="6"/>
  <c r="D764" i="6"/>
  <c r="D636" i="6"/>
  <c r="D380" i="6"/>
  <c r="D124" i="6"/>
  <c r="D265" i="5"/>
  <c r="D9" i="5"/>
  <c r="E120" i="4"/>
  <c r="E666" i="3"/>
  <c r="F580" i="3"/>
  <c r="E496" i="3"/>
  <c r="E432" i="3"/>
  <c r="E368" i="3"/>
  <c r="E304" i="3"/>
  <c r="E272" i="3"/>
  <c r="E208" i="3"/>
  <c r="E144" i="3"/>
  <c r="E80" i="3"/>
  <c r="E16" i="3"/>
  <c r="E132" i="2"/>
  <c r="F31" i="1"/>
  <c r="D56" i="6"/>
  <c r="F683" i="3"/>
  <c r="E425" i="3"/>
  <c r="E235" i="3"/>
  <c r="E111" i="2"/>
  <c r="D248" i="7"/>
  <c r="D690" i="6"/>
  <c r="D306" i="6"/>
  <c r="D50" i="6"/>
  <c r="D191" i="5"/>
  <c r="E48" i="4"/>
  <c r="F593" i="3"/>
  <c r="F473" i="3"/>
  <c r="F377" i="3"/>
  <c r="F313" i="3"/>
  <c r="F217" i="3"/>
  <c r="F89" i="3"/>
  <c r="F173" i="2"/>
  <c r="F109" i="2"/>
  <c r="F13" i="2"/>
  <c r="E929" i="6"/>
  <c r="D269" i="5"/>
  <c r="E630" i="3"/>
  <c r="E311" i="3"/>
  <c r="E215" i="3"/>
  <c r="E5" i="2"/>
  <c r="E486" i="6"/>
  <c r="E454" i="6"/>
  <c r="E422" i="6"/>
  <c r="E390" i="6"/>
  <c r="E358" i="6"/>
  <c r="E326" i="6"/>
  <c r="E294" i="6"/>
  <c r="E262" i="6"/>
  <c r="E230" i="6"/>
  <c r="E198" i="6"/>
  <c r="E166" i="6"/>
  <c r="E134" i="6"/>
  <c r="E102" i="6"/>
  <c r="E70" i="6"/>
  <c r="E38" i="6"/>
  <c r="E6" i="6"/>
  <c r="E371" i="5"/>
  <c r="E339" i="5"/>
  <c r="E307" i="5"/>
  <c r="E275" i="5"/>
  <c r="E243" i="5"/>
  <c r="E211" i="5"/>
  <c r="E179" i="5"/>
  <c r="E147" i="5"/>
  <c r="E115" i="5"/>
  <c r="E83" i="5"/>
  <c r="E51" i="5"/>
  <c r="E19" i="5"/>
  <c r="F226" i="4"/>
  <c r="F194" i="4"/>
  <c r="F162" i="4"/>
  <c r="F130" i="4"/>
  <c r="F98" i="4"/>
  <c r="F66" i="4"/>
  <c r="F34" i="4"/>
  <c r="F2" i="4"/>
  <c r="F724" i="3"/>
  <c r="F692" i="3"/>
  <c r="E147" i="7"/>
  <c r="E958" i="6"/>
  <c r="D790" i="6"/>
  <c r="D662" i="6"/>
  <c r="D534" i="6"/>
  <c r="D406" i="6"/>
  <c r="D278" i="6"/>
  <c r="D150" i="6"/>
  <c r="D22" i="6"/>
  <c r="D291" i="5"/>
  <c r="D163" i="5"/>
  <c r="D35" i="5"/>
  <c r="E146" i="4"/>
  <c r="E18" i="4"/>
  <c r="F669" i="3"/>
  <c r="F626" i="3"/>
  <c r="E584" i="3"/>
  <c r="F541" i="3"/>
  <c r="F498" i="3"/>
  <c r="F466" i="3"/>
  <c r="F434" i="3"/>
  <c r="F402" i="3"/>
  <c r="F370" i="3"/>
  <c r="F338" i="3"/>
  <c r="F306" i="3"/>
  <c r="F274" i="3"/>
  <c r="F242" i="3"/>
  <c r="F210" i="3"/>
  <c r="F178" i="3"/>
  <c r="F146" i="3"/>
  <c r="F114" i="3"/>
  <c r="F82" i="3"/>
  <c r="F50" i="3"/>
  <c r="F18" i="3"/>
  <c r="F166" i="2"/>
  <c r="F134" i="2"/>
  <c r="F102" i="2"/>
  <c r="F70" i="2"/>
  <c r="F38" i="2"/>
  <c r="F6" i="2"/>
  <c r="F21" i="1"/>
  <c r="E44" i="2"/>
  <c r="F36" i="1"/>
  <c r="D876" i="6"/>
  <c r="D520" i="6"/>
  <c r="D136" i="6"/>
  <c r="D141" i="5"/>
  <c r="E728" i="3"/>
  <c r="E574" i="3"/>
  <c r="E469" i="3"/>
  <c r="E377" i="3"/>
  <c r="E281" i="3"/>
  <c r="E183" i="3"/>
  <c r="E95" i="3"/>
  <c r="E7" i="3"/>
  <c r="E93" i="2"/>
  <c r="E9" i="2"/>
  <c r="D288" i="7"/>
  <c r="E1009" i="6"/>
  <c r="E838" i="6"/>
  <c r="D700" i="6"/>
  <c r="D572" i="6"/>
  <c r="D444" i="6"/>
  <c r="D316" i="6"/>
  <c r="D188" i="6"/>
  <c r="D60" i="6"/>
  <c r="D329" i="5"/>
  <c r="D201" i="5"/>
  <c r="D73" i="5"/>
  <c r="E184" i="4"/>
  <c r="E56" i="4"/>
  <c r="E692" i="3"/>
  <c r="F644" i="3"/>
  <c r="E602" i="3"/>
  <c r="F559" i="3"/>
  <c r="F516" i="3"/>
  <c r="E480" i="3"/>
  <c r="E448" i="3"/>
  <c r="E416" i="3"/>
  <c r="E384" i="3"/>
  <c r="E352" i="3"/>
  <c r="E320" i="3"/>
  <c r="E288" i="3"/>
  <c r="E256" i="3"/>
  <c r="E224" i="3"/>
  <c r="E192" i="3"/>
  <c r="E160" i="3"/>
  <c r="E128" i="3"/>
  <c r="E96" i="3"/>
  <c r="E64" i="3"/>
  <c r="E32" i="3"/>
  <c r="E180" i="2"/>
  <c r="E148" i="2"/>
  <c r="E116" i="2"/>
  <c r="E82" i="2"/>
  <c r="E14" i="2"/>
  <c r="D656" i="6"/>
  <c r="D256" i="6"/>
  <c r="D253" i="5"/>
  <c r="E108" i="4"/>
  <c r="F608" i="3"/>
  <c r="E477" i="3"/>
  <c r="E379" i="3"/>
  <c r="E283" i="3"/>
  <c r="E187" i="3"/>
  <c r="E85" i="3"/>
  <c r="E159" i="2"/>
  <c r="E63" i="2"/>
  <c r="D93" i="8"/>
  <c r="E75" i="7"/>
  <c r="E910" i="6"/>
  <c r="D754" i="6"/>
  <c r="D626" i="6"/>
  <c r="D498" i="6"/>
  <c r="D370" i="6"/>
  <c r="D242" i="6"/>
  <c r="D114" i="6"/>
  <c r="D383" i="5"/>
  <c r="D255" i="5"/>
  <c r="D127" i="5"/>
  <c r="E238" i="4"/>
  <c r="E110" i="4"/>
  <c r="E730" i="3"/>
  <c r="F657" i="3"/>
  <c r="F614" i="3"/>
  <c r="E572" i="3"/>
  <c r="F529" i="3"/>
  <c r="F489" i="3"/>
  <c r="F457" i="3"/>
  <c r="F425" i="3"/>
  <c r="F393" i="3"/>
  <c r="F361" i="3"/>
  <c r="F329" i="3"/>
  <c r="F297" i="3"/>
  <c r="F265" i="3"/>
  <c r="F233" i="3"/>
  <c r="F201" i="3"/>
  <c r="F169" i="3"/>
  <c r="F137" i="3"/>
  <c r="F105" i="3"/>
  <c r="F73" i="3"/>
  <c r="F41" i="3"/>
  <c r="F9" i="3"/>
  <c r="F157" i="2"/>
  <c r="F125" i="2"/>
  <c r="F93" i="2"/>
  <c r="F61" i="2"/>
  <c r="F29" i="2"/>
  <c r="F54" i="1"/>
  <c r="F6" i="1"/>
  <c r="E71" i="7"/>
  <c r="D760" i="6"/>
  <c r="D416" i="6"/>
  <c r="D48" i="6"/>
  <c r="D85" i="5"/>
  <c r="E712" i="3"/>
  <c r="F571" i="3"/>
  <c r="E457" i="3"/>
  <c r="E359" i="3"/>
  <c r="E261" i="3"/>
  <c r="E167" i="3"/>
  <c r="E71" i="3"/>
  <c r="E155" i="2"/>
  <c r="E57" i="2"/>
  <c r="F53" i="2"/>
  <c r="E1014" i="6"/>
  <c r="D349" i="5"/>
  <c r="F656" i="3"/>
  <c r="E435" i="3"/>
  <c r="E239" i="3"/>
  <c r="E131" i="2"/>
  <c r="E438" i="6"/>
  <c r="E150" i="6"/>
  <c r="E387" i="5"/>
  <c r="E291" i="5"/>
  <c r="E195" i="5"/>
  <c r="E99" i="5"/>
  <c r="E3" i="5"/>
  <c r="F146" i="4"/>
  <c r="F50" i="4"/>
  <c r="F708" i="3"/>
  <c r="E873" i="6"/>
  <c r="D470" i="6"/>
  <c r="D86" i="6"/>
  <c r="D99" i="5"/>
  <c r="E702" i="3"/>
  <c r="F562" i="3"/>
  <c r="E100" i="2"/>
  <c r="E137" i="3"/>
  <c r="E7" i="2"/>
  <c r="E825" i="6"/>
  <c r="D434" i="6"/>
  <c r="D319" i="5"/>
  <c r="E174" i="4"/>
  <c r="F678" i="3"/>
  <c r="F550" i="3"/>
  <c r="F441" i="3"/>
  <c r="F345" i="3"/>
  <c r="F281" i="3"/>
  <c r="F185" i="3"/>
  <c r="F121" i="3"/>
  <c r="F57" i="3"/>
  <c r="F141" i="2"/>
  <c r="F77" i="2"/>
  <c r="F33" i="1"/>
  <c r="D600" i="6"/>
  <c r="E140" i="4"/>
  <c r="E409" i="3"/>
  <c r="E115" i="3"/>
  <c r="E107" i="2"/>
  <c r="E478" i="6"/>
  <c r="E446" i="6"/>
  <c r="E414" i="6"/>
  <c r="E382" i="6"/>
  <c r="E350" i="6"/>
  <c r="E318" i="6"/>
  <c r="E286" i="6"/>
  <c r="E254" i="6"/>
  <c r="E222" i="6"/>
  <c r="E190" i="6"/>
  <c r="E158" i="6"/>
  <c r="E126" i="6"/>
  <c r="E94" i="6"/>
  <c r="E62" i="6"/>
  <c r="E30" i="6"/>
  <c r="E395" i="5"/>
  <c r="E363" i="5"/>
  <c r="E331" i="5"/>
  <c r="E299" i="5"/>
  <c r="E267" i="5"/>
  <c r="E235" i="5"/>
  <c r="E203" i="5"/>
  <c r="E171" i="5"/>
  <c r="E139" i="5"/>
  <c r="E107" i="5"/>
  <c r="E75" i="5"/>
  <c r="E43" i="5"/>
  <c r="E11" i="5"/>
  <c r="F218" i="4"/>
  <c r="F186" i="4"/>
  <c r="F154" i="4"/>
  <c r="F122" i="4"/>
  <c r="F90" i="4"/>
  <c r="F58" i="4"/>
  <c r="F26" i="4"/>
  <c r="F748" i="3"/>
  <c r="F716" i="3"/>
  <c r="D109" i="8"/>
  <c r="E83" i="7"/>
  <c r="D916" i="6"/>
  <c r="D758" i="6"/>
  <c r="D630" i="6"/>
  <c r="D502" i="6"/>
  <c r="D374" i="6"/>
  <c r="D246" i="6"/>
  <c r="D118" i="6"/>
  <c r="D387" i="5"/>
  <c r="D259" i="5"/>
  <c r="D131" i="5"/>
  <c r="D3" i="5"/>
  <c r="E114" i="4"/>
  <c r="E734" i="3"/>
  <c r="F658" i="3"/>
  <c r="E616" i="3"/>
  <c r="F573" i="3"/>
  <c r="F530" i="3"/>
  <c r="F490" i="3"/>
  <c r="F458" i="3"/>
  <c r="F426" i="3"/>
  <c r="F394" i="3"/>
  <c r="F362" i="3"/>
  <c r="F330" i="3"/>
  <c r="F298" i="3"/>
  <c r="F266" i="3"/>
  <c r="F234" i="3"/>
  <c r="F202" i="3"/>
  <c r="F170" i="3"/>
  <c r="F138" i="3"/>
  <c r="F106" i="3"/>
  <c r="F74" i="3"/>
  <c r="F42" i="3"/>
  <c r="F10" i="3"/>
  <c r="F158" i="2"/>
  <c r="F126" i="2"/>
  <c r="F94" i="2"/>
  <c r="F62" i="2"/>
  <c r="F30" i="2"/>
  <c r="F55" i="1"/>
  <c r="E8" i="1"/>
  <c r="E30" i="2"/>
  <c r="F16" i="1"/>
  <c r="D792" i="6"/>
  <c r="D424" i="6"/>
  <c r="D32" i="6"/>
  <c r="D45" i="5"/>
  <c r="E670" i="3"/>
  <c r="F547" i="3"/>
  <c r="E443" i="3"/>
  <c r="E351" i="3"/>
  <c r="E257" i="3"/>
  <c r="E161" i="3"/>
  <c r="E73" i="3"/>
  <c r="E163" i="2"/>
  <c r="E71" i="2"/>
  <c r="F38" i="1"/>
  <c r="D160" i="7"/>
  <c r="E966" i="6"/>
  <c r="D796" i="6"/>
  <c r="D668" i="6"/>
  <c r="D540" i="6"/>
  <c r="D412" i="6"/>
  <c r="D284" i="6"/>
  <c r="D156" i="6"/>
  <c r="D28" i="6"/>
  <c r="D297" i="5"/>
  <c r="D169" i="5"/>
  <c r="D41" i="5"/>
  <c r="E152" i="4"/>
  <c r="E30" i="4"/>
  <c r="F676" i="3"/>
  <c r="E634" i="3"/>
  <c r="F591" i="3"/>
  <c r="F548" i="3"/>
  <c r="E506" i="3"/>
  <c r="E472" i="3"/>
  <c r="E440" i="3"/>
  <c r="E408" i="3"/>
  <c r="E376" i="3"/>
  <c r="E344" i="3"/>
  <c r="E312" i="3"/>
  <c r="E280" i="3"/>
  <c r="E248" i="3"/>
  <c r="E216" i="3"/>
  <c r="E184" i="3"/>
  <c r="E152" i="3"/>
  <c r="E120" i="3"/>
  <c r="E88" i="3"/>
  <c r="E56" i="3"/>
  <c r="E24" i="3"/>
  <c r="E172" i="2"/>
  <c r="E140" i="2"/>
  <c r="E108" i="2"/>
  <c r="E66" i="2"/>
  <c r="E55" i="1"/>
  <c r="D568" i="6"/>
  <c r="D168" i="6"/>
  <c r="D149" i="5"/>
  <c r="E12" i="4"/>
  <c r="F576" i="3"/>
  <c r="E453" i="3"/>
  <c r="E355" i="3"/>
  <c r="E259" i="3"/>
  <c r="E163" i="3"/>
  <c r="E57" i="3"/>
  <c r="E135" i="2"/>
  <c r="E35" i="2"/>
  <c r="D376" i="7"/>
  <c r="E20" i="7"/>
  <c r="D868" i="6"/>
  <c r="D722" i="6"/>
  <c r="D594" i="6"/>
  <c r="D466" i="6"/>
  <c r="D338" i="6"/>
  <c r="D210" i="6"/>
  <c r="D82" i="6"/>
  <c r="D351" i="5"/>
  <c r="D223" i="5"/>
  <c r="D95" i="5"/>
  <c r="E206" i="4"/>
  <c r="E78" i="4"/>
  <c r="E698" i="3"/>
  <c r="F646" i="3"/>
  <c r="E604" i="3"/>
  <c r="F561" i="3"/>
  <c r="F518" i="3"/>
  <c r="F481" i="3"/>
  <c r="F449" i="3"/>
  <c r="F417" i="3"/>
  <c r="F385" i="3"/>
  <c r="F353" i="3"/>
  <c r="F321" i="3"/>
  <c r="F289" i="3"/>
  <c r="F257" i="3"/>
  <c r="F225" i="3"/>
  <c r="F193" i="3"/>
  <c r="F161" i="3"/>
  <c r="F129" i="3"/>
  <c r="F97" i="3"/>
  <c r="F65" i="3"/>
  <c r="F33" i="3"/>
  <c r="F181" i="2"/>
  <c r="F149" i="2"/>
  <c r="F117" i="2"/>
  <c r="F85" i="2"/>
  <c r="F44" i="1"/>
  <c r="D320" i="6"/>
  <c r="F536" i="3"/>
  <c r="E141" i="3"/>
  <c r="E406" i="6"/>
  <c r="E374" i="6"/>
  <c r="E342" i="6"/>
  <c r="E310" i="6"/>
  <c r="E278" i="6"/>
  <c r="E246" i="6"/>
  <c r="E214" i="6"/>
  <c r="E182" i="6"/>
  <c r="E86" i="6"/>
  <c r="E54" i="6"/>
  <c r="E355" i="5"/>
  <c r="E259" i="5"/>
  <c r="E163" i="5"/>
  <c r="E67" i="5"/>
  <c r="F210" i="4"/>
  <c r="F114" i="4"/>
  <c r="F18" i="4"/>
  <c r="D392" i="7"/>
  <c r="D598" i="6"/>
  <c r="D214" i="6"/>
  <c r="D227" i="5"/>
  <c r="E82" i="4"/>
  <c r="F605" i="3"/>
  <c r="F482" i="3"/>
  <c r="F418" i="3"/>
  <c r="F354" i="3"/>
  <c r="F290" i="3"/>
  <c r="F226" i="3"/>
  <c r="F162" i="3"/>
  <c r="F98" i="3"/>
  <c r="F34" i="3"/>
  <c r="F150" i="2"/>
  <c r="F86" i="2"/>
  <c r="F22" i="2"/>
  <c r="E76" i="2"/>
  <c r="E28" i="7"/>
  <c r="D328" i="6"/>
  <c r="E638" i="3"/>
  <c r="E419" i="3"/>
  <c r="E231" i="3"/>
  <c r="E49" i="3"/>
  <c r="E49" i="2"/>
  <c r="E95" i="7"/>
  <c r="D508" i="6"/>
  <c r="D252" i="6"/>
  <c r="D393" i="5"/>
  <c r="D137" i="5"/>
  <c r="E2" i="4"/>
  <c r="F623" i="3"/>
  <c r="E538" i="3"/>
  <c r="E464" i="3"/>
  <c r="E400" i="3"/>
  <c r="E336" i="3"/>
  <c r="E240" i="3"/>
  <c r="E176" i="3"/>
  <c r="E112" i="3"/>
  <c r="E48" i="3"/>
  <c r="E164" i="2"/>
  <c r="E50" i="2"/>
  <c r="D456" i="6"/>
  <c r="D53" i="5"/>
  <c r="F539" i="3"/>
  <c r="E335" i="3"/>
  <c r="E31" i="3"/>
  <c r="D996" i="6"/>
  <c r="D562" i="6"/>
  <c r="D178" i="6"/>
  <c r="D63" i="5"/>
  <c r="E636" i="3"/>
  <c r="E508" i="3"/>
  <c r="F409" i="3"/>
  <c r="F249" i="3"/>
  <c r="F153" i="3"/>
  <c r="F25" i="3"/>
  <c r="F45" i="2"/>
  <c r="D240" i="7"/>
  <c r="D240" i="6"/>
  <c r="E502" i="3"/>
  <c r="E21" i="3"/>
  <c r="G21" i="3" l="1"/>
  <c r="G502" i="3"/>
  <c r="F240" i="6"/>
  <c r="F240" i="7"/>
  <c r="G508" i="3"/>
  <c r="G636" i="3"/>
  <c r="F63" i="5"/>
  <c r="F178" i="6"/>
  <c r="F562" i="6"/>
  <c r="F996" i="6"/>
  <c r="G31" i="3"/>
  <c r="G335" i="3"/>
  <c r="F53" i="5"/>
  <c r="F456" i="6"/>
  <c r="G50" i="2"/>
  <c r="G164" i="2"/>
  <c r="G48" i="3"/>
  <c r="G112" i="3"/>
  <c r="G176" i="3"/>
  <c r="G240" i="3"/>
  <c r="G336" i="3"/>
  <c r="G400" i="3"/>
  <c r="G464" i="3"/>
  <c r="G538" i="3"/>
  <c r="G2" i="4"/>
  <c r="F137" i="5"/>
  <c r="F393" i="5"/>
  <c r="F252" i="6"/>
  <c r="F508" i="6"/>
  <c r="G49" i="2"/>
  <c r="G49" i="3"/>
  <c r="G231" i="3"/>
  <c r="G419" i="3"/>
  <c r="G638" i="3"/>
  <c r="F328" i="6"/>
  <c r="G76" i="2"/>
  <c r="G82" i="4"/>
  <c r="F227" i="5"/>
  <c r="F214" i="6"/>
  <c r="F598" i="6"/>
  <c r="F392" i="7"/>
  <c r="G141" i="3"/>
  <c r="F320" i="6"/>
  <c r="G604" i="3"/>
  <c r="G698" i="3"/>
  <c r="G78" i="4"/>
  <c r="G206" i="4"/>
  <c r="F95" i="5"/>
  <c r="F223" i="5"/>
  <c r="F351" i="5"/>
  <c r="F82" i="6"/>
  <c r="F210" i="6"/>
  <c r="F338" i="6"/>
  <c r="F466" i="6"/>
  <c r="F594" i="6"/>
  <c r="F722" i="6"/>
  <c r="F868" i="6"/>
  <c r="F376" i="7"/>
  <c r="G35" i="2"/>
  <c r="G135" i="2"/>
  <c r="G57" i="3"/>
  <c r="G163" i="3"/>
  <c r="G259" i="3"/>
  <c r="G355" i="3"/>
  <c r="G453" i="3"/>
  <c r="G12" i="4"/>
  <c r="F149" i="5"/>
  <c r="F168" i="6"/>
  <c r="F568" i="6"/>
  <c r="G55" i="1"/>
  <c r="G66" i="2"/>
  <c r="G108" i="2"/>
  <c r="G140" i="2"/>
  <c r="G172" i="2"/>
  <c r="G24" i="3"/>
  <c r="G56" i="3"/>
  <c r="G88" i="3"/>
  <c r="G120" i="3"/>
  <c r="G152" i="3"/>
  <c r="G184" i="3"/>
  <c r="G216" i="3"/>
  <c r="G248" i="3"/>
  <c r="G280" i="3"/>
  <c r="G312" i="3"/>
  <c r="G344" i="3"/>
  <c r="G376" i="3"/>
  <c r="G408" i="3"/>
  <c r="G440" i="3"/>
  <c r="G472" i="3"/>
  <c r="G506" i="3"/>
  <c r="G634" i="3"/>
  <c r="G30" i="4"/>
  <c r="G152" i="4"/>
  <c r="F41" i="5"/>
  <c r="F169" i="5"/>
  <c r="F297" i="5"/>
  <c r="F28" i="6"/>
  <c r="F156" i="6"/>
  <c r="F284" i="6"/>
  <c r="F412" i="6"/>
  <c r="F540" i="6"/>
  <c r="F668" i="6"/>
  <c r="F796" i="6"/>
  <c r="F160" i="7"/>
  <c r="G71" i="2"/>
  <c r="G163" i="2"/>
  <c r="G73" i="3"/>
  <c r="G161" i="3"/>
  <c r="G257" i="3"/>
  <c r="G351" i="3"/>
  <c r="G443" i="3"/>
  <c r="G670" i="3"/>
  <c r="F45" i="5"/>
  <c r="F32" i="6"/>
  <c r="F424" i="6"/>
  <c r="F792" i="6"/>
  <c r="G30" i="2"/>
  <c r="G8" i="1"/>
  <c r="G616" i="3"/>
  <c r="G734" i="3"/>
  <c r="G114" i="4"/>
  <c r="F3" i="5"/>
  <c r="F131" i="5"/>
  <c r="F259" i="5"/>
  <c r="F387" i="5"/>
  <c r="F118" i="6"/>
  <c r="F246" i="6"/>
  <c r="F374" i="6"/>
  <c r="F502" i="6"/>
  <c r="F630" i="6"/>
  <c r="F758" i="6"/>
  <c r="F916" i="6"/>
  <c r="F109" i="8"/>
  <c r="G107" i="2"/>
  <c r="G115" i="3"/>
  <c r="G409" i="3"/>
  <c r="G140" i="4"/>
  <c r="F600" i="6"/>
  <c r="G174" i="4"/>
  <c r="F319" i="5"/>
  <c r="F434" i="6"/>
  <c r="G7" i="2"/>
  <c r="G137" i="3"/>
  <c r="G100" i="2"/>
  <c r="G702" i="3"/>
  <c r="F99" i="5"/>
  <c r="F86" i="6"/>
  <c r="F470" i="6"/>
  <c r="G131" i="2"/>
  <c r="G239" i="3"/>
  <c r="G435" i="3"/>
  <c r="F349" i="5"/>
  <c r="G57" i="2"/>
  <c r="G155" i="2"/>
  <c r="G71" i="3"/>
  <c r="G167" i="3"/>
  <c r="G261" i="3"/>
  <c r="G359" i="3"/>
  <c r="G457" i="3"/>
  <c r="G712" i="3"/>
  <c r="F85" i="5"/>
  <c r="F48" i="6"/>
  <c r="F416" i="6"/>
  <c r="F760" i="6"/>
  <c r="G572" i="3"/>
  <c r="G730" i="3"/>
  <c r="G110" i="4"/>
  <c r="G238" i="4"/>
  <c r="F127" i="5"/>
  <c r="F255" i="5"/>
  <c r="F383" i="5"/>
  <c r="F114" i="6"/>
  <c r="F242" i="6"/>
  <c r="F370" i="6"/>
  <c r="F498" i="6"/>
  <c r="F626" i="6"/>
  <c r="F754" i="6"/>
  <c r="F93" i="8"/>
  <c r="G63" i="2"/>
  <c r="G159" i="2"/>
  <c r="G85" i="3"/>
  <c r="G187" i="3"/>
  <c r="G283" i="3"/>
  <c r="G379" i="3"/>
  <c r="G477" i="3"/>
  <c r="G108" i="4"/>
  <c r="F253" i="5"/>
  <c r="F256" i="6"/>
  <c r="F656" i="6"/>
  <c r="G14" i="2"/>
  <c r="G82" i="2"/>
  <c r="G116" i="2"/>
  <c r="G148" i="2"/>
  <c r="G180" i="2"/>
  <c r="G32" i="3"/>
  <c r="G64" i="3"/>
  <c r="G96" i="3"/>
  <c r="G128" i="3"/>
  <c r="G160" i="3"/>
  <c r="G192" i="3"/>
  <c r="G224" i="3"/>
  <c r="G256" i="3"/>
  <c r="G288" i="3"/>
  <c r="G320" i="3"/>
  <c r="G352" i="3"/>
  <c r="G384" i="3"/>
  <c r="G416" i="3"/>
  <c r="G448" i="3"/>
  <c r="G480" i="3"/>
  <c r="G602" i="3"/>
  <c r="G692" i="3"/>
  <c r="G56" i="4"/>
  <c r="G184" i="4"/>
  <c r="F73" i="5"/>
  <c r="F201" i="5"/>
  <c r="F329" i="5"/>
  <c r="F60" i="6"/>
  <c r="F188" i="6"/>
  <c r="F316" i="6"/>
  <c r="F444" i="6"/>
  <c r="F572" i="6"/>
  <c r="F700" i="6"/>
  <c r="F288" i="7"/>
  <c r="G9" i="2"/>
  <c r="G93" i="2"/>
  <c r="G7" i="3"/>
  <c r="G95" i="3"/>
  <c r="G183" i="3"/>
  <c r="G281" i="3"/>
  <c r="G377" i="3"/>
  <c r="G469" i="3"/>
  <c r="G574" i="3"/>
  <c r="G728" i="3"/>
  <c r="F141" i="5"/>
  <c r="F136" i="6"/>
  <c r="F520" i="6"/>
  <c r="F876" i="6"/>
  <c r="G44" i="2"/>
  <c r="G584" i="3"/>
  <c r="G18" i="4"/>
  <c r="G146" i="4"/>
  <c r="F35" i="5"/>
  <c r="F163" i="5"/>
  <c r="F291" i="5"/>
  <c r="F22" i="6"/>
  <c r="F150" i="6"/>
  <c r="F278" i="6"/>
  <c r="F406" i="6"/>
  <c r="F534" i="6"/>
  <c r="F662" i="6"/>
  <c r="F790" i="6"/>
  <c r="G5" i="2"/>
  <c r="G215" i="3"/>
  <c r="G311" i="3"/>
  <c r="G630" i="3"/>
  <c r="F269" i="5"/>
  <c r="G48" i="4"/>
  <c r="F191" i="5"/>
  <c r="F50" i="6"/>
  <c r="F306" i="6"/>
  <c r="F690" i="6"/>
  <c r="F248" i="7"/>
  <c r="G111" i="2"/>
  <c r="G235" i="3"/>
  <c r="G425" i="3"/>
  <c r="F56" i="6"/>
  <c r="G132" i="2"/>
  <c r="G16" i="3"/>
  <c r="G80" i="3"/>
  <c r="G144" i="3"/>
  <c r="G208" i="3"/>
  <c r="G272" i="3"/>
  <c r="G304" i="3"/>
  <c r="G368" i="3"/>
  <c r="G432" i="3"/>
  <c r="G496" i="3"/>
  <c r="G666" i="3"/>
  <c r="G120" i="4"/>
  <c r="F9" i="5"/>
  <c r="F265" i="5"/>
  <c r="F124" i="6"/>
  <c r="F380" i="6"/>
  <c r="F636" i="6"/>
  <c r="F764" i="6"/>
  <c r="F924" i="6"/>
  <c r="G139" i="2"/>
  <c r="G139" i="3"/>
  <c r="G327" i="3"/>
  <c r="G172" i="4"/>
  <c r="F325" i="5"/>
  <c r="F712" i="6"/>
  <c r="G16" i="2"/>
  <c r="G520" i="3"/>
  <c r="G648" i="3"/>
  <c r="G210" i="4"/>
  <c r="F355" i="5"/>
  <c r="F342" i="6"/>
  <c r="F726" i="6"/>
  <c r="F26" i="7"/>
  <c r="G31" i="2"/>
  <c r="G47" i="3"/>
  <c r="G331" i="3"/>
  <c r="G228" i="4"/>
  <c r="F680" i="6"/>
  <c r="F368" i="7"/>
  <c r="G81" i="2"/>
  <c r="G181" i="2"/>
  <c r="G93" i="3"/>
  <c r="G191" i="3"/>
  <c r="G287" i="3"/>
  <c r="G381" i="3"/>
  <c r="G481" i="3"/>
  <c r="G598" i="3"/>
  <c r="G32" i="4"/>
  <c r="F181" i="5"/>
  <c r="F144" i="6"/>
  <c r="F504" i="6"/>
  <c r="F844" i="6"/>
  <c r="G540" i="3"/>
  <c r="G668" i="3"/>
  <c r="G8" i="4"/>
  <c r="G142" i="4"/>
  <c r="F31" i="5"/>
  <c r="F159" i="5"/>
  <c r="F287" i="5"/>
  <c r="F18" i="6"/>
  <c r="F146" i="6"/>
  <c r="F274" i="6"/>
  <c r="F402" i="6"/>
  <c r="F530" i="6"/>
  <c r="F658" i="6"/>
  <c r="F786" i="6"/>
  <c r="G85" i="2"/>
  <c r="G3" i="3"/>
  <c r="G111" i="3"/>
  <c r="G211" i="3"/>
  <c r="G309" i="3"/>
  <c r="G403" i="3"/>
  <c r="G196" i="4"/>
  <c r="F365" i="5"/>
  <c r="F360" i="6"/>
  <c r="F21" i="8"/>
  <c r="G32" i="2"/>
  <c r="G92" i="2"/>
  <c r="G124" i="2"/>
  <c r="G156" i="2"/>
  <c r="G8" i="3"/>
  <c r="G40" i="3"/>
  <c r="G72" i="3"/>
  <c r="G104" i="3"/>
  <c r="G136" i="3"/>
  <c r="G168" i="3"/>
  <c r="G200" i="3"/>
  <c r="G232" i="3"/>
  <c r="G264" i="3"/>
  <c r="G296" i="3"/>
  <c r="G328" i="3"/>
  <c r="G360" i="3"/>
  <c r="G392" i="3"/>
  <c r="G424" i="3"/>
  <c r="G456" i="3"/>
  <c r="G488" i="3"/>
  <c r="G570" i="3"/>
  <c r="G724" i="3"/>
  <c r="G88" i="4"/>
  <c r="G216" i="4"/>
  <c r="F105" i="5"/>
  <c r="F233" i="5"/>
  <c r="F361" i="5"/>
  <c r="F92" i="6"/>
  <c r="F220" i="6"/>
  <c r="F348" i="6"/>
  <c r="F476" i="6"/>
  <c r="F604" i="6"/>
  <c r="F732" i="6"/>
  <c r="F34" i="7"/>
  <c r="F5" i="8"/>
  <c r="G29" i="2"/>
  <c r="G113" i="2"/>
  <c r="G29" i="3"/>
  <c r="G119" i="3"/>
  <c r="G207" i="3"/>
  <c r="G301" i="3"/>
  <c r="G399" i="3"/>
  <c r="G493" i="3"/>
  <c r="G68" i="4"/>
  <c r="F237" i="5"/>
  <c r="F224" i="6"/>
  <c r="F624" i="6"/>
  <c r="G57" i="1"/>
  <c r="G60" i="2"/>
  <c r="G35" i="1"/>
  <c r="G552" i="3"/>
  <c r="G680" i="3"/>
  <c r="G52" i="4"/>
  <c r="G178" i="4"/>
  <c r="F67" i="5"/>
  <c r="F195" i="5"/>
  <c r="F323" i="5"/>
  <c r="F54" i="6"/>
  <c r="F182" i="6"/>
  <c r="F310" i="6"/>
  <c r="F438" i="6"/>
  <c r="F566" i="6"/>
  <c r="F694" i="6"/>
  <c r="F264" i="7"/>
  <c r="F842" i="6"/>
  <c r="F906" i="6"/>
  <c r="F1002" i="6"/>
  <c r="F52" i="7"/>
  <c r="F84" i="7"/>
  <c r="F116" i="7"/>
  <c r="F148" i="7"/>
  <c r="F202" i="7"/>
  <c r="F266" i="7"/>
  <c r="F330" i="7"/>
  <c r="F394" i="7"/>
  <c r="F47" i="8"/>
  <c r="F111" i="8"/>
  <c r="G513" i="3"/>
  <c r="G529" i="3"/>
  <c r="G545" i="3"/>
  <c r="G561" i="3"/>
  <c r="G577" i="3"/>
  <c r="G593" i="3"/>
  <c r="G609" i="3"/>
  <c r="G625" i="3"/>
  <c r="G641" i="3"/>
  <c r="G657" i="3"/>
  <c r="G673" i="3"/>
  <c r="G689" i="3"/>
  <c r="G705" i="3"/>
  <c r="G713" i="3"/>
  <c r="G729" i="3"/>
  <c r="G745" i="3"/>
  <c r="G7" i="4"/>
  <c r="G23" i="4"/>
  <c r="G47" i="4"/>
  <c r="G63" i="4"/>
  <c r="G71" i="4"/>
  <c r="G87" i="4"/>
  <c r="G103" i="4"/>
  <c r="G119" i="4"/>
  <c r="G135" i="4"/>
  <c r="G151" i="4"/>
  <c r="G167" i="4"/>
  <c r="G191" i="4"/>
  <c r="G207" i="4"/>
  <c r="G223" i="4"/>
  <c r="G239" i="4"/>
  <c r="F16" i="5"/>
  <c r="F32" i="5"/>
  <c r="F48" i="5"/>
  <c r="F64" i="5"/>
  <c r="F80" i="5"/>
  <c r="F96" i="5"/>
  <c r="F112" i="5"/>
  <c r="F128" i="5"/>
  <c r="F144" i="5"/>
  <c r="F160" i="5"/>
  <c r="F176" i="5"/>
  <c r="F192" i="5"/>
  <c r="F208" i="5"/>
  <c r="F224" i="5"/>
  <c r="F240" i="5"/>
  <c r="F256" i="5"/>
  <c r="F272" i="5"/>
  <c r="F280" i="5"/>
  <c r="F288" i="5"/>
  <c r="F296" i="5"/>
  <c r="F304" i="5"/>
  <c r="F320" i="5"/>
  <c r="F328" i="5"/>
  <c r="F336" i="5"/>
  <c r="F344" i="5"/>
  <c r="F352" i="5"/>
  <c r="F360" i="5"/>
  <c r="F368" i="5"/>
  <c r="F376" i="5"/>
  <c r="F384" i="5"/>
  <c r="F392" i="5"/>
  <c r="F3" i="6"/>
  <c r="F11" i="6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3" i="6"/>
  <c r="F131" i="6"/>
  <c r="F139" i="6"/>
  <c r="F147" i="6"/>
  <c r="F155" i="6"/>
  <c r="F163" i="6"/>
  <c r="F171" i="6"/>
  <c r="F179" i="6"/>
  <c r="F187" i="6"/>
  <c r="F195" i="6"/>
  <c r="F203" i="6"/>
  <c r="F211" i="6"/>
  <c r="F219" i="6"/>
  <c r="F227" i="6"/>
  <c r="F235" i="6"/>
  <c r="F243" i="6"/>
  <c r="F251" i="6"/>
  <c r="F259" i="6"/>
  <c r="F267" i="6"/>
  <c r="F275" i="6"/>
  <c r="F283" i="6"/>
  <c r="F291" i="6"/>
  <c r="F299" i="6"/>
  <c r="F307" i="6"/>
  <c r="F315" i="6"/>
  <c r="F323" i="6"/>
  <c r="F331" i="6"/>
  <c r="F339" i="6"/>
  <c r="F347" i="6"/>
  <c r="F355" i="6"/>
  <c r="F363" i="6"/>
  <c r="F371" i="6"/>
  <c r="F379" i="6"/>
  <c r="F387" i="6"/>
  <c r="F395" i="6"/>
  <c r="F403" i="6"/>
  <c r="F411" i="6"/>
  <c r="F419" i="6"/>
  <c r="F427" i="6"/>
  <c r="F435" i="6"/>
  <c r="F443" i="6"/>
  <c r="F451" i="6"/>
  <c r="F459" i="6"/>
  <c r="F467" i="6"/>
  <c r="F475" i="6"/>
  <c r="F483" i="6"/>
  <c r="F491" i="6"/>
  <c r="F499" i="6"/>
  <c r="F507" i="6"/>
  <c r="F515" i="6"/>
  <c r="F523" i="6"/>
  <c r="F531" i="6"/>
  <c r="F539" i="6"/>
  <c r="F547" i="6"/>
  <c r="F555" i="6"/>
  <c r="F563" i="6"/>
  <c r="F571" i="6"/>
  <c r="F579" i="6"/>
  <c r="F587" i="6"/>
  <c r="F595" i="6"/>
  <c r="F603" i="6"/>
  <c r="F611" i="6"/>
  <c r="F619" i="6"/>
  <c r="F627" i="6"/>
  <c r="F635" i="6"/>
  <c r="F643" i="6"/>
  <c r="F651" i="6"/>
  <c r="F659" i="6"/>
  <c r="F667" i="6"/>
  <c r="F675" i="6"/>
  <c r="F683" i="6"/>
  <c r="F691" i="6"/>
  <c r="F699" i="6"/>
  <c r="F707" i="6"/>
  <c r="F715" i="6"/>
  <c r="F723" i="6"/>
  <c r="F731" i="6"/>
  <c r="F739" i="6"/>
  <c r="F747" i="6"/>
  <c r="F755" i="6"/>
  <c r="F763" i="6"/>
  <c r="F771" i="6"/>
  <c r="F779" i="6"/>
  <c r="F787" i="6"/>
  <c r="F795" i="6"/>
  <c r="F816" i="6"/>
  <c r="F848" i="6"/>
  <c r="F880" i="6"/>
  <c r="F912" i="6"/>
  <c r="F944" i="6"/>
  <c r="F976" i="6"/>
  <c r="F1008" i="6"/>
  <c r="F22" i="7"/>
  <c r="F188" i="7"/>
  <c r="F220" i="7"/>
  <c r="F252" i="7"/>
  <c r="F284" i="7"/>
  <c r="F316" i="7"/>
  <c r="F348" i="7"/>
  <c r="F380" i="7"/>
  <c r="F1" i="8"/>
  <c r="F33" i="8"/>
  <c r="F65" i="8"/>
  <c r="F97" i="8"/>
  <c r="F822" i="6"/>
  <c r="F886" i="6"/>
  <c r="F950" i="6"/>
  <c r="F70" i="7"/>
  <c r="F134" i="7"/>
  <c r="F238" i="7"/>
  <c r="F366" i="7"/>
  <c r="F83" i="8"/>
  <c r="F584" i="8"/>
  <c r="F821" i="6"/>
  <c r="F853" i="6"/>
  <c r="F885" i="6"/>
  <c r="F917" i="6"/>
  <c r="F949" i="6"/>
  <c r="F981" i="6"/>
  <c r="F1013" i="6"/>
  <c r="F27" i="7"/>
  <c r="F59" i="7"/>
  <c r="F91" i="7"/>
  <c r="F123" i="7"/>
  <c r="F155" i="7"/>
  <c r="F187" i="7"/>
  <c r="F219" i="7"/>
  <c r="F251" i="7"/>
  <c r="F283" i="7"/>
  <c r="F315" i="7"/>
  <c r="F347" i="7"/>
  <c r="F379" i="7"/>
  <c r="F411" i="7"/>
  <c r="F32" i="8"/>
  <c r="F64" i="8"/>
  <c r="F96" i="8"/>
  <c r="F128" i="8"/>
  <c r="F160" i="8"/>
  <c r="F192" i="8"/>
  <c r="F224" i="8"/>
  <c r="F256" i="8"/>
  <c r="F288" i="8"/>
  <c r="F320" i="8"/>
  <c r="F352" i="8"/>
  <c r="F384" i="8"/>
  <c r="F416" i="8"/>
  <c r="F448" i="8"/>
  <c r="F480" i="8"/>
  <c r="F512" i="8"/>
  <c r="F544" i="8"/>
  <c r="F577" i="8"/>
  <c r="F24" i="9"/>
  <c r="F56" i="9"/>
  <c r="F88" i="9"/>
  <c r="F120" i="9"/>
  <c r="F152" i="9"/>
  <c r="F184" i="9"/>
  <c r="F216" i="9"/>
  <c r="F27" i="11"/>
  <c r="F59" i="11"/>
  <c r="F91" i="11"/>
  <c r="F123" i="11"/>
  <c r="F155" i="11"/>
  <c r="F187" i="11"/>
  <c r="F219" i="11"/>
  <c r="F251" i="11"/>
  <c r="F283" i="11"/>
  <c r="F315" i="11"/>
  <c r="F347" i="11"/>
  <c r="F379" i="11"/>
  <c r="F411" i="11"/>
  <c r="F443" i="11"/>
  <c r="F475" i="11"/>
  <c r="F507" i="11"/>
  <c r="F539" i="11"/>
  <c r="F571" i="11"/>
  <c r="F603" i="11"/>
  <c r="F635" i="11"/>
  <c r="F667" i="11"/>
  <c r="F699" i="11"/>
  <c r="F731" i="11"/>
  <c r="F17" i="12"/>
  <c r="F179" i="8"/>
  <c r="F243" i="8"/>
  <c r="F307" i="8"/>
  <c r="F371" i="8"/>
  <c r="F435" i="8"/>
  <c r="F499" i="8"/>
  <c r="F563" i="8"/>
  <c r="F43" i="9"/>
  <c r="F107" i="9"/>
  <c r="F171" i="9"/>
  <c r="F14" i="11"/>
  <c r="F78" i="11"/>
  <c r="F142" i="11"/>
  <c r="F206" i="11"/>
  <c r="F270" i="11"/>
  <c r="F334" i="11"/>
  <c r="F398" i="11"/>
  <c r="F462" i="11"/>
  <c r="F526" i="11"/>
  <c r="F590" i="11"/>
  <c r="F654" i="11"/>
  <c r="F718" i="11"/>
  <c r="F55" i="12"/>
  <c r="F183" i="12"/>
  <c r="F311" i="12"/>
  <c r="F439" i="12"/>
  <c r="F567" i="12"/>
  <c r="F81" i="13"/>
  <c r="F209" i="13"/>
  <c r="F337" i="13"/>
  <c r="F465" i="13"/>
  <c r="F593" i="13"/>
  <c r="F721" i="13"/>
  <c r="F849" i="13"/>
  <c r="F977" i="13"/>
  <c r="F56" i="14"/>
  <c r="F184" i="14"/>
  <c r="F802" i="6"/>
  <c r="F834" i="6"/>
  <c r="F866" i="6"/>
  <c r="F898" i="6"/>
  <c r="F930" i="6"/>
  <c r="F962" i="6"/>
  <c r="F994" i="6"/>
  <c r="F8" i="7"/>
  <c r="F40" i="7"/>
  <c r="F56" i="7"/>
  <c r="F72" i="7"/>
  <c r="F88" i="7"/>
  <c r="F104" i="7"/>
  <c r="F120" i="7"/>
  <c r="F136" i="7"/>
  <c r="F152" i="7"/>
  <c r="F178" i="7"/>
  <c r="F210" i="7"/>
  <c r="F242" i="7"/>
  <c r="F274" i="7"/>
  <c r="F306" i="7"/>
  <c r="F338" i="7"/>
  <c r="F370" i="7"/>
  <c r="F402" i="7"/>
  <c r="F23" i="8"/>
  <c r="F55" i="8"/>
  <c r="F87" i="8"/>
  <c r="G499" i="3"/>
  <c r="G507" i="3"/>
  <c r="G515" i="3"/>
  <c r="G523" i="3"/>
  <c r="G531" i="3"/>
  <c r="G539" i="3"/>
  <c r="G547" i="3"/>
  <c r="G555" i="3"/>
  <c r="G563" i="3"/>
  <c r="G571" i="3"/>
  <c r="G579" i="3"/>
  <c r="G587" i="3"/>
  <c r="G595" i="3"/>
  <c r="G603" i="3"/>
  <c r="G611" i="3"/>
  <c r="G619" i="3"/>
  <c r="G627" i="3"/>
  <c r="G635" i="3"/>
  <c r="G643" i="3"/>
  <c r="G651" i="3"/>
  <c r="G659" i="3"/>
  <c r="G667" i="3"/>
  <c r="G675" i="3"/>
  <c r="G683" i="3"/>
  <c r="G691" i="3"/>
  <c r="G699" i="3"/>
  <c r="G707" i="3"/>
  <c r="G715" i="3"/>
  <c r="G723" i="3"/>
  <c r="G731" i="3"/>
  <c r="G739" i="3"/>
  <c r="G747" i="3"/>
  <c r="G755" i="3"/>
  <c r="G9" i="4"/>
  <c r="G17" i="4"/>
  <c r="G25" i="4"/>
  <c r="G33" i="4"/>
  <c r="G41" i="4"/>
  <c r="G49" i="4"/>
  <c r="G57" i="4"/>
  <c r="G65" i="4"/>
  <c r="G73" i="4"/>
  <c r="G81" i="4"/>
  <c r="G89" i="4"/>
  <c r="G97" i="4"/>
  <c r="G105" i="4"/>
  <c r="G113" i="4"/>
  <c r="G121" i="4"/>
  <c r="G129" i="4"/>
  <c r="G137" i="4"/>
  <c r="G145" i="4"/>
  <c r="G153" i="4"/>
  <c r="G161" i="4"/>
  <c r="G169" i="4"/>
  <c r="G177" i="4"/>
  <c r="G185" i="4"/>
  <c r="G193" i="4"/>
  <c r="G201" i="4"/>
  <c r="G209" i="4"/>
  <c r="G217" i="4"/>
  <c r="G225" i="4"/>
  <c r="G233" i="4"/>
  <c r="F2" i="5"/>
  <c r="F10" i="5"/>
  <c r="F18" i="5"/>
  <c r="F26" i="5"/>
  <c r="F34" i="5"/>
  <c r="F42" i="5"/>
  <c r="F50" i="5"/>
  <c r="F58" i="5"/>
  <c r="F66" i="5"/>
  <c r="F74" i="5"/>
  <c r="F82" i="5"/>
  <c r="F90" i="5"/>
  <c r="F98" i="5"/>
  <c r="F106" i="5"/>
  <c r="F114" i="5"/>
  <c r="F122" i="5"/>
  <c r="F130" i="5"/>
  <c r="F138" i="5"/>
  <c r="F146" i="5"/>
  <c r="F154" i="5"/>
  <c r="F162" i="5"/>
  <c r="F170" i="5"/>
  <c r="F178" i="5"/>
  <c r="F186" i="5"/>
  <c r="F194" i="5"/>
  <c r="F202" i="5"/>
  <c r="F210" i="5"/>
  <c r="F218" i="5"/>
  <c r="F226" i="5"/>
  <c r="F234" i="5"/>
  <c r="F242" i="5"/>
  <c r="F250" i="5"/>
  <c r="F258" i="5"/>
  <c r="F266" i="5"/>
  <c r="F274" i="5"/>
  <c r="F282" i="5"/>
  <c r="F290" i="5"/>
  <c r="F298" i="5"/>
  <c r="F306" i="5"/>
  <c r="F314" i="5"/>
  <c r="F322" i="5"/>
  <c r="F330" i="5"/>
  <c r="F338" i="5"/>
  <c r="F346" i="5"/>
  <c r="F354" i="5"/>
  <c r="F362" i="5"/>
  <c r="F370" i="5"/>
  <c r="F378" i="5"/>
  <c r="F386" i="5"/>
  <c r="F394" i="5"/>
  <c r="F5" i="6"/>
  <c r="F13" i="6"/>
  <c r="F21" i="6"/>
  <c r="F29" i="6"/>
  <c r="F37" i="6"/>
  <c r="F45" i="6"/>
  <c r="F53" i="6"/>
  <c r="F61" i="6"/>
  <c r="F69" i="6"/>
  <c r="F77" i="6"/>
  <c r="F85" i="6"/>
  <c r="F93" i="6"/>
  <c r="F101" i="6"/>
  <c r="F109" i="6"/>
  <c r="F117" i="6"/>
  <c r="F125" i="6"/>
  <c r="F133" i="6"/>
  <c r="F141" i="6"/>
  <c r="F149" i="6"/>
  <c r="F157" i="6"/>
  <c r="F165" i="6"/>
  <c r="F173" i="6"/>
  <c r="F181" i="6"/>
  <c r="F189" i="6"/>
  <c r="F197" i="6"/>
  <c r="F205" i="6"/>
  <c r="F213" i="6"/>
  <c r="F221" i="6"/>
  <c r="F229" i="6"/>
  <c r="F237" i="6"/>
  <c r="F245" i="6"/>
  <c r="F253" i="6"/>
  <c r="F261" i="6"/>
  <c r="F269" i="6"/>
  <c r="F277" i="6"/>
  <c r="F285" i="6"/>
  <c r="F293" i="6"/>
  <c r="F301" i="6"/>
  <c r="F309" i="6"/>
  <c r="F317" i="6"/>
  <c r="F325" i="6"/>
  <c r="F333" i="6"/>
  <c r="F341" i="6"/>
  <c r="F349" i="6"/>
  <c r="F357" i="6"/>
  <c r="F365" i="6"/>
  <c r="F373" i="6"/>
  <c r="F381" i="6"/>
  <c r="F389" i="6"/>
  <c r="F397" i="6"/>
  <c r="F405" i="6"/>
  <c r="F413" i="6"/>
  <c r="F421" i="6"/>
  <c r="F429" i="6"/>
  <c r="F437" i="6"/>
  <c r="F445" i="6"/>
  <c r="F453" i="6"/>
  <c r="F461" i="6"/>
  <c r="F469" i="6"/>
  <c r="F477" i="6"/>
  <c r="F485" i="6"/>
  <c r="F493" i="6"/>
  <c r="F501" i="6"/>
  <c r="F509" i="6"/>
  <c r="F517" i="6"/>
  <c r="F525" i="6"/>
  <c r="F533" i="6"/>
  <c r="F541" i="6"/>
  <c r="F549" i="6"/>
  <c r="F557" i="6"/>
  <c r="F565" i="6"/>
  <c r="F573" i="6"/>
  <c r="F581" i="6"/>
  <c r="F589" i="6"/>
  <c r="F597" i="6"/>
  <c r="F605" i="6"/>
  <c r="F613" i="6"/>
  <c r="F621" i="6"/>
  <c r="F629" i="6"/>
  <c r="F637" i="6"/>
  <c r="F645" i="6"/>
  <c r="F653" i="6"/>
  <c r="F661" i="6"/>
  <c r="F669" i="6"/>
  <c r="F677" i="6"/>
  <c r="F685" i="6"/>
  <c r="F693" i="6"/>
  <c r="F701" i="6"/>
  <c r="F709" i="6"/>
  <c r="F717" i="6"/>
  <c r="F725" i="6"/>
  <c r="F733" i="6"/>
  <c r="F741" i="6"/>
  <c r="F749" i="6"/>
  <c r="F757" i="6"/>
  <c r="F765" i="6"/>
  <c r="F773" i="6"/>
  <c r="F781" i="6"/>
  <c r="F789" i="6"/>
  <c r="F808" i="6"/>
  <c r="F840" i="6"/>
  <c r="F872" i="6"/>
  <c r="F904" i="6"/>
  <c r="F936" i="6"/>
  <c r="F968" i="6"/>
  <c r="F1000" i="6"/>
  <c r="F14" i="7"/>
  <c r="F164" i="7"/>
  <c r="F196" i="7"/>
  <c r="F228" i="7"/>
  <c r="F260" i="7"/>
  <c r="F292" i="7"/>
  <c r="F324" i="7"/>
  <c r="F356" i="7"/>
  <c r="F388" i="7"/>
  <c r="F9" i="8"/>
  <c r="F41" i="8"/>
  <c r="F73" i="8"/>
  <c r="F105" i="8"/>
  <c r="F806" i="6"/>
  <c r="F870" i="6"/>
  <c r="F934" i="6"/>
  <c r="F28" i="7"/>
  <c r="F86" i="7"/>
  <c r="F150" i="7"/>
  <c r="F270" i="7"/>
  <c r="F398" i="7"/>
  <c r="F115" i="8"/>
  <c r="F797" i="6"/>
  <c r="F829" i="6"/>
  <c r="F861" i="6"/>
  <c r="F893" i="6"/>
  <c r="F925" i="6"/>
  <c r="F957" i="6"/>
  <c r="F989" i="6"/>
  <c r="F3" i="7"/>
  <c r="F35" i="7"/>
  <c r="F67" i="7"/>
  <c r="F99" i="7"/>
  <c r="F131" i="7"/>
  <c r="F163" i="7"/>
  <c r="F195" i="7"/>
  <c r="F227" i="7"/>
  <c r="F259" i="7"/>
  <c r="F291" i="7"/>
  <c r="F323" i="7"/>
  <c r="F355" i="7"/>
  <c r="F387" i="7"/>
  <c r="F8" i="8"/>
  <c r="F40" i="8"/>
  <c r="F72" i="8"/>
  <c r="F104" i="8"/>
  <c r="F136" i="8"/>
  <c r="F168" i="8"/>
  <c r="F200" i="8"/>
  <c r="F232" i="8"/>
  <c r="F264" i="8"/>
  <c r="F296" i="8"/>
  <c r="F328" i="8"/>
  <c r="F360" i="8"/>
  <c r="F392" i="8"/>
  <c r="F424" i="8"/>
  <c r="F456" i="8"/>
  <c r="F488" i="8"/>
  <c r="F520" i="8"/>
  <c r="F552" i="8"/>
  <c r="F593" i="8"/>
  <c r="F32" i="9"/>
  <c r="F64" i="9"/>
  <c r="F96" i="9"/>
  <c r="F128" i="9"/>
  <c r="F160" i="9"/>
  <c r="F192" i="9"/>
  <c r="F3" i="11"/>
  <c r="F35" i="11"/>
  <c r="F67" i="11"/>
  <c r="F99" i="11"/>
  <c r="F131" i="11"/>
  <c r="F163" i="11"/>
  <c r="F195" i="11"/>
  <c r="F227" i="11"/>
  <c r="F259" i="11"/>
  <c r="F291" i="11"/>
  <c r="F323" i="11"/>
  <c r="F355" i="11"/>
  <c r="F387" i="11"/>
  <c r="F419" i="11"/>
  <c r="F451" i="11"/>
  <c r="F483" i="11"/>
  <c r="F515" i="11"/>
  <c r="F547" i="11"/>
  <c r="F579" i="11"/>
  <c r="F611" i="11"/>
  <c r="F643" i="11"/>
  <c r="F675" i="11"/>
  <c r="F707" i="11"/>
  <c r="F739" i="11"/>
  <c r="F25" i="12"/>
  <c r="F578" i="8"/>
  <c r="F131" i="8"/>
  <c r="F195" i="8"/>
  <c r="F259" i="8"/>
  <c r="F323" i="8"/>
  <c r="F387" i="8"/>
  <c r="F451" i="8"/>
  <c r="F515" i="8"/>
  <c r="F583" i="8"/>
  <c r="F59" i="9"/>
  <c r="F123" i="9"/>
  <c r="F187" i="9"/>
  <c r="F30" i="11"/>
  <c r="F94" i="11"/>
  <c r="F158" i="11"/>
  <c r="F222" i="11"/>
  <c r="F286" i="11"/>
  <c r="F350" i="11"/>
  <c r="F414" i="11"/>
  <c r="F478" i="11"/>
  <c r="F542" i="11"/>
  <c r="F606" i="11"/>
  <c r="F670" i="11"/>
  <c r="F734" i="11"/>
  <c r="F87" i="12"/>
  <c r="F215" i="12"/>
  <c r="F343" i="12"/>
  <c r="F471" i="12"/>
  <c r="F599" i="12"/>
  <c r="F113" i="13"/>
  <c r="F241" i="13"/>
  <c r="F369" i="13"/>
  <c r="F497" i="13"/>
  <c r="F625" i="13"/>
  <c r="F753" i="13"/>
  <c r="F881" i="13"/>
  <c r="F1009" i="13"/>
  <c r="F88" i="14"/>
  <c r="F216" i="14"/>
  <c r="F810" i="6"/>
  <c r="F874" i="6"/>
  <c r="F938" i="6"/>
  <c r="F970" i="6"/>
  <c r="F16" i="7"/>
  <c r="F68" i="7"/>
  <c r="F100" i="7"/>
  <c r="F132" i="7"/>
  <c r="F170" i="7"/>
  <c r="F234" i="7"/>
  <c r="F298" i="7"/>
  <c r="F362" i="7"/>
  <c r="F15" i="8"/>
  <c r="F79" i="8"/>
  <c r="G505" i="3"/>
  <c r="G521" i="3"/>
  <c r="G537" i="3"/>
  <c r="G553" i="3"/>
  <c r="G569" i="3"/>
  <c r="G585" i="3"/>
  <c r="G601" i="3"/>
  <c r="G617" i="3"/>
  <c r="G633" i="3"/>
  <c r="G649" i="3"/>
  <c r="G665" i="3"/>
  <c r="G681" i="3"/>
  <c r="G697" i="3"/>
  <c r="G721" i="3"/>
  <c r="G737" i="3"/>
  <c r="G753" i="3"/>
  <c r="G15" i="4"/>
  <c r="G31" i="4"/>
  <c r="G39" i="4"/>
  <c r="G55" i="4"/>
  <c r="G79" i="4"/>
  <c r="G95" i="4"/>
  <c r="G111" i="4"/>
  <c r="G127" i="4"/>
  <c r="G143" i="4"/>
  <c r="G159" i="4"/>
  <c r="G175" i="4"/>
  <c r="G183" i="4"/>
  <c r="G199" i="4"/>
  <c r="G215" i="4"/>
  <c r="G231" i="4"/>
  <c r="F8" i="5"/>
  <c r="F24" i="5"/>
  <c r="F40" i="5"/>
  <c r="F56" i="5"/>
  <c r="F72" i="5"/>
  <c r="F88" i="5"/>
  <c r="F104" i="5"/>
  <c r="F120" i="5"/>
  <c r="F136" i="5"/>
  <c r="F152" i="5"/>
  <c r="F168" i="5"/>
  <c r="F184" i="5"/>
  <c r="F200" i="5"/>
  <c r="F216" i="5"/>
  <c r="F232" i="5"/>
  <c r="F248" i="5"/>
  <c r="F264" i="5"/>
  <c r="F312" i="5"/>
  <c r="G11" i="2"/>
  <c r="G61" i="2"/>
  <c r="G87" i="2"/>
  <c r="G137" i="2"/>
  <c r="G5" i="3"/>
  <c r="G55" i="3"/>
  <c r="G97" i="3"/>
  <c r="G147" i="3"/>
  <c r="G197" i="3"/>
  <c r="G243" i="3"/>
  <c r="G293" i="3"/>
  <c r="G337" i="3"/>
  <c r="G389" i="3"/>
  <c r="G441" i="3"/>
  <c r="G485" i="3"/>
  <c r="G164" i="4"/>
  <c r="F13" i="5"/>
  <c r="F197" i="5"/>
  <c r="F373" i="5"/>
  <c r="F160" i="6"/>
  <c r="F352" i="6"/>
  <c r="F528" i="6"/>
  <c r="F704" i="6"/>
  <c r="F18" i="7"/>
  <c r="F400" i="7"/>
  <c r="G36" i="1"/>
  <c r="G500" i="3"/>
  <c r="G532" i="3"/>
  <c r="G564" i="3"/>
  <c r="G596" i="3"/>
  <c r="G706" i="3"/>
  <c r="G14" i="4"/>
  <c r="G118" i="4"/>
  <c r="G150" i="4"/>
  <c r="G214" i="4"/>
  <c r="F39" i="5"/>
  <c r="F103" i="5"/>
  <c r="F167" i="5"/>
  <c r="F231" i="5"/>
  <c r="F295" i="5"/>
  <c r="F359" i="5"/>
  <c r="F26" i="6"/>
  <c r="F90" i="6"/>
  <c r="F154" i="6"/>
  <c r="F218" i="6"/>
  <c r="F282" i="6"/>
  <c r="F346" i="6"/>
  <c r="F410" i="6"/>
  <c r="F474" i="6"/>
  <c r="F538" i="6"/>
  <c r="F602" i="6"/>
  <c r="F634" i="6"/>
  <c r="F698" i="6"/>
  <c r="F762" i="6"/>
  <c r="F836" i="6"/>
  <c r="F964" i="6"/>
  <c r="F408" i="7"/>
  <c r="G41" i="2"/>
  <c r="G91" i="2"/>
  <c r="G141" i="2"/>
  <c r="G9" i="3"/>
  <c r="G63" i="3"/>
  <c r="G143" i="3"/>
  <c r="G193" i="3"/>
  <c r="G241" i="3"/>
  <c r="G289" i="3"/>
  <c r="G341" i="3"/>
  <c r="G385" i="3"/>
  <c r="G411" i="3"/>
  <c r="G483" i="3"/>
  <c r="G550" i="3"/>
  <c r="G40" i="4"/>
  <c r="G220" i="4"/>
  <c r="F173" i="5"/>
  <c r="F389" i="5"/>
  <c r="F192" i="6"/>
  <c r="F384" i="6"/>
  <c r="F584" i="6"/>
  <c r="G2" i="2"/>
  <c r="G36" i="2"/>
  <c r="G54" i="2"/>
  <c r="G84" i="2"/>
  <c r="G102" i="2"/>
  <c r="G118" i="2"/>
  <c r="G142" i="2"/>
  <c r="G150" i="2"/>
  <c r="G166" i="2"/>
  <c r="G2" i="3"/>
  <c r="G18" i="3"/>
  <c r="G26" i="3"/>
  <c r="G42" i="3"/>
  <c r="G58" i="3"/>
  <c r="G74" i="3"/>
  <c r="G90" i="3"/>
  <c r="G106" i="3"/>
  <c r="G122" i="3"/>
  <c r="G138" i="3"/>
  <c r="G162" i="3"/>
  <c r="G178" i="3"/>
  <c r="G194" i="3"/>
  <c r="G210" i="3"/>
  <c r="G226" i="3"/>
  <c r="G242" i="3"/>
  <c r="G250" i="3"/>
  <c r="G266" i="3"/>
  <c r="G282" i="3"/>
  <c r="G298" i="3"/>
  <c r="G314" i="3"/>
  <c r="G330" i="3"/>
  <c r="G346" i="3"/>
  <c r="G362" i="3"/>
  <c r="G378" i="3"/>
  <c r="G394" i="3"/>
  <c r="G410" i="3"/>
  <c r="G426" i="3"/>
  <c r="G442" i="3"/>
  <c r="G458" i="3"/>
  <c r="G474" i="3"/>
  <c r="G490" i="3"/>
  <c r="G530" i="3"/>
  <c r="G594" i="3"/>
  <c r="G658" i="3"/>
  <c r="G732" i="3"/>
  <c r="G36" i="4"/>
  <c r="G96" i="4"/>
  <c r="G160" i="4"/>
  <c r="G224" i="4"/>
  <c r="F81" i="5"/>
  <c r="F145" i="5"/>
  <c r="F209" i="5"/>
  <c r="F273" i="5"/>
  <c r="F305" i="5"/>
  <c r="F369" i="5"/>
  <c r="F36" i="6"/>
  <c r="F132" i="6"/>
  <c r="F196" i="6"/>
  <c r="F260" i="6"/>
  <c r="F324" i="6"/>
  <c r="F388" i="6"/>
  <c r="F452" i="6"/>
  <c r="F516" i="6"/>
  <c r="F580" i="6"/>
  <c r="F644" i="6"/>
  <c r="F676" i="6"/>
  <c r="F740" i="6"/>
  <c r="F892" i="6"/>
  <c r="F320" i="7"/>
  <c r="G33" i="2"/>
  <c r="G55" i="2"/>
  <c r="G119" i="2"/>
  <c r="G169" i="2"/>
  <c r="G33" i="3"/>
  <c r="G79" i="3"/>
  <c r="G101" i="3"/>
  <c r="G145" i="3"/>
  <c r="G213" i="3"/>
  <c r="G263" i="3"/>
  <c r="G307" i="3"/>
  <c r="G357" i="3"/>
  <c r="G427" i="3"/>
  <c r="G475" i="3"/>
  <c r="G582" i="3"/>
  <c r="G646" i="3"/>
  <c r="G752" i="3"/>
  <c r="G204" i="4"/>
  <c r="F165" i="5"/>
  <c r="F357" i="5"/>
  <c r="F152" i="6"/>
  <c r="F344" i="6"/>
  <c r="F536" i="6"/>
  <c r="F736" i="6"/>
  <c r="F53" i="8"/>
  <c r="G20" i="2"/>
  <c r="G48" i="2"/>
  <c r="G10" i="1"/>
  <c r="G512" i="3"/>
  <c r="G576" i="3"/>
  <c r="G672" i="3"/>
  <c r="G742" i="3"/>
  <c r="G58" i="4"/>
  <c r="G122" i="4"/>
  <c r="G186" i="4"/>
  <c r="F11" i="5"/>
  <c r="F75" i="5"/>
  <c r="F139" i="5"/>
  <c r="F203" i="5"/>
  <c r="F267" i="5"/>
  <c r="F331" i="5"/>
  <c r="F395" i="5"/>
  <c r="F62" i="6"/>
  <c r="F126" i="6"/>
  <c r="F190" i="6"/>
  <c r="F254" i="6"/>
  <c r="F318" i="6"/>
  <c r="F382" i="6"/>
  <c r="F478" i="6"/>
  <c r="F542" i="6"/>
  <c r="F574" i="6"/>
  <c r="F638" i="6"/>
  <c r="F702" i="6"/>
  <c r="F766" i="6"/>
  <c r="F1012" i="6"/>
  <c r="F296" i="7"/>
  <c r="G52" i="1"/>
  <c r="G19" i="2"/>
  <c r="G43" i="2"/>
  <c r="G67" i="2"/>
  <c r="G95" i="2"/>
  <c r="G121" i="2"/>
  <c r="G143" i="2"/>
  <c r="G167" i="2"/>
  <c r="G11" i="3"/>
  <c r="G35" i="3"/>
  <c r="G59" i="3"/>
  <c r="G81" i="3"/>
  <c r="G103" i="3"/>
  <c r="G129" i="3"/>
  <c r="G153" i="3"/>
  <c r="G181" i="3"/>
  <c r="G203" i="3"/>
  <c r="G229" i="3"/>
  <c r="G249" i="3"/>
  <c r="G275" i="3"/>
  <c r="G299" i="3"/>
  <c r="G321" i="3"/>
  <c r="G347" i="3"/>
  <c r="G369" i="3"/>
  <c r="G395" i="3"/>
  <c r="G423" i="3"/>
  <c r="G447" i="3"/>
  <c r="G467" i="3"/>
  <c r="G491" i="3"/>
  <c r="G6" i="4"/>
  <c r="G100" i="4"/>
  <c r="G188" i="4"/>
  <c r="F37" i="5"/>
  <c r="F133" i="5"/>
  <c r="F213" i="5"/>
  <c r="F317" i="5"/>
  <c r="F397" i="5"/>
  <c r="F96" i="6"/>
  <c r="F184" i="6"/>
  <c r="F280" i="6"/>
  <c r="F368" i="6"/>
  <c r="F464" i="6"/>
  <c r="F552" i="6"/>
  <c r="F648" i="6"/>
  <c r="F728" i="6"/>
  <c r="F972" i="6"/>
  <c r="F176" i="7"/>
  <c r="F304" i="7"/>
  <c r="F85" i="8"/>
  <c r="G39" i="1"/>
  <c r="G524" i="3"/>
  <c r="G556" i="3"/>
  <c r="G588" i="3"/>
  <c r="G620" i="3"/>
  <c r="G652" i="3"/>
  <c r="G684" i="3"/>
  <c r="G714" i="3"/>
  <c r="G746" i="3"/>
  <c r="G28" i="4"/>
  <c r="G62" i="4"/>
  <c r="G94" i="4"/>
  <c r="G126" i="4"/>
  <c r="G158" i="4"/>
  <c r="G190" i="4"/>
  <c r="G222" i="4"/>
  <c r="F15" i="5"/>
  <c r="F47" i="5"/>
  <c r="F79" i="5"/>
  <c r="F111" i="5"/>
  <c r="F143" i="5"/>
  <c r="F175" i="5"/>
  <c r="F207" i="5"/>
  <c r="F239" i="5"/>
  <c r="F271" i="5"/>
  <c r="F303" i="5"/>
  <c r="F335" i="5"/>
  <c r="F367" i="5"/>
  <c r="F2" i="6"/>
  <c r="F34" i="6"/>
  <c r="F66" i="6"/>
  <c r="F98" i="6"/>
  <c r="F130" i="6"/>
  <c r="F162" i="6"/>
  <c r="F194" i="6"/>
  <c r="F226" i="6"/>
  <c r="F258" i="6"/>
  <c r="F290" i="6"/>
  <c r="F322" i="6"/>
  <c r="F354" i="6"/>
  <c r="F386" i="6"/>
  <c r="F418" i="6"/>
  <c r="F450" i="6"/>
  <c r="F482" i="6"/>
  <c r="F514" i="6"/>
  <c r="F546" i="6"/>
  <c r="F578" i="6"/>
  <c r="F610" i="6"/>
  <c r="F642" i="6"/>
  <c r="F674" i="6"/>
  <c r="F706" i="6"/>
  <c r="F738" i="6"/>
  <c r="F770" i="6"/>
  <c r="F804" i="6"/>
  <c r="F932" i="6"/>
  <c r="F184" i="7"/>
  <c r="F312" i="7"/>
  <c r="F29" i="8"/>
  <c r="G21" i="2"/>
  <c r="G47" i="2"/>
  <c r="G73" i="2"/>
  <c r="G99" i="2"/>
  <c r="G123" i="2"/>
  <c r="G147" i="2"/>
  <c r="G171" i="2"/>
  <c r="G17" i="3"/>
  <c r="G43" i="3"/>
  <c r="G69" i="3"/>
  <c r="G99" i="3"/>
  <c r="G125" i="3"/>
  <c r="G149" i="3"/>
  <c r="G175" i="3"/>
  <c r="G199" i="3"/>
  <c r="G221" i="3"/>
  <c r="G247" i="3"/>
  <c r="G271" i="3"/>
  <c r="G295" i="3"/>
  <c r="G323" i="3"/>
  <c r="G343" i="3"/>
  <c r="G367" i="3"/>
  <c r="G391" i="3"/>
  <c r="G417" i="3"/>
  <c r="G439" i="3"/>
  <c r="G465" i="3"/>
  <c r="G489" i="3"/>
  <c r="G518" i="3"/>
  <c r="G558" i="3"/>
  <c r="G720" i="3"/>
  <c r="G60" i="4"/>
  <c r="G156" i="4"/>
  <c r="F5" i="5"/>
  <c r="F101" i="5"/>
  <c r="F205" i="5"/>
  <c r="F309" i="5"/>
  <c r="F16" i="6"/>
  <c r="F104" i="6"/>
  <c r="F216" i="6"/>
  <c r="F312" i="6"/>
  <c r="F408" i="6"/>
  <c r="F512" i="6"/>
  <c r="F608" i="6"/>
  <c r="F720" i="6"/>
  <c r="G6" i="2"/>
  <c r="G22" i="2"/>
  <c r="G42" i="2"/>
  <c r="G58" i="2"/>
  <c r="G74" i="2"/>
  <c r="G88" i="2"/>
  <c r="G96" i="2"/>
  <c r="G104" i="2"/>
  <c r="G112" i="2"/>
  <c r="G120" i="2"/>
  <c r="G128" i="2"/>
  <c r="G136" i="2"/>
  <c r="G144" i="2"/>
  <c r="G152" i="2"/>
  <c r="G160" i="2"/>
  <c r="G168" i="2"/>
  <c r="G176" i="2"/>
  <c r="G4" i="3"/>
  <c r="G12" i="3"/>
  <c r="G20" i="3"/>
  <c r="G28" i="3"/>
  <c r="G36" i="3"/>
  <c r="G44" i="3"/>
  <c r="G52" i="3"/>
  <c r="G60" i="3"/>
  <c r="G68" i="3"/>
  <c r="G76" i="3"/>
  <c r="G84" i="3"/>
  <c r="G92" i="3"/>
  <c r="G100" i="3"/>
  <c r="G108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G220" i="3"/>
  <c r="G228" i="3"/>
  <c r="G236" i="3"/>
  <c r="G244" i="3"/>
  <c r="G252" i="3"/>
  <c r="G260" i="3"/>
  <c r="G268" i="3"/>
  <c r="G276" i="3"/>
  <c r="G284" i="3"/>
  <c r="G292" i="3"/>
  <c r="G300" i="3"/>
  <c r="G308" i="3"/>
  <c r="G316" i="3"/>
  <c r="G324" i="3"/>
  <c r="G332" i="3"/>
  <c r="G340" i="3"/>
  <c r="G348" i="3"/>
  <c r="G356" i="3"/>
  <c r="G364" i="3"/>
  <c r="G372" i="3"/>
  <c r="G380" i="3"/>
  <c r="G388" i="3"/>
  <c r="G396" i="3"/>
  <c r="G404" i="3"/>
  <c r="G412" i="3"/>
  <c r="G420" i="3"/>
  <c r="G428" i="3"/>
  <c r="G436" i="3"/>
  <c r="G444" i="3"/>
  <c r="G452" i="3"/>
  <c r="G460" i="3"/>
  <c r="G468" i="3"/>
  <c r="G476" i="3"/>
  <c r="G484" i="3"/>
  <c r="G492" i="3"/>
  <c r="G522" i="3"/>
  <c r="G554" i="3"/>
  <c r="G586" i="3"/>
  <c r="G618" i="3"/>
  <c r="G650" i="3"/>
  <c r="G682" i="3"/>
  <c r="G708" i="3"/>
  <c r="G740" i="3"/>
  <c r="G16" i="4"/>
  <c r="G42" i="4"/>
  <c r="G72" i="4"/>
  <c r="G104" i="4"/>
  <c r="G136" i="4"/>
  <c r="G168" i="4"/>
  <c r="G200" i="4"/>
  <c r="G232" i="4"/>
  <c r="F25" i="5"/>
  <c r="F57" i="5"/>
  <c r="F89" i="5"/>
  <c r="F121" i="5"/>
  <c r="F153" i="5"/>
  <c r="F185" i="5"/>
  <c r="F217" i="5"/>
  <c r="F249" i="5"/>
  <c r="F281" i="5"/>
  <c r="F313" i="5"/>
  <c r="F345" i="5"/>
  <c r="F377" i="5"/>
  <c r="F12" i="6"/>
  <c r="F44" i="6"/>
  <c r="F76" i="6"/>
  <c r="F108" i="6"/>
  <c r="F140" i="6"/>
  <c r="F172" i="6"/>
  <c r="F204" i="6"/>
  <c r="F236" i="6"/>
  <c r="F268" i="6"/>
  <c r="F300" i="6"/>
  <c r="F332" i="6"/>
  <c r="F364" i="6"/>
  <c r="F396" i="6"/>
  <c r="F428" i="6"/>
  <c r="F460" i="6"/>
  <c r="F492" i="6"/>
  <c r="F524" i="6"/>
  <c r="F556" i="6"/>
  <c r="F588" i="6"/>
  <c r="F620" i="6"/>
  <c r="F652" i="6"/>
  <c r="F684" i="6"/>
  <c r="F716" i="6"/>
  <c r="F748" i="6"/>
  <c r="F780" i="6"/>
  <c r="F860" i="6"/>
  <c r="F988" i="6"/>
  <c r="F224" i="7"/>
  <c r="F352" i="7"/>
  <c r="F69" i="8"/>
  <c r="G54" i="1"/>
  <c r="G17" i="2"/>
  <c r="G39" i="2"/>
  <c r="G59" i="2"/>
  <c r="G83" i="2"/>
  <c r="G103" i="2"/>
  <c r="G127" i="2"/>
  <c r="G151" i="2"/>
  <c r="G175" i="2"/>
  <c r="G19" i="3"/>
  <c r="G39" i="3"/>
  <c r="G61" i="3"/>
  <c r="G83" i="3"/>
  <c r="G107" i="3"/>
  <c r="G127" i="3"/>
  <c r="G151" i="3"/>
  <c r="G171" i="3"/>
  <c r="G195" i="3"/>
  <c r="G219" i="3"/>
  <c r="G245" i="3"/>
  <c r="G267" i="3"/>
  <c r="G291" i="3"/>
  <c r="G313" i="3"/>
  <c r="G339" i="3"/>
  <c r="G365" i="3"/>
  <c r="G387" i="3"/>
  <c r="G407" i="3"/>
  <c r="G431" i="3"/>
  <c r="G455" i="3"/>
  <c r="G479" i="3"/>
  <c r="G534" i="3"/>
  <c r="G654" i="3"/>
  <c r="G26" i="4"/>
  <c r="G116" i="4"/>
  <c r="G236" i="4"/>
  <c r="F93" i="5"/>
  <c r="F189" i="5"/>
  <c r="F285" i="5"/>
  <c r="F381" i="5"/>
  <c r="F88" i="6"/>
  <c r="F176" i="6"/>
  <c r="F272" i="6"/>
  <c r="F376" i="6"/>
  <c r="F472" i="6"/>
  <c r="F560" i="6"/>
  <c r="F672" i="6"/>
  <c r="F752" i="6"/>
  <c r="F1004" i="6"/>
  <c r="G10" i="2"/>
  <c r="G24" i="2"/>
  <c r="G38" i="2"/>
  <c r="G52" i="2"/>
  <c r="G68" i="2"/>
  <c r="G86" i="2"/>
  <c r="G504" i="3"/>
  <c r="G536" i="3"/>
  <c r="G568" i="3"/>
  <c r="G600" i="3"/>
  <c r="G632" i="3"/>
  <c r="G664" i="3"/>
  <c r="G686" i="3"/>
  <c r="G718" i="3"/>
  <c r="G750" i="3"/>
  <c r="G38" i="4"/>
  <c r="G66" i="4"/>
  <c r="G98" i="4"/>
  <c r="G130" i="4"/>
  <c r="G162" i="4"/>
  <c r="G194" i="4"/>
  <c r="G226" i="4"/>
  <c r="F19" i="5"/>
  <c r="F51" i="5"/>
  <c r="F83" i="5"/>
  <c r="F115" i="5"/>
  <c r="F147" i="5"/>
  <c r="F179" i="5"/>
  <c r="F211" i="5"/>
  <c r="F243" i="5"/>
  <c r="F275" i="5"/>
  <c r="F307" i="5"/>
  <c r="F339" i="5"/>
  <c r="F371" i="5"/>
  <c r="F6" i="6"/>
  <c r="F38" i="6"/>
  <c r="F70" i="6"/>
  <c r="F102" i="6"/>
  <c r="F134" i="6"/>
  <c r="F166" i="6"/>
  <c r="F198" i="6"/>
  <c r="F230" i="6"/>
  <c r="F262" i="6"/>
  <c r="F294" i="6"/>
  <c r="F326" i="6"/>
  <c r="F358" i="6"/>
  <c r="F390" i="6"/>
  <c r="F422" i="6"/>
  <c r="F454" i="6"/>
  <c r="F486" i="6"/>
  <c r="F518" i="6"/>
  <c r="F550" i="6"/>
  <c r="F582" i="6"/>
  <c r="F614" i="6"/>
  <c r="F646" i="6"/>
  <c r="F678" i="6"/>
  <c r="F710" i="6"/>
  <c r="F742" i="6"/>
  <c r="F774" i="6"/>
  <c r="F852" i="6"/>
  <c r="F980" i="6"/>
  <c r="F200" i="7"/>
  <c r="F328" i="7"/>
  <c r="F45" i="8"/>
  <c r="F826" i="6"/>
  <c r="F858" i="6"/>
  <c r="F890" i="6"/>
  <c r="F922" i="6"/>
  <c r="F954" i="6"/>
  <c r="F986" i="6"/>
  <c r="F1018" i="6"/>
  <c r="F32" i="7"/>
  <c r="F44" i="7"/>
  <c r="F60" i="7"/>
  <c r="F76" i="7"/>
  <c r="F92" i="7"/>
  <c r="F108" i="7"/>
  <c r="F124" i="7"/>
  <c r="F140" i="7"/>
  <c r="F156" i="7"/>
  <c r="F186" i="7"/>
  <c r="F218" i="7"/>
  <c r="F250" i="7"/>
  <c r="F282" i="7"/>
  <c r="F314" i="7"/>
  <c r="F346" i="7"/>
  <c r="F378" i="7"/>
  <c r="F410" i="7"/>
  <c r="F31" i="8"/>
  <c r="F63" i="8"/>
  <c r="F95" i="8"/>
  <c r="G501" i="3"/>
  <c r="G509" i="3"/>
  <c r="G517" i="3"/>
  <c r="G525" i="3"/>
  <c r="G533" i="3"/>
  <c r="G541" i="3"/>
  <c r="G549" i="3"/>
  <c r="G557" i="3"/>
  <c r="G565" i="3"/>
  <c r="G573" i="3"/>
  <c r="G581" i="3"/>
  <c r="G589" i="3"/>
  <c r="G597" i="3"/>
  <c r="G605" i="3"/>
  <c r="G613" i="3"/>
  <c r="G621" i="3"/>
  <c r="G629" i="3"/>
  <c r="G637" i="3"/>
  <c r="G645" i="3"/>
  <c r="G653" i="3"/>
  <c r="G661" i="3"/>
  <c r="G669" i="3"/>
  <c r="G677" i="3"/>
  <c r="G685" i="3"/>
  <c r="G693" i="3"/>
  <c r="G701" i="3"/>
  <c r="G709" i="3"/>
  <c r="G717" i="3"/>
  <c r="G725" i="3"/>
  <c r="G733" i="3"/>
  <c r="G741" i="3"/>
  <c r="G749" i="3"/>
  <c r="G3" i="4"/>
  <c r="G11" i="4"/>
  <c r="G19" i="4"/>
  <c r="G27" i="4"/>
  <c r="G35" i="4"/>
  <c r="G43" i="4"/>
  <c r="G51" i="4"/>
  <c r="G59" i="4"/>
  <c r="G67" i="4"/>
  <c r="G75" i="4"/>
  <c r="G83" i="4"/>
  <c r="G91" i="4"/>
  <c r="G99" i="4"/>
  <c r="G107" i="4"/>
  <c r="G115" i="4"/>
  <c r="G123" i="4"/>
  <c r="G131" i="4"/>
  <c r="G139" i="4"/>
  <c r="G147" i="4"/>
  <c r="G155" i="4"/>
  <c r="G163" i="4"/>
  <c r="G171" i="4"/>
  <c r="G179" i="4"/>
  <c r="G187" i="4"/>
  <c r="G195" i="4"/>
  <c r="G203" i="4"/>
  <c r="G211" i="4"/>
  <c r="G219" i="4"/>
  <c r="G227" i="4"/>
  <c r="G235" i="4"/>
  <c r="F4" i="5"/>
  <c r="F12" i="5"/>
  <c r="F20" i="5"/>
  <c r="F28" i="5"/>
  <c r="F36" i="5"/>
  <c r="F44" i="5"/>
  <c r="F52" i="5"/>
  <c r="F60" i="5"/>
  <c r="F68" i="5"/>
  <c r="F76" i="5"/>
  <c r="F84" i="5"/>
  <c r="F92" i="5"/>
  <c r="F100" i="5"/>
  <c r="F108" i="5"/>
  <c r="F116" i="5"/>
  <c r="F124" i="5"/>
  <c r="F132" i="5"/>
  <c r="F140" i="5"/>
  <c r="F148" i="5"/>
  <c r="F156" i="5"/>
  <c r="F164" i="5"/>
  <c r="F172" i="5"/>
  <c r="F180" i="5"/>
  <c r="F188" i="5"/>
  <c r="F196" i="5"/>
  <c r="F204" i="5"/>
  <c r="F212" i="5"/>
  <c r="F220" i="5"/>
  <c r="F228" i="5"/>
  <c r="F236" i="5"/>
  <c r="F244" i="5"/>
  <c r="F252" i="5"/>
  <c r="F260" i="5"/>
  <c r="F268" i="5"/>
  <c r="F276" i="5"/>
  <c r="F284" i="5"/>
  <c r="F292" i="5"/>
  <c r="F300" i="5"/>
  <c r="F308" i="5"/>
  <c r="F316" i="5"/>
  <c r="F324" i="5"/>
  <c r="F332" i="5"/>
  <c r="F340" i="5"/>
  <c r="F348" i="5"/>
  <c r="F356" i="5"/>
  <c r="F364" i="5"/>
  <c r="F372" i="5"/>
  <c r="F380" i="5"/>
  <c r="F388" i="5"/>
  <c r="F396" i="5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1" i="6"/>
  <c r="F199" i="6"/>
  <c r="F207" i="6"/>
  <c r="F215" i="6"/>
  <c r="F223" i="6"/>
  <c r="F231" i="6"/>
  <c r="F239" i="6"/>
  <c r="F247" i="6"/>
  <c r="F255" i="6"/>
  <c r="F263" i="6"/>
  <c r="F271" i="6"/>
  <c r="F279" i="6"/>
  <c r="F287" i="6"/>
  <c r="F295" i="6"/>
  <c r="F303" i="6"/>
  <c r="F311" i="6"/>
  <c r="F319" i="6"/>
  <c r="F327" i="6"/>
  <c r="F335" i="6"/>
  <c r="F343" i="6"/>
  <c r="F351" i="6"/>
  <c r="F359" i="6"/>
  <c r="F367" i="6"/>
  <c r="F375" i="6"/>
  <c r="F383" i="6"/>
  <c r="F391" i="6"/>
  <c r="F399" i="6"/>
  <c r="F407" i="6"/>
  <c r="F415" i="6"/>
  <c r="F423" i="6"/>
  <c r="F431" i="6"/>
  <c r="F439" i="6"/>
  <c r="F447" i="6"/>
  <c r="F455" i="6"/>
  <c r="F463" i="6"/>
  <c r="F471" i="6"/>
  <c r="F479" i="6"/>
  <c r="F487" i="6"/>
  <c r="F495" i="6"/>
  <c r="F503" i="6"/>
  <c r="F511" i="6"/>
  <c r="F519" i="6"/>
  <c r="F527" i="6"/>
  <c r="F535" i="6"/>
  <c r="F543" i="6"/>
  <c r="F551" i="6"/>
  <c r="F559" i="6"/>
  <c r="F567" i="6"/>
  <c r="F575" i="6"/>
  <c r="F583" i="6"/>
  <c r="F591" i="6"/>
  <c r="F599" i="6"/>
  <c r="F607" i="6"/>
  <c r="F615" i="6"/>
  <c r="F623" i="6"/>
  <c r="F631" i="6"/>
  <c r="F639" i="6"/>
  <c r="F647" i="6"/>
  <c r="F655" i="6"/>
  <c r="F663" i="6"/>
  <c r="F671" i="6"/>
  <c r="F679" i="6"/>
  <c r="F687" i="6"/>
  <c r="F695" i="6"/>
  <c r="F703" i="6"/>
  <c r="F711" i="6"/>
  <c r="F719" i="6"/>
  <c r="F727" i="6"/>
  <c r="F735" i="6"/>
  <c r="F743" i="6"/>
  <c r="F751" i="6"/>
  <c r="F759" i="6"/>
  <c r="F767" i="6"/>
  <c r="F775" i="6"/>
  <c r="F783" i="6"/>
  <c r="F791" i="6"/>
  <c r="F800" i="6"/>
  <c r="F832" i="6"/>
  <c r="F864" i="6"/>
  <c r="F896" i="6"/>
  <c r="F928" i="6"/>
  <c r="F960" i="6"/>
  <c r="F992" i="6"/>
  <c r="F6" i="7"/>
  <c r="F38" i="7"/>
  <c r="F172" i="7"/>
  <c r="F204" i="7"/>
  <c r="F236" i="7"/>
  <c r="F268" i="7"/>
  <c r="F300" i="7"/>
  <c r="F332" i="7"/>
  <c r="F364" i="7"/>
  <c r="F396" i="7"/>
  <c r="F17" i="8"/>
  <c r="F49" i="8"/>
  <c r="F81" i="8"/>
  <c r="F113" i="8"/>
  <c r="F854" i="6"/>
  <c r="F918" i="6"/>
  <c r="F1014" i="6"/>
  <c r="F102" i="7"/>
  <c r="F174" i="7"/>
  <c r="F302" i="7"/>
  <c r="F19" i="8"/>
  <c r="F805" i="6"/>
  <c r="F837" i="6"/>
  <c r="F869" i="6"/>
  <c r="F901" i="6"/>
  <c r="F933" i="6"/>
  <c r="F965" i="6"/>
  <c r="F997" i="6"/>
  <c r="F11" i="7"/>
  <c r="F43" i="7"/>
  <c r="F75" i="7"/>
  <c r="F107" i="7"/>
  <c r="F139" i="7"/>
  <c r="F171" i="7"/>
  <c r="F203" i="7"/>
  <c r="F235" i="7"/>
  <c r="F267" i="7"/>
  <c r="F299" i="7"/>
  <c r="F331" i="7"/>
  <c r="F363" i="7"/>
  <c r="F395" i="7"/>
  <c r="F16" i="8"/>
  <c r="F48" i="8"/>
  <c r="F80" i="8"/>
  <c r="F112" i="8"/>
  <c r="F144" i="8"/>
  <c r="F176" i="8"/>
  <c r="F208" i="8"/>
  <c r="F240" i="8"/>
  <c r="F272" i="8"/>
  <c r="F304" i="8"/>
  <c r="F336" i="8"/>
  <c r="F368" i="8"/>
  <c r="F400" i="8"/>
  <c r="F432" i="8"/>
  <c r="F464" i="8"/>
  <c r="F496" i="8"/>
  <c r="F528" i="8"/>
  <c r="F560" i="8"/>
  <c r="F8" i="9"/>
  <c r="F40" i="9"/>
  <c r="F72" i="9"/>
  <c r="F104" i="9"/>
  <c r="F136" i="9"/>
  <c r="F168" i="9"/>
  <c r="F200" i="9"/>
  <c r="F11" i="11"/>
  <c r="F43" i="11"/>
  <c r="F75" i="11"/>
  <c r="F107" i="11"/>
  <c r="F139" i="11"/>
  <c r="F171" i="11"/>
  <c r="F203" i="11"/>
  <c r="F235" i="11"/>
  <c r="F267" i="11"/>
  <c r="F299" i="11"/>
  <c r="F331" i="11"/>
  <c r="F363" i="11"/>
  <c r="F395" i="11"/>
  <c r="F427" i="11"/>
  <c r="F459" i="11"/>
  <c r="F491" i="11"/>
  <c r="F523" i="11"/>
  <c r="F555" i="11"/>
  <c r="F587" i="11"/>
  <c r="F619" i="11"/>
  <c r="F651" i="11"/>
  <c r="F683" i="11"/>
  <c r="F715" i="11"/>
  <c r="F1" i="12"/>
  <c r="F594" i="8"/>
  <c r="F147" i="8"/>
  <c r="F211" i="8"/>
  <c r="F275" i="8"/>
  <c r="F339" i="8"/>
  <c r="F403" i="8"/>
  <c r="F467" i="8"/>
  <c r="F531" i="8"/>
  <c r="F11" i="9"/>
  <c r="F75" i="9"/>
  <c r="F139" i="9"/>
  <c r="F203" i="9"/>
  <c r="F46" i="11"/>
  <c r="F110" i="11"/>
  <c r="F174" i="11"/>
  <c r="F238" i="11"/>
  <c r="F302" i="11"/>
  <c r="F366" i="11"/>
  <c r="F430" i="11"/>
  <c r="F494" i="11"/>
  <c r="F558" i="11"/>
  <c r="F622" i="11"/>
  <c r="F686" i="11"/>
  <c r="F4" i="12"/>
  <c r="F119" i="12"/>
  <c r="F247" i="12"/>
  <c r="F375" i="12"/>
  <c r="F503" i="12"/>
  <c r="F17" i="13"/>
  <c r="F145" i="13"/>
  <c r="F273" i="13"/>
  <c r="F401" i="13"/>
  <c r="F529" i="13"/>
  <c r="F657" i="13"/>
  <c r="F785" i="13"/>
  <c r="F913" i="13"/>
  <c r="F1041" i="13"/>
  <c r="F120" i="14"/>
  <c r="F248" i="14"/>
  <c r="G37" i="2"/>
  <c r="G115" i="2"/>
  <c r="G161" i="2"/>
  <c r="G27" i="3"/>
  <c r="G75" i="3"/>
  <c r="G121" i="3"/>
  <c r="G173" i="3"/>
  <c r="G223" i="3"/>
  <c r="G269" i="3"/>
  <c r="G317" i="3"/>
  <c r="G363" i="3"/>
  <c r="G415" i="3"/>
  <c r="G463" i="3"/>
  <c r="G606" i="3"/>
  <c r="G736" i="3"/>
  <c r="G76" i="4"/>
  <c r="F109" i="5"/>
  <c r="F293" i="5"/>
  <c r="F72" i="6"/>
  <c r="F264" i="6"/>
  <c r="F440" i="6"/>
  <c r="F616" i="6"/>
  <c r="F784" i="6"/>
  <c r="F272" i="7"/>
  <c r="G9" i="1"/>
  <c r="G48" i="1"/>
  <c r="G628" i="3"/>
  <c r="G660" i="3"/>
  <c r="G738" i="3"/>
  <c r="G54" i="4"/>
  <c r="G86" i="4"/>
  <c r="G182" i="4"/>
  <c r="F7" i="5"/>
  <c r="F71" i="5"/>
  <c r="F135" i="5"/>
  <c r="F199" i="5"/>
  <c r="F263" i="5"/>
  <c r="F327" i="5"/>
  <c r="F391" i="5"/>
  <c r="F58" i="6"/>
  <c r="F122" i="6"/>
  <c r="F186" i="6"/>
  <c r="F250" i="6"/>
  <c r="F314" i="6"/>
  <c r="F378" i="6"/>
  <c r="F442" i="6"/>
  <c r="F506" i="6"/>
  <c r="F570" i="6"/>
  <c r="F666" i="6"/>
  <c r="F730" i="6"/>
  <c r="F794" i="6"/>
  <c r="F280" i="7"/>
  <c r="G3" i="1"/>
  <c r="G15" i="2"/>
  <c r="G69" i="2"/>
  <c r="G117" i="2"/>
  <c r="G165" i="2"/>
  <c r="G37" i="3"/>
  <c r="G91" i="3"/>
  <c r="G117" i="3"/>
  <c r="G169" i="3"/>
  <c r="G217" i="3"/>
  <c r="G265" i="3"/>
  <c r="G315" i="3"/>
  <c r="G361" i="3"/>
  <c r="G433" i="3"/>
  <c r="G459" i="3"/>
  <c r="G510" i="3"/>
  <c r="G696" i="3"/>
  <c r="G132" i="4"/>
  <c r="F77" i="5"/>
  <c r="F277" i="5"/>
  <c r="F80" i="6"/>
  <c r="F288" i="6"/>
  <c r="F480" i="6"/>
  <c r="F688" i="6"/>
  <c r="G18" i="2"/>
  <c r="G70" i="2"/>
  <c r="G94" i="2"/>
  <c r="G110" i="2"/>
  <c r="G126" i="2"/>
  <c r="G134" i="2"/>
  <c r="G158" i="2"/>
  <c r="G174" i="2"/>
  <c r="G10" i="3"/>
  <c r="G34" i="3"/>
  <c r="G50" i="3"/>
  <c r="G66" i="3"/>
  <c r="G82" i="3"/>
  <c r="G98" i="3"/>
  <c r="G114" i="3"/>
  <c r="G130" i="3"/>
  <c r="G146" i="3"/>
  <c r="G154" i="3"/>
  <c r="G170" i="3"/>
  <c r="G186" i="3"/>
  <c r="G202" i="3"/>
  <c r="G218" i="3"/>
  <c r="G234" i="3"/>
  <c r="G258" i="3"/>
  <c r="G274" i="3"/>
  <c r="G290" i="3"/>
  <c r="G306" i="3"/>
  <c r="G322" i="3"/>
  <c r="G338" i="3"/>
  <c r="G354" i="3"/>
  <c r="G370" i="3"/>
  <c r="G386" i="3"/>
  <c r="G402" i="3"/>
  <c r="G418" i="3"/>
  <c r="G434" i="3"/>
  <c r="G450" i="3"/>
  <c r="G466" i="3"/>
  <c r="G482" i="3"/>
  <c r="G498" i="3"/>
  <c r="G562" i="3"/>
  <c r="G626" i="3"/>
  <c r="G700" i="3"/>
  <c r="G10" i="4"/>
  <c r="G64" i="4"/>
  <c r="G128" i="4"/>
  <c r="G192" i="4"/>
  <c r="F17" i="5"/>
  <c r="F49" i="5"/>
  <c r="F113" i="5"/>
  <c r="F177" i="5"/>
  <c r="F241" i="5"/>
  <c r="F337" i="5"/>
  <c r="F4" i="6"/>
  <c r="F68" i="6"/>
  <c r="F100" i="6"/>
  <c r="F164" i="6"/>
  <c r="F228" i="6"/>
  <c r="F292" i="6"/>
  <c r="F356" i="6"/>
  <c r="F420" i="6"/>
  <c r="F484" i="6"/>
  <c r="F548" i="6"/>
  <c r="F612" i="6"/>
  <c r="F708" i="6"/>
  <c r="F772" i="6"/>
  <c r="F2" i="7"/>
  <c r="F192" i="7"/>
  <c r="F37" i="8"/>
  <c r="G50" i="1"/>
  <c r="G13" i="2"/>
  <c r="G77" i="2"/>
  <c r="G97" i="2"/>
  <c r="G145" i="2"/>
  <c r="G13" i="3"/>
  <c r="G53" i="3"/>
  <c r="G123" i="3"/>
  <c r="G165" i="3"/>
  <c r="G189" i="3"/>
  <c r="G237" i="3"/>
  <c r="G285" i="3"/>
  <c r="G333" i="3"/>
  <c r="G383" i="3"/>
  <c r="G405" i="3"/>
  <c r="G449" i="3"/>
  <c r="G614" i="3"/>
  <c r="G678" i="3"/>
  <c r="G92" i="4"/>
  <c r="F69" i="5"/>
  <c r="F261" i="5"/>
  <c r="F64" i="6"/>
  <c r="F248" i="6"/>
  <c r="F448" i="6"/>
  <c r="F640" i="6"/>
  <c r="F812" i="6"/>
  <c r="G4" i="2"/>
  <c r="G34" i="2"/>
  <c r="G64" i="2"/>
  <c r="G80" i="2"/>
  <c r="G25" i="1"/>
  <c r="G544" i="3"/>
  <c r="G608" i="3"/>
  <c r="G640" i="3"/>
  <c r="G710" i="3"/>
  <c r="G24" i="4"/>
  <c r="G90" i="4"/>
  <c r="G154" i="4"/>
  <c r="G218" i="4"/>
  <c r="F43" i="5"/>
  <c r="F107" i="5"/>
  <c r="F171" i="5"/>
  <c r="F235" i="5"/>
  <c r="F299" i="5"/>
  <c r="F363" i="5"/>
  <c r="F30" i="6"/>
  <c r="F94" i="6"/>
  <c r="F158" i="6"/>
  <c r="F222" i="6"/>
  <c r="F286" i="6"/>
  <c r="F350" i="6"/>
  <c r="F414" i="6"/>
  <c r="F446" i="6"/>
  <c r="F510" i="6"/>
  <c r="F606" i="6"/>
  <c r="F670" i="6"/>
  <c r="F734" i="6"/>
  <c r="F884" i="6"/>
  <c r="F168" i="7"/>
  <c r="F13" i="8"/>
  <c r="G56" i="1"/>
  <c r="G25" i="2"/>
  <c r="G51" i="2"/>
  <c r="G75" i="2"/>
  <c r="G101" i="2"/>
  <c r="G125" i="2"/>
  <c r="G149" i="2"/>
  <c r="G173" i="2"/>
  <c r="G15" i="3"/>
  <c r="G41" i="3"/>
  <c r="G65" i="3"/>
  <c r="G87" i="3"/>
  <c r="G109" i="3"/>
  <c r="G135" i="3"/>
  <c r="G159" i="3"/>
  <c r="G185" i="3"/>
  <c r="G209" i="3"/>
  <c r="G233" i="3"/>
  <c r="G255" i="3"/>
  <c r="G279" i="3"/>
  <c r="G305" i="3"/>
  <c r="G325" i="3"/>
  <c r="G353" i="3"/>
  <c r="G375" i="3"/>
  <c r="G401" i="3"/>
  <c r="G429" i="3"/>
  <c r="G451" i="3"/>
  <c r="G473" i="3"/>
  <c r="G495" i="3"/>
  <c r="G590" i="3"/>
  <c r="G622" i="3"/>
  <c r="G688" i="3"/>
  <c r="G20" i="4"/>
  <c r="G124" i="4"/>
  <c r="G212" i="4"/>
  <c r="F61" i="5"/>
  <c r="F157" i="5"/>
  <c r="F245" i="5"/>
  <c r="F333" i="5"/>
  <c r="F24" i="6"/>
  <c r="F120" i="6"/>
  <c r="F208" i="6"/>
  <c r="F296" i="6"/>
  <c r="F392" i="6"/>
  <c r="F488" i="6"/>
  <c r="F576" i="6"/>
  <c r="F664" i="6"/>
  <c r="F744" i="6"/>
  <c r="F908" i="6"/>
  <c r="F208" i="7"/>
  <c r="F336" i="7"/>
  <c r="G42" i="1"/>
  <c r="G516" i="3"/>
  <c r="G548" i="3"/>
  <c r="G580" i="3"/>
  <c r="G612" i="3"/>
  <c r="G644" i="3"/>
  <c r="G676" i="3"/>
  <c r="G690" i="3"/>
  <c r="G722" i="3"/>
  <c r="G754" i="3"/>
  <c r="G34" i="4"/>
  <c r="G70" i="4"/>
  <c r="G102" i="4"/>
  <c r="G134" i="4"/>
  <c r="G166" i="4"/>
  <c r="G198" i="4"/>
  <c r="G230" i="4"/>
  <c r="F23" i="5"/>
  <c r="F55" i="5"/>
  <c r="F87" i="5"/>
  <c r="F119" i="5"/>
  <c r="F151" i="5"/>
  <c r="F183" i="5"/>
  <c r="F215" i="5"/>
  <c r="F247" i="5"/>
  <c r="F279" i="5"/>
  <c r="F311" i="5"/>
  <c r="F343" i="5"/>
  <c r="F375" i="5"/>
  <c r="F10" i="6"/>
  <c r="F42" i="6"/>
  <c r="F74" i="6"/>
  <c r="F106" i="6"/>
  <c r="F138" i="6"/>
  <c r="F170" i="6"/>
  <c r="F202" i="6"/>
  <c r="F234" i="6"/>
  <c r="F266" i="6"/>
  <c r="F298" i="6"/>
  <c r="F330" i="6"/>
  <c r="F362" i="6"/>
  <c r="F394" i="6"/>
  <c r="F426" i="6"/>
  <c r="F458" i="6"/>
  <c r="F490" i="6"/>
  <c r="F522" i="6"/>
  <c r="F554" i="6"/>
  <c r="F586" i="6"/>
  <c r="F618" i="6"/>
  <c r="F650" i="6"/>
  <c r="F682" i="6"/>
  <c r="F714" i="6"/>
  <c r="F746" i="6"/>
  <c r="F778" i="6"/>
  <c r="F900" i="6"/>
  <c r="F10" i="7"/>
  <c r="F216" i="7"/>
  <c r="F344" i="7"/>
  <c r="F61" i="8"/>
  <c r="G58" i="1"/>
  <c r="G27" i="2"/>
  <c r="G53" i="2"/>
  <c r="G79" i="2"/>
  <c r="G105" i="2"/>
  <c r="G129" i="2"/>
  <c r="G153" i="2"/>
  <c r="G179" i="2"/>
  <c r="G25" i="3"/>
  <c r="G51" i="3"/>
  <c r="G77" i="3"/>
  <c r="G105" i="3"/>
  <c r="G131" i="3"/>
  <c r="G155" i="3"/>
  <c r="G179" i="3"/>
  <c r="G205" i="3"/>
  <c r="G227" i="3"/>
  <c r="G253" i="3"/>
  <c r="G277" i="3"/>
  <c r="G303" i="3"/>
  <c r="G329" i="3"/>
  <c r="G349" i="3"/>
  <c r="G373" i="3"/>
  <c r="G397" i="3"/>
  <c r="G421" i="3"/>
  <c r="G445" i="3"/>
  <c r="G471" i="3"/>
  <c r="G497" i="3"/>
  <c r="G526" i="3"/>
  <c r="G744" i="3"/>
  <c r="G84" i="4"/>
  <c r="G180" i="4"/>
  <c r="F29" i="5"/>
  <c r="F125" i="5"/>
  <c r="F229" i="5"/>
  <c r="F341" i="5"/>
  <c r="F40" i="6"/>
  <c r="F128" i="6"/>
  <c r="F232" i="6"/>
  <c r="F336" i="6"/>
  <c r="F432" i="6"/>
  <c r="F544" i="6"/>
  <c r="F632" i="6"/>
  <c r="F776" i="6"/>
  <c r="G51" i="1"/>
  <c r="G8" i="2"/>
  <c r="G26" i="2"/>
  <c r="G46" i="2"/>
  <c r="G62" i="2"/>
  <c r="G78" i="2"/>
  <c r="G90" i="2"/>
  <c r="G98" i="2"/>
  <c r="G106" i="2"/>
  <c r="G114" i="2"/>
  <c r="G122" i="2"/>
  <c r="G130" i="2"/>
  <c r="G138" i="2"/>
  <c r="G146" i="2"/>
  <c r="G154" i="2"/>
  <c r="G162" i="2"/>
  <c r="G170" i="2"/>
  <c r="G178" i="2"/>
  <c r="G6" i="3"/>
  <c r="G14" i="3"/>
  <c r="G22" i="3"/>
  <c r="G30" i="3"/>
  <c r="G38" i="3"/>
  <c r="G46" i="3"/>
  <c r="G54" i="3"/>
  <c r="G62" i="3"/>
  <c r="G70" i="3"/>
  <c r="G78" i="3"/>
  <c r="G86" i="3"/>
  <c r="G94" i="3"/>
  <c r="G102" i="3"/>
  <c r="G110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222" i="3"/>
  <c r="G230" i="3"/>
  <c r="G238" i="3"/>
  <c r="G246" i="3"/>
  <c r="G254" i="3"/>
  <c r="G262" i="3"/>
  <c r="G270" i="3"/>
  <c r="G278" i="3"/>
  <c r="G286" i="3"/>
  <c r="G294" i="3"/>
  <c r="G302" i="3"/>
  <c r="G310" i="3"/>
  <c r="G318" i="3"/>
  <c r="G326" i="3"/>
  <c r="G334" i="3"/>
  <c r="G342" i="3"/>
  <c r="G350" i="3"/>
  <c r="G358" i="3"/>
  <c r="G366" i="3"/>
  <c r="G374" i="3"/>
  <c r="G382" i="3"/>
  <c r="G390" i="3"/>
  <c r="G398" i="3"/>
  <c r="G406" i="3"/>
  <c r="G414" i="3"/>
  <c r="G422" i="3"/>
  <c r="G430" i="3"/>
  <c r="G438" i="3"/>
  <c r="G446" i="3"/>
  <c r="G454" i="3"/>
  <c r="G462" i="3"/>
  <c r="G470" i="3"/>
  <c r="G478" i="3"/>
  <c r="G486" i="3"/>
  <c r="G494" i="3"/>
  <c r="G514" i="3"/>
  <c r="G546" i="3"/>
  <c r="G578" i="3"/>
  <c r="G610" i="3"/>
  <c r="G642" i="3"/>
  <c r="G674" i="3"/>
  <c r="G716" i="3"/>
  <c r="G748" i="3"/>
  <c r="G22" i="4"/>
  <c r="G50" i="4"/>
  <c r="G80" i="4"/>
  <c r="G112" i="4"/>
  <c r="G144" i="4"/>
  <c r="G176" i="4"/>
  <c r="G208" i="4"/>
  <c r="F1" i="5"/>
  <c r="F33" i="5"/>
  <c r="F65" i="5"/>
  <c r="F97" i="5"/>
  <c r="F129" i="5"/>
  <c r="F161" i="5"/>
  <c r="F193" i="5"/>
  <c r="F225" i="5"/>
  <c r="F257" i="5"/>
  <c r="F289" i="5"/>
  <c r="F321" i="5"/>
  <c r="F353" i="5"/>
  <c r="F385" i="5"/>
  <c r="F20" i="6"/>
  <c r="F52" i="6"/>
  <c r="F84" i="6"/>
  <c r="F116" i="6"/>
  <c r="F148" i="6"/>
  <c r="F180" i="6"/>
  <c r="F212" i="6"/>
  <c r="F244" i="6"/>
  <c r="F276" i="6"/>
  <c r="F308" i="6"/>
  <c r="F340" i="6"/>
  <c r="F372" i="6"/>
  <c r="F404" i="6"/>
  <c r="F436" i="6"/>
  <c r="F468" i="6"/>
  <c r="F500" i="6"/>
  <c r="F532" i="6"/>
  <c r="F564" i="6"/>
  <c r="F596" i="6"/>
  <c r="F628" i="6"/>
  <c r="F660" i="6"/>
  <c r="F692" i="6"/>
  <c r="F724" i="6"/>
  <c r="F756" i="6"/>
  <c r="F788" i="6"/>
  <c r="F828" i="6"/>
  <c r="F956" i="6"/>
  <c r="F256" i="7"/>
  <c r="F384" i="7"/>
  <c r="F101" i="8"/>
  <c r="G3" i="2"/>
  <c r="G23" i="2"/>
  <c r="G45" i="2"/>
  <c r="G65" i="2"/>
  <c r="G89" i="2"/>
  <c r="G109" i="2"/>
  <c r="G133" i="2"/>
  <c r="G157" i="2"/>
  <c r="G177" i="2"/>
  <c r="G23" i="3"/>
  <c r="G45" i="3"/>
  <c r="G67" i="3"/>
  <c r="G89" i="3"/>
  <c r="G113" i="3"/>
  <c r="G133" i="3"/>
  <c r="G157" i="3"/>
  <c r="G177" i="3"/>
  <c r="G201" i="3"/>
  <c r="G225" i="3"/>
  <c r="G251" i="3"/>
  <c r="G273" i="3"/>
  <c r="G297" i="3"/>
  <c r="G319" i="3"/>
  <c r="G345" i="3"/>
  <c r="G371" i="3"/>
  <c r="G393" i="3"/>
  <c r="G413" i="3"/>
  <c r="G437" i="3"/>
  <c r="G461" i="3"/>
  <c r="G487" i="3"/>
  <c r="G542" i="3"/>
  <c r="G566" i="3"/>
  <c r="G662" i="3"/>
  <c r="G704" i="3"/>
  <c r="G46" i="4"/>
  <c r="G148" i="4"/>
  <c r="F21" i="5"/>
  <c r="F117" i="5"/>
  <c r="F221" i="5"/>
  <c r="F301" i="5"/>
  <c r="F8" i="6"/>
  <c r="F112" i="6"/>
  <c r="F200" i="6"/>
  <c r="F304" i="6"/>
  <c r="F400" i="6"/>
  <c r="F496" i="6"/>
  <c r="F592" i="6"/>
  <c r="F696" i="6"/>
  <c r="F768" i="6"/>
  <c r="F940" i="6"/>
  <c r="G53" i="1"/>
  <c r="G12" i="2"/>
  <c r="G28" i="2"/>
  <c r="G40" i="2"/>
  <c r="G56" i="2"/>
  <c r="G72" i="2"/>
  <c r="G5" i="1"/>
  <c r="G32" i="1"/>
  <c r="G43" i="1"/>
  <c r="G528" i="3"/>
  <c r="G560" i="3"/>
  <c r="G592" i="3"/>
  <c r="G624" i="3"/>
  <c r="G656" i="3"/>
  <c r="G694" i="3"/>
  <c r="G726" i="3"/>
  <c r="G4" i="4"/>
  <c r="G44" i="4"/>
  <c r="G74" i="4"/>
  <c r="G106" i="4"/>
  <c r="G138" i="4"/>
  <c r="G170" i="4"/>
  <c r="G202" i="4"/>
  <c r="G234" i="4"/>
  <c r="F27" i="5"/>
  <c r="F59" i="5"/>
  <c r="F91" i="5"/>
  <c r="F123" i="5"/>
  <c r="F155" i="5"/>
  <c r="F187" i="5"/>
  <c r="F219" i="5"/>
  <c r="F251" i="5"/>
  <c r="F283" i="5"/>
  <c r="F315" i="5"/>
  <c r="F347" i="5"/>
  <c r="F379" i="5"/>
  <c r="F14" i="6"/>
  <c r="F46" i="6"/>
  <c r="F78" i="6"/>
  <c r="F110" i="6"/>
  <c r="F142" i="6"/>
  <c r="F174" i="6"/>
  <c r="F206" i="6"/>
  <c r="F238" i="6"/>
  <c r="F270" i="6"/>
  <c r="F302" i="6"/>
  <c r="F334" i="6"/>
  <c r="F366" i="6"/>
  <c r="F398" i="6"/>
  <c r="F430" i="6"/>
  <c r="F462" i="6"/>
  <c r="F494" i="6"/>
  <c r="F526" i="6"/>
  <c r="F558" i="6"/>
  <c r="F590" i="6"/>
  <c r="F622" i="6"/>
  <c r="F654" i="6"/>
  <c r="F686" i="6"/>
  <c r="F718" i="6"/>
  <c r="F750" i="6"/>
  <c r="F782" i="6"/>
  <c r="F820" i="6"/>
  <c r="F948" i="6"/>
  <c r="F232" i="7"/>
  <c r="F360" i="7"/>
  <c r="F77" i="8"/>
  <c r="F818" i="6"/>
  <c r="F850" i="6"/>
  <c r="F882" i="6"/>
  <c r="F914" i="6"/>
  <c r="F946" i="6"/>
  <c r="F978" i="6"/>
  <c r="F1010" i="6"/>
  <c r="F24" i="7"/>
  <c r="F48" i="7"/>
  <c r="F64" i="7"/>
  <c r="F80" i="7"/>
  <c r="F96" i="7"/>
  <c r="F112" i="7"/>
  <c r="F128" i="7"/>
  <c r="F144" i="7"/>
  <c r="F162" i="7"/>
  <c r="F194" i="7"/>
  <c r="F226" i="7"/>
  <c r="F258" i="7"/>
  <c r="F290" i="7"/>
  <c r="F322" i="7"/>
  <c r="F354" i="7"/>
  <c r="F386" i="7"/>
  <c r="F7" i="8"/>
  <c r="F39" i="8"/>
  <c r="F71" i="8"/>
  <c r="F103" i="8"/>
  <c r="G503" i="3"/>
  <c r="G511" i="3"/>
  <c r="G519" i="3"/>
  <c r="G527" i="3"/>
  <c r="G535" i="3"/>
  <c r="G543" i="3"/>
  <c r="G551" i="3"/>
  <c r="G559" i="3"/>
  <c r="G567" i="3"/>
  <c r="G575" i="3"/>
  <c r="G583" i="3"/>
  <c r="G591" i="3"/>
  <c r="G599" i="3"/>
  <c r="G607" i="3"/>
  <c r="G615" i="3"/>
  <c r="G623" i="3"/>
  <c r="G631" i="3"/>
  <c r="G639" i="3"/>
  <c r="G647" i="3"/>
  <c r="G655" i="3"/>
  <c r="G663" i="3"/>
  <c r="G671" i="3"/>
  <c r="G679" i="3"/>
  <c r="G687" i="3"/>
  <c r="G695" i="3"/>
  <c r="G703" i="3"/>
  <c r="G711" i="3"/>
  <c r="G719" i="3"/>
  <c r="G727" i="3"/>
  <c r="G735" i="3"/>
  <c r="G743" i="3"/>
  <c r="G751" i="3"/>
  <c r="G5" i="4"/>
  <c r="G13" i="4"/>
  <c r="G21" i="4"/>
  <c r="G29" i="4"/>
  <c r="G37" i="4"/>
  <c r="G45" i="4"/>
  <c r="G53" i="4"/>
  <c r="G61" i="4"/>
  <c r="G69" i="4"/>
  <c r="G77" i="4"/>
  <c r="G85" i="4"/>
  <c r="G93" i="4"/>
  <c r="G101" i="4"/>
  <c r="G109" i="4"/>
  <c r="G117" i="4"/>
  <c r="G125" i="4"/>
  <c r="G133" i="4"/>
  <c r="G141" i="4"/>
  <c r="G149" i="4"/>
  <c r="G157" i="4"/>
  <c r="G165" i="4"/>
  <c r="G173" i="4"/>
  <c r="G181" i="4"/>
  <c r="G189" i="4"/>
  <c r="G197" i="4"/>
  <c r="G205" i="4"/>
  <c r="G213" i="4"/>
  <c r="G221" i="4"/>
  <c r="G229" i="4"/>
  <c r="G237" i="4"/>
  <c r="F6" i="5"/>
  <c r="F14" i="5"/>
  <c r="F22" i="5"/>
  <c r="F30" i="5"/>
  <c r="F38" i="5"/>
  <c r="F46" i="5"/>
  <c r="F54" i="5"/>
  <c r="F62" i="5"/>
  <c r="F70" i="5"/>
  <c r="F78" i="5"/>
  <c r="F86" i="5"/>
  <c r="F94" i="5"/>
  <c r="F102" i="5"/>
  <c r="F110" i="5"/>
  <c r="F118" i="5"/>
  <c r="F126" i="5"/>
  <c r="F134" i="5"/>
  <c r="F142" i="5"/>
  <c r="F150" i="5"/>
  <c r="F158" i="5"/>
  <c r="F166" i="5"/>
  <c r="F174" i="5"/>
  <c r="F182" i="5"/>
  <c r="F190" i="5"/>
  <c r="F198" i="5"/>
  <c r="F206" i="5"/>
  <c r="F214" i="5"/>
  <c r="F222" i="5"/>
  <c r="F230" i="5"/>
  <c r="F238" i="5"/>
  <c r="F246" i="5"/>
  <c r="F254" i="5"/>
  <c r="F262" i="5"/>
  <c r="F270" i="5"/>
  <c r="F278" i="5"/>
  <c r="F286" i="5"/>
  <c r="F294" i="5"/>
  <c r="F302" i="5"/>
  <c r="F310" i="5"/>
  <c r="F318" i="5"/>
  <c r="F326" i="5"/>
  <c r="F334" i="5"/>
  <c r="F342" i="5"/>
  <c r="F350" i="5"/>
  <c r="F358" i="5"/>
  <c r="F366" i="5"/>
  <c r="F374" i="5"/>
  <c r="F382" i="5"/>
  <c r="F390" i="5"/>
  <c r="F1" i="6"/>
  <c r="F9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193" i="6"/>
  <c r="F201" i="6"/>
  <c r="F209" i="6"/>
  <c r="F217" i="6"/>
  <c r="F225" i="6"/>
  <c r="F233" i="6"/>
  <c r="F241" i="6"/>
  <c r="F249" i="6"/>
  <c r="F257" i="6"/>
  <c r="F265" i="6"/>
  <c r="F273" i="6"/>
  <c r="F281" i="6"/>
  <c r="F289" i="6"/>
  <c r="F297" i="6"/>
  <c r="F305" i="6"/>
  <c r="F313" i="6"/>
  <c r="F321" i="6"/>
  <c r="F329" i="6"/>
  <c r="F337" i="6"/>
  <c r="F345" i="6"/>
  <c r="F353" i="6"/>
  <c r="F361" i="6"/>
  <c r="F369" i="6"/>
  <c r="F377" i="6"/>
  <c r="F385" i="6"/>
  <c r="F393" i="6"/>
  <c r="F401" i="6"/>
  <c r="F409" i="6"/>
  <c r="F417" i="6"/>
  <c r="F425" i="6"/>
  <c r="F433" i="6"/>
  <c r="F441" i="6"/>
  <c r="F449" i="6"/>
  <c r="F457" i="6"/>
  <c r="F465" i="6"/>
  <c r="F473" i="6"/>
  <c r="F481" i="6"/>
  <c r="F489" i="6"/>
  <c r="F497" i="6"/>
  <c r="F505" i="6"/>
  <c r="F513" i="6"/>
  <c r="F521" i="6"/>
  <c r="F529" i="6"/>
  <c r="F537" i="6"/>
  <c r="F545" i="6"/>
  <c r="F553" i="6"/>
  <c r="F561" i="6"/>
  <c r="F569" i="6"/>
  <c r="F577" i="6"/>
  <c r="F585" i="6"/>
  <c r="F593" i="6"/>
  <c r="F601" i="6"/>
  <c r="F609" i="6"/>
  <c r="F617" i="6"/>
  <c r="F625" i="6"/>
  <c r="F633" i="6"/>
  <c r="F641" i="6"/>
  <c r="F649" i="6"/>
  <c r="F657" i="6"/>
  <c r="F665" i="6"/>
  <c r="F673" i="6"/>
  <c r="F681" i="6"/>
  <c r="F689" i="6"/>
  <c r="F697" i="6"/>
  <c r="F705" i="6"/>
  <c r="F713" i="6"/>
  <c r="F721" i="6"/>
  <c r="F729" i="6"/>
  <c r="F737" i="6"/>
  <c r="F745" i="6"/>
  <c r="F753" i="6"/>
  <c r="F761" i="6"/>
  <c r="F769" i="6"/>
  <c r="F777" i="6"/>
  <c r="F785" i="6"/>
  <c r="F793" i="6"/>
  <c r="F824" i="6"/>
  <c r="F856" i="6"/>
  <c r="F888" i="6"/>
  <c r="F920" i="6"/>
  <c r="F952" i="6"/>
  <c r="F984" i="6"/>
  <c r="F1016" i="6"/>
  <c r="F30" i="7"/>
  <c r="F180" i="7"/>
  <c r="F212" i="7"/>
  <c r="F244" i="7"/>
  <c r="F276" i="7"/>
  <c r="F308" i="7"/>
  <c r="F340" i="7"/>
  <c r="F372" i="7"/>
  <c r="F404" i="7"/>
  <c r="F25" i="8"/>
  <c r="F57" i="8"/>
  <c r="F89" i="8"/>
  <c r="F838" i="6"/>
  <c r="F902" i="6"/>
  <c r="F982" i="6"/>
  <c r="F54" i="7"/>
  <c r="F118" i="7"/>
  <c r="F206" i="7"/>
  <c r="F334" i="7"/>
  <c r="F51" i="8"/>
  <c r="F813" i="6"/>
  <c r="F845" i="6"/>
  <c r="F877" i="6"/>
  <c r="F909" i="6"/>
  <c r="F941" i="6"/>
  <c r="F973" i="6"/>
  <c r="F1005" i="6"/>
  <c r="F19" i="7"/>
  <c r="F51" i="7"/>
  <c r="F83" i="7"/>
  <c r="F115" i="7"/>
  <c r="F147" i="7"/>
  <c r="F179" i="7"/>
  <c r="F211" i="7"/>
  <c r="F243" i="7"/>
  <c r="F275" i="7"/>
  <c r="F307" i="7"/>
  <c r="F339" i="7"/>
  <c r="F371" i="7"/>
  <c r="F403" i="7"/>
  <c r="F24" i="8"/>
  <c r="F56" i="8"/>
  <c r="F88" i="8"/>
  <c r="F120" i="8"/>
  <c r="F152" i="8"/>
  <c r="F184" i="8"/>
  <c r="F216" i="8"/>
  <c r="F248" i="8"/>
  <c r="F280" i="8"/>
  <c r="F312" i="8"/>
  <c r="F344" i="8"/>
  <c r="F376" i="8"/>
  <c r="F408" i="8"/>
  <c r="F440" i="8"/>
  <c r="F472" i="8"/>
  <c r="F504" i="8"/>
  <c r="F536" i="8"/>
  <c r="F568" i="8"/>
  <c r="F16" i="9"/>
  <c r="F48" i="9"/>
  <c r="F80" i="9"/>
  <c r="F112" i="9"/>
  <c r="F144" i="9"/>
  <c r="F176" i="9"/>
  <c r="F208" i="9"/>
  <c r="F19" i="11"/>
  <c r="F51" i="11"/>
  <c r="F83" i="11"/>
  <c r="F115" i="11"/>
  <c r="F147" i="11"/>
  <c r="F179" i="11"/>
  <c r="F211" i="11"/>
  <c r="F243" i="11"/>
  <c r="F275" i="11"/>
  <c r="F307" i="11"/>
  <c r="F339" i="11"/>
  <c r="F371" i="11"/>
  <c r="F403" i="11"/>
  <c r="F435" i="11"/>
  <c r="F467" i="11"/>
  <c r="F499" i="11"/>
  <c r="F531" i="11"/>
  <c r="F563" i="11"/>
  <c r="F595" i="11"/>
  <c r="F627" i="11"/>
  <c r="F659" i="11"/>
  <c r="F691" i="11"/>
  <c r="F723" i="11"/>
  <c r="F9" i="12"/>
  <c r="F163" i="8"/>
  <c r="F227" i="8"/>
  <c r="F291" i="8"/>
  <c r="F355" i="8"/>
  <c r="F419" i="8"/>
  <c r="F483" i="8"/>
  <c r="F547" i="8"/>
  <c r="F27" i="9"/>
  <c r="F91" i="9"/>
  <c r="F155" i="9"/>
  <c r="F219" i="9"/>
  <c r="F62" i="11"/>
  <c r="F126" i="11"/>
  <c r="F190" i="11"/>
  <c r="F254" i="11"/>
  <c r="F318" i="11"/>
  <c r="F382" i="11"/>
  <c r="F446" i="11"/>
  <c r="F510" i="11"/>
  <c r="F574" i="11"/>
  <c r="F638" i="11"/>
  <c r="F702" i="11"/>
  <c r="F20" i="12"/>
  <c r="F151" i="12"/>
  <c r="F279" i="12"/>
  <c r="F407" i="12"/>
  <c r="F535" i="12"/>
  <c r="F49" i="13"/>
  <c r="F177" i="13"/>
  <c r="F305" i="13"/>
  <c r="F433" i="13"/>
  <c r="F561" i="13"/>
  <c r="F689" i="13"/>
  <c r="F817" i="13"/>
  <c r="F945" i="13"/>
  <c r="F24" i="14"/>
  <c r="F152" i="14"/>
  <c r="F280" i="14"/>
  <c r="F966" i="6"/>
  <c r="F998" i="6"/>
  <c r="F12" i="7"/>
  <c r="F46" i="7"/>
  <c r="F62" i="7"/>
  <c r="F78" i="7"/>
  <c r="F94" i="7"/>
  <c r="F110" i="7"/>
  <c r="F126" i="7"/>
  <c r="F142" i="7"/>
  <c r="F158" i="7"/>
  <c r="F190" i="7"/>
  <c r="F222" i="7"/>
  <c r="F254" i="7"/>
  <c r="F286" i="7"/>
  <c r="F318" i="7"/>
  <c r="F350" i="7"/>
  <c r="F382" i="7"/>
  <c r="F3" i="8"/>
  <c r="F35" i="8"/>
  <c r="F67" i="8"/>
  <c r="F99" i="8"/>
  <c r="F576" i="8"/>
  <c r="F592" i="8"/>
  <c r="F801" i="6"/>
  <c r="F809" i="6"/>
  <c r="F817" i="6"/>
  <c r="F825" i="6"/>
  <c r="F833" i="6"/>
  <c r="F841" i="6"/>
  <c r="F849" i="6"/>
  <c r="F857" i="6"/>
  <c r="F865" i="6"/>
  <c r="F873" i="6"/>
  <c r="F881" i="6"/>
  <c r="F889" i="6"/>
  <c r="F897" i="6"/>
  <c r="F905" i="6"/>
  <c r="F913" i="6"/>
  <c r="F921" i="6"/>
  <c r="F929" i="6"/>
  <c r="F937" i="6"/>
  <c r="F945" i="6"/>
  <c r="F953" i="6"/>
  <c r="F961" i="6"/>
  <c r="F969" i="6"/>
  <c r="F977" i="6"/>
  <c r="F985" i="6"/>
  <c r="F993" i="6"/>
  <c r="F1001" i="6"/>
  <c r="F1009" i="6"/>
  <c r="F1017" i="6"/>
  <c r="F7" i="7"/>
  <c r="F15" i="7"/>
  <c r="F23" i="7"/>
  <c r="F31" i="7"/>
  <c r="F39" i="7"/>
  <c r="F47" i="7"/>
  <c r="F55" i="7"/>
  <c r="F63" i="7"/>
  <c r="F71" i="7"/>
  <c r="F79" i="7"/>
  <c r="F87" i="7"/>
  <c r="F95" i="7"/>
  <c r="F103" i="7"/>
  <c r="F111" i="7"/>
  <c r="F119" i="7"/>
  <c r="F127" i="7"/>
  <c r="F135" i="7"/>
  <c r="F143" i="7"/>
  <c r="F151" i="7"/>
  <c r="F159" i="7"/>
  <c r="F167" i="7"/>
  <c r="F175" i="7"/>
  <c r="F183" i="7"/>
  <c r="F191" i="7"/>
  <c r="F199" i="7"/>
  <c r="F207" i="7"/>
  <c r="F215" i="7"/>
  <c r="F223" i="7"/>
  <c r="F231" i="7"/>
  <c r="F239" i="7"/>
  <c r="F247" i="7"/>
  <c r="F255" i="7"/>
  <c r="F263" i="7"/>
  <c r="F271" i="7"/>
  <c r="F279" i="7"/>
  <c r="F287" i="7"/>
  <c r="F295" i="7"/>
  <c r="F303" i="7"/>
  <c r="F311" i="7"/>
  <c r="F319" i="7"/>
  <c r="F327" i="7"/>
  <c r="F335" i="7"/>
  <c r="F343" i="7"/>
  <c r="F351" i="7"/>
  <c r="F359" i="7"/>
  <c r="F367" i="7"/>
  <c r="F375" i="7"/>
  <c r="F383" i="7"/>
  <c r="F391" i="7"/>
  <c r="F399" i="7"/>
  <c r="F407" i="7"/>
  <c r="F4" i="8"/>
  <c r="F12" i="8"/>
  <c r="F20" i="8"/>
  <c r="F28" i="8"/>
  <c r="F36" i="8"/>
  <c r="F44" i="8"/>
  <c r="F52" i="8"/>
  <c r="F60" i="8"/>
  <c r="F68" i="8"/>
  <c r="F76" i="8"/>
  <c r="F84" i="8"/>
  <c r="F92" i="8"/>
  <c r="F100" i="8"/>
  <c r="F108" i="8"/>
  <c r="F116" i="8"/>
  <c r="F124" i="8"/>
  <c r="F132" i="8"/>
  <c r="F140" i="8"/>
  <c r="F148" i="8"/>
  <c r="F156" i="8"/>
  <c r="F164" i="8"/>
  <c r="F172" i="8"/>
  <c r="F180" i="8"/>
  <c r="F188" i="8"/>
  <c r="F196" i="8"/>
  <c r="F204" i="8"/>
  <c r="F212" i="8"/>
  <c r="F220" i="8"/>
  <c r="F228" i="8"/>
  <c r="F236" i="8"/>
  <c r="F244" i="8"/>
  <c r="F252" i="8"/>
  <c r="F260" i="8"/>
  <c r="F268" i="8"/>
  <c r="F276" i="8"/>
  <c r="F284" i="8"/>
  <c r="F292" i="8"/>
  <c r="F300" i="8"/>
  <c r="F308" i="8"/>
  <c r="F316" i="8"/>
  <c r="F324" i="8"/>
  <c r="F332" i="8"/>
  <c r="F340" i="8"/>
  <c r="F348" i="8"/>
  <c r="F356" i="8"/>
  <c r="F364" i="8"/>
  <c r="F372" i="8"/>
  <c r="F380" i="8"/>
  <c r="F388" i="8"/>
  <c r="F396" i="8"/>
  <c r="F404" i="8"/>
  <c r="F412" i="8"/>
  <c r="F420" i="8"/>
  <c r="F428" i="8"/>
  <c r="F436" i="8"/>
  <c r="F444" i="8"/>
  <c r="F452" i="8"/>
  <c r="F460" i="8"/>
  <c r="F468" i="8"/>
  <c r="F476" i="8"/>
  <c r="F484" i="8"/>
  <c r="F492" i="8"/>
  <c r="F500" i="8"/>
  <c r="F508" i="8"/>
  <c r="F516" i="8"/>
  <c r="F524" i="8"/>
  <c r="F532" i="8"/>
  <c r="F540" i="8"/>
  <c r="F548" i="8"/>
  <c r="F556" i="8"/>
  <c r="F564" i="8"/>
  <c r="F572" i="8"/>
  <c r="F585" i="8"/>
  <c r="F4" i="9"/>
  <c r="F12" i="9"/>
  <c r="F20" i="9"/>
  <c r="F28" i="9"/>
  <c r="F36" i="9"/>
  <c r="F44" i="9"/>
  <c r="F52" i="9"/>
  <c r="F60" i="9"/>
  <c r="F68" i="9"/>
  <c r="F76" i="9"/>
  <c r="F84" i="9"/>
  <c r="F92" i="9"/>
  <c r="F100" i="9"/>
  <c r="F108" i="9"/>
  <c r="F116" i="9"/>
  <c r="F124" i="9"/>
  <c r="F132" i="9"/>
  <c r="F140" i="9"/>
  <c r="F148" i="9"/>
  <c r="F156" i="9"/>
  <c r="F164" i="9"/>
  <c r="F172" i="9"/>
  <c r="F180" i="9"/>
  <c r="F188" i="9"/>
  <c r="F196" i="9"/>
  <c r="F204" i="9"/>
  <c r="F212" i="9"/>
  <c r="F220" i="9"/>
  <c r="F7" i="11"/>
  <c r="F15" i="11"/>
  <c r="F23" i="11"/>
  <c r="F31" i="11"/>
  <c r="F39" i="11"/>
  <c r="F47" i="11"/>
  <c r="F55" i="11"/>
  <c r="F63" i="11"/>
  <c r="F71" i="11"/>
  <c r="F79" i="11"/>
  <c r="F87" i="11"/>
  <c r="F95" i="11"/>
  <c r="F103" i="11"/>
  <c r="F111" i="11"/>
  <c r="F119" i="11"/>
  <c r="F127" i="11"/>
  <c r="F135" i="11"/>
  <c r="F143" i="11"/>
  <c r="F151" i="11"/>
  <c r="F159" i="11"/>
  <c r="F167" i="11"/>
  <c r="F175" i="11"/>
  <c r="F183" i="11"/>
  <c r="F191" i="11"/>
  <c r="F199" i="11"/>
  <c r="F207" i="11"/>
  <c r="F215" i="11"/>
  <c r="F223" i="11"/>
  <c r="F231" i="11"/>
  <c r="F239" i="11"/>
  <c r="F247" i="11"/>
  <c r="F255" i="11"/>
  <c r="F263" i="11"/>
  <c r="F271" i="11"/>
  <c r="F279" i="11"/>
  <c r="F287" i="11"/>
  <c r="F295" i="11"/>
  <c r="F303" i="11"/>
  <c r="F311" i="11"/>
  <c r="F319" i="11"/>
  <c r="F327" i="11"/>
  <c r="F335" i="11"/>
  <c r="F343" i="11"/>
  <c r="F351" i="11"/>
  <c r="F359" i="11"/>
  <c r="F367" i="11"/>
  <c r="F375" i="11"/>
  <c r="F383" i="11"/>
  <c r="F391" i="11"/>
  <c r="F399" i="11"/>
  <c r="F407" i="11"/>
  <c r="F415" i="11"/>
  <c r="F423" i="11"/>
  <c r="F431" i="11"/>
  <c r="F439" i="11"/>
  <c r="F447" i="11"/>
  <c r="F455" i="11"/>
  <c r="F463" i="11"/>
  <c r="F471" i="11"/>
  <c r="F479" i="11"/>
  <c r="F487" i="11"/>
  <c r="F495" i="11"/>
  <c r="F503" i="11"/>
  <c r="F511" i="11"/>
  <c r="F519" i="11"/>
  <c r="F527" i="11"/>
  <c r="F535" i="11"/>
  <c r="F543" i="11"/>
  <c r="F551" i="11"/>
  <c r="F559" i="11"/>
  <c r="F567" i="11"/>
  <c r="F575" i="11"/>
  <c r="F583" i="11"/>
  <c r="F591" i="11"/>
  <c r="F599" i="11"/>
  <c r="F607" i="11"/>
  <c r="F615" i="11"/>
  <c r="F623" i="11"/>
  <c r="F631" i="11"/>
  <c r="F639" i="11"/>
  <c r="F647" i="11"/>
  <c r="F655" i="11"/>
  <c r="F663" i="11"/>
  <c r="F671" i="11"/>
  <c r="F679" i="11"/>
  <c r="F687" i="11"/>
  <c r="F695" i="11"/>
  <c r="F703" i="11"/>
  <c r="F711" i="11"/>
  <c r="F719" i="11"/>
  <c r="F727" i="11"/>
  <c r="F735" i="11"/>
  <c r="F743" i="11"/>
  <c r="F5" i="12"/>
  <c r="F13" i="12"/>
  <c r="F21" i="12"/>
  <c r="F29" i="12"/>
  <c r="F586" i="8"/>
  <c r="F123" i="8"/>
  <c r="F139" i="8"/>
  <c r="F155" i="8"/>
  <c r="F171" i="8"/>
  <c r="F187" i="8"/>
  <c r="F203" i="8"/>
  <c r="F219" i="8"/>
  <c r="F235" i="8"/>
  <c r="F251" i="8"/>
  <c r="F267" i="8"/>
  <c r="F283" i="8"/>
  <c r="F299" i="8"/>
  <c r="F315" i="8"/>
  <c r="F331" i="8"/>
  <c r="F347" i="8"/>
  <c r="F363" i="8"/>
  <c r="F379" i="8"/>
  <c r="F395" i="8"/>
  <c r="F411" i="8"/>
  <c r="F427" i="8"/>
  <c r="F443" i="8"/>
  <c r="F459" i="8"/>
  <c r="F475" i="8"/>
  <c r="F491" i="8"/>
  <c r="F507" i="8"/>
  <c r="F523" i="8"/>
  <c r="F539" i="8"/>
  <c r="F555" i="8"/>
  <c r="F571" i="8"/>
  <c r="F3" i="9"/>
  <c r="F19" i="9"/>
  <c r="F35" i="9"/>
  <c r="F51" i="9"/>
  <c r="F67" i="9"/>
  <c r="F83" i="9"/>
  <c r="F99" i="9"/>
  <c r="F115" i="9"/>
  <c r="F131" i="9"/>
  <c r="F147" i="9"/>
  <c r="F163" i="9"/>
  <c r="F179" i="9"/>
  <c r="F195" i="9"/>
  <c r="F211" i="9"/>
  <c r="F6" i="11"/>
  <c r="F22" i="11"/>
  <c r="F38" i="11"/>
  <c r="F54" i="11"/>
  <c r="F70" i="11"/>
  <c r="F86" i="11"/>
  <c r="F102" i="11"/>
  <c r="F118" i="11"/>
  <c r="F134" i="11"/>
  <c r="F150" i="11"/>
  <c r="F166" i="11"/>
  <c r="F182" i="11"/>
  <c r="F198" i="11"/>
  <c r="F214" i="11"/>
  <c r="F230" i="11"/>
  <c r="F246" i="11"/>
  <c r="F262" i="11"/>
  <c r="F278" i="11"/>
  <c r="F294" i="11"/>
  <c r="F310" i="11"/>
  <c r="F326" i="11"/>
  <c r="F342" i="11"/>
  <c r="F358" i="11"/>
  <c r="F374" i="11"/>
  <c r="F390" i="11"/>
  <c r="F406" i="11"/>
  <c r="F422" i="11"/>
  <c r="F438" i="11"/>
  <c r="F454" i="11"/>
  <c r="F470" i="11"/>
  <c r="F486" i="11"/>
  <c r="F502" i="11"/>
  <c r="F518" i="11"/>
  <c r="F534" i="11"/>
  <c r="F550" i="11"/>
  <c r="F566" i="11"/>
  <c r="F582" i="11"/>
  <c r="F598" i="11"/>
  <c r="F614" i="11"/>
  <c r="F630" i="11"/>
  <c r="F646" i="11"/>
  <c r="F662" i="11"/>
  <c r="F678" i="11"/>
  <c r="F694" i="11"/>
  <c r="F710" i="11"/>
  <c r="F726" i="11"/>
  <c r="F742" i="11"/>
  <c r="F12" i="12"/>
  <c r="F28" i="12"/>
  <c r="F39" i="12"/>
  <c r="F71" i="12"/>
  <c r="F103" i="12"/>
  <c r="F135" i="12"/>
  <c r="F167" i="12"/>
  <c r="F199" i="12"/>
  <c r="F231" i="12"/>
  <c r="F263" i="12"/>
  <c r="F295" i="12"/>
  <c r="F327" i="12"/>
  <c r="F359" i="12"/>
  <c r="F391" i="12"/>
  <c r="F423" i="12"/>
  <c r="F455" i="12"/>
  <c r="F487" i="12"/>
  <c r="F519" i="12"/>
  <c r="F551" i="12"/>
  <c r="F583" i="12"/>
  <c r="F1" i="13"/>
  <c r="F33" i="13"/>
  <c r="F65" i="13"/>
  <c r="F97" i="13"/>
  <c r="F129" i="13"/>
  <c r="F161" i="13"/>
  <c r="F193" i="13"/>
  <c r="F225" i="13"/>
  <c r="F257" i="13"/>
  <c r="F289" i="13"/>
  <c r="F321" i="13"/>
  <c r="F353" i="13"/>
  <c r="F385" i="13"/>
  <c r="F417" i="13"/>
  <c r="F449" i="13"/>
  <c r="F481" i="13"/>
  <c r="F513" i="13"/>
  <c r="F545" i="13"/>
  <c r="F577" i="13"/>
  <c r="F609" i="13"/>
  <c r="F641" i="13"/>
  <c r="F673" i="13"/>
  <c r="F705" i="13"/>
  <c r="F737" i="13"/>
  <c r="F769" i="13"/>
  <c r="F801" i="13"/>
  <c r="F833" i="13"/>
  <c r="F865" i="13"/>
  <c r="F897" i="13"/>
  <c r="F929" i="13"/>
  <c r="F961" i="13"/>
  <c r="F993" i="13"/>
  <c r="F1025" i="13"/>
  <c r="F8" i="14"/>
  <c r="F40" i="14"/>
  <c r="F72" i="14"/>
  <c r="F104" i="14"/>
  <c r="F136" i="14"/>
  <c r="F168" i="14"/>
  <c r="F200" i="14"/>
  <c r="F232" i="14"/>
  <c r="F264" i="14"/>
  <c r="F296" i="14"/>
  <c r="F798" i="6"/>
  <c r="F830" i="6"/>
  <c r="F862" i="6"/>
  <c r="F894" i="6"/>
  <c r="F926" i="6"/>
  <c r="F958" i="6"/>
  <c r="F990" i="6"/>
  <c r="F4" i="7"/>
  <c r="F36" i="7"/>
  <c r="F50" i="7"/>
  <c r="F66" i="7"/>
  <c r="F82" i="7"/>
  <c r="F98" i="7"/>
  <c r="F114" i="7"/>
  <c r="F130" i="7"/>
  <c r="F146" i="7"/>
  <c r="F166" i="7"/>
  <c r="F198" i="7"/>
  <c r="F230" i="7"/>
  <c r="F262" i="7"/>
  <c r="F294" i="7"/>
  <c r="F326" i="7"/>
  <c r="F358" i="7"/>
  <c r="F390" i="7"/>
  <c r="F11" i="8"/>
  <c r="F43" i="8"/>
  <c r="F75" i="8"/>
  <c r="F107" i="8"/>
  <c r="F580" i="8"/>
  <c r="F803" i="6"/>
  <c r="F811" i="6"/>
  <c r="F819" i="6"/>
  <c r="F827" i="6"/>
  <c r="F835" i="6"/>
  <c r="F843" i="6"/>
  <c r="F851" i="6"/>
  <c r="F859" i="6"/>
  <c r="F867" i="6"/>
  <c r="F875" i="6"/>
  <c r="F883" i="6"/>
  <c r="F891" i="6"/>
  <c r="F899" i="6"/>
  <c r="F907" i="6"/>
  <c r="F915" i="6"/>
  <c r="F923" i="6"/>
  <c r="F931" i="6"/>
  <c r="F939" i="6"/>
  <c r="F947" i="6"/>
  <c r="F955" i="6"/>
  <c r="F963" i="6"/>
  <c r="F971" i="6"/>
  <c r="F979" i="6"/>
  <c r="F987" i="6"/>
  <c r="F995" i="6"/>
  <c r="F1003" i="6"/>
  <c r="F1011" i="6"/>
  <c r="F1" i="7"/>
  <c r="F9" i="7"/>
  <c r="F17" i="7"/>
  <c r="F25" i="7"/>
  <c r="F33" i="7"/>
  <c r="F41" i="7"/>
  <c r="F49" i="7"/>
  <c r="F57" i="7"/>
  <c r="F65" i="7"/>
  <c r="F73" i="7"/>
  <c r="F81" i="7"/>
  <c r="F89" i="7"/>
  <c r="F97" i="7"/>
  <c r="F105" i="7"/>
  <c r="F113" i="7"/>
  <c r="F121" i="7"/>
  <c r="F129" i="7"/>
  <c r="F137" i="7"/>
  <c r="F145" i="7"/>
  <c r="F153" i="7"/>
  <c r="F161" i="7"/>
  <c r="F169" i="7"/>
  <c r="F177" i="7"/>
  <c r="F185" i="7"/>
  <c r="F193" i="7"/>
  <c r="F201" i="7"/>
  <c r="F209" i="7"/>
  <c r="F217" i="7"/>
  <c r="F225" i="7"/>
  <c r="F233" i="7"/>
  <c r="F241" i="7"/>
  <c r="F249" i="7"/>
  <c r="F257" i="7"/>
  <c r="F265" i="7"/>
  <c r="F273" i="7"/>
  <c r="F281" i="7"/>
  <c r="F289" i="7"/>
  <c r="F297" i="7"/>
  <c r="F305" i="7"/>
  <c r="F313" i="7"/>
  <c r="F321" i="7"/>
  <c r="F329" i="7"/>
  <c r="F337" i="7"/>
  <c r="F345" i="7"/>
  <c r="F353" i="7"/>
  <c r="F361" i="7"/>
  <c r="F369" i="7"/>
  <c r="F377" i="7"/>
  <c r="F385" i="7"/>
  <c r="F393" i="7"/>
  <c r="F401" i="7"/>
  <c r="F409" i="7"/>
  <c r="F6" i="8"/>
  <c r="F14" i="8"/>
  <c r="F22" i="8"/>
  <c r="F30" i="8"/>
  <c r="F38" i="8"/>
  <c r="F46" i="8"/>
  <c r="F54" i="8"/>
  <c r="F62" i="8"/>
  <c r="F70" i="8"/>
  <c r="F78" i="8"/>
  <c r="F86" i="8"/>
  <c r="F94" i="8"/>
  <c r="F102" i="8"/>
  <c r="F110" i="8"/>
  <c r="F118" i="8"/>
  <c r="F126" i="8"/>
  <c r="F134" i="8"/>
  <c r="F142" i="8"/>
  <c r="F150" i="8"/>
  <c r="F158" i="8"/>
  <c r="F166" i="8"/>
  <c r="F174" i="8"/>
  <c r="F182" i="8"/>
  <c r="F190" i="8"/>
  <c r="F198" i="8"/>
  <c r="F206" i="8"/>
  <c r="F214" i="8"/>
  <c r="F222" i="8"/>
  <c r="F230" i="8"/>
  <c r="F238" i="8"/>
  <c r="F246" i="8"/>
  <c r="F254" i="8"/>
  <c r="F262" i="8"/>
  <c r="F270" i="8"/>
  <c r="F278" i="8"/>
  <c r="F286" i="8"/>
  <c r="F294" i="8"/>
  <c r="F302" i="8"/>
  <c r="F310" i="8"/>
  <c r="F318" i="8"/>
  <c r="F326" i="8"/>
  <c r="F334" i="8"/>
  <c r="F342" i="8"/>
  <c r="F350" i="8"/>
  <c r="F358" i="8"/>
  <c r="F366" i="8"/>
  <c r="F374" i="8"/>
  <c r="F382" i="8"/>
  <c r="F390" i="8"/>
  <c r="F398" i="8"/>
  <c r="F406" i="8"/>
  <c r="F414" i="8"/>
  <c r="F422" i="8"/>
  <c r="F430" i="8"/>
  <c r="F438" i="8"/>
  <c r="F446" i="8"/>
  <c r="F454" i="8"/>
  <c r="F462" i="8"/>
  <c r="F470" i="8"/>
  <c r="F478" i="8"/>
  <c r="F486" i="8"/>
  <c r="F494" i="8"/>
  <c r="F502" i="8"/>
  <c r="F510" i="8"/>
  <c r="F518" i="8"/>
  <c r="F526" i="8"/>
  <c r="F534" i="8"/>
  <c r="F542" i="8"/>
  <c r="F550" i="8"/>
  <c r="F558" i="8"/>
  <c r="F566" i="8"/>
  <c r="F574" i="8"/>
  <c r="F589" i="8"/>
  <c r="F6" i="9"/>
  <c r="F14" i="9"/>
  <c r="F22" i="9"/>
  <c r="F30" i="9"/>
  <c r="F38" i="9"/>
  <c r="F46" i="9"/>
  <c r="F54" i="9"/>
  <c r="F62" i="9"/>
  <c r="F70" i="9"/>
  <c r="F78" i="9"/>
  <c r="F86" i="9"/>
  <c r="F94" i="9"/>
  <c r="F102" i="9"/>
  <c r="F110" i="9"/>
  <c r="F118" i="9"/>
  <c r="F126" i="9"/>
  <c r="F134" i="9"/>
  <c r="F142" i="9"/>
  <c r="F150" i="9"/>
  <c r="F158" i="9"/>
  <c r="F166" i="9"/>
  <c r="F174" i="9"/>
  <c r="F182" i="9"/>
  <c r="F190" i="9"/>
  <c r="F198" i="9"/>
  <c r="F206" i="9"/>
  <c r="F214" i="9"/>
  <c r="F1" i="11"/>
  <c r="F9" i="11"/>
  <c r="F17" i="11"/>
  <c r="F25" i="11"/>
  <c r="F33" i="11"/>
  <c r="F41" i="11"/>
  <c r="F49" i="11"/>
  <c r="F57" i="11"/>
  <c r="F65" i="11"/>
  <c r="F73" i="11"/>
  <c r="F81" i="11"/>
  <c r="F89" i="11"/>
  <c r="F97" i="11"/>
  <c r="F105" i="11"/>
  <c r="F113" i="11"/>
  <c r="F121" i="11"/>
  <c r="F129" i="11"/>
  <c r="F137" i="11"/>
  <c r="F145" i="11"/>
  <c r="F153" i="11"/>
  <c r="F161" i="11"/>
  <c r="F169" i="11"/>
  <c r="F177" i="11"/>
  <c r="F185" i="11"/>
  <c r="F193" i="11"/>
  <c r="F201" i="11"/>
  <c r="F209" i="11"/>
  <c r="F217" i="11"/>
  <c r="F225" i="11"/>
  <c r="F233" i="11"/>
  <c r="F241" i="11"/>
  <c r="F249" i="11"/>
  <c r="F257" i="11"/>
  <c r="F265" i="11"/>
  <c r="F273" i="11"/>
  <c r="F281" i="11"/>
  <c r="F289" i="11"/>
  <c r="F297" i="11"/>
  <c r="F305" i="11"/>
  <c r="F313" i="11"/>
  <c r="F321" i="11"/>
  <c r="F329" i="11"/>
  <c r="F337" i="11"/>
  <c r="F345" i="11"/>
  <c r="F353" i="11"/>
  <c r="F361" i="11"/>
  <c r="F369" i="11"/>
  <c r="F377" i="11"/>
  <c r="F385" i="11"/>
  <c r="F393" i="11"/>
  <c r="F401" i="11"/>
  <c r="F409" i="11"/>
  <c r="F417" i="11"/>
  <c r="F425" i="11"/>
  <c r="F433" i="11"/>
  <c r="F441" i="11"/>
  <c r="F449" i="11"/>
  <c r="F457" i="11"/>
  <c r="F465" i="11"/>
  <c r="F473" i="11"/>
  <c r="F481" i="11"/>
  <c r="F489" i="11"/>
  <c r="F497" i="11"/>
  <c r="F505" i="11"/>
  <c r="F513" i="11"/>
  <c r="F521" i="11"/>
  <c r="F529" i="11"/>
  <c r="F537" i="11"/>
  <c r="F545" i="11"/>
  <c r="F553" i="11"/>
  <c r="F561" i="11"/>
  <c r="F569" i="11"/>
  <c r="F577" i="11"/>
  <c r="F585" i="11"/>
  <c r="F593" i="11"/>
  <c r="F601" i="11"/>
  <c r="F609" i="11"/>
  <c r="F617" i="11"/>
  <c r="F625" i="11"/>
  <c r="F633" i="11"/>
  <c r="F641" i="11"/>
  <c r="F649" i="11"/>
  <c r="F657" i="11"/>
  <c r="F665" i="11"/>
  <c r="F673" i="11"/>
  <c r="F681" i="11"/>
  <c r="F689" i="11"/>
  <c r="F697" i="11"/>
  <c r="F705" i="11"/>
  <c r="F713" i="11"/>
  <c r="F721" i="11"/>
  <c r="F729" i="11"/>
  <c r="F737" i="11"/>
  <c r="F745" i="11"/>
  <c r="F7" i="12"/>
  <c r="F15" i="12"/>
  <c r="F23" i="12"/>
  <c r="F31" i="12"/>
  <c r="F590" i="8"/>
  <c r="F125" i="8"/>
  <c r="F141" i="8"/>
  <c r="F157" i="8"/>
  <c r="F173" i="8"/>
  <c r="F189" i="8"/>
  <c r="F205" i="8"/>
  <c r="F221" i="8"/>
  <c r="F237" i="8"/>
  <c r="F253" i="8"/>
  <c r="F269" i="8"/>
  <c r="F285" i="8"/>
  <c r="F301" i="8"/>
  <c r="F317" i="8"/>
  <c r="F333" i="8"/>
  <c r="F349" i="8"/>
  <c r="F365" i="8"/>
  <c r="F381" i="8"/>
  <c r="F397" i="8"/>
  <c r="F413" i="8"/>
  <c r="F429" i="8"/>
  <c r="F445" i="8"/>
  <c r="F461" i="8"/>
  <c r="F477" i="8"/>
  <c r="F493" i="8"/>
  <c r="F509" i="8"/>
  <c r="F525" i="8"/>
  <c r="F541" i="8"/>
  <c r="F557" i="8"/>
  <c r="F573" i="8"/>
  <c r="F5" i="9"/>
  <c r="F21" i="9"/>
  <c r="F37" i="9"/>
  <c r="F53" i="9"/>
  <c r="F69" i="9"/>
  <c r="F85" i="9"/>
  <c r="F101" i="9"/>
  <c r="F117" i="9"/>
  <c r="F133" i="9"/>
  <c r="F149" i="9"/>
  <c r="F165" i="9"/>
  <c r="F181" i="9"/>
  <c r="F197" i="9"/>
  <c r="F213" i="9"/>
  <c r="F8" i="11"/>
  <c r="F24" i="11"/>
  <c r="F40" i="11"/>
  <c r="F56" i="11"/>
  <c r="F72" i="11"/>
  <c r="F88" i="11"/>
  <c r="F104" i="11"/>
  <c r="F120" i="11"/>
  <c r="F136" i="11"/>
  <c r="F152" i="11"/>
  <c r="F168" i="11"/>
  <c r="F184" i="11"/>
  <c r="F200" i="11"/>
  <c r="F216" i="11"/>
  <c r="F232" i="11"/>
  <c r="F248" i="11"/>
  <c r="F264" i="11"/>
  <c r="F280" i="11"/>
  <c r="F296" i="11"/>
  <c r="F312" i="11"/>
  <c r="F328" i="11"/>
  <c r="F344" i="11"/>
  <c r="F360" i="11"/>
  <c r="F376" i="11"/>
  <c r="F392" i="11"/>
  <c r="F408" i="11"/>
  <c r="F424" i="11"/>
  <c r="F440" i="11"/>
  <c r="F456" i="11"/>
  <c r="F472" i="11"/>
  <c r="F488" i="11"/>
  <c r="F504" i="11"/>
  <c r="F520" i="11"/>
  <c r="F536" i="11"/>
  <c r="F552" i="11"/>
  <c r="F568" i="11"/>
  <c r="F584" i="11"/>
  <c r="F600" i="11"/>
  <c r="F616" i="11"/>
  <c r="F632" i="11"/>
  <c r="F648" i="11"/>
  <c r="F664" i="11"/>
  <c r="F680" i="11"/>
  <c r="F696" i="11"/>
  <c r="F712" i="11"/>
  <c r="F728" i="11"/>
  <c r="F744" i="11"/>
  <c r="F14" i="12"/>
  <c r="F30" i="12"/>
  <c r="F47" i="12"/>
  <c r="F79" i="12"/>
  <c r="F111" i="12"/>
  <c r="F143" i="12"/>
  <c r="F175" i="12"/>
  <c r="F207" i="12"/>
  <c r="F239" i="12"/>
  <c r="F271" i="12"/>
  <c r="F303" i="12"/>
  <c r="F335" i="12"/>
  <c r="F367" i="12"/>
  <c r="F399" i="12"/>
  <c r="F431" i="12"/>
  <c r="F463" i="12"/>
  <c r="F495" i="12"/>
  <c r="F527" i="12"/>
  <c r="F559" i="12"/>
  <c r="F591" i="12"/>
  <c r="F9" i="13"/>
  <c r="F41" i="13"/>
  <c r="F73" i="13"/>
  <c r="F105" i="13"/>
  <c r="F137" i="13"/>
  <c r="F169" i="13"/>
  <c r="F201" i="13"/>
  <c r="F233" i="13"/>
  <c r="F265" i="13"/>
  <c r="F297" i="13"/>
  <c r="F329" i="13"/>
  <c r="F361" i="13"/>
  <c r="F393" i="13"/>
  <c r="F425" i="13"/>
  <c r="F457" i="13"/>
  <c r="F489" i="13"/>
  <c r="F521" i="13"/>
  <c r="F553" i="13"/>
  <c r="F585" i="13"/>
  <c r="F617" i="13"/>
  <c r="F649" i="13"/>
  <c r="F681" i="13"/>
  <c r="F713" i="13"/>
  <c r="F745" i="13"/>
  <c r="F777" i="13"/>
  <c r="F809" i="13"/>
  <c r="F841" i="13"/>
  <c r="F873" i="13"/>
  <c r="F905" i="13"/>
  <c r="F937" i="13"/>
  <c r="F969" i="13"/>
  <c r="F1001" i="13"/>
  <c r="F1033" i="13"/>
  <c r="F16" i="14"/>
  <c r="F48" i="14"/>
  <c r="F80" i="14"/>
  <c r="F112" i="14"/>
  <c r="F144" i="14"/>
  <c r="F176" i="14"/>
  <c r="F208" i="14"/>
  <c r="F240" i="14"/>
  <c r="F272" i="14"/>
  <c r="F304" i="14"/>
  <c r="F814" i="6"/>
  <c r="F846" i="6"/>
  <c r="F878" i="6"/>
  <c r="F910" i="6"/>
  <c r="F942" i="6"/>
  <c r="F974" i="6"/>
  <c r="F1006" i="6"/>
  <c r="F20" i="7"/>
  <c r="F42" i="7"/>
  <c r="F58" i="7"/>
  <c r="F74" i="7"/>
  <c r="F90" i="7"/>
  <c r="F106" i="7"/>
  <c r="F122" i="7"/>
  <c r="F138" i="7"/>
  <c r="F154" i="7"/>
  <c r="F182" i="7"/>
  <c r="F214" i="7"/>
  <c r="F246" i="7"/>
  <c r="F278" i="7"/>
  <c r="F310" i="7"/>
  <c r="F342" i="7"/>
  <c r="F374" i="7"/>
  <c r="F406" i="7"/>
  <c r="F27" i="8"/>
  <c r="F59" i="8"/>
  <c r="F91" i="8"/>
  <c r="F588" i="8"/>
  <c r="F799" i="6"/>
  <c r="F807" i="6"/>
  <c r="F815" i="6"/>
  <c r="F823" i="6"/>
  <c r="F831" i="6"/>
  <c r="F839" i="6"/>
  <c r="F847" i="6"/>
  <c r="F855" i="6"/>
  <c r="F863" i="6"/>
  <c r="F871" i="6"/>
  <c r="F879" i="6"/>
  <c r="F887" i="6"/>
  <c r="F895" i="6"/>
  <c r="F903" i="6"/>
  <c r="F911" i="6"/>
  <c r="F919" i="6"/>
  <c r="F927" i="6"/>
  <c r="F935" i="6"/>
  <c r="F943" i="6"/>
  <c r="F951" i="6"/>
  <c r="F959" i="6"/>
  <c r="F967" i="6"/>
  <c r="F975" i="6"/>
  <c r="F983" i="6"/>
  <c r="F991" i="6"/>
  <c r="F999" i="6"/>
  <c r="F1007" i="6"/>
  <c r="F1015" i="6"/>
  <c r="F5" i="7"/>
  <c r="F13" i="7"/>
  <c r="F21" i="7"/>
  <c r="F29" i="7"/>
  <c r="F37" i="7"/>
  <c r="F45" i="7"/>
  <c r="F53" i="7"/>
  <c r="F61" i="7"/>
  <c r="F69" i="7"/>
  <c r="F77" i="7"/>
  <c r="F85" i="7"/>
  <c r="F93" i="7"/>
  <c r="F101" i="7"/>
  <c r="F109" i="7"/>
  <c r="F117" i="7"/>
  <c r="F125" i="7"/>
  <c r="F133" i="7"/>
  <c r="F141" i="7"/>
  <c r="F149" i="7"/>
  <c r="F157" i="7"/>
  <c r="F165" i="7"/>
  <c r="F173" i="7"/>
  <c r="F181" i="7"/>
  <c r="F189" i="7"/>
  <c r="F197" i="7"/>
  <c r="F205" i="7"/>
  <c r="F213" i="7"/>
  <c r="F221" i="7"/>
  <c r="F229" i="7"/>
  <c r="F237" i="7"/>
  <c r="F245" i="7"/>
  <c r="F253" i="7"/>
  <c r="F261" i="7"/>
  <c r="F269" i="7"/>
  <c r="F277" i="7"/>
  <c r="F285" i="7"/>
  <c r="F293" i="7"/>
  <c r="F301" i="7"/>
  <c r="F309" i="7"/>
  <c r="F317" i="7"/>
  <c r="F325" i="7"/>
  <c r="F333" i="7"/>
  <c r="F341" i="7"/>
  <c r="F349" i="7"/>
  <c r="F357" i="7"/>
  <c r="F365" i="7"/>
  <c r="F373" i="7"/>
  <c r="F381" i="7"/>
  <c r="F389" i="7"/>
  <c r="F397" i="7"/>
  <c r="F405" i="7"/>
  <c r="F2" i="8"/>
  <c r="F10" i="8"/>
  <c r="F18" i="8"/>
  <c r="F26" i="8"/>
  <c r="F34" i="8"/>
  <c r="F42" i="8"/>
  <c r="F50" i="8"/>
  <c r="F58" i="8"/>
  <c r="F66" i="8"/>
  <c r="F74" i="8"/>
  <c r="F82" i="8"/>
  <c r="F90" i="8"/>
  <c r="F98" i="8"/>
  <c r="F106" i="8"/>
  <c r="F114" i="8"/>
  <c r="F122" i="8"/>
  <c r="F130" i="8"/>
  <c r="F138" i="8"/>
  <c r="F146" i="8"/>
  <c r="F154" i="8"/>
  <c r="F162" i="8"/>
  <c r="F170" i="8"/>
  <c r="F178" i="8"/>
  <c r="F186" i="8"/>
  <c r="F194" i="8"/>
  <c r="F202" i="8"/>
  <c r="F210" i="8"/>
  <c r="F218" i="8"/>
  <c r="F226" i="8"/>
  <c r="F234" i="8"/>
  <c r="F242" i="8"/>
  <c r="F250" i="8"/>
  <c r="F258" i="8"/>
  <c r="F266" i="8"/>
  <c r="F274" i="8"/>
  <c r="F282" i="8"/>
  <c r="F290" i="8"/>
  <c r="F298" i="8"/>
  <c r="F306" i="8"/>
  <c r="F314" i="8"/>
  <c r="F322" i="8"/>
  <c r="F330" i="8"/>
  <c r="F338" i="8"/>
  <c r="F346" i="8"/>
  <c r="F354" i="8"/>
  <c r="F362" i="8"/>
  <c r="F370" i="8"/>
  <c r="F378" i="8"/>
  <c r="F386" i="8"/>
  <c r="F394" i="8"/>
  <c r="F402" i="8"/>
  <c r="F410" i="8"/>
  <c r="F418" i="8"/>
  <c r="F426" i="8"/>
  <c r="F434" i="8"/>
  <c r="F442" i="8"/>
  <c r="F450" i="8"/>
  <c r="F458" i="8"/>
  <c r="F466" i="8"/>
  <c r="F474" i="8"/>
  <c r="F482" i="8"/>
  <c r="F490" i="8"/>
  <c r="F498" i="8"/>
  <c r="F506" i="8"/>
  <c r="F514" i="8"/>
  <c r="F522" i="8"/>
  <c r="F530" i="8"/>
  <c r="F538" i="8"/>
  <c r="F546" i="8"/>
  <c r="F554" i="8"/>
  <c r="F562" i="8"/>
  <c r="F570" i="8"/>
  <c r="F581" i="8"/>
  <c r="F2" i="9"/>
  <c r="F10" i="9"/>
  <c r="F18" i="9"/>
  <c r="F26" i="9"/>
  <c r="F34" i="9"/>
  <c r="F42" i="9"/>
  <c r="F50" i="9"/>
  <c r="F58" i="9"/>
  <c r="F66" i="9"/>
  <c r="F74" i="9"/>
  <c r="F82" i="9"/>
  <c r="F90" i="9"/>
  <c r="F98" i="9"/>
  <c r="F106" i="9"/>
  <c r="F114" i="9"/>
  <c r="F122" i="9"/>
  <c r="F130" i="9"/>
  <c r="F138" i="9"/>
  <c r="F146" i="9"/>
  <c r="F154" i="9"/>
  <c r="F162" i="9"/>
  <c r="F170" i="9"/>
  <c r="F178" i="9"/>
  <c r="F186" i="9"/>
  <c r="F194" i="9"/>
  <c r="F202" i="9"/>
  <c r="F210" i="9"/>
  <c r="F218" i="9"/>
  <c r="F5" i="11"/>
  <c r="F13" i="11"/>
  <c r="F21" i="11"/>
  <c r="F29" i="11"/>
  <c r="F37" i="11"/>
  <c r="F45" i="11"/>
  <c r="F53" i="11"/>
  <c r="F61" i="11"/>
  <c r="F69" i="11"/>
  <c r="F77" i="11"/>
  <c r="F85" i="11"/>
  <c r="F93" i="11"/>
  <c r="F101" i="11"/>
  <c r="F109" i="11"/>
  <c r="F117" i="11"/>
  <c r="F125" i="11"/>
  <c r="F133" i="11"/>
  <c r="F141" i="11"/>
  <c r="F149" i="11"/>
  <c r="F157" i="11"/>
  <c r="F165" i="11"/>
  <c r="F173" i="11"/>
  <c r="F181" i="11"/>
  <c r="F189" i="11"/>
  <c r="F197" i="11"/>
  <c r="F205" i="11"/>
  <c r="F213" i="11"/>
  <c r="F221" i="11"/>
  <c r="F229" i="11"/>
  <c r="F237" i="11"/>
  <c r="F245" i="11"/>
  <c r="F253" i="11"/>
  <c r="F261" i="11"/>
  <c r="F269" i="11"/>
  <c r="F277" i="11"/>
  <c r="F285" i="11"/>
  <c r="F293" i="11"/>
  <c r="F301" i="11"/>
  <c r="F309" i="11"/>
  <c r="F317" i="11"/>
  <c r="F325" i="11"/>
  <c r="F333" i="11"/>
  <c r="F341" i="11"/>
  <c r="F349" i="11"/>
  <c r="F357" i="11"/>
  <c r="F365" i="11"/>
  <c r="F373" i="11"/>
  <c r="F381" i="11"/>
  <c r="F389" i="11"/>
  <c r="F397" i="11"/>
  <c r="F405" i="11"/>
  <c r="F413" i="11"/>
  <c r="F421" i="11"/>
  <c r="F429" i="11"/>
  <c r="F437" i="11"/>
  <c r="F445" i="11"/>
  <c r="F453" i="11"/>
  <c r="F461" i="11"/>
  <c r="F469" i="11"/>
  <c r="F477" i="11"/>
  <c r="F485" i="11"/>
  <c r="F493" i="11"/>
  <c r="F501" i="11"/>
  <c r="F509" i="11"/>
  <c r="F517" i="11"/>
  <c r="F525" i="11"/>
  <c r="F533" i="11"/>
  <c r="F541" i="11"/>
  <c r="F549" i="11"/>
  <c r="F557" i="11"/>
  <c r="F565" i="11"/>
  <c r="F573" i="11"/>
  <c r="F581" i="11"/>
  <c r="F589" i="11"/>
  <c r="F597" i="11"/>
  <c r="F605" i="11"/>
  <c r="F613" i="11"/>
  <c r="F621" i="11"/>
  <c r="F629" i="11"/>
  <c r="F637" i="11"/>
  <c r="F645" i="11"/>
  <c r="F653" i="11"/>
  <c r="F661" i="11"/>
  <c r="F669" i="11"/>
  <c r="F677" i="11"/>
  <c r="F685" i="11"/>
  <c r="F693" i="11"/>
  <c r="F701" i="11"/>
  <c r="F709" i="11"/>
  <c r="F717" i="11"/>
  <c r="F725" i="11"/>
  <c r="F733" i="11"/>
  <c r="F741" i="11"/>
  <c r="F3" i="12"/>
  <c r="F11" i="12"/>
  <c r="F19" i="12"/>
  <c r="F27" i="12"/>
  <c r="F582" i="8"/>
  <c r="F117" i="8"/>
  <c r="F133" i="8"/>
  <c r="F149" i="8"/>
  <c r="F165" i="8"/>
  <c r="F181" i="8"/>
  <c r="F197" i="8"/>
  <c r="F213" i="8"/>
  <c r="F229" i="8"/>
  <c r="F245" i="8"/>
  <c r="F261" i="8"/>
  <c r="F277" i="8"/>
  <c r="F293" i="8"/>
  <c r="F309" i="8"/>
  <c r="F325" i="8"/>
  <c r="F341" i="8"/>
  <c r="F357" i="8"/>
  <c r="F373" i="8"/>
  <c r="F389" i="8"/>
  <c r="F405" i="8"/>
  <c r="F421" i="8"/>
  <c r="F437" i="8"/>
  <c r="F453" i="8"/>
  <c r="F469" i="8"/>
  <c r="F485" i="8"/>
  <c r="F501" i="8"/>
  <c r="F517" i="8"/>
  <c r="F533" i="8"/>
  <c r="F549" i="8"/>
  <c r="F565" i="8"/>
  <c r="F587" i="8"/>
  <c r="F13" i="9"/>
  <c r="F29" i="9"/>
  <c r="F45" i="9"/>
  <c r="F61" i="9"/>
  <c r="F77" i="9"/>
  <c r="F93" i="9"/>
  <c r="F109" i="9"/>
  <c r="F125" i="9"/>
  <c r="F141" i="9"/>
  <c r="F157" i="9"/>
  <c r="F173" i="9"/>
  <c r="F189" i="9"/>
  <c r="F205" i="9"/>
  <c r="F221" i="9"/>
  <c r="F16" i="11"/>
  <c r="F32" i="11"/>
  <c r="F48" i="11"/>
  <c r="F64" i="11"/>
  <c r="F80" i="11"/>
  <c r="F96" i="11"/>
  <c r="F112" i="11"/>
  <c r="F128" i="11"/>
  <c r="F144" i="11"/>
  <c r="F160" i="11"/>
  <c r="F176" i="11"/>
  <c r="F192" i="11"/>
  <c r="F208" i="11"/>
  <c r="F224" i="11"/>
  <c r="F240" i="11"/>
  <c r="F256" i="11"/>
  <c r="F272" i="11"/>
  <c r="F288" i="11"/>
  <c r="F304" i="11"/>
  <c r="F320" i="11"/>
  <c r="F336" i="11"/>
  <c r="F352" i="11"/>
  <c r="F368" i="11"/>
  <c r="F384" i="11"/>
  <c r="F400" i="11"/>
  <c r="F416" i="11"/>
  <c r="F432" i="11"/>
  <c r="F448" i="11"/>
  <c r="F464" i="11"/>
  <c r="F480" i="11"/>
  <c r="F496" i="11"/>
  <c r="F512" i="11"/>
  <c r="F528" i="11"/>
  <c r="F544" i="11"/>
  <c r="F560" i="11"/>
  <c r="F576" i="11"/>
  <c r="F592" i="11"/>
  <c r="F608" i="11"/>
  <c r="F624" i="11"/>
  <c r="F640" i="11"/>
  <c r="F656" i="11"/>
  <c r="F672" i="11"/>
  <c r="F688" i="11"/>
  <c r="F704" i="11"/>
  <c r="F720" i="11"/>
  <c r="F736" i="11"/>
  <c r="F6" i="12"/>
  <c r="F22" i="12"/>
  <c r="F63" i="12"/>
  <c r="F95" i="12"/>
  <c r="F127" i="12"/>
  <c r="F159" i="12"/>
  <c r="F191" i="12"/>
  <c r="F223" i="12"/>
  <c r="F255" i="12"/>
  <c r="F287" i="12"/>
  <c r="F319" i="12"/>
  <c r="F351" i="12"/>
  <c r="F383" i="12"/>
  <c r="F415" i="12"/>
  <c r="F447" i="12"/>
  <c r="F479" i="12"/>
  <c r="F511" i="12"/>
  <c r="F543" i="12"/>
  <c r="F575" i="12"/>
  <c r="F607" i="12"/>
  <c r="F25" i="13"/>
  <c r="F57" i="13"/>
  <c r="F89" i="13"/>
  <c r="F121" i="13"/>
  <c r="F153" i="13"/>
  <c r="F185" i="13"/>
  <c r="F217" i="13"/>
  <c r="F249" i="13"/>
  <c r="F281" i="13"/>
  <c r="F313" i="13"/>
  <c r="F345" i="13"/>
  <c r="F377" i="13"/>
  <c r="F409" i="13"/>
  <c r="F441" i="13"/>
  <c r="F473" i="13"/>
  <c r="F505" i="13"/>
  <c r="F537" i="13"/>
  <c r="F569" i="13"/>
  <c r="F601" i="13"/>
  <c r="F633" i="13"/>
  <c r="F665" i="13"/>
  <c r="F697" i="13"/>
  <c r="F729" i="13"/>
  <c r="F761" i="13"/>
  <c r="F793" i="13"/>
  <c r="F825" i="13"/>
  <c r="F857" i="13"/>
  <c r="F889" i="13"/>
  <c r="F921" i="13"/>
  <c r="F953" i="13"/>
  <c r="F985" i="13"/>
  <c r="F1017" i="13"/>
  <c r="F1049" i="13"/>
  <c r="F32" i="14"/>
  <c r="F64" i="14"/>
  <c r="F96" i="14"/>
  <c r="F128" i="14"/>
  <c r="F160" i="14"/>
  <c r="F192" i="14"/>
  <c r="F224" i="14"/>
  <c r="F256" i="14"/>
  <c r="F288" i="14"/>
  <c r="F48" i="12"/>
  <c r="F64" i="12"/>
  <c r="F80" i="12"/>
  <c r="F96" i="12"/>
  <c r="F112" i="12"/>
  <c r="F128" i="12"/>
  <c r="F144" i="12"/>
  <c r="F160" i="12"/>
  <c r="F176" i="12"/>
  <c r="F192" i="12"/>
  <c r="F208" i="12"/>
  <c r="F224" i="12"/>
  <c r="F240" i="12"/>
  <c r="F256" i="12"/>
  <c r="F272" i="12"/>
  <c r="F288" i="12"/>
  <c r="F304" i="12"/>
  <c r="F320" i="12"/>
  <c r="F336" i="12"/>
  <c r="F352" i="12"/>
  <c r="F368" i="12"/>
  <c r="F384" i="12"/>
  <c r="F400" i="12"/>
  <c r="F416" i="12"/>
  <c r="F432" i="12"/>
  <c r="F448" i="12"/>
  <c r="F464" i="12"/>
  <c r="F480" i="12"/>
  <c r="F496" i="12"/>
  <c r="F512" i="12"/>
  <c r="F544" i="12"/>
  <c r="F576" i="12"/>
  <c r="F608" i="12"/>
  <c r="F26" i="13"/>
  <c r="F58" i="13"/>
  <c r="F90" i="13"/>
  <c r="F122" i="13"/>
  <c r="F154" i="13"/>
  <c r="F186" i="13"/>
  <c r="F218" i="13"/>
  <c r="F250" i="13"/>
  <c r="F282" i="13"/>
  <c r="F314" i="13"/>
  <c r="F346" i="13"/>
  <c r="F378" i="13"/>
  <c r="F410" i="13"/>
  <c r="F442" i="13"/>
  <c r="F474" i="13"/>
  <c r="F506" i="13"/>
  <c r="F538" i="13"/>
  <c r="F570" i="13"/>
  <c r="F602" i="13"/>
  <c r="F634" i="13"/>
  <c r="F666" i="13"/>
  <c r="F698" i="13"/>
  <c r="F730" i="13"/>
  <c r="F762" i="13"/>
  <c r="F794" i="13"/>
  <c r="F826" i="13"/>
  <c r="F858" i="13"/>
  <c r="F890" i="13"/>
  <c r="F119" i="8"/>
  <c r="F127" i="8"/>
  <c r="F135" i="8"/>
  <c r="F143" i="8"/>
  <c r="F151" i="8"/>
  <c r="F159" i="8"/>
  <c r="F167" i="8"/>
  <c r="F175" i="8"/>
  <c r="F183" i="8"/>
  <c r="F191" i="8"/>
  <c r="F199" i="8"/>
  <c r="F207" i="8"/>
  <c r="F215" i="8"/>
  <c r="F223" i="8"/>
  <c r="F231" i="8"/>
  <c r="F239" i="8"/>
  <c r="F247" i="8"/>
  <c r="F255" i="8"/>
  <c r="F263" i="8"/>
  <c r="F271" i="8"/>
  <c r="F279" i="8"/>
  <c r="F287" i="8"/>
  <c r="F295" i="8"/>
  <c r="F303" i="8"/>
  <c r="F311" i="8"/>
  <c r="F319" i="8"/>
  <c r="F327" i="8"/>
  <c r="F335" i="8"/>
  <c r="F343" i="8"/>
  <c r="F351" i="8"/>
  <c r="F359" i="8"/>
  <c r="F367" i="8"/>
  <c r="F375" i="8"/>
  <c r="F383" i="8"/>
  <c r="F391" i="8"/>
  <c r="F399" i="8"/>
  <c r="F407" i="8"/>
  <c r="F415" i="8"/>
  <c r="F423" i="8"/>
  <c r="F431" i="8"/>
  <c r="F439" i="8"/>
  <c r="F447" i="8"/>
  <c r="F455" i="8"/>
  <c r="F463" i="8"/>
  <c r="F471" i="8"/>
  <c r="F479" i="8"/>
  <c r="F487" i="8"/>
  <c r="F495" i="8"/>
  <c r="F503" i="8"/>
  <c r="F511" i="8"/>
  <c r="F519" i="8"/>
  <c r="F527" i="8"/>
  <c r="F535" i="8"/>
  <c r="F543" i="8"/>
  <c r="F551" i="8"/>
  <c r="F559" i="8"/>
  <c r="F567" i="8"/>
  <c r="F575" i="8"/>
  <c r="F591" i="8"/>
  <c r="F7" i="9"/>
  <c r="F15" i="9"/>
  <c r="F23" i="9"/>
  <c r="F31" i="9"/>
  <c r="F39" i="9"/>
  <c r="F47" i="9"/>
  <c r="F55" i="9"/>
  <c r="F63" i="9"/>
  <c r="F71" i="9"/>
  <c r="F79" i="9"/>
  <c r="F87" i="9"/>
  <c r="F95" i="9"/>
  <c r="F103" i="9"/>
  <c r="F111" i="9"/>
  <c r="F119" i="9"/>
  <c r="F127" i="9"/>
  <c r="F135" i="9"/>
  <c r="F143" i="9"/>
  <c r="F151" i="9"/>
  <c r="F159" i="9"/>
  <c r="F167" i="9"/>
  <c r="F175" i="9"/>
  <c r="F183" i="9"/>
  <c r="F191" i="9"/>
  <c r="F199" i="9"/>
  <c r="F207" i="9"/>
  <c r="F215" i="9"/>
  <c r="F2" i="11"/>
  <c r="F10" i="11"/>
  <c r="F18" i="11"/>
  <c r="F26" i="11"/>
  <c r="F34" i="11"/>
  <c r="F42" i="11"/>
  <c r="F50" i="11"/>
  <c r="F58" i="11"/>
  <c r="F66" i="11"/>
  <c r="F74" i="11"/>
  <c r="F82" i="11"/>
  <c r="F90" i="11"/>
  <c r="F98" i="11"/>
  <c r="F106" i="11"/>
  <c r="F114" i="11"/>
  <c r="F122" i="11"/>
  <c r="F130" i="11"/>
  <c r="F138" i="11"/>
  <c r="F146" i="11"/>
  <c r="F154" i="11"/>
  <c r="F162" i="11"/>
  <c r="F170" i="11"/>
  <c r="F178" i="11"/>
  <c r="F186" i="11"/>
  <c r="F194" i="11"/>
  <c r="F202" i="11"/>
  <c r="F210" i="11"/>
  <c r="F218" i="11"/>
  <c r="F226" i="11"/>
  <c r="F234" i="11"/>
  <c r="F242" i="11"/>
  <c r="F250" i="11"/>
  <c r="F258" i="11"/>
  <c r="F266" i="11"/>
  <c r="F274" i="11"/>
  <c r="F282" i="11"/>
  <c r="F290" i="11"/>
  <c r="F298" i="11"/>
  <c r="F306" i="11"/>
  <c r="F314" i="11"/>
  <c r="F322" i="11"/>
  <c r="F330" i="11"/>
  <c r="F338" i="11"/>
  <c r="F346" i="11"/>
  <c r="F354" i="11"/>
  <c r="F362" i="11"/>
  <c r="F370" i="11"/>
  <c r="F378" i="11"/>
  <c r="F386" i="11"/>
  <c r="F394" i="11"/>
  <c r="F402" i="11"/>
  <c r="F410" i="11"/>
  <c r="F418" i="11"/>
  <c r="F426" i="11"/>
  <c r="F434" i="11"/>
  <c r="F442" i="11"/>
  <c r="F450" i="11"/>
  <c r="F458" i="11"/>
  <c r="F466" i="11"/>
  <c r="F474" i="11"/>
  <c r="F482" i="11"/>
  <c r="F490" i="11"/>
  <c r="F498" i="11"/>
  <c r="F506" i="11"/>
  <c r="F514" i="11"/>
  <c r="F522" i="11"/>
  <c r="F530" i="11"/>
  <c r="F538" i="11"/>
  <c r="F546" i="11"/>
  <c r="F554" i="11"/>
  <c r="F562" i="11"/>
  <c r="F570" i="11"/>
  <c r="F578" i="11"/>
  <c r="F586" i="11"/>
  <c r="F594" i="11"/>
  <c r="F602" i="11"/>
  <c r="F610" i="11"/>
  <c r="F618" i="11"/>
  <c r="F626" i="11"/>
  <c r="F634" i="11"/>
  <c r="F642" i="11"/>
  <c r="F650" i="11"/>
  <c r="F658" i="11"/>
  <c r="F666" i="11"/>
  <c r="F674" i="11"/>
  <c r="F682" i="11"/>
  <c r="F690" i="11"/>
  <c r="F698" i="11"/>
  <c r="F706" i="11"/>
  <c r="F714" i="11"/>
  <c r="F722" i="11"/>
  <c r="F730" i="11"/>
  <c r="F738" i="11"/>
  <c r="F746" i="11"/>
  <c r="F8" i="12"/>
  <c r="F16" i="12"/>
  <c r="F24" i="12"/>
  <c r="F32" i="12"/>
  <c r="F33" i="12"/>
  <c r="F41" i="12"/>
  <c r="F49" i="12"/>
  <c r="F57" i="12"/>
  <c r="F65" i="12"/>
  <c r="F73" i="12"/>
  <c r="F81" i="12"/>
  <c r="F89" i="12"/>
  <c r="F97" i="12"/>
  <c r="F105" i="12"/>
  <c r="F113" i="12"/>
  <c r="F121" i="12"/>
  <c r="F129" i="12"/>
  <c r="F137" i="12"/>
  <c r="F145" i="12"/>
  <c r="F153" i="12"/>
  <c r="F161" i="12"/>
  <c r="F169" i="12"/>
  <c r="F177" i="12"/>
  <c r="F185" i="12"/>
  <c r="F193" i="12"/>
  <c r="F201" i="12"/>
  <c r="F209" i="12"/>
  <c r="F217" i="12"/>
  <c r="F225" i="12"/>
  <c r="F233" i="12"/>
  <c r="F241" i="12"/>
  <c r="F249" i="12"/>
  <c r="F257" i="12"/>
  <c r="F265" i="12"/>
  <c r="F273" i="12"/>
  <c r="F281" i="12"/>
  <c r="F289" i="12"/>
  <c r="F297" i="12"/>
  <c r="F305" i="12"/>
  <c r="F313" i="12"/>
  <c r="F321" i="12"/>
  <c r="F329" i="12"/>
  <c r="F337" i="12"/>
  <c r="F345" i="12"/>
  <c r="F353" i="12"/>
  <c r="F361" i="12"/>
  <c r="F369" i="12"/>
  <c r="F377" i="12"/>
  <c r="F385" i="12"/>
  <c r="F393" i="12"/>
  <c r="F401" i="12"/>
  <c r="F409" i="12"/>
  <c r="F417" i="12"/>
  <c r="F425" i="12"/>
  <c r="F433" i="12"/>
  <c r="F441" i="12"/>
  <c r="F449" i="12"/>
  <c r="F457" i="12"/>
  <c r="F465" i="12"/>
  <c r="F473" i="12"/>
  <c r="F481" i="12"/>
  <c r="F489" i="12"/>
  <c r="F497" i="12"/>
  <c r="F505" i="12"/>
  <c r="F513" i="12"/>
  <c r="F521" i="12"/>
  <c r="F529" i="12"/>
  <c r="F537" i="12"/>
  <c r="F545" i="12"/>
  <c r="F553" i="12"/>
  <c r="F561" i="12"/>
  <c r="F569" i="12"/>
  <c r="F577" i="12"/>
  <c r="F585" i="12"/>
  <c r="F593" i="12"/>
  <c r="F601" i="12"/>
  <c r="F609" i="12"/>
  <c r="F3" i="13"/>
  <c r="F11" i="13"/>
  <c r="F19" i="13"/>
  <c r="F27" i="13"/>
  <c r="F35" i="13"/>
  <c r="F43" i="13"/>
  <c r="F51" i="13"/>
  <c r="F59" i="13"/>
  <c r="F67" i="13"/>
  <c r="F75" i="13"/>
  <c r="F83" i="13"/>
  <c r="F91" i="13"/>
  <c r="F99" i="13"/>
  <c r="F107" i="13"/>
  <c r="F115" i="13"/>
  <c r="F123" i="13"/>
  <c r="F131" i="13"/>
  <c r="F139" i="13"/>
  <c r="F147" i="13"/>
  <c r="F155" i="13"/>
  <c r="F163" i="13"/>
  <c r="F171" i="13"/>
  <c r="F179" i="13"/>
  <c r="F187" i="13"/>
  <c r="F195" i="13"/>
  <c r="F203" i="13"/>
  <c r="F211" i="13"/>
  <c r="F219" i="13"/>
  <c r="F227" i="13"/>
  <c r="F235" i="13"/>
  <c r="F243" i="13"/>
  <c r="F251" i="13"/>
  <c r="F259" i="13"/>
  <c r="F267" i="13"/>
  <c r="F275" i="13"/>
  <c r="F283" i="13"/>
  <c r="F291" i="13"/>
  <c r="F299" i="13"/>
  <c r="F307" i="13"/>
  <c r="F315" i="13"/>
  <c r="F323" i="13"/>
  <c r="F331" i="13"/>
  <c r="F339" i="13"/>
  <c r="F347" i="13"/>
  <c r="F355" i="13"/>
  <c r="F363" i="13"/>
  <c r="F371" i="13"/>
  <c r="F379" i="13"/>
  <c r="F387" i="13"/>
  <c r="F395" i="13"/>
  <c r="F403" i="13"/>
  <c r="F411" i="13"/>
  <c r="F419" i="13"/>
  <c r="F427" i="13"/>
  <c r="F435" i="13"/>
  <c r="F443" i="13"/>
  <c r="F451" i="13"/>
  <c r="F459" i="13"/>
  <c r="F467" i="13"/>
  <c r="F475" i="13"/>
  <c r="F483" i="13"/>
  <c r="F491" i="13"/>
  <c r="F499" i="13"/>
  <c r="F507" i="13"/>
  <c r="F515" i="13"/>
  <c r="F523" i="13"/>
  <c r="F531" i="13"/>
  <c r="F539" i="13"/>
  <c r="F547" i="13"/>
  <c r="F555" i="13"/>
  <c r="F563" i="13"/>
  <c r="F571" i="13"/>
  <c r="F579" i="13"/>
  <c r="F587" i="13"/>
  <c r="F595" i="13"/>
  <c r="F603" i="13"/>
  <c r="F611" i="13"/>
  <c r="F619" i="13"/>
  <c r="F627" i="13"/>
  <c r="F635" i="13"/>
  <c r="F643" i="13"/>
  <c r="F651" i="13"/>
  <c r="F659" i="13"/>
  <c r="F667" i="13"/>
  <c r="F675" i="13"/>
  <c r="F683" i="13"/>
  <c r="F691" i="13"/>
  <c r="F699" i="13"/>
  <c r="F707" i="13"/>
  <c r="F715" i="13"/>
  <c r="F723" i="13"/>
  <c r="F731" i="13"/>
  <c r="F739" i="13"/>
  <c r="F747" i="13"/>
  <c r="F755" i="13"/>
  <c r="F763" i="13"/>
  <c r="F771" i="13"/>
  <c r="F779" i="13"/>
  <c r="F787" i="13"/>
  <c r="F795" i="13"/>
  <c r="F803" i="13"/>
  <c r="F811" i="13"/>
  <c r="F819" i="13"/>
  <c r="F827" i="13"/>
  <c r="F835" i="13"/>
  <c r="F843" i="13"/>
  <c r="F851" i="13"/>
  <c r="F859" i="13"/>
  <c r="F867" i="13"/>
  <c r="F875" i="13"/>
  <c r="F883" i="13"/>
  <c r="F891" i="13"/>
  <c r="F899" i="13"/>
  <c r="F907" i="13"/>
  <c r="F915" i="13"/>
  <c r="F923" i="13"/>
  <c r="F931" i="13"/>
  <c r="F939" i="13"/>
  <c r="F947" i="13"/>
  <c r="F955" i="13"/>
  <c r="F963" i="13"/>
  <c r="F971" i="13"/>
  <c r="F979" i="13"/>
  <c r="F987" i="13"/>
  <c r="F995" i="13"/>
  <c r="F1003" i="13"/>
  <c r="F1011" i="13"/>
  <c r="F1019" i="13"/>
  <c r="F1027" i="13"/>
  <c r="F1035" i="13"/>
  <c r="F1043" i="13"/>
  <c r="F2" i="14"/>
  <c r="F10" i="14"/>
  <c r="F18" i="14"/>
  <c r="F26" i="14"/>
  <c r="F34" i="14"/>
  <c r="F42" i="14"/>
  <c r="F50" i="14"/>
  <c r="F58" i="14"/>
  <c r="F66" i="14"/>
  <c r="F74" i="14"/>
  <c r="F82" i="14"/>
  <c r="F90" i="14"/>
  <c r="F98" i="14"/>
  <c r="F106" i="14"/>
  <c r="F114" i="14"/>
  <c r="F122" i="14"/>
  <c r="F130" i="14"/>
  <c r="F138" i="14"/>
  <c r="F146" i="14"/>
  <c r="F154" i="14"/>
  <c r="F162" i="14"/>
  <c r="F170" i="14"/>
  <c r="F178" i="14"/>
  <c r="F186" i="14"/>
  <c r="F194" i="14"/>
  <c r="F202" i="14"/>
  <c r="F210" i="14"/>
  <c r="F218" i="14"/>
  <c r="F226" i="14"/>
  <c r="F234" i="14"/>
  <c r="F242" i="14"/>
  <c r="F250" i="14"/>
  <c r="F258" i="14"/>
  <c r="F266" i="14"/>
  <c r="F274" i="14"/>
  <c r="F282" i="14"/>
  <c r="F290" i="14"/>
  <c r="F298" i="14"/>
  <c r="F38" i="12"/>
  <c r="F54" i="12"/>
  <c r="F70" i="12"/>
  <c r="F86" i="12"/>
  <c r="F102" i="12"/>
  <c r="F118" i="12"/>
  <c r="F134" i="12"/>
  <c r="F150" i="12"/>
  <c r="F166" i="12"/>
  <c r="F182" i="12"/>
  <c r="F198" i="12"/>
  <c r="F214" i="12"/>
  <c r="F230" i="12"/>
  <c r="F246" i="12"/>
  <c r="F262" i="12"/>
  <c r="F278" i="12"/>
  <c r="F294" i="12"/>
  <c r="F310" i="12"/>
  <c r="F326" i="12"/>
  <c r="F342" i="12"/>
  <c r="F358" i="12"/>
  <c r="F374" i="12"/>
  <c r="F390" i="12"/>
  <c r="F406" i="12"/>
  <c r="F422" i="12"/>
  <c r="F438" i="12"/>
  <c r="F454" i="12"/>
  <c r="F470" i="12"/>
  <c r="F486" i="12"/>
  <c r="F502" i="12"/>
  <c r="F520" i="12"/>
  <c r="F552" i="12"/>
  <c r="F584" i="12"/>
  <c r="F2" i="13"/>
  <c r="F34" i="13"/>
  <c r="F66" i="13"/>
  <c r="F98" i="13"/>
  <c r="F130" i="13"/>
  <c r="F162" i="13"/>
  <c r="F194" i="13"/>
  <c r="F226" i="13"/>
  <c r="F258" i="13"/>
  <c r="F290" i="13"/>
  <c r="F322" i="13"/>
  <c r="F354" i="13"/>
  <c r="F386" i="13"/>
  <c r="F418" i="13"/>
  <c r="F450" i="13"/>
  <c r="F482" i="13"/>
  <c r="F514" i="13"/>
  <c r="F546" i="13"/>
  <c r="F578" i="13"/>
  <c r="F610" i="13"/>
  <c r="F642" i="13"/>
  <c r="F674" i="13"/>
  <c r="F706" i="13"/>
  <c r="F738" i="13"/>
  <c r="F770" i="13"/>
  <c r="F802" i="13"/>
  <c r="F834" i="13"/>
  <c r="F866" i="13"/>
  <c r="F898" i="13"/>
  <c r="F34" i="12"/>
  <c r="F121" i="8"/>
  <c r="F129" i="8"/>
  <c r="F137" i="8"/>
  <c r="F145" i="8"/>
  <c r="F153" i="8"/>
  <c r="F161" i="8"/>
  <c r="F169" i="8"/>
  <c r="F177" i="8"/>
  <c r="F185" i="8"/>
  <c r="F193" i="8"/>
  <c r="F201" i="8"/>
  <c r="F209" i="8"/>
  <c r="F217" i="8"/>
  <c r="F225" i="8"/>
  <c r="F233" i="8"/>
  <c r="F241" i="8"/>
  <c r="F249" i="8"/>
  <c r="F257" i="8"/>
  <c r="F265" i="8"/>
  <c r="F273" i="8"/>
  <c r="F281" i="8"/>
  <c r="F289" i="8"/>
  <c r="F297" i="8"/>
  <c r="F305" i="8"/>
  <c r="F313" i="8"/>
  <c r="F321" i="8"/>
  <c r="F329" i="8"/>
  <c r="F337" i="8"/>
  <c r="F345" i="8"/>
  <c r="F353" i="8"/>
  <c r="F361" i="8"/>
  <c r="F369" i="8"/>
  <c r="F377" i="8"/>
  <c r="F385" i="8"/>
  <c r="F393" i="8"/>
  <c r="F401" i="8"/>
  <c r="F409" i="8"/>
  <c r="F417" i="8"/>
  <c r="F425" i="8"/>
  <c r="F433" i="8"/>
  <c r="F441" i="8"/>
  <c r="F449" i="8"/>
  <c r="F457" i="8"/>
  <c r="F465" i="8"/>
  <c r="F473" i="8"/>
  <c r="F481" i="8"/>
  <c r="F489" i="8"/>
  <c r="F497" i="8"/>
  <c r="F505" i="8"/>
  <c r="F513" i="8"/>
  <c r="F521" i="8"/>
  <c r="F529" i="8"/>
  <c r="F537" i="8"/>
  <c r="F545" i="8"/>
  <c r="F553" i="8"/>
  <c r="F561" i="8"/>
  <c r="F569" i="8"/>
  <c r="F579" i="8"/>
  <c r="F1" i="9"/>
  <c r="F9" i="9"/>
  <c r="F17" i="9"/>
  <c r="F25" i="9"/>
  <c r="F33" i="9"/>
  <c r="F41" i="9"/>
  <c r="F49" i="9"/>
  <c r="F57" i="9"/>
  <c r="F65" i="9"/>
  <c r="F73" i="9"/>
  <c r="F81" i="9"/>
  <c r="F89" i="9"/>
  <c r="F97" i="9"/>
  <c r="F105" i="9"/>
  <c r="F113" i="9"/>
  <c r="F121" i="9"/>
  <c r="F129" i="9"/>
  <c r="F137" i="9"/>
  <c r="F145" i="9"/>
  <c r="F153" i="9"/>
  <c r="F161" i="9"/>
  <c r="F169" i="9"/>
  <c r="F177" i="9"/>
  <c r="F185" i="9"/>
  <c r="F193" i="9"/>
  <c r="F201" i="9"/>
  <c r="F209" i="9"/>
  <c r="F217" i="9"/>
  <c r="F4" i="11"/>
  <c r="F12" i="11"/>
  <c r="F20" i="11"/>
  <c r="F28" i="11"/>
  <c r="F36" i="11"/>
  <c r="F44" i="11"/>
  <c r="F52" i="11"/>
  <c r="F60" i="11"/>
  <c r="F68" i="11"/>
  <c r="F76" i="11"/>
  <c r="F84" i="11"/>
  <c r="F92" i="11"/>
  <c r="F100" i="11"/>
  <c r="F108" i="11"/>
  <c r="F116" i="11"/>
  <c r="F124" i="11"/>
  <c r="F132" i="11"/>
  <c r="F140" i="11"/>
  <c r="F148" i="11"/>
  <c r="F156" i="11"/>
  <c r="F164" i="11"/>
  <c r="F172" i="11"/>
  <c r="F180" i="11"/>
  <c r="F188" i="11"/>
  <c r="F196" i="11"/>
  <c r="F204" i="11"/>
  <c r="F212" i="11"/>
  <c r="F220" i="11"/>
  <c r="F228" i="11"/>
  <c r="F236" i="11"/>
  <c r="F244" i="11"/>
  <c r="F252" i="11"/>
  <c r="F260" i="11"/>
  <c r="F268" i="11"/>
  <c r="F276" i="11"/>
  <c r="F284" i="11"/>
  <c r="F292" i="11"/>
  <c r="F300" i="11"/>
  <c r="F308" i="11"/>
  <c r="F316" i="11"/>
  <c r="F324" i="11"/>
  <c r="F332" i="11"/>
  <c r="F340" i="11"/>
  <c r="F348" i="11"/>
  <c r="F356" i="11"/>
  <c r="F364" i="11"/>
  <c r="F372" i="11"/>
  <c r="F380" i="11"/>
  <c r="F388" i="11"/>
  <c r="F396" i="11"/>
  <c r="F404" i="11"/>
  <c r="F412" i="11"/>
  <c r="F420" i="11"/>
  <c r="F428" i="11"/>
  <c r="F436" i="11"/>
  <c r="F444" i="11"/>
  <c r="F452" i="11"/>
  <c r="F460" i="11"/>
  <c r="F468" i="11"/>
  <c r="F476" i="11"/>
  <c r="F484" i="11"/>
  <c r="F492" i="11"/>
  <c r="F500" i="11"/>
  <c r="F508" i="11"/>
  <c r="F516" i="11"/>
  <c r="F524" i="11"/>
  <c r="F532" i="11"/>
  <c r="F540" i="11"/>
  <c r="F548" i="11"/>
  <c r="F556" i="11"/>
  <c r="F564" i="11"/>
  <c r="F572" i="11"/>
  <c r="F580" i="11"/>
  <c r="F588" i="11"/>
  <c r="F596" i="11"/>
  <c r="F604" i="11"/>
  <c r="F612" i="11"/>
  <c r="F620" i="11"/>
  <c r="F628" i="11"/>
  <c r="F636" i="11"/>
  <c r="F644" i="11"/>
  <c r="F652" i="11"/>
  <c r="F660" i="11"/>
  <c r="F668" i="11"/>
  <c r="F676" i="11"/>
  <c r="F684" i="11"/>
  <c r="F692" i="11"/>
  <c r="F700" i="11"/>
  <c r="F708" i="11"/>
  <c r="F716" i="11"/>
  <c r="F724" i="11"/>
  <c r="F732" i="11"/>
  <c r="F740" i="11"/>
  <c r="F2" i="12"/>
  <c r="F10" i="12"/>
  <c r="F18" i="12"/>
  <c r="F26" i="12"/>
  <c r="F35" i="12"/>
  <c r="F43" i="12"/>
  <c r="F51" i="12"/>
  <c r="F59" i="12"/>
  <c r="F67" i="12"/>
  <c r="F75" i="12"/>
  <c r="F83" i="12"/>
  <c r="F91" i="12"/>
  <c r="F99" i="12"/>
  <c r="F107" i="12"/>
  <c r="F115" i="12"/>
  <c r="F123" i="12"/>
  <c r="F131" i="12"/>
  <c r="F139" i="12"/>
  <c r="F147" i="12"/>
  <c r="F155" i="12"/>
  <c r="F163" i="12"/>
  <c r="F171" i="12"/>
  <c r="F179" i="12"/>
  <c r="F187" i="12"/>
  <c r="F195" i="12"/>
  <c r="F203" i="12"/>
  <c r="F211" i="12"/>
  <c r="F219" i="12"/>
  <c r="F227" i="12"/>
  <c r="F235" i="12"/>
  <c r="F243" i="12"/>
  <c r="F251" i="12"/>
  <c r="F259" i="12"/>
  <c r="F267" i="12"/>
  <c r="F275" i="12"/>
  <c r="F283" i="12"/>
  <c r="F291" i="12"/>
  <c r="F299" i="12"/>
  <c r="F307" i="12"/>
  <c r="F315" i="12"/>
  <c r="F323" i="12"/>
  <c r="F331" i="12"/>
  <c r="F339" i="12"/>
  <c r="F347" i="12"/>
  <c r="F355" i="12"/>
  <c r="F363" i="12"/>
  <c r="F371" i="12"/>
  <c r="F379" i="12"/>
  <c r="F387" i="12"/>
  <c r="F395" i="12"/>
  <c r="F403" i="12"/>
  <c r="F411" i="12"/>
  <c r="F419" i="12"/>
  <c r="F427" i="12"/>
  <c r="F435" i="12"/>
  <c r="F443" i="12"/>
  <c r="F451" i="12"/>
  <c r="F459" i="12"/>
  <c r="F467" i="12"/>
  <c r="F475" i="12"/>
  <c r="F483" i="12"/>
  <c r="F491" i="12"/>
  <c r="F499" i="12"/>
  <c r="F507" i="12"/>
  <c r="F515" i="12"/>
  <c r="F523" i="12"/>
  <c r="F531" i="12"/>
  <c r="F539" i="12"/>
  <c r="F547" i="12"/>
  <c r="F555" i="12"/>
  <c r="F563" i="12"/>
  <c r="F571" i="12"/>
  <c r="F579" i="12"/>
  <c r="F587" i="12"/>
  <c r="F595" i="12"/>
  <c r="F603" i="12"/>
  <c r="F611" i="12"/>
  <c r="F5" i="13"/>
  <c r="F13" i="13"/>
  <c r="F21" i="13"/>
  <c r="F29" i="13"/>
  <c r="F37" i="13"/>
  <c r="F45" i="13"/>
  <c r="F53" i="13"/>
  <c r="F61" i="13"/>
  <c r="F69" i="13"/>
  <c r="F77" i="13"/>
  <c r="F85" i="13"/>
  <c r="F93" i="13"/>
  <c r="F101" i="13"/>
  <c r="F109" i="13"/>
  <c r="F117" i="13"/>
  <c r="F125" i="13"/>
  <c r="F133" i="13"/>
  <c r="F141" i="13"/>
  <c r="F149" i="13"/>
  <c r="F157" i="13"/>
  <c r="F165" i="13"/>
  <c r="F173" i="13"/>
  <c r="F181" i="13"/>
  <c r="F189" i="13"/>
  <c r="F197" i="13"/>
  <c r="F205" i="13"/>
  <c r="F213" i="13"/>
  <c r="F221" i="13"/>
  <c r="F229" i="13"/>
  <c r="F237" i="13"/>
  <c r="F245" i="13"/>
  <c r="F253" i="13"/>
  <c r="F261" i="13"/>
  <c r="F269" i="13"/>
  <c r="F277" i="13"/>
  <c r="F285" i="13"/>
  <c r="F293" i="13"/>
  <c r="F301" i="13"/>
  <c r="F309" i="13"/>
  <c r="F317" i="13"/>
  <c r="F325" i="13"/>
  <c r="F333" i="13"/>
  <c r="F341" i="13"/>
  <c r="F349" i="13"/>
  <c r="F357" i="13"/>
  <c r="F365" i="13"/>
  <c r="F373" i="13"/>
  <c r="F381" i="13"/>
  <c r="F389" i="13"/>
  <c r="F397" i="13"/>
  <c r="F405" i="13"/>
  <c r="F413" i="13"/>
  <c r="F421" i="13"/>
  <c r="F429" i="13"/>
  <c r="F437" i="13"/>
  <c r="F445" i="13"/>
  <c r="F453" i="13"/>
  <c r="F461" i="13"/>
  <c r="F469" i="13"/>
  <c r="F477" i="13"/>
  <c r="F485" i="13"/>
  <c r="F493" i="13"/>
  <c r="F501" i="13"/>
  <c r="F509" i="13"/>
  <c r="F517" i="13"/>
  <c r="F525" i="13"/>
  <c r="F533" i="13"/>
  <c r="F541" i="13"/>
  <c r="F549" i="13"/>
  <c r="F557" i="13"/>
  <c r="F565" i="13"/>
  <c r="F573" i="13"/>
  <c r="F581" i="13"/>
  <c r="F589" i="13"/>
  <c r="F597" i="13"/>
  <c r="F605" i="13"/>
  <c r="F613" i="13"/>
  <c r="F621" i="13"/>
  <c r="F629" i="13"/>
  <c r="F637" i="13"/>
  <c r="F645" i="13"/>
  <c r="F653" i="13"/>
  <c r="F661" i="13"/>
  <c r="F669" i="13"/>
  <c r="F677" i="13"/>
  <c r="F685" i="13"/>
  <c r="F693" i="13"/>
  <c r="F701" i="13"/>
  <c r="F709" i="13"/>
  <c r="F717" i="13"/>
  <c r="F725" i="13"/>
  <c r="F733" i="13"/>
  <c r="F741" i="13"/>
  <c r="F749" i="13"/>
  <c r="F757" i="13"/>
  <c r="F765" i="13"/>
  <c r="F773" i="13"/>
  <c r="F781" i="13"/>
  <c r="F789" i="13"/>
  <c r="F797" i="13"/>
  <c r="F805" i="13"/>
  <c r="F813" i="13"/>
  <c r="F821" i="13"/>
  <c r="F829" i="13"/>
  <c r="F837" i="13"/>
  <c r="F845" i="13"/>
  <c r="F853" i="13"/>
  <c r="F861" i="13"/>
  <c r="F869" i="13"/>
  <c r="F877" i="13"/>
  <c r="F885" i="13"/>
  <c r="F893" i="13"/>
  <c r="F901" i="13"/>
  <c r="F909" i="13"/>
  <c r="F917" i="13"/>
  <c r="F925" i="13"/>
  <c r="F933" i="13"/>
  <c r="F941" i="13"/>
  <c r="F949" i="13"/>
  <c r="F957" i="13"/>
  <c r="F965" i="13"/>
  <c r="F973" i="13"/>
  <c r="F981" i="13"/>
  <c r="F989" i="13"/>
  <c r="F997" i="13"/>
  <c r="F1005" i="13"/>
  <c r="F1013" i="13"/>
  <c r="F1021" i="13"/>
  <c r="F1029" i="13"/>
  <c r="F1037" i="13"/>
  <c r="F1045" i="13"/>
  <c r="F4" i="14"/>
  <c r="F12" i="14"/>
  <c r="F20" i="14"/>
  <c r="F28" i="14"/>
  <c r="F36" i="14"/>
  <c r="F44" i="14"/>
  <c r="F52" i="14"/>
  <c r="F60" i="14"/>
  <c r="F68" i="14"/>
  <c r="F76" i="14"/>
  <c r="F84" i="14"/>
  <c r="F92" i="14"/>
  <c r="F100" i="14"/>
  <c r="F108" i="14"/>
  <c r="F116" i="14"/>
  <c r="F124" i="14"/>
  <c r="F132" i="14"/>
  <c r="F140" i="14"/>
  <c r="F148" i="14"/>
  <c r="F156" i="14"/>
  <c r="F164" i="14"/>
  <c r="F172" i="14"/>
  <c r="F180" i="14"/>
  <c r="F188" i="14"/>
  <c r="F196" i="14"/>
  <c r="F204" i="14"/>
  <c r="F212" i="14"/>
  <c r="F220" i="14"/>
  <c r="F228" i="14"/>
  <c r="F236" i="14"/>
  <c r="F244" i="14"/>
  <c r="F252" i="14"/>
  <c r="F260" i="14"/>
  <c r="F268" i="14"/>
  <c r="F276" i="14"/>
  <c r="F284" i="14"/>
  <c r="F292" i="14"/>
  <c r="F300" i="14"/>
  <c r="F40" i="12"/>
  <c r="F56" i="12"/>
  <c r="F72" i="12"/>
  <c r="F88" i="12"/>
  <c r="F104" i="12"/>
  <c r="F120" i="12"/>
  <c r="F136" i="12"/>
  <c r="F152" i="12"/>
  <c r="F168" i="12"/>
  <c r="F184" i="12"/>
  <c r="F200" i="12"/>
  <c r="F216" i="12"/>
  <c r="F232" i="12"/>
  <c r="F248" i="12"/>
  <c r="F264" i="12"/>
  <c r="F280" i="12"/>
  <c r="F296" i="12"/>
  <c r="F312" i="12"/>
  <c r="F328" i="12"/>
  <c r="F344" i="12"/>
  <c r="F360" i="12"/>
  <c r="F376" i="12"/>
  <c r="F392" i="12"/>
  <c r="F408" i="12"/>
  <c r="F424" i="12"/>
  <c r="F440" i="12"/>
  <c r="F456" i="12"/>
  <c r="F472" i="12"/>
  <c r="F488" i="12"/>
  <c r="F504" i="12"/>
  <c r="F528" i="12"/>
  <c r="F560" i="12"/>
  <c r="F592" i="12"/>
  <c r="F10" i="13"/>
  <c r="F42" i="13"/>
  <c r="F74" i="13"/>
  <c r="F106" i="13"/>
  <c r="F138" i="13"/>
  <c r="F170" i="13"/>
  <c r="F202" i="13"/>
  <c r="F234" i="13"/>
  <c r="F266" i="13"/>
  <c r="F298" i="13"/>
  <c r="F330" i="13"/>
  <c r="F362" i="13"/>
  <c r="F394" i="13"/>
  <c r="F426" i="13"/>
  <c r="F458" i="13"/>
  <c r="F490" i="13"/>
  <c r="F522" i="13"/>
  <c r="F554" i="13"/>
  <c r="F586" i="13"/>
  <c r="F618" i="13"/>
  <c r="F650" i="13"/>
  <c r="F682" i="13"/>
  <c r="F714" i="13"/>
  <c r="F746" i="13"/>
  <c r="F778" i="13"/>
  <c r="F810" i="13"/>
  <c r="F842" i="13"/>
  <c r="F874" i="13"/>
  <c r="F906" i="13"/>
  <c r="F37" i="12"/>
  <c r="F45" i="12"/>
  <c r="F53" i="12"/>
  <c r="F61" i="12"/>
  <c r="F69" i="12"/>
  <c r="F77" i="12"/>
  <c r="F85" i="12"/>
  <c r="F93" i="12"/>
  <c r="F101" i="12"/>
  <c r="F109" i="12"/>
  <c r="F117" i="12"/>
  <c r="F125" i="12"/>
  <c r="F133" i="12"/>
  <c r="F141" i="12"/>
  <c r="F149" i="12"/>
  <c r="F157" i="12"/>
  <c r="F165" i="12"/>
  <c r="F173" i="12"/>
  <c r="F181" i="12"/>
  <c r="F189" i="12"/>
  <c r="F197" i="12"/>
  <c r="F205" i="12"/>
  <c r="F213" i="12"/>
  <c r="F221" i="12"/>
  <c r="F229" i="12"/>
  <c r="F237" i="12"/>
  <c r="F245" i="12"/>
  <c r="F253" i="12"/>
  <c r="F261" i="12"/>
  <c r="F269" i="12"/>
  <c r="F277" i="12"/>
  <c r="F285" i="12"/>
  <c r="F293" i="12"/>
  <c r="F301" i="12"/>
  <c r="F309" i="12"/>
  <c r="F317" i="12"/>
  <c r="F325" i="12"/>
  <c r="F333" i="12"/>
  <c r="F341" i="12"/>
  <c r="F349" i="12"/>
  <c r="F357" i="12"/>
  <c r="F365" i="12"/>
  <c r="F373" i="12"/>
  <c r="F381" i="12"/>
  <c r="F389" i="12"/>
  <c r="F397" i="12"/>
  <c r="F405" i="12"/>
  <c r="F413" i="12"/>
  <c r="F421" i="12"/>
  <c r="F429" i="12"/>
  <c r="F437" i="12"/>
  <c r="F445" i="12"/>
  <c r="F453" i="12"/>
  <c r="F461" i="12"/>
  <c r="F469" i="12"/>
  <c r="F477" i="12"/>
  <c r="F485" i="12"/>
  <c r="F493" i="12"/>
  <c r="F501" i="12"/>
  <c r="F509" i="12"/>
  <c r="F517" i="12"/>
  <c r="F525" i="12"/>
  <c r="F533" i="12"/>
  <c r="F541" i="12"/>
  <c r="F549" i="12"/>
  <c r="F557" i="12"/>
  <c r="F565" i="12"/>
  <c r="F573" i="12"/>
  <c r="F581" i="12"/>
  <c r="F589" i="12"/>
  <c r="F597" i="12"/>
  <c r="F605" i="12"/>
  <c r="F613" i="12"/>
  <c r="F7" i="13"/>
  <c r="F15" i="13"/>
  <c r="F23" i="13"/>
  <c r="F31" i="13"/>
  <c r="F39" i="13"/>
  <c r="F47" i="13"/>
  <c r="F55" i="13"/>
  <c r="F63" i="13"/>
  <c r="F71" i="13"/>
  <c r="F79" i="13"/>
  <c r="F87" i="13"/>
  <c r="F95" i="13"/>
  <c r="F103" i="13"/>
  <c r="F111" i="13"/>
  <c r="F119" i="13"/>
  <c r="F127" i="13"/>
  <c r="F135" i="13"/>
  <c r="F143" i="13"/>
  <c r="F151" i="13"/>
  <c r="F159" i="13"/>
  <c r="F167" i="13"/>
  <c r="F175" i="13"/>
  <c r="F183" i="13"/>
  <c r="F191" i="13"/>
  <c r="F199" i="13"/>
  <c r="F207" i="13"/>
  <c r="F215" i="13"/>
  <c r="F223" i="13"/>
  <c r="F231" i="13"/>
  <c r="F239" i="13"/>
  <c r="F247" i="13"/>
  <c r="F255" i="13"/>
  <c r="F263" i="13"/>
  <c r="F271" i="13"/>
  <c r="F279" i="13"/>
  <c r="F287" i="13"/>
  <c r="F295" i="13"/>
  <c r="F303" i="13"/>
  <c r="F311" i="13"/>
  <c r="F319" i="13"/>
  <c r="F327" i="13"/>
  <c r="F335" i="13"/>
  <c r="F343" i="13"/>
  <c r="F351" i="13"/>
  <c r="F359" i="13"/>
  <c r="F367" i="13"/>
  <c r="F375" i="13"/>
  <c r="F383" i="13"/>
  <c r="F391" i="13"/>
  <c r="F399" i="13"/>
  <c r="F407" i="13"/>
  <c r="F415" i="13"/>
  <c r="F423" i="13"/>
  <c r="F431" i="13"/>
  <c r="F439" i="13"/>
  <c r="F447" i="13"/>
  <c r="F455" i="13"/>
  <c r="F463" i="13"/>
  <c r="F471" i="13"/>
  <c r="F479" i="13"/>
  <c r="F487" i="13"/>
  <c r="F495" i="13"/>
  <c r="F503" i="13"/>
  <c r="F511" i="13"/>
  <c r="F519" i="13"/>
  <c r="F527" i="13"/>
  <c r="F535" i="13"/>
  <c r="F543" i="13"/>
  <c r="F551" i="13"/>
  <c r="F559" i="13"/>
  <c r="F567" i="13"/>
  <c r="F575" i="13"/>
  <c r="F583" i="13"/>
  <c r="F591" i="13"/>
  <c r="F599" i="13"/>
  <c r="F607" i="13"/>
  <c r="F615" i="13"/>
  <c r="F623" i="13"/>
  <c r="F631" i="13"/>
  <c r="F639" i="13"/>
  <c r="F647" i="13"/>
  <c r="F655" i="13"/>
  <c r="F663" i="13"/>
  <c r="F671" i="13"/>
  <c r="F679" i="13"/>
  <c r="F687" i="13"/>
  <c r="F695" i="13"/>
  <c r="F703" i="13"/>
  <c r="F711" i="13"/>
  <c r="F719" i="13"/>
  <c r="F727" i="13"/>
  <c r="F735" i="13"/>
  <c r="F743" i="13"/>
  <c r="F751" i="13"/>
  <c r="F759" i="13"/>
  <c r="F767" i="13"/>
  <c r="F775" i="13"/>
  <c r="F783" i="13"/>
  <c r="F791" i="13"/>
  <c r="F799" i="13"/>
  <c r="F807" i="13"/>
  <c r="F815" i="13"/>
  <c r="F823" i="13"/>
  <c r="F831" i="13"/>
  <c r="F839" i="13"/>
  <c r="F847" i="13"/>
  <c r="F855" i="13"/>
  <c r="F863" i="13"/>
  <c r="F871" i="13"/>
  <c r="F879" i="13"/>
  <c r="F887" i="13"/>
  <c r="F895" i="13"/>
  <c r="F903" i="13"/>
  <c r="F911" i="13"/>
  <c r="F919" i="13"/>
  <c r="F927" i="13"/>
  <c r="F935" i="13"/>
  <c r="F943" i="13"/>
  <c r="F951" i="13"/>
  <c r="F959" i="13"/>
  <c r="F967" i="13"/>
  <c r="F975" i="13"/>
  <c r="F983" i="13"/>
  <c r="F991" i="13"/>
  <c r="F999" i="13"/>
  <c r="F1007" i="13"/>
  <c r="F1015" i="13"/>
  <c r="F1023" i="13"/>
  <c r="F1031" i="13"/>
  <c r="F1039" i="13"/>
  <c r="F1047" i="13"/>
  <c r="F6" i="14"/>
  <c r="F14" i="14"/>
  <c r="F22" i="14"/>
  <c r="F30" i="14"/>
  <c r="F38" i="14"/>
  <c r="F46" i="14"/>
  <c r="F54" i="14"/>
  <c r="F62" i="14"/>
  <c r="F70" i="14"/>
  <c r="F78" i="14"/>
  <c r="F86" i="14"/>
  <c r="F94" i="14"/>
  <c r="F102" i="14"/>
  <c r="F110" i="14"/>
  <c r="F118" i="14"/>
  <c r="F126" i="14"/>
  <c r="F134" i="14"/>
  <c r="F142" i="14"/>
  <c r="F150" i="14"/>
  <c r="F158" i="14"/>
  <c r="F166" i="14"/>
  <c r="F174" i="14"/>
  <c r="F182" i="14"/>
  <c r="F190" i="14"/>
  <c r="F198" i="14"/>
  <c r="F206" i="14"/>
  <c r="F214" i="14"/>
  <c r="F222" i="14"/>
  <c r="F230" i="14"/>
  <c r="F238" i="14"/>
  <c r="F246" i="14"/>
  <c r="F254" i="14"/>
  <c r="F262" i="14"/>
  <c r="F270" i="14"/>
  <c r="F278" i="14"/>
  <c r="F286" i="14"/>
  <c r="F294" i="14"/>
  <c r="F302" i="14"/>
  <c r="F46" i="12"/>
  <c r="F62" i="12"/>
  <c r="F78" i="12"/>
  <c r="F94" i="12"/>
  <c r="F110" i="12"/>
  <c r="F126" i="12"/>
  <c r="F142" i="12"/>
  <c r="F158" i="12"/>
  <c r="F174" i="12"/>
  <c r="F190" i="12"/>
  <c r="F206" i="12"/>
  <c r="F222" i="12"/>
  <c r="F238" i="12"/>
  <c r="F254" i="12"/>
  <c r="F270" i="12"/>
  <c r="F286" i="12"/>
  <c r="F302" i="12"/>
  <c r="F318" i="12"/>
  <c r="F334" i="12"/>
  <c r="F350" i="12"/>
  <c r="F366" i="12"/>
  <c r="F382" i="12"/>
  <c r="F398" i="12"/>
  <c r="F414" i="12"/>
  <c r="F430" i="12"/>
  <c r="F446" i="12"/>
  <c r="F462" i="12"/>
  <c r="F478" i="12"/>
  <c r="F494" i="12"/>
  <c r="F510" i="12"/>
  <c r="F536" i="12"/>
  <c r="F568" i="12"/>
  <c r="F600" i="12"/>
  <c r="F18" i="13"/>
  <c r="F50" i="13"/>
  <c r="F82" i="13"/>
  <c r="F114" i="13"/>
  <c r="F146" i="13"/>
  <c r="F178" i="13"/>
  <c r="F210" i="13"/>
  <c r="F242" i="13"/>
  <c r="F274" i="13"/>
  <c r="F306" i="13"/>
  <c r="F338" i="13"/>
  <c r="F370" i="13"/>
  <c r="F402" i="13"/>
  <c r="F434" i="13"/>
  <c r="F466" i="13"/>
  <c r="F498" i="13"/>
  <c r="F530" i="13"/>
  <c r="F562" i="13"/>
  <c r="F594" i="13"/>
  <c r="F626" i="13"/>
  <c r="F658" i="13"/>
  <c r="F690" i="13"/>
  <c r="F722" i="13"/>
  <c r="F754" i="13"/>
  <c r="F786" i="13"/>
  <c r="F818" i="13"/>
  <c r="F850" i="13"/>
  <c r="F882" i="13"/>
  <c r="F914" i="13"/>
  <c r="F518" i="12"/>
  <c r="F526" i="12"/>
  <c r="F534" i="12"/>
  <c r="F542" i="12"/>
  <c r="F550" i="12"/>
  <c r="F558" i="12"/>
  <c r="F566" i="12"/>
  <c r="F574" i="12"/>
  <c r="F582" i="12"/>
  <c r="F590" i="12"/>
  <c r="F598" i="12"/>
  <c r="F606" i="12"/>
  <c r="F614" i="12"/>
  <c r="F8" i="13"/>
  <c r="F16" i="13"/>
  <c r="F24" i="13"/>
  <c r="F32" i="13"/>
  <c r="F40" i="13"/>
  <c r="F48" i="13"/>
  <c r="F56" i="13"/>
  <c r="F64" i="13"/>
  <c r="F72" i="13"/>
  <c r="F80" i="13"/>
  <c r="F88" i="13"/>
  <c r="F96" i="13"/>
  <c r="F104" i="13"/>
  <c r="F112" i="13"/>
  <c r="F120" i="13"/>
  <c r="F128" i="13"/>
  <c r="F136" i="13"/>
  <c r="F144" i="13"/>
  <c r="F152" i="13"/>
  <c r="F160" i="13"/>
  <c r="F168" i="13"/>
  <c r="F176" i="13"/>
  <c r="F184" i="13"/>
  <c r="F192" i="13"/>
  <c r="F200" i="13"/>
  <c r="F208" i="13"/>
  <c r="F216" i="13"/>
  <c r="F224" i="13"/>
  <c r="F232" i="13"/>
  <c r="F240" i="13"/>
  <c r="F248" i="13"/>
  <c r="F256" i="13"/>
  <c r="F264" i="13"/>
  <c r="F272" i="13"/>
  <c r="F280" i="13"/>
  <c r="F288" i="13"/>
  <c r="F296" i="13"/>
  <c r="F304" i="13"/>
  <c r="F312" i="13"/>
  <c r="F320" i="13"/>
  <c r="F328" i="13"/>
  <c r="F336" i="13"/>
  <c r="F344" i="13"/>
  <c r="F352" i="13"/>
  <c r="F360" i="13"/>
  <c r="F368" i="13"/>
  <c r="F376" i="13"/>
  <c r="F384" i="13"/>
  <c r="F392" i="13"/>
  <c r="F400" i="13"/>
  <c r="F408" i="13"/>
  <c r="F416" i="13"/>
  <c r="F424" i="13"/>
  <c r="F432" i="13"/>
  <c r="F440" i="13"/>
  <c r="F448" i="13"/>
  <c r="F456" i="13"/>
  <c r="F464" i="13"/>
  <c r="F472" i="13"/>
  <c r="F480" i="13"/>
  <c r="F488" i="13"/>
  <c r="F496" i="13"/>
  <c r="F504" i="13"/>
  <c r="F512" i="13"/>
  <c r="F520" i="13"/>
  <c r="F528" i="13"/>
  <c r="F536" i="13"/>
  <c r="F544" i="13"/>
  <c r="F552" i="13"/>
  <c r="F560" i="13"/>
  <c r="F568" i="13"/>
  <c r="F576" i="13"/>
  <c r="F584" i="13"/>
  <c r="F592" i="13"/>
  <c r="F600" i="13"/>
  <c r="F608" i="13"/>
  <c r="F616" i="13"/>
  <c r="F624" i="13"/>
  <c r="F632" i="13"/>
  <c r="F640" i="13"/>
  <c r="F648" i="13"/>
  <c r="F656" i="13"/>
  <c r="F664" i="13"/>
  <c r="F672" i="13"/>
  <c r="F680" i="13"/>
  <c r="F688" i="13"/>
  <c r="F696" i="13"/>
  <c r="F704" i="13"/>
  <c r="F712" i="13"/>
  <c r="F720" i="13"/>
  <c r="F728" i="13"/>
  <c r="F736" i="13"/>
  <c r="F744" i="13"/>
  <c r="F752" i="13"/>
  <c r="F760" i="13"/>
  <c r="F768" i="13"/>
  <c r="F776" i="13"/>
  <c r="F784" i="13"/>
  <c r="F792" i="13"/>
  <c r="F800" i="13"/>
  <c r="F808" i="13"/>
  <c r="F816" i="13"/>
  <c r="F824" i="13"/>
  <c r="F832" i="13"/>
  <c r="F840" i="13"/>
  <c r="F848" i="13"/>
  <c r="F856" i="13"/>
  <c r="F864" i="13"/>
  <c r="F872" i="13"/>
  <c r="F880" i="13"/>
  <c r="F888" i="13"/>
  <c r="F896" i="13"/>
  <c r="F904" i="13"/>
  <c r="F912" i="13"/>
  <c r="F920" i="13"/>
  <c r="F928" i="13"/>
  <c r="F936" i="13"/>
  <c r="F944" i="13"/>
  <c r="F952" i="13"/>
  <c r="F960" i="13"/>
  <c r="F968" i="13"/>
  <c r="F976" i="13"/>
  <c r="F984" i="13"/>
  <c r="F992" i="13"/>
  <c r="F1000" i="13"/>
  <c r="F1008" i="13"/>
  <c r="F1016" i="13"/>
  <c r="F1024" i="13"/>
  <c r="F1032" i="13"/>
  <c r="F1040" i="13"/>
  <c r="F1048" i="13"/>
  <c r="F7" i="14"/>
  <c r="F15" i="14"/>
  <c r="F23" i="14"/>
  <c r="F31" i="14"/>
  <c r="F39" i="14"/>
  <c r="F47" i="14"/>
  <c r="F55" i="14"/>
  <c r="F63" i="14"/>
  <c r="F71" i="14"/>
  <c r="F79" i="14"/>
  <c r="F87" i="14"/>
  <c r="F95" i="14"/>
  <c r="F103" i="14"/>
  <c r="F111" i="14"/>
  <c r="F119" i="14"/>
  <c r="F127" i="14"/>
  <c r="F135" i="14"/>
  <c r="F143" i="14"/>
  <c r="F151" i="14"/>
  <c r="F159" i="14"/>
  <c r="F167" i="14"/>
  <c r="F175" i="14"/>
  <c r="F183" i="14"/>
  <c r="F191" i="14"/>
  <c r="F199" i="14"/>
  <c r="F207" i="14"/>
  <c r="F215" i="14"/>
  <c r="F223" i="14"/>
  <c r="F231" i="14"/>
  <c r="F239" i="14"/>
  <c r="F247" i="14"/>
  <c r="F255" i="14"/>
  <c r="F263" i="14"/>
  <c r="F271" i="14"/>
  <c r="F279" i="14"/>
  <c r="F287" i="14"/>
  <c r="F295" i="14"/>
  <c r="F303" i="14"/>
  <c r="F309" i="14"/>
  <c r="F317" i="14"/>
  <c r="F325" i="14"/>
  <c r="F333" i="14"/>
  <c r="F341" i="14"/>
  <c r="F349" i="14"/>
  <c r="F357" i="14"/>
  <c r="F365" i="14"/>
  <c r="F373" i="14"/>
  <c r="F381" i="14"/>
  <c r="F389" i="14"/>
  <c r="F397" i="14"/>
  <c r="F405" i="14"/>
  <c r="F413" i="14"/>
  <c r="F421" i="14"/>
  <c r="F429" i="14"/>
  <c r="F437" i="14"/>
  <c r="F445" i="14"/>
  <c r="F453" i="14"/>
  <c r="F461" i="14"/>
  <c r="F469" i="14"/>
  <c r="F477" i="14"/>
  <c r="F485" i="14"/>
  <c r="F493" i="14"/>
  <c r="F501" i="14"/>
  <c r="F509" i="14"/>
  <c r="F517" i="14"/>
  <c r="F525" i="14"/>
  <c r="F533" i="14"/>
  <c r="F541" i="14"/>
  <c r="F549" i="14"/>
  <c r="F557" i="14"/>
  <c r="F565" i="14"/>
  <c r="F573" i="14"/>
  <c r="F581" i="14"/>
  <c r="F589" i="14"/>
  <c r="F597" i="14"/>
  <c r="F605" i="14"/>
  <c r="F613" i="14"/>
  <c r="F621" i="14"/>
  <c r="F629" i="14"/>
  <c r="F637" i="14"/>
  <c r="F645" i="14"/>
  <c r="F653" i="14"/>
  <c r="F661" i="14"/>
  <c r="F669" i="14"/>
  <c r="F677" i="14"/>
  <c r="F685" i="14"/>
  <c r="F693" i="14"/>
  <c r="F701" i="14"/>
  <c r="F709" i="14"/>
  <c r="F717" i="14"/>
  <c r="F725" i="14"/>
  <c r="F733" i="14"/>
  <c r="F741" i="14"/>
  <c r="F749" i="14"/>
  <c r="F757" i="14"/>
  <c r="F765" i="14"/>
  <c r="F773" i="14"/>
  <c r="F781" i="14"/>
  <c r="F789" i="14"/>
  <c r="F797" i="14"/>
  <c r="F805" i="14"/>
  <c r="F813" i="14"/>
  <c r="F821" i="14"/>
  <c r="F829" i="14"/>
  <c r="F837" i="14"/>
  <c r="F845" i="14"/>
  <c r="F853" i="14"/>
  <c r="F861" i="14"/>
  <c r="F869" i="14"/>
  <c r="F877" i="14"/>
  <c r="F885" i="14"/>
  <c r="F893" i="14"/>
  <c r="F901" i="14"/>
  <c r="F909" i="14"/>
  <c r="F917" i="14"/>
  <c r="F925" i="14"/>
  <c r="F933" i="14"/>
  <c r="F941" i="14"/>
  <c r="F949" i="14"/>
  <c r="F957" i="14"/>
  <c r="F965" i="14"/>
  <c r="F973" i="14"/>
  <c r="F981" i="14"/>
  <c r="F989" i="14"/>
  <c r="F997" i="14"/>
  <c r="F1005" i="14"/>
  <c r="F1013" i="14"/>
  <c r="F1021" i="14"/>
  <c r="F1029" i="14"/>
  <c r="F1037" i="14"/>
  <c r="F1045" i="14"/>
  <c r="F1053" i="14"/>
  <c r="F1061" i="14"/>
  <c r="F1069" i="14"/>
  <c r="F1077" i="14"/>
  <c r="F1085" i="14"/>
  <c r="F1093" i="14"/>
  <c r="F1101" i="14"/>
  <c r="F1109" i="14"/>
  <c r="F1117" i="14"/>
  <c r="F1125" i="14"/>
  <c r="F1133" i="14"/>
  <c r="F1141" i="14"/>
  <c r="F1149" i="14"/>
  <c r="F1157" i="14"/>
  <c r="F1165" i="14"/>
  <c r="F1173" i="14"/>
  <c r="F1181" i="14"/>
  <c r="F1189" i="14"/>
  <c r="F1197" i="14"/>
  <c r="F1205" i="14"/>
  <c r="F1213" i="14"/>
  <c r="F1221" i="14"/>
  <c r="F1229" i="14"/>
  <c r="F1237" i="14"/>
  <c r="F1245" i="14"/>
  <c r="F1253" i="14"/>
  <c r="F1261" i="14"/>
  <c r="F1269" i="14"/>
  <c r="F1277" i="14"/>
  <c r="F1285" i="14"/>
  <c r="F1293" i="14"/>
  <c r="F1301" i="14"/>
  <c r="F1309" i="14"/>
  <c r="F1317" i="14"/>
  <c r="F1325" i="14"/>
  <c r="F1333" i="14"/>
  <c r="F1341" i="14"/>
  <c r="F1349" i="14"/>
  <c r="F1357" i="14"/>
  <c r="F1365" i="14"/>
  <c r="F1373" i="14"/>
  <c r="F1381" i="14"/>
  <c r="F1389" i="14"/>
  <c r="F1397" i="14"/>
  <c r="F1405" i="14"/>
  <c r="F1413" i="14"/>
  <c r="F1421" i="14"/>
  <c r="F1429" i="14"/>
  <c r="F1437" i="14"/>
  <c r="F1445" i="14"/>
  <c r="F1453" i="14"/>
  <c r="F1461" i="14"/>
  <c r="F1469" i="14"/>
  <c r="F1477" i="14"/>
  <c r="F1485" i="14"/>
  <c r="F1493" i="14"/>
  <c r="F1501" i="14"/>
  <c r="F1509" i="14"/>
  <c r="F1517" i="14"/>
  <c r="F1525" i="14"/>
  <c r="F1533" i="14"/>
  <c r="F1541" i="14"/>
  <c r="F1549" i="14"/>
  <c r="F1557" i="14"/>
  <c r="F1565" i="14"/>
  <c r="F1573" i="14"/>
  <c r="F1581" i="14"/>
  <c r="F1589" i="14"/>
  <c r="F1597" i="14"/>
  <c r="F1605" i="14"/>
  <c r="F1613" i="14"/>
  <c r="F1621" i="14"/>
  <c r="F1629" i="14"/>
  <c r="F1637" i="14"/>
  <c r="F1645" i="14"/>
  <c r="F1653" i="14"/>
  <c r="F1661" i="14"/>
  <c r="F1669" i="14"/>
  <c r="F1677" i="14"/>
  <c r="F1685" i="14"/>
  <c r="F1693" i="14"/>
  <c r="F1701" i="14"/>
  <c r="F1709" i="14"/>
  <c r="F1717" i="14"/>
  <c r="F1725" i="14"/>
  <c r="F1733" i="14"/>
  <c r="F1741" i="14"/>
  <c r="F1749" i="14"/>
  <c r="F1757" i="14"/>
  <c r="F1765" i="14"/>
  <c r="F1773" i="14"/>
  <c r="F1781" i="14"/>
  <c r="F1789" i="14"/>
  <c r="F1797" i="14"/>
  <c r="F1805" i="14"/>
  <c r="F1813" i="14"/>
  <c r="F1821" i="14"/>
  <c r="F1829" i="14"/>
  <c r="F1837" i="14"/>
  <c r="F1845" i="14"/>
  <c r="F1853" i="14"/>
  <c r="F1861" i="14"/>
  <c r="F1869" i="14"/>
  <c r="F1877" i="14"/>
  <c r="F1885" i="14"/>
  <c r="F1893" i="14"/>
  <c r="F1901" i="14"/>
  <c r="F1909" i="14"/>
  <c r="F1917" i="14"/>
  <c r="F1925" i="14"/>
  <c r="F1933" i="14"/>
  <c r="F1941" i="14"/>
  <c r="F1949" i="14"/>
  <c r="F1957" i="14"/>
  <c r="F1965" i="14"/>
  <c r="F1973" i="14"/>
  <c r="F1981" i="14"/>
  <c r="F1989" i="14"/>
  <c r="F1997" i="14"/>
  <c r="F2005" i="14"/>
  <c r="F2013" i="14"/>
  <c r="F2021" i="14"/>
  <c r="F2029" i="14"/>
  <c r="F2037" i="14"/>
  <c r="F2045" i="14"/>
  <c r="F2053" i="14"/>
  <c r="F2061" i="14"/>
  <c r="F2069" i="14"/>
  <c r="F2077" i="14"/>
  <c r="F2085" i="14"/>
  <c r="F2093" i="14"/>
  <c r="F2101" i="14"/>
  <c r="F2109" i="14"/>
  <c r="F2117" i="14"/>
  <c r="F2125" i="14"/>
  <c r="F2133" i="14"/>
  <c r="F2141" i="14"/>
  <c r="F2149" i="14"/>
  <c r="F2157" i="14"/>
  <c r="F2165" i="14"/>
  <c r="F2173" i="14"/>
  <c r="F2181" i="14"/>
  <c r="F2189" i="14"/>
  <c r="F2197" i="14"/>
  <c r="F2205" i="14"/>
  <c r="F2213" i="14"/>
  <c r="F2221" i="14"/>
  <c r="F2229" i="14"/>
  <c r="F2237" i="14"/>
  <c r="F2245" i="14"/>
  <c r="F2253" i="14"/>
  <c r="F2261" i="14"/>
  <c r="F2269" i="14"/>
  <c r="F2277" i="14"/>
  <c r="F2285" i="14"/>
  <c r="F2293" i="14"/>
  <c r="F2301" i="14"/>
  <c r="F334" i="14"/>
  <c r="F366" i="14"/>
  <c r="F398" i="14"/>
  <c r="F430" i="14"/>
  <c r="F462" i="14"/>
  <c r="F494" i="14"/>
  <c r="F526" i="14"/>
  <c r="F558" i="14"/>
  <c r="F590" i="14"/>
  <c r="F622" i="14"/>
  <c r="F654" i="14"/>
  <c r="F686" i="14"/>
  <c r="F922" i="13"/>
  <c r="F930" i="13"/>
  <c r="F938" i="13"/>
  <c r="F946" i="13"/>
  <c r="F954" i="13"/>
  <c r="F962" i="13"/>
  <c r="F970" i="13"/>
  <c r="F978" i="13"/>
  <c r="F986" i="13"/>
  <c r="F994" i="13"/>
  <c r="F1002" i="13"/>
  <c r="F1010" i="13"/>
  <c r="F1018" i="13"/>
  <c r="F1026" i="13"/>
  <c r="F1034" i="13"/>
  <c r="F1042" i="13"/>
  <c r="F1" i="14"/>
  <c r="F9" i="14"/>
  <c r="F17" i="14"/>
  <c r="F25" i="14"/>
  <c r="F33" i="14"/>
  <c r="F41" i="14"/>
  <c r="F49" i="14"/>
  <c r="F57" i="14"/>
  <c r="F65" i="14"/>
  <c r="F73" i="14"/>
  <c r="F81" i="14"/>
  <c r="F89" i="14"/>
  <c r="F97" i="14"/>
  <c r="F105" i="14"/>
  <c r="F113" i="14"/>
  <c r="F121" i="14"/>
  <c r="F129" i="14"/>
  <c r="F137" i="14"/>
  <c r="F145" i="14"/>
  <c r="F153" i="14"/>
  <c r="F161" i="14"/>
  <c r="F169" i="14"/>
  <c r="F177" i="14"/>
  <c r="F185" i="14"/>
  <c r="F193" i="14"/>
  <c r="F201" i="14"/>
  <c r="F209" i="14"/>
  <c r="F217" i="14"/>
  <c r="F225" i="14"/>
  <c r="F233" i="14"/>
  <c r="F241" i="14"/>
  <c r="F249" i="14"/>
  <c r="F257" i="14"/>
  <c r="F265" i="14"/>
  <c r="F273" i="14"/>
  <c r="F281" i="14"/>
  <c r="F289" i="14"/>
  <c r="F297" i="14"/>
  <c r="F305" i="14"/>
  <c r="F311" i="14"/>
  <c r="F319" i="14"/>
  <c r="F327" i="14"/>
  <c r="F335" i="14"/>
  <c r="F343" i="14"/>
  <c r="F351" i="14"/>
  <c r="F359" i="14"/>
  <c r="F367" i="14"/>
  <c r="F375" i="14"/>
  <c r="F383" i="14"/>
  <c r="F391" i="14"/>
  <c r="F399" i="14"/>
  <c r="F407" i="14"/>
  <c r="F415" i="14"/>
  <c r="F423" i="14"/>
  <c r="F431" i="14"/>
  <c r="F439" i="14"/>
  <c r="F447" i="14"/>
  <c r="F455" i="14"/>
  <c r="F463" i="14"/>
  <c r="F471" i="14"/>
  <c r="F479" i="14"/>
  <c r="F487" i="14"/>
  <c r="F495" i="14"/>
  <c r="F503" i="14"/>
  <c r="F511" i="14"/>
  <c r="F519" i="14"/>
  <c r="F527" i="14"/>
  <c r="F535" i="14"/>
  <c r="F543" i="14"/>
  <c r="F551" i="14"/>
  <c r="F559" i="14"/>
  <c r="F567" i="14"/>
  <c r="F575" i="14"/>
  <c r="F583" i="14"/>
  <c r="F591" i="14"/>
  <c r="F599" i="14"/>
  <c r="F607" i="14"/>
  <c r="F615" i="14"/>
  <c r="F623" i="14"/>
  <c r="F631" i="14"/>
  <c r="F639" i="14"/>
  <c r="F647" i="14"/>
  <c r="F655" i="14"/>
  <c r="F663" i="14"/>
  <c r="F671" i="14"/>
  <c r="F679" i="14"/>
  <c r="F687" i="14"/>
  <c r="F695" i="14"/>
  <c r="F703" i="14"/>
  <c r="F711" i="14"/>
  <c r="F719" i="14"/>
  <c r="F727" i="14"/>
  <c r="F735" i="14"/>
  <c r="F743" i="14"/>
  <c r="F751" i="14"/>
  <c r="F759" i="14"/>
  <c r="F767" i="14"/>
  <c r="F775" i="14"/>
  <c r="F783" i="14"/>
  <c r="F791" i="14"/>
  <c r="F799" i="14"/>
  <c r="F807" i="14"/>
  <c r="F815" i="14"/>
  <c r="F823" i="14"/>
  <c r="F831" i="14"/>
  <c r="F839" i="14"/>
  <c r="F847" i="14"/>
  <c r="F855" i="14"/>
  <c r="F863" i="14"/>
  <c r="F871" i="14"/>
  <c r="F879" i="14"/>
  <c r="F887" i="14"/>
  <c r="F895" i="14"/>
  <c r="F903" i="14"/>
  <c r="F911" i="14"/>
  <c r="F919" i="14"/>
  <c r="F927" i="14"/>
  <c r="F935" i="14"/>
  <c r="F943" i="14"/>
  <c r="F951" i="14"/>
  <c r="F959" i="14"/>
  <c r="F967" i="14"/>
  <c r="F975" i="14"/>
  <c r="F983" i="14"/>
  <c r="F991" i="14"/>
  <c r="F999" i="14"/>
  <c r="F1007" i="14"/>
  <c r="F1015" i="14"/>
  <c r="F1023" i="14"/>
  <c r="F1031" i="14"/>
  <c r="F1039" i="14"/>
  <c r="F1047" i="14"/>
  <c r="F1055" i="14"/>
  <c r="F1063" i="14"/>
  <c r="F1071" i="14"/>
  <c r="F1079" i="14"/>
  <c r="F1087" i="14"/>
  <c r="F1095" i="14"/>
  <c r="F1103" i="14"/>
  <c r="F1111" i="14"/>
  <c r="F1119" i="14"/>
  <c r="F1127" i="14"/>
  <c r="F1135" i="14"/>
  <c r="F1143" i="14"/>
  <c r="F1151" i="14"/>
  <c r="F1159" i="14"/>
  <c r="F1167" i="14"/>
  <c r="F1175" i="14"/>
  <c r="F1183" i="14"/>
  <c r="F1191" i="14"/>
  <c r="F1199" i="14"/>
  <c r="F1207" i="14"/>
  <c r="F1215" i="14"/>
  <c r="F1223" i="14"/>
  <c r="F1231" i="14"/>
  <c r="F1239" i="14"/>
  <c r="F1247" i="14"/>
  <c r="F1255" i="14"/>
  <c r="F1263" i="14"/>
  <c r="F1271" i="14"/>
  <c r="F1279" i="14"/>
  <c r="F1287" i="14"/>
  <c r="F1295" i="14"/>
  <c r="F1303" i="14"/>
  <c r="F1311" i="14"/>
  <c r="F1319" i="14"/>
  <c r="F1327" i="14"/>
  <c r="F1335" i="14"/>
  <c r="F1343" i="14"/>
  <c r="F1351" i="14"/>
  <c r="F1359" i="14"/>
  <c r="F1367" i="14"/>
  <c r="F1375" i="14"/>
  <c r="F1383" i="14"/>
  <c r="F1391" i="14"/>
  <c r="F1399" i="14"/>
  <c r="F1407" i="14"/>
  <c r="F1415" i="14"/>
  <c r="F1423" i="14"/>
  <c r="F1431" i="14"/>
  <c r="F1439" i="14"/>
  <c r="F1447" i="14"/>
  <c r="F1455" i="14"/>
  <c r="F1463" i="14"/>
  <c r="F1471" i="14"/>
  <c r="F1479" i="14"/>
  <c r="F1487" i="14"/>
  <c r="F1495" i="14"/>
  <c r="F1503" i="14"/>
  <c r="F1511" i="14"/>
  <c r="F1519" i="14"/>
  <c r="F1527" i="14"/>
  <c r="F1535" i="14"/>
  <c r="F1543" i="14"/>
  <c r="F1551" i="14"/>
  <c r="F1559" i="14"/>
  <c r="F1567" i="14"/>
  <c r="F1575" i="14"/>
  <c r="F1583" i="14"/>
  <c r="F1591" i="14"/>
  <c r="F1599" i="14"/>
  <c r="F1607" i="14"/>
  <c r="F1615" i="14"/>
  <c r="F1623" i="14"/>
  <c r="F1631" i="14"/>
  <c r="F1639" i="14"/>
  <c r="F1647" i="14"/>
  <c r="F1655" i="14"/>
  <c r="F1663" i="14"/>
  <c r="F1671" i="14"/>
  <c r="F1679" i="14"/>
  <c r="F1687" i="14"/>
  <c r="F1695" i="14"/>
  <c r="F1703" i="14"/>
  <c r="F1711" i="14"/>
  <c r="F1719" i="14"/>
  <c r="F1727" i="14"/>
  <c r="F1735" i="14"/>
  <c r="F1743" i="14"/>
  <c r="F1751" i="14"/>
  <c r="F1759" i="14"/>
  <c r="F1767" i="14"/>
  <c r="F1775" i="14"/>
  <c r="F1783" i="14"/>
  <c r="F1791" i="14"/>
  <c r="F1799" i="14"/>
  <c r="F1807" i="14"/>
  <c r="F1815" i="14"/>
  <c r="F1823" i="14"/>
  <c r="F1831" i="14"/>
  <c r="F1839" i="14"/>
  <c r="F1847" i="14"/>
  <c r="F1855" i="14"/>
  <c r="F1863" i="14"/>
  <c r="F1871" i="14"/>
  <c r="F1879" i="14"/>
  <c r="F1887" i="14"/>
  <c r="F1895" i="14"/>
  <c r="F1903" i="14"/>
  <c r="F1911" i="14"/>
  <c r="F1919" i="14"/>
  <c r="F1927" i="14"/>
  <c r="F1935" i="14"/>
  <c r="F1943" i="14"/>
  <c r="F1951" i="14"/>
  <c r="F1959" i="14"/>
  <c r="F1967" i="14"/>
  <c r="F1975" i="14"/>
  <c r="F1983" i="14"/>
  <c r="F1991" i="14"/>
  <c r="F1999" i="14"/>
  <c r="F2007" i="14"/>
  <c r="F2015" i="14"/>
  <c r="F2023" i="14"/>
  <c r="F2031" i="14"/>
  <c r="F2039" i="14"/>
  <c r="F2047" i="14"/>
  <c r="F2055" i="14"/>
  <c r="F2063" i="14"/>
  <c r="F2071" i="14"/>
  <c r="F2079" i="14"/>
  <c r="F2087" i="14"/>
  <c r="F2095" i="14"/>
  <c r="F2103" i="14"/>
  <c r="F2111" i="14"/>
  <c r="F2119" i="14"/>
  <c r="F2127" i="14"/>
  <c r="F2135" i="14"/>
  <c r="F2143" i="14"/>
  <c r="F2151" i="14"/>
  <c r="F2159" i="14"/>
  <c r="F2167" i="14"/>
  <c r="F2175" i="14"/>
  <c r="F2183" i="14"/>
  <c r="F2191" i="14"/>
  <c r="F2199" i="14"/>
  <c r="F2207" i="14"/>
  <c r="F2215" i="14"/>
  <c r="F2223" i="14"/>
  <c r="F2231" i="14"/>
  <c r="F2239" i="14"/>
  <c r="F2247" i="14"/>
  <c r="F2255" i="14"/>
  <c r="F2263" i="14"/>
  <c r="F2271" i="14"/>
  <c r="F2279" i="14"/>
  <c r="F2287" i="14"/>
  <c r="F2295" i="14"/>
  <c r="F2303" i="14"/>
  <c r="F310" i="14"/>
  <c r="F342" i="14"/>
  <c r="F374" i="14"/>
  <c r="F406" i="14"/>
  <c r="F438" i="14"/>
  <c r="F470" i="14"/>
  <c r="F502" i="14"/>
  <c r="F534" i="14"/>
  <c r="F566" i="14"/>
  <c r="F598" i="14"/>
  <c r="F630" i="14"/>
  <c r="F662" i="14"/>
  <c r="F694" i="14"/>
  <c r="F42" i="12"/>
  <c r="F50" i="12"/>
  <c r="F58" i="12"/>
  <c r="F66" i="12"/>
  <c r="F74" i="12"/>
  <c r="F82" i="12"/>
  <c r="F90" i="12"/>
  <c r="F98" i="12"/>
  <c r="F106" i="12"/>
  <c r="F114" i="12"/>
  <c r="F122" i="12"/>
  <c r="F130" i="12"/>
  <c r="F138" i="12"/>
  <c r="F146" i="12"/>
  <c r="F154" i="12"/>
  <c r="F162" i="12"/>
  <c r="F170" i="12"/>
  <c r="F178" i="12"/>
  <c r="F186" i="12"/>
  <c r="F194" i="12"/>
  <c r="F202" i="12"/>
  <c r="F210" i="12"/>
  <c r="F218" i="12"/>
  <c r="F226" i="12"/>
  <c r="F234" i="12"/>
  <c r="F242" i="12"/>
  <c r="F250" i="12"/>
  <c r="F258" i="12"/>
  <c r="F266" i="12"/>
  <c r="F274" i="12"/>
  <c r="F282" i="12"/>
  <c r="F290" i="12"/>
  <c r="F298" i="12"/>
  <c r="F306" i="12"/>
  <c r="F314" i="12"/>
  <c r="F322" i="12"/>
  <c r="F330" i="12"/>
  <c r="F338" i="12"/>
  <c r="F346" i="12"/>
  <c r="F354" i="12"/>
  <c r="F362" i="12"/>
  <c r="F370" i="12"/>
  <c r="F378" i="12"/>
  <c r="F386" i="12"/>
  <c r="F394" i="12"/>
  <c r="F402" i="12"/>
  <c r="F410" i="12"/>
  <c r="F418" i="12"/>
  <c r="F426" i="12"/>
  <c r="F434" i="12"/>
  <c r="F442" i="12"/>
  <c r="F450" i="12"/>
  <c r="F458" i="12"/>
  <c r="F466" i="12"/>
  <c r="F474" i="12"/>
  <c r="F482" i="12"/>
  <c r="F490" i="12"/>
  <c r="F498" i="12"/>
  <c r="F506" i="12"/>
  <c r="F514" i="12"/>
  <c r="F522" i="12"/>
  <c r="F530" i="12"/>
  <c r="F538" i="12"/>
  <c r="F546" i="12"/>
  <c r="F554" i="12"/>
  <c r="F562" i="12"/>
  <c r="F570" i="12"/>
  <c r="F578" i="12"/>
  <c r="F586" i="12"/>
  <c r="F594" i="12"/>
  <c r="F602" i="12"/>
  <c r="F610" i="12"/>
  <c r="F4" i="13"/>
  <c r="F12" i="13"/>
  <c r="F20" i="13"/>
  <c r="F28" i="13"/>
  <c r="F36" i="13"/>
  <c r="F44" i="13"/>
  <c r="F52" i="13"/>
  <c r="F60" i="13"/>
  <c r="F68" i="13"/>
  <c r="F76" i="13"/>
  <c r="F84" i="13"/>
  <c r="F92" i="13"/>
  <c r="F100" i="13"/>
  <c r="F108" i="13"/>
  <c r="F116" i="13"/>
  <c r="F124" i="13"/>
  <c r="F132" i="13"/>
  <c r="F140" i="13"/>
  <c r="F148" i="13"/>
  <c r="F156" i="13"/>
  <c r="F164" i="13"/>
  <c r="F172" i="13"/>
  <c r="F180" i="13"/>
  <c r="F188" i="13"/>
  <c r="F196" i="13"/>
  <c r="F204" i="13"/>
  <c r="F212" i="13"/>
  <c r="F220" i="13"/>
  <c r="F228" i="13"/>
  <c r="F236" i="13"/>
  <c r="F244" i="13"/>
  <c r="F252" i="13"/>
  <c r="F260" i="13"/>
  <c r="F268" i="13"/>
  <c r="F276" i="13"/>
  <c r="F284" i="13"/>
  <c r="F292" i="13"/>
  <c r="F300" i="13"/>
  <c r="F308" i="13"/>
  <c r="F316" i="13"/>
  <c r="F324" i="13"/>
  <c r="F332" i="13"/>
  <c r="F340" i="13"/>
  <c r="F348" i="13"/>
  <c r="F356" i="13"/>
  <c r="F364" i="13"/>
  <c r="F372" i="13"/>
  <c r="F380" i="13"/>
  <c r="F388" i="13"/>
  <c r="F396" i="13"/>
  <c r="F404" i="13"/>
  <c r="F412" i="13"/>
  <c r="F420" i="13"/>
  <c r="F428" i="13"/>
  <c r="F436" i="13"/>
  <c r="F444" i="13"/>
  <c r="F452" i="13"/>
  <c r="F460" i="13"/>
  <c r="F468" i="13"/>
  <c r="F476" i="13"/>
  <c r="F484" i="13"/>
  <c r="F492" i="13"/>
  <c r="F500" i="13"/>
  <c r="F508" i="13"/>
  <c r="F516" i="13"/>
  <c r="F524" i="13"/>
  <c r="F532" i="13"/>
  <c r="F540" i="13"/>
  <c r="F548" i="13"/>
  <c r="F556" i="13"/>
  <c r="F564" i="13"/>
  <c r="F572" i="13"/>
  <c r="F580" i="13"/>
  <c r="F588" i="13"/>
  <c r="F596" i="13"/>
  <c r="F604" i="13"/>
  <c r="F612" i="13"/>
  <c r="F620" i="13"/>
  <c r="F628" i="13"/>
  <c r="F636" i="13"/>
  <c r="F644" i="13"/>
  <c r="F652" i="13"/>
  <c r="F660" i="13"/>
  <c r="F668" i="13"/>
  <c r="F676" i="13"/>
  <c r="F684" i="13"/>
  <c r="F692" i="13"/>
  <c r="F700" i="13"/>
  <c r="F708" i="13"/>
  <c r="F716" i="13"/>
  <c r="F724" i="13"/>
  <c r="F732" i="13"/>
  <c r="F740" i="13"/>
  <c r="F748" i="13"/>
  <c r="F756" i="13"/>
  <c r="F764" i="13"/>
  <c r="F772" i="13"/>
  <c r="F780" i="13"/>
  <c r="F788" i="13"/>
  <c r="F796" i="13"/>
  <c r="F804" i="13"/>
  <c r="F812" i="13"/>
  <c r="F820" i="13"/>
  <c r="F828" i="13"/>
  <c r="F836" i="13"/>
  <c r="F844" i="13"/>
  <c r="F852" i="13"/>
  <c r="F860" i="13"/>
  <c r="F868" i="13"/>
  <c r="F876" i="13"/>
  <c r="F884" i="13"/>
  <c r="F892" i="13"/>
  <c r="F900" i="13"/>
  <c r="F908" i="13"/>
  <c r="F916" i="13"/>
  <c r="F924" i="13"/>
  <c r="F932" i="13"/>
  <c r="F940" i="13"/>
  <c r="F948" i="13"/>
  <c r="F956" i="13"/>
  <c r="F964" i="13"/>
  <c r="F972" i="13"/>
  <c r="F980" i="13"/>
  <c r="F988" i="13"/>
  <c r="F996" i="13"/>
  <c r="F1004" i="13"/>
  <c r="F1012" i="13"/>
  <c r="F1020" i="13"/>
  <c r="F1028" i="13"/>
  <c r="F1036" i="13"/>
  <c r="F1044" i="13"/>
  <c r="F3" i="14"/>
  <c r="F11" i="14"/>
  <c r="F19" i="14"/>
  <c r="F27" i="14"/>
  <c r="F35" i="14"/>
  <c r="F43" i="14"/>
  <c r="F51" i="14"/>
  <c r="F59" i="14"/>
  <c r="F67" i="14"/>
  <c r="F75" i="14"/>
  <c r="F83" i="14"/>
  <c r="F91" i="14"/>
  <c r="F99" i="14"/>
  <c r="F107" i="14"/>
  <c r="F115" i="14"/>
  <c r="F123" i="14"/>
  <c r="F131" i="14"/>
  <c r="F139" i="14"/>
  <c r="F147" i="14"/>
  <c r="F155" i="14"/>
  <c r="F163" i="14"/>
  <c r="F171" i="14"/>
  <c r="F179" i="14"/>
  <c r="F187" i="14"/>
  <c r="F195" i="14"/>
  <c r="F203" i="14"/>
  <c r="F211" i="14"/>
  <c r="F219" i="14"/>
  <c r="F227" i="14"/>
  <c r="F235" i="14"/>
  <c r="F243" i="14"/>
  <c r="F251" i="14"/>
  <c r="F259" i="14"/>
  <c r="F267" i="14"/>
  <c r="F275" i="14"/>
  <c r="F283" i="14"/>
  <c r="F291" i="14"/>
  <c r="F299" i="14"/>
  <c r="F313" i="14"/>
  <c r="F321" i="14"/>
  <c r="F329" i="14"/>
  <c r="F337" i="14"/>
  <c r="F345" i="14"/>
  <c r="F353" i="14"/>
  <c r="F361" i="14"/>
  <c r="F369" i="14"/>
  <c r="F377" i="14"/>
  <c r="F385" i="14"/>
  <c r="F393" i="14"/>
  <c r="F401" i="14"/>
  <c r="F409" i="14"/>
  <c r="F417" i="14"/>
  <c r="F425" i="14"/>
  <c r="F433" i="14"/>
  <c r="F441" i="14"/>
  <c r="F449" i="14"/>
  <c r="F457" i="14"/>
  <c r="F465" i="14"/>
  <c r="F473" i="14"/>
  <c r="F481" i="14"/>
  <c r="F489" i="14"/>
  <c r="F497" i="14"/>
  <c r="F505" i="14"/>
  <c r="F513" i="14"/>
  <c r="F521" i="14"/>
  <c r="F529" i="14"/>
  <c r="F537" i="14"/>
  <c r="F545" i="14"/>
  <c r="F553" i="14"/>
  <c r="F561" i="14"/>
  <c r="F569" i="14"/>
  <c r="F577" i="14"/>
  <c r="F585" i="14"/>
  <c r="F593" i="14"/>
  <c r="F601" i="14"/>
  <c r="F609" i="14"/>
  <c r="F617" i="14"/>
  <c r="F625" i="14"/>
  <c r="F633" i="14"/>
  <c r="F641" i="14"/>
  <c r="F649" i="14"/>
  <c r="F657" i="14"/>
  <c r="F665" i="14"/>
  <c r="F673" i="14"/>
  <c r="F681" i="14"/>
  <c r="F689" i="14"/>
  <c r="F697" i="14"/>
  <c r="F705" i="14"/>
  <c r="F713" i="14"/>
  <c r="F721" i="14"/>
  <c r="F729" i="14"/>
  <c r="F737" i="14"/>
  <c r="F745" i="14"/>
  <c r="F753" i="14"/>
  <c r="F761" i="14"/>
  <c r="F769" i="14"/>
  <c r="F777" i="14"/>
  <c r="F785" i="14"/>
  <c r="F793" i="14"/>
  <c r="F801" i="14"/>
  <c r="F809" i="14"/>
  <c r="F817" i="14"/>
  <c r="F825" i="14"/>
  <c r="F833" i="14"/>
  <c r="F841" i="14"/>
  <c r="F849" i="14"/>
  <c r="F857" i="14"/>
  <c r="F865" i="14"/>
  <c r="F873" i="14"/>
  <c r="F881" i="14"/>
  <c r="F889" i="14"/>
  <c r="F897" i="14"/>
  <c r="F905" i="14"/>
  <c r="F913" i="14"/>
  <c r="F921" i="14"/>
  <c r="F929" i="14"/>
  <c r="F937" i="14"/>
  <c r="F945" i="14"/>
  <c r="F953" i="14"/>
  <c r="F961" i="14"/>
  <c r="F969" i="14"/>
  <c r="F977" i="14"/>
  <c r="F985" i="14"/>
  <c r="F993" i="14"/>
  <c r="F1001" i="14"/>
  <c r="F1009" i="14"/>
  <c r="F1017" i="14"/>
  <c r="F1025" i="14"/>
  <c r="F1033" i="14"/>
  <c r="F1041" i="14"/>
  <c r="F1049" i="14"/>
  <c r="F1057" i="14"/>
  <c r="F1065" i="14"/>
  <c r="F1073" i="14"/>
  <c r="F1081" i="14"/>
  <c r="F1089" i="14"/>
  <c r="F1097" i="14"/>
  <c r="F1105" i="14"/>
  <c r="F1113" i="14"/>
  <c r="F1121" i="14"/>
  <c r="F1129" i="14"/>
  <c r="F1137" i="14"/>
  <c r="F1145" i="14"/>
  <c r="F1153" i="14"/>
  <c r="F1161" i="14"/>
  <c r="F1169" i="14"/>
  <c r="F1177" i="14"/>
  <c r="F1185" i="14"/>
  <c r="F1193" i="14"/>
  <c r="F1201" i="14"/>
  <c r="F1209" i="14"/>
  <c r="F1217" i="14"/>
  <c r="F1225" i="14"/>
  <c r="F1233" i="14"/>
  <c r="F1241" i="14"/>
  <c r="F1249" i="14"/>
  <c r="F1257" i="14"/>
  <c r="F1265" i="14"/>
  <c r="F1273" i="14"/>
  <c r="F1281" i="14"/>
  <c r="F1289" i="14"/>
  <c r="F1297" i="14"/>
  <c r="F1305" i="14"/>
  <c r="F1313" i="14"/>
  <c r="F1321" i="14"/>
  <c r="F1329" i="14"/>
  <c r="F1337" i="14"/>
  <c r="F1345" i="14"/>
  <c r="F1353" i="14"/>
  <c r="F1361" i="14"/>
  <c r="F1369" i="14"/>
  <c r="F1377" i="14"/>
  <c r="F1385" i="14"/>
  <c r="F1393" i="14"/>
  <c r="F1401" i="14"/>
  <c r="F1409" i="14"/>
  <c r="F1417" i="14"/>
  <c r="F1425" i="14"/>
  <c r="F1433" i="14"/>
  <c r="F1441" i="14"/>
  <c r="F1449" i="14"/>
  <c r="F1457" i="14"/>
  <c r="F1465" i="14"/>
  <c r="F1473" i="14"/>
  <c r="F1481" i="14"/>
  <c r="F1489" i="14"/>
  <c r="F1497" i="14"/>
  <c r="F1505" i="14"/>
  <c r="F1513" i="14"/>
  <c r="F1521" i="14"/>
  <c r="F1529" i="14"/>
  <c r="F1537" i="14"/>
  <c r="F1545" i="14"/>
  <c r="F1553" i="14"/>
  <c r="F1561" i="14"/>
  <c r="F1569" i="14"/>
  <c r="F1577" i="14"/>
  <c r="F1585" i="14"/>
  <c r="F1593" i="14"/>
  <c r="F1601" i="14"/>
  <c r="F1609" i="14"/>
  <c r="F1617" i="14"/>
  <c r="F1625" i="14"/>
  <c r="F1633" i="14"/>
  <c r="F1641" i="14"/>
  <c r="F1649" i="14"/>
  <c r="F1657" i="14"/>
  <c r="F1665" i="14"/>
  <c r="F1673" i="14"/>
  <c r="F1681" i="14"/>
  <c r="F1689" i="14"/>
  <c r="F1697" i="14"/>
  <c r="F1705" i="14"/>
  <c r="F1713" i="14"/>
  <c r="F1721" i="14"/>
  <c r="F1729" i="14"/>
  <c r="F1737" i="14"/>
  <c r="F1745" i="14"/>
  <c r="F1753" i="14"/>
  <c r="F1761" i="14"/>
  <c r="F1769" i="14"/>
  <c r="F1777" i="14"/>
  <c r="F1785" i="14"/>
  <c r="F1793" i="14"/>
  <c r="F1801" i="14"/>
  <c r="F1809" i="14"/>
  <c r="F1817" i="14"/>
  <c r="F1825" i="14"/>
  <c r="F1833" i="14"/>
  <c r="F1841" i="14"/>
  <c r="F1849" i="14"/>
  <c r="F1857" i="14"/>
  <c r="F1865" i="14"/>
  <c r="F1873" i="14"/>
  <c r="F1881" i="14"/>
  <c r="F1889" i="14"/>
  <c r="F1897" i="14"/>
  <c r="F1905" i="14"/>
  <c r="F1913" i="14"/>
  <c r="F1921" i="14"/>
  <c r="F1929" i="14"/>
  <c r="F1937" i="14"/>
  <c r="F1945" i="14"/>
  <c r="F1953" i="14"/>
  <c r="F1961" i="14"/>
  <c r="F1969" i="14"/>
  <c r="F1977" i="14"/>
  <c r="F1985" i="14"/>
  <c r="F1993" i="14"/>
  <c r="F2001" i="14"/>
  <c r="F2009" i="14"/>
  <c r="F2017" i="14"/>
  <c r="F2025" i="14"/>
  <c r="F2033" i="14"/>
  <c r="F2041" i="14"/>
  <c r="F2049" i="14"/>
  <c r="F2057" i="14"/>
  <c r="F2065" i="14"/>
  <c r="F2073" i="14"/>
  <c r="F2081" i="14"/>
  <c r="F2089" i="14"/>
  <c r="F2097" i="14"/>
  <c r="F2105" i="14"/>
  <c r="F2113" i="14"/>
  <c r="F2121" i="14"/>
  <c r="F2129" i="14"/>
  <c r="F2137" i="14"/>
  <c r="F2145" i="14"/>
  <c r="F2153" i="14"/>
  <c r="F2161" i="14"/>
  <c r="F2169" i="14"/>
  <c r="F2177" i="14"/>
  <c r="F2185" i="14"/>
  <c r="F2193" i="14"/>
  <c r="F2201" i="14"/>
  <c r="F2209" i="14"/>
  <c r="F2217" i="14"/>
  <c r="F2225" i="14"/>
  <c r="F2233" i="14"/>
  <c r="F2241" i="14"/>
  <c r="F2249" i="14"/>
  <c r="F2257" i="14"/>
  <c r="F2265" i="14"/>
  <c r="F2273" i="14"/>
  <c r="F2281" i="14"/>
  <c r="F2289" i="14"/>
  <c r="F2297" i="14"/>
  <c r="F2305" i="14"/>
  <c r="F318" i="14"/>
  <c r="F350" i="14"/>
  <c r="F382" i="14"/>
  <c r="F414" i="14"/>
  <c r="F446" i="14"/>
  <c r="F478" i="14"/>
  <c r="F510" i="14"/>
  <c r="F542" i="14"/>
  <c r="F574" i="14"/>
  <c r="F606" i="14"/>
  <c r="F638" i="14"/>
  <c r="F670" i="14"/>
  <c r="F702" i="14"/>
  <c r="F36" i="12"/>
  <c r="F44" i="12"/>
  <c r="F52" i="12"/>
  <c r="F60" i="12"/>
  <c r="F68" i="12"/>
  <c r="F76" i="12"/>
  <c r="F84" i="12"/>
  <c r="F92" i="12"/>
  <c r="F100" i="12"/>
  <c r="F108" i="12"/>
  <c r="F116" i="12"/>
  <c r="F124" i="12"/>
  <c r="F132" i="12"/>
  <c r="F140" i="12"/>
  <c r="F148" i="12"/>
  <c r="F156" i="12"/>
  <c r="F164" i="12"/>
  <c r="F172" i="12"/>
  <c r="F180" i="12"/>
  <c r="F188" i="12"/>
  <c r="F196" i="12"/>
  <c r="F204" i="12"/>
  <c r="F212" i="12"/>
  <c r="F220" i="12"/>
  <c r="F228" i="12"/>
  <c r="F236" i="12"/>
  <c r="F244" i="12"/>
  <c r="F252" i="12"/>
  <c r="F260" i="12"/>
  <c r="F268" i="12"/>
  <c r="F276" i="12"/>
  <c r="F284" i="12"/>
  <c r="F292" i="12"/>
  <c r="F300" i="12"/>
  <c r="F308" i="12"/>
  <c r="F316" i="12"/>
  <c r="F324" i="12"/>
  <c r="F332" i="12"/>
  <c r="F340" i="12"/>
  <c r="F348" i="12"/>
  <c r="F356" i="12"/>
  <c r="F364" i="12"/>
  <c r="F372" i="12"/>
  <c r="F380" i="12"/>
  <c r="F388" i="12"/>
  <c r="F396" i="12"/>
  <c r="F404" i="12"/>
  <c r="F412" i="12"/>
  <c r="F420" i="12"/>
  <c r="F428" i="12"/>
  <c r="F436" i="12"/>
  <c r="F444" i="12"/>
  <c r="F452" i="12"/>
  <c r="F460" i="12"/>
  <c r="F468" i="12"/>
  <c r="F476" i="12"/>
  <c r="F484" i="12"/>
  <c r="F492" i="12"/>
  <c r="F500" i="12"/>
  <c r="F508" i="12"/>
  <c r="F516" i="12"/>
  <c r="F524" i="12"/>
  <c r="F532" i="12"/>
  <c r="F540" i="12"/>
  <c r="F548" i="12"/>
  <c r="F556" i="12"/>
  <c r="F564" i="12"/>
  <c r="F572" i="12"/>
  <c r="F580" i="12"/>
  <c r="F588" i="12"/>
  <c r="F596" i="12"/>
  <c r="F604" i="12"/>
  <c r="F612" i="12"/>
  <c r="F6" i="13"/>
  <c r="F14" i="13"/>
  <c r="F22" i="13"/>
  <c r="F30" i="13"/>
  <c r="F38" i="13"/>
  <c r="F46" i="13"/>
  <c r="F54" i="13"/>
  <c r="F62" i="13"/>
  <c r="F70" i="13"/>
  <c r="F78" i="13"/>
  <c r="F86" i="13"/>
  <c r="F94" i="13"/>
  <c r="F102" i="13"/>
  <c r="F110" i="13"/>
  <c r="F118" i="13"/>
  <c r="F126" i="13"/>
  <c r="F134" i="13"/>
  <c r="F142" i="13"/>
  <c r="F150" i="13"/>
  <c r="F158" i="13"/>
  <c r="F166" i="13"/>
  <c r="F174" i="13"/>
  <c r="F182" i="13"/>
  <c r="F190" i="13"/>
  <c r="F198" i="13"/>
  <c r="F206" i="13"/>
  <c r="F214" i="13"/>
  <c r="F222" i="13"/>
  <c r="F230" i="13"/>
  <c r="F238" i="13"/>
  <c r="F246" i="13"/>
  <c r="F254" i="13"/>
  <c r="F262" i="13"/>
  <c r="F270" i="13"/>
  <c r="F278" i="13"/>
  <c r="F286" i="13"/>
  <c r="F294" i="13"/>
  <c r="F302" i="13"/>
  <c r="F310" i="13"/>
  <c r="F318" i="13"/>
  <c r="F326" i="13"/>
  <c r="F334" i="13"/>
  <c r="F342" i="13"/>
  <c r="F350" i="13"/>
  <c r="F358" i="13"/>
  <c r="F366" i="13"/>
  <c r="F374" i="13"/>
  <c r="F382" i="13"/>
  <c r="F390" i="13"/>
  <c r="F398" i="13"/>
  <c r="F406" i="13"/>
  <c r="F414" i="13"/>
  <c r="F422" i="13"/>
  <c r="F430" i="13"/>
  <c r="F438" i="13"/>
  <c r="F446" i="13"/>
  <c r="F454" i="13"/>
  <c r="F462" i="13"/>
  <c r="F470" i="13"/>
  <c r="F478" i="13"/>
  <c r="F486" i="13"/>
  <c r="F494" i="13"/>
  <c r="F502" i="13"/>
  <c r="F510" i="13"/>
  <c r="F518" i="13"/>
  <c r="F526" i="13"/>
  <c r="F534" i="13"/>
  <c r="F542" i="13"/>
  <c r="F550" i="13"/>
  <c r="F558" i="13"/>
  <c r="F566" i="13"/>
  <c r="F574" i="13"/>
  <c r="F582" i="13"/>
  <c r="F590" i="13"/>
  <c r="F598" i="13"/>
  <c r="F606" i="13"/>
  <c r="F614" i="13"/>
  <c r="F622" i="13"/>
  <c r="F630" i="13"/>
  <c r="F638" i="13"/>
  <c r="F646" i="13"/>
  <c r="F654" i="13"/>
  <c r="F662" i="13"/>
  <c r="F670" i="13"/>
  <c r="F678" i="13"/>
  <c r="F686" i="13"/>
  <c r="F694" i="13"/>
  <c r="F702" i="13"/>
  <c r="F710" i="13"/>
  <c r="F718" i="13"/>
  <c r="F726" i="13"/>
  <c r="F734" i="13"/>
  <c r="F742" i="13"/>
  <c r="F750" i="13"/>
  <c r="F758" i="13"/>
  <c r="F766" i="13"/>
  <c r="F774" i="13"/>
  <c r="F782" i="13"/>
  <c r="F790" i="13"/>
  <c r="F798" i="13"/>
  <c r="F806" i="13"/>
  <c r="F814" i="13"/>
  <c r="F822" i="13"/>
  <c r="F830" i="13"/>
  <c r="F838" i="13"/>
  <c r="F846" i="13"/>
  <c r="F854" i="13"/>
  <c r="F862" i="13"/>
  <c r="F870" i="13"/>
  <c r="F878" i="13"/>
  <c r="F886" i="13"/>
  <c r="F894" i="13"/>
  <c r="F902" i="13"/>
  <c r="F910" i="13"/>
  <c r="F918" i="13"/>
  <c r="F926" i="13"/>
  <c r="F934" i="13"/>
  <c r="F942" i="13"/>
  <c r="F950" i="13"/>
  <c r="F958" i="13"/>
  <c r="F966" i="13"/>
  <c r="F974" i="13"/>
  <c r="F982" i="13"/>
  <c r="F990" i="13"/>
  <c r="F998" i="13"/>
  <c r="F1006" i="13"/>
  <c r="F1014" i="13"/>
  <c r="F1022" i="13"/>
  <c r="F1030" i="13"/>
  <c r="F1038" i="13"/>
  <c r="F1046" i="13"/>
  <c r="F5" i="14"/>
  <c r="F13" i="14"/>
  <c r="F21" i="14"/>
  <c r="F29" i="14"/>
  <c r="F37" i="14"/>
  <c r="F45" i="14"/>
  <c r="F53" i="14"/>
  <c r="F61" i="14"/>
  <c r="F69" i="14"/>
  <c r="F77" i="14"/>
  <c r="F85" i="14"/>
  <c r="F93" i="14"/>
  <c r="F101" i="14"/>
  <c r="F109" i="14"/>
  <c r="F117" i="14"/>
  <c r="F125" i="14"/>
  <c r="F133" i="14"/>
  <c r="F141" i="14"/>
  <c r="F149" i="14"/>
  <c r="F157" i="14"/>
  <c r="F165" i="14"/>
  <c r="F173" i="14"/>
  <c r="F181" i="14"/>
  <c r="F189" i="14"/>
  <c r="F197" i="14"/>
  <c r="F205" i="14"/>
  <c r="F213" i="14"/>
  <c r="F221" i="14"/>
  <c r="F229" i="14"/>
  <c r="F237" i="14"/>
  <c r="F245" i="14"/>
  <c r="F253" i="14"/>
  <c r="F261" i="14"/>
  <c r="F269" i="14"/>
  <c r="F277" i="14"/>
  <c r="F285" i="14"/>
  <c r="F293" i="14"/>
  <c r="F301" i="14"/>
  <c r="F307" i="14"/>
  <c r="F315" i="14"/>
  <c r="F323" i="14"/>
  <c r="F331" i="14"/>
  <c r="F339" i="14"/>
  <c r="F347" i="14"/>
  <c r="F355" i="14"/>
  <c r="F363" i="14"/>
  <c r="F371" i="14"/>
  <c r="F379" i="14"/>
  <c r="F387" i="14"/>
  <c r="F395" i="14"/>
  <c r="F403" i="14"/>
  <c r="F411" i="14"/>
  <c r="F419" i="14"/>
  <c r="F427" i="14"/>
  <c r="F435" i="14"/>
  <c r="F443" i="14"/>
  <c r="F451" i="14"/>
  <c r="F459" i="14"/>
  <c r="F467" i="14"/>
  <c r="F475" i="14"/>
  <c r="F483" i="14"/>
  <c r="F491" i="14"/>
  <c r="F499" i="14"/>
  <c r="F507" i="14"/>
  <c r="F515" i="14"/>
  <c r="F523" i="14"/>
  <c r="F531" i="14"/>
  <c r="F539" i="14"/>
  <c r="F547" i="14"/>
  <c r="F555" i="14"/>
  <c r="F563" i="14"/>
  <c r="F571" i="14"/>
  <c r="F579" i="14"/>
  <c r="F587" i="14"/>
  <c r="F595" i="14"/>
  <c r="F603" i="14"/>
  <c r="F611" i="14"/>
  <c r="F619" i="14"/>
  <c r="F627" i="14"/>
  <c r="F635" i="14"/>
  <c r="F643" i="14"/>
  <c r="F651" i="14"/>
  <c r="F659" i="14"/>
  <c r="F667" i="14"/>
  <c r="F675" i="14"/>
  <c r="F683" i="14"/>
  <c r="F691" i="14"/>
  <c r="F699" i="14"/>
  <c r="F707" i="14"/>
  <c r="F715" i="14"/>
  <c r="F723" i="14"/>
  <c r="F731" i="14"/>
  <c r="F739" i="14"/>
  <c r="F747" i="14"/>
  <c r="F755" i="14"/>
  <c r="F763" i="14"/>
  <c r="F771" i="14"/>
  <c r="F779" i="14"/>
  <c r="F787" i="14"/>
  <c r="F795" i="14"/>
  <c r="F803" i="14"/>
  <c r="F811" i="14"/>
  <c r="F819" i="14"/>
  <c r="F827" i="14"/>
  <c r="F835" i="14"/>
  <c r="F843" i="14"/>
  <c r="F851" i="14"/>
  <c r="F859" i="14"/>
  <c r="F867" i="14"/>
  <c r="F875" i="14"/>
  <c r="F883" i="14"/>
  <c r="F891" i="14"/>
  <c r="F899" i="14"/>
  <c r="F907" i="14"/>
  <c r="F915" i="14"/>
  <c r="F923" i="14"/>
  <c r="F931" i="14"/>
  <c r="F939" i="14"/>
  <c r="F947" i="14"/>
  <c r="F955" i="14"/>
  <c r="F963" i="14"/>
  <c r="F971" i="14"/>
  <c r="F979" i="14"/>
  <c r="F987" i="14"/>
  <c r="F995" i="14"/>
  <c r="F1003" i="14"/>
  <c r="F1011" i="14"/>
  <c r="F1019" i="14"/>
  <c r="F1027" i="14"/>
  <c r="F1035" i="14"/>
  <c r="F1043" i="14"/>
  <c r="F1051" i="14"/>
  <c r="F1059" i="14"/>
  <c r="F1067" i="14"/>
  <c r="F1075" i="14"/>
  <c r="F1083" i="14"/>
  <c r="F1091" i="14"/>
  <c r="F1099" i="14"/>
  <c r="F1107" i="14"/>
  <c r="F1115" i="14"/>
  <c r="F1123" i="14"/>
  <c r="F1131" i="14"/>
  <c r="F1139" i="14"/>
  <c r="F1147" i="14"/>
  <c r="F1155" i="14"/>
  <c r="F1163" i="14"/>
  <c r="F1171" i="14"/>
  <c r="F1179" i="14"/>
  <c r="F1187" i="14"/>
  <c r="F1195" i="14"/>
  <c r="F1203" i="14"/>
  <c r="F1211" i="14"/>
  <c r="F1219" i="14"/>
  <c r="F1227" i="14"/>
  <c r="F1235" i="14"/>
  <c r="F1243" i="14"/>
  <c r="F1251" i="14"/>
  <c r="F1259" i="14"/>
  <c r="F1267" i="14"/>
  <c r="F1275" i="14"/>
  <c r="F1283" i="14"/>
  <c r="F1291" i="14"/>
  <c r="F1299" i="14"/>
  <c r="F1307" i="14"/>
  <c r="F1315" i="14"/>
  <c r="F1323" i="14"/>
  <c r="F1331" i="14"/>
  <c r="F1339" i="14"/>
  <c r="F1347" i="14"/>
  <c r="F1355" i="14"/>
  <c r="F1363" i="14"/>
  <c r="F1371" i="14"/>
  <c r="F1379" i="14"/>
  <c r="F1387" i="14"/>
  <c r="F1395" i="14"/>
  <c r="F1403" i="14"/>
  <c r="F1411" i="14"/>
  <c r="F1419" i="14"/>
  <c r="F1427" i="14"/>
  <c r="F1435" i="14"/>
  <c r="F1443" i="14"/>
  <c r="F1451" i="14"/>
  <c r="F1459" i="14"/>
  <c r="F1467" i="14"/>
  <c r="F1475" i="14"/>
  <c r="F1483" i="14"/>
  <c r="F1491" i="14"/>
  <c r="F1499" i="14"/>
  <c r="F1507" i="14"/>
  <c r="F1515" i="14"/>
  <c r="F1523" i="14"/>
  <c r="F1531" i="14"/>
  <c r="F1539" i="14"/>
  <c r="F1547" i="14"/>
  <c r="F1555" i="14"/>
  <c r="F1563" i="14"/>
  <c r="F1571" i="14"/>
  <c r="F1579" i="14"/>
  <c r="F1587" i="14"/>
  <c r="F1595" i="14"/>
  <c r="F1603" i="14"/>
  <c r="F1611" i="14"/>
  <c r="F1619" i="14"/>
  <c r="F1627" i="14"/>
  <c r="F1635" i="14"/>
  <c r="F1643" i="14"/>
  <c r="F1651" i="14"/>
  <c r="F1659" i="14"/>
  <c r="F1667" i="14"/>
  <c r="F1675" i="14"/>
  <c r="F1683" i="14"/>
  <c r="F1691" i="14"/>
  <c r="F1699" i="14"/>
  <c r="F1707" i="14"/>
  <c r="F1715" i="14"/>
  <c r="F1723" i="14"/>
  <c r="F1731" i="14"/>
  <c r="F1739" i="14"/>
  <c r="F1747" i="14"/>
  <c r="F1755" i="14"/>
  <c r="F1763" i="14"/>
  <c r="F1771" i="14"/>
  <c r="F1779" i="14"/>
  <c r="F1787" i="14"/>
  <c r="F1795" i="14"/>
  <c r="F1803" i="14"/>
  <c r="F1811" i="14"/>
  <c r="F1819" i="14"/>
  <c r="F1827" i="14"/>
  <c r="F1835" i="14"/>
  <c r="F1843" i="14"/>
  <c r="F1851" i="14"/>
  <c r="F1859" i="14"/>
  <c r="F1867" i="14"/>
  <c r="F1875" i="14"/>
  <c r="F1883" i="14"/>
  <c r="F1891" i="14"/>
  <c r="F1899" i="14"/>
  <c r="F1907" i="14"/>
  <c r="F1915" i="14"/>
  <c r="F1923" i="14"/>
  <c r="F1931" i="14"/>
  <c r="F1939" i="14"/>
  <c r="F1947" i="14"/>
  <c r="F1955" i="14"/>
  <c r="F1963" i="14"/>
  <c r="F1971" i="14"/>
  <c r="F1979" i="14"/>
  <c r="F1987" i="14"/>
  <c r="F1995" i="14"/>
  <c r="F2003" i="14"/>
  <c r="F2011" i="14"/>
  <c r="F2019" i="14"/>
  <c r="F2027" i="14"/>
  <c r="F2035" i="14"/>
  <c r="F2043" i="14"/>
  <c r="F2051" i="14"/>
  <c r="F2059" i="14"/>
  <c r="F2067" i="14"/>
  <c r="F2075" i="14"/>
  <c r="F2083" i="14"/>
  <c r="F2091" i="14"/>
  <c r="F2099" i="14"/>
  <c r="F2107" i="14"/>
  <c r="F2115" i="14"/>
  <c r="F2123" i="14"/>
  <c r="F2131" i="14"/>
  <c r="F2139" i="14"/>
  <c r="F2147" i="14"/>
  <c r="F2155" i="14"/>
  <c r="F2163" i="14"/>
  <c r="F2171" i="14"/>
  <c r="F2179" i="14"/>
  <c r="F2187" i="14"/>
  <c r="F2195" i="14"/>
  <c r="F2203" i="14"/>
  <c r="F2211" i="14"/>
  <c r="F2219" i="14"/>
  <c r="F2227" i="14"/>
  <c r="F2235" i="14"/>
  <c r="F2243" i="14"/>
  <c r="F2251" i="14"/>
  <c r="F2259" i="14"/>
  <c r="F2267" i="14"/>
  <c r="F2275" i="14"/>
  <c r="F2283" i="14"/>
  <c r="F2291" i="14"/>
  <c r="F2299" i="14"/>
  <c r="F326" i="14"/>
  <c r="F358" i="14"/>
  <c r="F390" i="14"/>
  <c r="F422" i="14"/>
  <c r="F454" i="14"/>
  <c r="F486" i="14"/>
  <c r="F518" i="14"/>
  <c r="F550" i="14"/>
  <c r="F582" i="14"/>
  <c r="F614" i="14"/>
  <c r="F646" i="14"/>
  <c r="F678" i="14"/>
  <c r="F710" i="14"/>
  <c r="F718" i="14"/>
  <c r="F726" i="14"/>
  <c r="F734" i="14"/>
  <c r="F742" i="14"/>
  <c r="F750" i="14"/>
  <c r="F758" i="14"/>
  <c r="F766" i="14"/>
  <c r="F774" i="14"/>
  <c r="F782" i="14"/>
  <c r="F790" i="14"/>
  <c r="F798" i="14"/>
  <c r="F806" i="14"/>
  <c r="F814" i="14"/>
  <c r="F822" i="14"/>
  <c r="F830" i="14"/>
  <c r="F838" i="14"/>
  <c r="F846" i="14"/>
  <c r="F854" i="14"/>
  <c r="F862" i="14"/>
  <c r="F870" i="14"/>
  <c r="F878" i="14"/>
  <c r="F886" i="14"/>
  <c r="F894" i="14"/>
  <c r="F902" i="14"/>
  <c r="F910" i="14"/>
  <c r="F918" i="14"/>
  <c r="F926" i="14"/>
  <c r="F934" i="14"/>
  <c r="F942" i="14"/>
  <c r="F950" i="14"/>
  <c r="F958" i="14"/>
  <c r="F966" i="14"/>
  <c r="F974" i="14"/>
  <c r="F982" i="14"/>
  <c r="F990" i="14"/>
  <c r="F998" i="14"/>
  <c r="F1006" i="14"/>
  <c r="F1014" i="14"/>
  <c r="F1022" i="14"/>
  <c r="F1030" i="14"/>
  <c r="F1038" i="14"/>
  <c r="F1046" i="14"/>
  <c r="F1054" i="14"/>
  <c r="F1062" i="14"/>
  <c r="F1070" i="14"/>
  <c r="F1078" i="14"/>
  <c r="F1086" i="14"/>
  <c r="F1094" i="14"/>
  <c r="F1102" i="14"/>
  <c r="F1110" i="14"/>
  <c r="F1118" i="14"/>
  <c r="F1126" i="14"/>
  <c r="F1134" i="14"/>
  <c r="F1142" i="14"/>
  <c r="F1150" i="14"/>
  <c r="F1158" i="14"/>
  <c r="F1166" i="14"/>
  <c r="F1174" i="14"/>
  <c r="F1182" i="14"/>
  <c r="F1190" i="14"/>
  <c r="F1198" i="14"/>
  <c r="F1206" i="14"/>
  <c r="F1214" i="14"/>
  <c r="F1222" i="14"/>
  <c r="F1230" i="14"/>
  <c r="F1238" i="14"/>
  <c r="F1246" i="14"/>
  <c r="F1254" i="14"/>
  <c r="F1262" i="14"/>
  <c r="F1270" i="14"/>
  <c r="F1278" i="14"/>
  <c r="F1286" i="14"/>
  <c r="F1294" i="14"/>
  <c r="F1302" i="14"/>
  <c r="F1310" i="14"/>
  <c r="F1318" i="14"/>
  <c r="F1326" i="14"/>
  <c r="F1334" i="14"/>
  <c r="F1342" i="14"/>
  <c r="F1350" i="14"/>
  <c r="F1358" i="14"/>
  <c r="F1366" i="14"/>
  <c r="F1374" i="14"/>
  <c r="F1382" i="14"/>
  <c r="F1390" i="14"/>
  <c r="F1398" i="14"/>
  <c r="F1406" i="14"/>
  <c r="F1414" i="14"/>
  <c r="F1422" i="14"/>
  <c r="F1430" i="14"/>
  <c r="F1438" i="14"/>
  <c r="F1446" i="14"/>
  <c r="F1454" i="14"/>
  <c r="F1462" i="14"/>
  <c r="F1470" i="14"/>
  <c r="F1478" i="14"/>
  <c r="F1486" i="14"/>
  <c r="F1494" i="14"/>
  <c r="F1502" i="14"/>
  <c r="F1510" i="14"/>
  <c r="F1518" i="14"/>
  <c r="F1526" i="14"/>
  <c r="F1534" i="14"/>
  <c r="F1542" i="14"/>
  <c r="F1550" i="14"/>
  <c r="F1558" i="14"/>
  <c r="F1566" i="14"/>
  <c r="F1574" i="14"/>
  <c r="F1582" i="14"/>
  <c r="F1590" i="14"/>
  <c r="F1598" i="14"/>
  <c r="F1606" i="14"/>
  <c r="F1614" i="14"/>
  <c r="F1622" i="14"/>
  <c r="F1630" i="14"/>
  <c r="F1638" i="14"/>
  <c r="F1646" i="14"/>
  <c r="F1654" i="14"/>
  <c r="F1662" i="14"/>
  <c r="F1670" i="14"/>
  <c r="F1678" i="14"/>
  <c r="F1686" i="14"/>
  <c r="F1694" i="14"/>
  <c r="F1702" i="14"/>
  <c r="F1710" i="14"/>
  <c r="F1718" i="14"/>
  <c r="F1726" i="14"/>
  <c r="F1734" i="14"/>
  <c r="F1742" i="14"/>
  <c r="F1750" i="14"/>
  <c r="F1758" i="14"/>
  <c r="F1766" i="14"/>
  <c r="F1774" i="14"/>
  <c r="F1782" i="14"/>
  <c r="F1790" i="14"/>
  <c r="F1798" i="14"/>
  <c r="F1806" i="14"/>
  <c r="F1814" i="14"/>
  <c r="F1822" i="14"/>
  <c r="F1830" i="14"/>
  <c r="F1838" i="14"/>
  <c r="F1846" i="14"/>
  <c r="F1854" i="14"/>
  <c r="F1862" i="14"/>
  <c r="F1870" i="14"/>
  <c r="F1878" i="14"/>
  <c r="F1886" i="14"/>
  <c r="F1894" i="14"/>
  <c r="F1902" i="14"/>
  <c r="F1910" i="14"/>
  <c r="F1918" i="14"/>
  <c r="F1926" i="14"/>
  <c r="F1934" i="14"/>
  <c r="F1942" i="14"/>
  <c r="F1950" i="14"/>
  <c r="F1958" i="14"/>
  <c r="F1966" i="14"/>
  <c r="F1974" i="14"/>
  <c r="F1982" i="14"/>
  <c r="F1990" i="14"/>
  <c r="F1998" i="14"/>
  <c r="F2006" i="14"/>
  <c r="F2014" i="14"/>
  <c r="F2022" i="14"/>
  <c r="F2030" i="14"/>
  <c r="F2038" i="14"/>
  <c r="F2046" i="14"/>
  <c r="F2054" i="14"/>
  <c r="F2062" i="14"/>
  <c r="F2070" i="14"/>
  <c r="F2078" i="14"/>
  <c r="F2086" i="14"/>
  <c r="F2094" i="14"/>
  <c r="F2102" i="14"/>
  <c r="F2110" i="14"/>
  <c r="F2118" i="14"/>
  <c r="F2126" i="14"/>
  <c r="F2134" i="14"/>
  <c r="F2142" i="14"/>
  <c r="F2150" i="14"/>
  <c r="F2158" i="14"/>
  <c r="F2166" i="14"/>
  <c r="F2174" i="14"/>
  <c r="F2182" i="14"/>
  <c r="F2190" i="14"/>
  <c r="F2198" i="14"/>
  <c r="F2206" i="14"/>
  <c r="F2214" i="14"/>
  <c r="F2222" i="14"/>
  <c r="F2230" i="14"/>
  <c r="F2238" i="14"/>
  <c r="F2246" i="14"/>
  <c r="F2254" i="14"/>
  <c r="F2262" i="14"/>
  <c r="F2270" i="14"/>
  <c r="F2278" i="14"/>
  <c r="F2286" i="14"/>
  <c r="F2294" i="14"/>
  <c r="F2302" i="14"/>
  <c r="F2308" i="14"/>
  <c r="F2316" i="14"/>
  <c r="F2324" i="14"/>
  <c r="F2332" i="14"/>
  <c r="F2340" i="14"/>
  <c r="F2348" i="14"/>
  <c r="F2356" i="14"/>
  <c r="F2364" i="14"/>
  <c r="F2372" i="14"/>
  <c r="F2380" i="14"/>
  <c r="F5" i="15"/>
  <c r="F13" i="15"/>
  <c r="F21" i="15"/>
  <c r="F29" i="15"/>
  <c r="F37" i="15"/>
  <c r="F45" i="15"/>
  <c r="F53" i="15"/>
  <c r="F61" i="15"/>
  <c r="F69" i="15"/>
  <c r="F77" i="15"/>
  <c r="F85" i="15"/>
  <c r="F93" i="15"/>
  <c r="F101" i="15"/>
  <c r="F109" i="15"/>
  <c r="F117" i="15"/>
  <c r="F125" i="15"/>
  <c r="F133" i="15"/>
  <c r="F141" i="15"/>
  <c r="F149" i="15"/>
  <c r="F157" i="15"/>
  <c r="F165" i="15"/>
  <c r="F173" i="15"/>
  <c r="F181" i="15"/>
  <c r="F189" i="15"/>
  <c r="F197" i="15"/>
  <c r="F205" i="15"/>
  <c r="F213" i="15"/>
  <c r="F221" i="15"/>
  <c r="F229" i="15"/>
  <c r="F237" i="15"/>
  <c r="F245" i="15"/>
  <c r="F253" i="15"/>
  <c r="F261" i="15"/>
  <c r="F269" i="15"/>
  <c r="F277" i="15"/>
  <c r="F285" i="15"/>
  <c r="F293" i="15"/>
  <c r="F301" i="15"/>
  <c r="F309" i="15"/>
  <c r="F317" i="15"/>
  <c r="F325" i="15"/>
  <c r="F333" i="15"/>
  <c r="F341" i="15"/>
  <c r="F349" i="15"/>
  <c r="F357" i="15"/>
  <c r="F365" i="15"/>
  <c r="F373" i="15"/>
  <c r="F381" i="15"/>
  <c r="F389" i="15"/>
  <c r="F397" i="15"/>
  <c r="F405" i="15"/>
  <c r="F413" i="15"/>
  <c r="F421" i="15"/>
  <c r="F429" i="15"/>
  <c r="F437" i="15"/>
  <c r="F445" i="15"/>
  <c r="F453" i="15"/>
  <c r="F461" i="15"/>
  <c r="F469" i="15"/>
  <c r="F477" i="15"/>
  <c r="F485" i="15"/>
  <c r="F493" i="15"/>
  <c r="F501" i="15"/>
  <c r="F509" i="15"/>
  <c r="F517" i="15"/>
  <c r="F525" i="15"/>
  <c r="F533" i="15"/>
  <c r="F541" i="15"/>
  <c r="F549" i="15"/>
  <c r="F557" i="15"/>
  <c r="F565" i="15"/>
  <c r="F573" i="15"/>
  <c r="F581" i="15"/>
  <c r="F589" i="15"/>
  <c r="F597" i="15"/>
  <c r="F605" i="15"/>
  <c r="F613" i="15"/>
  <c r="F621" i="15"/>
  <c r="F629" i="15"/>
  <c r="F637" i="15"/>
  <c r="F645" i="15"/>
  <c r="F653" i="15"/>
  <c r="F661" i="15"/>
  <c r="F669" i="15"/>
  <c r="F677" i="15"/>
  <c r="F685" i="15"/>
  <c r="F693" i="15"/>
  <c r="F701" i="15"/>
  <c r="F709" i="15"/>
  <c r="F717" i="15"/>
  <c r="F725" i="15"/>
  <c r="F733" i="15"/>
  <c r="F741" i="15"/>
  <c r="F749" i="15"/>
  <c r="F757" i="15"/>
  <c r="F765" i="15"/>
  <c r="F773" i="15"/>
  <c r="F781" i="15"/>
  <c r="F789" i="15"/>
  <c r="F805" i="15"/>
  <c r="F312" i="14"/>
  <c r="F320" i="14"/>
  <c r="F328" i="14"/>
  <c r="F336" i="14"/>
  <c r="F344" i="14"/>
  <c r="F352" i="14"/>
  <c r="F360" i="14"/>
  <c r="F368" i="14"/>
  <c r="F376" i="14"/>
  <c r="F384" i="14"/>
  <c r="F392" i="14"/>
  <c r="F400" i="14"/>
  <c r="F408" i="14"/>
  <c r="F416" i="14"/>
  <c r="F424" i="14"/>
  <c r="F432" i="14"/>
  <c r="F440" i="14"/>
  <c r="F448" i="14"/>
  <c r="F456" i="14"/>
  <c r="F464" i="14"/>
  <c r="F472" i="14"/>
  <c r="F480" i="14"/>
  <c r="F488" i="14"/>
  <c r="F496" i="14"/>
  <c r="F504" i="14"/>
  <c r="F512" i="14"/>
  <c r="F520" i="14"/>
  <c r="F528" i="14"/>
  <c r="F536" i="14"/>
  <c r="F544" i="14"/>
  <c r="F552" i="14"/>
  <c r="F560" i="14"/>
  <c r="F568" i="14"/>
  <c r="F576" i="14"/>
  <c r="F584" i="14"/>
  <c r="F592" i="14"/>
  <c r="F600" i="14"/>
  <c r="F608" i="14"/>
  <c r="F616" i="14"/>
  <c r="F624" i="14"/>
  <c r="F632" i="14"/>
  <c r="F640" i="14"/>
  <c r="F648" i="14"/>
  <c r="F656" i="14"/>
  <c r="F664" i="14"/>
  <c r="F672" i="14"/>
  <c r="F680" i="14"/>
  <c r="F688" i="14"/>
  <c r="F696" i="14"/>
  <c r="F704" i="14"/>
  <c r="F712" i="14"/>
  <c r="F720" i="14"/>
  <c r="F728" i="14"/>
  <c r="F736" i="14"/>
  <c r="F744" i="14"/>
  <c r="F752" i="14"/>
  <c r="F760" i="14"/>
  <c r="F768" i="14"/>
  <c r="F776" i="14"/>
  <c r="F784" i="14"/>
  <c r="F792" i="14"/>
  <c r="F800" i="14"/>
  <c r="F808" i="14"/>
  <c r="F816" i="14"/>
  <c r="F824" i="14"/>
  <c r="F832" i="14"/>
  <c r="F840" i="14"/>
  <c r="F848" i="14"/>
  <c r="F856" i="14"/>
  <c r="F864" i="14"/>
  <c r="F872" i="14"/>
  <c r="F880" i="14"/>
  <c r="F888" i="14"/>
  <c r="F896" i="14"/>
  <c r="F904" i="14"/>
  <c r="F912" i="14"/>
  <c r="F920" i="14"/>
  <c r="F928" i="14"/>
  <c r="F936" i="14"/>
  <c r="F944" i="14"/>
  <c r="F952" i="14"/>
  <c r="F960" i="14"/>
  <c r="F968" i="14"/>
  <c r="F976" i="14"/>
  <c r="F984" i="14"/>
  <c r="F992" i="14"/>
  <c r="F1000" i="14"/>
  <c r="F1008" i="14"/>
  <c r="F1016" i="14"/>
  <c r="F1024" i="14"/>
  <c r="F1032" i="14"/>
  <c r="F1040" i="14"/>
  <c r="F1048" i="14"/>
  <c r="F1056" i="14"/>
  <c r="F1064" i="14"/>
  <c r="F1072" i="14"/>
  <c r="F1080" i="14"/>
  <c r="F1088" i="14"/>
  <c r="F1096" i="14"/>
  <c r="F1104" i="14"/>
  <c r="F1112" i="14"/>
  <c r="F1120" i="14"/>
  <c r="F1128" i="14"/>
  <c r="F1136" i="14"/>
  <c r="F1144" i="14"/>
  <c r="F1152" i="14"/>
  <c r="F1160" i="14"/>
  <c r="F1168" i="14"/>
  <c r="F1176" i="14"/>
  <c r="F1184" i="14"/>
  <c r="F1192" i="14"/>
  <c r="F1200" i="14"/>
  <c r="F1208" i="14"/>
  <c r="F1216" i="14"/>
  <c r="F1224" i="14"/>
  <c r="F1232" i="14"/>
  <c r="F1240" i="14"/>
  <c r="F1248" i="14"/>
  <c r="F1256" i="14"/>
  <c r="F1264" i="14"/>
  <c r="F1272" i="14"/>
  <c r="F1280" i="14"/>
  <c r="F1288" i="14"/>
  <c r="F1296" i="14"/>
  <c r="F1304" i="14"/>
  <c r="F1312" i="14"/>
  <c r="F1320" i="14"/>
  <c r="F1328" i="14"/>
  <c r="F1336" i="14"/>
  <c r="F1344" i="14"/>
  <c r="F1352" i="14"/>
  <c r="F1360" i="14"/>
  <c r="F1368" i="14"/>
  <c r="F1376" i="14"/>
  <c r="F1384" i="14"/>
  <c r="F1392" i="14"/>
  <c r="F1400" i="14"/>
  <c r="F1408" i="14"/>
  <c r="F1416" i="14"/>
  <c r="F1424" i="14"/>
  <c r="F1432" i="14"/>
  <c r="F1440" i="14"/>
  <c r="F1448" i="14"/>
  <c r="F1456" i="14"/>
  <c r="F1464" i="14"/>
  <c r="F1472" i="14"/>
  <c r="F1480" i="14"/>
  <c r="F1488" i="14"/>
  <c r="F1496" i="14"/>
  <c r="F1504" i="14"/>
  <c r="F1512" i="14"/>
  <c r="F1520" i="14"/>
  <c r="F1528" i="14"/>
  <c r="F1536" i="14"/>
  <c r="F1544" i="14"/>
  <c r="F1552" i="14"/>
  <c r="F1560" i="14"/>
  <c r="F1568" i="14"/>
  <c r="F1576" i="14"/>
  <c r="F1584" i="14"/>
  <c r="F1592" i="14"/>
  <c r="F1600" i="14"/>
  <c r="F1608" i="14"/>
  <c r="F1616" i="14"/>
  <c r="F1624" i="14"/>
  <c r="F1632" i="14"/>
  <c r="F1640" i="14"/>
  <c r="F1648" i="14"/>
  <c r="F1656" i="14"/>
  <c r="F1664" i="14"/>
  <c r="F1672" i="14"/>
  <c r="F1680" i="14"/>
  <c r="F1688" i="14"/>
  <c r="F1696" i="14"/>
  <c r="F1704" i="14"/>
  <c r="F1712" i="14"/>
  <c r="F1720" i="14"/>
  <c r="F1728" i="14"/>
  <c r="F1736" i="14"/>
  <c r="F1744" i="14"/>
  <c r="F1752" i="14"/>
  <c r="F1760" i="14"/>
  <c r="F1768" i="14"/>
  <c r="F1776" i="14"/>
  <c r="F1784" i="14"/>
  <c r="F1792" i="14"/>
  <c r="F1800" i="14"/>
  <c r="F1808" i="14"/>
  <c r="F1816" i="14"/>
  <c r="F1824" i="14"/>
  <c r="F1832" i="14"/>
  <c r="F1840" i="14"/>
  <c r="F1848" i="14"/>
  <c r="F1856" i="14"/>
  <c r="F1864" i="14"/>
  <c r="F1872" i="14"/>
  <c r="F1880" i="14"/>
  <c r="F1888" i="14"/>
  <c r="F1896" i="14"/>
  <c r="F1904" i="14"/>
  <c r="F1912" i="14"/>
  <c r="F1920" i="14"/>
  <c r="F1928" i="14"/>
  <c r="F1936" i="14"/>
  <c r="F1944" i="14"/>
  <c r="F1952" i="14"/>
  <c r="F1960" i="14"/>
  <c r="F1968" i="14"/>
  <c r="F1976" i="14"/>
  <c r="F1984" i="14"/>
  <c r="F1992" i="14"/>
  <c r="F2000" i="14"/>
  <c r="F2008" i="14"/>
  <c r="F2016" i="14"/>
  <c r="F2024" i="14"/>
  <c r="F2032" i="14"/>
  <c r="F2040" i="14"/>
  <c r="F2048" i="14"/>
  <c r="F2056" i="14"/>
  <c r="F2064" i="14"/>
  <c r="F2072" i="14"/>
  <c r="F2080" i="14"/>
  <c r="F2088" i="14"/>
  <c r="F2096" i="14"/>
  <c r="F2104" i="14"/>
  <c r="F2112" i="14"/>
  <c r="F2120" i="14"/>
  <c r="F2128" i="14"/>
  <c r="F2136" i="14"/>
  <c r="F2144" i="14"/>
  <c r="F2152" i="14"/>
  <c r="F2160" i="14"/>
  <c r="F2168" i="14"/>
  <c r="F2176" i="14"/>
  <c r="F2184" i="14"/>
  <c r="F2192" i="14"/>
  <c r="F2200" i="14"/>
  <c r="F2208" i="14"/>
  <c r="F2216" i="14"/>
  <c r="F2224" i="14"/>
  <c r="F2232" i="14"/>
  <c r="F2240" i="14"/>
  <c r="F2248" i="14"/>
  <c r="F2256" i="14"/>
  <c r="F2264" i="14"/>
  <c r="F2272" i="14"/>
  <c r="F2280" i="14"/>
  <c r="F2288" i="14"/>
  <c r="F2296" i="14"/>
  <c r="F2304" i="14"/>
  <c r="F2310" i="14"/>
  <c r="F2318" i="14"/>
  <c r="F2326" i="14"/>
  <c r="F2334" i="14"/>
  <c r="F2342" i="14"/>
  <c r="F2350" i="14"/>
  <c r="F2358" i="14"/>
  <c r="F2366" i="14"/>
  <c r="F2374" i="14"/>
  <c r="F2382" i="14"/>
  <c r="F7" i="15"/>
  <c r="F15" i="15"/>
  <c r="F23" i="15"/>
  <c r="F31" i="15"/>
  <c r="F39" i="15"/>
  <c r="F47" i="15"/>
  <c r="F55" i="15"/>
  <c r="F63" i="15"/>
  <c r="F71" i="15"/>
  <c r="F79" i="15"/>
  <c r="F87" i="15"/>
  <c r="F95" i="15"/>
  <c r="F103" i="15"/>
  <c r="F111" i="15"/>
  <c r="F119" i="15"/>
  <c r="F127" i="15"/>
  <c r="F135" i="15"/>
  <c r="F143" i="15"/>
  <c r="F151" i="15"/>
  <c r="F159" i="15"/>
  <c r="F167" i="15"/>
  <c r="F175" i="15"/>
  <c r="F183" i="15"/>
  <c r="F191" i="15"/>
  <c r="F199" i="15"/>
  <c r="F207" i="15"/>
  <c r="F215" i="15"/>
  <c r="F223" i="15"/>
  <c r="F231" i="15"/>
  <c r="F239" i="15"/>
  <c r="F247" i="15"/>
  <c r="F255" i="15"/>
  <c r="F263" i="15"/>
  <c r="F271" i="15"/>
  <c r="F279" i="15"/>
  <c r="F287" i="15"/>
  <c r="F295" i="15"/>
  <c r="F303" i="15"/>
  <c r="F311" i="15"/>
  <c r="F319" i="15"/>
  <c r="F327" i="15"/>
  <c r="F335" i="15"/>
  <c r="F343" i="15"/>
  <c r="F351" i="15"/>
  <c r="F359" i="15"/>
  <c r="F367" i="15"/>
  <c r="F375" i="15"/>
  <c r="F383" i="15"/>
  <c r="F391" i="15"/>
  <c r="F399" i="15"/>
  <c r="F407" i="15"/>
  <c r="F415" i="15"/>
  <c r="F423" i="15"/>
  <c r="F431" i="15"/>
  <c r="F439" i="15"/>
  <c r="F447" i="15"/>
  <c r="F455" i="15"/>
  <c r="F463" i="15"/>
  <c r="F471" i="15"/>
  <c r="F479" i="15"/>
  <c r="F487" i="15"/>
  <c r="F495" i="15"/>
  <c r="F503" i="15"/>
  <c r="F511" i="15"/>
  <c r="F519" i="15"/>
  <c r="F527" i="15"/>
  <c r="F535" i="15"/>
  <c r="F543" i="15"/>
  <c r="F551" i="15"/>
  <c r="F559" i="15"/>
  <c r="F567" i="15"/>
  <c r="F575" i="15"/>
  <c r="F583" i="15"/>
  <c r="F591" i="15"/>
  <c r="F599" i="15"/>
  <c r="F607" i="15"/>
  <c r="F615" i="15"/>
  <c r="F623" i="15"/>
  <c r="F631" i="15"/>
  <c r="F639" i="15"/>
  <c r="F647" i="15"/>
  <c r="F655" i="15"/>
  <c r="F663" i="15"/>
  <c r="F671" i="15"/>
  <c r="F679" i="15"/>
  <c r="F687" i="15"/>
  <c r="F695" i="15"/>
  <c r="F703" i="15"/>
  <c r="F711" i="15"/>
  <c r="F719" i="15"/>
  <c r="F727" i="15"/>
  <c r="F735" i="15"/>
  <c r="F743" i="15"/>
  <c r="F751" i="15"/>
  <c r="F759" i="15"/>
  <c r="F767" i="15"/>
  <c r="F775" i="15"/>
  <c r="F783" i="15"/>
  <c r="F791" i="15"/>
  <c r="F807" i="15"/>
  <c r="F306" i="14"/>
  <c r="F314" i="14"/>
  <c r="F322" i="14"/>
  <c r="F330" i="14"/>
  <c r="F338" i="14"/>
  <c r="F346" i="14"/>
  <c r="F354" i="14"/>
  <c r="F362" i="14"/>
  <c r="F370" i="14"/>
  <c r="F378" i="14"/>
  <c r="F386" i="14"/>
  <c r="F394" i="14"/>
  <c r="F402" i="14"/>
  <c r="F410" i="14"/>
  <c r="F418" i="14"/>
  <c r="F426" i="14"/>
  <c r="F434" i="14"/>
  <c r="F442" i="14"/>
  <c r="F450" i="14"/>
  <c r="F458" i="14"/>
  <c r="F466" i="14"/>
  <c r="F474" i="14"/>
  <c r="F482" i="14"/>
  <c r="F490" i="14"/>
  <c r="F498" i="14"/>
  <c r="F506" i="14"/>
  <c r="F514" i="14"/>
  <c r="F522" i="14"/>
  <c r="F530" i="14"/>
  <c r="F538" i="14"/>
  <c r="F546" i="14"/>
  <c r="F554" i="14"/>
  <c r="F562" i="14"/>
  <c r="F570" i="14"/>
  <c r="F578" i="14"/>
  <c r="F586" i="14"/>
  <c r="F594" i="14"/>
  <c r="F602" i="14"/>
  <c r="F610" i="14"/>
  <c r="F618" i="14"/>
  <c r="F626" i="14"/>
  <c r="F634" i="14"/>
  <c r="F642" i="14"/>
  <c r="F650" i="14"/>
  <c r="F658" i="14"/>
  <c r="F666" i="14"/>
  <c r="F674" i="14"/>
  <c r="F682" i="14"/>
  <c r="F690" i="14"/>
  <c r="F698" i="14"/>
  <c r="F706" i="14"/>
  <c r="F714" i="14"/>
  <c r="F722" i="14"/>
  <c r="F730" i="14"/>
  <c r="F738" i="14"/>
  <c r="F746" i="14"/>
  <c r="F754" i="14"/>
  <c r="F762" i="14"/>
  <c r="F770" i="14"/>
  <c r="F778" i="14"/>
  <c r="F786" i="14"/>
  <c r="F794" i="14"/>
  <c r="F802" i="14"/>
  <c r="F810" i="14"/>
  <c r="F818" i="14"/>
  <c r="F826" i="14"/>
  <c r="F834" i="14"/>
  <c r="F842" i="14"/>
  <c r="F850" i="14"/>
  <c r="F858" i="14"/>
  <c r="F866" i="14"/>
  <c r="F874" i="14"/>
  <c r="F882" i="14"/>
  <c r="F890" i="14"/>
  <c r="F898" i="14"/>
  <c r="F906" i="14"/>
  <c r="F914" i="14"/>
  <c r="F922" i="14"/>
  <c r="F930" i="14"/>
  <c r="F938" i="14"/>
  <c r="F946" i="14"/>
  <c r="F954" i="14"/>
  <c r="F962" i="14"/>
  <c r="F970" i="14"/>
  <c r="F978" i="14"/>
  <c r="F986" i="14"/>
  <c r="F994" i="14"/>
  <c r="F1002" i="14"/>
  <c r="F1010" i="14"/>
  <c r="F1018" i="14"/>
  <c r="F1026" i="14"/>
  <c r="F1034" i="14"/>
  <c r="F1042" i="14"/>
  <c r="F1050" i="14"/>
  <c r="F1058" i="14"/>
  <c r="F1066" i="14"/>
  <c r="F1074" i="14"/>
  <c r="F1082" i="14"/>
  <c r="F1090" i="14"/>
  <c r="F1098" i="14"/>
  <c r="F1106" i="14"/>
  <c r="F1114" i="14"/>
  <c r="F1122" i="14"/>
  <c r="F1130" i="14"/>
  <c r="F1138" i="14"/>
  <c r="F1146" i="14"/>
  <c r="F1154" i="14"/>
  <c r="F1162" i="14"/>
  <c r="F1170" i="14"/>
  <c r="F1178" i="14"/>
  <c r="F1186" i="14"/>
  <c r="F1194" i="14"/>
  <c r="F1202" i="14"/>
  <c r="F1210" i="14"/>
  <c r="F1218" i="14"/>
  <c r="F1226" i="14"/>
  <c r="F1234" i="14"/>
  <c r="F1242" i="14"/>
  <c r="F1250" i="14"/>
  <c r="F1258" i="14"/>
  <c r="F1266" i="14"/>
  <c r="F1274" i="14"/>
  <c r="F1282" i="14"/>
  <c r="F1290" i="14"/>
  <c r="F1298" i="14"/>
  <c r="F1306" i="14"/>
  <c r="F1314" i="14"/>
  <c r="F1322" i="14"/>
  <c r="F1330" i="14"/>
  <c r="F1338" i="14"/>
  <c r="F1346" i="14"/>
  <c r="F1354" i="14"/>
  <c r="F1362" i="14"/>
  <c r="F1370" i="14"/>
  <c r="F1378" i="14"/>
  <c r="F1386" i="14"/>
  <c r="F1394" i="14"/>
  <c r="F1402" i="14"/>
  <c r="F1410" i="14"/>
  <c r="F1418" i="14"/>
  <c r="F1426" i="14"/>
  <c r="F1434" i="14"/>
  <c r="F1442" i="14"/>
  <c r="F1450" i="14"/>
  <c r="F1458" i="14"/>
  <c r="F1466" i="14"/>
  <c r="F1474" i="14"/>
  <c r="F1482" i="14"/>
  <c r="F1490" i="14"/>
  <c r="F1498" i="14"/>
  <c r="F1506" i="14"/>
  <c r="F1514" i="14"/>
  <c r="F1522" i="14"/>
  <c r="F1530" i="14"/>
  <c r="F1538" i="14"/>
  <c r="F1546" i="14"/>
  <c r="F1554" i="14"/>
  <c r="F1562" i="14"/>
  <c r="F1570" i="14"/>
  <c r="F1578" i="14"/>
  <c r="F1586" i="14"/>
  <c r="F1594" i="14"/>
  <c r="F1602" i="14"/>
  <c r="F1610" i="14"/>
  <c r="F1618" i="14"/>
  <c r="F1626" i="14"/>
  <c r="F1634" i="14"/>
  <c r="F1642" i="14"/>
  <c r="F1650" i="14"/>
  <c r="F1658" i="14"/>
  <c r="F1666" i="14"/>
  <c r="F1674" i="14"/>
  <c r="F1682" i="14"/>
  <c r="F1690" i="14"/>
  <c r="F1698" i="14"/>
  <c r="F1706" i="14"/>
  <c r="F1714" i="14"/>
  <c r="F1722" i="14"/>
  <c r="F1730" i="14"/>
  <c r="F1738" i="14"/>
  <c r="F1746" i="14"/>
  <c r="F1754" i="14"/>
  <c r="F1762" i="14"/>
  <c r="F1770" i="14"/>
  <c r="F1778" i="14"/>
  <c r="F1786" i="14"/>
  <c r="F1794" i="14"/>
  <c r="F1802" i="14"/>
  <c r="F1810" i="14"/>
  <c r="F1818" i="14"/>
  <c r="F1826" i="14"/>
  <c r="F1834" i="14"/>
  <c r="F1842" i="14"/>
  <c r="F1850" i="14"/>
  <c r="F1858" i="14"/>
  <c r="F1866" i="14"/>
  <c r="F1874" i="14"/>
  <c r="F1882" i="14"/>
  <c r="F1890" i="14"/>
  <c r="F1898" i="14"/>
  <c r="F1906" i="14"/>
  <c r="F1914" i="14"/>
  <c r="F1922" i="14"/>
  <c r="F1930" i="14"/>
  <c r="F1938" i="14"/>
  <c r="F1946" i="14"/>
  <c r="F1954" i="14"/>
  <c r="F1962" i="14"/>
  <c r="F1970" i="14"/>
  <c r="F1978" i="14"/>
  <c r="F1986" i="14"/>
  <c r="F1994" i="14"/>
  <c r="F2002" i="14"/>
  <c r="F2010" i="14"/>
  <c r="F2018" i="14"/>
  <c r="F2026" i="14"/>
  <c r="F2034" i="14"/>
  <c r="F2042" i="14"/>
  <c r="F2050" i="14"/>
  <c r="F2058" i="14"/>
  <c r="F2066" i="14"/>
  <c r="F2074" i="14"/>
  <c r="F2082" i="14"/>
  <c r="F2090" i="14"/>
  <c r="F2098" i="14"/>
  <c r="F2106" i="14"/>
  <c r="F2114" i="14"/>
  <c r="F2122" i="14"/>
  <c r="F2130" i="14"/>
  <c r="F2138" i="14"/>
  <c r="F2146" i="14"/>
  <c r="F2154" i="14"/>
  <c r="F2162" i="14"/>
  <c r="F2170" i="14"/>
  <c r="F2178" i="14"/>
  <c r="F2186" i="14"/>
  <c r="F2194" i="14"/>
  <c r="F2202" i="14"/>
  <c r="F2210" i="14"/>
  <c r="F2218" i="14"/>
  <c r="F2226" i="14"/>
  <c r="F2234" i="14"/>
  <c r="F2242" i="14"/>
  <c r="F2250" i="14"/>
  <c r="F2258" i="14"/>
  <c r="F2266" i="14"/>
  <c r="F2274" i="14"/>
  <c r="F2282" i="14"/>
  <c r="F2290" i="14"/>
  <c r="F2298" i="14"/>
  <c r="F2306" i="14"/>
  <c r="F2312" i="14"/>
  <c r="F2320" i="14"/>
  <c r="F2328" i="14"/>
  <c r="F2336" i="14"/>
  <c r="F2344" i="14"/>
  <c r="F2352" i="14"/>
  <c r="F2360" i="14"/>
  <c r="F2368" i="14"/>
  <c r="F2376" i="14"/>
  <c r="F1" i="15"/>
  <c r="F9" i="15"/>
  <c r="F17" i="15"/>
  <c r="F25" i="15"/>
  <c r="F33" i="15"/>
  <c r="F41" i="15"/>
  <c r="F49" i="15"/>
  <c r="F57" i="15"/>
  <c r="F65" i="15"/>
  <c r="F73" i="15"/>
  <c r="F81" i="15"/>
  <c r="F89" i="15"/>
  <c r="F97" i="15"/>
  <c r="F105" i="15"/>
  <c r="F113" i="15"/>
  <c r="F121" i="15"/>
  <c r="F129" i="15"/>
  <c r="F137" i="15"/>
  <c r="F145" i="15"/>
  <c r="F153" i="15"/>
  <c r="F161" i="15"/>
  <c r="F169" i="15"/>
  <c r="F177" i="15"/>
  <c r="F185" i="15"/>
  <c r="F193" i="15"/>
  <c r="F201" i="15"/>
  <c r="F209" i="15"/>
  <c r="F217" i="15"/>
  <c r="F225" i="15"/>
  <c r="F233" i="15"/>
  <c r="F241" i="15"/>
  <c r="F249" i="15"/>
  <c r="F257" i="15"/>
  <c r="F265" i="15"/>
  <c r="F273" i="15"/>
  <c r="F281" i="15"/>
  <c r="F289" i="15"/>
  <c r="F297" i="15"/>
  <c r="F305" i="15"/>
  <c r="F313" i="15"/>
  <c r="F321" i="15"/>
  <c r="F329" i="15"/>
  <c r="F337" i="15"/>
  <c r="F345" i="15"/>
  <c r="F353" i="15"/>
  <c r="F361" i="15"/>
  <c r="F369" i="15"/>
  <c r="F377" i="15"/>
  <c r="F385" i="15"/>
  <c r="F393" i="15"/>
  <c r="F401" i="15"/>
  <c r="F409" i="15"/>
  <c r="F417" i="15"/>
  <c r="F425" i="15"/>
  <c r="F433" i="15"/>
  <c r="F441" i="15"/>
  <c r="F449" i="15"/>
  <c r="F457" i="15"/>
  <c r="F465" i="15"/>
  <c r="F473" i="15"/>
  <c r="F481" i="15"/>
  <c r="F489" i="15"/>
  <c r="F497" i="15"/>
  <c r="F505" i="15"/>
  <c r="F513" i="15"/>
  <c r="F521" i="15"/>
  <c r="F529" i="15"/>
  <c r="F537" i="15"/>
  <c r="F545" i="15"/>
  <c r="F553" i="15"/>
  <c r="F561" i="15"/>
  <c r="F569" i="15"/>
  <c r="F577" i="15"/>
  <c r="F585" i="15"/>
  <c r="F593" i="15"/>
  <c r="F601" i="15"/>
  <c r="F609" i="15"/>
  <c r="F617" i="15"/>
  <c r="F625" i="15"/>
  <c r="F633" i="15"/>
  <c r="F641" i="15"/>
  <c r="F649" i="15"/>
  <c r="F657" i="15"/>
  <c r="F665" i="15"/>
  <c r="F673" i="15"/>
  <c r="F681" i="15"/>
  <c r="F689" i="15"/>
  <c r="F697" i="15"/>
  <c r="F705" i="15"/>
  <c r="F713" i="15"/>
  <c r="F721" i="15"/>
  <c r="F729" i="15"/>
  <c r="F737" i="15"/>
  <c r="F745" i="15"/>
  <c r="F753" i="15"/>
  <c r="F761" i="15"/>
  <c r="F769" i="15"/>
  <c r="F777" i="15"/>
  <c r="F785" i="15"/>
  <c r="F797" i="15"/>
  <c r="F813" i="15"/>
  <c r="F308" i="14"/>
  <c r="F316" i="14"/>
  <c r="F324" i="14"/>
  <c r="F332" i="14"/>
  <c r="F340" i="14"/>
  <c r="F348" i="14"/>
  <c r="F356" i="14"/>
  <c r="F364" i="14"/>
  <c r="F372" i="14"/>
  <c r="F380" i="14"/>
  <c r="F388" i="14"/>
  <c r="F396" i="14"/>
  <c r="F404" i="14"/>
  <c r="F412" i="14"/>
  <c r="F420" i="14"/>
  <c r="F428" i="14"/>
  <c r="F436" i="14"/>
  <c r="F444" i="14"/>
  <c r="F452" i="14"/>
  <c r="F460" i="14"/>
  <c r="F468" i="14"/>
  <c r="F476" i="14"/>
  <c r="F484" i="14"/>
  <c r="F492" i="14"/>
  <c r="F500" i="14"/>
  <c r="F508" i="14"/>
  <c r="F516" i="14"/>
  <c r="F524" i="14"/>
  <c r="F532" i="14"/>
  <c r="F540" i="14"/>
  <c r="F548" i="14"/>
  <c r="F556" i="14"/>
  <c r="F564" i="14"/>
  <c r="F572" i="14"/>
  <c r="F580" i="14"/>
  <c r="F588" i="14"/>
  <c r="F596" i="14"/>
  <c r="F604" i="14"/>
  <c r="F612" i="14"/>
  <c r="F620" i="14"/>
  <c r="F628" i="14"/>
  <c r="F636" i="14"/>
  <c r="F644" i="14"/>
  <c r="F652" i="14"/>
  <c r="F660" i="14"/>
  <c r="F668" i="14"/>
  <c r="F676" i="14"/>
  <c r="F684" i="14"/>
  <c r="F692" i="14"/>
  <c r="F700" i="14"/>
  <c r="F708" i="14"/>
  <c r="F716" i="14"/>
  <c r="F724" i="14"/>
  <c r="F732" i="14"/>
  <c r="F740" i="14"/>
  <c r="F748" i="14"/>
  <c r="F756" i="14"/>
  <c r="F764" i="14"/>
  <c r="F772" i="14"/>
  <c r="F780" i="14"/>
  <c r="F788" i="14"/>
  <c r="F796" i="14"/>
  <c r="F804" i="14"/>
  <c r="F812" i="14"/>
  <c r="F820" i="14"/>
  <c r="F828" i="14"/>
  <c r="F836" i="14"/>
  <c r="F844" i="14"/>
  <c r="F852" i="14"/>
  <c r="F860" i="14"/>
  <c r="F868" i="14"/>
  <c r="F876" i="14"/>
  <c r="F884" i="14"/>
  <c r="F892" i="14"/>
  <c r="F900" i="14"/>
  <c r="F908" i="14"/>
  <c r="F916" i="14"/>
  <c r="F924" i="14"/>
  <c r="F932" i="14"/>
  <c r="F940" i="14"/>
  <c r="F948" i="14"/>
  <c r="F956" i="14"/>
  <c r="F964" i="14"/>
  <c r="F972" i="14"/>
  <c r="F980" i="14"/>
  <c r="F988" i="14"/>
  <c r="F996" i="14"/>
  <c r="F1004" i="14"/>
  <c r="F1012" i="14"/>
  <c r="F1020" i="14"/>
  <c r="F1028" i="14"/>
  <c r="F1036" i="14"/>
  <c r="F1044" i="14"/>
  <c r="F1052" i="14"/>
  <c r="F1060" i="14"/>
  <c r="F1068" i="14"/>
  <c r="F1076" i="14"/>
  <c r="F1084" i="14"/>
  <c r="F1092" i="14"/>
  <c r="F1100" i="14"/>
  <c r="F1108" i="14"/>
  <c r="F1116" i="14"/>
  <c r="F1124" i="14"/>
  <c r="F1132" i="14"/>
  <c r="F1140" i="14"/>
  <c r="F1148" i="14"/>
  <c r="F1156" i="14"/>
  <c r="F1164" i="14"/>
  <c r="F1172" i="14"/>
  <c r="F1180" i="14"/>
  <c r="F1188" i="14"/>
  <c r="F1196" i="14"/>
  <c r="F1204" i="14"/>
  <c r="F1212" i="14"/>
  <c r="F1220" i="14"/>
  <c r="F1228" i="14"/>
  <c r="F1236" i="14"/>
  <c r="F1244" i="14"/>
  <c r="F1252" i="14"/>
  <c r="F1260" i="14"/>
  <c r="F1268" i="14"/>
  <c r="F1276" i="14"/>
  <c r="F1284" i="14"/>
  <c r="F1292" i="14"/>
  <c r="F1300" i="14"/>
  <c r="F1308" i="14"/>
  <c r="F1316" i="14"/>
  <c r="F1324" i="14"/>
  <c r="F1332" i="14"/>
  <c r="F1340" i="14"/>
  <c r="F1348" i="14"/>
  <c r="F1356" i="14"/>
  <c r="F1364" i="14"/>
  <c r="F1372" i="14"/>
  <c r="F1380" i="14"/>
  <c r="F1388" i="14"/>
  <c r="F1396" i="14"/>
  <c r="F1404" i="14"/>
  <c r="F1412" i="14"/>
  <c r="F1420" i="14"/>
  <c r="F1428" i="14"/>
  <c r="F1436" i="14"/>
  <c r="F1444" i="14"/>
  <c r="F1452" i="14"/>
  <c r="F1460" i="14"/>
  <c r="F1468" i="14"/>
  <c r="F1476" i="14"/>
  <c r="F1484" i="14"/>
  <c r="F1492" i="14"/>
  <c r="F1500" i="14"/>
  <c r="F1508" i="14"/>
  <c r="F1516" i="14"/>
  <c r="F1524" i="14"/>
  <c r="F1532" i="14"/>
  <c r="F1540" i="14"/>
  <c r="F1548" i="14"/>
  <c r="F1556" i="14"/>
  <c r="F1564" i="14"/>
  <c r="F1572" i="14"/>
  <c r="F1580" i="14"/>
  <c r="F1588" i="14"/>
  <c r="F1596" i="14"/>
  <c r="F1604" i="14"/>
  <c r="F1612" i="14"/>
  <c r="F1620" i="14"/>
  <c r="F1628" i="14"/>
  <c r="F1636" i="14"/>
  <c r="F1644" i="14"/>
  <c r="F1652" i="14"/>
  <c r="F1660" i="14"/>
  <c r="F1668" i="14"/>
  <c r="F1676" i="14"/>
  <c r="F1684" i="14"/>
  <c r="F1692" i="14"/>
  <c r="F1700" i="14"/>
  <c r="F1708" i="14"/>
  <c r="F1716" i="14"/>
  <c r="F1724" i="14"/>
  <c r="F1732" i="14"/>
  <c r="F1740" i="14"/>
  <c r="F1748" i="14"/>
  <c r="F1756" i="14"/>
  <c r="F1764" i="14"/>
  <c r="F1772" i="14"/>
  <c r="F1780" i="14"/>
  <c r="F1788" i="14"/>
  <c r="F1796" i="14"/>
  <c r="F1804" i="14"/>
  <c r="F1812" i="14"/>
  <c r="F1820" i="14"/>
  <c r="F1828" i="14"/>
  <c r="F1836" i="14"/>
  <c r="F1844" i="14"/>
  <c r="F1852" i="14"/>
  <c r="F1860" i="14"/>
  <c r="F1868" i="14"/>
  <c r="F1876" i="14"/>
  <c r="F1884" i="14"/>
  <c r="F1892" i="14"/>
  <c r="F1900" i="14"/>
  <c r="F1908" i="14"/>
  <c r="F1916" i="14"/>
  <c r="F1924" i="14"/>
  <c r="F1932" i="14"/>
  <c r="F1940" i="14"/>
  <c r="F1948" i="14"/>
  <c r="F1956" i="14"/>
  <c r="F1964" i="14"/>
  <c r="F1972" i="14"/>
  <c r="F1980" i="14"/>
  <c r="F1988" i="14"/>
  <c r="F1996" i="14"/>
  <c r="F2004" i="14"/>
  <c r="F2012" i="14"/>
  <c r="F2020" i="14"/>
  <c r="F2028" i="14"/>
  <c r="F2036" i="14"/>
  <c r="F2044" i="14"/>
  <c r="F2052" i="14"/>
  <c r="F2060" i="14"/>
  <c r="F2068" i="14"/>
  <c r="F2076" i="14"/>
  <c r="F2084" i="14"/>
  <c r="F2092" i="14"/>
  <c r="F2100" i="14"/>
  <c r="F2108" i="14"/>
  <c r="F2116" i="14"/>
  <c r="F2124" i="14"/>
  <c r="F2132" i="14"/>
  <c r="F2140" i="14"/>
  <c r="F2148" i="14"/>
  <c r="F2156" i="14"/>
  <c r="F2164" i="14"/>
  <c r="F2172" i="14"/>
  <c r="F2180" i="14"/>
  <c r="F2188" i="14"/>
  <c r="F2196" i="14"/>
  <c r="F2204" i="14"/>
  <c r="F2212" i="14"/>
  <c r="F2220" i="14"/>
  <c r="F2228" i="14"/>
  <c r="F2236" i="14"/>
  <c r="F2244" i="14"/>
  <c r="F2252" i="14"/>
  <c r="F2260" i="14"/>
  <c r="F2268" i="14"/>
  <c r="F2276" i="14"/>
  <c r="F2284" i="14"/>
  <c r="F2292" i="14"/>
  <c r="F2300" i="14"/>
  <c r="F2314" i="14"/>
  <c r="F2322" i="14"/>
  <c r="F2330" i="14"/>
  <c r="F2338" i="14"/>
  <c r="F2346" i="14"/>
  <c r="F2354" i="14"/>
  <c r="F2362" i="14"/>
  <c r="F2370" i="14"/>
  <c r="F2378" i="14"/>
  <c r="F3" i="15"/>
  <c r="F11" i="15"/>
  <c r="F19" i="15"/>
  <c r="F27" i="15"/>
  <c r="F35" i="15"/>
  <c r="F43" i="15"/>
  <c r="F51" i="15"/>
  <c r="F59" i="15"/>
  <c r="F67" i="15"/>
  <c r="F75" i="15"/>
  <c r="F83" i="15"/>
  <c r="F91" i="15"/>
  <c r="F99" i="15"/>
  <c r="F107" i="15"/>
  <c r="F115" i="15"/>
  <c r="F123" i="15"/>
  <c r="F131" i="15"/>
  <c r="F139" i="15"/>
  <c r="F147" i="15"/>
  <c r="F155" i="15"/>
  <c r="F163" i="15"/>
  <c r="F171" i="15"/>
  <c r="F179" i="15"/>
  <c r="F187" i="15"/>
  <c r="F195" i="15"/>
  <c r="F203" i="15"/>
  <c r="F211" i="15"/>
  <c r="F219" i="15"/>
  <c r="F227" i="15"/>
  <c r="F235" i="15"/>
  <c r="F243" i="15"/>
  <c r="F251" i="15"/>
  <c r="F259" i="15"/>
  <c r="F267" i="15"/>
  <c r="F275" i="15"/>
  <c r="F283" i="15"/>
  <c r="F291" i="15"/>
  <c r="F299" i="15"/>
  <c r="F307" i="15"/>
  <c r="F315" i="15"/>
  <c r="F323" i="15"/>
  <c r="F331" i="15"/>
  <c r="F339" i="15"/>
  <c r="F347" i="15"/>
  <c r="F355" i="15"/>
  <c r="F363" i="15"/>
  <c r="F371" i="15"/>
  <c r="F379" i="15"/>
  <c r="F387" i="15"/>
  <c r="F395" i="15"/>
  <c r="F403" i="15"/>
  <c r="F411" i="15"/>
  <c r="F419" i="15"/>
  <c r="F427" i="15"/>
  <c r="F435" i="15"/>
  <c r="F443" i="15"/>
  <c r="F451" i="15"/>
  <c r="F459" i="15"/>
  <c r="F467" i="15"/>
  <c r="F475" i="15"/>
  <c r="F483" i="15"/>
  <c r="F491" i="15"/>
  <c r="F499" i="15"/>
  <c r="F507" i="15"/>
  <c r="F515" i="15"/>
  <c r="F523" i="15"/>
  <c r="F531" i="15"/>
  <c r="F539" i="15"/>
  <c r="F547" i="15"/>
  <c r="F555" i="15"/>
  <c r="F563" i="15"/>
  <c r="F571" i="15"/>
  <c r="F579" i="15"/>
  <c r="F587" i="15"/>
  <c r="F595" i="15"/>
  <c r="F603" i="15"/>
  <c r="F611" i="15"/>
  <c r="F619" i="15"/>
  <c r="F627" i="15"/>
  <c r="F635" i="15"/>
  <c r="F643" i="15"/>
  <c r="F651" i="15"/>
  <c r="F659" i="15"/>
  <c r="F667" i="15"/>
  <c r="F675" i="15"/>
  <c r="F683" i="15"/>
  <c r="F691" i="15"/>
  <c r="F699" i="15"/>
  <c r="F707" i="15"/>
  <c r="F715" i="15"/>
  <c r="F723" i="15"/>
  <c r="F731" i="15"/>
  <c r="F739" i="15"/>
  <c r="F747" i="15"/>
  <c r="F755" i="15"/>
  <c r="F763" i="15"/>
  <c r="F771" i="15"/>
  <c r="F779" i="15"/>
  <c r="F787" i="15"/>
  <c r="F799" i="15"/>
  <c r="F815" i="15"/>
  <c r="F795" i="15"/>
  <c r="F803" i="15"/>
  <c r="F811" i="15"/>
  <c r="F819" i="15"/>
  <c r="F827" i="15"/>
  <c r="F835" i="15"/>
  <c r="F843" i="15"/>
  <c r="F851" i="15"/>
  <c r="F859" i="15"/>
  <c r="F867" i="15"/>
  <c r="F875" i="15"/>
  <c r="F883" i="15"/>
  <c r="F891" i="15"/>
  <c r="F899" i="15"/>
  <c r="F907" i="15"/>
  <c r="F915" i="15"/>
  <c r="F923" i="15"/>
  <c r="F931" i="15"/>
  <c r="F939" i="15"/>
  <c r="F947" i="15"/>
  <c r="F955" i="15"/>
  <c r="F963" i="15"/>
  <c r="F971" i="15"/>
  <c r="F979" i="15"/>
  <c r="F987" i="15"/>
  <c r="F2313" i="14"/>
  <c r="F2321" i="14"/>
  <c r="F2329" i="14"/>
  <c r="F2337" i="14"/>
  <c r="F2345" i="14"/>
  <c r="F2353" i="14"/>
  <c r="F2361" i="14"/>
  <c r="F2369" i="14"/>
  <c r="F2377" i="14"/>
  <c r="F2" i="15"/>
  <c r="F10" i="15"/>
  <c r="F18" i="15"/>
  <c r="F26" i="15"/>
  <c r="F34" i="15"/>
  <c r="F42" i="15"/>
  <c r="F50" i="15"/>
  <c r="F58" i="15"/>
  <c r="F66" i="15"/>
  <c r="F74" i="15"/>
  <c r="F82" i="15"/>
  <c r="F90" i="15"/>
  <c r="F98" i="15"/>
  <c r="F106" i="15"/>
  <c r="F114" i="15"/>
  <c r="F122" i="15"/>
  <c r="F130" i="15"/>
  <c r="F138" i="15"/>
  <c r="F146" i="15"/>
  <c r="F154" i="15"/>
  <c r="F162" i="15"/>
  <c r="F170" i="15"/>
  <c r="F178" i="15"/>
  <c r="F186" i="15"/>
  <c r="F194" i="15"/>
  <c r="F202" i="15"/>
  <c r="F210" i="15"/>
  <c r="F218" i="15"/>
  <c r="F226" i="15"/>
  <c r="F234" i="15"/>
  <c r="F242" i="15"/>
  <c r="F250" i="15"/>
  <c r="F258" i="15"/>
  <c r="F266" i="15"/>
  <c r="F274" i="15"/>
  <c r="F282" i="15"/>
  <c r="F290" i="15"/>
  <c r="F298" i="15"/>
  <c r="F306" i="15"/>
  <c r="F314" i="15"/>
  <c r="F322" i="15"/>
  <c r="F330" i="15"/>
  <c r="F338" i="15"/>
  <c r="F346" i="15"/>
  <c r="F354" i="15"/>
  <c r="F362" i="15"/>
  <c r="F370" i="15"/>
  <c r="F378" i="15"/>
  <c r="F386" i="15"/>
  <c r="F394" i="15"/>
  <c r="F402" i="15"/>
  <c r="F410" i="15"/>
  <c r="F418" i="15"/>
  <c r="F426" i="15"/>
  <c r="F434" i="15"/>
  <c r="F442" i="15"/>
  <c r="F450" i="15"/>
  <c r="F458" i="15"/>
  <c r="F466" i="15"/>
  <c r="F474" i="15"/>
  <c r="F482" i="15"/>
  <c r="F490" i="15"/>
  <c r="F498" i="15"/>
  <c r="F506" i="15"/>
  <c r="F514" i="15"/>
  <c r="F522" i="15"/>
  <c r="F530" i="15"/>
  <c r="F538" i="15"/>
  <c r="F546" i="15"/>
  <c r="F554" i="15"/>
  <c r="F562" i="15"/>
  <c r="F570" i="15"/>
  <c r="F578" i="15"/>
  <c r="F586" i="15"/>
  <c r="F594" i="15"/>
  <c r="F602" i="15"/>
  <c r="F610" i="15"/>
  <c r="F618" i="15"/>
  <c r="F626" i="15"/>
  <c r="F634" i="15"/>
  <c r="F642" i="15"/>
  <c r="F650" i="15"/>
  <c r="F658" i="15"/>
  <c r="F666" i="15"/>
  <c r="F674" i="15"/>
  <c r="F682" i="15"/>
  <c r="F690" i="15"/>
  <c r="F698" i="15"/>
  <c r="F706" i="15"/>
  <c r="F714" i="15"/>
  <c r="F722" i="15"/>
  <c r="F730" i="15"/>
  <c r="F738" i="15"/>
  <c r="F746" i="15"/>
  <c r="F754" i="15"/>
  <c r="F762" i="15"/>
  <c r="F770" i="15"/>
  <c r="F778" i="15"/>
  <c r="F786" i="15"/>
  <c r="F794" i="15"/>
  <c r="F802" i="15"/>
  <c r="F810" i="15"/>
  <c r="F818" i="15"/>
  <c r="F826" i="15"/>
  <c r="F834" i="15"/>
  <c r="F842" i="15"/>
  <c r="F850" i="15"/>
  <c r="F858" i="15"/>
  <c r="F866" i="15"/>
  <c r="F874" i="15"/>
  <c r="F882" i="15"/>
  <c r="F890" i="15"/>
  <c r="F898" i="15"/>
  <c r="F906" i="15"/>
  <c r="F914" i="15"/>
  <c r="F922" i="15"/>
  <c r="F930" i="15"/>
  <c r="F938" i="15"/>
  <c r="F946" i="15"/>
  <c r="F954" i="15"/>
  <c r="F962" i="15"/>
  <c r="F970" i="15"/>
  <c r="F978" i="15"/>
  <c r="F986" i="15"/>
  <c r="F990" i="15"/>
  <c r="F998" i="15"/>
  <c r="F1006" i="15"/>
  <c r="F1014" i="15"/>
  <c r="F1022" i="15"/>
  <c r="F1030" i="15"/>
  <c r="F1038" i="15"/>
  <c r="F1046" i="15"/>
  <c r="F1054" i="15"/>
  <c r="F1062" i="15"/>
  <c r="F1070" i="15"/>
  <c r="F1078" i="15"/>
  <c r="F1086" i="15"/>
  <c r="F1094" i="15"/>
  <c r="F1102" i="15"/>
  <c r="F1110" i="15"/>
  <c r="F1118" i="15"/>
  <c r="F1126" i="15"/>
  <c r="F1134" i="15"/>
  <c r="F1142" i="15"/>
  <c r="F1150" i="15"/>
  <c r="F1158" i="15"/>
  <c r="F1166" i="15"/>
  <c r="F1174" i="15"/>
  <c r="F1182" i="15"/>
  <c r="F1190" i="15"/>
  <c r="F1198" i="15"/>
  <c r="F1206" i="15"/>
  <c r="F1214" i="15"/>
  <c r="F1222" i="15"/>
  <c r="F1230" i="15"/>
  <c r="F1238" i="15"/>
  <c r="F1246" i="15"/>
  <c r="F1254" i="15"/>
  <c r="F1262" i="15"/>
  <c r="F1270" i="15"/>
  <c r="F1278" i="15"/>
  <c r="F1286" i="15"/>
  <c r="F1294" i="15"/>
  <c r="F1302" i="15"/>
  <c r="F1310" i="15"/>
  <c r="F1318" i="15"/>
  <c r="F1326" i="15"/>
  <c r="F1334" i="15"/>
  <c r="F1342" i="15"/>
  <c r="F1350" i="15"/>
  <c r="F1358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86" i="15"/>
  <c r="F1494" i="15"/>
  <c r="F1502" i="15"/>
  <c r="F1510" i="15"/>
  <c r="F1518" i="15"/>
  <c r="F1526" i="15"/>
  <c r="F1534" i="15"/>
  <c r="F1542" i="15"/>
  <c r="F1550" i="15"/>
  <c r="F1558" i="15"/>
  <c r="F1566" i="15"/>
  <c r="F1574" i="15"/>
  <c r="F1582" i="15"/>
  <c r="F1590" i="15"/>
  <c r="F1598" i="15"/>
  <c r="F1606" i="15"/>
  <c r="F1614" i="15"/>
  <c r="F1622" i="15"/>
  <c r="F1630" i="15"/>
  <c r="F1638" i="15"/>
  <c r="F1646" i="15"/>
  <c r="F1654" i="15"/>
  <c r="F1662" i="15"/>
  <c r="F1670" i="15"/>
  <c r="F1678" i="15"/>
  <c r="F1686" i="15"/>
  <c r="F1694" i="15"/>
  <c r="F1702" i="15"/>
  <c r="F1710" i="15"/>
  <c r="F1718" i="15"/>
  <c r="F1726" i="15"/>
  <c r="F1734" i="15"/>
  <c r="F1742" i="15"/>
  <c r="F821" i="15"/>
  <c r="F829" i="15"/>
  <c r="F837" i="15"/>
  <c r="F845" i="15"/>
  <c r="F853" i="15"/>
  <c r="F861" i="15"/>
  <c r="F869" i="15"/>
  <c r="F877" i="15"/>
  <c r="F885" i="15"/>
  <c r="F893" i="15"/>
  <c r="F901" i="15"/>
  <c r="F909" i="15"/>
  <c r="F917" i="15"/>
  <c r="F925" i="15"/>
  <c r="F933" i="15"/>
  <c r="F941" i="15"/>
  <c r="F949" i="15"/>
  <c r="F957" i="15"/>
  <c r="F965" i="15"/>
  <c r="F973" i="15"/>
  <c r="F981" i="15"/>
  <c r="F2307" i="14"/>
  <c r="F2315" i="14"/>
  <c r="F2323" i="14"/>
  <c r="F2331" i="14"/>
  <c r="F2339" i="14"/>
  <c r="F2347" i="14"/>
  <c r="F2355" i="14"/>
  <c r="F2363" i="14"/>
  <c r="F2371" i="14"/>
  <c r="F2379" i="14"/>
  <c r="F4" i="15"/>
  <c r="F12" i="15"/>
  <c r="F20" i="15"/>
  <c r="F28" i="15"/>
  <c r="F36" i="15"/>
  <c r="F44" i="15"/>
  <c r="F52" i="15"/>
  <c r="F60" i="15"/>
  <c r="F68" i="15"/>
  <c r="F76" i="15"/>
  <c r="F84" i="15"/>
  <c r="F92" i="15"/>
  <c r="F100" i="15"/>
  <c r="F108" i="15"/>
  <c r="F116" i="15"/>
  <c r="F124" i="15"/>
  <c r="F132" i="15"/>
  <c r="F140" i="15"/>
  <c r="F148" i="15"/>
  <c r="F156" i="15"/>
  <c r="F164" i="15"/>
  <c r="F172" i="15"/>
  <c r="F180" i="15"/>
  <c r="F188" i="15"/>
  <c r="F196" i="15"/>
  <c r="F204" i="15"/>
  <c r="F212" i="15"/>
  <c r="F220" i="15"/>
  <c r="F228" i="15"/>
  <c r="F236" i="15"/>
  <c r="F244" i="15"/>
  <c r="F252" i="15"/>
  <c r="F260" i="15"/>
  <c r="F268" i="15"/>
  <c r="F276" i="15"/>
  <c r="F284" i="15"/>
  <c r="F292" i="15"/>
  <c r="F300" i="15"/>
  <c r="F308" i="15"/>
  <c r="F316" i="15"/>
  <c r="F324" i="15"/>
  <c r="F332" i="15"/>
  <c r="F340" i="15"/>
  <c r="F348" i="15"/>
  <c r="F356" i="15"/>
  <c r="F364" i="15"/>
  <c r="F372" i="15"/>
  <c r="F380" i="15"/>
  <c r="F388" i="15"/>
  <c r="F396" i="15"/>
  <c r="F404" i="15"/>
  <c r="F412" i="15"/>
  <c r="F420" i="15"/>
  <c r="F428" i="15"/>
  <c r="F436" i="15"/>
  <c r="F444" i="15"/>
  <c r="F452" i="15"/>
  <c r="F460" i="15"/>
  <c r="F468" i="15"/>
  <c r="F476" i="15"/>
  <c r="F484" i="15"/>
  <c r="F492" i="15"/>
  <c r="F500" i="15"/>
  <c r="F508" i="15"/>
  <c r="F516" i="15"/>
  <c r="F524" i="15"/>
  <c r="F532" i="15"/>
  <c r="F540" i="15"/>
  <c r="F548" i="15"/>
  <c r="F556" i="15"/>
  <c r="F564" i="15"/>
  <c r="F572" i="15"/>
  <c r="F580" i="15"/>
  <c r="F588" i="15"/>
  <c r="F596" i="15"/>
  <c r="F604" i="15"/>
  <c r="F612" i="15"/>
  <c r="F620" i="15"/>
  <c r="F628" i="15"/>
  <c r="F636" i="15"/>
  <c r="F644" i="15"/>
  <c r="F652" i="15"/>
  <c r="F660" i="15"/>
  <c r="F668" i="15"/>
  <c r="F676" i="15"/>
  <c r="F684" i="15"/>
  <c r="F692" i="15"/>
  <c r="F700" i="15"/>
  <c r="F708" i="15"/>
  <c r="F716" i="15"/>
  <c r="F724" i="15"/>
  <c r="F732" i="15"/>
  <c r="F740" i="15"/>
  <c r="F748" i="15"/>
  <c r="F756" i="15"/>
  <c r="F764" i="15"/>
  <c r="F772" i="15"/>
  <c r="F780" i="15"/>
  <c r="F788" i="15"/>
  <c r="F796" i="15"/>
  <c r="F804" i="15"/>
  <c r="F812" i="15"/>
  <c r="F820" i="15"/>
  <c r="F828" i="15"/>
  <c r="F836" i="15"/>
  <c r="F844" i="15"/>
  <c r="F852" i="15"/>
  <c r="F860" i="15"/>
  <c r="F868" i="15"/>
  <c r="F876" i="15"/>
  <c r="F884" i="15"/>
  <c r="F892" i="15"/>
  <c r="F900" i="15"/>
  <c r="F908" i="15"/>
  <c r="F916" i="15"/>
  <c r="F924" i="15"/>
  <c r="F932" i="15"/>
  <c r="F940" i="15"/>
  <c r="F948" i="15"/>
  <c r="F956" i="15"/>
  <c r="F964" i="15"/>
  <c r="F972" i="15"/>
  <c r="F980" i="15"/>
  <c r="F992" i="15"/>
  <c r="F1000" i="15"/>
  <c r="F1008" i="15"/>
  <c r="F1016" i="15"/>
  <c r="F1024" i="15"/>
  <c r="F1032" i="15"/>
  <c r="F1040" i="15"/>
  <c r="F1048" i="15"/>
  <c r="F1056" i="15"/>
  <c r="F1064" i="15"/>
  <c r="F1072" i="15"/>
  <c r="F1080" i="15"/>
  <c r="F1088" i="15"/>
  <c r="F1096" i="15"/>
  <c r="F1104" i="15"/>
  <c r="F1112" i="15"/>
  <c r="F1120" i="15"/>
  <c r="F1128" i="15"/>
  <c r="F1136" i="15"/>
  <c r="F1144" i="15"/>
  <c r="F1152" i="15"/>
  <c r="F1160" i="15"/>
  <c r="F1168" i="15"/>
  <c r="F1176" i="15"/>
  <c r="F1184" i="15"/>
  <c r="F1192" i="15"/>
  <c r="F1200" i="15"/>
  <c r="F1208" i="15"/>
  <c r="F1216" i="15"/>
  <c r="F1224" i="15"/>
  <c r="F1232" i="15"/>
  <c r="F1240" i="15"/>
  <c r="F1248" i="15"/>
  <c r="F1256" i="15"/>
  <c r="F1264" i="15"/>
  <c r="F1272" i="15"/>
  <c r="F1280" i="15"/>
  <c r="F1288" i="15"/>
  <c r="F1296" i="15"/>
  <c r="F1304" i="15"/>
  <c r="F1312" i="15"/>
  <c r="F1320" i="15"/>
  <c r="F1328" i="15"/>
  <c r="F1336" i="15"/>
  <c r="F1344" i="15"/>
  <c r="F1352" i="15"/>
  <c r="F1360" i="15"/>
  <c r="F1368" i="15"/>
  <c r="F1376" i="15"/>
  <c r="F1384" i="15"/>
  <c r="F1392" i="15"/>
  <c r="F1400" i="15"/>
  <c r="F1408" i="15"/>
  <c r="F1416" i="15"/>
  <c r="F1424" i="15"/>
  <c r="F1432" i="15"/>
  <c r="F1440" i="15"/>
  <c r="F1448" i="15"/>
  <c r="F1456" i="15"/>
  <c r="F1464" i="15"/>
  <c r="F1472" i="15"/>
  <c r="F1480" i="15"/>
  <c r="F1488" i="15"/>
  <c r="F1496" i="15"/>
  <c r="F1504" i="15"/>
  <c r="F1512" i="15"/>
  <c r="F1520" i="15"/>
  <c r="F1528" i="15"/>
  <c r="F1536" i="15"/>
  <c r="F1544" i="15"/>
  <c r="F1552" i="15"/>
  <c r="F1560" i="15"/>
  <c r="F1568" i="15"/>
  <c r="F1576" i="15"/>
  <c r="F1584" i="15"/>
  <c r="F1592" i="15"/>
  <c r="F1600" i="15"/>
  <c r="F1608" i="15"/>
  <c r="F1616" i="15"/>
  <c r="F1624" i="15"/>
  <c r="F1632" i="15"/>
  <c r="F1640" i="15"/>
  <c r="F1648" i="15"/>
  <c r="F1656" i="15"/>
  <c r="F1664" i="15"/>
  <c r="F1672" i="15"/>
  <c r="F1680" i="15"/>
  <c r="F1688" i="15"/>
  <c r="F1696" i="15"/>
  <c r="F1704" i="15"/>
  <c r="F1712" i="15"/>
  <c r="F1720" i="15"/>
  <c r="F1728" i="15"/>
  <c r="F1736" i="15"/>
  <c r="F1744" i="15"/>
  <c r="F823" i="15"/>
  <c r="F831" i="15"/>
  <c r="F839" i="15"/>
  <c r="F847" i="15"/>
  <c r="F855" i="15"/>
  <c r="F863" i="15"/>
  <c r="F871" i="15"/>
  <c r="F879" i="15"/>
  <c r="F887" i="15"/>
  <c r="F895" i="15"/>
  <c r="F903" i="15"/>
  <c r="F911" i="15"/>
  <c r="F919" i="15"/>
  <c r="F927" i="15"/>
  <c r="F935" i="15"/>
  <c r="F943" i="15"/>
  <c r="F951" i="15"/>
  <c r="F959" i="15"/>
  <c r="F967" i="15"/>
  <c r="F975" i="15"/>
  <c r="F983" i="15"/>
  <c r="F2309" i="14"/>
  <c r="F2317" i="14"/>
  <c r="F2325" i="14"/>
  <c r="F2333" i="14"/>
  <c r="F2341" i="14"/>
  <c r="F2349" i="14"/>
  <c r="F2357" i="14"/>
  <c r="F2365" i="14"/>
  <c r="F2373" i="14"/>
  <c r="F2381" i="14"/>
  <c r="F6" i="15"/>
  <c r="F14" i="15"/>
  <c r="F22" i="15"/>
  <c r="F30" i="15"/>
  <c r="F38" i="15"/>
  <c r="F46" i="15"/>
  <c r="F54" i="15"/>
  <c r="F62" i="15"/>
  <c r="F70" i="15"/>
  <c r="F78" i="15"/>
  <c r="F86" i="15"/>
  <c r="F94" i="15"/>
  <c r="F102" i="15"/>
  <c r="F110" i="15"/>
  <c r="F118" i="15"/>
  <c r="F126" i="15"/>
  <c r="F134" i="15"/>
  <c r="F142" i="15"/>
  <c r="F150" i="15"/>
  <c r="F158" i="15"/>
  <c r="F166" i="15"/>
  <c r="F174" i="15"/>
  <c r="F182" i="15"/>
  <c r="F190" i="15"/>
  <c r="F198" i="15"/>
  <c r="F206" i="15"/>
  <c r="F214" i="15"/>
  <c r="F222" i="15"/>
  <c r="F230" i="15"/>
  <c r="F238" i="15"/>
  <c r="F246" i="15"/>
  <c r="F254" i="15"/>
  <c r="F262" i="15"/>
  <c r="F270" i="15"/>
  <c r="F278" i="15"/>
  <c r="F286" i="15"/>
  <c r="F294" i="15"/>
  <c r="F302" i="15"/>
  <c r="F310" i="15"/>
  <c r="F318" i="15"/>
  <c r="F326" i="15"/>
  <c r="F334" i="15"/>
  <c r="F342" i="15"/>
  <c r="F350" i="15"/>
  <c r="F358" i="15"/>
  <c r="F366" i="15"/>
  <c r="F374" i="15"/>
  <c r="F382" i="15"/>
  <c r="F390" i="15"/>
  <c r="F398" i="15"/>
  <c r="F406" i="15"/>
  <c r="F414" i="15"/>
  <c r="F422" i="15"/>
  <c r="F430" i="15"/>
  <c r="F438" i="15"/>
  <c r="F446" i="15"/>
  <c r="F454" i="15"/>
  <c r="F462" i="15"/>
  <c r="F470" i="15"/>
  <c r="F478" i="15"/>
  <c r="F486" i="15"/>
  <c r="F494" i="15"/>
  <c r="F502" i="15"/>
  <c r="F510" i="15"/>
  <c r="F518" i="15"/>
  <c r="F526" i="15"/>
  <c r="F534" i="15"/>
  <c r="F542" i="15"/>
  <c r="F550" i="15"/>
  <c r="F558" i="15"/>
  <c r="F566" i="15"/>
  <c r="F574" i="15"/>
  <c r="F582" i="15"/>
  <c r="F590" i="15"/>
  <c r="F598" i="15"/>
  <c r="F606" i="15"/>
  <c r="F614" i="15"/>
  <c r="F622" i="15"/>
  <c r="F630" i="15"/>
  <c r="F638" i="15"/>
  <c r="F646" i="15"/>
  <c r="F654" i="15"/>
  <c r="F662" i="15"/>
  <c r="F670" i="15"/>
  <c r="F678" i="15"/>
  <c r="F686" i="15"/>
  <c r="F694" i="15"/>
  <c r="F702" i="15"/>
  <c r="F710" i="15"/>
  <c r="F718" i="15"/>
  <c r="F726" i="15"/>
  <c r="F734" i="15"/>
  <c r="F742" i="15"/>
  <c r="F750" i="15"/>
  <c r="F758" i="15"/>
  <c r="F766" i="15"/>
  <c r="F774" i="15"/>
  <c r="F782" i="15"/>
  <c r="F790" i="15"/>
  <c r="F798" i="15"/>
  <c r="F806" i="15"/>
  <c r="F814" i="15"/>
  <c r="F822" i="15"/>
  <c r="F830" i="15"/>
  <c r="F838" i="15"/>
  <c r="F846" i="15"/>
  <c r="F854" i="15"/>
  <c r="F862" i="15"/>
  <c r="F870" i="15"/>
  <c r="F878" i="15"/>
  <c r="F886" i="15"/>
  <c r="F894" i="15"/>
  <c r="F902" i="15"/>
  <c r="F910" i="15"/>
  <c r="F918" i="15"/>
  <c r="F926" i="15"/>
  <c r="F934" i="15"/>
  <c r="F942" i="15"/>
  <c r="F950" i="15"/>
  <c r="F958" i="15"/>
  <c r="F966" i="15"/>
  <c r="F974" i="15"/>
  <c r="F982" i="15"/>
  <c r="F994" i="15"/>
  <c r="F1002" i="15"/>
  <c r="F1010" i="15"/>
  <c r="F1018" i="15"/>
  <c r="F1026" i="15"/>
  <c r="F1034" i="15"/>
  <c r="F1042" i="15"/>
  <c r="F1050" i="15"/>
  <c r="F1058" i="15"/>
  <c r="F1066" i="15"/>
  <c r="F1074" i="15"/>
  <c r="F1082" i="15"/>
  <c r="F1090" i="15"/>
  <c r="F1098" i="15"/>
  <c r="F1106" i="15"/>
  <c r="F1114" i="15"/>
  <c r="F1122" i="15"/>
  <c r="F1130" i="15"/>
  <c r="F1138" i="15"/>
  <c r="F1146" i="15"/>
  <c r="F1154" i="15"/>
  <c r="F1162" i="15"/>
  <c r="F1170" i="15"/>
  <c r="F1178" i="15"/>
  <c r="F1186" i="15"/>
  <c r="F1194" i="15"/>
  <c r="F1202" i="15"/>
  <c r="F1210" i="15"/>
  <c r="F1218" i="15"/>
  <c r="F1226" i="15"/>
  <c r="F1234" i="15"/>
  <c r="F1242" i="15"/>
  <c r="F1250" i="15"/>
  <c r="F1258" i="15"/>
  <c r="F1266" i="15"/>
  <c r="F1274" i="15"/>
  <c r="F1282" i="15"/>
  <c r="F1290" i="15"/>
  <c r="F1298" i="15"/>
  <c r="F1306" i="15"/>
  <c r="F1314" i="15"/>
  <c r="F1322" i="15"/>
  <c r="F1330" i="15"/>
  <c r="F1338" i="15"/>
  <c r="F1346" i="15"/>
  <c r="F1354" i="15"/>
  <c r="F1362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0" i="15"/>
  <c r="F1498" i="15"/>
  <c r="F1506" i="15"/>
  <c r="F1514" i="15"/>
  <c r="F1522" i="15"/>
  <c r="F1530" i="15"/>
  <c r="F1538" i="15"/>
  <c r="F1546" i="15"/>
  <c r="F1554" i="15"/>
  <c r="F1562" i="15"/>
  <c r="F1570" i="15"/>
  <c r="F1578" i="15"/>
  <c r="F1586" i="15"/>
  <c r="F1594" i="15"/>
  <c r="F1602" i="15"/>
  <c r="F1610" i="15"/>
  <c r="F1618" i="15"/>
  <c r="F1626" i="15"/>
  <c r="F1634" i="15"/>
  <c r="F1642" i="15"/>
  <c r="F1650" i="15"/>
  <c r="F1658" i="15"/>
  <c r="F1666" i="15"/>
  <c r="F1674" i="15"/>
  <c r="F1682" i="15"/>
  <c r="F1690" i="15"/>
  <c r="F1698" i="15"/>
  <c r="F1706" i="15"/>
  <c r="F1714" i="15"/>
  <c r="F1722" i="15"/>
  <c r="F1730" i="15"/>
  <c r="F1738" i="15"/>
  <c r="F1746" i="15"/>
  <c r="F793" i="15"/>
  <c r="F801" i="15"/>
  <c r="F809" i="15"/>
  <c r="F817" i="15"/>
  <c r="F825" i="15"/>
  <c r="F833" i="15"/>
  <c r="F841" i="15"/>
  <c r="F849" i="15"/>
  <c r="F857" i="15"/>
  <c r="F865" i="15"/>
  <c r="F873" i="15"/>
  <c r="F881" i="15"/>
  <c r="F889" i="15"/>
  <c r="F897" i="15"/>
  <c r="F905" i="15"/>
  <c r="F913" i="15"/>
  <c r="F921" i="15"/>
  <c r="F929" i="15"/>
  <c r="F937" i="15"/>
  <c r="F945" i="15"/>
  <c r="F953" i="15"/>
  <c r="F961" i="15"/>
  <c r="F969" i="15"/>
  <c r="F977" i="15"/>
  <c r="F985" i="15"/>
  <c r="F2311" i="14"/>
  <c r="F2319" i="14"/>
  <c r="F2327" i="14"/>
  <c r="F2335" i="14"/>
  <c r="F2343" i="14"/>
  <c r="F2351" i="14"/>
  <c r="F2359" i="14"/>
  <c r="F2367" i="14"/>
  <c r="F2375" i="14"/>
  <c r="F2383" i="14"/>
  <c r="F8" i="15"/>
  <c r="F16" i="15"/>
  <c r="F24" i="15"/>
  <c r="F32" i="15"/>
  <c r="F40" i="15"/>
  <c r="F48" i="15"/>
  <c r="F56" i="15"/>
  <c r="F64" i="15"/>
  <c r="F72" i="15"/>
  <c r="F80" i="15"/>
  <c r="F88" i="15"/>
  <c r="F96" i="15"/>
  <c r="F104" i="15"/>
  <c r="F112" i="15"/>
  <c r="F120" i="15"/>
  <c r="F128" i="15"/>
  <c r="F136" i="15"/>
  <c r="F144" i="15"/>
  <c r="F152" i="15"/>
  <c r="F160" i="15"/>
  <c r="F168" i="15"/>
  <c r="F176" i="15"/>
  <c r="F184" i="15"/>
  <c r="F192" i="15"/>
  <c r="F200" i="15"/>
  <c r="F208" i="15"/>
  <c r="F216" i="15"/>
  <c r="F224" i="15"/>
  <c r="F232" i="15"/>
  <c r="F240" i="15"/>
  <c r="F248" i="15"/>
  <c r="F256" i="15"/>
  <c r="F264" i="15"/>
  <c r="F272" i="15"/>
  <c r="F280" i="15"/>
  <c r="F288" i="15"/>
  <c r="F296" i="15"/>
  <c r="F304" i="15"/>
  <c r="F312" i="15"/>
  <c r="F320" i="15"/>
  <c r="F328" i="15"/>
  <c r="F336" i="15"/>
  <c r="F344" i="15"/>
  <c r="F352" i="15"/>
  <c r="F360" i="15"/>
  <c r="F368" i="15"/>
  <c r="F376" i="15"/>
  <c r="F384" i="15"/>
  <c r="F392" i="15"/>
  <c r="F400" i="15"/>
  <c r="F408" i="15"/>
  <c r="F416" i="15"/>
  <c r="F424" i="15"/>
  <c r="F432" i="15"/>
  <c r="F440" i="15"/>
  <c r="F448" i="15"/>
  <c r="F456" i="15"/>
  <c r="F464" i="15"/>
  <c r="F472" i="15"/>
  <c r="F480" i="15"/>
  <c r="F488" i="15"/>
  <c r="F496" i="15"/>
  <c r="F504" i="15"/>
  <c r="F512" i="15"/>
  <c r="F520" i="15"/>
  <c r="F528" i="15"/>
  <c r="F536" i="15"/>
  <c r="F544" i="15"/>
  <c r="F552" i="15"/>
  <c r="F560" i="15"/>
  <c r="F568" i="15"/>
  <c r="F576" i="15"/>
  <c r="F584" i="15"/>
  <c r="F592" i="15"/>
  <c r="F600" i="15"/>
  <c r="F608" i="15"/>
  <c r="F616" i="15"/>
  <c r="F624" i="15"/>
  <c r="F632" i="15"/>
  <c r="F640" i="15"/>
  <c r="F648" i="15"/>
  <c r="F656" i="15"/>
  <c r="F664" i="15"/>
  <c r="F672" i="15"/>
  <c r="F680" i="15"/>
  <c r="F688" i="15"/>
  <c r="F696" i="15"/>
  <c r="F704" i="15"/>
  <c r="F712" i="15"/>
  <c r="F720" i="15"/>
  <c r="F728" i="15"/>
  <c r="F736" i="15"/>
  <c r="F744" i="15"/>
  <c r="F752" i="15"/>
  <c r="F760" i="15"/>
  <c r="F768" i="15"/>
  <c r="F776" i="15"/>
  <c r="F784" i="15"/>
  <c r="F792" i="15"/>
  <c r="F800" i="15"/>
  <c r="F808" i="15"/>
  <c r="F816" i="15"/>
  <c r="F824" i="15"/>
  <c r="F832" i="15"/>
  <c r="F840" i="15"/>
  <c r="F848" i="15"/>
  <c r="F856" i="15"/>
  <c r="F864" i="15"/>
  <c r="F872" i="15"/>
  <c r="F880" i="15"/>
  <c r="F888" i="15"/>
  <c r="F896" i="15"/>
  <c r="F904" i="15"/>
  <c r="F912" i="15"/>
  <c r="F920" i="15"/>
  <c r="F928" i="15"/>
  <c r="F936" i="15"/>
  <c r="F944" i="15"/>
  <c r="F952" i="15"/>
  <c r="F960" i="15"/>
  <c r="F968" i="15"/>
  <c r="F976" i="15"/>
  <c r="F984" i="15"/>
  <c r="F988" i="15"/>
  <c r="F996" i="15"/>
  <c r="F1004" i="15"/>
  <c r="F1012" i="15"/>
  <c r="F1020" i="15"/>
  <c r="F1028" i="15"/>
  <c r="F1036" i="15"/>
  <c r="F1044" i="15"/>
  <c r="F1052" i="15"/>
  <c r="F1060" i="15"/>
  <c r="F1068" i="15"/>
  <c r="F1076" i="15"/>
  <c r="F1084" i="15"/>
  <c r="F1092" i="15"/>
  <c r="F1100" i="15"/>
  <c r="F1108" i="15"/>
  <c r="F1116" i="15"/>
  <c r="F1124" i="15"/>
  <c r="F1132" i="15"/>
  <c r="F1140" i="15"/>
  <c r="F1148" i="15"/>
  <c r="F1156" i="15"/>
  <c r="F1164" i="15"/>
  <c r="F1172" i="15"/>
  <c r="F1180" i="15"/>
  <c r="F1188" i="15"/>
  <c r="F1196" i="15"/>
  <c r="F1204" i="15"/>
  <c r="F1212" i="15"/>
  <c r="F1220" i="15"/>
  <c r="F1228" i="15"/>
  <c r="F1236" i="15"/>
  <c r="F1244" i="15"/>
  <c r="F1252" i="15"/>
  <c r="F1260" i="15"/>
  <c r="F1268" i="15"/>
  <c r="F1276" i="15"/>
  <c r="F1284" i="15"/>
  <c r="F1292" i="15"/>
  <c r="F1300" i="15"/>
  <c r="F1308" i="15"/>
  <c r="F1316" i="15"/>
  <c r="F1324" i="15"/>
  <c r="F1332" i="15"/>
  <c r="F1340" i="15"/>
  <c r="F1348" i="15"/>
  <c r="F1356" i="15"/>
  <c r="F1364" i="15"/>
  <c r="F1372" i="15"/>
  <c r="F1380" i="15"/>
  <c r="F1388" i="15"/>
  <c r="F1396" i="15"/>
  <c r="F1404" i="15"/>
  <c r="F1412" i="15"/>
  <c r="F1420" i="15"/>
  <c r="F1428" i="15"/>
  <c r="F1436" i="15"/>
  <c r="F1444" i="15"/>
  <c r="F1452" i="15"/>
  <c r="F1460" i="15"/>
  <c r="F1468" i="15"/>
  <c r="F1476" i="15"/>
  <c r="F1484" i="15"/>
  <c r="F1492" i="15"/>
  <c r="F1500" i="15"/>
  <c r="F1508" i="15"/>
  <c r="F1516" i="15"/>
  <c r="F1524" i="15"/>
  <c r="F1532" i="15"/>
  <c r="F1540" i="15"/>
  <c r="F1548" i="15"/>
  <c r="F1556" i="15"/>
  <c r="F1564" i="15"/>
  <c r="F1572" i="15"/>
  <c r="F1580" i="15"/>
  <c r="F1588" i="15"/>
  <c r="F1596" i="15"/>
  <c r="F1604" i="15"/>
  <c r="F1612" i="15"/>
  <c r="F1620" i="15"/>
  <c r="F1628" i="15"/>
  <c r="F1636" i="15"/>
  <c r="F1644" i="15"/>
  <c r="F1652" i="15"/>
  <c r="F1660" i="15"/>
  <c r="F1668" i="15"/>
  <c r="F1676" i="15"/>
  <c r="F1684" i="15"/>
  <c r="F1692" i="15"/>
  <c r="F1700" i="15"/>
  <c r="F1708" i="15"/>
  <c r="F1716" i="15"/>
  <c r="F1724" i="15"/>
  <c r="F1732" i="15"/>
  <c r="F1740" i="15"/>
  <c r="F1748" i="15"/>
  <c r="F1752" i="15"/>
  <c r="F1760" i="15"/>
  <c r="F1768" i="15"/>
  <c r="F1776" i="15"/>
  <c r="F1784" i="15"/>
  <c r="F1792" i="15"/>
  <c r="F1800" i="15"/>
  <c r="F1808" i="15"/>
  <c r="F1816" i="15"/>
  <c r="F1824" i="15"/>
  <c r="F1832" i="15"/>
  <c r="F1840" i="15"/>
  <c r="F1848" i="15"/>
  <c r="F1856" i="15"/>
  <c r="F1864" i="15"/>
  <c r="F1872" i="15"/>
  <c r="F1880" i="15"/>
  <c r="F1888" i="15"/>
  <c r="F1896" i="15"/>
  <c r="F1904" i="15"/>
  <c r="F1912" i="15"/>
  <c r="F1920" i="15"/>
  <c r="F1928" i="15"/>
  <c r="F1936" i="15"/>
  <c r="F1944" i="15"/>
  <c r="F1952" i="15"/>
  <c r="F1960" i="15"/>
  <c r="F1968" i="15"/>
  <c r="F1976" i="15"/>
  <c r="F1984" i="15"/>
  <c r="F1992" i="15"/>
  <c r="F2000" i="15"/>
  <c r="F2008" i="15"/>
  <c r="F2016" i="15"/>
  <c r="F2024" i="15"/>
  <c r="F2032" i="15"/>
  <c r="F2040" i="15"/>
  <c r="F2048" i="15"/>
  <c r="F991" i="15"/>
  <c r="F999" i="15"/>
  <c r="F1007" i="15"/>
  <c r="F1015" i="15"/>
  <c r="F1023" i="15"/>
  <c r="F1031" i="15"/>
  <c r="F1039" i="15"/>
  <c r="F1047" i="15"/>
  <c r="F1055" i="15"/>
  <c r="F1063" i="15"/>
  <c r="F1071" i="15"/>
  <c r="F1079" i="15"/>
  <c r="F1087" i="15"/>
  <c r="F1095" i="15"/>
  <c r="F1103" i="15"/>
  <c r="F1111" i="15"/>
  <c r="F1119" i="15"/>
  <c r="F1127" i="15"/>
  <c r="F1135" i="15"/>
  <c r="F1143" i="15"/>
  <c r="F1151" i="15"/>
  <c r="F1159" i="15"/>
  <c r="F1167" i="15"/>
  <c r="F1175" i="15"/>
  <c r="F1183" i="15"/>
  <c r="F1191" i="15"/>
  <c r="F1199" i="15"/>
  <c r="F1207" i="15"/>
  <c r="F1215" i="15"/>
  <c r="F1223" i="15"/>
  <c r="F1231" i="15"/>
  <c r="F1239" i="15"/>
  <c r="F1247" i="15"/>
  <c r="F1255" i="15"/>
  <c r="F1263" i="15"/>
  <c r="F1271" i="15"/>
  <c r="F1279" i="15"/>
  <c r="F1287" i="15"/>
  <c r="F1295" i="15"/>
  <c r="F1303" i="15"/>
  <c r="F1311" i="15"/>
  <c r="F1319" i="15"/>
  <c r="F1327" i="15"/>
  <c r="F1335" i="15"/>
  <c r="F1343" i="15"/>
  <c r="F1351" i="15"/>
  <c r="F1359" i="15"/>
  <c r="F1367" i="15"/>
  <c r="F1375" i="15"/>
  <c r="F1383" i="15"/>
  <c r="F1391" i="15"/>
  <c r="F1399" i="15"/>
  <c r="F1407" i="15"/>
  <c r="F1415" i="15"/>
  <c r="F1423" i="15"/>
  <c r="F1431" i="15"/>
  <c r="F1439" i="15"/>
  <c r="F1447" i="15"/>
  <c r="F1455" i="15"/>
  <c r="F1463" i="15"/>
  <c r="F1471" i="15"/>
  <c r="F1479" i="15"/>
  <c r="F1487" i="15"/>
  <c r="F1495" i="15"/>
  <c r="F1503" i="15"/>
  <c r="F1511" i="15"/>
  <c r="F1519" i="15"/>
  <c r="F1527" i="15"/>
  <c r="F1535" i="15"/>
  <c r="F1543" i="15"/>
  <c r="F1551" i="15"/>
  <c r="F1559" i="15"/>
  <c r="F1567" i="15"/>
  <c r="F1575" i="15"/>
  <c r="F1583" i="15"/>
  <c r="F1591" i="15"/>
  <c r="F1599" i="15"/>
  <c r="F1607" i="15"/>
  <c r="F1615" i="15"/>
  <c r="F1623" i="15"/>
  <c r="F1631" i="15"/>
  <c r="F1639" i="15"/>
  <c r="F1647" i="15"/>
  <c r="F1655" i="15"/>
  <c r="F1663" i="15"/>
  <c r="F1671" i="15"/>
  <c r="F1679" i="15"/>
  <c r="F1687" i="15"/>
  <c r="F1695" i="15"/>
  <c r="F1703" i="15"/>
  <c r="F1711" i="15"/>
  <c r="F1719" i="15"/>
  <c r="F1727" i="15"/>
  <c r="F1735" i="15"/>
  <c r="F1743" i="15"/>
  <c r="F1751" i="15"/>
  <c r="F1759" i="15"/>
  <c r="F1767" i="15"/>
  <c r="F1775" i="15"/>
  <c r="F1783" i="15"/>
  <c r="F1791" i="15"/>
  <c r="F1799" i="15"/>
  <c r="F1807" i="15"/>
  <c r="F1815" i="15"/>
  <c r="F1823" i="15"/>
  <c r="F1831" i="15"/>
  <c r="F1839" i="15"/>
  <c r="F1847" i="15"/>
  <c r="F1855" i="15"/>
  <c r="F1863" i="15"/>
  <c r="F1871" i="15"/>
  <c r="F1879" i="15"/>
  <c r="F1887" i="15"/>
  <c r="F1895" i="15"/>
  <c r="F1903" i="15"/>
  <c r="F1911" i="15"/>
  <c r="F1919" i="15"/>
  <c r="F1927" i="15"/>
  <c r="F1935" i="15"/>
  <c r="F1943" i="15"/>
  <c r="F1951" i="15"/>
  <c r="F1959" i="15"/>
  <c r="F1967" i="15"/>
  <c r="F1975" i="15"/>
  <c r="F1983" i="15"/>
  <c r="F1991" i="15"/>
  <c r="F1999" i="15"/>
  <c r="F2007" i="15"/>
  <c r="F2015" i="15"/>
  <c r="F2023" i="15"/>
  <c r="F2031" i="15"/>
  <c r="F2039" i="15"/>
  <c r="F2047" i="15"/>
  <c r="F2062" i="15"/>
  <c r="F2070" i="15"/>
  <c r="F2078" i="15"/>
  <c r="F2086" i="15"/>
  <c r="F2094" i="15"/>
  <c r="F2102" i="15"/>
  <c r="F2110" i="15"/>
  <c r="F2118" i="15"/>
  <c r="F2126" i="15"/>
  <c r="F2134" i="15"/>
  <c r="F2142" i="15"/>
  <c r="F2150" i="15"/>
  <c r="F2158" i="15"/>
  <c r="F2166" i="15"/>
  <c r="F2174" i="15"/>
  <c r="F2182" i="15"/>
  <c r="F2190" i="15"/>
  <c r="F2198" i="15"/>
  <c r="F2206" i="15"/>
  <c r="F2214" i="15"/>
  <c r="F2222" i="15"/>
  <c r="F2230" i="15"/>
  <c r="F2238" i="15"/>
  <c r="F2246" i="15"/>
  <c r="F2254" i="15"/>
  <c r="F2262" i="15"/>
  <c r="F2270" i="15"/>
  <c r="F2278" i="15"/>
  <c r="F2286" i="15"/>
  <c r="F2294" i="15"/>
  <c r="F2302" i="15"/>
  <c r="F2310" i="15"/>
  <c r="F2318" i="15"/>
  <c r="F2326" i="15"/>
  <c r="F2334" i="15"/>
  <c r="F2342" i="15"/>
  <c r="F2350" i="15"/>
  <c r="F2358" i="15"/>
  <c r="F2366" i="15"/>
  <c r="F2374" i="15"/>
  <c r="F2382" i="15"/>
  <c r="F2390" i="15"/>
  <c r="F2398" i="15"/>
  <c r="F2406" i="15"/>
  <c r="F2414" i="15"/>
  <c r="F2422" i="15"/>
  <c r="F2430" i="15"/>
  <c r="F2438" i="15"/>
  <c r="F2446" i="15"/>
  <c r="F2454" i="15"/>
  <c r="F2462" i="15"/>
  <c r="F2470" i="15"/>
  <c r="F2478" i="15"/>
  <c r="F2486" i="15"/>
  <c r="F2494" i="15"/>
  <c r="F2502" i="15"/>
  <c r="F2510" i="15"/>
  <c r="F2518" i="15"/>
  <c r="F2526" i="15"/>
  <c r="F2534" i="15"/>
  <c r="F2545" i="15"/>
  <c r="F2561" i="15"/>
  <c r="F2577" i="15"/>
  <c r="F2554" i="15"/>
  <c r="F2570" i="15"/>
  <c r="F2587" i="15"/>
  <c r="F2059" i="15"/>
  <c r="F2067" i="15"/>
  <c r="F2075" i="15"/>
  <c r="F2083" i="15"/>
  <c r="F2091" i="15"/>
  <c r="F2099" i="15"/>
  <c r="F2107" i="15"/>
  <c r="F2115" i="15"/>
  <c r="F2123" i="15"/>
  <c r="F2131" i="15"/>
  <c r="F2139" i="15"/>
  <c r="F2147" i="15"/>
  <c r="F2155" i="15"/>
  <c r="F2163" i="15"/>
  <c r="F2171" i="15"/>
  <c r="F2179" i="15"/>
  <c r="F2187" i="15"/>
  <c r="F2195" i="15"/>
  <c r="F2203" i="15"/>
  <c r="F2211" i="15"/>
  <c r="F2219" i="15"/>
  <c r="F2227" i="15"/>
  <c r="F2235" i="15"/>
  <c r="F2243" i="15"/>
  <c r="F2251" i="15"/>
  <c r="F2259" i="15"/>
  <c r="F2267" i="15"/>
  <c r="F2275" i="15"/>
  <c r="F2283" i="15"/>
  <c r="F2291" i="15"/>
  <c r="F2299" i="15"/>
  <c r="F2307" i="15"/>
  <c r="F2315" i="15"/>
  <c r="F2323" i="15"/>
  <c r="F2331" i="15"/>
  <c r="F2339" i="15"/>
  <c r="F2347" i="15"/>
  <c r="F2355" i="15"/>
  <c r="F2363" i="15"/>
  <c r="F2371" i="15"/>
  <c r="F2379" i="15"/>
  <c r="F2387" i="15"/>
  <c r="F2395" i="15"/>
  <c r="F2403" i="15"/>
  <c r="F2411" i="15"/>
  <c r="F2419" i="15"/>
  <c r="F2427" i="15"/>
  <c r="F2435" i="15"/>
  <c r="F2443" i="15"/>
  <c r="F2451" i="15"/>
  <c r="F2459" i="15"/>
  <c r="F2467" i="15"/>
  <c r="F2475" i="15"/>
  <c r="F2483" i="15"/>
  <c r="F2491" i="15"/>
  <c r="F2499" i="15"/>
  <c r="F2507" i="15"/>
  <c r="F2515" i="15"/>
  <c r="F2523" i="15"/>
  <c r="F2531" i="15"/>
  <c r="F2539" i="15"/>
  <c r="F2555" i="15"/>
  <c r="F2571" i="15"/>
  <c r="F2589" i="15"/>
  <c r="F1754" i="15"/>
  <c r="F1762" i="15"/>
  <c r="F1770" i="15"/>
  <c r="F1778" i="15"/>
  <c r="F1786" i="15"/>
  <c r="F1794" i="15"/>
  <c r="F1802" i="15"/>
  <c r="F1810" i="15"/>
  <c r="F1818" i="15"/>
  <c r="F1826" i="15"/>
  <c r="F1834" i="15"/>
  <c r="F1842" i="15"/>
  <c r="F1850" i="15"/>
  <c r="F1858" i="15"/>
  <c r="F1866" i="15"/>
  <c r="F1874" i="15"/>
  <c r="F1882" i="15"/>
  <c r="F1890" i="15"/>
  <c r="F1898" i="15"/>
  <c r="F1906" i="15"/>
  <c r="F1914" i="15"/>
  <c r="F1922" i="15"/>
  <c r="F1930" i="15"/>
  <c r="F1938" i="15"/>
  <c r="F1946" i="15"/>
  <c r="F1954" i="15"/>
  <c r="F1962" i="15"/>
  <c r="F1970" i="15"/>
  <c r="F1978" i="15"/>
  <c r="F1986" i="15"/>
  <c r="F1994" i="15"/>
  <c r="F2002" i="15"/>
  <c r="F2010" i="15"/>
  <c r="F2018" i="15"/>
  <c r="F2026" i="15"/>
  <c r="F2034" i="15"/>
  <c r="F2042" i="15"/>
  <c r="F2050" i="15"/>
  <c r="F993" i="15"/>
  <c r="F1001" i="15"/>
  <c r="F1009" i="15"/>
  <c r="F1017" i="15"/>
  <c r="F1025" i="15"/>
  <c r="F1033" i="15"/>
  <c r="F1041" i="15"/>
  <c r="F1049" i="15"/>
  <c r="F1057" i="15"/>
  <c r="F1065" i="15"/>
  <c r="F1073" i="15"/>
  <c r="F1081" i="15"/>
  <c r="F1089" i="15"/>
  <c r="F1097" i="15"/>
  <c r="F1105" i="15"/>
  <c r="F1113" i="15"/>
  <c r="F1121" i="15"/>
  <c r="F1129" i="15"/>
  <c r="F1137" i="15"/>
  <c r="F1145" i="15"/>
  <c r="F1153" i="15"/>
  <c r="F1161" i="15"/>
  <c r="F1169" i="15"/>
  <c r="F1177" i="15"/>
  <c r="F1185" i="15"/>
  <c r="F1193" i="15"/>
  <c r="F1201" i="15"/>
  <c r="F1209" i="15"/>
  <c r="F1217" i="15"/>
  <c r="F1225" i="15"/>
  <c r="F1233" i="15"/>
  <c r="F1241" i="15"/>
  <c r="F1249" i="15"/>
  <c r="F1257" i="15"/>
  <c r="F1265" i="15"/>
  <c r="F1273" i="15"/>
  <c r="F1281" i="15"/>
  <c r="F1289" i="15"/>
  <c r="F1297" i="15"/>
  <c r="F1305" i="15"/>
  <c r="F1313" i="15"/>
  <c r="F1321" i="15"/>
  <c r="F1329" i="15"/>
  <c r="F1337" i="15"/>
  <c r="F1345" i="15"/>
  <c r="F1353" i="15"/>
  <c r="F1361" i="15"/>
  <c r="F1369" i="15"/>
  <c r="F1377" i="15"/>
  <c r="F1385" i="15"/>
  <c r="F1393" i="15"/>
  <c r="F1401" i="15"/>
  <c r="F1409" i="15"/>
  <c r="F1417" i="15"/>
  <c r="F1425" i="15"/>
  <c r="F1433" i="15"/>
  <c r="F1441" i="15"/>
  <c r="F1449" i="15"/>
  <c r="F1457" i="15"/>
  <c r="F1465" i="15"/>
  <c r="F1473" i="15"/>
  <c r="F1481" i="15"/>
  <c r="F1489" i="15"/>
  <c r="F1497" i="15"/>
  <c r="F1505" i="15"/>
  <c r="F1513" i="15"/>
  <c r="F1521" i="15"/>
  <c r="F1529" i="15"/>
  <c r="F1537" i="15"/>
  <c r="F1545" i="15"/>
  <c r="F1553" i="15"/>
  <c r="F1561" i="15"/>
  <c r="F1569" i="15"/>
  <c r="F1577" i="15"/>
  <c r="F1585" i="15"/>
  <c r="F1593" i="15"/>
  <c r="F1601" i="15"/>
  <c r="F1609" i="15"/>
  <c r="F1617" i="15"/>
  <c r="F1625" i="15"/>
  <c r="F1633" i="15"/>
  <c r="F1641" i="15"/>
  <c r="F1649" i="15"/>
  <c r="F1657" i="15"/>
  <c r="F1665" i="15"/>
  <c r="F1673" i="15"/>
  <c r="F1681" i="15"/>
  <c r="F1689" i="15"/>
  <c r="F1697" i="15"/>
  <c r="F1705" i="15"/>
  <c r="F1713" i="15"/>
  <c r="F1721" i="15"/>
  <c r="F1729" i="15"/>
  <c r="F1737" i="15"/>
  <c r="F1745" i="15"/>
  <c r="F1753" i="15"/>
  <c r="F1761" i="15"/>
  <c r="F1769" i="15"/>
  <c r="F1777" i="15"/>
  <c r="F1785" i="15"/>
  <c r="F1793" i="15"/>
  <c r="F1801" i="15"/>
  <c r="F1809" i="15"/>
  <c r="F1817" i="15"/>
  <c r="F1825" i="15"/>
  <c r="F1833" i="15"/>
  <c r="F1841" i="15"/>
  <c r="F1849" i="15"/>
  <c r="F1857" i="15"/>
  <c r="F1865" i="15"/>
  <c r="F1873" i="15"/>
  <c r="F1881" i="15"/>
  <c r="F1889" i="15"/>
  <c r="F1897" i="15"/>
  <c r="F1905" i="15"/>
  <c r="F1913" i="15"/>
  <c r="F1921" i="15"/>
  <c r="F1929" i="15"/>
  <c r="F1937" i="15"/>
  <c r="F1945" i="15"/>
  <c r="F1953" i="15"/>
  <c r="F1961" i="15"/>
  <c r="F1969" i="15"/>
  <c r="F1977" i="15"/>
  <c r="F1985" i="15"/>
  <c r="F1993" i="15"/>
  <c r="F2001" i="15"/>
  <c r="F2009" i="15"/>
  <c r="F2017" i="15"/>
  <c r="F2025" i="15"/>
  <c r="F2033" i="15"/>
  <c r="F2041" i="15"/>
  <c r="F2049" i="15"/>
  <c r="F2056" i="15"/>
  <c r="F2064" i="15"/>
  <c r="F2072" i="15"/>
  <c r="F2080" i="15"/>
  <c r="F2088" i="15"/>
  <c r="F2096" i="15"/>
  <c r="F2104" i="15"/>
  <c r="F2112" i="15"/>
  <c r="F2120" i="15"/>
  <c r="F2128" i="15"/>
  <c r="F2136" i="15"/>
  <c r="F2144" i="15"/>
  <c r="F2152" i="15"/>
  <c r="F2160" i="15"/>
  <c r="F2168" i="15"/>
  <c r="F2176" i="15"/>
  <c r="F2184" i="15"/>
  <c r="F2192" i="15"/>
  <c r="F2200" i="15"/>
  <c r="F2208" i="15"/>
  <c r="F2216" i="15"/>
  <c r="F2224" i="15"/>
  <c r="F2232" i="15"/>
  <c r="F2240" i="15"/>
  <c r="F2248" i="15"/>
  <c r="F2256" i="15"/>
  <c r="F2264" i="15"/>
  <c r="F2272" i="15"/>
  <c r="F2280" i="15"/>
  <c r="F2288" i="15"/>
  <c r="F2296" i="15"/>
  <c r="F2304" i="15"/>
  <c r="F2312" i="15"/>
  <c r="F2320" i="15"/>
  <c r="F2328" i="15"/>
  <c r="F2336" i="15"/>
  <c r="F2344" i="15"/>
  <c r="F2352" i="15"/>
  <c r="F2360" i="15"/>
  <c r="F2368" i="15"/>
  <c r="F2376" i="15"/>
  <c r="F2384" i="15"/>
  <c r="F2392" i="15"/>
  <c r="F2400" i="15"/>
  <c r="F2408" i="15"/>
  <c r="F2416" i="15"/>
  <c r="F2424" i="15"/>
  <c r="F2432" i="15"/>
  <c r="F2440" i="15"/>
  <c r="F2448" i="15"/>
  <c r="F2456" i="15"/>
  <c r="F2464" i="15"/>
  <c r="F2472" i="15"/>
  <c r="F2480" i="15"/>
  <c r="F2488" i="15"/>
  <c r="F2496" i="15"/>
  <c r="F2504" i="15"/>
  <c r="F2512" i="15"/>
  <c r="F2520" i="15"/>
  <c r="F2528" i="15"/>
  <c r="F2536" i="15"/>
  <c r="F2549" i="15"/>
  <c r="F2565" i="15"/>
  <c r="F2581" i="15"/>
  <c r="F2542" i="15"/>
  <c r="F2558" i="15"/>
  <c r="F2574" i="15"/>
  <c r="F2595" i="15"/>
  <c r="F2061" i="15"/>
  <c r="F2069" i="15"/>
  <c r="F2077" i="15"/>
  <c r="F2085" i="15"/>
  <c r="F2093" i="15"/>
  <c r="F2101" i="15"/>
  <c r="F2109" i="15"/>
  <c r="F2117" i="15"/>
  <c r="F2125" i="15"/>
  <c r="F2133" i="15"/>
  <c r="F2141" i="15"/>
  <c r="F2149" i="15"/>
  <c r="F2157" i="15"/>
  <c r="F2165" i="15"/>
  <c r="F2173" i="15"/>
  <c r="F2181" i="15"/>
  <c r="F2189" i="15"/>
  <c r="F2197" i="15"/>
  <c r="F2205" i="15"/>
  <c r="F2213" i="15"/>
  <c r="F2221" i="15"/>
  <c r="F2229" i="15"/>
  <c r="F2237" i="15"/>
  <c r="F2245" i="15"/>
  <c r="F2253" i="15"/>
  <c r="F2261" i="15"/>
  <c r="F2269" i="15"/>
  <c r="F2277" i="15"/>
  <c r="F2285" i="15"/>
  <c r="F2293" i="15"/>
  <c r="F2301" i="15"/>
  <c r="F2309" i="15"/>
  <c r="F2317" i="15"/>
  <c r="F2325" i="15"/>
  <c r="F2333" i="15"/>
  <c r="F2341" i="15"/>
  <c r="F2349" i="15"/>
  <c r="F2357" i="15"/>
  <c r="F2365" i="15"/>
  <c r="F2373" i="15"/>
  <c r="F2381" i="15"/>
  <c r="F2389" i="15"/>
  <c r="F2397" i="15"/>
  <c r="F2405" i="15"/>
  <c r="F2413" i="15"/>
  <c r="F2421" i="15"/>
  <c r="F2429" i="15"/>
  <c r="F2437" i="15"/>
  <c r="F2445" i="15"/>
  <c r="F2453" i="15"/>
  <c r="F2461" i="15"/>
  <c r="F2469" i="15"/>
  <c r="F2477" i="15"/>
  <c r="F2485" i="15"/>
  <c r="F2493" i="15"/>
  <c r="F2501" i="15"/>
  <c r="F2509" i="15"/>
  <c r="F2517" i="15"/>
  <c r="F2525" i="15"/>
  <c r="F2533" i="15"/>
  <c r="F2543" i="15"/>
  <c r="F2559" i="15"/>
  <c r="F2575" i="15"/>
  <c r="F2597" i="15"/>
  <c r="F1756" i="15"/>
  <c r="F1764" i="15"/>
  <c r="F1772" i="15"/>
  <c r="F1780" i="15"/>
  <c r="F1788" i="15"/>
  <c r="F1796" i="15"/>
  <c r="F1804" i="15"/>
  <c r="F1812" i="15"/>
  <c r="F1820" i="15"/>
  <c r="F1828" i="15"/>
  <c r="F1836" i="15"/>
  <c r="F1844" i="15"/>
  <c r="F1852" i="15"/>
  <c r="F1860" i="15"/>
  <c r="F1868" i="15"/>
  <c r="F1876" i="15"/>
  <c r="F1884" i="15"/>
  <c r="F1892" i="15"/>
  <c r="F1900" i="15"/>
  <c r="F1908" i="15"/>
  <c r="F1916" i="15"/>
  <c r="F1924" i="15"/>
  <c r="F1932" i="15"/>
  <c r="F1940" i="15"/>
  <c r="F1948" i="15"/>
  <c r="F1956" i="15"/>
  <c r="F1964" i="15"/>
  <c r="F1972" i="15"/>
  <c r="F1980" i="15"/>
  <c r="F1988" i="15"/>
  <c r="F1996" i="15"/>
  <c r="F2004" i="15"/>
  <c r="F2012" i="15"/>
  <c r="F2020" i="15"/>
  <c r="F2028" i="15"/>
  <c r="F2036" i="15"/>
  <c r="F2044" i="15"/>
  <c r="F2052" i="15"/>
  <c r="F995" i="15"/>
  <c r="F1003" i="15"/>
  <c r="F1011" i="15"/>
  <c r="F1019" i="15"/>
  <c r="F1027" i="15"/>
  <c r="F1035" i="15"/>
  <c r="F1043" i="15"/>
  <c r="F1051" i="15"/>
  <c r="F1059" i="15"/>
  <c r="F1067" i="15"/>
  <c r="F1075" i="15"/>
  <c r="F1083" i="15"/>
  <c r="F1091" i="15"/>
  <c r="F1099" i="15"/>
  <c r="F1107" i="15"/>
  <c r="F1115" i="15"/>
  <c r="F1123" i="15"/>
  <c r="F1131" i="15"/>
  <c r="F1139" i="15"/>
  <c r="F1147" i="15"/>
  <c r="F1155" i="15"/>
  <c r="F1163" i="15"/>
  <c r="F1171" i="15"/>
  <c r="F1179" i="15"/>
  <c r="F1187" i="15"/>
  <c r="F1195" i="15"/>
  <c r="F1203" i="15"/>
  <c r="F1211" i="15"/>
  <c r="F1219" i="15"/>
  <c r="F1227" i="15"/>
  <c r="F1235" i="15"/>
  <c r="F1243" i="15"/>
  <c r="F1251" i="15"/>
  <c r="F1259" i="15"/>
  <c r="F1267" i="15"/>
  <c r="F1275" i="15"/>
  <c r="F1283" i="15"/>
  <c r="F1291" i="15"/>
  <c r="F1299" i="15"/>
  <c r="F1307" i="15"/>
  <c r="F1315" i="15"/>
  <c r="F1323" i="15"/>
  <c r="F1331" i="15"/>
  <c r="F1339" i="15"/>
  <c r="F1347" i="15"/>
  <c r="F1355" i="15"/>
  <c r="F1363" i="15"/>
  <c r="F1371" i="15"/>
  <c r="F1379" i="15"/>
  <c r="F1387" i="15"/>
  <c r="F1395" i="15"/>
  <c r="F1403" i="15"/>
  <c r="F1411" i="15"/>
  <c r="F1419" i="15"/>
  <c r="F1427" i="15"/>
  <c r="F1435" i="15"/>
  <c r="F1443" i="15"/>
  <c r="F1451" i="15"/>
  <c r="F1459" i="15"/>
  <c r="F1467" i="15"/>
  <c r="F1475" i="15"/>
  <c r="F1483" i="15"/>
  <c r="F1491" i="15"/>
  <c r="F1499" i="15"/>
  <c r="F1507" i="15"/>
  <c r="F1515" i="15"/>
  <c r="F1523" i="15"/>
  <c r="F1531" i="15"/>
  <c r="F1539" i="15"/>
  <c r="F1547" i="15"/>
  <c r="F1555" i="15"/>
  <c r="F1563" i="15"/>
  <c r="F1571" i="15"/>
  <c r="F1579" i="15"/>
  <c r="F1587" i="15"/>
  <c r="F1595" i="15"/>
  <c r="F1603" i="15"/>
  <c r="F1611" i="15"/>
  <c r="F1619" i="15"/>
  <c r="F1627" i="15"/>
  <c r="F1635" i="15"/>
  <c r="F1643" i="15"/>
  <c r="F1651" i="15"/>
  <c r="F1659" i="15"/>
  <c r="F1667" i="15"/>
  <c r="F1675" i="15"/>
  <c r="F1683" i="15"/>
  <c r="F1691" i="15"/>
  <c r="F1699" i="15"/>
  <c r="F1707" i="15"/>
  <c r="F1715" i="15"/>
  <c r="F1723" i="15"/>
  <c r="F1731" i="15"/>
  <c r="F1739" i="15"/>
  <c r="F1747" i="15"/>
  <c r="F1755" i="15"/>
  <c r="F1763" i="15"/>
  <c r="F1771" i="15"/>
  <c r="F1779" i="15"/>
  <c r="F1787" i="15"/>
  <c r="F1795" i="15"/>
  <c r="F1803" i="15"/>
  <c r="F1811" i="15"/>
  <c r="F1819" i="15"/>
  <c r="F1827" i="15"/>
  <c r="F1835" i="15"/>
  <c r="F1843" i="15"/>
  <c r="F1851" i="15"/>
  <c r="F1859" i="15"/>
  <c r="F1867" i="15"/>
  <c r="F1875" i="15"/>
  <c r="F1883" i="15"/>
  <c r="F1891" i="15"/>
  <c r="F1899" i="15"/>
  <c r="F1907" i="15"/>
  <c r="F1915" i="15"/>
  <c r="F1923" i="15"/>
  <c r="F1931" i="15"/>
  <c r="F1939" i="15"/>
  <c r="F1947" i="15"/>
  <c r="F1955" i="15"/>
  <c r="F1963" i="15"/>
  <c r="F1971" i="15"/>
  <c r="F1979" i="15"/>
  <c r="F1987" i="15"/>
  <c r="F1995" i="15"/>
  <c r="F2003" i="15"/>
  <c r="F2011" i="15"/>
  <c r="F2019" i="15"/>
  <c r="F2027" i="15"/>
  <c r="F2035" i="15"/>
  <c r="F2043" i="15"/>
  <c r="F2051" i="15"/>
  <c r="F2058" i="15"/>
  <c r="F2066" i="15"/>
  <c r="F2074" i="15"/>
  <c r="F2082" i="15"/>
  <c r="F2090" i="15"/>
  <c r="F2098" i="15"/>
  <c r="F2106" i="15"/>
  <c r="F2114" i="15"/>
  <c r="F2122" i="15"/>
  <c r="F2130" i="15"/>
  <c r="F2138" i="15"/>
  <c r="F2146" i="15"/>
  <c r="F2154" i="15"/>
  <c r="F2162" i="15"/>
  <c r="F2170" i="15"/>
  <c r="F2178" i="15"/>
  <c r="F2186" i="15"/>
  <c r="F2194" i="15"/>
  <c r="F2202" i="15"/>
  <c r="F2210" i="15"/>
  <c r="F2218" i="15"/>
  <c r="F2226" i="15"/>
  <c r="F2234" i="15"/>
  <c r="F2242" i="15"/>
  <c r="F2250" i="15"/>
  <c r="F2258" i="15"/>
  <c r="F2266" i="15"/>
  <c r="F2274" i="15"/>
  <c r="F2282" i="15"/>
  <c r="F2290" i="15"/>
  <c r="F2298" i="15"/>
  <c r="F2306" i="15"/>
  <c r="F2314" i="15"/>
  <c r="F2322" i="15"/>
  <c r="F2330" i="15"/>
  <c r="F2338" i="15"/>
  <c r="F2346" i="15"/>
  <c r="F2354" i="15"/>
  <c r="F2362" i="15"/>
  <c r="F2370" i="15"/>
  <c r="F2378" i="15"/>
  <c r="F2386" i="15"/>
  <c r="F2394" i="15"/>
  <c r="F2402" i="15"/>
  <c r="F2410" i="15"/>
  <c r="F2418" i="15"/>
  <c r="F2426" i="15"/>
  <c r="F2434" i="15"/>
  <c r="F2442" i="15"/>
  <c r="F2450" i="15"/>
  <c r="F2458" i="15"/>
  <c r="F2466" i="15"/>
  <c r="F2474" i="15"/>
  <c r="F2482" i="15"/>
  <c r="F2490" i="15"/>
  <c r="F2498" i="15"/>
  <c r="F2506" i="15"/>
  <c r="F2514" i="15"/>
  <c r="F2522" i="15"/>
  <c r="F2530" i="15"/>
  <c r="F2538" i="15"/>
  <c r="F2553" i="15"/>
  <c r="F2569" i="15"/>
  <c r="F2586" i="15"/>
  <c r="F2546" i="15"/>
  <c r="F2562" i="15"/>
  <c r="F2578" i="15"/>
  <c r="F2055" i="15"/>
  <c r="F2063" i="15"/>
  <c r="F2071" i="15"/>
  <c r="F2079" i="15"/>
  <c r="F2087" i="15"/>
  <c r="F2095" i="15"/>
  <c r="F2103" i="15"/>
  <c r="F2111" i="15"/>
  <c r="F2119" i="15"/>
  <c r="F2127" i="15"/>
  <c r="F2135" i="15"/>
  <c r="F2143" i="15"/>
  <c r="F2151" i="15"/>
  <c r="F2159" i="15"/>
  <c r="F2167" i="15"/>
  <c r="F2175" i="15"/>
  <c r="F2183" i="15"/>
  <c r="F2191" i="15"/>
  <c r="F2199" i="15"/>
  <c r="F2207" i="15"/>
  <c r="F2215" i="15"/>
  <c r="F2223" i="15"/>
  <c r="F2231" i="15"/>
  <c r="F2239" i="15"/>
  <c r="F2247" i="15"/>
  <c r="F2255" i="15"/>
  <c r="F2263" i="15"/>
  <c r="F2271" i="15"/>
  <c r="F2279" i="15"/>
  <c r="F2287" i="15"/>
  <c r="F2295" i="15"/>
  <c r="F2303" i="15"/>
  <c r="F2311" i="15"/>
  <c r="F2319" i="15"/>
  <c r="F2327" i="15"/>
  <c r="F2335" i="15"/>
  <c r="F2343" i="15"/>
  <c r="F2351" i="15"/>
  <c r="F2359" i="15"/>
  <c r="F2367" i="15"/>
  <c r="F2375" i="15"/>
  <c r="F2383" i="15"/>
  <c r="F2391" i="15"/>
  <c r="F2399" i="15"/>
  <c r="F2407" i="15"/>
  <c r="F2415" i="15"/>
  <c r="F2423" i="15"/>
  <c r="F2431" i="15"/>
  <c r="F2439" i="15"/>
  <c r="F2447" i="15"/>
  <c r="F2455" i="15"/>
  <c r="F2463" i="15"/>
  <c r="F2471" i="15"/>
  <c r="F2479" i="15"/>
  <c r="F2487" i="15"/>
  <c r="F2495" i="15"/>
  <c r="F2503" i="15"/>
  <c r="F2511" i="15"/>
  <c r="F2519" i="15"/>
  <c r="F2527" i="15"/>
  <c r="F2535" i="15"/>
  <c r="F2547" i="15"/>
  <c r="F2563" i="15"/>
  <c r="F2579" i="15"/>
  <c r="F1750" i="15"/>
  <c r="F1758" i="15"/>
  <c r="F1766" i="15"/>
  <c r="F1774" i="15"/>
  <c r="F1782" i="15"/>
  <c r="F1790" i="15"/>
  <c r="F1798" i="15"/>
  <c r="F1806" i="15"/>
  <c r="F1814" i="15"/>
  <c r="F1822" i="15"/>
  <c r="F1830" i="15"/>
  <c r="F1838" i="15"/>
  <c r="F1846" i="15"/>
  <c r="F1854" i="15"/>
  <c r="F1862" i="15"/>
  <c r="F1870" i="15"/>
  <c r="F1878" i="15"/>
  <c r="F1886" i="15"/>
  <c r="F1894" i="15"/>
  <c r="F1902" i="15"/>
  <c r="F1910" i="15"/>
  <c r="F1918" i="15"/>
  <c r="F1926" i="15"/>
  <c r="F1934" i="15"/>
  <c r="F1942" i="15"/>
  <c r="F1950" i="15"/>
  <c r="F1958" i="15"/>
  <c r="F1966" i="15"/>
  <c r="F1974" i="15"/>
  <c r="F1982" i="15"/>
  <c r="F1990" i="15"/>
  <c r="F1998" i="15"/>
  <c r="F2006" i="15"/>
  <c r="F2014" i="15"/>
  <c r="F2022" i="15"/>
  <c r="F2030" i="15"/>
  <c r="F2038" i="15"/>
  <c r="F2046" i="15"/>
  <c r="F2054" i="15"/>
  <c r="F989" i="15"/>
  <c r="F997" i="15"/>
  <c r="F1005" i="15"/>
  <c r="F1013" i="15"/>
  <c r="F1021" i="15"/>
  <c r="F1029" i="15"/>
  <c r="F1037" i="15"/>
  <c r="F1045" i="15"/>
  <c r="F1053" i="15"/>
  <c r="F1061" i="15"/>
  <c r="F1069" i="15"/>
  <c r="F1077" i="15"/>
  <c r="F1085" i="15"/>
  <c r="F1093" i="15"/>
  <c r="F1101" i="15"/>
  <c r="F1109" i="15"/>
  <c r="F1117" i="15"/>
  <c r="F1125" i="15"/>
  <c r="F1133" i="15"/>
  <c r="F1141" i="15"/>
  <c r="F1149" i="15"/>
  <c r="F1157" i="15"/>
  <c r="F1165" i="15"/>
  <c r="F1173" i="15"/>
  <c r="F1181" i="15"/>
  <c r="F1189" i="15"/>
  <c r="F1197" i="15"/>
  <c r="F1205" i="15"/>
  <c r="F1213" i="15"/>
  <c r="F1221" i="15"/>
  <c r="F1229" i="15"/>
  <c r="F1237" i="15"/>
  <c r="F1245" i="15"/>
  <c r="F1253" i="15"/>
  <c r="F1261" i="15"/>
  <c r="F1269" i="15"/>
  <c r="F1277" i="15"/>
  <c r="F1285" i="15"/>
  <c r="F1293" i="15"/>
  <c r="F1301" i="15"/>
  <c r="F1309" i="15"/>
  <c r="F1317" i="15"/>
  <c r="F1325" i="15"/>
  <c r="F1333" i="15"/>
  <c r="F1341" i="15"/>
  <c r="F1349" i="15"/>
  <c r="F1357" i="15"/>
  <c r="F1365" i="15"/>
  <c r="F1373" i="15"/>
  <c r="F1381" i="15"/>
  <c r="F1389" i="15"/>
  <c r="F1397" i="15"/>
  <c r="F1405" i="15"/>
  <c r="F1413" i="15"/>
  <c r="F1421" i="15"/>
  <c r="F1429" i="15"/>
  <c r="F1437" i="15"/>
  <c r="F1445" i="15"/>
  <c r="F1453" i="15"/>
  <c r="F1461" i="15"/>
  <c r="F1469" i="15"/>
  <c r="F1477" i="15"/>
  <c r="F1485" i="15"/>
  <c r="F1493" i="15"/>
  <c r="F1501" i="15"/>
  <c r="F1509" i="15"/>
  <c r="F1517" i="15"/>
  <c r="F1525" i="15"/>
  <c r="F1533" i="15"/>
  <c r="F1541" i="15"/>
  <c r="F1549" i="15"/>
  <c r="F1557" i="15"/>
  <c r="F1565" i="15"/>
  <c r="F1573" i="15"/>
  <c r="F1581" i="15"/>
  <c r="F1589" i="15"/>
  <c r="F1597" i="15"/>
  <c r="F1605" i="15"/>
  <c r="F1613" i="15"/>
  <c r="F1621" i="15"/>
  <c r="F1629" i="15"/>
  <c r="F1637" i="15"/>
  <c r="F1645" i="15"/>
  <c r="F1653" i="15"/>
  <c r="F1661" i="15"/>
  <c r="F1669" i="15"/>
  <c r="F1677" i="15"/>
  <c r="F1685" i="15"/>
  <c r="F1693" i="15"/>
  <c r="F1701" i="15"/>
  <c r="F1709" i="15"/>
  <c r="F1717" i="15"/>
  <c r="F1725" i="15"/>
  <c r="F1733" i="15"/>
  <c r="F1741" i="15"/>
  <c r="F1749" i="15"/>
  <c r="F1757" i="15"/>
  <c r="F1765" i="15"/>
  <c r="F1773" i="15"/>
  <c r="F1781" i="15"/>
  <c r="F1789" i="15"/>
  <c r="F1797" i="15"/>
  <c r="F1805" i="15"/>
  <c r="F1813" i="15"/>
  <c r="F1821" i="15"/>
  <c r="F1829" i="15"/>
  <c r="F1837" i="15"/>
  <c r="F1845" i="15"/>
  <c r="F1853" i="15"/>
  <c r="F1861" i="15"/>
  <c r="F1869" i="15"/>
  <c r="F1877" i="15"/>
  <c r="F1885" i="15"/>
  <c r="F1893" i="15"/>
  <c r="F1901" i="15"/>
  <c r="F1909" i="15"/>
  <c r="F1917" i="15"/>
  <c r="F1925" i="15"/>
  <c r="F1933" i="15"/>
  <c r="F1941" i="15"/>
  <c r="F1949" i="15"/>
  <c r="F1957" i="15"/>
  <c r="F1965" i="15"/>
  <c r="F1973" i="15"/>
  <c r="F1981" i="15"/>
  <c r="F1989" i="15"/>
  <c r="F1997" i="15"/>
  <c r="F2005" i="15"/>
  <c r="F2013" i="15"/>
  <c r="F2021" i="15"/>
  <c r="F2029" i="15"/>
  <c r="F2037" i="15"/>
  <c r="F2045" i="15"/>
  <c r="F2053" i="15"/>
  <c r="F2060" i="15"/>
  <c r="F2068" i="15"/>
  <c r="F2076" i="15"/>
  <c r="F2084" i="15"/>
  <c r="F2092" i="15"/>
  <c r="F2100" i="15"/>
  <c r="F2108" i="15"/>
  <c r="F2116" i="15"/>
  <c r="F2124" i="15"/>
  <c r="F2132" i="15"/>
  <c r="F2140" i="15"/>
  <c r="F2148" i="15"/>
  <c r="F2156" i="15"/>
  <c r="F2164" i="15"/>
  <c r="F2172" i="15"/>
  <c r="F2180" i="15"/>
  <c r="F2188" i="15"/>
  <c r="F2196" i="15"/>
  <c r="F2204" i="15"/>
  <c r="F2212" i="15"/>
  <c r="F2220" i="15"/>
  <c r="F2228" i="15"/>
  <c r="F2236" i="15"/>
  <c r="F2244" i="15"/>
  <c r="F2252" i="15"/>
  <c r="F2260" i="15"/>
  <c r="F2268" i="15"/>
  <c r="F2276" i="15"/>
  <c r="F2284" i="15"/>
  <c r="F2292" i="15"/>
  <c r="F2300" i="15"/>
  <c r="F2308" i="15"/>
  <c r="F2316" i="15"/>
  <c r="F2324" i="15"/>
  <c r="F2332" i="15"/>
  <c r="F2340" i="15"/>
  <c r="F2348" i="15"/>
  <c r="F2356" i="15"/>
  <c r="F2364" i="15"/>
  <c r="F2372" i="15"/>
  <c r="F2380" i="15"/>
  <c r="F2388" i="15"/>
  <c r="F2396" i="15"/>
  <c r="F2404" i="15"/>
  <c r="F2412" i="15"/>
  <c r="F2420" i="15"/>
  <c r="F2428" i="15"/>
  <c r="F2436" i="15"/>
  <c r="F2444" i="15"/>
  <c r="F2452" i="15"/>
  <c r="F2460" i="15"/>
  <c r="F2468" i="15"/>
  <c r="F2476" i="15"/>
  <c r="F2484" i="15"/>
  <c r="F2492" i="15"/>
  <c r="F2500" i="15"/>
  <c r="F2508" i="15"/>
  <c r="F2516" i="15"/>
  <c r="F2524" i="15"/>
  <c r="F2532" i="15"/>
  <c r="F2541" i="15"/>
  <c r="F2557" i="15"/>
  <c r="F2573" i="15"/>
  <c r="F2593" i="15"/>
  <c r="F2550" i="15"/>
  <c r="F2566" i="15"/>
  <c r="F2582" i="15"/>
  <c r="F2057" i="15"/>
  <c r="F2065" i="15"/>
  <c r="F2073" i="15"/>
  <c r="F2081" i="15"/>
  <c r="F2089" i="15"/>
  <c r="F2097" i="15"/>
  <c r="F2105" i="15"/>
  <c r="F2113" i="15"/>
  <c r="F2121" i="15"/>
  <c r="F2129" i="15"/>
  <c r="F2137" i="15"/>
  <c r="F2145" i="15"/>
  <c r="F2153" i="15"/>
  <c r="F2161" i="15"/>
  <c r="F2169" i="15"/>
  <c r="F2177" i="15"/>
  <c r="F2185" i="15"/>
  <c r="F2193" i="15"/>
  <c r="F2201" i="15"/>
  <c r="F2209" i="15"/>
  <c r="F2217" i="15"/>
  <c r="F2225" i="15"/>
  <c r="F2233" i="15"/>
  <c r="F2241" i="15"/>
  <c r="F2249" i="15"/>
  <c r="F2257" i="15"/>
  <c r="F2265" i="15"/>
  <c r="F2273" i="15"/>
  <c r="F2281" i="15"/>
  <c r="F2289" i="15"/>
  <c r="F2297" i="15"/>
  <c r="F2305" i="15"/>
  <c r="F2313" i="15"/>
  <c r="F2321" i="15"/>
  <c r="F2329" i="15"/>
  <c r="F2337" i="15"/>
  <c r="F2345" i="15"/>
  <c r="F2353" i="15"/>
  <c r="F2361" i="15"/>
  <c r="F2369" i="15"/>
  <c r="F2377" i="15"/>
  <c r="F2385" i="15"/>
  <c r="F2393" i="15"/>
  <c r="F2401" i="15"/>
  <c r="F2409" i="15"/>
  <c r="F2417" i="15"/>
  <c r="F2425" i="15"/>
  <c r="F2433" i="15"/>
  <c r="F2441" i="15"/>
  <c r="F2449" i="15"/>
  <c r="F2457" i="15"/>
  <c r="F2465" i="15"/>
  <c r="F2473" i="15"/>
  <c r="F2481" i="15"/>
  <c r="F2489" i="15"/>
  <c r="F2497" i="15"/>
  <c r="F2505" i="15"/>
  <c r="F2513" i="15"/>
  <c r="F2521" i="15"/>
  <c r="F2529" i="15"/>
  <c r="F2537" i="15"/>
  <c r="F2551" i="15"/>
  <c r="F2567" i="15"/>
  <c r="F2583" i="15"/>
  <c r="F2548" i="15"/>
  <c r="F2564" i="15"/>
  <c r="F2580" i="15"/>
  <c r="F2584" i="15"/>
  <c r="F2600" i="15"/>
  <c r="F2616" i="15"/>
  <c r="F2641" i="15"/>
  <c r="F2673" i="15"/>
  <c r="F2705" i="15"/>
  <c r="F2737" i="15"/>
  <c r="G37" i="16"/>
  <c r="G101" i="16"/>
  <c r="G5" i="17"/>
  <c r="G37" i="17"/>
  <c r="G69" i="17"/>
  <c r="G101" i="17"/>
  <c r="G133" i="17"/>
  <c r="G165" i="17"/>
  <c r="G197" i="17"/>
  <c r="G11" i="18"/>
  <c r="G43" i="18"/>
  <c r="G75" i="18"/>
  <c r="G107" i="18"/>
  <c r="G139" i="18"/>
  <c r="G15" i="19"/>
  <c r="G47" i="19"/>
  <c r="G79" i="19"/>
  <c r="G133" i="19"/>
  <c r="G246" i="19"/>
  <c r="G87" i="20"/>
  <c r="G61" i="21"/>
  <c r="G183" i="21"/>
  <c r="G311" i="21"/>
  <c r="G439" i="21"/>
  <c r="G16" i="23"/>
  <c r="F2609" i="15"/>
  <c r="F2627" i="15"/>
  <c r="F2659" i="15"/>
  <c r="F2691" i="15"/>
  <c r="F2723" i="15"/>
  <c r="G9" i="16"/>
  <c r="G73" i="16"/>
  <c r="G137" i="16"/>
  <c r="G23" i="17"/>
  <c r="G55" i="17"/>
  <c r="G87" i="17"/>
  <c r="G119" i="17"/>
  <c r="G151" i="17"/>
  <c r="G183" i="17"/>
  <c r="G215" i="17"/>
  <c r="G29" i="18"/>
  <c r="G61" i="18"/>
  <c r="G93" i="18"/>
  <c r="G125" i="18"/>
  <c r="G157" i="18"/>
  <c r="G33" i="19"/>
  <c r="G65" i="19"/>
  <c r="G105" i="19"/>
  <c r="G190" i="19"/>
  <c r="G31" i="20"/>
  <c r="G159" i="20"/>
  <c r="G95" i="21"/>
  <c r="G223" i="21"/>
  <c r="G351" i="21"/>
  <c r="G31" i="22"/>
  <c r="F2602" i="15"/>
  <c r="F2618" i="15"/>
  <c r="F2645" i="15"/>
  <c r="F2677" i="15"/>
  <c r="F2709" i="15"/>
  <c r="F2741" i="15"/>
  <c r="G45" i="16"/>
  <c r="G109" i="16"/>
  <c r="G9" i="17"/>
  <c r="G41" i="17"/>
  <c r="G73" i="17"/>
  <c r="G105" i="17"/>
  <c r="G137" i="17"/>
  <c r="G169" i="17"/>
  <c r="G201" i="17"/>
  <c r="G15" i="18"/>
  <c r="G47" i="18"/>
  <c r="G79" i="18"/>
  <c r="G111" i="18"/>
  <c r="G143" i="18"/>
  <c r="G19" i="19"/>
  <c r="G51" i="19"/>
  <c r="G83" i="19"/>
  <c r="G141" i="19"/>
  <c r="G262" i="19"/>
  <c r="G103" i="20"/>
  <c r="G73" i="21"/>
  <c r="G199" i="21"/>
  <c r="G327" i="21"/>
  <c r="G455" i="21"/>
  <c r="G80" i="23"/>
  <c r="F2611" i="15"/>
  <c r="F2631" i="15"/>
  <c r="F2663" i="15"/>
  <c r="F2695" i="15"/>
  <c r="F2727" i="15"/>
  <c r="G17" i="16"/>
  <c r="G81" i="16"/>
  <c r="G145" i="16"/>
  <c r="G27" i="17"/>
  <c r="G59" i="17"/>
  <c r="G91" i="17"/>
  <c r="G123" i="17"/>
  <c r="G155" i="17"/>
  <c r="G187" i="17"/>
  <c r="G219" i="17"/>
  <c r="G33" i="18"/>
  <c r="G65" i="18"/>
  <c r="G97" i="18"/>
  <c r="G129" i="18"/>
  <c r="G5" i="19"/>
  <c r="G37" i="19"/>
  <c r="G69" i="19"/>
  <c r="G113" i="19"/>
  <c r="G206" i="19"/>
  <c r="G47" i="20"/>
  <c r="G175" i="20"/>
  <c r="G143" i="21"/>
  <c r="G271" i="21"/>
  <c r="G399" i="21"/>
  <c r="G166" i="22"/>
  <c r="G10" i="16"/>
  <c r="G26" i="16"/>
  <c r="G42" i="16"/>
  <c r="G58" i="16"/>
  <c r="G74" i="16"/>
  <c r="G90" i="16"/>
  <c r="G106" i="16"/>
  <c r="G122" i="16"/>
  <c r="G138" i="16"/>
  <c r="G154" i="16"/>
  <c r="G90" i="19"/>
  <c r="G106" i="19"/>
  <c r="G122" i="19"/>
  <c r="G138" i="19"/>
  <c r="G160" i="19"/>
  <c r="G192" i="19"/>
  <c r="G224" i="19"/>
  <c r="G256" i="19"/>
  <c r="G288" i="19"/>
  <c r="G33" i="20"/>
  <c r="G65" i="20"/>
  <c r="G97" i="20"/>
  <c r="G129" i="20"/>
  <c r="G161" i="20"/>
  <c r="G15" i="21"/>
  <c r="G43" i="21"/>
  <c r="G75" i="21"/>
  <c r="G105" i="21"/>
  <c r="G137" i="21"/>
  <c r="G169" i="21"/>
  <c r="G201" i="21"/>
  <c r="G233" i="21"/>
  <c r="G265" i="21"/>
  <c r="G297" i="21"/>
  <c r="G329" i="21"/>
  <c r="G361" i="21"/>
  <c r="G393" i="21"/>
  <c r="G425" i="21"/>
  <c r="G3" i="22"/>
  <c r="G142" i="22"/>
  <c r="G270" i="22"/>
  <c r="G88" i="23"/>
  <c r="F2628" i="15"/>
  <c r="F2636" i="15"/>
  <c r="F2644" i="15"/>
  <c r="F2652" i="15"/>
  <c r="F2660" i="15"/>
  <c r="F2668" i="15"/>
  <c r="F2676" i="15"/>
  <c r="F2684" i="15"/>
  <c r="F2692" i="15"/>
  <c r="F2700" i="15"/>
  <c r="F2708" i="15"/>
  <c r="F2716" i="15"/>
  <c r="F2724" i="15"/>
  <c r="F2732" i="15"/>
  <c r="F2740" i="15"/>
  <c r="F2748" i="15"/>
  <c r="G11" i="16"/>
  <c r="G27" i="16"/>
  <c r="G43" i="16"/>
  <c r="G59" i="16"/>
  <c r="G75" i="16"/>
  <c r="G91" i="16"/>
  <c r="G107" i="16"/>
  <c r="G123" i="16"/>
  <c r="G139" i="16"/>
  <c r="G155" i="16"/>
  <c r="G8" i="17"/>
  <c r="G16" i="17"/>
  <c r="G24" i="17"/>
  <c r="G32" i="17"/>
  <c r="G40" i="17"/>
  <c r="G48" i="17"/>
  <c r="G56" i="17"/>
  <c r="G64" i="17"/>
  <c r="G72" i="17"/>
  <c r="G80" i="17"/>
  <c r="G88" i="17"/>
  <c r="G96" i="17"/>
  <c r="G104" i="17"/>
  <c r="G112" i="17"/>
  <c r="G120" i="17"/>
  <c r="G128" i="17"/>
  <c r="G136" i="17"/>
  <c r="G144" i="17"/>
  <c r="G152" i="17"/>
  <c r="G160" i="17"/>
  <c r="G168" i="17"/>
  <c r="G176" i="17"/>
  <c r="G184" i="17"/>
  <c r="G192" i="17"/>
  <c r="G200" i="17"/>
  <c r="G208" i="17"/>
  <c r="G216" i="17"/>
  <c r="G6" i="18"/>
  <c r="G14" i="18"/>
  <c r="G22" i="18"/>
  <c r="G30" i="18"/>
  <c r="G38" i="18"/>
  <c r="G46" i="18"/>
  <c r="G54" i="18"/>
  <c r="G62" i="18"/>
  <c r="G70" i="18"/>
  <c r="G78" i="18"/>
  <c r="G86" i="18"/>
  <c r="G94" i="18"/>
  <c r="G102" i="18"/>
  <c r="G110" i="18"/>
  <c r="G118" i="18"/>
  <c r="G126" i="18"/>
  <c r="G134" i="18"/>
  <c r="G142" i="18"/>
  <c r="G150" i="18"/>
  <c r="G2" i="19"/>
  <c r="G10" i="19"/>
  <c r="G18" i="19"/>
  <c r="G26" i="19"/>
  <c r="G34" i="19"/>
  <c r="G42" i="19"/>
  <c r="G50" i="19"/>
  <c r="G58" i="19"/>
  <c r="G66" i="19"/>
  <c r="G74" i="19"/>
  <c r="G82" i="19"/>
  <c r="G91" i="19"/>
  <c r="G107" i="19"/>
  <c r="G123" i="19"/>
  <c r="G139" i="19"/>
  <c r="G162" i="19"/>
  <c r="G194" i="19"/>
  <c r="G226" i="19"/>
  <c r="G258" i="19"/>
  <c r="G3" i="20"/>
  <c r="G35" i="20"/>
  <c r="G67" i="20"/>
  <c r="G99" i="20"/>
  <c r="G131" i="20"/>
  <c r="G163" i="20"/>
  <c r="G17" i="21"/>
  <c r="G45" i="21"/>
  <c r="G69" i="21"/>
  <c r="G99" i="21"/>
  <c r="G131" i="21"/>
  <c r="G163" i="21"/>
  <c r="G195" i="21"/>
  <c r="G227" i="21"/>
  <c r="G259" i="21"/>
  <c r="G291" i="21"/>
  <c r="G323" i="21"/>
  <c r="G355" i="21"/>
  <c r="G387" i="21"/>
  <c r="G419" i="21"/>
  <c r="G451" i="21"/>
  <c r="G118" i="22"/>
  <c r="G246" i="22"/>
  <c r="G64" i="23"/>
  <c r="G16" i="16"/>
  <c r="G32" i="16"/>
  <c r="G48" i="16"/>
  <c r="G64" i="16"/>
  <c r="G80" i="16"/>
  <c r="G96" i="16"/>
  <c r="G112" i="16"/>
  <c r="G128" i="16"/>
  <c r="G144" i="16"/>
  <c r="G96" i="19"/>
  <c r="G112" i="19"/>
  <c r="G128" i="19"/>
  <c r="G144" i="19"/>
  <c r="G172" i="19"/>
  <c r="G204" i="19"/>
  <c r="G236" i="19"/>
  <c r="G268" i="19"/>
  <c r="G13" i="20"/>
  <c r="G45" i="20"/>
  <c r="F2552" i="15"/>
  <c r="F2568" i="15"/>
  <c r="F2585" i="15"/>
  <c r="F2588" i="15"/>
  <c r="F2604" i="15"/>
  <c r="F2620" i="15"/>
  <c r="F2649" i="15"/>
  <c r="F2681" i="15"/>
  <c r="F2713" i="15"/>
  <c r="F2745" i="15"/>
  <c r="G53" i="16"/>
  <c r="G117" i="16"/>
  <c r="G13" i="17"/>
  <c r="G45" i="17"/>
  <c r="G77" i="17"/>
  <c r="G109" i="17"/>
  <c r="G141" i="17"/>
  <c r="G173" i="17"/>
  <c r="G205" i="17"/>
  <c r="G19" i="18"/>
  <c r="G51" i="18"/>
  <c r="G83" i="18"/>
  <c r="G115" i="18"/>
  <c r="G147" i="18"/>
  <c r="G23" i="19"/>
  <c r="G55" i="19"/>
  <c r="G87" i="19"/>
  <c r="G150" i="19"/>
  <c r="G278" i="19"/>
  <c r="G119" i="20"/>
  <c r="G87" i="21"/>
  <c r="G215" i="21"/>
  <c r="G343" i="21"/>
  <c r="F2613" i="15"/>
  <c r="F2635" i="15"/>
  <c r="F2667" i="15"/>
  <c r="F2699" i="15"/>
  <c r="F2731" i="15"/>
  <c r="G25" i="16"/>
  <c r="G89" i="16"/>
  <c r="G153" i="16"/>
  <c r="G31" i="17"/>
  <c r="G63" i="17"/>
  <c r="G95" i="17"/>
  <c r="G127" i="17"/>
  <c r="G159" i="17"/>
  <c r="G191" i="17"/>
  <c r="G5" i="18"/>
  <c r="G37" i="18"/>
  <c r="G69" i="18"/>
  <c r="G101" i="18"/>
  <c r="G133" i="18"/>
  <c r="G9" i="19"/>
  <c r="G41" i="19"/>
  <c r="G73" i="19"/>
  <c r="G121" i="19"/>
  <c r="G222" i="19"/>
  <c r="G63" i="20"/>
  <c r="G13" i="21"/>
  <c r="G127" i="21"/>
  <c r="G255" i="21"/>
  <c r="G383" i="21"/>
  <c r="G102" i="22"/>
  <c r="F2590" i="15"/>
  <c r="F2606" i="15"/>
  <c r="F2622" i="15"/>
  <c r="F2653" i="15"/>
  <c r="F2685" i="15"/>
  <c r="F2717" i="15"/>
  <c r="F2749" i="15"/>
  <c r="G61" i="16"/>
  <c r="G125" i="16"/>
  <c r="G17" i="17"/>
  <c r="G49" i="17"/>
  <c r="G81" i="17"/>
  <c r="G113" i="17"/>
  <c r="G145" i="17"/>
  <c r="G177" i="17"/>
  <c r="G209" i="17"/>
  <c r="G23" i="18"/>
  <c r="G55" i="18"/>
  <c r="G87" i="18"/>
  <c r="G119" i="18"/>
  <c r="G151" i="18"/>
  <c r="G27" i="19"/>
  <c r="G59" i="19"/>
  <c r="G93" i="19"/>
  <c r="G166" i="19"/>
  <c r="G7" i="20"/>
  <c r="G135" i="20"/>
  <c r="G103" i="21"/>
  <c r="G231" i="21"/>
  <c r="G359" i="21"/>
  <c r="G42" i="22"/>
  <c r="F2615" i="15"/>
  <c r="F2639" i="15"/>
  <c r="F2671" i="15"/>
  <c r="F2703" i="15"/>
  <c r="F2735" i="15"/>
  <c r="G33" i="16"/>
  <c r="G97" i="16"/>
  <c r="G3" i="17"/>
  <c r="G35" i="17"/>
  <c r="G67" i="17"/>
  <c r="G99" i="17"/>
  <c r="G131" i="17"/>
  <c r="G163" i="17"/>
  <c r="G195" i="17"/>
  <c r="G9" i="18"/>
  <c r="G41" i="18"/>
  <c r="G73" i="18"/>
  <c r="G105" i="18"/>
  <c r="G137" i="18"/>
  <c r="G13" i="19"/>
  <c r="G45" i="19"/>
  <c r="G77" i="19"/>
  <c r="G129" i="19"/>
  <c r="G238" i="19"/>
  <c r="G79" i="20"/>
  <c r="G27" i="21"/>
  <c r="G175" i="21"/>
  <c r="G303" i="21"/>
  <c r="G431" i="21"/>
  <c r="G294" i="22"/>
  <c r="G14" i="16"/>
  <c r="G30" i="16"/>
  <c r="G46" i="16"/>
  <c r="G62" i="16"/>
  <c r="G78" i="16"/>
  <c r="G94" i="16"/>
  <c r="G110" i="16"/>
  <c r="G126" i="16"/>
  <c r="G142" i="16"/>
  <c r="G158" i="16"/>
  <c r="G94" i="19"/>
  <c r="G110" i="19"/>
  <c r="G126" i="19"/>
  <c r="G142" i="19"/>
  <c r="G168" i="19"/>
  <c r="G200" i="19"/>
  <c r="G232" i="19"/>
  <c r="G264" i="19"/>
  <c r="G9" i="20"/>
  <c r="G41" i="20"/>
  <c r="G73" i="20"/>
  <c r="G105" i="20"/>
  <c r="G137" i="20"/>
  <c r="G169" i="20"/>
  <c r="G21" i="21"/>
  <c r="G49" i="21"/>
  <c r="G81" i="21"/>
  <c r="G113" i="21"/>
  <c r="G145" i="21"/>
  <c r="G177" i="21"/>
  <c r="G209" i="21"/>
  <c r="G241" i="21"/>
  <c r="G273" i="21"/>
  <c r="G305" i="21"/>
  <c r="G337" i="21"/>
  <c r="G369" i="21"/>
  <c r="G401" i="21"/>
  <c r="G433" i="21"/>
  <c r="G59" i="22"/>
  <c r="G174" i="22"/>
  <c r="G302" i="22"/>
  <c r="G614" i="23"/>
  <c r="F2630" i="15"/>
  <c r="F2638" i="15"/>
  <c r="F2646" i="15"/>
  <c r="F2654" i="15"/>
  <c r="F2662" i="15"/>
  <c r="F2670" i="15"/>
  <c r="F2678" i="15"/>
  <c r="F2686" i="15"/>
  <c r="F2694" i="15"/>
  <c r="F2702" i="15"/>
  <c r="F2710" i="15"/>
  <c r="F2718" i="15"/>
  <c r="F2726" i="15"/>
  <c r="F2734" i="15"/>
  <c r="F2742" i="15"/>
  <c r="F2750" i="15"/>
  <c r="G15" i="16"/>
  <c r="G31" i="16"/>
  <c r="G47" i="16"/>
  <c r="G63" i="16"/>
  <c r="G79" i="16"/>
  <c r="G95" i="16"/>
  <c r="G111" i="16"/>
  <c r="G127" i="16"/>
  <c r="G143" i="16"/>
  <c r="G2" i="17"/>
  <c r="G10" i="17"/>
  <c r="G18" i="17"/>
  <c r="G26" i="17"/>
  <c r="G34" i="17"/>
  <c r="G42" i="17"/>
  <c r="G50" i="17"/>
  <c r="G58" i="17"/>
  <c r="G66" i="17"/>
  <c r="G74" i="17"/>
  <c r="G82" i="17"/>
  <c r="G90" i="17"/>
  <c r="G98" i="17"/>
  <c r="G106" i="17"/>
  <c r="G114" i="17"/>
  <c r="G122" i="17"/>
  <c r="G130" i="17"/>
  <c r="G138" i="17"/>
  <c r="G146" i="17"/>
  <c r="G154" i="17"/>
  <c r="G162" i="17"/>
  <c r="G170" i="17"/>
  <c r="G178" i="17"/>
  <c r="G186" i="17"/>
  <c r="G194" i="17"/>
  <c r="G202" i="17"/>
  <c r="G210" i="17"/>
  <c r="G218" i="17"/>
  <c r="G8" i="18"/>
  <c r="G16" i="18"/>
  <c r="G24" i="18"/>
  <c r="G32" i="18"/>
  <c r="G40" i="18"/>
  <c r="G48" i="18"/>
  <c r="G56" i="18"/>
  <c r="G64" i="18"/>
  <c r="G72" i="18"/>
  <c r="G80" i="18"/>
  <c r="G88" i="18"/>
  <c r="G96" i="18"/>
  <c r="G104" i="18"/>
  <c r="G112" i="18"/>
  <c r="G120" i="18"/>
  <c r="G128" i="18"/>
  <c r="G136" i="18"/>
  <c r="G144" i="18"/>
  <c r="G152" i="18"/>
  <c r="G4" i="19"/>
  <c r="G12" i="19"/>
  <c r="G20" i="19"/>
  <c r="G28" i="19"/>
  <c r="G36" i="19"/>
  <c r="G44" i="19"/>
  <c r="G52" i="19"/>
  <c r="G60" i="19"/>
  <c r="G68" i="19"/>
  <c r="G76" i="19"/>
  <c r="G84" i="19"/>
  <c r="G95" i="19"/>
  <c r="G111" i="19"/>
  <c r="G127" i="19"/>
  <c r="G143" i="19"/>
  <c r="G170" i="19"/>
  <c r="G202" i="19"/>
  <c r="G234" i="19"/>
  <c r="G266" i="19"/>
  <c r="G11" i="20"/>
  <c r="G43" i="20"/>
  <c r="G75" i="20"/>
  <c r="G107" i="20"/>
  <c r="G139" i="20"/>
  <c r="G171" i="20"/>
  <c r="G23" i="21"/>
  <c r="G51" i="21"/>
  <c r="G77" i="21"/>
  <c r="G107" i="21"/>
  <c r="G139" i="21"/>
  <c r="G171" i="21"/>
  <c r="G203" i="21"/>
  <c r="G235" i="21"/>
  <c r="G267" i="21"/>
  <c r="G299" i="21"/>
  <c r="G331" i="21"/>
  <c r="G363" i="21"/>
  <c r="G395" i="21"/>
  <c r="G427" i="21"/>
  <c r="G5" i="22"/>
  <c r="G47" i="22"/>
  <c r="G150" i="22"/>
  <c r="G278" i="22"/>
  <c r="G96" i="23"/>
  <c r="G4" i="16"/>
  <c r="G20" i="16"/>
  <c r="G36" i="16"/>
  <c r="G52" i="16"/>
  <c r="G68" i="16"/>
  <c r="G84" i="16"/>
  <c r="G100" i="16"/>
  <c r="G116" i="16"/>
  <c r="G132" i="16"/>
  <c r="G148" i="16"/>
  <c r="G100" i="19"/>
  <c r="G116" i="19"/>
  <c r="G132" i="19"/>
  <c r="G148" i="19"/>
  <c r="G180" i="19"/>
  <c r="G212" i="19"/>
  <c r="G244" i="19"/>
  <c r="G276" i="19"/>
  <c r="G21" i="20"/>
  <c r="G53" i="20"/>
  <c r="F2540" i="15"/>
  <c r="F2556" i="15"/>
  <c r="F2572" i="15"/>
  <c r="F2591" i="15"/>
  <c r="F2592" i="15"/>
  <c r="F2608" i="15"/>
  <c r="F2625" i="15"/>
  <c r="F2657" i="15"/>
  <c r="F2689" i="15"/>
  <c r="F2721" i="15"/>
  <c r="G5" i="16"/>
  <c r="G69" i="16"/>
  <c r="G133" i="16"/>
  <c r="G21" i="17"/>
  <c r="G53" i="17"/>
  <c r="G85" i="17"/>
  <c r="G117" i="17"/>
  <c r="G149" i="17"/>
  <c r="G181" i="17"/>
  <c r="G213" i="17"/>
  <c r="G27" i="18"/>
  <c r="G59" i="18"/>
  <c r="G91" i="18"/>
  <c r="G123" i="18"/>
  <c r="G155" i="18"/>
  <c r="G31" i="19"/>
  <c r="G63" i="19"/>
  <c r="G101" i="19"/>
  <c r="G182" i="19"/>
  <c r="G23" i="20"/>
  <c r="G151" i="20"/>
  <c r="G119" i="21"/>
  <c r="G247" i="21"/>
  <c r="G375" i="21"/>
  <c r="G71" i="22"/>
  <c r="F2601" i="15"/>
  <c r="F2617" i="15"/>
  <c r="F2643" i="15"/>
  <c r="F2675" i="15"/>
  <c r="F2707" i="15"/>
  <c r="F2739" i="15"/>
  <c r="G41" i="16"/>
  <c r="G105" i="16"/>
  <c r="G7" i="17"/>
  <c r="G39" i="17"/>
  <c r="G71" i="17"/>
  <c r="G103" i="17"/>
  <c r="G135" i="17"/>
  <c r="G167" i="17"/>
  <c r="G199" i="17"/>
  <c r="G13" i="18"/>
  <c r="G45" i="18"/>
  <c r="G77" i="18"/>
  <c r="G109" i="18"/>
  <c r="G141" i="18"/>
  <c r="G17" i="19"/>
  <c r="G49" i="19"/>
  <c r="G81" i="19"/>
  <c r="G137" i="19"/>
  <c r="G254" i="19"/>
  <c r="G95" i="20"/>
  <c r="G41" i="21"/>
  <c r="G159" i="21"/>
  <c r="G287" i="21"/>
  <c r="G415" i="21"/>
  <c r="G230" i="22"/>
  <c r="F2594" i="15"/>
  <c r="F2610" i="15"/>
  <c r="F2629" i="15"/>
  <c r="F2661" i="15"/>
  <c r="F2693" i="15"/>
  <c r="F2725" i="15"/>
  <c r="G13" i="16"/>
  <c r="G77" i="16"/>
  <c r="G141" i="16"/>
  <c r="G25" i="17"/>
  <c r="G57" i="17"/>
  <c r="G89" i="17"/>
  <c r="G121" i="17"/>
  <c r="G153" i="17"/>
  <c r="G185" i="17"/>
  <c r="G217" i="17"/>
  <c r="G31" i="18"/>
  <c r="G63" i="18"/>
  <c r="G95" i="18"/>
  <c r="G127" i="18"/>
  <c r="G3" i="19"/>
  <c r="G35" i="19"/>
  <c r="G67" i="19"/>
  <c r="G109" i="19"/>
  <c r="G198" i="19"/>
  <c r="G39" i="20"/>
  <c r="G167" i="20"/>
  <c r="G135" i="21"/>
  <c r="G263" i="21"/>
  <c r="G391" i="21"/>
  <c r="G134" i="22"/>
  <c r="F2603" i="15"/>
  <c r="F2619" i="15"/>
  <c r="F2647" i="15"/>
  <c r="F2679" i="15"/>
  <c r="F2711" i="15"/>
  <c r="F2743" i="15"/>
  <c r="G49" i="16"/>
  <c r="G113" i="16"/>
  <c r="G11" i="17"/>
  <c r="G43" i="17"/>
  <c r="G75" i="17"/>
  <c r="G107" i="17"/>
  <c r="G139" i="17"/>
  <c r="G171" i="17"/>
  <c r="G203" i="17"/>
  <c r="G17" i="18"/>
  <c r="G49" i="18"/>
  <c r="G81" i="18"/>
  <c r="G113" i="18"/>
  <c r="G145" i="18"/>
  <c r="G21" i="19"/>
  <c r="G53" i="19"/>
  <c r="G85" i="19"/>
  <c r="G145" i="19"/>
  <c r="G270" i="19"/>
  <c r="G111" i="20"/>
  <c r="G55" i="21"/>
  <c r="G207" i="21"/>
  <c r="G335" i="21"/>
  <c r="G10" i="22"/>
  <c r="G18" i="16"/>
  <c r="G34" i="16"/>
  <c r="G50" i="16"/>
  <c r="G66" i="16"/>
  <c r="G82" i="16"/>
  <c r="G98" i="16"/>
  <c r="G114" i="16"/>
  <c r="G130" i="16"/>
  <c r="G146" i="16"/>
  <c r="G98" i="19"/>
  <c r="G114" i="19"/>
  <c r="G130" i="19"/>
  <c r="G146" i="19"/>
  <c r="G176" i="19"/>
  <c r="G208" i="19"/>
  <c r="G240" i="19"/>
  <c r="G272" i="19"/>
  <c r="G17" i="20"/>
  <c r="G49" i="20"/>
  <c r="G81" i="20"/>
  <c r="G113" i="20"/>
  <c r="G145" i="20"/>
  <c r="G177" i="20"/>
  <c r="G29" i="21"/>
  <c r="G57" i="21"/>
  <c r="G89" i="21"/>
  <c r="G121" i="21"/>
  <c r="G153" i="21"/>
  <c r="G185" i="21"/>
  <c r="G217" i="21"/>
  <c r="G249" i="21"/>
  <c r="G281" i="21"/>
  <c r="G313" i="21"/>
  <c r="G345" i="21"/>
  <c r="G377" i="21"/>
  <c r="G409" i="21"/>
  <c r="G441" i="21"/>
  <c r="G23" i="22"/>
  <c r="G78" i="22"/>
  <c r="G206" i="22"/>
  <c r="G24" i="23"/>
  <c r="F2624" i="15"/>
  <c r="F2632" i="15"/>
  <c r="F2640" i="15"/>
  <c r="F2648" i="15"/>
  <c r="F2656" i="15"/>
  <c r="F2664" i="15"/>
  <c r="F2672" i="15"/>
  <c r="F2680" i="15"/>
  <c r="F2688" i="15"/>
  <c r="F2696" i="15"/>
  <c r="F2704" i="15"/>
  <c r="F2712" i="15"/>
  <c r="F2720" i="15"/>
  <c r="F2728" i="15"/>
  <c r="F2736" i="15"/>
  <c r="F2744" i="15"/>
  <c r="G3" i="16"/>
  <c r="G19" i="16"/>
  <c r="G35" i="16"/>
  <c r="G51" i="16"/>
  <c r="G67" i="16"/>
  <c r="G83" i="16"/>
  <c r="G99" i="16"/>
  <c r="G115" i="16"/>
  <c r="G131" i="16"/>
  <c r="G147" i="16"/>
  <c r="G4" i="17"/>
  <c r="G12" i="17"/>
  <c r="G20" i="17"/>
  <c r="G28" i="17"/>
  <c r="G36" i="17"/>
  <c r="G44" i="17"/>
  <c r="G52" i="17"/>
  <c r="G60" i="17"/>
  <c r="G68" i="17"/>
  <c r="G76" i="17"/>
  <c r="G84" i="17"/>
  <c r="G92" i="17"/>
  <c r="G100" i="17"/>
  <c r="G108" i="17"/>
  <c r="G116" i="17"/>
  <c r="G124" i="17"/>
  <c r="G132" i="17"/>
  <c r="G140" i="17"/>
  <c r="G148" i="17"/>
  <c r="G156" i="17"/>
  <c r="G164" i="17"/>
  <c r="G172" i="17"/>
  <c r="G180" i="17"/>
  <c r="G188" i="17"/>
  <c r="G196" i="17"/>
  <c r="G204" i="17"/>
  <c r="G212" i="17"/>
  <c r="G2" i="18"/>
  <c r="G10" i="18"/>
  <c r="G18" i="18"/>
  <c r="G26" i="18"/>
  <c r="G34" i="18"/>
  <c r="G42" i="18"/>
  <c r="G50" i="18"/>
  <c r="G58" i="18"/>
  <c r="G66" i="18"/>
  <c r="G74" i="18"/>
  <c r="G82" i="18"/>
  <c r="G90" i="18"/>
  <c r="G98" i="18"/>
  <c r="G106" i="18"/>
  <c r="G114" i="18"/>
  <c r="G122" i="18"/>
  <c r="G130" i="18"/>
  <c r="G138" i="18"/>
  <c r="G146" i="18"/>
  <c r="G154" i="18"/>
  <c r="G6" i="19"/>
  <c r="G14" i="19"/>
  <c r="G22" i="19"/>
  <c r="G30" i="19"/>
  <c r="G38" i="19"/>
  <c r="G46" i="19"/>
  <c r="G54" i="19"/>
  <c r="G62" i="19"/>
  <c r="G70" i="19"/>
  <c r="G78" i="19"/>
  <c r="G86" i="19"/>
  <c r="G99" i="19"/>
  <c r="G115" i="19"/>
  <c r="G131" i="19"/>
  <c r="G147" i="19"/>
  <c r="G178" i="19"/>
  <c r="G210" i="19"/>
  <c r="G242" i="19"/>
  <c r="G274" i="19"/>
  <c r="G19" i="20"/>
  <c r="G51" i="20"/>
  <c r="G83" i="20"/>
  <c r="G115" i="20"/>
  <c r="G147" i="20"/>
  <c r="G3" i="21"/>
  <c r="G31" i="21"/>
  <c r="G59" i="21"/>
  <c r="G83" i="21"/>
  <c r="G115" i="21"/>
  <c r="G147" i="21"/>
  <c r="G179" i="21"/>
  <c r="G211" i="21"/>
  <c r="G243" i="21"/>
  <c r="G275" i="21"/>
  <c r="G307" i="21"/>
  <c r="G339" i="21"/>
  <c r="G371" i="21"/>
  <c r="G403" i="21"/>
  <c r="G435" i="21"/>
  <c r="G15" i="22"/>
  <c r="G63" i="22"/>
  <c r="G182" i="22"/>
  <c r="G310" i="22"/>
  <c r="F75" i="24"/>
  <c r="G8" i="16"/>
  <c r="G24" i="16"/>
  <c r="G40" i="16"/>
  <c r="G56" i="16"/>
  <c r="G72" i="16"/>
  <c r="G88" i="16"/>
  <c r="G104" i="16"/>
  <c r="G120" i="16"/>
  <c r="G136" i="16"/>
  <c r="G152" i="16"/>
  <c r="G89" i="19"/>
  <c r="G104" i="19"/>
  <c r="G120" i="19"/>
  <c r="G136" i="19"/>
  <c r="G156" i="19"/>
  <c r="G188" i="19"/>
  <c r="G220" i="19"/>
  <c r="G252" i="19"/>
  <c r="G284" i="19"/>
  <c r="G29" i="20"/>
  <c r="G61" i="20"/>
  <c r="F2544" i="15"/>
  <c r="F2560" i="15"/>
  <c r="F2576" i="15"/>
  <c r="F2599" i="15"/>
  <c r="F2596" i="15"/>
  <c r="F2612" i="15"/>
  <c r="F2633" i="15"/>
  <c r="F2665" i="15"/>
  <c r="F2697" i="15"/>
  <c r="F2729" i="15"/>
  <c r="G21" i="16"/>
  <c r="G85" i="16"/>
  <c r="G149" i="16"/>
  <c r="G29" i="17"/>
  <c r="G61" i="17"/>
  <c r="G93" i="17"/>
  <c r="G125" i="17"/>
  <c r="G157" i="17"/>
  <c r="G189" i="17"/>
  <c r="G3" i="18"/>
  <c r="G35" i="18"/>
  <c r="G67" i="18"/>
  <c r="G99" i="18"/>
  <c r="G131" i="18"/>
  <c r="G7" i="19"/>
  <c r="G39" i="19"/>
  <c r="G71" i="19"/>
  <c r="G117" i="19"/>
  <c r="G214" i="19"/>
  <c r="G55" i="20"/>
  <c r="G7" i="21"/>
  <c r="G151" i="21"/>
  <c r="G279" i="21"/>
  <c r="G407" i="21"/>
  <c r="G198" i="22"/>
  <c r="F2605" i="15"/>
  <c r="F2621" i="15"/>
  <c r="F2651" i="15"/>
  <c r="F2683" i="15"/>
  <c r="F2715" i="15"/>
  <c r="F2747" i="15"/>
  <c r="G57" i="16"/>
  <c r="G121" i="16"/>
  <c r="G15" i="17"/>
  <c r="G47" i="17"/>
  <c r="G79" i="17"/>
  <c r="G111" i="17"/>
  <c r="G143" i="17"/>
  <c r="G175" i="17"/>
  <c r="G207" i="17"/>
  <c r="G21" i="18"/>
  <c r="G53" i="18"/>
  <c r="G85" i="18"/>
  <c r="G117" i="18"/>
  <c r="G149" i="18"/>
  <c r="G25" i="19"/>
  <c r="G57" i="19"/>
  <c r="G158" i="19"/>
  <c r="G286" i="19"/>
  <c r="G127" i="20"/>
  <c r="G67" i="21"/>
  <c r="G191" i="21"/>
  <c r="G319" i="21"/>
  <c r="G447" i="21"/>
  <c r="G48" i="23"/>
  <c r="F2598" i="15"/>
  <c r="F2614" i="15"/>
  <c r="F2637" i="15"/>
  <c r="F2669" i="15"/>
  <c r="F2701" i="15"/>
  <c r="F2733" i="15"/>
  <c r="G29" i="16"/>
  <c r="G93" i="16"/>
  <c r="G157" i="16"/>
  <c r="G33" i="17"/>
  <c r="G65" i="17"/>
  <c r="G97" i="17"/>
  <c r="G129" i="17"/>
  <c r="G161" i="17"/>
  <c r="G193" i="17"/>
  <c r="G7" i="18"/>
  <c r="G39" i="18"/>
  <c r="G71" i="18"/>
  <c r="G103" i="18"/>
  <c r="G135" i="18"/>
  <c r="G11" i="19"/>
  <c r="G43" i="19"/>
  <c r="G75" i="19"/>
  <c r="G125" i="19"/>
  <c r="G230" i="19"/>
  <c r="G71" i="20"/>
  <c r="G19" i="21"/>
  <c r="G167" i="21"/>
  <c r="G295" i="21"/>
  <c r="G423" i="21"/>
  <c r="G262" i="22"/>
  <c r="F2607" i="15"/>
  <c r="F2623" i="15"/>
  <c r="F2655" i="15"/>
  <c r="F2687" i="15"/>
  <c r="F2719" i="15"/>
  <c r="G2" i="16"/>
  <c r="G65" i="16"/>
  <c r="G129" i="16"/>
  <c r="G19" i="17"/>
  <c r="G51" i="17"/>
  <c r="G83" i="17"/>
  <c r="G115" i="17"/>
  <c r="G147" i="17"/>
  <c r="G179" i="17"/>
  <c r="G211" i="17"/>
  <c r="G25" i="18"/>
  <c r="G57" i="18"/>
  <c r="G89" i="18"/>
  <c r="G121" i="18"/>
  <c r="G153" i="18"/>
  <c r="G29" i="19"/>
  <c r="G61" i="19"/>
  <c r="G97" i="19"/>
  <c r="G174" i="19"/>
  <c r="G15" i="20"/>
  <c r="G143" i="20"/>
  <c r="G111" i="21"/>
  <c r="G239" i="21"/>
  <c r="G367" i="21"/>
  <c r="G55" i="22"/>
  <c r="G509" i="23"/>
  <c r="G6" i="16"/>
  <c r="G22" i="16"/>
  <c r="G38" i="16"/>
  <c r="G54" i="16"/>
  <c r="G70" i="16"/>
  <c r="G86" i="16"/>
  <c r="G102" i="16"/>
  <c r="G118" i="16"/>
  <c r="G134" i="16"/>
  <c r="G150" i="16"/>
  <c r="G102" i="19"/>
  <c r="G118" i="19"/>
  <c r="G134" i="19"/>
  <c r="G152" i="19"/>
  <c r="G184" i="19"/>
  <c r="G216" i="19"/>
  <c r="G248" i="19"/>
  <c r="G280" i="19"/>
  <c r="G25" i="20"/>
  <c r="G57" i="20"/>
  <c r="G89" i="20"/>
  <c r="G121" i="20"/>
  <c r="G153" i="20"/>
  <c r="G9" i="21"/>
  <c r="G35" i="21"/>
  <c r="G63" i="21"/>
  <c r="G97" i="21"/>
  <c r="G129" i="21"/>
  <c r="G161" i="21"/>
  <c r="G193" i="21"/>
  <c r="G225" i="21"/>
  <c r="G257" i="21"/>
  <c r="G289" i="21"/>
  <c r="G321" i="21"/>
  <c r="G353" i="21"/>
  <c r="G385" i="21"/>
  <c r="G417" i="21"/>
  <c r="G449" i="21"/>
  <c r="G34" i="22"/>
  <c r="G110" i="22"/>
  <c r="G238" i="22"/>
  <c r="G56" i="23"/>
  <c r="F2626" i="15"/>
  <c r="F2634" i="15"/>
  <c r="F2642" i="15"/>
  <c r="F2650" i="15"/>
  <c r="F2658" i="15"/>
  <c r="F2666" i="15"/>
  <c r="F2674" i="15"/>
  <c r="F2682" i="15"/>
  <c r="F2690" i="15"/>
  <c r="F2698" i="15"/>
  <c r="F2706" i="15"/>
  <c r="F2714" i="15"/>
  <c r="F2722" i="15"/>
  <c r="F2730" i="15"/>
  <c r="F2738" i="15"/>
  <c r="F2746" i="15"/>
  <c r="G7" i="16"/>
  <c r="G23" i="16"/>
  <c r="G39" i="16"/>
  <c r="G55" i="16"/>
  <c r="G71" i="16"/>
  <c r="G87" i="16"/>
  <c r="G103" i="16"/>
  <c r="G119" i="16"/>
  <c r="G135" i="16"/>
  <c r="G151" i="16"/>
  <c r="G6" i="17"/>
  <c r="G14" i="17"/>
  <c r="G22" i="17"/>
  <c r="G30" i="17"/>
  <c r="G38" i="17"/>
  <c r="G46" i="17"/>
  <c r="G54" i="17"/>
  <c r="G62" i="17"/>
  <c r="G70" i="17"/>
  <c r="G78" i="17"/>
  <c r="G86" i="17"/>
  <c r="G94" i="17"/>
  <c r="G102" i="17"/>
  <c r="G110" i="17"/>
  <c r="G118" i="17"/>
  <c r="G126" i="17"/>
  <c r="G134" i="17"/>
  <c r="G142" i="17"/>
  <c r="G150" i="17"/>
  <c r="G158" i="17"/>
  <c r="G166" i="17"/>
  <c r="G174" i="17"/>
  <c r="G182" i="17"/>
  <c r="G190" i="17"/>
  <c r="G198" i="17"/>
  <c r="G206" i="17"/>
  <c r="G214" i="17"/>
  <c r="G4" i="18"/>
  <c r="G12" i="18"/>
  <c r="G20" i="18"/>
  <c r="G28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G140" i="18"/>
  <c r="G148" i="18"/>
  <c r="G156" i="18"/>
  <c r="G8" i="19"/>
  <c r="G16" i="19"/>
  <c r="G24" i="19"/>
  <c r="G32" i="19"/>
  <c r="G40" i="19"/>
  <c r="G48" i="19"/>
  <c r="G56" i="19"/>
  <c r="G64" i="19"/>
  <c r="G72" i="19"/>
  <c r="G80" i="19"/>
  <c r="G88" i="19"/>
  <c r="G103" i="19"/>
  <c r="G119" i="19"/>
  <c r="G135" i="19"/>
  <c r="G154" i="19"/>
  <c r="G186" i="19"/>
  <c r="G218" i="19"/>
  <c r="G250" i="19"/>
  <c r="G282" i="19"/>
  <c r="G27" i="20"/>
  <c r="G59" i="20"/>
  <c r="G91" i="20"/>
  <c r="G123" i="20"/>
  <c r="G155" i="20"/>
  <c r="G11" i="21"/>
  <c r="G37" i="21"/>
  <c r="G65" i="21"/>
  <c r="G91" i="21"/>
  <c r="G123" i="21"/>
  <c r="G155" i="21"/>
  <c r="G187" i="21"/>
  <c r="G219" i="21"/>
  <c r="G251" i="21"/>
  <c r="G283" i="21"/>
  <c r="G315" i="21"/>
  <c r="G347" i="21"/>
  <c r="G379" i="21"/>
  <c r="G411" i="21"/>
  <c r="G443" i="21"/>
  <c r="G26" i="22"/>
  <c r="G86" i="22"/>
  <c r="G214" i="22"/>
  <c r="G32" i="23"/>
  <c r="G12" i="16"/>
  <c r="G28" i="16"/>
  <c r="G44" i="16"/>
  <c r="G60" i="16"/>
  <c r="G76" i="16"/>
  <c r="G92" i="16"/>
  <c r="G108" i="16"/>
  <c r="G124" i="16"/>
  <c r="G140" i="16"/>
  <c r="G156" i="16"/>
  <c r="G92" i="19"/>
  <c r="G108" i="19"/>
  <c r="G124" i="19"/>
  <c r="G140" i="19"/>
  <c r="G164" i="19"/>
  <c r="G196" i="19"/>
  <c r="G228" i="19"/>
  <c r="G260" i="19"/>
  <c r="G5" i="20"/>
  <c r="G37" i="20"/>
  <c r="G69" i="20"/>
  <c r="G85" i="20"/>
  <c r="G117" i="20"/>
  <c r="G149" i="20"/>
  <c r="G5" i="21"/>
  <c r="G47" i="21"/>
  <c r="G85" i="21"/>
  <c r="G117" i="21"/>
  <c r="G149" i="21"/>
  <c r="G181" i="21"/>
  <c r="G213" i="21"/>
  <c r="G245" i="21"/>
  <c r="G277" i="21"/>
  <c r="G309" i="21"/>
  <c r="G341" i="21"/>
  <c r="G373" i="21"/>
  <c r="G405" i="21"/>
  <c r="G437" i="21"/>
  <c r="G18" i="22"/>
  <c r="G67" i="22"/>
  <c r="G190" i="22"/>
  <c r="G8" i="23"/>
  <c r="F203" i="24"/>
  <c r="G21" i="22"/>
  <c r="G32" i="22"/>
  <c r="G56" i="22"/>
  <c r="G72" i="22"/>
  <c r="G104" i="22"/>
  <c r="G136" i="22"/>
  <c r="G168" i="22"/>
  <c r="G200" i="22"/>
  <c r="G232" i="22"/>
  <c r="G264" i="22"/>
  <c r="G296" i="22"/>
  <c r="G18" i="23"/>
  <c r="G50" i="23"/>
  <c r="G82" i="23"/>
  <c r="G115" i="23"/>
  <c r="G525" i="23"/>
  <c r="G149" i="19"/>
  <c r="G157" i="19"/>
  <c r="G165" i="19"/>
  <c r="G173" i="19"/>
  <c r="G181" i="19"/>
  <c r="G189" i="19"/>
  <c r="G197" i="19"/>
  <c r="G205" i="19"/>
  <c r="G213" i="19"/>
  <c r="G221" i="19"/>
  <c r="G229" i="19"/>
  <c r="G237" i="19"/>
  <c r="G245" i="19"/>
  <c r="G253" i="19"/>
  <c r="G261" i="19"/>
  <c r="G269" i="19"/>
  <c r="G277" i="19"/>
  <c r="G285" i="19"/>
  <c r="G22" i="20"/>
  <c r="G54" i="20"/>
  <c r="G86" i="20"/>
  <c r="G118" i="20"/>
  <c r="G150" i="20"/>
  <c r="G6" i="21"/>
  <c r="G38" i="21"/>
  <c r="G70" i="21"/>
  <c r="G102" i="21"/>
  <c r="G134" i="21"/>
  <c r="G166" i="21"/>
  <c r="G198" i="21"/>
  <c r="G230" i="21"/>
  <c r="G262" i="21"/>
  <c r="G294" i="21"/>
  <c r="G326" i="21"/>
  <c r="G358" i="21"/>
  <c r="G390" i="21"/>
  <c r="G422" i="21"/>
  <c r="G454" i="21"/>
  <c r="G130" i="22"/>
  <c r="G258" i="22"/>
  <c r="G76" i="23"/>
  <c r="G25" i="22"/>
  <c r="G84" i="22"/>
  <c r="G212" i="22"/>
  <c r="G30" i="23"/>
  <c r="F19" i="24"/>
  <c r="G85" i="22"/>
  <c r="G117" i="22"/>
  <c r="G149" i="22"/>
  <c r="G181" i="22"/>
  <c r="G213" i="22"/>
  <c r="G245" i="22"/>
  <c r="G277" i="22"/>
  <c r="G309" i="22"/>
  <c r="G31" i="23"/>
  <c r="G63" i="23"/>
  <c r="G95" i="23"/>
  <c r="F59" i="24"/>
  <c r="G93" i="20"/>
  <c r="G125" i="20"/>
  <c r="G157" i="20"/>
  <c r="G25" i="21"/>
  <c r="G53" i="21"/>
  <c r="G93" i="21"/>
  <c r="G125" i="21"/>
  <c r="G157" i="21"/>
  <c r="G189" i="21"/>
  <c r="G221" i="21"/>
  <c r="G253" i="21"/>
  <c r="G285" i="21"/>
  <c r="G317" i="21"/>
  <c r="G349" i="21"/>
  <c r="G381" i="21"/>
  <c r="G413" i="21"/>
  <c r="G445" i="21"/>
  <c r="G94" i="22"/>
  <c r="G222" i="22"/>
  <c r="G40" i="23"/>
  <c r="G13" i="22"/>
  <c r="G24" i="22"/>
  <c r="G45" i="22"/>
  <c r="G60" i="22"/>
  <c r="G80" i="22"/>
  <c r="G112" i="22"/>
  <c r="G144" i="22"/>
  <c r="G176" i="22"/>
  <c r="G208" i="22"/>
  <c r="G240" i="22"/>
  <c r="G272" i="22"/>
  <c r="G304" i="22"/>
  <c r="G26" i="23"/>
  <c r="G58" i="23"/>
  <c r="G90" i="23"/>
  <c r="G646" i="23"/>
  <c r="G151" i="19"/>
  <c r="G159" i="19"/>
  <c r="G167" i="19"/>
  <c r="G175" i="19"/>
  <c r="G183" i="19"/>
  <c r="G191" i="19"/>
  <c r="G199" i="19"/>
  <c r="G207" i="19"/>
  <c r="G215" i="19"/>
  <c r="G223" i="19"/>
  <c r="G231" i="19"/>
  <c r="G239" i="19"/>
  <c r="G247" i="19"/>
  <c r="G255" i="19"/>
  <c r="G263" i="19"/>
  <c r="G271" i="19"/>
  <c r="G279" i="19"/>
  <c r="G287" i="19"/>
  <c r="G30" i="20"/>
  <c r="G62" i="20"/>
  <c r="G94" i="20"/>
  <c r="G126" i="20"/>
  <c r="G158" i="20"/>
  <c r="G14" i="21"/>
  <c r="G46" i="21"/>
  <c r="G78" i="21"/>
  <c r="G110" i="21"/>
  <c r="G142" i="21"/>
  <c r="G174" i="21"/>
  <c r="G206" i="21"/>
  <c r="G238" i="21"/>
  <c r="G270" i="21"/>
  <c r="G302" i="21"/>
  <c r="G334" i="21"/>
  <c r="G366" i="21"/>
  <c r="G398" i="21"/>
  <c r="G430" i="21"/>
  <c r="G53" i="22"/>
  <c r="G162" i="22"/>
  <c r="G290" i="22"/>
  <c r="G108" i="23"/>
  <c r="G36" i="22"/>
  <c r="G116" i="22"/>
  <c r="G244" i="22"/>
  <c r="G62" i="23"/>
  <c r="F147" i="24"/>
  <c r="G93" i="22"/>
  <c r="G125" i="22"/>
  <c r="G157" i="22"/>
  <c r="G189" i="22"/>
  <c r="G221" i="22"/>
  <c r="G253" i="22"/>
  <c r="G285" i="22"/>
  <c r="G7" i="23"/>
  <c r="G39" i="23"/>
  <c r="G71" i="23"/>
  <c r="G103" i="23"/>
  <c r="F187" i="24"/>
  <c r="G101" i="20"/>
  <c r="G133" i="20"/>
  <c r="G165" i="20"/>
  <c r="G33" i="21"/>
  <c r="G71" i="21"/>
  <c r="G101" i="21"/>
  <c r="G133" i="21"/>
  <c r="G165" i="21"/>
  <c r="G197" i="21"/>
  <c r="G229" i="21"/>
  <c r="G261" i="21"/>
  <c r="G293" i="21"/>
  <c r="G325" i="21"/>
  <c r="G357" i="21"/>
  <c r="G389" i="21"/>
  <c r="G421" i="21"/>
  <c r="G453" i="21"/>
  <c r="G39" i="22"/>
  <c r="G126" i="22"/>
  <c r="G254" i="22"/>
  <c r="G72" i="23"/>
  <c r="G16" i="22"/>
  <c r="G37" i="22"/>
  <c r="G48" i="22"/>
  <c r="G64" i="22"/>
  <c r="G88" i="22"/>
  <c r="G120" i="22"/>
  <c r="G152" i="22"/>
  <c r="G184" i="22"/>
  <c r="G216" i="22"/>
  <c r="G248" i="22"/>
  <c r="G280" i="22"/>
  <c r="G2" i="23"/>
  <c r="G34" i="23"/>
  <c r="G66" i="23"/>
  <c r="G98" i="23"/>
  <c r="F107" i="24"/>
  <c r="G153" i="19"/>
  <c r="G161" i="19"/>
  <c r="G169" i="19"/>
  <c r="G177" i="19"/>
  <c r="G185" i="19"/>
  <c r="G193" i="19"/>
  <c r="G201" i="19"/>
  <c r="G209" i="19"/>
  <c r="G217" i="19"/>
  <c r="G225" i="19"/>
  <c r="G233" i="19"/>
  <c r="G241" i="19"/>
  <c r="G249" i="19"/>
  <c r="G257" i="19"/>
  <c r="G265" i="19"/>
  <c r="G273" i="19"/>
  <c r="G281" i="19"/>
  <c r="G6" i="20"/>
  <c r="G38" i="20"/>
  <c r="G70" i="20"/>
  <c r="G102" i="20"/>
  <c r="G134" i="20"/>
  <c r="G166" i="20"/>
  <c r="G22" i="21"/>
  <c r="G54" i="21"/>
  <c r="G86" i="21"/>
  <c r="G118" i="21"/>
  <c r="G150" i="21"/>
  <c r="G182" i="21"/>
  <c r="G214" i="21"/>
  <c r="G246" i="21"/>
  <c r="G278" i="21"/>
  <c r="G310" i="21"/>
  <c r="G342" i="21"/>
  <c r="G374" i="21"/>
  <c r="G406" i="21"/>
  <c r="G438" i="21"/>
  <c r="G19" i="22"/>
  <c r="G69" i="22"/>
  <c r="G194" i="22"/>
  <c r="G12" i="23"/>
  <c r="F273" i="24"/>
  <c r="G148" i="22"/>
  <c r="G276" i="22"/>
  <c r="G94" i="23"/>
  <c r="F298" i="24"/>
  <c r="G101" i="22"/>
  <c r="G133" i="22"/>
  <c r="G165" i="22"/>
  <c r="G197" i="22"/>
  <c r="G229" i="22"/>
  <c r="G261" i="22"/>
  <c r="G293" i="22"/>
  <c r="G15" i="23"/>
  <c r="G47" i="23"/>
  <c r="G79" i="23"/>
  <c r="G111" i="23"/>
  <c r="G501" i="23"/>
  <c r="F461" i="24"/>
  <c r="G77" i="20"/>
  <c r="G109" i="20"/>
  <c r="G141" i="20"/>
  <c r="G173" i="20"/>
  <c r="G39" i="21"/>
  <c r="G79" i="21"/>
  <c r="G109" i="21"/>
  <c r="G141" i="21"/>
  <c r="G173" i="21"/>
  <c r="G205" i="21"/>
  <c r="G237" i="21"/>
  <c r="G269" i="21"/>
  <c r="G301" i="21"/>
  <c r="G333" i="21"/>
  <c r="G365" i="21"/>
  <c r="G397" i="21"/>
  <c r="G429" i="21"/>
  <c r="G7" i="22"/>
  <c r="G51" i="22"/>
  <c r="G158" i="22"/>
  <c r="G286" i="22"/>
  <c r="G104" i="23"/>
  <c r="G8" i="22"/>
  <c r="G29" i="22"/>
  <c r="G40" i="22"/>
  <c r="G52" i="22"/>
  <c r="G68" i="22"/>
  <c r="G96" i="22"/>
  <c r="G128" i="22"/>
  <c r="G160" i="22"/>
  <c r="G192" i="22"/>
  <c r="G224" i="22"/>
  <c r="G256" i="22"/>
  <c r="G288" i="22"/>
  <c r="G10" i="23"/>
  <c r="G42" i="23"/>
  <c r="G74" i="23"/>
  <c r="G106" i="23"/>
  <c r="F235" i="24"/>
  <c r="G155" i="19"/>
  <c r="G163" i="19"/>
  <c r="G171" i="19"/>
  <c r="G179" i="19"/>
  <c r="G187" i="19"/>
  <c r="G195" i="19"/>
  <c r="G203" i="19"/>
  <c r="G211" i="19"/>
  <c r="G219" i="19"/>
  <c r="G227" i="19"/>
  <c r="G235" i="19"/>
  <c r="G243" i="19"/>
  <c r="G251" i="19"/>
  <c r="G259" i="19"/>
  <c r="G267" i="19"/>
  <c r="G275" i="19"/>
  <c r="G283" i="19"/>
  <c r="G14" i="20"/>
  <c r="G46" i="20"/>
  <c r="G78" i="20"/>
  <c r="G110" i="20"/>
  <c r="G142" i="20"/>
  <c r="G174" i="20"/>
  <c r="G30" i="21"/>
  <c r="G62" i="21"/>
  <c r="G94" i="21"/>
  <c r="G126" i="21"/>
  <c r="G158" i="21"/>
  <c r="G190" i="21"/>
  <c r="G222" i="21"/>
  <c r="G254" i="21"/>
  <c r="G286" i="21"/>
  <c r="G318" i="21"/>
  <c r="G350" i="21"/>
  <c r="G382" i="21"/>
  <c r="G414" i="21"/>
  <c r="G446" i="21"/>
  <c r="G30" i="22"/>
  <c r="G98" i="22"/>
  <c r="G226" i="22"/>
  <c r="G44" i="23"/>
  <c r="G62" i="22"/>
  <c r="G180" i="22"/>
  <c r="G308" i="22"/>
  <c r="F43" i="24"/>
  <c r="G558" i="23"/>
  <c r="G77" i="22"/>
  <c r="G109" i="22"/>
  <c r="G141" i="22"/>
  <c r="G173" i="22"/>
  <c r="G205" i="22"/>
  <c r="G237" i="22"/>
  <c r="G269" i="22"/>
  <c r="G301" i="22"/>
  <c r="G23" i="23"/>
  <c r="G55" i="23"/>
  <c r="G87" i="23"/>
  <c r="G598" i="23"/>
  <c r="G542" i="23"/>
  <c r="G119" i="23"/>
  <c r="G151" i="23"/>
  <c r="G183" i="23"/>
  <c r="G215" i="23"/>
  <c r="G247" i="23"/>
  <c r="G279" i="23"/>
  <c r="G311" i="23"/>
  <c r="G343" i="23"/>
  <c r="G375" i="23"/>
  <c r="G407" i="23"/>
  <c r="G439" i="23"/>
  <c r="G471" i="23"/>
  <c r="G518" i="23"/>
  <c r="G632" i="23"/>
  <c r="F93" i="24"/>
  <c r="F221" i="24"/>
  <c r="G503" i="23"/>
  <c r="G602" i="23"/>
  <c r="F63" i="24"/>
  <c r="F191" i="24"/>
  <c r="G140" i="23"/>
  <c r="G172" i="23"/>
  <c r="G204" i="23"/>
  <c r="G236" i="23"/>
  <c r="G268" i="23"/>
  <c r="G300" i="23"/>
  <c r="G332" i="23"/>
  <c r="G364" i="23"/>
  <c r="G396" i="23"/>
  <c r="G428" i="23"/>
  <c r="G460" i="23"/>
  <c r="G496" i="23"/>
  <c r="G588" i="23"/>
  <c r="F49" i="24"/>
  <c r="F177" i="24"/>
  <c r="F418" i="24"/>
  <c r="G579" i="23"/>
  <c r="F40" i="24"/>
  <c r="F168" i="24"/>
  <c r="F382" i="24"/>
  <c r="F392" i="24"/>
  <c r="F377" i="24"/>
  <c r="F561" i="24"/>
  <c r="G8" i="20"/>
  <c r="G16" i="20"/>
  <c r="G24" i="20"/>
  <c r="G32" i="20"/>
  <c r="G40" i="20"/>
  <c r="G48" i="20"/>
  <c r="G56" i="20"/>
  <c r="G64" i="20"/>
  <c r="G72" i="20"/>
  <c r="G80" i="20"/>
  <c r="G88" i="20"/>
  <c r="G96" i="20"/>
  <c r="G104" i="20"/>
  <c r="G112" i="20"/>
  <c r="G120" i="20"/>
  <c r="G128" i="20"/>
  <c r="G136" i="20"/>
  <c r="G144" i="20"/>
  <c r="G152" i="20"/>
  <c r="G160" i="20"/>
  <c r="G168" i="20"/>
  <c r="G176" i="20"/>
  <c r="G8" i="21"/>
  <c r="G16" i="21"/>
  <c r="G24" i="21"/>
  <c r="G32" i="21"/>
  <c r="G40" i="21"/>
  <c r="G48" i="21"/>
  <c r="G56" i="21"/>
  <c r="G64" i="21"/>
  <c r="G72" i="21"/>
  <c r="G80" i="21"/>
  <c r="G88" i="21"/>
  <c r="G96" i="21"/>
  <c r="G104" i="21"/>
  <c r="G112" i="21"/>
  <c r="G120" i="21"/>
  <c r="G128" i="21"/>
  <c r="G136" i="21"/>
  <c r="G144" i="21"/>
  <c r="G152" i="21"/>
  <c r="G160" i="21"/>
  <c r="G168" i="21"/>
  <c r="G176" i="21"/>
  <c r="G184" i="21"/>
  <c r="G192" i="21"/>
  <c r="G200" i="21"/>
  <c r="G208" i="21"/>
  <c r="G216" i="21"/>
  <c r="G224" i="21"/>
  <c r="G232" i="21"/>
  <c r="G240" i="21"/>
  <c r="G248" i="21"/>
  <c r="G256" i="21"/>
  <c r="G264" i="21"/>
  <c r="G272" i="21"/>
  <c r="G280" i="21"/>
  <c r="G288" i="21"/>
  <c r="G296" i="21"/>
  <c r="G304" i="21"/>
  <c r="G312" i="21"/>
  <c r="G320" i="21"/>
  <c r="G328" i="21"/>
  <c r="G336" i="21"/>
  <c r="G344" i="21"/>
  <c r="G352" i="21"/>
  <c r="G360" i="21"/>
  <c r="G368" i="21"/>
  <c r="G376" i="21"/>
  <c r="G384" i="21"/>
  <c r="G392" i="21"/>
  <c r="G400" i="21"/>
  <c r="G408" i="21"/>
  <c r="G416" i="21"/>
  <c r="G424" i="21"/>
  <c r="G432" i="21"/>
  <c r="G440" i="21"/>
  <c r="G448" i="21"/>
  <c r="G2" i="22"/>
  <c r="G11" i="22"/>
  <c r="G22" i="22"/>
  <c r="G43" i="22"/>
  <c r="G57" i="22"/>
  <c r="G74" i="22"/>
  <c r="G106" i="22"/>
  <c r="G138" i="22"/>
  <c r="G170" i="22"/>
  <c r="G202" i="22"/>
  <c r="G234" i="22"/>
  <c r="G266" i="22"/>
  <c r="G298" i="22"/>
  <c r="G20" i="23"/>
  <c r="G52" i="23"/>
  <c r="G84" i="23"/>
  <c r="G550" i="23"/>
  <c r="G17" i="22"/>
  <c r="G28" i="22"/>
  <c r="G50" i="22"/>
  <c r="G66" i="22"/>
  <c r="G92" i="22"/>
  <c r="G124" i="22"/>
  <c r="G156" i="22"/>
  <c r="G188" i="22"/>
  <c r="G220" i="22"/>
  <c r="G252" i="22"/>
  <c r="G284" i="22"/>
  <c r="G6" i="23"/>
  <c r="G38" i="23"/>
  <c r="G70" i="23"/>
  <c r="G102" i="23"/>
  <c r="F171" i="24"/>
  <c r="G497" i="23"/>
  <c r="G590" i="23"/>
  <c r="F51" i="24"/>
  <c r="F179" i="24"/>
  <c r="F426" i="24"/>
  <c r="G79" i="22"/>
  <c r="G87" i="22"/>
  <c r="G95" i="22"/>
  <c r="G103" i="22"/>
  <c r="G111" i="22"/>
  <c r="G119" i="22"/>
  <c r="G127" i="22"/>
  <c r="G135" i="22"/>
  <c r="G143" i="22"/>
  <c r="G151" i="22"/>
  <c r="G159" i="22"/>
  <c r="G167" i="22"/>
  <c r="G175" i="22"/>
  <c r="G183" i="22"/>
  <c r="G191" i="22"/>
  <c r="G199" i="22"/>
  <c r="G207" i="22"/>
  <c r="G215" i="22"/>
  <c r="G223" i="22"/>
  <c r="G231" i="22"/>
  <c r="G239" i="22"/>
  <c r="G247" i="22"/>
  <c r="G255" i="22"/>
  <c r="G263" i="22"/>
  <c r="G271" i="22"/>
  <c r="G279" i="22"/>
  <c r="G287" i="22"/>
  <c r="G295" i="22"/>
  <c r="G303" i="22"/>
  <c r="G311" i="22"/>
  <c r="G9" i="23"/>
  <c r="G17" i="23"/>
  <c r="G25" i="23"/>
  <c r="G33" i="23"/>
  <c r="G41" i="23"/>
  <c r="G49" i="23"/>
  <c r="G57" i="23"/>
  <c r="G65" i="23"/>
  <c r="G73" i="23"/>
  <c r="G81" i="23"/>
  <c r="G89" i="23"/>
  <c r="G97" i="23"/>
  <c r="G105" i="23"/>
  <c r="G517" i="23"/>
  <c r="G630" i="23"/>
  <c r="F91" i="24"/>
  <c r="F219" i="24"/>
  <c r="F3" i="24"/>
  <c r="G127" i="23"/>
  <c r="G159" i="23"/>
  <c r="G191" i="23"/>
  <c r="G223" i="23"/>
  <c r="G255" i="23"/>
  <c r="G287" i="23"/>
  <c r="G319" i="23"/>
  <c r="G351" i="23"/>
  <c r="G383" i="23"/>
  <c r="G415" i="23"/>
  <c r="G447" i="23"/>
  <c r="G479" i="23"/>
  <c r="G536" i="23"/>
  <c r="G664" i="23"/>
  <c r="F125" i="24"/>
  <c r="F253" i="24"/>
  <c r="G519" i="23"/>
  <c r="G634" i="23"/>
  <c r="F95" i="24"/>
  <c r="F223" i="24"/>
  <c r="G116" i="23"/>
  <c r="G148" i="23"/>
  <c r="G180" i="23"/>
  <c r="G212" i="23"/>
  <c r="G244" i="23"/>
  <c r="G276" i="23"/>
  <c r="G308" i="23"/>
  <c r="G340" i="23"/>
  <c r="G372" i="23"/>
  <c r="G404" i="23"/>
  <c r="G436" i="23"/>
  <c r="G468" i="23"/>
  <c r="G512" i="23"/>
  <c r="G620" i="23"/>
  <c r="F81" i="24"/>
  <c r="F209" i="24"/>
  <c r="F324" i="24"/>
  <c r="G611" i="23"/>
  <c r="F72" i="24"/>
  <c r="F200" i="24"/>
  <c r="F713" i="24"/>
  <c r="F873" i="24"/>
  <c r="F281" i="24"/>
  <c r="F803" i="24"/>
  <c r="G2" i="20"/>
  <c r="G10" i="20"/>
  <c r="G18" i="20"/>
  <c r="G26" i="20"/>
  <c r="G34" i="20"/>
  <c r="G42" i="20"/>
  <c r="G50" i="20"/>
  <c r="G58" i="20"/>
  <c r="G66" i="20"/>
  <c r="G74" i="20"/>
  <c r="G82" i="20"/>
  <c r="G90" i="20"/>
  <c r="G98" i="20"/>
  <c r="G106" i="20"/>
  <c r="G114" i="20"/>
  <c r="G122" i="20"/>
  <c r="G130" i="20"/>
  <c r="G138" i="20"/>
  <c r="G146" i="20"/>
  <c r="G154" i="20"/>
  <c r="G162" i="20"/>
  <c r="G170" i="20"/>
  <c r="G2" i="21"/>
  <c r="G10" i="21"/>
  <c r="G18" i="21"/>
  <c r="G26" i="21"/>
  <c r="G34" i="21"/>
  <c r="G42" i="21"/>
  <c r="G50" i="21"/>
  <c r="G58" i="21"/>
  <c r="G66" i="21"/>
  <c r="G74" i="21"/>
  <c r="G82" i="21"/>
  <c r="G90" i="21"/>
  <c r="G98" i="21"/>
  <c r="G106" i="21"/>
  <c r="G114" i="21"/>
  <c r="G122" i="21"/>
  <c r="G130" i="21"/>
  <c r="G138" i="21"/>
  <c r="G146" i="21"/>
  <c r="G154" i="21"/>
  <c r="G162" i="21"/>
  <c r="G170" i="21"/>
  <c r="G178" i="21"/>
  <c r="G186" i="21"/>
  <c r="G194" i="21"/>
  <c r="G202" i="21"/>
  <c r="G210" i="21"/>
  <c r="G218" i="21"/>
  <c r="G226" i="21"/>
  <c r="G234" i="21"/>
  <c r="G242" i="21"/>
  <c r="G250" i="21"/>
  <c r="G258" i="21"/>
  <c r="G266" i="21"/>
  <c r="G274" i="21"/>
  <c r="G282" i="21"/>
  <c r="G290" i="21"/>
  <c r="G298" i="21"/>
  <c r="G306" i="21"/>
  <c r="G314" i="21"/>
  <c r="G322" i="21"/>
  <c r="G330" i="21"/>
  <c r="G338" i="21"/>
  <c r="G346" i="21"/>
  <c r="G354" i="21"/>
  <c r="G362" i="21"/>
  <c r="G370" i="21"/>
  <c r="G378" i="21"/>
  <c r="G386" i="21"/>
  <c r="G394" i="21"/>
  <c r="G402" i="21"/>
  <c r="G410" i="21"/>
  <c r="G418" i="21"/>
  <c r="G426" i="21"/>
  <c r="G434" i="21"/>
  <c r="G442" i="21"/>
  <c r="G450" i="21"/>
  <c r="G4" i="22"/>
  <c r="G14" i="22"/>
  <c r="G35" i="22"/>
  <c r="G46" i="22"/>
  <c r="G61" i="22"/>
  <c r="G82" i="22"/>
  <c r="G114" i="22"/>
  <c r="G146" i="22"/>
  <c r="G178" i="22"/>
  <c r="G210" i="22"/>
  <c r="G242" i="22"/>
  <c r="G274" i="22"/>
  <c r="G306" i="22"/>
  <c r="G28" i="23"/>
  <c r="G60" i="23"/>
  <c r="G92" i="23"/>
  <c r="F11" i="24"/>
  <c r="G9" i="22"/>
  <c r="G20" i="22"/>
  <c r="G41" i="22"/>
  <c r="G54" i="22"/>
  <c r="G70" i="22"/>
  <c r="G100" i="22"/>
  <c r="G132" i="22"/>
  <c r="G164" i="22"/>
  <c r="G196" i="22"/>
  <c r="G228" i="22"/>
  <c r="G260" i="22"/>
  <c r="G292" i="22"/>
  <c r="G14" i="23"/>
  <c r="G46" i="23"/>
  <c r="G78" i="23"/>
  <c r="G110" i="23"/>
  <c r="G493" i="23"/>
  <c r="F394" i="24"/>
  <c r="G113" i="23"/>
  <c r="G513" i="23"/>
  <c r="G622" i="23"/>
  <c r="F83" i="24"/>
  <c r="F211" i="24"/>
  <c r="G73" i="22"/>
  <c r="G81" i="22"/>
  <c r="G89" i="22"/>
  <c r="G97" i="22"/>
  <c r="G105" i="22"/>
  <c r="G113" i="22"/>
  <c r="G121" i="22"/>
  <c r="G129" i="22"/>
  <c r="G137" i="22"/>
  <c r="G145" i="22"/>
  <c r="G153" i="22"/>
  <c r="G161" i="22"/>
  <c r="G169" i="22"/>
  <c r="G177" i="22"/>
  <c r="G185" i="22"/>
  <c r="G193" i="22"/>
  <c r="G201" i="22"/>
  <c r="G209" i="22"/>
  <c r="G217" i="22"/>
  <c r="G225" i="22"/>
  <c r="G233" i="22"/>
  <c r="G241" i="22"/>
  <c r="G249" i="22"/>
  <c r="G257" i="22"/>
  <c r="G265" i="22"/>
  <c r="G273" i="22"/>
  <c r="G281" i="22"/>
  <c r="G289" i="22"/>
  <c r="G297" i="22"/>
  <c r="G305" i="22"/>
  <c r="G3" i="23"/>
  <c r="G11" i="23"/>
  <c r="G19" i="23"/>
  <c r="G27" i="23"/>
  <c r="G35" i="23"/>
  <c r="G43" i="23"/>
  <c r="G51" i="23"/>
  <c r="G59" i="23"/>
  <c r="G67" i="23"/>
  <c r="G75" i="23"/>
  <c r="G83" i="23"/>
  <c r="G91" i="23"/>
  <c r="G99" i="23"/>
  <c r="G107" i="23"/>
  <c r="G534" i="23"/>
  <c r="G662" i="23"/>
  <c r="F123" i="24"/>
  <c r="F251" i="24"/>
  <c r="F131" i="24"/>
  <c r="G135" i="23"/>
  <c r="G167" i="23"/>
  <c r="G199" i="23"/>
  <c r="G231" i="23"/>
  <c r="G263" i="23"/>
  <c r="G295" i="23"/>
  <c r="G327" i="23"/>
  <c r="G359" i="23"/>
  <c r="G391" i="23"/>
  <c r="G423" i="23"/>
  <c r="G455" i="23"/>
  <c r="G487" i="23"/>
  <c r="G568" i="23"/>
  <c r="F29" i="24"/>
  <c r="F157" i="24"/>
  <c r="F338" i="24"/>
  <c r="G538" i="23"/>
  <c r="G666" i="23"/>
  <c r="F127" i="24"/>
  <c r="F255" i="24"/>
  <c r="G124" i="23"/>
  <c r="G156" i="23"/>
  <c r="G188" i="23"/>
  <c r="G220" i="23"/>
  <c r="G252" i="23"/>
  <c r="G284" i="23"/>
  <c r="G316" i="23"/>
  <c r="G348" i="23"/>
  <c r="G380" i="23"/>
  <c r="G412" i="23"/>
  <c r="G444" i="23"/>
  <c r="G476" i="23"/>
  <c r="G528" i="23"/>
  <c r="G652" i="23"/>
  <c r="F113" i="24"/>
  <c r="F241" i="24"/>
  <c r="F453" i="24"/>
  <c r="G643" i="23"/>
  <c r="F104" i="24"/>
  <c r="F232" i="24"/>
  <c r="F313" i="24"/>
  <c r="G4" i="20"/>
  <c r="G12" i="20"/>
  <c r="G20" i="20"/>
  <c r="G28" i="20"/>
  <c r="G36" i="20"/>
  <c r="G44" i="20"/>
  <c r="G52" i="20"/>
  <c r="G60" i="20"/>
  <c r="G68" i="20"/>
  <c r="G76" i="20"/>
  <c r="G84" i="20"/>
  <c r="G92" i="20"/>
  <c r="G100" i="20"/>
  <c r="G108" i="20"/>
  <c r="G116" i="20"/>
  <c r="G124" i="20"/>
  <c r="G132" i="20"/>
  <c r="G140" i="20"/>
  <c r="G148" i="20"/>
  <c r="G156" i="20"/>
  <c r="G164" i="20"/>
  <c r="G172" i="20"/>
  <c r="G4" i="21"/>
  <c r="G12" i="21"/>
  <c r="G20" i="21"/>
  <c r="G28" i="21"/>
  <c r="G36" i="21"/>
  <c r="G44" i="21"/>
  <c r="G52" i="21"/>
  <c r="G60" i="21"/>
  <c r="G68" i="21"/>
  <c r="G76" i="21"/>
  <c r="G84" i="21"/>
  <c r="G92" i="21"/>
  <c r="G100" i="21"/>
  <c r="G108" i="21"/>
  <c r="G116" i="21"/>
  <c r="G124" i="21"/>
  <c r="G132" i="21"/>
  <c r="G140" i="21"/>
  <c r="G148" i="21"/>
  <c r="G156" i="21"/>
  <c r="G164" i="21"/>
  <c r="G172" i="21"/>
  <c r="G180" i="21"/>
  <c r="G188" i="21"/>
  <c r="G196" i="21"/>
  <c r="G204" i="21"/>
  <c r="G212" i="21"/>
  <c r="G220" i="21"/>
  <c r="G228" i="21"/>
  <c r="G236" i="21"/>
  <c r="G244" i="21"/>
  <c r="G252" i="21"/>
  <c r="G260" i="21"/>
  <c r="G268" i="21"/>
  <c r="G276" i="21"/>
  <c r="G284" i="21"/>
  <c r="G292" i="21"/>
  <c r="G300" i="21"/>
  <c r="G308" i="21"/>
  <c r="G316" i="21"/>
  <c r="G324" i="21"/>
  <c r="G332" i="21"/>
  <c r="G340" i="21"/>
  <c r="G348" i="21"/>
  <c r="G356" i="21"/>
  <c r="G364" i="21"/>
  <c r="G372" i="21"/>
  <c r="G380" i="21"/>
  <c r="G388" i="21"/>
  <c r="G396" i="21"/>
  <c r="G404" i="21"/>
  <c r="G412" i="21"/>
  <c r="G420" i="21"/>
  <c r="G428" i="21"/>
  <c r="G436" i="21"/>
  <c r="G444" i="21"/>
  <c r="G452" i="21"/>
  <c r="G6" i="22"/>
  <c r="G27" i="22"/>
  <c r="G38" i="22"/>
  <c r="G49" i="22"/>
  <c r="G65" i="22"/>
  <c r="G90" i="22"/>
  <c r="G122" i="22"/>
  <c r="G154" i="22"/>
  <c r="G186" i="22"/>
  <c r="G218" i="22"/>
  <c r="G250" i="22"/>
  <c r="G282" i="22"/>
  <c r="G4" i="23"/>
  <c r="G36" i="23"/>
  <c r="G68" i="23"/>
  <c r="G100" i="23"/>
  <c r="F139" i="24"/>
  <c r="G12" i="22"/>
  <c r="G33" i="22"/>
  <c r="G44" i="22"/>
  <c r="G58" i="22"/>
  <c r="G76" i="22"/>
  <c r="G108" i="22"/>
  <c r="G140" i="22"/>
  <c r="G172" i="22"/>
  <c r="G204" i="22"/>
  <c r="G236" i="22"/>
  <c r="G268" i="22"/>
  <c r="G300" i="22"/>
  <c r="G22" i="23"/>
  <c r="G54" i="23"/>
  <c r="G86" i="23"/>
  <c r="G582" i="23"/>
  <c r="G529" i="23"/>
  <c r="G654" i="23"/>
  <c r="F115" i="24"/>
  <c r="F243" i="24"/>
  <c r="G75" i="22"/>
  <c r="G83" i="22"/>
  <c r="G91" i="22"/>
  <c r="G99" i="22"/>
  <c r="G107" i="22"/>
  <c r="G115" i="22"/>
  <c r="G123" i="22"/>
  <c r="G131" i="22"/>
  <c r="G139" i="22"/>
  <c r="G147" i="22"/>
  <c r="G155" i="22"/>
  <c r="G163" i="22"/>
  <c r="G171" i="22"/>
  <c r="G179" i="22"/>
  <c r="G187" i="22"/>
  <c r="G195" i="22"/>
  <c r="G203" i="22"/>
  <c r="G211" i="22"/>
  <c r="G219" i="22"/>
  <c r="G227" i="22"/>
  <c r="G235" i="22"/>
  <c r="G243" i="22"/>
  <c r="G251" i="22"/>
  <c r="G259" i="22"/>
  <c r="G267" i="22"/>
  <c r="G275" i="22"/>
  <c r="G283" i="22"/>
  <c r="G291" i="22"/>
  <c r="G299" i="22"/>
  <c r="G307" i="22"/>
  <c r="G5" i="23"/>
  <c r="G13" i="23"/>
  <c r="G21" i="23"/>
  <c r="G29" i="23"/>
  <c r="G37" i="23"/>
  <c r="G45" i="23"/>
  <c r="G53" i="23"/>
  <c r="G61" i="23"/>
  <c r="G69" i="23"/>
  <c r="G77" i="23"/>
  <c r="G85" i="23"/>
  <c r="G93" i="23"/>
  <c r="G101" i="23"/>
  <c r="G109" i="23"/>
  <c r="G566" i="23"/>
  <c r="F27" i="24"/>
  <c r="F155" i="24"/>
  <c r="F330" i="24"/>
  <c r="G143" i="23"/>
  <c r="G175" i="23"/>
  <c r="G207" i="23"/>
  <c r="G239" i="23"/>
  <c r="G271" i="23"/>
  <c r="G303" i="23"/>
  <c r="G335" i="23"/>
  <c r="G367" i="23"/>
  <c r="G399" i="23"/>
  <c r="G431" i="23"/>
  <c r="G463" i="23"/>
  <c r="G502" i="23"/>
  <c r="G600" i="23"/>
  <c r="F61" i="24"/>
  <c r="F189" i="24"/>
  <c r="G570" i="23"/>
  <c r="F31" i="24"/>
  <c r="F159" i="24"/>
  <c r="F346" i="24"/>
  <c r="G132" i="23"/>
  <c r="G164" i="23"/>
  <c r="G196" i="23"/>
  <c r="G228" i="23"/>
  <c r="G260" i="23"/>
  <c r="G292" i="23"/>
  <c r="G324" i="23"/>
  <c r="G356" i="23"/>
  <c r="G388" i="23"/>
  <c r="G420" i="23"/>
  <c r="G452" i="23"/>
  <c r="G484" i="23"/>
  <c r="G556" i="23"/>
  <c r="F17" i="24"/>
  <c r="F145" i="24"/>
  <c r="F290" i="24"/>
  <c r="G547" i="23"/>
  <c r="F8" i="24"/>
  <c r="F136" i="24"/>
  <c r="F267" i="24"/>
  <c r="F272" i="24"/>
  <c r="F345" i="24"/>
  <c r="G489" i="23"/>
  <c r="G574" i="23"/>
  <c r="F35" i="24"/>
  <c r="F163" i="24"/>
  <c r="F362" i="24"/>
  <c r="G121" i="23"/>
  <c r="G129" i="23"/>
  <c r="G137" i="23"/>
  <c r="G145" i="23"/>
  <c r="G153" i="23"/>
  <c r="G161" i="23"/>
  <c r="G169" i="23"/>
  <c r="G177" i="23"/>
  <c r="G185" i="23"/>
  <c r="G193" i="23"/>
  <c r="G201" i="23"/>
  <c r="G209" i="23"/>
  <c r="G217" i="23"/>
  <c r="G225" i="23"/>
  <c r="G233" i="23"/>
  <c r="G241" i="23"/>
  <c r="G249" i="23"/>
  <c r="G257" i="23"/>
  <c r="G265" i="23"/>
  <c r="G273" i="23"/>
  <c r="G281" i="23"/>
  <c r="G289" i="23"/>
  <c r="G297" i="23"/>
  <c r="G305" i="23"/>
  <c r="G313" i="23"/>
  <c r="G321" i="23"/>
  <c r="G329" i="23"/>
  <c r="G337" i="23"/>
  <c r="G345" i="23"/>
  <c r="G353" i="23"/>
  <c r="G361" i="23"/>
  <c r="G369" i="23"/>
  <c r="G377" i="23"/>
  <c r="G385" i="23"/>
  <c r="G393" i="23"/>
  <c r="G401" i="23"/>
  <c r="G409" i="23"/>
  <c r="G417" i="23"/>
  <c r="G425" i="23"/>
  <c r="G433" i="23"/>
  <c r="G441" i="23"/>
  <c r="G449" i="23"/>
  <c r="G457" i="23"/>
  <c r="G465" i="23"/>
  <c r="G473" i="23"/>
  <c r="G481" i="23"/>
  <c r="G490" i="23"/>
  <c r="G506" i="23"/>
  <c r="G522" i="23"/>
  <c r="G544" i="23"/>
  <c r="G576" i="23"/>
  <c r="G608" i="23"/>
  <c r="G640" i="23"/>
  <c r="F5" i="24"/>
  <c r="F37" i="24"/>
  <c r="F69" i="24"/>
  <c r="F101" i="24"/>
  <c r="F133" i="24"/>
  <c r="F165" i="24"/>
  <c r="F197" i="24"/>
  <c r="F229" i="24"/>
  <c r="F263" i="24"/>
  <c r="F370" i="24"/>
  <c r="G491" i="23"/>
  <c r="G507" i="23"/>
  <c r="G523" i="23"/>
  <c r="G546" i="23"/>
  <c r="G578" i="23"/>
  <c r="G610" i="23"/>
  <c r="G642" i="23"/>
  <c r="F7" i="24"/>
  <c r="F39" i="24"/>
  <c r="F71" i="24"/>
  <c r="F103" i="24"/>
  <c r="F135" i="24"/>
  <c r="F167" i="24"/>
  <c r="F199" i="24"/>
  <c r="F231" i="24"/>
  <c r="F266" i="24"/>
  <c r="F378" i="24"/>
  <c r="G118" i="23"/>
  <c r="G126" i="23"/>
  <c r="G134" i="23"/>
  <c r="G142" i="23"/>
  <c r="G150" i="23"/>
  <c r="G158" i="23"/>
  <c r="G166" i="23"/>
  <c r="G174" i="23"/>
  <c r="G182" i="23"/>
  <c r="G190" i="23"/>
  <c r="G198" i="23"/>
  <c r="G206" i="23"/>
  <c r="G214" i="23"/>
  <c r="G222" i="23"/>
  <c r="G230" i="23"/>
  <c r="G238" i="23"/>
  <c r="G246" i="23"/>
  <c r="G254" i="23"/>
  <c r="G262" i="23"/>
  <c r="G270" i="23"/>
  <c r="G278" i="23"/>
  <c r="G286" i="23"/>
  <c r="G294" i="23"/>
  <c r="G302" i="23"/>
  <c r="G310" i="23"/>
  <c r="G318" i="23"/>
  <c r="G326" i="23"/>
  <c r="G334" i="23"/>
  <c r="G342" i="23"/>
  <c r="G350" i="23"/>
  <c r="G358" i="23"/>
  <c r="G366" i="23"/>
  <c r="G374" i="23"/>
  <c r="G382" i="23"/>
  <c r="G390" i="23"/>
  <c r="G398" i="23"/>
  <c r="G406" i="23"/>
  <c r="G414" i="23"/>
  <c r="G422" i="23"/>
  <c r="G430" i="23"/>
  <c r="G438" i="23"/>
  <c r="G446" i="23"/>
  <c r="G454" i="23"/>
  <c r="G462" i="23"/>
  <c r="G470" i="23"/>
  <c r="G478" i="23"/>
  <c r="G486" i="23"/>
  <c r="G500" i="23"/>
  <c r="G516" i="23"/>
  <c r="G532" i="23"/>
  <c r="G564" i="23"/>
  <c r="G596" i="23"/>
  <c r="G628" i="23"/>
  <c r="G660" i="23"/>
  <c r="F25" i="24"/>
  <c r="F57" i="24"/>
  <c r="F89" i="24"/>
  <c r="F121" i="24"/>
  <c r="F153" i="24"/>
  <c r="F185" i="24"/>
  <c r="F217" i="24"/>
  <c r="F249" i="24"/>
  <c r="F322" i="24"/>
  <c r="F356" i="24"/>
  <c r="G555" i="23"/>
  <c r="G587" i="23"/>
  <c r="G619" i="23"/>
  <c r="G651" i="23"/>
  <c r="F16" i="24"/>
  <c r="F48" i="24"/>
  <c r="F80" i="24"/>
  <c r="F112" i="24"/>
  <c r="F144" i="24"/>
  <c r="F176" i="24"/>
  <c r="F208" i="24"/>
  <c r="F240" i="24"/>
  <c r="F286" i="24"/>
  <c r="F414" i="24"/>
  <c r="F296" i="24"/>
  <c r="F424" i="24"/>
  <c r="F289" i="24"/>
  <c r="F321" i="24"/>
  <c r="F353" i="24"/>
  <c r="F407" i="24"/>
  <c r="F465" i="24"/>
  <c r="F593" i="24"/>
  <c r="F797" i="24"/>
  <c r="F736" i="24"/>
  <c r="G505" i="23"/>
  <c r="G606" i="23"/>
  <c r="F67" i="24"/>
  <c r="F195" i="24"/>
  <c r="G123" i="23"/>
  <c r="G131" i="23"/>
  <c r="G139" i="23"/>
  <c r="G147" i="23"/>
  <c r="G155" i="23"/>
  <c r="G163" i="23"/>
  <c r="G171" i="23"/>
  <c r="G179" i="23"/>
  <c r="G187" i="23"/>
  <c r="G195" i="23"/>
  <c r="G203" i="23"/>
  <c r="G211" i="23"/>
  <c r="G219" i="23"/>
  <c r="G227" i="23"/>
  <c r="G235" i="23"/>
  <c r="G243" i="23"/>
  <c r="G251" i="23"/>
  <c r="G259" i="23"/>
  <c r="G267" i="23"/>
  <c r="G275" i="23"/>
  <c r="G283" i="23"/>
  <c r="G291" i="23"/>
  <c r="G299" i="23"/>
  <c r="G307" i="23"/>
  <c r="G315" i="23"/>
  <c r="G323" i="23"/>
  <c r="G331" i="23"/>
  <c r="G339" i="23"/>
  <c r="G347" i="23"/>
  <c r="G355" i="23"/>
  <c r="G363" i="23"/>
  <c r="G371" i="23"/>
  <c r="G379" i="23"/>
  <c r="G387" i="23"/>
  <c r="G395" i="23"/>
  <c r="G403" i="23"/>
  <c r="G411" i="23"/>
  <c r="G419" i="23"/>
  <c r="G427" i="23"/>
  <c r="G435" i="23"/>
  <c r="G443" i="23"/>
  <c r="G451" i="23"/>
  <c r="G459" i="23"/>
  <c r="G467" i="23"/>
  <c r="G475" i="23"/>
  <c r="G483" i="23"/>
  <c r="G494" i="23"/>
  <c r="G510" i="23"/>
  <c r="G526" i="23"/>
  <c r="G552" i="23"/>
  <c r="G584" i="23"/>
  <c r="G616" i="23"/>
  <c r="G648" i="23"/>
  <c r="F13" i="24"/>
  <c r="F45" i="24"/>
  <c r="F77" i="24"/>
  <c r="F109" i="24"/>
  <c r="F141" i="24"/>
  <c r="F173" i="24"/>
  <c r="F205" i="24"/>
  <c r="F237" i="24"/>
  <c r="F277" i="24"/>
  <c r="F402" i="24"/>
  <c r="G495" i="23"/>
  <c r="G511" i="23"/>
  <c r="G527" i="23"/>
  <c r="G554" i="23"/>
  <c r="G586" i="23"/>
  <c r="G618" i="23"/>
  <c r="G650" i="23"/>
  <c r="F15" i="24"/>
  <c r="F47" i="24"/>
  <c r="F79" i="24"/>
  <c r="F111" i="24"/>
  <c r="F143" i="24"/>
  <c r="F175" i="24"/>
  <c r="F207" i="24"/>
  <c r="F239" i="24"/>
  <c r="F282" i="24"/>
  <c r="F410" i="24"/>
  <c r="G112" i="23"/>
  <c r="G120" i="23"/>
  <c r="G128" i="23"/>
  <c r="G136" i="23"/>
  <c r="G144" i="23"/>
  <c r="G152" i="23"/>
  <c r="G160" i="23"/>
  <c r="G168" i="23"/>
  <c r="G176" i="23"/>
  <c r="G184" i="23"/>
  <c r="G192" i="23"/>
  <c r="G200" i="23"/>
  <c r="G208" i="23"/>
  <c r="G216" i="23"/>
  <c r="G224" i="23"/>
  <c r="G232" i="23"/>
  <c r="G240" i="23"/>
  <c r="G248" i="23"/>
  <c r="G256" i="23"/>
  <c r="G264" i="23"/>
  <c r="G272" i="23"/>
  <c r="G280" i="23"/>
  <c r="G288" i="23"/>
  <c r="G296" i="23"/>
  <c r="G304" i="23"/>
  <c r="G312" i="23"/>
  <c r="G320" i="23"/>
  <c r="G328" i="23"/>
  <c r="G336" i="23"/>
  <c r="G344" i="23"/>
  <c r="G352" i="23"/>
  <c r="G360" i="23"/>
  <c r="G368" i="23"/>
  <c r="G376" i="23"/>
  <c r="G384" i="23"/>
  <c r="G392" i="23"/>
  <c r="G400" i="23"/>
  <c r="G408" i="23"/>
  <c r="G416" i="23"/>
  <c r="G424" i="23"/>
  <c r="G432" i="23"/>
  <c r="G440" i="23"/>
  <c r="G448" i="23"/>
  <c r="G456" i="23"/>
  <c r="G464" i="23"/>
  <c r="G472" i="23"/>
  <c r="G480" i="23"/>
  <c r="G488" i="23"/>
  <c r="G504" i="23"/>
  <c r="G520" i="23"/>
  <c r="G540" i="23"/>
  <c r="G572" i="23"/>
  <c r="G604" i="23"/>
  <c r="G636" i="23"/>
  <c r="G668" i="23"/>
  <c r="F33" i="24"/>
  <c r="F65" i="24"/>
  <c r="F97" i="24"/>
  <c r="F129" i="24"/>
  <c r="F161" i="24"/>
  <c r="F193" i="24"/>
  <c r="F225" i="24"/>
  <c r="F258" i="24"/>
  <c r="F354" i="24"/>
  <c r="F270" i="24"/>
  <c r="F388" i="24"/>
  <c r="F809" i="24"/>
  <c r="G563" i="23"/>
  <c r="G595" i="23"/>
  <c r="G627" i="23"/>
  <c r="G659" i="23"/>
  <c r="F24" i="24"/>
  <c r="F56" i="24"/>
  <c r="F88" i="24"/>
  <c r="F120" i="24"/>
  <c r="F152" i="24"/>
  <c r="F184" i="24"/>
  <c r="F216" i="24"/>
  <c r="F248" i="24"/>
  <c r="F318" i="24"/>
  <c r="F446" i="24"/>
  <c r="F328" i="24"/>
  <c r="F657" i="24"/>
  <c r="F297" i="24"/>
  <c r="F329" i="24"/>
  <c r="F361" i="24"/>
  <c r="F439" i="24"/>
  <c r="F497" i="24"/>
  <c r="F625" i="24"/>
  <c r="F550" i="24"/>
  <c r="G521" i="23"/>
  <c r="G638" i="23"/>
  <c r="F99" i="24"/>
  <c r="F227" i="24"/>
  <c r="G117" i="23"/>
  <c r="G125" i="23"/>
  <c r="G133" i="23"/>
  <c r="G141" i="23"/>
  <c r="G149" i="23"/>
  <c r="G157" i="23"/>
  <c r="G165" i="23"/>
  <c r="G173" i="23"/>
  <c r="G181" i="23"/>
  <c r="G189" i="23"/>
  <c r="G197" i="23"/>
  <c r="G205" i="23"/>
  <c r="G213" i="23"/>
  <c r="G221" i="23"/>
  <c r="G229" i="23"/>
  <c r="G237" i="23"/>
  <c r="G245" i="23"/>
  <c r="G253" i="23"/>
  <c r="G261" i="23"/>
  <c r="G269" i="23"/>
  <c r="G277" i="23"/>
  <c r="G285" i="23"/>
  <c r="G293" i="23"/>
  <c r="G301" i="23"/>
  <c r="G309" i="23"/>
  <c r="G317" i="23"/>
  <c r="G325" i="23"/>
  <c r="G333" i="23"/>
  <c r="G341" i="23"/>
  <c r="G349" i="23"/>
  <c r="G357" i="23"/>
  <c r="G365" i="23"/>
  <c r="G373" i="23"/>
  <c r="G381" i="23"/>
  <c r="G389" i="23"/>
  <c r="G397" i="23"/>
  <c r="G405" i="23"/>
  <c r="G413" i="23"/>
  <c r="G421" i="23"/>
  <c r="G429" i="23"/>
  <c r="G437" i="23"/>
  <c r="G445" i="23"/>
  <c r="G453" i="23"/>
  <c r="G461" i="23"/>
  <c r="G469" i="23"/>
  <c r="G477" i="23"/>
  <c r="G485" i="23"/>
  <c r="G498" i="23"/>
  <c r="G514" i="23"/>
  <c r="G530" i="23"/>
  <c r="G560" i="23"/>
  <c r="G592" i="23"/>
  <c r="G624" i="23"/>
  <c r="G656" i="23"/>
  <c r="F21" i="24"/>
  <c r="F53" i="24"/>
  <c r="F85" i="24"/>
  <c r="F117" i="24"/>
  <c r="F149" i="24"/>
  <c r="F181" i="24"/>
  <c r="F213" i="24"/>
  <c r="F245" i="24"/>
  <c r="F306" i="24"/>
  <c r="F434" i="24"/>
  <c r="G499" i="23"/>
  <c r="G515" i="23"/>
  <c r="G531" i="23"/>
  <c r="G562" i="23"/>
  <c r="G594" i="23"/>
  <c r="G626" i="23"/>
  <c r="G658" i="23"/>
  <c r="F23" i="24"/>
  <c r="F55" i="24"/>
  <c r="F87" i="24"/>
  <c r="F119" i="24"/>
  <c r="F151" i="24"/>
  <c r="F183" i="24"/>
  <c r="F215" i="24"/>
  <c r="F247" i="24"/>
  <c r="F314" i="24"/>
  <c r="F442" i="24"/>
  <c r="G114" i="23"/>
  <c r="G122" i="23"/>
  <c r="G130" i="23"/>
  <c r="G138" i="23"/>
  <c r="G146" i="23"/>
  <c r="G154" i="23"/>
  <c r="G162" i="23"/>
  <c r="G170" i="23"/>
  <c r="G178" i="23"/>
  <c r="G186" i="23"/>
  <c r="G194" i="23"/>
  <c r="G202" i="23"/>
  <c r="G210" i="23"/>
  <c r="G218" i="23"/>
  <c r="G226" i="23"/>
  <c r="G234" i="23"/>
  <c r="G242" i="23"/>
  <c r="G250" i="23"/>
  <c r="G258" i="23"/>
  <c r="G266" i="23"/>
  <c r="G274" i="23"/>
  <c r="G282" i="23"/>
  <c r="G290" i="23"/>
  <c r="G298" i="23"/>
  <c r="G306" i="23"/>
  <c r="G314" i="23"/>
  <c r="G322" i="23"/>
  <c r="G330" i="23"/>
  <c r="G338" i="23"/>
  <c r="G346" i="23"/>
  <c r="G354" i="23"/>
  <c r="G362" i="23"/>
  <c r="G370" i="23"/>
  <c r="G378" i="23"/>
  <c r="G386" i="23"/>
  <c r="G394" i="23"/>
  <c r="G402" i="23"/>
  <c r="G410" i="23"/>
  <c r="G418" i="23"/>
  <c r="G426" i="23"/>
  <c r="G434" i="23"/>
  <c r="G442" i="23"/>
  <c r="G450" i="23"/>
  <c r="G458" i="23"/>
  <c r="G466" i="23"/>
  <c r="G474" i="23"/>
  <c r="G482" i="23"/>
  <c r="G492" i="23"/>
  <c r="G508" i="23"/>
  <c r="G524" i="23"/>
  <c r="G548" i="23"/>
  <c r="G580" i="23"/>
  <c r="G612" i="23"/>
  <c r="G644" i="23"/>
  <c r="F9" i="24"/>
  <c r="F41" i="24"/>
  <c r="F73" i="24"/>
  <c r="F105" i="24"/>
  <c r="F137" i="24"/>
  <c r="F169" i="24"/>
  <c r="F201" i="24"/>
  <c r="F233" i="24"/>
  <c r="F269" i="24"/>
  <c r="F386" i="24"/>
  <c r="F777" i="24"/>
  <c r="F292" i="24"/>
  <c r="F420" i="24"/>
  <c r="G539" i="23"/>
  <c r="G571" i="23"/>
  <c r="G603" i="23"/>
  <c r="G635" i="23"/>
  <c r="G667" i="23"/>
  <c r="F32" i="24"/>
  <c r="F64" i="24"/>
  <c r="F96" i="24"/>
  <c r="F128" i="24"/>
  <c r="F160" i="24"/>
  <c r="F192" i="24"/>
  <c r="F224" i="24"/>
  <c r="F350" i="24"/>
  <c r="F260" i="24"/>
  <c r="F360" i="24"/>
  <c r="F451" i="24"/>
  <c r="F785" i="24"/>
  <c r="F305" i="24"/>
  <c r="F337" i="24"/>
  <c r="F369" i="24"/>
  <c r="F529" i="24"/>
  <c r="F675" i="24"/>
  <c r="F759" i="24"/>
  <c r="F261" i="24"/>
  <c r="F274" i="24"/>
  <c r="F300" i="24"/>
  <c r="F332" i="24"/>
  <c r="F364" i="24"/>
  <c r="F396" i="24"/>
  <c r="F428" i="24"/>
  <c r="G533" i="23"/>
  <c r="G541" i="23"/>
  <c r="G549" i="23"/>
  <c r="G557" i="23"/>
  <c r="G565" i="23"/>
  <c r="G573" i="23"/>
  <c r="G581" i="23"/>
  <c r="G589" i="23"/>
  <c r="G597" i="23"/>
  <c r="G605" i="23"/>
  <c r="G613" i="23"/>
  <c r="G621" i="23"/>
  <c r="G629" i="23"/>
  <c r="G637" i="23"/>
  <c r="G645" i="23"/>
  <c r="G653" i="23"/>
  <c r="G661" i="23"/>
  <c r="F2" i="24"/>
  <c r="F10" i="24"/>
  <c r="F18" i="24"/>
  <c r="F26" i="24"/>
  <c r="F34" i="24"/>
  <c r="F42" i="24"/>
  <c r="F50" i="24"/>
  <c r="F58" i="24"/>
  <c r="F66" i="24"/>
  <c r="F74" i="24"/>
  <c r="F82" i="24"/>
  <c r="F90" i="24"/>
  <c r="F98" i="24"/>
  <c r="F106" i="24"/>
  <c r="F114" i="24"/>
  <c r="F122" i="24"/>
  <c r="F130" i="24"/>
  <c r="F138" i="24"/>
  <c r="F146" i="24"/>
  <c r="F154" i="24"/>
  <c r="F162" i="24"/>
  <c r="F170" i="24"/>
  <c r="F178" i="24"/>
  <c r="F186" i="24"/>
  <c r="F194" i="24"/>
  <c r="F202" i="24"/>
  <c r="F210" i="24"/>
  <c r="F218" i="24"/>
  <c r="F226" i="24"/>
  <c r="F234" i="24"/>
  <c r="F242" i="24"/>
  <c r="F250" i="24"/>
  <c r="F259" i="24"/>
  <c r="F271" i="24"/>
  <c r="F294" i="24"/>
  <c r="F326" i="24"/>
  <c r="F358" i="24"/>
  <c r="F390" i="24"/>
  <c r="F422" i="24"/>
  <c r="F841" i="24"/>
  <c r="F276" i="24"/>
  <c r="F304" i="24"/>
  <c r="F336" i="24"/>
  <c r="F368" i="24"/>
  <c r="F400" i="24"/>
  <c r="F432" i="24"/>
  <c r="F689" i="24"/>
  <c r="F817" i="24"/>
  <c r="F283" i="24"/>
  <c r="F291" i="24"/>
  <c r="F299" i="24"/>
  <c r="F307" i="24"/>
  <c r="F315" i="24"/>
  <c r="F323" i="24"/>
  <c r="F331" i="24"/>
  <c r="F339" i="24"/>
  <c r="F347" i="24"/>
  <c r="F355" i="24"/>
  <c r="F363" i="24"/>
  <c r="F371" i="24"/>
  <c r="F383" i="24"/>
  <c r="F415" i="24"/>
  <c r="F447" i="24"/>
  <c r="F729" i="24"/>
  <c r="F473" i="24"/>
  <c r="F505" i="24"/>
  <c r="F537" i="24"/>
  <c r="F569" i="24"/>
  <c r="F601" i="24"/>
  <c r="F633" i="24"/>
  <c r="F707" i="24"/>
  <c r="F835" i="24"/>
  <c r="F454" i="24"/>
  <c r="F582" i="24"/>
  <c r="F887" i="24"/>
  <c r="F800" i="24"/>
  <c r="F264" i="24"/>
  <c r="F278" i="24"/>
  <c r="F308" i="24"/>
  <c r="F340" i="24"/>
  <c r="F372" i="24"/>
  <c r="F404" i="24"/>
  <c r="F436" i="24"/>
  <c r="G535" i="23"/>
  <c r="G543" i="23"/>
  <c r="G551" i="23"/>
  <c r="G559" i="23"/>
  <c r="G567" i="23"/>
  <c r="G575" i="23"/>
  <c r="G583" i="23"/>
  <c r="G591" i="23"/>
  <c r="G599" i="23"/>
  <c r="G607" i="23"/>
  <c r="G615" i="23"/>
  <c r="G623" i="23"/>
  <c r="G631" i="23"/>
  <c r="G639" i="23"/>
  <c r="G647" i="23"/>
  <c r="G655" i="23"/>
  <c r="G663" i="23"/>
  <c r="F4" i="24"/>
  <c r="F12" i="24"/>
  <c r="F20" i="24"/>
  <c r="F28" i="24"/>
  <c r="F36" i="24"/>
  <c r="F44" i="24"/>
  <c r="F52" i="24"/>
  <c r="F60" i="24"/>
  <c r="F68" i="24"/>
  <c r="F76" i="24"/>
  <c r="F84" i="24"/>
  <c r="F92" i="24"/>
  <c r="F100" i="24"/>
  <c r="F108" i="24"/>
  <c r="F116" i="24"/>
  <c r="F124" i="24"/>
  <c r="F132" i="24"/>
  <c r="F140" i="24"/>
  <c r="F148" i="24"/>
  <c r="F156" i="24"/>
  <c r="F164" i="24"/>
  <c r="F172" i="24"/>
  <c r="F180" i="24"/>
  <c r="F188" i="24"/>
  <c r="F196" i="24"/>
  <c r="F204" i="24"/>
  <c r="F212" i="24"/>
  <c r="F220" i="24"/>
  <c r="F228" i="24"/>
  <c r="F236" i="24"/>
  <c r="F244" i="24"/>
  <c r="F252" i="24"/>
  <c r="F262" i="24"/>
  <c r="F275" i="24"/>
  <c r="F302" i="24"/>
  <c r="F334" i="24"/>
  <c r="F366" i="24"/>
  <c r="F398" i="24"/>
  <c r="F430" i="24"/>
  <c r="F265" i="24"/>
  <c r="F280" i="24"/>
  <c r="F312" i="24"/>
  <c r="F344" i="24"/>
  <c r="F376" i="24"/>
  <c r="F408" i="24"/>
  <c r="F440" i="24"/>
  <c r="F721" i="24"/>
  <c r="F849" i="24"/>
  <c r="F285" i="24"/>
  <c r="F293" i="24"/>
  <c r="F301" i="24"/>
  <c r="F309" i="24"/>
  <c r="F317" i="24"/>
  <c r="F325" i="24"/>
  <c r="F333" i="24"/>
  <c r="F341" i="24"/>
  <c r="F349" i="24"/>
  <c r="F357" i="24"/>
  <c r="F365" i="24"/>
  <c r="F373" i="24"/>
  <c r="F391" i="24"/>
  <c r="F423" i="24"/>
  <c r="F457" i="24"/>
  <c r="F857" i="24"/>
  <c r="F673" i="24"/>
  <c r="F481" i="24"/>
  <c r="F513" i="24"/>
  <c r="F545" i="24"/>
  <c r="F577" i="24"/>
  <c r="F609" i="24"/>
  <c r="F641" i="24"/>
  <c r="F739" i="24"/>
  <c r="F867" i="24"/>
  <c r="F486" i="24"/>
  <c r="F614" i="24"/>
  <c r="F864" i="24"/>
  <c r="F256" i="24"/>
  <c r="F284" i="24"/>
  <c r="F316" i="24"/>
  <c r="F348" i="24"/>
  <c r="F380" i="24"/>
  <c r="F412" i="24"/>
  <c r="F444" i="24"/>
  <c r="F681" i="24"/>
  <c r="G537" i="23"/>
  <c r="G545" i="23"/>
  <c r="G553" i="23"/>
  <c r="G561" i="23"/>
  <c r="G569" i="23"/>
  <c r="G577" i="23"/>
  <c r="G585" i="23"/>
  <c r="G593" i="23"/>
  <c r="G601" i="23"/>
  <c r="G609" i="23"/>
  <c r="G617" i="23"/>
  <c r="G625" i="23"/>
  <c r="G633" i="23"/>
  <c r="G641" i="23"/>
  <c r="G649" i="23"/>
  <c r="G657" i="23"/>
  <c r="G665" i="23"/>
  <c r="F6" i="24"/>
  <c r="F14" i="24"/>
  <c r="F22" i="24"/>
  <c r="F30" i="24"/>
  <c r="F38" i="24"/>
  <c r="F46" i="24"/>
  <c r="F54" i="24"/>
  <c r="F62" i="24"/>
  <c r="F70" i="24"/>
  <c r="F78" i="24"/>
  <c r="F86" i="24"/>
  <c r="F94" i="24"/>
  <c r="F102" i="24"/>
  <c r="F110" i="24"/>
  <c r="F118" i="24"/>
  <c r="F126" i="24"/>
  <c r="F134" i="24"/>
  <c r="F142" i="24"/>
  <c r="F150" i="24"/>
  <c r="F158" i="24"/>
  <c r="F166" i="24"/>
  <c r="F174" i="24"/>
  <c r="F182" i="24"/>
  <c r="F190" i="24"/>
  <c r="F198" i="24"/>
  <c r="F206" i="24"/>
  <c r="F214" i="24"/>
  <c r="F222" i="24"/>
  <c r="F230" i="24"/>
  <c r="F238" i="24"/>
  <c r="F246" i="24"/>
  <c r="F254" i="24"/>
  <c r="F279" i="24"/>
  <c r="F310" i="24"/>
  <c r="F342" i="24"/>
  <c r="F374" i="24"/>
  <c r="F406" i="24"/>
  <c r="F438" i="24"/>
  <c r="F257" i="24"/>
  <c r="F268" i="24"/>
  <c r="F288" i="24"/>
  <c r="F320" i="24"/>
  <c r="F352" i="24"/>
  <c r="F384" i="24"/>
  <c r="F416" i="24"/>
  <c r="F448" i="24"/>
  <c r="F745" i="24"/>
  <c r="F459" i="24"/>
  <c r="F753" i="24"/>
  <c r="F881" i="24"/>
  <c r="F287" i="24"/>
  <c r="F295" i="24"/>
  <c r="F303" i="24"/>
  <c r="F311" i="24"/>
  <c r="F319" i="24"/>
  <c r="F327" i="24"/>
  <c r="F335" i="24"/>
  <c r="F343" i="24"/>
  <c r="F351" i="24"/>
  <c r="F359" i="24"/>
  <c r="F367" i="24"/>
  <c r="F375" i="24"/>
  <c r="F399" i="24"/>
  <c r="F431" i="24"/>
  <c r="F801" i="24"/>
  <c r="F489" i="24"/>
  <c r="F521" i="24"/>
  <c r="F553" i="24"/>
  <c r="F585" i="24"/>
  <c r="F617" i="24"/>
  <c r="F649" i="24"/>
  <c r="F771" i="24"/>
  <c r="F899" i="24"/>
  <c r="F669" i="24"/>
  <c r="F518" i="24"/>
  <c r="F646" i="24"/>
  <c r="F672" i="24"/>
  <c r="F385" i="24"/>
  <c r="F393" i="24"/>
  <c r="F401" i="24"/>
  <c r="F409" i="24"/>
  <c r="F417" i="24"/>
  <c r="F425" i="24"/>
  <c r="F433" i="24"/>
  <c r="F441" i="24"/>
  <c r="F449" i="24"/>
  <c r="F761" i="24"/>
  <c r="F889" i="24"/>
  <c r="F455" i="24"/>
  <c r="F705" i="24"/>
  <c r="F833" i="24"/>
  <c r="F467" i="24"/>
  <c r="F475" i="24"/>
  <c r="F483" i="24"/>
  <c r="F491" i="24"/>
  <c r="F499" i="24"/>
  <c r="F507" i="24"/>
  <c r="F515" i="24"/>
  <c r="F523" i="24"/>
  <c r="F531" i="24"/>
  <c r="F539" i="24"/>
  <c r="F547" i="24"/>
  <c r="F555" i="24"/>
  <c r="F563" i="24"/>
  <c r="F571" i="24"/>
  <c r="F579" i="24"/>
  <c r="F587" i="24"/>
  <c r="F595" i="24"/>
  <c r="F603" i="24"/>
  <c r="F611" i="24"/>
  <c r="F619" i="24"/>
  <c r="F627" i="24"/>
  <c r="F635" i="24"/>
  <c r="F643" i="24"/>
  <c r="F651" i="24"/>
  <c r="F683" i="24"/>
  <c r="F715" i="24"/>
  <c r="F747" i="24"/>
  <c r="F779" i="24"/>
  <c r="F811" i="24"/>
  <c r="F843" i="24"/>
  <c r="F875" i="24"/>
  <c r="F701" i="24"/>
  <c r="F829" i="24"/>
  <c r="F462" i="24"/>
  <c r="F494" i="24"/>
  <c r="F526" i="24"/>
  <c r="F558" i="24"/>
  <c r="F590" i="24"/>
  <c r="F622" i="24"/>
  <c r="F663" i="24"/>
  <c r="F791" i="24"/>
  <c r="F688" i="24"/>
  <c r="F752" i="24"/>
  <c r="F816" i="24"/>
  <c r="F880" i="24"/>
  <c r="F379" i="24"/>
  <c r="F387" i="24"/>
  <c r="F395" i="24"/>
  <c r="F403" i="24"/>
  <c r="F411" i="24"/>
  <c r="F419" i="24"/>
  <c r="F427" i="24"/>
  <c r="F435" i="24"/>
  <c r="F443" i="24"/>
  <c r="F463" i="24"/>
  <c r="F665" i="24"/>
  <c r="F793" i="24"/>
  <c r="F737" i="24"/>
  <c r="F865" i="24"/>
  <c r="F469" i="24"/>
  <c r="F477" i="24"/>
  <c r="F485" i="24"/>
  <c r="F493" i="24"/>
  <c r="F501" i="24"/>
  <c r="F509" i="24"/>
  <c r="F517" i="24"/>
  <c r="F525" i="24"/>
  <c r="F533" i="24"/>
  <c r="F541" i="24"/>
  <c r="F549" i="24"/>
  <c r="F557" i="24"/>
  <c r="F565" i="24"/>
  <c r="F573" i="24"/>
  <c r="F581" i="24"/>
  <c r="F589" i="24"/>
  <c r="F597" i="24"/>
  <c r="F605" i="24"/>
  <c r="F613" i="24"/>
  <c r="F621" i="24"/>
  <c r="F629" i="24"/>
  <c r="F637" i="24"/>
  <c r="F645" i="24"/>
  <c r="F659" i="24"/>
  <c r="F691" i="24"/>
  <c r="F723" i="24"/>
  <c r="F755" i="24"/>
  <c r="F787" i="24"/>
  <c r="F819" i="24"/>
  <c r="F851" i="24"/>
  <c r="F883" i="24"/>
  <c r="F733" i="24"/>
  <c r="F861" i="24"/>
  <c r="F470" i="24"/>
  <c r="F502" i="24"/>
  <c r="F534" i="24"/>
  <c r="F566" i="24"/>
  <c r="F598" i="24"/>
  <c r="F630" i="24"/>
  <c r="F695" i="24"/>
  <c r="F823" i="24"/>
  <c r="F704" i="24"/>
  <c r="F768" i="24"/>
  <c r="F832" i="24"/>
  <c r="F896" i="24"/>
  <c r="F381" i="24"/>
  <c r="F389" i="24"/>
  <c r="F397" i="24"/>
  <c r="F405" i="24"/>
  <c r="F413" i="24"/>
  <c r="F421" i="24"/>
  <c r="F429" i="24"/>
  <c r="F437" i="24"/>
  <c r="F445" i="24"/>
  <c r="F697" i="24"/>
  <c r="F825" i="24"/>
  <c r="F769" i="24"/>
  <c r="F897" i="24"/>
  <c r="F471" i="24"/>
  <c r="F479" i="24"/>
  <c r="F487" i="24"/>
  <c r="F495" i="24"/>
  <c r="F503" i="24"/>
  <c r="F511" i="24"/>
  <c r="F519" i="24"/>
  <c r="F527" i="24"/>
  <c r="F535" i="24"/>
  <c r="F543" i="24"/>
  <c r="F551" i="24"/>
  <c r="F559" i="24"/>
  <c r="F567" i="24"/>
  <c r="F575" i="24"/>
  <c r="F583" i="24"/>
  <c r="F591" i="24"/>
  <c r="F599" i="24"/>
  <c r="F607" i="24"/>
  <c r="F615" i="24"/>
  <c r="F623" i="24"/>
  <c r="F631" i="24"/>
  <c r="F639" i="24"/>
  <c r="F647" i="24"/>
  <c r="F667" i="24"/>
  <c r="F699" i="24"/>
  <c r="F731" i="24"/>
  <c r="F763" i="24"/>
  <c r="F795" i="24"/>
  <c r="F827" i="24"/>
  <c r="F859" i="24"/>
  <c r="F891" i="24"/>
  <c r="F765" i="24"/>
  <c r="F893" i="24"/>
  <c r="F478" i="24"/>
  <c r="F510" i="24"/>
  <c r="F542" i="24"/>
  <c r="F574" i="24"/>
  <c r="F606" i="24"/>
  <c r="F638" i="24"/>
  <c r="F727" i="24"/>
  <c r="F855" i="24"/>
  <c r="F656" i="24"/>
  <c r="F720" i="24"/>
  <c r="F784" i="24"/>
  <c r="F848" i="24"/>
  <c r="F677" i="24"/>
  <c r="F709" i="24"/>
  <c r="F741" i="24"/>
  <c r="F773" i="24"/>
  <c r="F805" i="24"/>
  <c r="F837" i="24"/>
  <c r="F869" i="24"/>
  <c r="F901" i="24"/>
  <c r="F456" i="24"/>
  <c r="F464" i="24"/>
  <c r="F472" i="24"/>
  <c r="F480" i="24"/>
  <c r="F488" i="24"/>
  <c r="F496" i="24"/>
  <c r="F504" i="24"/>
  <c r="F512" i="24"/>
  <c r="F520" i="24"/>
  <c r="F528" i="24"/>
  <c r="F536" i="24"/>
  <c r="F544" i="24"/>
  <c r="F552" i="24"/>
  <c r="F560" i="24"/>
  <c r="F568" i="24"/>
  <c r="F576" i="24"/>
  <c r="F584" i="24"/>
  <c r="F592" i="24"/>
  <c r="F600" i="24"/>
  <c r="F608" i="24"/>
  <c r="F616" i="24"/>
  <c r="F624" i="24"/>
  <c r="F632" i="24"/>
  <c r="F640" i="24"/>
  <c r="F648" i="24"/>
  <c r="F671" i="24"/>
  <c r="F703" i="24"/>
  <c r="F735" i="24"/>
  <c r="F767" i="24"/>
  <c r="F799" i="24"/>
  <c r="F831" i="24"/>
  <c r="F863" i="24"/>
  <c r="F895" i="24"/>
  <c r="F660" i="24"/>
  <c r="F676" i="24"/>
  <c r="F692" i="24"/>
  <c r="F708" i="24"/>
  <c r="F724" i="24"/>
  <c r="F740" i="24"/>
  <c r="F756" i="24"/>
  <c r="F772" i="24"/>
  <c r="F788" i="24"/>
  <c r="F804" i="24"/>
  <c r="F820" i="24"/>
  <c r="F836" i="24"/>
  <c r="F852" i="24"/>
  <c r="F868" i="24"/>
  <c r="F884" i="24"/>
  <c r="F900" i="24"/>
  <c r="F653" i="24"/>
  <c r="F685" i="24"/>
  <c r="F717" i="24"/>
  <c r="F749" i="24"/>
  <c r="F781" i="24"/>
  <c r="F813" i="24"/>
  <c r="F845" i="24"/>
  <c r="F877" i="24"/>
  <c r="F450" i="24"/>
  <c r="F458" i="24"/>
  <c r="F466" i="24"/>
  <c r="F474" i="24"/>
  <c r="F482" i="24"/>
  <c r="F490" i="24"/>
  <c r="F498" i="24"/>
  <c r="F506" i="24"/>
  <c r="F514" i="24"/>
  <c r="F522" i="24"/>
  <c r="F530" i="24"/>
  <c r="F538" i="24"/>
  <c r="F546" i="24"/>
  <c r="F554" i="24"/>
  <c r="F562" i="24"/>
  <c r="F570" i="24"/>
  <c r="F578" i="24"/>
  <c r="F586" i="24"/>
  <c r="F594" i="24"/>
  <c r="F602" i="24"/>
  <c r="F610" i="24"/>
  <c r="F618" i="24"/>
  <c r="F626" i="24"/>
  <c r="F634" i="24"/>
  <c r="F642" i="24"/>
  <c r="F650" i="24"/>
  <c r="F679" i="24"/>
  <c r="F711" i="24"/>
  <c r="F743" i="24"/>
  <c r="F775" i="24"/>
  <c r="F807" i="24"/>
  <c r="F839" i="24"/>
  <c r="F871" i="24"/>
  <c r="F903" i="24"/>
  <c r="F664" i="24"/>
  <c r="F680" i="24"/>
  <c r="F696" i="24"/>
  <c r="F712" i="24"/>
  <c r="F728" i="24"/>
  <c r="F744" i="24"/>
  <c r="F760" i="24"/>
  <c r="F776" i="24"/>
  <c r="F792" i="24"/>
  <c r="F808" i="24"/>
  <c r="F824" i="24"/>
  <c r="F840" i="24"/>
  <c r="F856" i="24"/>
  <c r="F872" i="24"/>
  <c r="F888" i="24"/>
  <c r="F904" i="24"/>
  <c r="F661" i="24"/>
  <c r="F693" i="24"/>
  <c r="F725" i="24"/>
  <c r="F757" i="24"/>
  <c r="F789" i="24"/>
  <c r="F821" i="24"/>
  <c r="F853" i="24"/>
  <c r="F885" i="24"/>
  <c r="F452" i="24"/>
  <c r="F460" i="24"/>
  <c r="F468" i="24"/>
  <c r="F476" i="24"/>
  <c r="F484" i="24"/>
  <c r="F492" i="24"/>
  <c r="F500" i="24"/>
  <c r="F508" i="24"/>
  <c r="F516" i="24"/>
  <c r="F524" i="24"/>
  <c r="F532" i="24"/>
  <c r="F540" i="24"/>
  <c r="F548" i="24"/>
  <c r="F556" i="24"/>
  <c r="F564" i="24"/>
  <c r="F572" i="24"/>
  <c r="F580" i="24"/>
  <c r="F588" i="24"/>
  <c r="F596" i="24"/>
  <c r="F604" i="24"/>
  <c r="F612" i="24"/>
  <c r="F620" i="24"/>
  <c r="F628" i="24"/>
  <c r="F636" i="24"/>
  <c r="F644" i="24"/>
  <c r="F655" i="24"/>
  <c r="F687" i="24"/>
  <c r="F719" i="24"/>
  <c r="F751" i="24"/>
  <c r="F783" i="24"/>
  <c r="F815" i="24"/>
  <c r="F847" i="24"/>
  <c r="F879" i="24"/>
  <c r="F652" i="24"/>
  <c r="F668" i="24"/>
  <c r="F684" i="24"/>
  <c r="F700" i="24"/>
  <c r="F716" i="24"/>
  <c r="F732" i="24"/>
  <c r="F748" i="24"/>
  <c r="F764" i="24"/>
  <c r="F780" i="24"/>
  <c r="F796" i="24"/>
  <c r="F812" i="24"/>
  <c r="F828" i="24"/>
  <c r="F844" i="24"/>
  <c r="F860" i="24"/>
  <c r="F876" i="24"/>
  <c r="F892" i="24"/>
  <c r="F658" i="24"/>
  <c r="F666" i="24"/>
  <c r="F674" i="24"/>
  <c r="F682" i="24"/>
  <c r="F690" i="24"/>
  <c r="F698" i="24"/>
  <c r="F706" i="24"/>
  <c r="F714" i="24"/>
  <c r="F722" i="24"/>
  <c r="F730" i="24"/>
  <c r="F738" i="24"/>
  <c r="F746" i="24"/>
  <c r="F754" i="24"/>
  <c r="F762" i="24"/>
  <c r="F770" i="24"/>
  <c r="F778" i="24"/>
  <c r="F786" i="24"/>
  <c r="F794" i="24"/>
  <c r="F802" i="24"/>
  <c r="F810" i="24"/>
  <c r="F818" i="24"/>
  <c r="F826" i="24"/>
  <c r="F834" i="24"/>
  <c r="F842" i="24"/>
  <c r="F850" i="24"/>
  <c r="F858" i="24"/>
  <c r="F866" i="24"/>
  <c r="F874" i="24"/>
  <c r="F882" i="24"/>
  <c r="F890" i="24"/>
  <c r="F898" i="24"/>
  <c r="F654" i="24"/>
  <c r="F662" i="24"/>
  <c r="F670" i="24"/>
  <c r="F678" i="24"/>
  <c r="F686" i="24"/>
  <c r="F694" i="24"/>
  <c r="F702" i="24"/>
  <c r="F710" i="24"/>
  <c r="F718" i="24"/>
  <c r="F726" i="24"/>
  <c r="F734" i="24"/>
  <c r="F742" i="24"/>
  <c r="F750" i="24"/>
  <c r="F758" i="24"/>
  <c r="F766" i="24"/>
  <c r="F774" i="24"/>
  <c r="F782" i="24"/>
  <c r="F790" i="24"/>
  <c r="F798" i="24"/>
  <c r="F806" i="24"/>
  <c r="F814" i="24"/>
  <c r="F822" i="24"/>
  <c r="F830" i="24"/>
  <c r="F838" i="24"/>
  <c r="F846" i="24"/>
  <c r="F854" i="24"/>
  <c r="F862" i="24"/>
  <c r="F870" i="24"/>
  <c r="F878" i="24"/>
  <c r="F886" i="24"/>
  <c r="F894" i="24"/>
  <c r="F902" i="24"/>
</calcChain>
</file>

<file path=xl/sharedStrings.xml><?xml version="1.0" encoding="utf-8"?>
<sst xmlns="http://schemas.openxmlformats.org/spreadsheetml/2006/main" count="34942" uniqueCount="22506">
  <si>
    <t>CategoryId</t>
  </si>
  <si>
    <t>CategoryName</t>
  </si>
  <si>
    <t>CategoryPath</t>
  </si>
  <si>
    <t>CategoryIdPath</t>
  </si>
  <si>
    <t>衣装一式</t>
  </si>
  <si>
    <t>オークション &gt; コミック、アニメグッズ &gt; コスプレ衣装 &gt; コミック、アニメ、ゲームキャラクター &gt; 衣装一式</t>
  </si>
  <si>
    <t>0,20060,2084062134,2084208670,2084311486</t>
  </si>
  <si>
    <t>コスプレ衣装</t>
  </si>
  <si>
    <t>オークション &gt; コミック、アニメグッズ &gt; コスプレ衣装 &gt; コミック、アニメ、ゲームキャラクター &gt; コスプレ衣装</t>
  </si>
  <si>
    <t>0,20060,2084062134,2084208670,2084311485</t>
  </si>
  <si>
    <t>青森県</t>
  </si>
  <si>
    <t>キャンプ、アウトドア</t>
  </si>
  <si>
    <t>オークション &gt; 不動産 &gt; マンション &gt; 東北 &gt; 青森県</t>
  </si>
  <si>
    <t>オークション &gt; その他 &gt; レンタル &gt; スポーツ、レジャー &gt; キャンプ、アウトドア</t>
  </si>
  <si>
    <t>インナー</t>
  </si>
  <si>
    <t>0,2084060731,2084060732,2084060737,2084060785</t>
  </si>
  <si>
    <t>0,26084,2084307720,2084307762,2084307765</t>
  </si>
  <si>
    <t>オークション &gt; コミック、アニメグッズ &gt; コスプレ衣装 &gt; コミック、アニメ、ゲームキャラクター &gt; インナー</t>
  </si>
  <si>
    <t>0,20060,2084062134,2084208670,2084311488</t>
  </si>
  <si>
    <t>靴、ブーツ</t>
  </si>
  <si>
    <t>オークション &gt; コミック、アニメグッズ &gt; コスプレ衣装 &gt; コミック、アニメ、ゲームキャラクター &gt; 靴、ブーツ</t>
  </si>
  <si>
    <t>0,20060,2084062134,2084208670,2084311487</t>
  </si>
  <si>
    <t>アクセサリー、小物</t>
  </si>
  <si>
    <t>自転車</t>
  </si>
  <si>
    <t>オークション &gt; コミック、アニメグッズ &gt; コスプレ衣装 &gt; コミック、アニメ、ゲームキャラクター &gt; アクセサリー、小物</t>
  </si>
  <si>
    <t>オークション &gt; その他 &gt; レンタル &gt; スポーツ、レジャー &gt; 自転車</t>
  </si>
  <si>
    <t>0,20060,2084062134,2084208670,2084311489</t>
  </si>
  <si>
    <t>0,26084,2084307720,2084307762,2084307766</t>
  </si>
  <si>
    <t>Xe đạp</t>
  </si>
  <si>
    <t>岩手県</t>
  </si>
  <si>
    <t>オークション &gt; 不動産 &gt; マンション &gt; 東北 &gt; 岩手県</t>
  </si>
  <si>
    <t>0,2084060731,2084060732,2084060737,2084060786</t>
  </si>
  <si>
    <t>長物</t>
  </si>
  <si>
    <t>オークション &gt; コミック、アニメグッズ &gt; コスプレ衣装 &gt; コミック、アニメ、ゲームキャラクター &gt; 長物</t>
  </si>
  <si>
    <t>0,20060,2084062134,2084208670,2084311490</t>
  </si>
  <si>
    <t>スキー、スノーボード</t>
  </si>
  <si>
    <t>宮城県</t>
  </si>
  <si>
    <t>ウィッグ</t>
  </si>
  <si>
    <t>オークション &gt; 不動産 &gt; マンション &gt; 東北 &gt; 宮城県</t>
  </si>
  <si>
    <t>オークション &gt; コミック、アニメグッズ &gt; コスプレ衣装 &gt; コミック、アニメ、ゲームキャラクター &gt; ウィッグ</t>
  </si>
  <si>
    <t>0,2084060731,2084060732,2084060737,2084060787</t>
  </si>
  <si>
    <t>0,20060,2084062134,2084208670,2084311491</t>
  </si>
  <si>
    <t>オークション &gt; その他 &gt; レンタル &gt; スポーツ、レジャー &gt; スキー、スノーボード</t>
  </si>
  <si>
    <t>秋田県</t>
  </si>
  <si>
    <t>0,26084,2084307720,2084307762,2084307767</t>
  </si>
  <si>
    <t>オークション &gt; 不動産 &gt; マンション &gt; 東北 &gt; 秋田県</t>
  </si>
  <si>
    <t>その他</t>
  </si>
  <si>
    <t>0,2084060731,2084060732,2084060737,2084060788</t>
  </si>
  <si>
    <t>オークション &gt; コミック、アニメグッズ &gt; コスプレ衣装 &gt; コミック、アニメ、ゲームキャラクター &gt; その他</t>
  </si>
  <si>
    <t>0,20060,2084062134,2084208670,2084311492</t>
  </si>
  <si>
    <t>メンズ</t>
  </si>
  <si>
    <t>オークション &gt; その他 &gt; レンタル &gt; ファッション &gt; メンズ</t>
  </si>
  <si>
    <t>0,26084,2084307720,2084307769,2084307770</t>
  </si>
  <si>
    <t>Nam</t>
  </si>
  <si>
    <t>ARIA</t>
  </si>
  <si>
    <t>オークション &gt; コミック、アニメグッズ &gt; 作品別 &gt; あ行 &gt; ARIA</t>
  </si>
  <si>
    <t>0,20060,2084000109,2084034199,2084309614</t>
  </si>
  <si>
    <t>山形県</t>
  </si>
  <si>
    <t>レディース</t>
  </si>
  <si>
    <t>オークション &gt; 不動産 &gt; マンション &gt; 東北 &gt; 山形県</t>
  </si>
  <si>
    <t>オークション &gt; その他 &gt; レンタル &gt; ファッション &gt; レディース</t>
  </si>
  <si>
    <t>0,2084060731,2084060732,2084060737,2084060789</t>
  </si>
  <si>
    <t>0,26084,2084307720,2084307769,2084307771</t>
  </si>
  <si>
    <t>Phụ nữ</t>
  </si>
  <si>
    <t>THE IDOLM@STER</t>
  </si>
  <si>
    <t>オークション &gt; コミック、アニメグッズ &gt; 作品別 &gt; あ行 &gt; THE IDOLM@STER</t>
  </si>
  <si>
    <t>0,20060,2084000109,2084034199,2084309612</t>
  </si>
  <si>
    <t>キッズ</t>
  </si>
  <si>
    <t>福島県</t>
  </si>
  <si>
    <t>オークション &gt; その他 &gt; レンタル &gt; ファッション &gt; キッズ</t>
  </si>
  <si>
    <t>ああっ女神さまっ</t>
  </si>
  <si>
    <t>オークション &gt; 不動産 &gt; マンション &gt; 東北 &gt; 福島県</t>
  </si>
  <si>
    <t>0,26084,2084307720,2084307769,2084307772</t>
  </si>
  <si>
    <t>オークション &gt; コミック、アニメグッズ &gt; 作品別 &gt; あ行 &gt; ああっ女神さまっ</t>
  </si>
  <si>
    <t>0,2084060731,2084060732,2084060737,2084060790</t>
  </si>
  <si>
    <t>0,20060,2084000109,2084034199,2084006260</t>
  </si>
  <si>
    <t>バッグ、スーツケース</t>
  </si>
  <si>
    <t>オークション &gt; その他 &gt; レンタル &gt; ファッション &gt; バッグ、スーツケース</t>
  </si>
  <si>
    <t>あしたのジョー</t>
  </si>
  <si>
    <t>0,26084,2084307720,2084307769,2084307774</t>
  </si>
  <si>
    <t>オークション &gt; コミック、アニメグッズ &gt; 作品別 &gt; あ行 &gt; あしたのジョー</t>
  </si>
  <si>
    <t>0,20060,2084000109,2084034199,2084034412</t>
  </si>
  <si>
    <t>オフィス、店舗</t>
  </si>
  <si>
    <t>オークション &gt; その他 &gt; レンタル &gt; スペース &gt; オフィス、店舗</t>
  </si>
  <si>
    <t>あずまんが大王</t>
  </si>
  <si>
    <t>0,26084,2084307720,2084307775,2084307776</t>
  </si>
  <si>
    <t>オークション &gt; コミック、アニメグッズ &gt; 作品別 &gt; あ行 &gt; あずまんが大王</t>
  </si>
  <si>
    <t>0,20060,2084000109,2084034199,2084034413</t>
  </si>
  <si>
    <t>会議室</t>
  </si>
  <si>
    <t>オークション &gt; その他 &gt; レンタル &gt; スペース &gt; 会議室</t>
  </si>
  <si>
    <t>0,26084,2084307720,2084307775,2084307777</t>
  </si>
  <si>
    <t>Phòng hội thảo</t>
  </si>
  <si>
    <t>東京都</t>
  </si>
  <si>
    <t>あらいぐまラスカル</t>
  </si>
  <si>
    <t>オークション &gt; 不動産 &gt; マンション &gt; 関東 &gt; 東京都</t>
  </si>
  <si>
    <t>オークション &gt; コミック、アニメグッズ &gt; 作品別 &gt; あ行 &gt; あらいぐまラスカル</t>
  </si>
  <si>
    <t>駐車場</t>
  </si>
  <si>
    <t>0,20060,2084000109,2084034199,2084034415</t>
  </si>
  <si>
    <t>0,2084060731,2084060732,2084060738,2084060791</t>
  </si>
  <si>
    <t>オークション &gt; その他 &gt; レンタル &gt; スペース &gt; 駐車場</t>
  </si>
  <si>
    <t>0,26084,2084307720,2084307775,2084307778</t>
  </si>
  <si>
    <t>Bãi đổ xe</t>
  </si>
  <si>
    <t>倉庫</t>
  </si>
  <si>
    <t>オークション &gt; その他 &gt; レンタル &gt; スペ</t>
  </si>
  <si>
    <t>神奈川県</t>
  </si>
  <si>
    <t>0,26084,2084307720,2084307775,2084307779</t>
  </si>
  <si>
    <t>Không gian</t>
  </si>
  <si>
    <t>オークション &gt; 不動産 &gt; マンション &gt; 関東 &gt; 神奈川県</t>
  </si>
  <si>
    <t>0,2084060731,2084060732,2084060738,2084060792</t>
  </si>
  <si>
    <t>うたの☆プリンスさまっ♪</t>
  </si>
  <si>
    <t>別荘</t>
  </si>
  <si>
    <t>オークション &gt; コミック、アニメグッズ &gt; 作品別 &gt; あ行 &gt; うたの☆プリンスさまっ♪</t>
  </si>
  <si>
    <t>オークション &gt; その他 &gt; レンタル &gt; 不動産 &gt; 別荘</t>
  </si>
  <si>
    <t>0,26084,2084307720,2084307780,2084307781</t>
  </si>
  <si>
    <t>0,20060,2084000109,2084034199,2084309611</t>
  </si>
  <si>
    <t>Biệt thự</t>
  </si>
  <si>
    <t>埼玉県</t>
  </si>
  <si>
    <t>オークション &gt; 不動産 &gt; マンション &gt; 関東 &gt; 埼玉県</t>
  </si>
  <si>
    <t>0,2084060731,2084060732,2084060738,2084060793</t>
  </si>
  <si>
    <t>持ち家</t>
  </si>
  <si>
    <t>オークション &gt; その他 &gt; レンタル &gt; 不動産 &gt; 持ち家</t>
  </si>
  <si>
    <t>0,26084,2084307720,2084307780,2084307782</t>
  </si>
  <si>
    <t>うる星やつら</t>
  </si>
  <si>
    <t>Quyền sở hữu nhà</t>
  </si>
  <si>
    <t>オークション &gt; コミック、アニメグッズ &gt; 作品別 &gt; あ行 &gt; うる星やつら</t>
  </si>
  <si>
    <t>千葉県</t>
  </si>
  <si>
    <t>0,20060,2084000109,2084034199,2084034421</t>
  </si>
  <si>
    <t>オークション &gt; 不動産 &gt; マンション &gt; 関東 &gt; 千葉県</t>
  </si>
  <si>
    <t>手品、パーティグッズ</t>
  </si>
  <si>
    <t>オークション &gt; その他 &gt; レンタル &gt; おもちゃ、ゲーム、コスプレ &gt; 手品、パーティグッズ</t>
  </si>
  <si>
    <t>0,2084060731,2084060732,2084060738,2084060794</t>
  </si>
  <si>
    <t>0,26084,2084307720,2084310199,2084310261</t>
  </si>
  <si>
    <t>Ảo thuật</t>
  </si>
  <si>
    <t>おじゃる丸</t>
  </si>
  <si>
    <t>おもちゃ</t>
  </si>
  <si>
    <t>オークション &gt; コミック、アニメグッズ &gt; 作品別 &gt; あ行 &gt; おじゃる丸</t>
  </si>
  <si>
    <t>茨城県</t>
  </si>
  <si>
    <t>オークション &gt; その他 &gt; レンタル &gt; おもちゃ、ゲーム、コスプレ &gt; おもちゃ</t>
  </si>
  <si>
    <t>0,20060,2084000109,2084034199,2084006263</t>
  </si>
  <si>
    <t>0,26084,2084307720,2084310199,2084307786</t>
  </si>
  <si>
    <t>オークション &gt; 不動産 &gt; マンション &gt; 関東 &gt; 茨城県</t>
  </si>
  <si>
    <t>Đồ chơi</t>
  </si>
  <si>
    <t>0,2084060731,2084060732,2084060738,2084060795</t>
  </si>
  <si>
    <t>ゲーム</t>
  </si>
  <si>
    <t>オークション &gt; その他 &gt; レンタル &gt; おもちゃ、ゲーム、コスプレ &gt; ゲーム</t>
  </si>
  <si>
    <t>0,26084,2084307720,2084310199,2084307787</t>
  </si>
  <si>
    <t>栃木県</t>
  </si>
  <si>
    <t>Trò chơi</t>
  </si>
  <si>
    <t>おそ松さん</t>
  </si>
  <si>
    <t>オークション &gt; 不動産 &gt; マンション &gt; 関東 &gt; 栃木県</t>
  </si>
  <si>
    <t>オークション &gt; コミック、アニメグッズ &gt; 作品別 &gt; あ行 &gt; おそ松さん</t>
  </si>
  <si>
    <t>0,2084060731,2084060732,2084060738,2084061323</t>
  </si>
  <si>
    <t>コスプレ</t>
  </si>
  <si>
    <t>0,20060,2084000109,2084034199,2084315984</t>
  </si>
  <si>
    <t>オークション &gt; その他 &gt; レンタル &gt; おもちゃ、ゲーム、コスプレ &gt; コスプレ</t>
  </si>
  <si>
    <t>0,26084,2084307720,2084310199,2084310200</t>
  </si>
  <si>
    <t>Cosplay</t>
  </si>
  <si>
    <t>群馬県</t>
  </si>
  <si>
    <t>厨房機器</t>
  </si>
  <si>
    <t>おジャ魔女どれみ</t>
  </si>
  <si>
    <t>オークション &gt; その他 &gt; レンタル &gt; 事務、店舗用品 &gt; 厨房機器</t>
  </si>
  <si>
    <t>0,26084,2084307720,2084307793,2084307794</t>
  </si>
  <si>
    <t>オークション &gt; コミック、アニメグッズ &gt; 作品別 &gt; あ行 &gt; おジャ魔女どれみ</t>
  </si>
  <si>
    <t>Thiết bị nhà bếp</t>
  </si>
  <si>
    <t>0,20060,2084000109,2084034199,2084034425</t>
  </si>
  <si>
    <t>オークション &gt; 不動産 &gt; マンション &gt; 関東 &gt; 群馬県</t>
  </si>
  <si>
    <t>0,2084060731,2084060732,2084060738,2084061324</t>
  </si>
  <si>
    <t>OA機器</t>
  </si>
  <si>
    <t>オークション &gt; その他 &gt; レンタル &gt; 事務、店舗用品 &gt; OA機器</t>
  </si>
  <si>
    <t>アールジュネス</t>
  </si>
  <si>
    <t>0,26084,2084307720,2084307793,2084307795</t>
  </si>
  <si>
    <t>Thiết bị OA</t>
  </si>
  <si>
    <t>山梨県</t>
  </si>
  <si>
    <t>オークション &gt; コミック、アニメグッズ &gt; 作品別 &gt; あ行 &gt; アールジュネス</t>
  </si>
  <si>
    <t>0,20060,2084000109,2084034199,2084309615</t>
  </si>
  <si>
    <t>オークション &gt; 不動産 &gt; マンション &gt; 関東 &gt; 山梨県</t>
  </si>
  <si>
    <t>0,2084060731,2084060732,2084060738,2084061325</t>
  </si>
  <si>
    <t>オフィス家具</t>
  </si>
  <si>
    <t>オークション &gt; その他 &gt; レンタル &gt; 事務、店舗用品 &gt; オフィス家具</t>
  </si>
  <si>
    <t>0,26084,2084307720,2084307793,2084307796</t>
  </si>
  <si>
    <t>Nội thất văn phòng</t>
  </si>
  <si>
    <t>アキハバラ電脳組</t>
  </si>
  <si>
    <t>オークション &gt; コミック、アニメグッズ &gt; 作品別 &gt; あ行 &gt; アキハバラ電脳組</t>
  </si>
  <si>
    <t>0,20060,2084000109,2084034199,2084034430</t>
  </si>
  <si>
    <t>ベビー用品</t>
  </si>
  <si>
    <t>オークション &gt; その他 &gt; レンタル &gt; 住まい、インテリア &gt; ベビー用品</t>
  </si>
  <si>
    <t>0,26084,2084307720,2084307797,2084307799</t>
  </si>
  <si>
    <t>Sản phẩm cho bé</t>
  </si>
  <si>
    <t>家具、インテリア</t>
  </si>
  <si>
    <t>新潟県</t>
  </si>
  <si>
    <t>オークション &gt; その他 &gt; レンタル &gt; 住まい、インテリア &gt; 家具、インテリア</t>
  </si>
  <si>
    <t>0,26084,2084307720,2084307797,2084307800</t>
  </si>
  <si>
    <t>アクセル・ワールド</t>
  </si>
  <si>
    <t>オークション &gt; 不動産 &gt; マンション &gt; 信越 &gt; 新潟県</t>
  </si>
  <si>
    <t>オークション &gt; コミック、アニメグッズ &gt; 作品別 &gt; あ行 &gt; アクセル・ワールド</t>
  </si>
  <si>
    <t>0,2084060731,2084060732,2084060739,2084060796</t>
  </si>
  <si>
    <t>0,20060,2084000109,2084034199,2084309616</t>
  </si>
  <si>
    <t>工具、DIY用品</t>
  </si>
  <si>
    <t>オークション &gt; その他 &gt; レンタル &gt; 住まい、インテリア &gt; 工具、DIY用品</t>
  </si>
  <si>
    <t>0,26084,2084307720,2084307797,2084307804</t>
  </si>
  <si>
    <t>アトム</t>
  </si>
  <si>
    <t>オークション &gt; コミック、アニメグッズ &gt; 作品別 &gt; あ行 &gt; アトム</t>
  </si>
  <si>
    <t>0,20060,2084000109,2084034199,2084035360</t>
  </si>
  <si>
    <t>季節、年中行事</t>
  </si>
  <si>
    <t>長野県</t>
  </si>
  <si>
    <t>オークション &gt; その他 &gt; レンタル &gt; 住まい、インテリア &gt; 季節、年中行事</t>
  </si>
  <si>
    <t>オークション &gt; 不動産 &gt; マンション &gt; 信越 &gt; 長野県</t>
  </si>
  <si>
    <t>0,26084,2084307720,2084307797,2084310198</t>
  </si>
  <si>
    <t>Tổ chức sự kiện</t>
  </si>
  <si>
    <t>0,2084060731,2084060732,2084060739,2084060797</t>
  </si>
  <si>
    <t>アンパンマン</t>
  </si>
  <si>
    <t>オークション &gt; コミック、アニメグッズ &gt; 作品別 &gt; あ行 &gt; アンパンマン</t>
  </si>
  <si>
    <t>0,20060,2084000109,2084034199,2084035108</t>
  </si>
  <si>
    <t>映像</t>
  </si>
  <si>
    <t>オークション &gt; その他 &gt; スキル、知識 &gt; コンテンツ制作 &gt; 映像</t>
  </si>
  <si>
    <t>富山県</t>
  </si>
  <si>
    <t>オークション &gt; 不動産 &gt; マンション &gt; 北陸 &gt; 富山県</t>
  </si>
  <si>
    <t>0,26084,2084307721,2084307729,2084307730</t>
  </si>
  <si>
    <t>Video</t>
  </si>
  <si>
    <t>0,2084060731,2084060732,2084060740,2084060798</t>
  </si>
  <si>
    <t>イカ娘</t>
  </si>
  <si>
    <t>オークション &gt; コミック、アニメグッズ &gt; 作品別 &gt; あ行 &gt; イカ娘</t>
  </si>
  <si>
    <t>0,20060,2084000109,2084034199,2084309617</t>
  </si>
  <si>
    <t>写真</t>
  </si>
  <si>
    <t>オークション &gt; その他 &gt; スキル、知識 &gt; コンテンツ制作 &gt; 写真</t>
  </si>
  <si>
    <t>0,26084,2084307721,2084307729,2084307731</t>
  </si>
  <si>
    <t>石川県</t>
  </si>
  <si>
    <t>Ảnh</t>
  </si>
  <si>
    <t>オークション &gt; 不動産 &gt; マンション &gt; 北陸 &gt; 石川県</t>
  </si>
  <si>
    <t>イナズマイレブン</t>
  </si>
  <si>
    <t>0,2084060731,2084060732,2084060740,2084060799</t>
  </si>
  <si>
    <t>オークション &gt; コミック、アニメグッズ &gt; 作品別 &gt; あ行 &gt; イナズマイレブン</t>
  </si>
  <si>
    <t>ナレーション、声優</t>
  </si>
  <si>
    <t>0,20060,2084000109,2084034199,2084309613</t>
  </si>
  <si>
    <t>オークション &gt; その他 &gt; スキル、知識 &gt; コンテンツ制作 &gt; ナレーション、声優</t>
  </si>
  <si>
    <t>0,26084,2084307721,2084307729,2084307732</t>
  </si>
  <si>
    <t>Dịch thuật, phiên dịch</t>
  </si>
  <si>
    <t>福井県</t>
  </si>
  <si>
    <t>オークション &gt; 不動産 &gt; マンション &gt; 北陸 &gt; 福井県</t>
  </si>
  <si>
    <t>ウェディングピーチ</t>
  </si>
  <si>
    <t>0,2084060731,2084060732,2084060740,2084060800</t>
  </si>
  <si>
    <t>オークション &gt; コミック、アニメグッズ &gt; 作品別 &gt; あ行 &gt; ウェディングピーチ</t>
  </si>
  <si>
    <t>翻訳、通訳</t>
  </si>
  <si>
    <t>0,20060,2084000109,2084034199,2084046965</t>
  </si>
  <si>
    <t>オークション &gt; その他 &gt; スキル、知識 &gt; コンテンツ制作 &gt; 翻訳、通訳</t>
  </si>
  <si>
    <t>0,26084,2084307721,2084307729,2084307733</t>
  </si>
  <si>
    <t>Phiên dịch</t>
  </si>
  <si>
    <t>愛知県</t>
  </si>
  <si>
    <t>オークション &gt; 不動産 &gt; マンション &gt; 東海 &gt; 愛知県</t>
  </si>
  <si>
    <t>エヴァンゲリオン</t>
  </si>
  <si>
    <t>0,2084060731,2084060732,2084060741,2084060801</t>
  </si>
  <si>
    <t>オークション &gt; コミック、アニメグッズ &gt; 作品別 &gt; あ行 &gt; エヴァンゲリオン</t>
  </si>
  <si>
    <t>レコーディング、音楽制作</t>
  </si>
  <si>
    <t>0,20060,2084000109,2084034199,2084005072</t>
  </si>
  <si>
    <t>オークション &gt; その他 &gt; スキル、知識 &gt; コンテンツ制作 &gt; レコーディング、音楽制作</t>
  </si>
  <si>
    <t>0,26084,2084307721,2084307729,2084307734</t>
  </si>
  <si>
    <t>Ghi âm, sản xuất âm nhạc</t>
  </si>
  <si>
    <t>イラスト、アート</t>
  </si>
  <si>
    <t>岐阜県</t>
  </si>
  <si>
    <t>ヴァイスクロイツ</t>
  </si>
  <si>
    <t>オークション &gt; その他 &gt; スキル、知識 &gt; コンテンツ制作 &gt; イラスト、アート</t>
  </si>
  <si>
    <t>オークション &gt; 不動産 &gt; マンション &gt; 東海 &gt; 岐阜県</t>
  </si>
  <si>
    <t>0,26084,2084307721,2084307729,2084307735</t>
  </si>
  <si>
    <t>0,2084060731,2084060732,2084060741,2084060802</t>
  </si>
  <si>
    <t>オークション &gt; コミック、アニメグッズ &gt; 作品別 &gt; あ行 &gt; ヴァイスクロイツ</t>
  </si>
  <si>
    <t>0,20060,2084000109,2084034199,2084044310</t>
  </si>
  <si>
    <t>インターネット</t>
  </si>
  <si>
    <t>静岡県</t>
  </si>
  <si>
    <t>オークション &gt; その他 &gt; スキル、知識 &gt; コンテンツ制作 &gt; インターネット</t>
  </si>
  <si>
    <t>オークション &gt; 不動産 &gt; マンション &gt; 東海 &gt; 静岡県</t>
  </si>
  <si>
    <t>0,26084,2084307721,2084307729,2084310201</t>
  </si>
  <si>
    <t>Mạng</t>
  </si>
  <si>
    <t>0,2084060731,2084060732,2084060741,2084060803</t>
  </si>
  <si>
    <t>宇宙戦艦ヤマト</t>
  </si>
  <si>
    <t>オークション &gt; コミック、アニメグッズ &gt; 作品別 &gt; あ行 &gt; 宇宙戦艦ヤマト</t>
  </si>
  <si>
    <t>楽器、音楽</t>
  </si>
  <si>
    <t>0,20060,2084000109,2084034199,2084034419</t>
  </si>
  <si>
    <t>オークション &gt; その他 &gt; スキル、知識 &gt; 学習、レッスン &gt; 楽器、音楽</t>
  </si>
  <si>
    <t>0,26084,2084307721,2084307740,2084307743</t>
  </si>
  <si>
    <t>三重県</t>
  </si>
  <si>
    <t>Nhạc cụ, âm nhạc</t>
  </si>
  <si>
    <t>オークション &gt; 不動産 &gt; マンション &gt; 東海 &gt; 三重県</t>
  </si>
  <si>
    <t>0,2084060731,2084060732,2084060741,2084060804</t>
  </si>
  <si>
    <t>趣味、スポーツ</t>
  </si>
  <si>
    <t>犬夜叉</t>
  </si>
  <si>
    <t>オークション &gt; その他 &gt; スキル、知識 &gt; 学習、レッスン &gt; 趣味、スポーツ</t>
  </si>
  <si>
    <t>大阪府</t>
  </si>
  <si>
    <t>オークション &gt; コミック、アニメグッズ &gt; 作品別 &gt; あ行 &gt; 犬夜叉</t>
  </si>
  <si>
    <t>0,26084,2084307721,2084307740,2084307745</t>
  </si>
  <si>
    <t>オークション &gt; 不動産 &gt; マンション &gt; 近畿 &gt; 大阪府</t>
  </si>
  <si>
    <t>0,2084060731,2084060732,2084060742,2084060805</t>
  </si>
  <si>
    <t>0,20060,2084000109,2084034199,2084034418</t>
  </si>
  <si>
    <t>エステ</t>
  </si>
  <si>
    <t>兵庫県</t>
  </si>
  <si>
    <t>オークション &gt; 不動産 &gt; マンション &gt; 近畿 &gt; 兵庫県</t>
  </si>
  <si>
    <t>オークション &gt; その他 &gt; スキル、知識 &gt; 学習、レッスン &gt; エステ</t>
  </si>
  <si>
    <t>0,2084060731,2084060732,2084060742,2084060806</t>
  </si>
  <si>
    <t>0,26084,2084307721,2084307740,2084310202</t>
  </si>
  <si>
    <t>聖戦士ダンバイン</t>
  </si>
  <si>
    <t>オークション &gt; コミック、アニメグッズ &gt; 作品別 &gt; あ行 &gt; 聖戦士ダンバイン</t>
  </si>
  <si>
    <t>0,20060,2084000109,2084034199,2084034424</t>
  </si>
  <si>
    <t>京都府</t>
  </si>
  <si>
    <t>料理</t>
  </si>
  <si>
    <t>オークション &gt; その他 &gt; スキル、知識 &gt; 学習、レッスン &gt; 料理</t>
  </si>
  <si>
    <t>オークション &gt; 不動産 &gt; マンション &gt; 近畿 &gt; 京都府</t>
  </si>
  <si>
    <t>0,26084,2084307721,2084307740,2084310203</t>
  </si>
  <si>
    <t>0,2084060731,2084060732,2084060742,2084060807</t>
  </si>
  <si>
    <t>Nấu ăn</t>
  </si>
  <si>
    <t>学習</t>
  </si>
  <si>
    <t>赤ずきん チャチャ</t>
  </si>
  <si>
    <t>滋賀県</t>
  </si>
  <si>
    <t>オークション &gt; その他 &gt; スキル、知識 &gt; 学習、レッスン &gt; 学習</t>
  </si>
  <si>
    <t>オークション &gt; 不動産 &gt; マンション &gt; 近畿 &gt; 滋賀県</t>
  </si>
  <si>
    <t>オークション &gt; コミック、アニメグッズ &gt; 作品別 &gt; あ行 &gt; 赤ずきん チャチャ</t>
  </si>
  <si>
    <t>0,26084,2084307721,2084307740,2084310204</t>
  </si>
  <si>
    <t>Học tập</t>
  </si>
  <si>
    <t>0,20060,2084000109,2084034199,2084034429</t>
  </si>
  <si>
    <t>0,2084060731,2084060732,2084060742,2084060808</t>
  </si>
  <si>
    <t>歌手、演奏</t>
  </si>
  <si>
    <t>オークション &gt; その他 &gt; スキル、知識 &gt; エンタメ &gt; 歌手、演奏</t>
  </si>
  <si>
    <t>0,26084,2084307721,2084307746,2084307747</t>
  </si>
  <si>
    <t>赤毛のアン</t>
  </si>
  <si>
    <t>奈良県</t>
  </si>
  <si>
    <t>司会</t>
  </si>
  <si>
    <t>オークション &gt; コミック、アニメグッズ &gt; 作品別 &gt; あ行 &gt; 赤毛のアン</t>
  </si>
  <si>
    <t>オークション &gt; その他 &gt; スキル、知識 &gt; エンタメ &gt; 司会</t>
  </si>
  <si>
    <t>オークション &gt; 不動産 &gt; マンション &gt; 近畿 &gt; 奈良県</t>
  </si>
  <si>
    <t>0,26084,2084307721,2084307746,2084307748</t>
  </si>
  <si>
    <t>0,20060,2084000109,2084034199,2084034428</t>
  </si>
  <si>
    <t>Chức chủ tịch</t>
  </si>
  <si>
    <t>0,2084060731,2084060732,2084060742,2084060809</t>
  </si>
  <si>
    <t>パフォーマー</t>
  </si>
  <si>
    <t>オークション &gt; その他 &gt; スキル、知識 &gt; エンタメ &gt; パフォーマー</t>
  </si>
  <si>
    <t>蒼き流星 SPT レイズナー</t>
  </si>
  <si>
    <t>0,26084,2084307721,2084307746,2084307749</t>
  </si>
  <si>
    <t>Biểu diễn</t>
  </si>
  <si>
    <t>和歌山県</t>
  </si>
  <si>
    <t>オークション &gt; コミック、アニメグッズ &gt; 作品別 &gt; あ行 &gt; 蒼き流星 SPT レイズナー</t>
  </si>
  <si>
    <t>0,20060,2084000109,2084034199,2084034426</t>
  </si>
  <si>
    <t>オークション &gt; 不動産 &gt; マンション &gt; 近畿 &gt; 和歌山県</t>
  </si>
  <si>
    <t>お笑い、タレント</t>
  </si>
  <si>
    <t>オークション &gt; その他 &gt; スキル、知識 &gt; エンタメ &gt; お笑い、タレント</t>
  </si>
  <si>
    <t>0,2084060731,2084060732,2084060742,208406081</t>
  </si>
  <si>
    <t>0,26084,2084307721,2084307746,2084307750</t>
  </si>
  <si>
    <t>頭文字D</t>
  </si>
  <si>
    <t>オークション &gt; コミック、アニメグッズ &gt; 作品別 &gt; あ行 &gt; 頭文字D</t>
  </si>
  <si>
    <t>鳥取県</t>
  </si>
  <si>
    <t>0,20060,2084000109,2084034199,2084034417</t>
  </si>
  <si>
    <t>オークション &gt; 不動産 &gt; マンション &gt; 中国 &gt; 鳥取県</t>
  </si>
  <si>
    <t>0,2084060731,2084060732,2084060743,2084060811</t>
  </si>
  <si>
    <t>イベント、講演</t>
  </si>
  <si>
    <t>オークション &gt; その他 &gt; スキル、知識 &gt; エンタメ &gt; イベント、講演</t>
  </si>
  <si>
    <t>0,26084,2084307721,2084307746,2084307751</t>
  </si>
  <si>
    <t>CLANNAD</t>
  </si>
  <si>
    <t>オークション &gt; コミック、アニメグッズ &gt; 作品別 &gt; か行 &gt; CLANNAD</t>
  </si>
  <si>
    <t>島根県</t>
  </si>
  <si>
    <t>0,20060,2084000109,2084037042,2084309624</t>
  </si>
  <si>
    <t>ファッションコーディネート</t>
  </si>
  <si>
    <t>オークション &gt; 不動産 &gt; マンション &gt; 中国 &gt; 島根県</t>
  </si>
  <si>
    <t>オークション &gt; その他 &gt; スキル、知識 &gt; 代行 &gt; ファッションコーディネート</t>
  </si>
  <si>
    <t>0,26084,2084307721,2084307757,2084307758</t>
  </si>
  <si>
    <t>Điêù phối thời trang</t>
  </si>
  <si>
    <t>きまぐれオレンジ★ロード</t>
  </si>
  <si>
    <t>0,2084060731,2084060732,2084060743,2084060812</t>
  </si>
  <si>
    <t>オークション &gt; コミック、アニメグッズ &gt; 作品別 &gt; か行 &gt; きまぐれオレンジ★ロード</t>
  </si>
  <si>
    <t>家事代行</t>
  </si>
  <si>
    <t>オークション &gt; その他 &gt; スキル、知識 &gt; 代行 &gt; 家事代行</t>
  </si>
  <si>
    <t>0,20060,2084000109,2084037042,2084034734</t>
  </si>
  <si>
    <t>0,26084,2084307721,2084307757,2084307838</t>
  </si>
  <si>
    <t>Vệ sinh</t>
  </si>
  <si>
    <t>着付け</t>
  </si>
  <si>
    <t>岡山県</t>
  </si>
  <si>
    <t>けいおん！</t>
  </si>
  <si>
    <t>オークション &gt; その他 &gt; スキル、知識 &gt; 代行 &gt; 着付け</t>
  </si>
  <si>
    <t>オークション &gt; 不動産 &gt; マンション &gt; 中国 &gt; 岡山県</t>
  </si>
  <si>
    <t>オークション &gt; コミック、アニメグッズ &gt; 作品別 &gt; か行 &gt; けいおん！</t>
  </si>
  <si>
    <t>0,26084,2084307721,2084307757,2084307760</t>
  </si>
  <si>
    <t>0,2084060731,2084060732,2084060743,2084060813</t>
  </si>
  <si>
    <t>0,20060,2084000109,2084037042,2084286824</t>
  </si>
  <si>
    <t>Thay đồ</t>
  </si>
  <si>
    <t>国内商品購入代行</t>
  </si>
  <si>
    <t>オークション &gt; その他 &gt; スキル、知識 &gt; 代行 &gt; 国内商品購入代行</t>
  </si>
  <si>
    <t>こちら葛飾区亀有公園前派出所</t>
  </si>
  <si>
    <t>0,26084,2084307721,2084307757,2084307759</t>
  </si>
  <si>
    <t>Đại lý mua trong nước</t>
  </si>
  <si>
    <t>広島県</t>
  </si>
  <si>
    <t>オークション &gt; コミック、アニメグッズ &gt; 作品別 &gt; か行 &gt; こちら葛飾区亀有公園前派出所</t>
  </si>
  <si>
    <t>オークション &gt; 不動産 &gt; マンション &gt; 中国 &gt; 広島県</t>
  </si>
  <si>
    <t>0,20060,2084000109,2084037042,2084034755</t>
  </si>
  <si>
    <t>0,2084060731,2084060732,2084060743,2084060814</t>
  </si>
  <si>
    <t>海外商品購入代行</t>
  </si>
  <si>
    <t>オークション &gt; その他 &gt; スキル、知識 &gt; 代行 &gt; 海外商品購入代行</t>
  </si>
  <si>
    <t>0,26084,2084307721,2084307757,2084316144</t>
  </si>
  <si>
    <t>カードキャプターさくら</t>
  </si>
  <si>
    <t>山口県</t>
  </si>
  <si>
    <t>オークション &gt; コミック、アニメグッズ &gt; 作品別 &gt; か行 &gt; カードキャプターさくら</t>
  </si>
  <si>
    <t>オークション &gt; 不動産 &gt; マンション &gt; 中国 &gt; 山口県</t>
  </si>
  <si>
    <t>0,20060,2084000109,2084037042,2084006269</t>
  </si>
  <si>
    <t>0,2084060731,2084060732,2084060743,2084060815</t>
  </si>
  <si>
    <t>結婚式</t>
  </si>
  <si>
    <t>オークション &gt; その他 &gt; スキル、知識 &gt; 相談 &gt; 結婚式</t>
  </si>
  <si>
    <t>0,26084,2084307721,2084310205,2084310206</t>
  </si>
  <si>
    <t>Kết hôn</t>
  </si>
  <si>
    <t>カウボーイビバップ</t>
  </si>
  <si>
    <t>徳島県</t>
  </si>
  <si>
    <t>オークション &gt; コミック、アニメグッズ &gt; 作品別 &gt; か行 &gt; カウボーイビバップ</t>
  </si>
  <si>
    <t>子育て</t>
  </si>
  <si>
    <t>オークション &gt; 不動産 &gt; マンション &gt; 四国 &gt; 徳島県</t>
  </si>
  <si>
    <t>0,20060,2084000109,2084037042,2084034722</t>
  </si>
  <si>
    <t>オークション &gt; その他 &gt; スキル、知識 &gt; 相談 &gt; 子育て</t>
  </si>
  <si>
    <t>0,2084060731,2084060732,2084060744,2084060816</t>
  </si>
  <si>
    <t>0,26084,2084307721,2084310205,2084310207</t>
  </si>
  <si>
    <t>ガオガイガー</t>
  </si>
  <si>
    <t>オークション &gt; コミック、アニメグッズ &gt; 作品別 &gt; か行 &gt; ガオガイガー</t>
  </si>
  <si>
    <t>香川県</t>
  </si>
  <si>
    <t>0,20060,2084000109,2084037042,2084036027</t>
  </si>
  <si>
    <t>オークション &gt; 不動産 &gt; マンション &gt; 四国 &gt; 香川県</t>
  </si>
  <si>
    <t>税理士</t>
  </si>
  <si>
    <t>オークション &gt; その他 &gt; スキル、知識 &gt; 相談 &gt; 税理士</t>
  </si>
  <si>
    <t>0,2084060731,2084060732,2084060744,2084060817</t>
  </si>
  <si>
    <t>0,26084,2084307721,2084310205,2084310208</t>
  </si>
  <si>
    <t>ガサラキ</t>
  </si>
  <si>
    <t>オークション &gt; コミック、アニメグッズ &gt; 作品別 &gt; か行 &gt; ガサラキ</t>
  </si>
  <si>
    <t>愛媛県</t>
  </si>
  <si>
    <t>0,20060,2084000109,2084037042,2084034724</t>
  </si>
  <si>
    <t>オークション &gt; 不動産 &gt; マンション &gt; 四国 &gt; 愛媛県</t>
  </si>
  <si>
    <t>司法書士</t>
  </si>
  <si>
    <t>オークション &gt; その他 &gt; スキル、知識 &gt; 相談 &gt; 司法書士</t>
  </si>
  <si>
    <t>0,2084060731,2084060732,2084060744,2084060818</t>
  </si>
  <si>
    <t>ガルフォース</t>
  </si>
  <si>
    <t>0,26084,2084307721,2084310205,2084310209</t>
  </si>
  <si>
    <t>オークション &gt; コミック、アニメグッズ &gt; 作品別 &gt; か行 &gt; ガルフォース</t>
  </si>
  <si>
    <t>0,20060,2084000109,2084037042,2084034728</t>
  </si>
  <si>
    <t>高知県</t>
  </si>
  <si>
    <t>オークション &gt; 不動産 &gt; マンション &gt; 四国 &gt; 高知県</t>
  </si>
  <si>
    <t>0,2084060731,2084060732,2084060744,2084060819</t>
  </si>
  <si>
    <t>ガンダム</t>
  </si>
  <si>
    <t>オークション &gt; コミック、アニメグッズ &gt; 作品別 &gt; か行 &gt; ガンダム</t>
  </si>
  <si>
    <t>弁護士</t>
  </si>
  <si>
    <t>0,20060,2084000109,2084037042,2084005073</t>
  </si>
  <si>
    <t>オークション &gt; その他 &gt; スキル、知識 &gt; 相談 &gt; 弁護士</t>
  </si>
  <si>
    <t>福岡県</t>
  </si>
  <si>
    <t>0,26084,2084307721,2084310205,2084310210</t>
  </si>
  <si>
    <t>オークション &gt; 不動産 &gt; マンション &gt; 九州 &gt; 福岡県</t>
  </si>
  <si>
    <t>0,2084060731,2084060732,2084060745,2084060820</t>
  </si>
  <si>
    <t>キャプテン・ハーロック</t>
  </si>
  <si>
    <t>オークション &gt; コミック、アニメグッズ &gt; 作品別 &gt; か行 &gt; キャプテン・ハーロック</t>
  </si>
  <si>
    <t>社労士</t>
  </si>
  <si>
    <t>0,20060,2084000109,2084037042,2084034735</t>
  </si>
  <si>
    <t>オークション &gt; その他 &gt; スキル、知識 &gt; 相談 &gt; 社労士</t>
  </si>
  <si>
    <t>佐賀県</t>
  </si>
  <si>
    <t>0,26084,2084307721,2084310205,2084310211</t>
  </si>
  <si>
    <t>オークション &gt; 不動産 &gt; マンション &gt; 九州 &gt; 佐賀県</t>
  </si>
  <si>
    <t>0,2084060731,2084060732,2084060745,2084060821</t>
  </si>
  <si>
    <t>行政書士</t>
  </si>
  <si>
    <t>オークション &gt; その他 &gt; スキル、知識 &gt; 相談 &gt; 行政書士</t>
  </si>
  <si>
    <t>長崎県</t>
  </si>
  <si>
    <t>0,26084,2084307721,2084310205,2084310212</t>
  </si>
  <si>
    <t>キャプテン翼</t>
  </si>
  <si>
    <t>オークション &gt; 不動産 &gt; マンション &gt; 九州 &gt; 長崎県</t>
  </si>
  <si>
    <t>オークション &gt; コミック、アニメグッズ &gt; 作品別 &gt; か行 &gt; キャプテン翼</t>
  </si>
  <si>
    <t>0,2084060731,2084060732,2084060745,2084060822</t>
  </si>
  <si>
    <t>0,20060,2084000109,2084037042,2084034736</t>
  </si>
  <si>
    <t>ETC取付</t>
  </si>
  <si>
    <t>オークション &gt; その他 &gt; 修理、取り付け &gt; 自動車、オートバイ &gt; ETC取付</t>
  </si>
  <si>
    <t>0,26084,2084214140,2084214141,2084214144</t>
  </si>
  <si>
    <t>熊本県</t>
  </si>
  <si>
    <t>オークション &gt; 不動産 &gt; マンション &gt; 九州 &gt; 熊本県</t>
  </si>
  <si>
    <t>0,2084060731,2084060732,2084060745,2084060823</t>
  </si>
  <si>
    <t>キャンディキャンディ</t>
  </si>
  <si>
    <t>カーオーディオ取付</t>
  </si>
  <si>
    <t>オークション &gt; その他 &gt; 修理、取り付け &gt; 自動車、オートバイ &gt; カーオーディオ取付</t>
  </si>
  <si>
    <t>0,26084,2084214140,2084214141,2084214143</t>
  </si>
  <si>
    <t>オークション &gt; コミック、アニメグッズ &gt; 作品別 &gt; か行 &gt; キャンディキャンディ</t>
  </si>
  <si>
    <t>大分県</t>
  </si>
  <si>
    <t>0,20060,2084000109,2084037042,2084044213</t>
  </si>
  <si>
    <t>オークション &gt; 不動産 &gt; マンション &gt; 九州 &gt; 大分県</t>
  </si>
  <si>
    <t>0,2084060731,2084060732,2084060745,2084060824</t>
  </si>
  <si>
    <t>カーナビゲーション取付</t>
  </si>
  <si>
    <t>オークション &gt; その他 &gt; 修理、取り付け &gt; 自動車、オートバイ &gt; カーナビゲーション取付</t>
  </si>
  <si>
    <t>0,26084,2084214140,2084214141,2084214142</t>
  </si>
  <si>
    <t>宮崎県</t>
  </si>
  <si>
    <t>キューティーハニー</t>
  </si>
  <si>
    <t>オークション &gt; 不動産 &gt; マンション &gt; 九州 &gt; 宮崎県</t>
  </si>
  <si>
    <t>オークション &gt; コミック、アニメグッズ &gt; 作品別 &gt; か行 &gt; キューティーハニー</t>
  </si>
  <si>
    <t>0,2084060731,2084060732,2084060745,2084060825</t>
  </si>
  <si>
    <t>0,20060,2084000109,2084037042,2084034739</t>
  </si>
  <si>
    <t>鹿児島県</t>
  </si>
  <si>
    <t>オークション &gt; 不動産 &gt; マンション &gt; 九州 &gt; 鹿児島県</t>
  </si>
  <si>
    <t>キン肉マン</t>
  </si>
  <si>
    <t>0,2084060731,2084060732,2084060745,2084060826</t>
  </si>
  <si>
    <t>オークション &gt; コミック、アニメグッズ &gt; 作品別 &gt; か行 &gt; キン肉マン</t>
  </si>
  <si>
    <t>0,20060,2084000109,2084037042,2084034745</t>
  </si>
  <si>
    <t>クラッシャージョウ</t>
  </si>
  <si>
    <t>オークション &gt; 不動産 &gt; 一戸建て &gt; 東北 &gt; 青森県</t>
  </si>
  <si>
    <t>オークション &gt; コミック、アニメグッズ &gt; 作品別 &gt; か行 &gt; クラッシャージョウ</t>
  </si>
  <si>
    <t>0,20060,2084000109,2084037042,2084044303</t>
  </si>
  <si>
    <t>0,2084060731,2084060733,2084060749,2084060827</t>
  </si>
  <si>
    <t>クリィミーマミ</t>
  </si>
  <si>
    <t>オークション &gt; コミック、アニメグッズ &gt; 作品別 &gt; か行 &gt; クリィミーマミ</t>
  </si>
  <si>
    <t>0,20060,2084000109,2084037042,2084035911</t>
  </si>
  <si>
    <t>オークション &gt; 不動産 &gt; 一戸建て &gt; 東北 &gt; 岩手県</t>
  </si>
  <si>
    <t>クレヨンしんちゃん</t>
  </si>
  <si>
    <t>オークション &gt; コミック、アニメグッズ &gt; 作品別 &gt; か行 &gt; クレヨンしんちゃん</t>
  </si>
  <si>
    <t>0,2084060731,2084060733,2084060749,2084060828</t>
  </si>
  <si>
    <t>0,20060,2084000109,2084037042,2084034747</t>
  </si>
  <si>
    <t>グラップラー刃牙</t>
  </si>
  <si>
    <t>オークション &gt; コミック、アニメグッズ &gt; 作品別 &gt; か行 &gt; グラップラー刃牙</t>
  </si>
  <si>
    <t>オークション &gt; 不動産 &gt; 一戸建て &gt; 東北 &gt; 宮城県</t>
  </si>
  <si>
    <t>0,20060,2084000109,2084037042,2084044159</t>
  </si>
  <si>
    <t>0,2084060731,2084060733,2084060749,2084060829</t>
  </si>
  <si>
    <t>ゲゲゲの鬼太郎</t>
  </si>
  <si>
    <t>オークション &gt; コミック、アニメグッズ &gt; 作品別 &gt; か行 &gt; ゲゲゲの鬼太郎</t>
  </si>
  <si>
    <t>オークション &gt; 不動産 &gt; 一戸建て &gt; 東北 &gt; 秋田県</t>
  </si>
  <si>
    <t>0,20060,2084000109,2084037042,2084034748</t>
  </si>
  <si>
    <t>0,2084060731,2084060733,2084060749,2084060830</t>
  </si>
  <si>
    <t>ゲッターロボ</t>
  </si>
  <si>
    <t>オークション &gt; コミック、アニメグッズ &gt; 作品別 &gt; か行 &gt; ゲッターロボ</t>
  </si>
  <si>
    <t>0,20060,2084000109,2084037042,2084034749</t>
  </si>
  <si>
    <t>オークション &gt; 不動産 &gt; 一戸建て &gt; 東北 &gt; 山形県</t>
  </si>
  <si>
    <t>0,2084060731,2084060733,2084060749,2084060831</t>
  </si>
  <si>
    <t>ココロコネクト</t>
  </si>
  <si>
    <t>オークション &gt; コミック、アニメグッズ &gt; 作品別 &gt; か行 &gt; ココロコネクト</t>
  </si>
  <si>
    <t>0,20060,2084000109,2084037042,2084309621</t>
  </si>
  <si>
    <t>オークション &gt; 不動産 &gt; 一戸建て &gt; 東北 &gt; 福島県</t>
  </si>
  <si>
    <t>0,2084060731,2084060733,2084060749,2084060832</t>
  </si>
  <si>
    <t>ゴッドマーズ</t>
  </si>
  <si>
    <t>オークション &gt; コミック、アニメグッズ &gt; 作品別 &gt; か行 &gt; ゴッドマーズ</t>
  </si>
  <si>
    <t>オークション &gt; 不動産 &gt; 一戸建て &gt; 関東 &gt; 東京都</t>
  </si>
  <si>
    <t>0,20060,2084000109,2084037042,2084036119</t>
  </si>
  <si>
    <t>0,2084060731,2084060733,2084060750,2084060833</t>
  </si>
  <si>
    <t>ゴルゴ13</t>
  </si>
  <si>
    <t>オークション &gt; コミック、アニメグッズ &gt; 作品別 &gt; か行 &gt; ゴルゴ13</t>
  </si>
  <si>
    <t>オークション &gt; 不動産 &gt; 一戸建て &gt; 関東 &gt; 神奈川県</t>
  </si>
  <si>
    <t>0,2084060731,2084060733,2084060750,2084060834</t>
  </si>
  <si>
    <t>0,20060,2084000109,2084037042,2084034757</t>
  </si>
  <si>
    <t>科学忍者隊ガッチャマン</t>
  </si>
  <si>
    <t>オークション &gt; 不動産 &gt; 一戸建て &gt; 関東 &gt; 埼玉県</t>
  </si>
  <si>
    <t>オークション &gt; コミック、アニメグッズ &gt; 作品別 &gt; か行 &gt; 科学忍者隊ガッチャマン</t>
  </si>
  <si>
    <t>0,2084060731,2084060733,2084060750,2084060835</t>
  </si>
  <si>
    <t>0,20060,2084000109,2084037042,2084034723</t>
  </si>
  <si>
    <t>オークション &gt; 不動産 &gt; 一戸建て &gt; 関東 &gt; 千葉県</t>
  </si>
  <si>
    <t>餓狼伝説</t>
  </si>
  <si>
    <t>0,2084060731,2084060733,2084060750,2084060836</t>
  </si>
  <si>
    <t>オークション &gt; コミック、アニメグッズ &gt; 作品別 &gt; か行 &gt; 餓狼伝説</t>
  </si>
  <si>
    <t>0,20060,2084000109,2084037042,2084309619</t>
  </si>
  <si>
    <t>オークション &gt; 不動産 &gt; 一戸建て &gt; 関東 &gt; 茨城県</t>
  </si>
  <si>
    <t>0,2084060731,2084060733,2084060750,2084060837</t>
  </si>
  <si>
    <t>怪盗 セイント・テール</t>
  </si>
  <si>
    <t>オークション &gt; コミック、アニメグッズ &gt; 作品別 &gt; か行 &gt; 怪盗 セイント・テール</t>
  </si>
  <si>
    <t>0,20060,2084000109,2084037042,2084034721</t>
  </si>
  <si>
    <t>オークション &gt; 不動産 &gt; 一戸建て &gt; 関東 &gt; 栃木県</t>
  </si>
  <si>
    <t>0,2084060731,2084060733,2084060750,2084061326</t>
  </si>
  <si>
    <t>機動警察パトレイバー</t>
  </si>
  <si>
    <t>あ行</t>
  </si>
  <si>
    <t>オークション &gt; コミック、アニメグッズ &gt; 作品別 &gt; か行 &gt; 機動警察パトレイバー</t>
  </si>
  <si>
    <t>オークション &gt; タレントグッズ &gt; 人、グループ別 &gt; ミュージシャン &gt; あ行</t>
  </si>
  <si>
    <t>0,20060,2084000109,2084037042,2084034733</t>
  </si>
  <si>
    <t>0,2084032594,2084047071,2084024931,2084054970</t>
  </si>
  <si>
    <t>オークション &gt; 不動産 &gt; 一戸建て &gt; 関東 &gt; 群馬県</t>
  </si>
  <si>
    <t>0,2084060731,2084060733,2084060750,2084061327</t>
  </si>
  <si>
    <t>機動戦艦ナデシコ</t>
  </si>
  <si>
    <t>か行</t>
  </si>
  <si>
    <t>オークション &gt; コミック、アニメグッズ &gt; 作品別 &gt; か行 &gt; 機動戦艦ナデシコ</t>
  </si>
  <si>
    <t>オークション &gt; タレントグッズ &gt; 人、グループ別 &gt; ミュージシャン &gt; か行</t>
  </si>
  <si>
    <t>0,20060,2084000109,2084037042,2084006278</t>
  </si>
  <si>
    <t>0,2084032594,2084047071,2084024931,2084054971</t>
  </si>
  <si>
    <t>オークション &gt; 不動産 &gt; 一戸建て &gt; 関東 &gt; 山梨県</t>
  </si>
  <si>
    <t>0,2084060731,2084060733,2084060750,2084061328</t>
  </si>
  <si>
    <t>吸血姫美夕</t>
  </si>
  <si>
    <t>さ行</t>
  </si>
  <si>
    <t>オークション &gt; コミック、アニメグッズ &gt; 作品別 &gt; か行 &gt; 吸血姫美夕</t>
  </si>
  <si>
    <t>オークション &gt; タレントグッズ &gt; 人、グループ別 &gt; ミュージシャン &gt; さ行</t>
  </si>
  <si>
    <t>0,20060,2084000109,2084037042,2084034738</t>
  </si>
  <si>
    <t>0,2084032594,2084047071,2084024931,2084054972</t>
  </si>
  <si>
    <t>オークション &gt; 不動産 &gt; 一戸建て &gt; 信越 &gt; 新潟県</t>
  </si>
  <si>
    <t>0,2084060731,2084060733,2084060751,2084060838</t>
  </si>
  <si>
    <t>巨人の星</t>
  </si>
  <si>
    <t>た行</t>
  </si>
  <si>
    <t>オークション &gt; コミック、アニメグッズ &gt; 作品別 &gt; か行 &gt; 巨人の星</t>
  </si>
  <si>
    <t>オークション &gt; タレントグッズ &gt; 人、グループ別 &gt; ミュージシャン &gt; た行</t>
  </si>
  <si>
    <t>0,20060,2084000109,2084037042,2084034741</t>
  </si>
  <si>
    <t>0,2084032594,2084047071,2084024931,2084054973</t>
  </si>
  <si>
    <t>オークション &gt; 不動産 &gt; 一戸建て &gt; 信越 &gt; 長野県</t>
  </si>
  <si>
    <t>金田一少年の事件簿</t>
  </si>
  <si>
    <t>0,2084060731,2084060733,2084060751,2084060839</t>
  </si>
  <si>
    <t>オークション &gt; コミック、アニメグッズ &gt; 作品別 &gt; か行 &gt; 金田一少年の事件簿</t>
  </si>
  <si>
    <t>な行</t>
  </si>
  <si>
    <t>0,20060,2084000109,2084037042,2084034744</t>
  </si>
  <si>
    <t>オークション &gt; タレントグッズ &gt; 人、グループ別 &gt; ミュージシャン &gt; な行</t>
  </si>
  <si>
    <t>0,2084032594,2084047071,2084024931,2084054974</t>
  </si>
  <si>
    <t>銀河英雄伝説</t>
  </si>
  <si>
    <t>は行</t>
  </si>
  <si>
    <t>オークション &gt; コミック、アニメグッズ &gt; 作品別 &gt; か行 &gt; 銀河英雄伝説</t>
  </si>
  <si>
    <t>オークション &gt; 不動産 &gt; 一戸建て &gt; 北陸 &gt; 富山県</t>
  </si>
  <si>
    <t>オークション &gt; タレントグッズ &gt; 人、グループ別 &gt; ミュージシャン &gt; は行</t>
  </si>
  <si>
    <t>0,20060,2084000109,2084037042,2084044293</t>
  </si>
  <si>
    <t>0,2084032594,2084047071,2084024931,2084054975</t>
  </si>
  <si>
    <t>0,2084060731,2084060733,2084060752,2084060840</t>
  </si>
  <si>
    <t>銀河鉄道999</t>
  </si>
  <si>
    <t>ま行</t>
  </si>
  <si>
    <t>オークション &gt; コミック、アニメグッズ &gt; 作品別 &gt; か行 &gt; 銀河鉄道999</t>
  </si>
  <si>
    <t>オークション &gt; タレントグッズ &gt; 人、グループ別 &gt; ミュージシャン &gt; ま行</t>
  </si>
  <si>
    <t>0,20060,2084000109,2084037042,2084034742</t>
  </si>
  <si>
    <t>0,2084032594,2084047071,2084024931,2084054976</t>
  </si>
  <si>
    <t>オークション &gt; 不動産 &gt; 一戸建て &gt; 北陸 &gt; 石川県</t>
  </si>
  <si>
    <t>0,2084060731,2084060733,2084060752,2084060841</t>
  </si>
  <si>
    <t>銀河漂流バイファム</t>
  </si>
  <si>
    <t>や行</t>
  </si>
  <si>
    <t>オークション &gt; コミック、アニメグッズ &gt; 作品別 &gt; か行 &gt; 銀河漂流バイファム</t>
  </si>
  <si>
    <t>オークション &gt; タレントグッズ &gt; 人、グループ別 &gt; ミュージシャン &gt; や行</t>
  </si>
  <si>
    <t>0,20060,2084000109,2084037042,2084034743</t>
  </si>
  <si>
    <t>0,2084032594,2084047071,2084024931,2084054977</t>
  </si>
  <si>
    <t>銀魂</t>
  </si>
  <si>
    <t>ら/わ行</t>
  </si>
  <si>
    <t>オークション &gt; 不動産 &gt; 一戸建て &gt; 北陸 &gt; 福井県</t>
  </si>
  <si>
    <t>オークション &gt; コミック、アニメグッズ &gt; 作品別 &gt; か行 &gt; 銀魂</t>
  </si>
  <si>
    <t>オークション &gt; タレントグッズ &gt; 人、グループ別 &gt; ミュージシャン &gt; ら/わ行</t>
  </si>
  <si>
    <t>0,2084060731,2084060733,2084060752,2084060842</t>
  </si>
  <si>
    <t>0,20060,2084000109,2084037042,2084309623</t>
  </si>
  <si>
    <t>0,2084032594,2084047071,2084024931,2084054978</t>
  </si>
  <si>
    <t>幻想魔伝 最遊記</t>
  </si>
  <si>
    <t>オークション &gt; コミック、アニメグッズ &gt; 作品別 &gt; か行 &gt; 幻想魔伝 最遊記</t>
  </si>
  <si>
    <t>オークション &gt; 不動産 &gt; 一戸建て &gt; 東海 &gt; 愛知県</t>
  </si>
  <si>
    <t>0,20060,2084000109,2084037042,2084006281</t>
  </si>
  <si>
    <t>オークション &gt; タレントグッズ &gt; 人、グループ別 &gt; ミュージシャン &gt; その他</t>
  </si>
  <si>
    <t>0,2084060731,2084060733,2084060753,2084060843</t>
  </si>
  <si>
    <t>0,2084032594,2084047071,2084024931,2084309520</t>
  </si>
  <si>
    <t>攻殻機動隊</t>
  </si>
  <si>
    <t>オークション &gt; コミック、アニメグッズ &gt; 作品別 &gt; か行 &gt; 攻殻機動隊</t>
  </si>
  <si>
    <t>0,20060,2084000109,2084037042,2084034750</t>
  </si>
  <si>
    <t>オークション &gt; 不動産 &gt; 一戸建て &gt; 東海 &gt; 岐阜県</t>
  </si>
  <si>
    <t>黒子のバスケ</t>
  </si>
  <si>
    <t>オークション &gt; コミック、アニメグッズ &gt; 作品別 &gt; か行 &gt; 黒子のバスケ</t>
  </si>
  <si>
    <t>0,2084060731,2084060733,2084060753,2084060844</t>
  </si>
  <si>
    <t>0,20060,2084000109,2084037042,2084309625</t>
  </si>
  <si>
    <t>風の谷のナウシカ</t>
  </si>
  <si>
    <t>オークション &gt; コミック、アニメグッズ &gt; 作品別 &gt; か行 &gt; 風の谷のナウシカ</t>
  </si>
  <si>
    <t>0,20060,2084000109,2084037042,2084034725</t>
  </si>
  <si>
    <t>オークション &gt; 不動産 &gt; 一戸建て &gt; 東海 &gt; 静岡県</t>
  </si>
  <si>
    <t>0,2084060731,2084060733,2084060753,2084060845</t>
  </si>
  <si>
    <t>恋色マリアージュ</t>
  </si>
  <si>
    <t>オークション &gt; タレントグッズ &gt; 人、グループ別 &gt; 女性タレント &gt; あ行</t>
  </si>
  <si>
    <t>0,2084032594,2084047071,2084032595,2084024766</t>
  </si>
  <si>
    <t>オークション &gt; コミック、アニメグッズ &gt; 作品別 &gt; か行 &gt; 恋色マリアージュ</t>
  </si>
  <si>
    <t>0,20060,2084000109,2084037042,2084309620</t>
  </si>
  <si>
    <t>オークション &gt; 不動産 &gt; 一戸建て &gt; 東海 &gt; 三重県</t>
  </si>
  <si>
    <t>0,2084060731,2084060733,2084060753,2084060846</t>
  </si>
  <si>
    <t>珈琲貴族</t>
  </si>
  <si>
    <t>オークション &gt; タレントグッズ &gt; 人、グループ別 &gt; 女性タレント &gt; か行</t>
  </si>
  <si>
    <t>オークション &gt; コミック、アニメグッズ &gt; 作品別 &gt; か行 &gt; 珈琲貴族</t>
  </si>
  <si>
    <t>0,2084032594,2084047071,2084032595,2084024787</t>
  </si>
  <si>
    <t>0,20060,2084000109,2084037042,2084309622</t>
  </si>
  <si>
    <t>すーぱーそに子</t>
  </si>
  <si>
    <t>オークション &gt; タレントグッズ &gt; 人、グループ別 &gt; 女性タレント &gt; さ行</t>
  </si>
  <si>
    <t>オークション &gt; 不動産 &gt; 一戸建て &gt; 近畿 &gt; 大阪府</t>
  </si>
  <si>
    <t>オークション &gt; コミック、アニメグッズ &gt; 作品別 &gt; さ行 &gt; すーぱーそに子</t>
  </si>
  <si>
    <t>0,2084032594,2084047071,2084032595,2084024793</t>
  </si>
  <si>
    <t>0,2084060731,2084060733,2084060754,2084060847</t>
  </si>
  <si>
    <t>0,20060,2084000109,2084034217,2084309631</t>
  </si>
  <si>
    <t>オークション &gt; タレントグッズ &gt; 人、グループ別 &gt; 女性タレント &gt; た行</t>
  </si>
  <si>
    <t>0,2084032594,2084047071,2084032595,2084024799</t>
  </si>
  <si>
    <t>それいけ！アンパンマン</t>
  </si>
  <si>
    <t>オークション &gt; 不動産 &gt; 一戸建て &gt; 近畿 &gt; 兵庫県</t>
  </si>
  <si>
    <t>オークション &gt; コミック、アニメグッズ &gt; 作品別 &gt; さ行 &gt; それいけ！アンパンマン</t>
  </si>
  <si>
    <t>0,2084060731,2084060733,2084060754,2084060848</t>
  </si>
  <si>
    <t>0,20060,2084000109,2084034217,2084035108</t>
  </si>
  <si>
    <t>オークション &gt; タレントグッズ &gt; 人、グループ別 &gt; 女性タレント &gt; な行</t>
  </si>
  <si>
    <t>0,2084032594,2084047071,2084032595,2084024805</t>
  </si>
  <si>
    <t>それゆけ！宇宙戦艦ヤマモト・ヨーコ</t>
  </si>
  <si>
    <t>オークション &gt; タレントグッズ &gt; 人、グループ別 &gt; 女性タレント &gt; は行</t>
  </si>
  <si>
    <t>オークション &gt; 不動産 &gt; 一戸建て &gt; 近畿 &gt; 京都府</t>
  </si>
  <si>
    <t>0,2084032594,2084047071,2084032595,2084024811</t>
  </si>
  <si>
    <t>オークション &gt; コミック、アニメグッズ &gt; 作品別 &gt; さ行 &gt; それゆけ！宇宙戦艦ヤマモト・ヨーコ</t>
  </si>
  <si>
    <t>0,2084060731,2084060733,2084060754,2084060849</t>
  </si>
  <si>
    <t>0,20060,2084000109,2084034217,2084035109</t>
  </si>
  <si>
    <t>オークション &gt; タレントグッズ &gt; 人、グループ別 &gt; 女性タレント &gt; ま行</t>
  </si>
  <si>
    <t>0,2084032594,2084047071,2084032595,2084024817</t>
  </si>
  <si>
    <t>サイボーグ009</t>
  </si>
  <si>
    <t>オークション &gt; コミック、アニメグッズ &gt; 作品別 &gt; さ行 &gt; サイボーグ009</t>
  </si>
  <si>
    <t>0,20060,2084000109,2084034217,2084035110</t>
  </si>
  <si>
    <t>オークション &gt; 不動産 &gt; 一戸建て &gt; 近畿 &gt; 滋賀県</t>
  </si>
  <si>
    <t>0,2084060731,2084060733,2084060754,2084060850</t>
  </si>
  <si>
    <t>オークション &gt; タレントグッズ &gt; 人、グループ別 &gt; 女性タレント &gt; や行</t>
  </si>
  <si>
    <t>サイレントメビウス</t>
  </si>
  <si>
    <t>0,2084032594,2084047071,2084032595,2084024823</t>
  </si>
  <si>
    <t>オークション &gt; コミック、アニメグッズ &gt; 作品別 &gt; さ行 &gt; サイレントメビウス</t>
  </si>
  <si>
    <t>0,20060,2084000109,2084034217,2084006297</t>
  </si>
  <si>
    <t>オークション &gt; 不動産 &gt; 一戸建て &gt; 近畿 &gt; 奈良県</t>
  </si>
  <si>
    <t>ら行</t>
  </si>
  <si>
    <t>オークション &gt; タレントグッズ &gt; 人、グループ別 &gt; 女性タレント &gt; ら行</t>
  </si>
  <si>
    <t>0,2084060731,2084060733,2084060754,2084060851</t>
  </si>
  <si>
    <t>0,2084032594,2084047071,2084032595,2084024829</t>
  </si>
  <si>
    <t>サザエさん</t>
  </si>
  <si>
    <t>オークション &gt; コミック、アニメグッズ &gt; 作品別 &gt; さ行 &gt; サザエさん</t>
  </si>
  <si>
    <t>0,20060,2084000109,2084034217,2084035112</t>
  </si>
  <si>
    <t>わ行</t>
  </si>
  <si>
    <t>オークション &gt; タレントグッズ &gt; 人、グループ別 &gt; 女性タレント &gt; わ行</t>
  </si>
  <si>
    <t>0,2084032594,2084047071,2084032595,2084024835</t>
  </si>
  <si>
    <t>オークション &gt; 不動産 &gt; 一戸建て &gt; 近畿 &gt; 和歌山県</t>
  </si>
  <si>
    <t>サムライトルーパー</t>
  </si>
  <si>
    <t>0,2084060731,2084060733,2084060754,2084060852</t>
  </si>
  <si>
    <t>オークション &gt; コミック、アニメグッズ &gt; 作品別 &gt; さ行 &gt; サムライトルーパー</t>
  </si>
  <si>
    <t>0,20060,2084000109,2084034217,2084036032</t>
  </si>
  <si>
    <t>オークション &gt; タレントグッズ &gt; 人、グループ別 &gt; 男性タレント &gt; あ行</t>
  </si>
  <si>
    <t>0,2084032594,2084047071,2084033347,2084054986</t>
  </si>
  <si>
    <t>シスタープリンセス</t>
  </si>
  <si>
    <t>オークション &gt; 不動産 &gt; 一戸建て &gt; 中国 &gt; 鳥取県</t>
  </si>
  <si>
    <t>0,2084060731,2084060733,2084060755,2084060853</t>
  </si>
  <si>
    <t>オークション &gt; コミック、アニメグッズ &gt; 作品別 &gt; さ行 &gt; シスタープリンセス</t>
  </si>
  <si>
    <t>0,20060,2084000109,2084034217,2084044171</t>
  </si>
  <si>
    <t>オークション &gt; タレントグッズ &gt; 人、グループ別 &gt; 男性タレント &gt; か行</t>
  </si>
  <si>
    <t>シティーハンター</t>
  </si>
  <si>
    <t>0,2084032594,2084047071,2084033347,2084054987</t>
  </si>
  <si>
    <t>オークション &gt; 不動産 &gt; 一戸建て &gt; 中国 &gt; 島根県</t>
  </si>
  <si>
    <t>オークション &gt; コミック、アニメグッズ &gt; 作品別 &gt; さ行 &gt; シティーハンター</t>
  </si>
  <si>
    <t>0,2084060731,2084060733,2084060755,2084060854</t>
  </si>
  <si>
    <t>0,20060,2084000109,2084034217,2084035089</t>
  </si>
  <si>
    <t>オークション &gt; タレントグッズ &gt; 人、グループ別 &gt; 男性タレント &gt; さ行</t>
  </si>
  <si>
    <t>0,2084032594,2084047071,2084033347,2084054988</t>
  </si>
  <si>
    <t>シャーマンキング</t>
  </si>
  <si>
    <t>オークション &gt; コミック、アニメグッズ &gt; 作品別 &gt; さ行 &gt; シャーマンキング</t>
  </si>
  <si>
    <t>0,20060,2084000109,2084034217,2084035090</t>
  </si>
  <si>
    <t>オークション &gt; 不動産 &gt; 一戸建て &gt; 中国 &gt; 岡山県</t>
  </si>
  <si>
    <t>0,2084060731,2084060733,2084060755,2084060855</t>
  </si>
  <si>
    <t>オークション &gt; タレントグッズ &gt; 人、グループ別 &gt; 男性タレント &gt; た行</t>
  </si>
  <si>
    <t>0,2084032594,2084047071,2084033347,2084054989</t>
  </si>
  <si>
    <t>ジャングル大帝</t>
  </si>
  <si>
    <t>オークション &gt; コミック、アニメグッズ &gt; 作品別 &gt; さ行 &gt; ジャングル大帝</t>
  </si>
  <si>
    <t>0,20060,2084000109,2084034217,2084035091</t>
  </si>
  <si>
    <t>オークション &gt; タレントグッズ &gt; 人、グループ別 &gt; 男性タレント &gt; な行</t>
  </si>
  <si>
    <t>オークション &gt; 不動産 &gt; 一戸建て &gt; 中国 &gt; 広島県</t>
  </si>
  <si>
    <t>0,2084032594,2084047071,2084033347,2084054990</t>
  </si>
  <si>
    <t>0,2084060731,2084060733,2084060755,2084060856</t>
  </si>
  <si>
    <t>ジョジョの奇妙な冒険</t>
  </si>
  <si>
    <t>オークション &gt; コミック、アニメグッズ &gt; 作品別 &gt; さ行 &gt; ジョジョの奇妙な冒険</t>
  </si>
  <si>
    <t>オークション &gt; タレントグッズ &gt; 人、グループ別 &gt; 男性タレント &gt; は行</t>
  </si>
  <si>
    <t>0,20060,2084000109,2084034217,2084035096</t>
  </si>
  <si>
    <t>0,2084032594,2084047071,2084033347,2084054992</t>
  </si>
  <si>
    <t>オークション &gt; 不動産 &gt; 一戸建て &gt; 中国 &gt; 山口県</t>
  </si>
  <si>
    <t>0,2084060731,2084060733,2084060755,2084060857</t>
  </si>
  <si>
    <t>ストライクウィッチーズ</t>
  </si>
  <si>
    <t>オークション &gt; タレントグッズ &gt; 人、グループ別 &gt; 男性タレント &gt; ま行</t>
  </si>
  <si>
    <t>オークション &gt; コミック、アニメグッズ &gt; 作品別 &gt; さ行 &gt; ストライクウィッチーズ</t>
  </si>
  <si>
    <t>0,2084032594,2084047071,2084033347,2084054997</t>
  </si>
  <si>
    <t>0,20060,2084000109,2084034217,2084309628</t>
  </si>
  <si>
    <t>オークション &gt; 不動産 &gt; 一戸建て &gt; 四国 &gt; 徳島県</t>
  </si>
  <si>
    <t>0,2084060731,2084060733,2084060756,2084060858</t>
  </si>
  <si>
    <t>スラムダンク</t>
  </si>
  <si>
    <t>オークション &gt; コミック、アニメグッズ &gt; 作品別 &gt; さ行 &gt; スラムダンク</t>
  </si>
  <si>
    <t>オークション &gt; タレントグッズ &gt; 人、グループ別 &gt; 男性タレント &gt; や行</t>
  </si>
  <si>
    <t>0,20060,2084000109,2084034217,2084007397</t>
  </si>
  <si>
    <t>0,2084032594,2084047071,2084033347,2084054993</t>
  </si>
  <si>
    <t>オークション &gt; 不動産 &gt; 一戸建て &gt; 四国 &gt; 香川県</t>
  </si>
  <si>
    <t>0,2084060731,2084060733,2084060756,2084060859</t>
  </si>
  <si>
    <t>スレイヤーズ</t>
  </si>
  <si>
    <t>オークション &gt; コミック、アニメグッズ &gt; 作品別 &gt; さ行 &gt; スレイヤーズ</t>
  </si>
  <si>
    <t>0,20060,2084000109,2084034217,2084006294</t>
  </si>
  <si>
    <t>オークション &gt; タレントグッズ &gt; 人、グループ別 &gt; 男性タレント &gt; ら行</t>
  </si>
  <si>
    <t>0,2084032594,2084047071,2084033347,2084054994</t>
  </si>
  <si>
    <t>オークション &gt; 不動産 &gt; 一戸建て &gt; 四国 &gt; 愛媛県</t>
  </si>
  <si>
    <t>0,2084060731,2084060733,2084060756,2084060860</t>
  </si>
  <si>
    <t>セーラームーン</t>
  </si>
  <si>
    <t>オークション &gt; コミック、アニメグッズ &gt; 作品別 &gt; さ行 &gt; セーラームーン</t>
  </si>
  <si>
    <t>0,20060,2084000109,2084034217,25971</t>
  </si>
  <si>
    <t>オークション &gt; 映画、ビデオ &gt; DVD &gt; アイドル &gt; 女性アイドル &gt; あ行</t>
  </si>
  <si>
    <t>0,21964,21968,2084046976,2084057161,2084214628</t>
  </si>
  <si>
    <t>オークション &gt; 不動産 &gt; 一戸建て &gt; 四国 &gt; 高知県</t>
  </si>
  <si>
    <t>0,2084060731,2084060733,2084060756,2084060861</t>
  </si>
  <si>
    <t>ゼロの使い魔</t>
  </si>
  <si>
    <t>オークション &gt; コミック、アニメグッズ &gt; 作品別 &gt; さ行 &gt; ゼロの使い魔</t>
  </si>
  <si>
    <t>オークション &gt; 映画、ビデオ &gt; DVD &gt; アイドル &gt; 女性アイドル &gt; か行</t>
  </si>
  <si>
    <t>0,20060,2084000109,2084034217,2084309630</t>
  </si>
  <si>
    <t>0,21964,21968,2084046976,2084057161,2084214629</t>
  </si>
  <si>
    <t>オークション &gt; 不動産 &gt; 一戸建て &gt; 九州 &gt; 福岡県</t>
  </si>
  <si>
    <t>0,2084060731,2084060733,2084060757,2084060862</t>
  </si>
  <si>
    <t>ソードアート・オンライン</t>
  </si>
  <si>
    <t>オークション &gt; 映画、ビデオ &gt; DVD &gt; アイドル &gt; 女性アイドル &gt; さ行</t>
  </si>
  <si>
    <t>オークション &gt; コミック、アニメグッズ &gt; 作品別 &gt; さ行 &gt; ソードアート・オンライン</t>
  </si>
  <si>
    <t>0,21964,21968,2084046976,2084057161,2084214630</t>
  </si>
  <si>
    <t>0,20060,2084000109,2084034217,2084309626</t>
  </si>
  <si>
    <t>オークション &gt; 不動産 &gt; 一戸建て &gt; 九州 &gt; 佐賀県</t>
  </si>
  <si>
    <t>0,2084060731,2084060733,2084060757,2084060863</t>
  </si>
  <si>
    <t>獣神ライガー</t>
  </si>
  <si>
    <t>オークション &gt; コミック、アニメグッズ &gt; 作品別 &gt; さ行 &gt; 獣神ライガー</t>
  </si>
  <si>
    <t>0,20060,2084000109,2084034217,2084035092</t>
  </si>
  <si>
    <t>オークション &gt; 不動産 &gt; 一戸建て &gt; 九州 &gt; 長崎県</t>
  </si>
  <si>
    <t>0,2084060731,2084060733,2084060757,2084060864</t>
  </si>
  <si>
    <t>オークション &gt; 映画、ビデオ &gt; DVD &gt; アイドル &gt; 女性アイドル &gt; た行</t>
  </si>
  <si>
    <t>重戦機エルガイム</t>
  </si>
  <si>
    <t>0,21964,21968,2084046976,2084057161,2084214631</t>
  </si>
  <si>
    <t>オークション &gt; コミック、アニメグッズ &gt; 作品別 &gt; さ行 &gt; 重戦機エルガイム</t>
  </si>
  <si>
    <t>0,20060,2084000109,2084034217,2084035093</t>
  </si>
  <si>
    <t>オークション &gt; 不動産 &gt; 一戸建て &gt; 九州 &gt; 熊本県</t>
  </si>
  <si>
    <t>0,2084060731,2084060733,2084060757,2084060865</t>
  </si>
  <si>
    <t>オークション &gt; 映画、ビデオ &gt; DVD &gt; アイドル &gt; 女性アイドル &gt; な行</t>
  </si>
  <si>
    <t>少女革命ウテナ</t>
  </si>
  <si>
    <t>0,21964,21968,2084046976,2084057161,2084214632</t>
  </si>
  <si>
    <t>オークション &gt; コミック、アニメグッズ &gt; 作品別 &gt; さ行 &gt; 少女革命ウテナ</t>
  </si>
  <si>
    <t>オークション &gt; 不動産 &gt; 一戸建て &gt; 九州 &gt; 大分県</t>
  </si>
  <si>
    <t>0,2084060731,2084060733,2084060757,2084060866</t>
  </si>
  <si>
    <t>0,20060,2084000109,2084034217,2084006285</t>
  </si>
  <si>
    <t>オークション &gt; 映画、ビデオ &gt; DVD &gt; アイドル &gt; 女性アイドル &gt; は行</t>
  </si>
  <si>
    <t>0,21964,21968,2084046976,2084057161,2084214633</t>
  </si>
  <si>
    <t>オークション &gt; 不動産 &gt; 一戸建て &gt; 九州 &gt; 宮崎県</t>
  </si>
  <si>
    <t>少年アシベ</t>
  </si>
  <si>
    <t>0,2084060731,2084060733,2084060757,2084060867</t>
  </si>
  <si>
    <t>オークション &gt; コミック、アニメグッズ &gt; 作品別 &gt; さ行 &gt; 少年アシベ</t>
  </si>
  <si>
    <t>0,20060,2084000109,2084034217,2084035095</t>
  </si>
  <si>
    <t>オークション &gt; 映画、ビデオ &gt; DVD &gt; アイドル &gt; 女性アイドル &gt; ま行</t>
  </si>
  <si>
    <t>0,21964,21968,2084046976,2084057161,2084214634</t>
  </si>
  <si>
    <t>オークション &gt; 不動産 &gt; 一戸建て &gt; 九州 &gt; 鹿児島県</t>
  </si>
  <si>
    <t>0,2084060731,2084060733,2084060757,2084060868</t>
  </si>
  <si>
    <t>侵略！イカ娘</t>
  </si>
  <si>
    <t>オークション &gt; コミック、アニメグッズ &gt; 作品別 &gt; さ行 &gt; 侵略！イカ娘</t>
  </si>
  <si>
    <t>0,20060,2084000109,2084034217,2084309617</t>
  </si>
  <si>
    <t>オークション &gt; 映画、ビデオ &gt; DVD &gt; アイドル &gt; 女性アイドル &gt; や行</t>
  </si>
  <si>
    <t>0,21964,21968,2084046976,2084057161,2084214635</t>
  </si>
  <si>
    <t>オークション &gt; 不動産 &gt; 土地 &gt; 東北 &gt; 青森県</t>
  </si>
  <si>
    <t>0,2084060731,2084060734,2084060761,2084060869</t>
  </si>
  <si>
    <t>新世紀GPXサイバーフォーミュラ</t>
  </si>
  <si>
    <t>オークション &gt; コミック、アニメグッズ &gt; 作品別 &gt; さ行 &gt; 新世紀GPXサイバーフォーミュラ</t>
  </si>
  <si>
    <t>0,20060,2084000109,2084034217,2084007227</t>
  </si>
  <si>
    <t>オークション &gt; 映画、ビデオ &gt; DVD &gt; アイドル &gt; 女性アイドル &gt; ら行</t>
  </si>
  <si>
    <t>0,21964,21968,2084046976,2084057161,2084214636</t>
  </si>
  <si>
    <t>オークション &gt; 不動産 &gt; 土地 &gt; 東北 &gt; 岩手県</t>
  </si>
  <si>
    <t>新世紀エヴァンゲリオン</t>
  </si>
  <si>
    <t>0,2084060731,2084060734,2084060761,2084060870</t>
  </si>
  <si>
    <t>オークション &gt; コミック、アニメグッズ &gt; 作品別 &gt; さ行 &gt; 新世紀エヴァンゲリオン</t>
  </si>
  <si>
    <t>0,20060,2084000109,2084034217,2084005072</t>
  </si>
  <si>
    <t>オークション &gt; 映画、ビデオ &gt; DVD &gt; アイドル &gt; 女性アイドル &gt; わ行</t>
  </si>
  <si>
    <t>オークション &gt; 不動産 &gt; 土地 &gt; 東北 &gt; 宮城県</t>
  </si>
  <si>
    <t>0,21964,21968,2084046976,2084057161,2084214637</t>
  </si>
  <si>
    <t>0,2084060731,2084060734,2084060761,2084060871</t>
  </si>
  <si>
    <t>神秘の世界エルハザード</t>
  </si>
  <si>
    <t>オークション &gt; コミック、アニメグッズ &gt; 作品別 &gt; さ行 &gt; 神秘の世界エルハザード</t>
  </si>
  <si>
    <t>0,20060,2084000109,2084034217,2084035098</t>
  </si>
  <si>
    <t>複数被写体</t>
  </si>
  <si>
    <t>オークション &gt; 映画、ビデオ &gt; DVD &gt; アイドル &gt; 女性アイドル &gt; 複数被写体</t>
  </si>
  <si>
    <t>オークション &gt; 不動産 &gt; 土地 &gt; 東北 &gt; 秋田県</t>
  </si>
  <si>
    <t>0,21964,21968,2084046976,2084057161,2084214874</t>
  </si>
  <si>
    <t>0,2084060731,2084060734,2084060761,2084060872</t>
  </si>
  <si>
    <t>聖闘士星矢</t>
  </si>
  <si>
    <t>オークション &gt; コミック、アニメグッズ &gt; 作品別 &gt; さ行 &gt; 聖闘士星矢</t>
  </si>
  <si>
    <t>0,20060,2084000109,2084034217,2084035102</t>
  </si>
  <si>
    <t>オークション &gt; 不動産 &gt; 土地 &gt; 東北 &gt; 山形県</t>
  </si>
  <si>
    <t>0,2084060731,2084060734,2084060761,2084060873</t>
  </si>
  <si>
    <t>絶対無敵ライジンオー</t>
  </si>
  <si>
    <t>オークション &gt; コミック、アニメグッズ &gt; 作品別 &gt; さ行 &gt; 絶対無敵ライジンオー</t>
  </si>
  <si>
    <t>0,20060,2084000109,2084034217,2084035103</t>
  </si>
  <si>
    <t>オークション &gt; 不動産 &gt; 土地 &gt; 東北 &gt; 福島県</t>
  </si>
  <si>
    <t>戦国BASARA</t>
  </si>
  <si>
    <t>0,2084060731,2084060734,2084060761,2084060874</t>
  </si>
  <si>
    <t>オークション &gt; コミック、アニメグッズ &gt; 作品別 &gt; さ行 &gt; 戦国BASARA</t>
  </si>
  <si>
    <t>0,20060,2084000109,2084034217,2084309627</t>
  </si>
  <si>
    <t>戦闘メカ ザブングル</t>
  </si>
  <si>
    <t>オークション &gt; 不動産 &gt; 土地 &gt; 関東 &gt; 東京都</t>
  </si>
  <si>
    <t>オークション &gt; コミック、アニメグッズ &gt; 作品別 &gt; さ行 &gt; 戦闘メカ ザブングル</t>
  </si>
  <si>
    <t>オークション &gt; 映画、ビデオ &gt; ビデオテープ &gt; アイドル &gt; 女性アイドル &gt; あ行</t>
  </si>
  <si>
    <t>0,21964,22072,2084046984,2084216636,2084216640</t>
  </si>
  <si>
    <t>0,2084060731,2084060734,2084060762,2084060875</t>
  </si>
  <si>
    <t>0,20060,2084000109,2084034217,2084035105</t>
  </si>
  <si>
    <t>オークション &gt; 映画、ビデオ &gt; ビデオテープ &gt; アイドル &gt; 女性アイドル &gt; か行</t>
  </si>
  <si>
    <t>オークション &gt; 不動産 &gt; 土地 &gt; 関東 &gt; 神奈川県</t>
  </si>
  <si>
    <t>装甲騎兵 ボトムズ</t>
  </si>
  <si>
    <t>0,2084060731,2084060734,2084060762,2084060876</t>
  </si>
  <si>
    <t>0,21964,22072,2084046984,2084216636,2084216641</t>
  </si>
  <si>
    <t>オークション &gt; コミック、アニメグッズ &gt; 作品別 &gt; さ行 &gt; 装甲騎兵 ボトムズ</t>
  </si>
  <si>
    <t>0,20060,2084000109,2084034217,2084035106</t>
  </si>
  <si>
    <t>オークション &gt; 不動産 &gt; 土地 &gt; 関東 &gt; 埼玉県</t>
  </si>
  <si>
    <t>オークション &gt; 映画、ビデオ &gt; ビデオテープ &gt; アイドル &gt; 女性アイドル &gt; さ行</t>
  </si>
  <si>
    <t>0,2084060731,2084060734,2084060762,2084060877</t>
  </si>
  <si>
    <t>0,21964,22072,2084046984,2084216636,2084216642</t>
  </si>
  <si>
    <t>涼宮ハルヒの憂鬱</t>
  </si>
  <si>
    <t>オークション &gt; コミック、アニメグッズ &gt; 作品別 &gt; さ行 &gt; 涼宮ハルヒの憂鬱</t>
  </si>
  <si>
    <t>オークション &gt; 不動産 &gt; 土地 &gt; 関東 &gt; 千葉県</t>
  </si>
  <si>
    <t>0,20060,2084000109,2084034217,2084309629</t>
  </si>
  <si>
    <t>0,2084060731,2084060734,2084060762,2084060878</t>
  </si>
  <si>
    <t>オークション &gt; 映画、ビデオ &gt; ビデオテープ &gt; アイドル &gt; 女性アイドル &gt; た行</t>
  </si>
  <si>
    <t>0,21964,22072,2084046984,2084216636,2084216643</t>
  </si>
  <si>
    <t>TIGER＆BUNNY</t>
  </si>
  <si>
    <t>オークション &gt; 不動産 &gt; 土地 &gt; 関東 &gt; 茨城県</t>
  </si>
  <si>
    <t>オークション &gt; コミック、アニメグッズ &gt; 作品別 &gt; た行 &gt; TIGER＆BUNNY</t>
  </si>
  <si>
    <t>オークション &gt; 映画、ビデオ &gt; ビデオテープ &gt; アイドル &gt; 女性アイドル &gt; な行</t>
  </si>
  <si>
    <t>0,2084060731,2084060734,2084060762,2084060879</t>
  </si>
  <si>
    <t>0,20060,2084000109,2084034226,2084309632</t>
  </si>
  <si>
    <t>0,21964,22072,2084046984,2084216636,2084216644</t>
  </si>
  <si>
    <t>To LOVEる</t>
  </si>
  <si>
    <t>オークション &gt; コミック、アニメグッズ &gt; 作品別 &gt; た行 &gt; To LOVEる</t>
  </si>
  <si>
    <t>オークション &gt; 不動産 &gt; 土地 &gt; 関東 &gt; 栃木県</t>
  </si>
  <si>
    <t>0,20060,2084000109,2084034226,2084309693</t>
  </si>
  <si>
    <t>0,2084060731,2084060734,2084060762,2084061329</t>
  </si>
  <si>
    <t>オークション &gt; 映画、ビデオ &gt; ビデオテープ &gt; アイドル &gt; 女性アイドル &gt; は行</t>
  </si>
  <si>
    <t>0,21964,22072,2084046984,2084216636,2084216645</t>
  </si>
  <si>
    <t>ちびまる子ちゃん</t>
  </si>
  <si>
    <t>オークション &gt; 不動産 &gt; 土地 &gt; 関東 &gt; 群馬県</t>
  </si>
  <si>
    <t>オークション &gt; コミック、アニメグッズ &gt; 作品別 &gt; た行 &gt; ちびまる子ちゃん</t>
  </si>
  <si>
    <t>0,2084060731,2084060734,2084060762,2084061330</t>
  </si>
  <si>
    <t>0,20060,2084000109,2084034226,2084035350</t>
  </si>
  <si>
    <t>オークション &gt; 映画、ビデオ &gt; ビデオテープ &gt; アイドル &gt; 女性アイドル &gt; ま行</t>
  </si>
  <si>
    <t>0,21964,22072,2084046984,2084216636,2084216646</t>
  </si>
  <si>
    <t>ちょびっツ</t>
  </si>
  <si>
    <t>オークション &gt; 不動産 &gt; 土地 &gt; 関東 &gt; 山梨県</t>
  </si>
  <si>
    <t>オークション &gt; コミック、アニメグッズ &gt; 作品別 &gt; た行 &gt; ちょびっツ</t>
  </si>
  <si>
    <t>オークション &gt; 映画、ビデオ &gt; ビデオテープ &gt; アイドル &gt; 女性アイドル &gt; や行</t>
  </si>
  <si>
    <t>0,2084060731,2084060734,2084060762,2084061331</t>
  </si>
  <si>
    <t>0,20060,2084000109,2084034226,2084035355</t>
  </si>
  <si>
    <t>0,21964,22072,2084046984,2084216636,2084216647</t>
  </si>
  <si>
    <t>ときめきメモリアル</t>
  </si>
  <si>
    <t>オークション &gt; 不動産 &gt; 土地 &gt; 信越 &gt; 新潟県</t>
  </si>
  <si>
    <t>オークション &gt; コミック、アニメグッズ &gt; 作品別 &gt; た行 &gt; ときめきメモリアル</t>
  </si>
  <si>
    <t>オークション &gt; 映画、ビデオ &gt; ビデオテープ &gt; アイドル &gt; 女性アイドル &gt; ら行</t>
  </si>
  <si>
    <t>0,2084060731,2084060734,2084060763,2084060880</t>
  </si>
  <si>
    <t>0,20060,2084000109,2084034226,2084309692</t>
  </si>
  <si>
    <t>0,21964,22072,2084046984,2084216636,2084216648</t>
  </si>
  <si>
    <t>とっとこハム太郎</t>
  </si>
  <si>
    <t>オークション &gt; 不動産 &gt; 土地 &gt; 信越 &gt; 長野県</t>
  </si>
  <si>
    <t>オークション &gt; コミック、アニメグッズ &gt; 作品別 &gt; た行 &gt; とっとこハム太郎</t>
  </si>
  <si>
    <t>0,2084060731,2084060734,2084060763,2084060881</t>
  </si>
  <si>
    <t>0,20060,2084000109,2084034226,2084044236</t>
  </si>
  <si>
    <t>オークション &gt; 映画、ビデオ &gt; ビデオテープ &gt; アイドル &gt; 女性アイドル &gt; わ行</t>
  </si>
  <si>
    <t>0,21964,22072,2084046984,2084216636,2084216649</t>
  </si>
  <si>
    <t>となりのトトロ</t>
  </si>
  <si>
    <t>オークション &gt; 不動産 &gt; 土地 &gt; 北陸 &gt; 富山県</t>
  </si>
  <si>
    <t>オークション &gt; コミック、アニメグッズ &gt; 作品別 &gt; た行 &gt; となりのトトロ</t>
  </si>
  <si>
    <t>0,2084060731,2084060734,2084060764,2084060882</t>
  </si>
  <si>
    <t>0,20060,2084000109,2084034226,2084035372</t>
  </si>
  <si>
    <t>オークション &gt; 映画、ビデオ &gt; ビデオテープ &gt; アイドル &gt; 女性アイドル &gt; 複数被写体</t>
  </si>
  <si>
    <t>0,21964,22072,2084046984,2084216636,2084216650</t>
  </si>
  <si>
    <t>オークション &gt; 不動産 &gt; 土地 &gt; 北陸 &gt; 石川県</t>
  </si>
  <si>
    <t>タイムボカンシリーズ</t>
  </si>
  <si>
    <t>0,2084060731,2084060734,2084060764,2084060883</t>
  </si>
  <si>
    <t>オークション &gt; コミック、アニメグッズ &gt; 作品別 &gt; た行 &gt; タイムボカンシリーズ</t>
  </si>
  <si>
    <t>0,20060,2084000109,2084034226,2084035348</t>
  </si>
  <si>
    <t>エッセイ</t>
  </si>
  <si>
    <t>オークション &gt; 本、雑誌 &gt; アート、エンターテインメント &gt; 映画、テレビ &gt; タレント本 &gt; ミュージシャンの本 &gt; エッセイ</t>
  </si>
  <si>
    <t>0,21600,2084009036,21784,2084009038,2084009110,2084033845</t>
  </si>
  <si>
    <t>オークション &gt; 不動産 &gt; 土地 &gt; 北陸 &gt; 福井県</t>
  </si>
  <si>
    <t>0,2084060731,2084060734,2084060764,2084060884</t>
  </si>
  <si>
    <t>タッチ</t>
  </si>
  <si>
    <t>オークション &gt; コミック、アニメグッズ &gt; 作品別 &gt; た行 &gt; タッチ</t>
  </si>
  <si>
    <t>0,20060,2084000109,2084034226,2084044219</t>
  </si>
  <si>
    <t>自伝、生い立ち</t>
  </si>
  <si>
    <t>オークション &gt; 本、雑誌 &gt; アート、エンターテインメント &gt; 映画、テレビ &gt; タレント本 &gt; ミュージシャンの本 &gt; 自伝、生い立ち</t>
  </si>
  <si>
    <t>0,21600,2084009036,21784,2084009038,2084009110,2084033846</t>
  </si>
  <si>
    <t>ダーティペア</t>
  </si>
  <si>
    <t>オークション &gt; 不動産 &gt; 土地 &gt; 東海 &gt; 愛知県</t>
  </si>
  <si>
    <t>オークション &gt; コミック、アニメグッズ &gt; 作品別 &gt; た行 &gt; ダーティペア</t>
  </si>
  <si>
    <t>0,2084060731,2084060734,2084060765,2084060885</t>
  </si>
  <si>
    <t>0,20060,2084000109,2084034226,2084035345</t>
  </si>
  <si>
    <t>小説</t>
  </si>
  <si>
    <t>オークション &gt; 本、雑誌 &gt; アート、エンターテインメント &gt; 映画、テレビ &gt; タレント本 &gt; ミュージシャンの本 &gt; 小説</t>
  </si>
  <si>
    <t>ダンバイン</t>
  </si>
  <si>
    <t>0,21600,2084009036,21784,2084009038,2084009110,2084033844</t>
  </si>
  <si>
    <t>オークション &gt; コミック、アニメグッズ &gt; 作品別 &gt; た行 &gt; ダンバイン</t>
  </si>
  <si>
    <t>0,20060,2084000109,2084034226,2084034424</t>
  </si>
  <si>
    <t>オークション &gt; 不動産 &gt; 土地 &gt; 東海 &gt; 岐阜県</t>
  </si>
  <si>
    <t>0,2084060731,2084060734,2084060765,2084060886</t>
  </si>
  <si>
    <t>オークション &gt; 本、雑誌 &gt; アート、エンターテインメント &gt; 映画、テレビ &gt; タレント本 &gt; ミュージシャンの本 &gt; その他</t>
  </si>
  <si>
    <t>テイルズ</t>
  </si>
  <si>
    <t>0,21600,2084009036,21784,2084009038,2084009110,2084033847</t>
  </si>
  <si>
    <t>オークション &gt; コミック、アニメグッズ &gt; 作品別 &gt; た行 &gt; テイルズ</t>
  </si>
  <si>
    <t>オークション &gt; 不動産 &gt; 土地 &gt; 東海 &gt; 静岡県</t>
  </si>
  <si>
    <t>0,20060,2084000109,2084034226,2084309634</t>
  </si>
  <si>
    <t>0,2084060731,2084060734,2084060765,2084060887</t>
  </si>
  <si>
    <t>テッカマン</t>
  </si>
  <si>
    <t>オークション &gt; コミック、アニメグッズ &gt; 作品別 &gt; た行 &gt; テッカマン</t>
  </si>
  <si>
    <t>オークション &gt; 本、雑誌 &gt; アート、エンターテインメント &gt; 映画、テレビ &gt; タレント本 &gt; 芸能人、タレントの本 &gt; エッセイ</t>
  </si>
  <si>
    <t>0,21600,2084009036,21784,2084009038,2084009039,2084033841</t>
  </si>
  <si>
    <t>オークション &gt; 不動産 &gt; 土地 &gt; 東海 &gt; 三重県</t>
  </si>
  <si>
    <t>0,20060,2084000109,2084034226,2084035358</t>
  </si>
  <si>
    <t>0,2084060731,2084060734,2084060765,2084060888</t>
  </si>
  <si>
    <t>テニスの王子様</t>
  </si>
  <si>
    <t>オークション &gt; 本、雑誌 &gt; アート、エンターテインメント &gt; 映画、テレビ &gt; タレント本 &gt; 芸能人、タレントの本 &gt; 自伝、生い立ち</t>
  </si>
  <si>
    <t>オークション &gt; コミック、アニメグッズ &gt; 作品別 &gt; た行 &gt; テニスの王子様</t>
  </si>
  <si>
    <t>オークション &gt; 不動産 &gt; 土地 &gt; 近畿 &gt; 大阪府</t>
  </si>
  <si>
    <t>0,21600,2084009036,21784,2084009038,2084009039,2084033842</t>
  </si>
  <si>
    <t>0,20060,2084000109,2084034226,2084035361</t>
  </si>
  <si>
    <t>0,2084060731,2084060734,2084060766,2084060889</t>
  </si>
  <si>
    <t>オークション &gt; 不動産 &gt; 土地 &gt; 近畿 &gt; 兵庫県</t>
  </si>
  <si>
    <t>0,2084060731,2084060734,2084060766,2084060890</t>
  </si>
  <si>
    <t>デ・ジ・キャラット</t>
  </si>
  <si>
    <t>オークション &gt; コミック、アニメグッズ &gt; 作品別 &gt; た行 &gt; デ・ジ・キャラット</t>
  </si>
  <si>
    <t>0,20060,2084000109,2084034226,2084006303</t>
  </si>
  <si>
    <t>オークション &gt; 本、雑誌 &gt; アート、エンターテインメント &gt; 映画、テレビ &gt; タレント本 &gt; 芸能人、タレントの本 &gt; 小説</t>
  </si>
  <si>
    <t>オークション &gt; 不動産 &gt; 土地 &gt; 近畿 &gt; 京都府</t>
  </si>
  <si>
    <t>0,21600,2084009036,21784,2084009038,2084009039,2084033840</t>
  </si>
  <si>
    <t>0,2084060731,2084060734,2084060766,2084060891</t>
  </si>
  <si>
    <t>オークション &gt; 本、雑誌 &gt; アート、エンターテインメント &gt; 映画、テレビ &gt; タレント本 &gt; 芸能人、タレントの本 &gt; その他</t>
  </si>
  <si>
    <t>オークション &gt; 不動産 &gt; 土地 &gt; 近畿 &gt; 滋賀県</t>
  </si>
  <si>
    <t>0,21600,2084009036,21784,2084009038,2084009039,2084033843</t>
  </si>
  <si>
    <t>0,2084060731,2084060734,2084060766,2084060892</t>
  </si>
  <si>
    <t>デジタルモンスター</t>
  </si>
  <si>
    <t>オークション &gt; コミック、アニメグッズ &gt; 作品別 &gt; た行 &gt; デジタルモンスター</t>
  </si>
  <si>
    <t>0,20060,2084000109,2084034226,2084035357</t>
  </si>
  <si>
    <t>オークション &gt; 不動産 &gt; 土地 &gt; 近畿 &gt; 奈良県</t>
  </si>
  <si>
    <t>BOMB!</t>
  </si>
  <si>
    <t>0,2084060731,2084060734,2084060766,2084060893</t>
  </si>
  <si>
    <t>オークション &gt; 本、雑誌 &gt; 雑誌 &gt; アート、エンターテインメント &gt; アイドル、芸能人 &gt; BOMB!</t>
  </si>
  <si>
    <t>0,21600,21884,2084008056,2084008066,2084034022</t>
  </si>
  <si>
    <t>デスノート</t>
  </si>
  <si>
    <t>オークション &gt; コミック、アニメグッズ &gt; 作品別 &gt; た行 &gt; デスノート</t>
  </si>
  <si>
    <t>0,20060,2084000109,2084034226,2084063669</t>
  </si>
  <si>
    <t>DUNK</t>
  </si>
  <si>
    <t>オークション &gt; 本、雑誌 &gt; 雑誌 &gt; アート、エンターテインメント &gt; アイドル、芸能人 &gt; DUNK</t>
  </si>
  <si>
    <t>0,21600,21884,2084008056,2084008066,2084040626</t>
  </si>
  <si>
    <t>オークション &gt; 不動産 &gt; 土地 &gt; 近畿 &gt; 和歌山県</t>
  </si>
  <si>
    <t>デビルマン</t>
  </si>
  <si>
    <t>オークション &gt; コミック、アニメグッズ &gt; 作品別 &gt; た行 &gt; デビルマン</t>
  </si>
  <si>
    <t>0,2084060731,2084060734,2084060766,2084060894</t>
  </si>
  <si>
    <t>0,20060,2084000109,2084034226,2084035362</t>
  </si>
  <si>
    <t>Duet</t>
  </si>
  <si>
    <t>オークション &gt; 本、雑誌 &gt; 雑誌 &gt; アート、エンターテインメント &gt; アイドル、芸能人 &gt; Duet</t>
  </si>
  <si>
    <t>デュラララ!!</t>
  </si>
  <si>
    <t>0,21600,21884,2084008056,2084008066,2084034030</t>
  </si>
  <si>
    <t>オークション &gt; コミック、アニメグッズ &gt; 作品別 &gt; た行 &gt; デュラララ!!</t>
  </si>
  <si>
    <t>0,20060,2084000109,2084034226,2084309635</t>
  </si>
  <si>
    <t>オークション &gt; 不動産 &gt; 土地 &gt; 中国 &gt; 鳥取県</t>
  </si>
  <si>
    <t>0,2084060731,2084060734,2084060767,2084060895</t>
  </si>
  <si>
    <t>GiRL Pop</t>
  </si>
  <si>
    <t>オークション &gt; 本、雑誌 &gt; 雑誌 &gt; アート、エンターテインメント &gt; アイドル、芸能人 &gt; GiRL Pop</t>
  </si>
  <si>
    <t>トイ・ストーリー</t>
  </si>
  <si>
    <t>0,21600,21884,2084008056,2084008066,2084034004</t>
  </si>
  <si>
    <t>オークション &gt; コミック、アニメグッズ &gt; 作品別 &gt; た行 &gt; トイ・ストーリー</t>
  </si>
  <si>
    <t>0,20060,2084000109,2084034226,2084063758</t>
  </si>
  <si>
    <t>Girls Hits</t>
  </si>
  <si>
    <t>オークション &gt; 本、雑誌 &gt; 雑誌 &gt; アート、エンターテインメント &gt; アイドル、芸能人 &gt; Girls Hits</t>
  </si>
  <si>
    <t>トランスフォーマー</t>
  </si>
  <si>
    <t>0,21600,21884,2084008056,2084008066,2084034005</t>
  </si>
  <si>
    <t>オークション &gt; コミック、アニメグッズ &gt; 作品別 &gt; た行 &gt; トランスフォーマー</t>
  </si>
  <si>
    <t>オークション &gt; 不動産 &gt; 土地 &gt; 中国 &gt; 島根県</t>
  </si>
  <si>
    <t>0,20060,2084000109,2084034226,2084044255</t>
  </si>
  <si>
    <t>0,2084060731,2084060734,2084060767,2084060896</t>
  </si>
  <si>
    <t>ドカベン</t>
  </si>
  <si>
    <t>JUNON</t>
  </si>
  <si>
    <t>オークション &gt; コミック、アニメグッズ &gt; 作品別 &gt; た行 &gt; ドカベン</t>
  </si>
  <si>
    <t>オークション &gt; 本、雑誌 &gt; 雑誌 &gt; アート、エンターテインメント &gt; アイドル、芸能人 &gt; JUNON</t>
  </si>
  <si>
    <t>0,20060,2084000109,2084034226,2084035369</t>
  </si>
  <si>
    <t>0,21600,21884,2084008056,2084008066,2084034035</t>
  </si>
  <si>
    <t>オークション &gt; 不動産 &gt; 土地 &gt; 中国 &gt; 岡山県</t>
  </si>
  <si>
    <t>0,2084060731,2084060734,2084060767,2084060897</t>
  </si>
  <si>
    <t>ドクタースランプ</t>
  </si>
  <si>
    <t>オークション &gt; コミック、アニメグッズ &gt; 作品別 &gt; た行 &gt; ドクタースランプ</t>
  </si>
  <si>
    <t>Kindai</t>
  </si>
  <si>
    <t>0,20060,2084000109,2084034226,2084035370</t>
  </si>
  <si>
    <t>オークション &gt; 本、雑誌 &gt; 雑誌 &gt; アート、エンターテインメント &gt; アイドル、芸能人 &gt; Kindai</t>
  </si>
  <si>
    <t>0,21600,21884,2084008056,2084008066,2084034025</t>
  </si>
  <si>
    <t>オークション &gt; 不動産 &gt; 土地 &gt; 中国 &gt; 広島県</t>
  </si>
  <si>
    <t>0,2084060731,2084060734,2084060767,2084060898</t>
  </si>
  <si>
    <t>ドラえもん</t>
  </si>
  <si>
    <t>オークション &gt; コミック、アニメグッズ &gt; 作品別 &gt; た行 &gt; ドラえもん</t>
  </si>
  <si>
    <t>MOMOCO</t>
  </si>
  <si>
    <t>0,20060,2084000109,2084034226,2084005071</t>
  </si>
  <si>
    <t>オークション &gt; 本、雑誌 &gt; 雑誌 &gt; アート、エンターテインメント &gt; アイドル、芸能人 &gt; MOMOCO</t>
  </si>
  <si>
    <t>0,21600,21884,2084008056,2084008066,2084034027</t>
  </si>
  <si>
    <t>ドラゴンボール</t>
  </si>
  <si>
    <t>オークション &gt; コミック、アニメグッズ &gt; 作品別 &gt; た行 &gt; ドラゴンボール</t>
  </si>
  <si>
    <t>Mannish</t>
  </si>
  <si>
    <t>0,20060,2084000109,2084034226,2084000111</t>
  </si>
  <si>
    <t>オークション &gt; 不動産 &gt; 土地 &gt; 中国 &gt; 山口県</t>
  </si>
  <si>
    <t>オークション &gt; 本、雑誌 &gt; 雑誌 &gt; アート、エンターテインメント &gt; アイドル、芸能人 &gt; Mannish</t>
  </si>
  <si>
    <t>0,2084060731,2084060734,2084060767,2084060899</t>
  </si>
  <si>
    <t>0,21600,21884,2084008056,2084008066,2084034028</t>
  </si>
  <si>
    <t>逮捕しちゃうぞ</t>
  </si>
  <si>
    <t>オークション &gt; コミック、アニメグッズ &gt; 作品別 &gt; た行 &gt; 逮捕しちゃうぞ</t>
  </si>
  <si>
    <t>0,20060,2084000109,2084034226,2084006288</t>
  </si>
  <si>
    <t>オークション &gt; 不動産 &gt; 土地 &gt; 四国 &gt; 徳島県</t>
  </si>
  <si>
    <t>POTATO</t>
  </si>
  <si>
    <t>0,2084060731,2084060734,2084060768,2084060900</t>
  </si>
  <si>
    <t>オークション &gt; 本、雑誌 &gt; 雑誌 &gt; アート、エンターテインメント &gt; アイドル、芸能人 &gt; POTATO</t>
  </si>
  <si>
    <t>0,21600,21884,2084008056,2084008066,2084034023</t>
  </si>
  <si>
    <t>大空魔竜ガイキング</t>
  </si>
  <si>
    <t>オークション &gt; コミック、アニメグッズ &gt; 作品別 &gt; た行 &gt; 大空魔竜ガイキング</t>
  </si>
  <si>
    <t>0,20060,2084000109,2084034226,2084035347</t>
  </si>
  <si>
    <t>オークション &gt; 不動産 &gt; 土地 &gt; 四国 &gt; 香川県</t>
  </si>
  <si>
    <t>0,2084060731,2084060734,2084060768,2084060901</t>
  </si>
  <si>
    <t>WinkUp</t>
  </si>
  <si>
    <t>オークション &gt; 本、雑誌 &gt; 雑誌 &gt; アート、エンターテインメント &gt; アイドル、芸能人 &gt; WinkUp</t>
  </si>
  <si>
    <t>超時空要塞マクロス</t>
  </si>
  <si>
    <t>0,21600,21884,2084008056,2084008066,2084034029</t>
  </si>
  <si>
    <t>オークション &gt; コミック、アニメグッズ &gt; 作品別 &gt; た行 &gt; 超時空要塞マクロス</t>
  </si>
  <si>
    <t>0,20060,2084000109,2084034226,2084006272</t>
  </si>
  <si>
    <t>オークション &gt; 不動産 &gt; 土地 &gt; 四国 &gt; 愛媛県</t>
  </si>
  <si>
    <t>0,2084060731,2084060734,2084060768,2084060902</t>
  </si>
  <si>
    <t>アップトゥボーイ</t>
  </si>
  <si>
    <t>オークション &gt; 本、雑誌 &gt; 雑誌 &gt; アート、エンターテインメント &gt; アイドル、芸能人 &gt; アップトゥボーイ</t>
  </si>
  <si>
    <t>鉄人28号</t>
  </si>
  <si>
    <t>0,21600,21884,2084008056,2084008066,2084040625</t>
  </si>
  <si>
    <t>オークション &gt; コミック、アニメグッズ &gt; 作品別 &gt; た行 &gt; 鉄人28号</t>
  </si>
  <si>
    <t>0,20060,2084000109,2084034226,2084035359</t>
  </si>
  <si>
    <t>オークション &gt; 不動産 &gt; 土地 &gt; 四国 &gt; 高知県</t>
  </si>
  <si>
    <t>0,2084060731,2084060734,2084060768,2084060903</t>
  </si>
  <si>
    <t>ポポロ</t>
  </si>
  <si>
    <t>鉄腕アトム</t>
  </si>
  <si>
    <t>オークション &gt; 本、雑誌 &gt; 雑誌 &gt; アート、エンターテインメント &gt; アイドル、芸能人 &gt; ポポロ</t>
  </si>
  <si>
    <t>オークション &gt; コミック、アニメグッズ &gt; 作品別 &gt; た行 &gt; 鉄腕アトム</t>
  </si>
  <si>
    <t>0,21600,21884,2084008056,2084008066,2084045052</t>
  </si>
  <si>
    <t>0,20060,2084000109,2084034226,2084035360</t>
  </si>
  <si>
    <t>オークション &gt; 不動産 &gt; 土地 &gt; 九州 &gt; 福岡県</t>
  </si>
  <si>
    <t>0,2084060731,2084060734,2084060769,2084060904</t>
  </si>
  <si>
    <t>月刊カドカワ</t>
  </si>
  <si>
    <t>オークション &gt; 本、雑誌 &gt; 雑誌 &gt; アート、エンターテインメント &gt; アイドル、芸能人 &gt; 月刊カドカワ</t>
  </si>
  <si>
    <t>天空のエスカフローネ</t>
  </si>
  <si>
    <t>0,21600,21884,2084008056,2084008066,2084034031</t>
  </si>
  <si>
    <t>オークション &gt; コミック、アニメグッズ &gt; 作品別 &gt; た行 &gt; 天空のエスカフローネ</t>
  </si>
  <si>
    <t>0,20060,2084000109,2084034226,2084035365</t>
  </si>
  <si>
    <t>オークション &gt; 不動産 &gt; 土地 &gt; 九州 &gt; 佐賀県</t>
  </si>
  <si>
    <t>0,2084060731,2084060734,2084060769,2084060905</t>
  </si>
  <si>
    <t>月刊歌謡曲</t>
  </si>
  <si>
    <t>オークション &gt; 本、雑誌 &gt; 雑誌 &gt; アート、エンターテインメント &gt; アイドル、芸能人 &gt; 月刊歌謡曲</t>
  </si>
  <si>
    <t>0,21600,21884,2084008056,2084008066,2084034024</t>
  </si>
  <si>
    <t>天空戦記シュラト</t>
  </si>
  <si>
    <t>オークション &gt; 不動産 &gt; 土地 &gt; 九州 &gt; 長崎県</t>
  </si>
  <si>
    <t>オークション &gt; コミック、アニメグッズ &gt; 作品別 &gt; た行 &gt; 天空戦記シュラト</t>
  </si>
  <si>
    <t>0,2084060731,2084060734,2084060769,2084060906</t>
  </si>
  <si>
    <t>0,20060,2084000109,2084034226,2084035364</t>
  </si>
  <si>
    <t>平凡</t>
  </si>
  <si>
    <t>オークション &gt; 本、雑誌 &gt; 雑誌 &gt; アート、エンターテインメント &gt; アイドル、芸能人 &gt; 平凡</t>
  </si>
  <si>
    <t>0,21600,21884,2084008056,2084008066,2084045051</t>
  </si>
  <si>
    <t>天才バカボン</t>
  </si>
  <si>
    <t>オークション &gt; コミック、アニメグッズ &gt; 作品別 &gt; た行 &gt; 天才バカボン</t>
  </si>
  <si>
    <t>オークション &gt; 不動産 &gt; 土地 &gt; 九州 &gt; 熊本県</t>
  </si>
  <si>
    <t>0,20060,2084000109,2084034226,2084035366</t>
  </si>
  <si>
    <t>0,2084060731,2084060734,2084060769,2084060907</t>
  </si>
  <si>
    <t>明星、Myojo</t>
  </si>
  <si>
    <t>オークション &gt; 本、雑誌 &gt; 雑誌 &gt; アート、エンターテインメント &gt; アイドル、芸能人 &gt; 明星、Myojo</t>
  </si>
  <si>
    <t>0,21600,21884,2084008056,2084008066,2084034026</t>
  </si>
  <si>
    <t>天地無用!</t>
  </si>
  <si>
    <t>オークション &gt; コミック、アニメグッズ &gt; 作品別 &gt; た行 &gt; 天地無用!</t>
  </si>
  <si>
    <t>0,20060,2084000109,2084034226,2084007231</t>
  </si>
  <si>
    <t>オークション &gt; 不動産 &gt; 土地 &gt; 九州 &gt; 大分県</t>
  </si>
  <si>
    <t>0,2084060731,2084060734,2084060769,2084060908</t>
  </si>
  <si>
    <t>オークション &gt; 本、雑誌 &gt; 雑誌 &gt; アート、エンターテインメント &gt; アイドル、芸能人 &gt; その他</t>
  </si>
  <si>
    <t>0,21600,21884,2084008056,2084008066,2084034075</t>
  </si>
  <si>
    <t>伝説巨神イデオン</t>
  </si>
  <si>
    <t>オークション &gt; コミック、アニメグッズ &gt; 作品別 &gt; た行 &gt; 伝説巨神イデオン</t>
  </si>
  <si>
    <t>0,20060,2084000109,2084034226,2084035368</t>
  </si>
  <si>
    <t>オークション &gt; 不動産 &gt; 土地 &gt; 九州 &gt; 宮崎県</t>
  </si>
  <si>
    <t>0,2084060731,2084060734,2084060769,2084060909</t>
  </si>
  <si>
    <t>ジャパニーズポップス</t>
  </si>
  <si>
    <t>オークション &gt; チケット、金券、宿泊予約 &gt; 興行チケット &gt; 音楽 &gt; ジャパニーズポップス</t>
  </si>
  <si>
    <t>0,2084043920,22748,50060,2084005269</t>
  </si>
  <si>
    <t>東方Project</t>
  </si>
  <si>
    <t>オークション &gt; 不動産 &gt; 土地 &gt; 九州 &gt; 鹿児島県</t>
  </si>
  <si>
    <t>オークション &gt; コミック、アニメグッズ &gt; 作品別 &gt; た行 &gt; 東方Project</t>
  </si>
  <si>
    <t>0,2084060731,2084060734,2084060769,2084060910</t>
  </si>
  <si>
    <t>0,20060,2084000109,2084034226,2084309633</t>
  </si>
  <si>
    <t>演歌</t>
  </si>
  <si>
    <t>オークション &gt; チケット、金券、宿泊予約 &gt; 興行チケット &gt; 音楽 &gt; 演歌</t>
  </si>
  <si>
    <t>0,2084043920,22748,50060,2084059686</t>
  </si>
  <si>
    <t>オークション &gt; 不動産 &gt; その他 &gt; 東北 &gt; 青森県</t>
  </si>
  <si>
    <t>0,2084060731,2084060735,2084060773,2084060911</t>
  </si>
  <si>
    <t>NARUTO</t>
  </si>
  <si>
    <t>オークション &gt; コミック、アニメグッズ &gt; 作品別 &gt; な行 &gt; NARUTO</t>
  </si>
  <si>
    <t>洋楽</t>
  </si>
  <si>
    <t>0,20060,2084000109,2084034235,2084035442</t>
  </si>
  <si>
    <t>オークション &gt; チケット、金券、宿泊予約 &gt; 興行チケット &gt; 音楽 &gt; 洋楽</t>
  </si>
  <si>
    <t>0,2084043920,22748,50060,22788</t>
  </si>
  <si>
    <t>オークション &gt; 不動産 &gt; その他 &gt; 東北 &gt; 岩手県</t>
  </si>
  <si>
    <t>0,2084060731,2084060735,2084060773,2084060912</t>
  </si>
  <si>
    <t>ぬらりひょんの孫</t>
  </si>
  <si>
    <t>オークション &gt; コミック、アニメグッズ &gt; 作品別 &gt; な行 &gt; ぬらりひょんの孫</t>
  </si>
  <si>
    <t>クラシック</t>
  </si>
  <si>
    <t>0,20060,2084000109,2084034235,2084309696</t>
  </si>
  <si>
    <t>オークション &gt; チケット、金券、宿泊予約 &gt; 興行チケット &gt; 音楽 &gt; クラシック</t>
  </si>
  <si>
    <t>0,2084043920,22748,50060,2084039806</t>
  </si>
  <si>
    <t>オークション &gt; 不動産 &gt; その他 &gt; 東北 &gt; 宮城県</t>
  </si>
  <si>
    <t>0,2084060731,2084060735,2084060773,2084060913</t>
  </si>
  <si>
    <t>夏目友人帳</t>
  </si>
  <si>
    <t>オークション &gt; コミック、アニメグッズ &gt; 作品別 &gt; な行 &gt; 夏目友人帳</t>
  </si>
  <si>
    <t>オペラ</t>
  </si>
  <si>
    <t>0,20060,2084000109,2084034235,2084309695</t>
  </si>
  <si>
    <t>オークション &gt; チケット、金券、宿泊予約 &gt; 興行チケット &gt; 音楽 &gt; オペラ</t>
  </si>
  <si>
    <t>0,2084043920,22748,50060,22820</t>
  </si>
  <si>
    <t>オークション &gt; 不動産 &gt; その他 &gt; 東北 &gt; 秋田県</t>
  </si>
  <si>
    <t>0,2084060731,2084060735,2084060773,2084060914</t>
  </si>
  <si>
    <t>ジャズ</t>
  </si>
  <si>
    <t>南国少年パプワくん</t>
  </si>
  <si>
    <t>オークション &gt; チケット、金券、宿泊予約 &gt; 興行チケット &gt; 音楽 &gt; ジャズ</t>
  </si>
  <si>
    <t>オークション &gt; コミック、アニメグッズ &gt; 作品別 &gt; な行 &gt; 南国少年パプワくん</t>
  </si>
  <si>
    <t>0,2084043920,22748,50060,2084039805</t>
  </si>
  <si>
    <t>0,20060,2084000109,2084034235,2084035443</t>
  </si>
  <si>
    <t>オークション &gt; 不動産 &gt; その他 &gt; 東北 &gt; 山形県</t>
  </si>
  <si>
    <t>ミュージックフェスティバル</t>
  </si>
  <si>
    <t>日常</t>
  </si>
  <si>
    <t>0,2084060731,2084060735,2084060773,2084060915</t>
  </si>
  <si>
    <t>オークション &gt; チケット、金券、宿泊予約 &gt; 興行チケット &gt; 音楽 &gt; ミュージックフェスティバル</t>
  </si>
  <si>
    <t>オークション &gt; コミック、アニメグッズ &gt; 作品別 &gt; な行 &gt; 日常</t>
  </si>
  <si>
    <t>0,2084043920,22748,50060,22776</t>
  </si>
  <si>
    <t>0,20060,2084000109,2084034235,2084309694</t>
  </si>
  <si>
    <t>オークション &gt; 不動産 &gt; その他 &gt; 東北 &gt; 福島県</t>
  </si>
  <si>
    <t>キッズ、ファミリー</t>
  </si>
  <si>
    <t>0,2084060731,2084060735,2084060773,2084060916</t>
  </si>
  <si>
    <t>オークション &gt; チケット、金券、宿泊予約 &gt; 興行チケット &gt; 音楽 &gt; キッズ、ファミリー</t>
  </si>
  <si>
    <t>忍たま乱太郎</t>
  </si>
  <si>
    <t>0,2084043920,22748,50060,2084257084</t>
  </si>
  <si>
    <t>オークション &gt; コミック、アニメグッズ &gt; 作品別 &gt; な行 &gt; 忍たま乱太郎</t>
  </si>
  <si>
    <t>0,20060,2084000109,2084034235,2084035445</t>
  </si>
  <si>
    <t>オークション &gt; 不動産 &gt; その他 &gt; 関東 &gt; 東京都</t>
  </si>
  <si>
    <t>0,2084060731,2084060735,2084060774,2084060917</t>
  </si>
  <si>
    <t>オークション &gt; チケット、金券、宿泊予約 &gt; 興行チケット &gt; 音楽 &gt; その他</t>
  </si>
  <si>
    <t>0,2084043920,22748,50060,22796</t>
  </si>
  <si>
    <t>BLEACH</t>
  </si>
  <si>
    <t>オークション &gt; コミック、アニメグッズ &gt; 作品別 &gt; は行 &gt; BLEACH</t>
  </si>
  <si>
    <t>0,20060,2084000109,2084037024,2084063831</t>
  </si>
  <si>
    <t>オークション &gt; 不動産 &gt; その他 &gt; 関東 &gt; 神奈川県</t>
  </si>
  <si>
    <t>0,2084060731,2084060735,2084060774,2084060918</t>
  </si>
  <si>
    <t>ミュージカル</t>
  </si>
  <si>
    <t>オークション &gt; チケット、金券、宿泊予約 &gt; 興行チケット &gt; パフォーミングアート &gt; ミュージカル</t>
  </si>
  <si>
    <t>0,2084043920,22748,2084044328,22816</t>
  </si>
  <si>
    <t>FAIRY TAIL</t>
  </si>
  <si>
    <t>オークション &gt; コミック、アニメグッズ &gt; 作品別 &gt; は行 &gt; FAIRY TAIL</t>
  </si>
  <si>
    <t>0,20060,2084000109,2084037024,2084309697</t>
  </si>
  <si>
    <t>演劇</t>
  </si>
  <si>
    <t>オークション &gt; チケット、金券、宿泊予約 &gt; 興行チケット &gt; パフォーミングアート &gt; 演劇</t>
  </si>
  <si>
    <t>0,2084043920,22748,2084044328,22824</t>
  </si>
  <si>
    <t>FORTUNE ARTERIAL</t>
  </si>
  <si>
    <t>オークション &gt; コミック、アニメグッズ &gt; 作品別 &gt; は行 &gt; FORTUNE ARTERIAL</t>
  </si>
  <si>
    <t>0,20060,2084000109,2084037024,2084309699</t>
  </si>
  <si>
    <t>お笑い、演芸</t>
  </si>
  <si>
    <t>オークション &gt; チケット、金券、宿泊予約 &gt; 興行チケット &gt; パフォーミングアート &gt; お笑い、演芸</t>
  </si>
  <si>
    <t>0,2084043920,22748,2084044328,2084039797</t>
  </si>
  <si>
    <t>HUNTER×HUNTER</t>
  </si>
  <si>
    <t>オークション &gt; コミック、アニメグッズ &gt; 作品別 &gt; は行 &gt; HUNTER×HUNTER</t>
  </si>
  <si>
    <t>0,20060,2084000109,2084037024,2084006257</t>
  </si>
  <si>
    <t>オークション &gt; 不動産 &gt; その他 &gt; 関東 &gt; 埼玉県</t>
  </si>
  <si>
    <t>0,2084060731,2084060735,2084060774,2084060919</t>
  </si>
  <si>
    <t>オークション &gt; チケット、金券、宿泊予約 &gt; 興行チケット &gt; パフォーミングアート &gt; オペラ</t>
  </si>
  <si>
    <t>0,2084043920,22748,2084044328,22820</t>
  </si>
  <si>
    <t>はじめの一歩</t>
  </si>
  <si>
    <t>オークション &gt; コミック、アニメグッズ &gt; 作品別 &gt; は行 &gt; はじめの一歩</t>
  </si>
  <si>
    <t>0,20060,2084000109,2084037024,2084035715</t>
  </si>
  <si>
    <t>バレエ、ダンス</t>
  </si>
  <si>
    <t>オークション &gt; チケット、金券、宿泊予約 &gt; 興行チケット &gt; パフォーミングアート &gt; バレエ、ダンス</t>
  </si>
  <si>
    <t>0,2084043920,22748,2084044328,22804</t>
  </si>
  <si>
    <t>オークション &gt; 不動産 &gt; その他 &gt; 関東 &gt; 千葉県</t>
  </si>
  <si>
    <t>ひぐらしのなく頃に</t>
  </si>
  <si>
    <t>伝統芸能</t>
  </si>
  <si>
    <t>オークション &gt; コミック、アニメグッズ &gt; 作品別 &gt; は行 &gt; ひぐらしのなく頃に</t>
  </si>
  <si>
    <t>オークション &gt; チケット、金券、宿泊予約 &gt; 興行チケット &gt; パフォーミングアート &gt; 伝統芸能</t>
  </si>
  <si>
    <t>0,20060,2084000109,2084037024,2084309701</t>
  </si>
  <si>
    <t>0,2084060731,2084060735,2084060774,2084060920</t>
  </si>
  <si>
    <t>0,2084043920,22748,2084044328,2084039794</t>
  </si>
  <si>
    <t>ふしぎの海のナディア</t>
  </si>
  <si>
    <t>オークション &gt; コミック、アニメグッズ &gt; 作品別 &gt; は行 &gt; ふしぎの海のナディア</t>
  </si>
  <si>
    <t>0,20060,2084000109,2084037024,2084035700</t>
  </si>
  <si>
    <t>アメリカンフットボール</t>
  </si>
  <si>
    <t>オークション &gt; チケット、金券、宿泊予約 &gt; 興行チケット &gt; スポーツ &gt; アメリカンフットボール</t>
  </si>
  <si>
    <t>0,2084043920,22748,25430,25448</t>
  </si>
  <si>
    <t>オークション &gt; 不動産 &gt; その他 &gt; 関東 &gt; 茨城県</t>
  </si>
  <si>
    <t>0,2084060731,2084060735,2084060774,2084060921</t>
  </si>
  <si>
    <t>ふしぎ遊戯</t>
  </si>
  <si>
    <t>オークション &gt; コミック、アニメグッズ &gt; 作品別 &gt; は行 &gt; ふしぎ遊戯</t>
  </si>
  <si>
    <t>0,20060,2084000109,2084037024,2084035701</t>
  </si>
  <si>
    <t>ゴルフ</t>
  </si>
  <si>
    <t>オークション &gt; チケット、金券、宿泊予約 &gt; 興行チケット &gt; スポーツ &gt; ゴルフ</t>
  </si>
  <si>
    <t>0,2084043920,22748,25430,25450</t>
  </si>
  <si>
    <t>ふたりはプリキュア</t>
  </si>
  <si>
    <t>オークション &gt; コミック、アニメグッズ &gt; 作品別 &gt; は行 &gt; ふたりはプリキュア</t>
  </si>
  <si>
    <t>オークション &gt; 不動産 &gt; その他 &gt; 関東 &gt; 栃木県</t>
  </si>
  <si>
    <t>0,20060,2084000109,2084037024,2084063922</t>
  </si>
  <si>
    <t>0,2084060731,2084060735,2084060774,2084061320</t>
  </si>
  <si>
    <t>サッカー</t>
  </si>
  <si>
    <t>オークション &gt; チケット、金券、宿泊予約 &gt; 興行チケット &gt; スポーツ &gt; サッカー</t>
  </si>
  <si>
    <t>0,2084043920,22748,25430,25456</t>
  </si>
  <si>
    <t>ハローキティ</t>
  </si>
  <si>
    <t>オークション &gt; コミック、アニメグッズ &gt; 作品別 &gt; は行 &gt; ハローキティ</t>
  </si>
  <si>
    <t>0,20060,2084000109,2084037024,2084000112</t>
  </si>
  <si>
    <t>ソフトボール</t>
  </si>
  <si>
    <t>オークション &gt; チケット、金券、宿泊予約 &gt; 興行チケット &gt; スポーツ &gt; ソフトボール</t>
  </si>
  <si>
    <t>0,2084043920,22748,25430,2084045757</t>
  </si>
  <si>
    <t>オークション &gt; 不動産 &gt; その他 &gt; 関東 &gt; 群馬県</t>
  </si>
  <si>
    <t>0,2084060731,2084060735,2084060774,2084061321</t>
  </si>
  <si>
    <t>バカとテストと召喚獣</t>
  </si>
  <si>
    <t>オークション &gt; コミック、アニメグッズ &gt; 作品別 &gt; は行 &gt; バカとテストと召喚獣</t>
  </si>
  <si>
    <t>0,20060,2084000109,2084037024,2084309706</t>
  </si>
  <si>
    <t>テニス</t>
  </si>
  <si>
    <t>オークション &gt; チケット、金券、宿泊予約 &gt; 興行チケット &gt; スポーツ &gt; テニス</t>
  </si>
  <si>
    <t>オークション &gt; 不動産 &gt; その他 &gt; 関東 &gt; 山梨県</t>
  </si>
  <si>
    <t>0,2084043920,22748,25430,2084230533</t>
  </si>
  <si>
    <t>バカボン</t>
  </si>
  <si>
    <t>0,2084060731,2084060735,2084060774,2084061322</t>
  </si>
  <si>
    <t>オークション &gt; コミック、アニメグッズ &gt; 作品別 &gt; は行 &gt; バカボン</t>
  </si>
  <si>
    <t>0,20060,2084000109,2084037024,2084035366</t>
  </si>
  <si>
    <t>オークション &gt; 不動産 &gt; その他 &gt; 信越 &gt; 新潟県</t>
  </si>
  <si>
    <t>バキ</t>
  </si>
  <si>
    <t>0,2084060731,2084060735,2084060775,2084060922</t>
  </si>
  <si>
    <t>オークション &gt; コミック、アニメグッズ &gt; 作品別 &gt; は行 &gt; バキ</t>
  </si>
  <si>
    <t>バスケットボール</t>
  </si>
  <si>
    <t>0,20060,2084000109,2084037024,2084044159</t>
  </si>
  <si>
    <t>オークション &gt; チケット、金券、宿泊予約 &gt; 興行チケット &gt; スポーツ &gt; バスケットボール</t>
  </si>
  <si>
    <t>0,2084043920,22748,25430,25442</t>
  </si>
  <si>
    <t>オークション &gt; 不動産 &gt; その他 &gt; 信越 &gt; 長野県</t>
  </si>
  <si>
    <t>0,2084060731,2084060735,2084060775,2084060923</t>
  </si>
  <si>
    <t>バレーボール</t>
  </si>
  <si>
    <t>オークション &gt; チケット、金券、宿泊予約 &gt; 興行チケット &gt; スポーツ &gt; バレーボール</t>
  </si>
  <si>
    <t>バトルアスリーテス大運動会</t>
  </si>
  <si>
    <t>0,2084043920,22748,25430,2084230534</t>
  </si>
  <si>
    <t>オークション &gt; コミック、アニメグッズ &gt; 作品別 &gt; は行 &gt; バトルアスリーテス大運動会</t>
  </si>
  <si>
    <t>0,20060,2084000109,2084037024,2084035718</t>
  </si>
  <si>
    <t>オークション &gt; 不動産 &gt; その他 &gt; 北陸 &gt; 富山県</t>
  </si>
  <si>
    <t>0,2084060731,2084060735,2084060776,2084060924</t>
  </si>
  <si>
    <t>モーターレース</t>
  </si>
  <si>
    <t>パワーパフガールズ</t>
  </si>
  <si>
    <t>オークション &gt; チケット、金券、宿泊予約 &gt; 興行チケット &gt; スポーツ &gt; モーターレース</t>
  </si>
  <si>
    <t>オークション &gt; コミック、アニメグッズ &gt; 作品別 &gt; は行 &gt; パワーパフガールズ</t>
  </si>
  <si>
    <t>0,2084043920,22748,25430,25438</t>
  </si>
  <si>
    <t>0,20060,2084000109,2084037024,2084044269</t>
  </si>
  <si>
    <t>オークション &gt; 不動産 &gt; その他 &gt; 北陸 &gt; 石川県</t>
  </si>
  <si>
    <t>0,2084060731,2084060735,2084060776,2084060925</t>
  </si>
  <si>
    <t>ファイブスター物語</t>
  </si>
  <si>
    <t>格闘技、プロレス</t>
  </si>
  <si>
    <t>オークション &gt; コミック、アニメグッズ &gt; 作品別 &gt; は行 &gt; ファイブスター物語</t>
  </si>
  <si>
    <t>オークション &gt; チケット、金券、宿泊予約 &gt; 興行チケット &gt; スポーツ &gt; 格闘技、プロレス</t>
  </si>
  <si>
    <t>0,20060,2084000109,2084037024,2084035698</t>
  </si>
  <si>
    <t>0,2084043920,22748,25430,25458</t>
  </si>
  <si>
    <t>オークション &gt; 不動産 &gt; その他 &gt; 北陸 &gt; 福井県</t>
  </si>
  <si>
    <t>0,2084060731,2084060735,2084060776,2084060926</t>
  </si>
  <si>
    <t>フランダースの犬</t>
  </si>
  <si>
    <t>野球</t>
  </si>
  <si>
    <t>オークション &gt; コミック、アニメグッズ &gt; 作品別 &gt; は行 &gt; フランダースの犬</t>
  </si>
  <si>
    <t>オークション &gt; チケット、金券、宿泊予約 &gt; 興行チケット &gt; スポーツ &gt; 野球</t>
  </si>
  <si>
    <t>0,20060,2084000109,2084037024,2084035703</t>
  </si>
  <si>
    <t>0,2084043920,22748,25430,2084045756</t>
  </si>
  <si>
    <t>オークション &gt; 不動産 &gt; その他 &gt; 東海 &gt; 愛知県</t>
  </si>
  <si>
    <t>ブラックジャック</t>
  </si>
  <si>
    <t>オークション &gt; コミック、アニメグッズ &gt; 作品別 &gt; は行 &gt; ブラックジャック</t>
  </si>
  <si>
    <t>0,20060,2084000109,2084037024,2084035702</t>
  </si>
  <si>
    <t>オークション &gt; チケット、金券、宿泊予約 &gt; 興行チケット &gt; スポーツ &gt; その他</t>
  </si>
  <si>
    <t>0,2084060731,2084060735,2084060777,2084060927</t>
  </si>
  <si>
    <t>0,2084043920,22748,25430,25460</t>
  </si>
  <si>
    <t>プリキュアシリーズ</t>
  </si>
  <si>
    <t>オークション &gt; コミック、アニメグッズ &gt; 作品別 &gt; は行 &gt; プリキュアシリーズ</t>
  </si>
  <si>
    <t>0,20060,2084000109,2084037024,2084309700</t>
  </si>
  <si>
    <t>トークショー、講演会</t>
  </si>
  <si>
    <t>オークション &gt; チケット、金券、宿泊予約 &gt; 興行チケット &gt; イベント &gt; トークショー、講演会</t>
  </si>
  <si>
    <t>0,2084043920,22748,2084044329,2084208643</t>
  </si>
  <si>
    <t>オークション &gt; 不動産 &gt; その他 &gt; 東海 &gt; 岐阜県</t>
  </si>
  <si>
    <t>ヘタリア</t>
  </si>
  <si>
    <t>0,2084060731,2084060735,2084060777,2084060928</t>
  </si>
  <si>
    <t>オークション &gt; コミック、アニメグッズ &gt; 作品別 &gt; は行 &gt; ヘタリア</t>
  </si>
  <si>
    <t>0,20060,2084000109,2084037024,2084309702</t>
  </si>
  <si>
    <t>オークション &gt; チケット、金券、宿泊予約 &gt; 興行チケット &gt; イベント &gt; キッズ、ファミリー</t>
  </si>
  <si>
    <t>0,2084043920,22748,2084044329,2084257084</t>
  </si>
  <si>
    <t>オークション &gt; 不動産 &gt; その他 &gt; 東海 &gt; 静岡県</t>
  </si>
  <si>
    <t>0,2084060731,2084060735,2084060777,2084060929</t>
  </si>
  <si>
    <t>オークション &gt; チケット、金券、宿泊予約 &gt; 興行チケット &gt; イベント &gt; ミュージックフェスティバル</t>
  </si>
  <si>
    <t>ベルサイユのばら</t>
  </si>
  <si>
    <t>0,2084043920,22748,2084044329,22776</t>
  </si>
  <si>
    <t>オークション &gt; コミック、アニメグッズ &gt; 作品別 &gt; は行 &gt; ベルサイユのばら</t>
  </si>
  <si>
    <t>0,20060,2084000109,2084037024,2084035707</t>
  </si>
  <si>
    <t>美術展、博物展</t>
  </si>
  <si>
    <t>オークション &gt; 不動産 &gt; その他 &gt; 東海 &gt; 三重県</t>
  </si>
  <si>
    <t>オークション &gt; チケット、金券、宿泊予約 &gt; 興行チケット &gt; イベント &gt; 美術展、博物展</t>
  </si>
  <si>
    <t>0,2084043920,22748,2084044329,2084039803</t>
  </si>
  <si>
    <t>0,2084060731,2084060735,2084060777,2084060930</t>
  </si>
  <si>
    <t>ベルセルク</t>
  </si>
  <si>
    <t>オークション &gt; コミック、アニメグッズ &gt; 作品別 &gt; は行 &gt; ベルセルク</t>
  </si>
  <si>
    <t>オークション &gt; 不動産 &gt; その他 &gt; 近畿 &gt; 大阪府</t>
  </si>
  <si>
    <t>オークション &gt; チケット、金券、宿泊予約 &gt; 興行チケット &gt; イベント &gt; その他</t>
  </si>
  <si>
    <t>0,20060,2084000109,2084037024,2084035708</t>
  </si>
  <si>
    <t>0,2084060731,2084060735,2084060778,2084060931</t>
  </si>
  <si>
    <t>0,2084043920,22748,2084044329,2084208644</t>
  </si>
  <si>
    <t>オークション &gt; 不動産 &gt; その他 &gt; 近畿 &gt; 兵庫県</t>
  </si>
  <si>
    <t>ボーカロイド</t>
  </si>
  <si>
    <t>0,2084060731,2084060735,2084060778,2084060932</t>
  </si>
  <si>
    <t>オークション &gt; コミック、アニメグッズ &gt; 作品別 &gt; は行 &gt; ボーカロイド</t>
  </si>
  <si>
    <t>邦画</t>
  </si>
  <si>
    <t>オークション &gt; チケット、金券、宿泊予約 &gt; 興行チケット &gt; 映画 &gt; 邦画</t>
  </si>
  <si>
    <t>0,2084043920,22748,2084039789,2084060556</t>
  </si>
  <si>
    <t>0,20060,2084000109,2084037024,2084309703</t>
  </si>
  <si>
    <t>オークション &gt; 不動産 &gt; その他 &gt; 近畿 &gt; 京都府</t>
  </si>
  <si>
    <t>洋画</t>
  </si>
  <si>
    <t>0,2084060731,2084060735,2084060778,2084060933</t>
  </si>
  <si>
    <t>オークション &gt; チケット、金券、宿泊予約 &gt; 興行チケット &gt; 映画 &gt; 洋画</t>
  </si>
  <si>
    <t>ボトムズ</t>
  </si>
  <si>
    <t>0,2084043920,22748,2084039789,2084060557</t>
  </si>
  <si>
    <t>オークション &gt; コミック、アニメグッズ &gt; 作品別 &gt; は行 &gt; ボトムズ</t>
  </si>
  <si>
    <t>0,20060,2084000109,2084037024,2084035106</t>
  </si>
  <si>
    <t>オークション &gt; 不動産 &gt; その他 &gt; 近畿 &gt; 滋賀県</t>
  </si>
  <si>
    <t>0,2084060731,2084060735,2084060778,2084060934</t>
  </si>
  <si>
    <t>オークション &gt; チケット、金券、宿泊予約 &gt; 興行チケット &gt; 映画 &gt; その他</t>
  </si>
  <si>
    <t>ポケットモンスター</t>
  </si>
  <si>
    <t>オークション &gt; コミック、アニメグッズ &gt; 作品別 &gt; は行 &gt; ポケットモンスター</t>
  </si>
  <si>
    <t>0,20060,2084000109,2084037024,27813</t>
  </si>
  <si>
    <t>0,2084043920,22748,2084039789,2084060558</t>
  </si>
  <si>
    <t>オークション &gt; 不動産 &gt; その他 &gt; 近畿 &gt; 奈良県</t>
  </si>
  <si>
    <t>0,2084060731,2084060735,2084060778,2084060935</t>
  </si>
  <si>
    <t>オークション &gt; コミック、アニメグッズ &gt; 作品別 &gt; は行 &gt; ヴァイスクロイツ</t>
  </si>
  <si>
    <t>0,20060,2084000109,2084037024,2084044310</t>
  </si>
  <si>
    <t>オークション &gt; チケット、金券、宿泊予約 &gt; プリペイドカード &gt; テレホンカード &gt; 芸能人、タレント &gt; 女性タレント &gt; あ行</t>
  </si>
  <si>
    <t>0,2084043920,2084007688,23968,2084005109,2084005111,2084024978</t>
  </si>
  <si>
    <t>鋼の錬金術師</t>
  </si>
  <si>
    <t>オークション &gt; 不動産 &gt; その他 &gt; 近畿 &gt; 和歌山県</t>
  </si>
  <si>
    <t>オークション &gt; コミック、アニメグッズ &gt; 作品別 &gt; は行 &gt; 鋼の錬金術師</t>
  </si>
  <si>
    <t>0,2084060731,2084060735,2084060778,2084060936</t>
  </si>
  <si>
    <t>0,20060,2084000109,2084037024,2084051266</t>
  </si>
  <si>
    <t>オークション &gt; チケット、金券、宿泊予約 &gt; プリペイドカード &gt; テレホンカード &gt; 芸能人、タレント &gt; 女性タレント &gt; か行</t>
  </si>
  <si>
    <t>0,2084043920,2084007688,23968,2084005109,2084005111,2084025705</t>
  </si>
  <si>
    <t>オークション &gt; 不動産 &gt; その他 &gt; 中国 &gt; 鳥取県</t>
  </si>
  <si>
    <t>オークション &gt; チケット、金券、宿泊予約 &gt; プリペイドカード &gt; テレホンカード &gt; 芸能人、タレント &gt; 女性タレント &gt; さ行</t>
  </si>
  <si>
    <t>0,2084060731,2084060735,2084060779,2084060937</t>
  </si>
  <si>
    <t>覇王大系 リューナイト</t>
  </si>
  <si>
    <t>0,2084043920,2084007688,23968,2084005109,2084005111,2084026000</t>
  </si>
  <si>
    <t>オークション &gt; コミック、アニメグッズ &gt; 作品別 &gt; は行 &gt; 覇王大系 リューナイト</t>
  </si>
  <si>
    <t>0,20060,2084000109,2084037024,2084035712</t>
  </si>
  <si>
    <t>オークション &gt; チケット、金券、宿泊予約 &gt; プリペイドカード &gt; テレホンカード &gt; 芸能人、タレント &gt; 女性タレント &gt; た行</t>
  </si>
  <si>
    <t>オークション &gt; 不動産 &gt; その他 &gt; 中国 &gt; 島根県</t>
  </si>
  <si>
    <t>破裏拳ポリマー</t>
  </si>
  <si>
    <t>0,2084043920,2084007688,23968,2084005109,2084005111,2084026279</t>
  </si>
  <si>
    <t>0,2084060731,2084060735,2084060779,2084060938</t>
  </si>
  <si>
    <t>オークション &gt; コミック、アニメグッズ &gt; 作品別 &gt; は行 &gt; 破裏拳ポリマー</t>
  </si>
  <si>
    <t>0,20060,2084000109,2084037024,2084035693</t>
  </si>
  <si>
    <t>オークション &gt; チケット、金券、宿泊予約 &gt; プリペイドカード &gt; テレホンカード &gt; 芸能人、タレント &gt; 女性タレント &gt; な行</t>
  </si>
  <si>
    <t>0,2084043920,2084007688,23968,2084005109,2084005111,2084026376</t>
  </si>
  <si>
    <t>オークション &gt; 不動産 &gt; その他 &gt; 中国 &gt; 岡山県</t>
  </si>
  <si>
    <t>0,2084060731,2084060735,2084060779,2084060939</t>
  </si>
  <si>
    <t>薄桜鬼</t>
  </si>
  <si>
    <t>オークション &gt; コミック、アニメグッズ &gt; 作品別 &gt; は行 &gt; 薄桜鬼</t>
  </si>
  <si>
    <t>オークション &gt; チケット、金券、宿泊予約 &gt; プリペイドカード &gt; テレホンカード &gt; 芸能人、タレント &gt; 女性タレント &gt; は行</t>
  </si>
  <si>
    <t>0,20060,2084000109,2084037024,2084309698</t>
  </si>
  <si>
    <t>0,2084043920,2084007688,23968,2084005109,2084005111,2084026553</t>
  </si>
  <si>
    <t>オークション &gt; 不動産 &gt; その他 &gt; 中国 &gt; 広島県</t>
  </si>
  <si>
    <t>0,2084060731,2084060735,2084060779,2084060940</t>
  </si>
  <si>
    <t>爆走兄弟レッツ&amp;ゴー!!</t>
  </si>
  <si>
    <t>オークション &gt; コミック、アニメグッズ &gt; 作品別 &gt; は行 &gt; 爆走兄弟レッツ&amp;ゴー!!</t>
  </si>
  <si>
    <t>オークション &gt; チケット、金券、宿泊予約 &gt; プリペイドカード &gt; テレホンカード &gt; 芸能人、タレント &gt; 女性タレント &gt; ま行</t>
  </si>
  <si>
    <t>0,20060,2084000109,2084037024,2084035713</t>
  </si>
  <si>
    <t>0,2084043920,2084007688,23968,2084005109,2084005111,2084026748</t>
  </si>
  <si>
    <t>オークション &gt; 不動産 &gt; その他 &gt; 中国 &gt; 山口県</t>
  </si>
  <si>
    <t>0,2084060731,2084060735,2084060779,2084060941</t>
  </si>
  <si>
    <t>オークション &gt; チケット、金券、宿泊予約 &gt; プリペイドカード &gt; テレホンカード &gt; 芸能人、タレント &gt; 女性タレント &gt; や行</t>
  </si>
  <si>
    <t>封神演義</t>
  </si>
  <si>
    <t>0,2084043920,2084007688,23968,2084005109,2084005111,2084026931</t>
  </si>
  <si>
    <t>オークション &gt; コミック、アニメグッズ &gt; 作品別 &gt; は行 &gt; 封神演義</t>
  </si>
  <si>
    <t>オークション &gt; 不動産 &gt; その他 &gt; 四国 &gt; 徳島県</t>
  </si>
  <si>
    <t>0,20060,2084000109,2084037024,2084007400</t>
  </si>
  <si>
    <t>0,2084060731,2084060735,2084060780,2084060942</t>
  </si>
  <si>
    <t>オークション &gt; チケット、金券、宿泊予約 &gt; プリペイドカード &gt; テレホンカード &gt; 芸能人、タレント &gt; 女性タレント &gt; ら行</t>
  </si>
  <si>
    <t>0,2084043920,2084007688,23968,2084005109,2084005111,2084027057</t>
  </si>
  <si>
    <t>母をたずねて三千里</t>
  </si>
  <si>
    <t>オークション &gt; コミック、アニメグッズ &gt; 作品別 &gt; は行 &gt; 母をたずねて三千里</t>
  </si>
  <si>
    <t>オークション &gt; 不動産 &gt; その他 &gt; 四国 &gt; 香川県</t>
  </si>
  <si>
    <t>0,20060,2084000109,2084037024,2084035719</t>
  </si>
  <si>
    <t>0,2084060731,2084060735,2084060780,2084060943</t>
  </si>
  <si>
    <t>オークション &gt; チケット、金券、宿泊予約 &gt; プリペイドカード &gt; テレホンカード &gt; 芸能人、タレント &gt; 女性タレント &gt; わ行</t>
  </si>
  <si>
    <t>0,2084043920,2084007688,23968,2084005109,2084005111,2084027073</t>
  </si>
  <si>
    <t>北斗の拳</t>
  </si>
  <si>
    <t>オークション &gt; コミック、アニメグッズ &gt; 作品別 &gt; は行 &gt; 北斗の拳</t>
  </si>
  <si>
    <t>0,20060,2084000109,2084037024,2084035710</t>
  </si>
  <si>
    <t>オークション &gt; 不動産 &gt; その他 &gt; 四国 &gt; 愛媛県</t>
  </si>
  <si>
    <t>0,2084060731,2084060735,2084060780,2084060944</t>
  </si>
  <si>
    <t>オークション &gt; チケット、金券、宿泊予約 &gt; プリペイドカード &gt; テレホンカード &gt; 芸能人、タレント &gt; 男性タレント &gt; あ行</t>
  </si>
  <si>
    <t>0,2084043920,2084007688,23968,2084005109,2084005110,2084025021</t>
  </si>
  <si>
    <t>万能文化猫娘</t>
  </si>
  <si>
    <t>オークション &gt; コミック、アニメグッズ &gt; 作品別 &gt; は行 &gt; 万能文化猫娘</t>
  </si>
  <si>
    <t>0,20060,2084000109,2084037024,2084035694</t>
  </si>
  <si>
    <t>オークション &gt; 不動産 &gt; その他 &gt; 四国 &gt; 高知県</t>
  </si>
  <si>
    <t>オークション &gt; チケット、金券、宿泊予約 &gt; プリペイドカード &gt; テレホンカード &gt; 芸能人、タレント &gt; 男性タレント &gt; か行</t>
  </si>
  <si>
    <t>0,2084043920,2084007688,23968,2084005109,2084005110,2084025735</t>
  </si>
  <si>
    <t>0,2084060731,2084060735,2084060780,2084060945</t>
  </si>
  <si>
    <t>まもって守護月天</t>
  </si>
  <si>
    <t>オークション &gt; コミック、アニメグッズ &gt; 作品別 &gt; ま行 &gt; まもって守護月天</t>
  </si>
  <si>
    <t>0,20060,2084000109,2084034253,2084006266</t>
  </si>
  <si>
    <t>オークション &gt; 不動産 &gt; その他 &gt; 九州 &gt; 福岡県</t>
  </si>
  <si>
    <t>0,2084060731,2084060735,2084060781,2084060946</t>
  </si>
  <si>
    <t>オークション &gt; チケット、金券、宿泊予約 &gt; プリペイドカード &gt; テレホンカード &gt; 芸能人、タレント &gt; 男性タレント &gt; さ行</t>
  </si>
  <si>
    <t>0,2084043920,2084007688,23968,2084005109,2084005110,2084026040</t>
  </si>
  <si>
    <t>めぞん一刻</t>
  </si>
  <si>
    <t>オークション &gt; 不動産 &gt; その他 &gt; 九州 &gt; 佐賀県</t>
  </si>
  <si>
    <t>オークション &gt; コミック、アニメグッズ &gt; 作品別 &gt; ま行 &gt; めぞん一刻</t>
  </si>
  <si>
    <t>0,2084060731,2084060735,2084060781,2084060947</t>
  </si>
  <si>
    <t>オークション &gt; チケット、金券、宿泊予約 &gt; プリペイドカード &gt; テレホンカード &gt; 芸能人、タレント &gt; 男性タレント &gt; た行</t>
  </si>
  <si>
    <t>0,20060,2084000109,2084034253,2084035924</t>
  </si>
  <si>
    <t>0,2084043920,2084007688,23968,2084005109,2084005110,2084026285</t>
  </si>
  <si>
    <t>オークション &gt; 不動産 &gt; その他 &gt; 九州 &gt; 長崎県</t>
  </si>
  <si>
    <t>0,2084060731,2084060735,2084060781,2084060948</t>
  </si>
  <si>
    <t>オークション &gt; チケット、金券、宿泊予約 &gt; プリペイドカード &gt; テレホンカード &gt; 芸能人、タレント &gt; 男性タレント &gt; な行</t>
  </si>
  <si>
    <t>0,2084043920,2084007688,23968,2084005109,2084005110,2084026395</t>
  </si>
  <si>
    <t>もののけ姫</t>
  </si>
  <si>
    <t>オークション &gt; コミック、アニメグッズ &gt; 作品別 &gt; ま行 &gt; もののけ姫</t>
  </si>
  <si>
    <t>0,20060,2084000109,2084034253,2084035925</t>
  </si>
  <si>
    <t>オークション &gt; 不動産 &gt; その他 &gt; 九州 &gt; 熊本県</t>
  </si>
  <si>
    <t>0,2084060731,2084060735,2084060781,2084060949</t>
  </si>
  <si>
    <t>オークション &gt; チケット、金券、宿泊予約 &gt; プリペイドカード &gt; テレホンカード &gt; 芸能人、タレント &gt; 男性タレント &gt; は行</t>
  </si>
  <si>
    <t>0,2084043920,2084007688,23968,2084005109,2084005110,2084026586</t>
  </si>
  <si>
    <t>マギ</t>
  </si>
  <si>
    <t>オークション &gt; 不動産 &gt; その他 &gt; 九州 &gt; 大分県</t>
  </si>
  <si>
    <t>0,2084060731,2084060735,2084060781,2084060950</t>
  </si>
  <si>
    <t>オークション &gt; コミック、アニメグッズ &gt; 作品別 &gt; ま行 &gt; マギ</t>
  </si>
  <si>
    <t>0,20060,2084000109,2084034253,2084309708</t>
  </si>
  <si>
    <t>オークション &gt; チケット、金券、宿泊予約 &gt; プリペイドカード &gt; テレホンカード &gt; 芸能人、タレント &gt; 男性タレント &gt; ま行</t>
  </si>
  <si>
    <t>0,2084043920,2084007688,23968,2084005109,2084005110,2084026789</t>
  </si>
  <si>
    <t>オークション &gt; 不動産 &gt; その他 &gt; 九州 &gt; 宮崎県</t>
  </si>
  <si>
    <t>マクロス</t>
  </si>
  <si>
    <t>0,2084060731,2084060735,2084060781,2084060951</t>
  </si>
  <si>
    <t>オークション &gt; コミック、アニメグッズ &gt; 作品別 &gt; ま行 &gt; マクロス</t>
  </si>
  <si>
    <t>オークション &gt; チケット、金券、宿泊予約 &gt; プリペイドカード &gt; テレホンカード &gt; 芸能人、タレント &gt; 男性タレント &gt; や行</t>
  </si>
  <si>
    <t>0,20060,2084000109,2084034253,2084006272</t>
  </si>
  <si>
    <t>0,2084043920,2084007688,23968,2084005109,2084005110,2084026951</t>
  </si>
  <si>
    <t>オークション &gt; 不動産 &gt; その他 &gt; 九州 &gt; 鹿児島県</t>
  </si>
  <si>
    <t>マジンガーZ</t>
  </si>
  <si>
    <t>0,2084060731,2084060735,2084060781,2084060952</t>
  </si>
  <si>
    <t>オークション &gt; コミック、アニメグッズ &gt; 作品別 &gt; ま行 &gt; マジンガーZ</t>
  </si>
  <si>
    <t>オークション &gt; チケット、金券、宿泊予約 &gt; プリペイドカード &gt; テレホンカード &gt; 芸能人、タレント &gt; 男性タレント &gt; ら行</t>
  </si>
  <si>
    <t>0,20060,2084000109,2084034253,2084035930</t>
  </si>
  <si>
    <t>0,2084043920,2084007688,23968,2084005109,2084005110,2084027059</t>
  </si>
  <si>
    <t>ママレード・ボーイ</t>
  </si>
  <si>
    <t>オークション &gt; チケット、金券、宿泊予約 &gt; プリペイドカード &gt; テレホンカード &gt; 芸能人、タレント &gt; 男性タレント &gt; わ行</t>
  </si>
  <si>
    <t>オークション &gt; コミック、アニメグッズ &gt; 作品別 &gt; ま行 &gt; ママレード・ボーイ</t>
  </si>
  <si>
    <t>0,2084043920,2084007688,23968,2084005109,2084005110,2084027077</t>
  </si>
  <si>
    <t>0,20060,2084000109,2084034253,2084035913</t>
  </si>
  <si>
    <t>ミッキーマウス</t>
  </si>
  <si>
    <t>オークション &gt; コミック、アニメグッズ &gt; 作品別 &gt; ま行 &gt; ミッキーマウス</t>
  </si>
  <si>
    <t>0,20060,2084000109,2084034253,2084063751</t>
  </si>
  <si>
    <t>オークション &gt; アンティーク、コレクション &gt; トレーディングカード &gt; タレント &gt; 女性タレント &gt; あ行</t>
  </si>
  <si>
    <t>0,20000,20992,2084006042,2084033790,2084025040</t>
  </si>
  <si>
    <t>ムーミン</t>
  </si>
  <si>
    <t>オークション &gt; コミック、アニメグッズ &gt; 作品別 &gt; ま行 &gt; ムーミン</t>
  </si>
  <si>
    <t>0,20060,2084000109,2084034253,2084044754</t>
  </si>
  <si>
    <t>オークション &gt; アンティーク、コレクション &gt; トレーディングカード &gt; タレント &gt; 女性タレント &gt; か行</t>
  </si>
  <si>
    <t>0,20000,20992,2084006042,2084033790,2084025745</t>
  </si>
  <si>
    <t>メガゾーン23</t>
  </si>
  <si>
    <t>オークション &gt; コミック、アニメグッズ &gt; 作品別 &gt; ま行 &gt; メガゾーン23</t>
  </si>
  <si>
    <t>0,20060,2084000109,2084034253,2084035923</t>
  </si>
  <si>
    <t>オークション &gt; アンティーク、コレクション &gt; トレーディングカード &gt; タレント &gt; 女性タレント &gt; さ行</t>
  </si>
  <si>
    <t>0,20000,20992,2084006042,2084033790,2084026049</t>
  </si>
  <si>
    <t>魔術士オーフェン</t>
  </si>
  <si>
    <t>オークション &gt; アンティーク、コレクション &gt; トレーディングカード &gt; タレント &gt; 女性タレント &gt; た行</t>
  </si>
  <si>
    <t>オークション &gt; コミック、アニメグッズ &gt; 作品別 &gt; ま行 &gt; 魔術士オーフェン</t>
  </si>
  <si>
    <t>0,20000,20992,2084006042,2084033790,2084026295</t>
  </si>
  <si>
    <t>0,20060,2084000109,2084034253,2084035926</t>
  </si>
  <si>
    <t>オークション &gt; アンティーク、コレクション &gt; トレーディングカード &gt; タレント &gt; 女性タレント &gt; な行</t>
  </si>
  <si>
    <t>0,20000,20992,2084006042,2084033790,2084026403</t>
  </si>
  <si>
    <t>魔女の宅急便</t>
  </si>
  <si>
    <t>オークション &gt; コミック、アニメグッズ &gt; 作品別 &gt; ま行 &gt; 魔女の宅急便</t>
  </si>
  <si>
    <t>0,20060,2084000109,2084034253,2084035928</t>
  </si>
  <si>
    <t>オークション &gt; アンティーク、コレクション &gt; トレーディングカード &gt; タレント &gt; 女性タレント &gt; は行</t>
  </si>
  <si>
    <t>0,20000,20992,2084006042,2084033790,2084026597</t>
  </si>
  <si>
    <t>魔神英雄伝ワタル</t>
  </si>
  <si>
    <t>オークション &gt; コミック、アニメグッズ &gt; 作品別 &gt; ま行 &gt; 魔神英雄伝ワタル</t>
  </si>
  <si>
    <t>0,20060,2084000109,2084034253,2084035929</t>
  </si>
  <si>
    <t>オークション &gt; アンティーク、コレクション &gt; トレーディングカード &gt; タレント &gt; 女性タレント &gt; ま行</t>
  </si>
  <si>
    <t>0,20000,20992,2084006042,2084033790,2084026795</t>
  </si>
  <si>
    <t>魔動王 グランゾート</t>
  </si>
  <si>
    <t>オークション &gt; コミック、アニメグッズ &gt; 作品別 &gt; ま行 &gt; 魔動王 グランゾート</t>
  </si>
  <si>
    <t>オークション &gt; アンティーク、コレクション &gt; トレーディングカード &gt; タレント &gt; 女性タレント &gt; や行</t>
  </si>
  <si>
    <t>0,20060,2084000109,2084034253,2084035932</t>
  </si>
  <si>
    <t>0,20000,20992,2084006042,2084033790,2084026953</t>
  </si>
  <si>
    <t>魔法のステージ ファンシーララ</t>
  </si>
  <si>
    <t>オークション &gt; コミック、アニメグッズ &gt; 作品別 &gt; ま行 &gt; 魔法のステージ ファンシーララ</t>
  </si>
  <si>
    <t>オークション &gt; アンティーク、コレクション &gt; トレーディングカード &gt; タレント &gt; 女性タレント &gt; ら行</t>
  </si>
  <si>
    <t>0,20060,2084000109,2084034253,2084035910</t>
  </si>
  <si>
    <t>0,20000,20992,2084006042,2084033790,2084027061</t>
  </si>
  <si>
    <t>魔法のプリンセス ミンキーモモ</t>
  </si>
  <si>
    <t>オークション &gt; コミック、アニメグッズ &gt; 作品別 &gt; ま行 &gt; 魔法のプリンセス ミンキーモモ</t>
  </si>
  <si>
    <t>オークション &gt; アンティーク、コレクション &gt; トレーディングカード &gt; タレント &gt; 女性タレント &gt; わ行</t>
  </si>
  <si>
    <t>0,20060,2084000109,2084034253,2084035912</t>
  </si>
  <si>
    <t>0,20000,20992,2084006042,2084033790,2084027079</t>
  </si>
  <si>
    <t>デスクトップ</t>
  </si>
  <si>
    <t>オークション &gt; コンピュータ &gt; パソコン &gt; Windows &gt; デスクトップ</t>
  </si>
  <si>
    <t>魔法の天使 クリィミーマミ</t>
  </si>
  <si>
    <t>オークション &gt; コミック、アニメグッズ &gt; 作品別 &gt; ま行 &gt; 魔法の天使 クリィミーマミ</t>
  </si>
  <si>
    <t>0,20060,2084000109,2084034253,2084035911</t>
  </si>
  <si>
    <t>ノートブック、ノートパソコン</t>
  </si>
  <si>
    <t>魔法騎士レイアース</t>
  </si>
  <si>
    <t>オークション &gt; コンピュータ &gt; パソコン &gt; Windows &gt; ノートブック、ノートパソコン</t>
  </si>
  <si>
    <t>オークション &gt; コミック、アニメグッズ &gt; 作品別 &gt; ま行 &gt; 魔法騎士レイアース</t>
  </si>
  <si>
    <t>0,20060,2084000109,2084034253,2084006291</t>
  </si>
  <si>
    <t>魔法使いサリー</t>
  </si>
  <si>
    <t>オークション &gt; コミック、アニメグッズ &gt; 作品別 &gt; ま行 &gt; 魔法使いサリー</t>
  </si>
  <si>
    <t>0,20060,2084000109,2084034253,2084035111</t>
  </si>
  <si>
    <t>ミニノート</t>
  </si>
  <si>
    <t>オークション &gt; コンピュータ &gt; パソコン &gt; Windows &gt; ミニノート</t>
  </si>
  <si>
    <t>オークション &gt; アンティーク、コレクション &gt; 印刷物 &gt; ポスター &gt; タレント &gt; 女性タレント &gt; あ行</t>
  </si>
  <si>
    <t>0,20000,20116,20112,2084006183,2084040546,2084039966</t>
  </si>
  <si>
    <t>魔法少女まどか☆マギカ</t>
  </si>
  <si>
    <t>オークション &gt; コミック、アニメグッズ &gt; 作品別 &gt; ま行 &gt; 魔法少女まどか☆マギカ</t>
  </si>
  <si>
    <t>0,20060,2084000109,2084034253,2084309707</t>
  </si>
  <si>
    <t>タブレット</t>
  </si>
  <si>
    <t>オークション &gt; コンピュータ &gt; パソコン &gt; Windows &gt; タブレット</t>
  </si>
  <si>
    <t>魔法少女プリティサミー</t>
  </si>
  <si>
    <t>オークション &gt; アンティーク、コレクション &gt; 印刷物 &gt; ポスター &gt; タレント &gt; 女性タレント &gt; か行</t>
  </si>
  <si>
    <t>オークション &gt; コミック、アニメグッズ &gt; 作品別 &gt; ま行 &gt; 魔法少女プリティサミー</t>
  </si>
  <si>
    <t>0,20060,2084000109,2084034253,2084035906</t>
  </si>
  <si>
    <t>0,20000,20116,20112,2084006183,2084040546,2084040040</t>
  </si>
  <si>
    <t>雑誌</t>
  </si>
  <si>
    <t>オークション &gt; コンピュータ &gt; パソコン &gt; Windows &gt; 雑誌</t>
  </si>
  <si>
    <t>魔法少女リリカルなのは</t>
  </si>
  <si>
    <t>オークション &gt; コミック、アニメグッズ &gt; 作品別 &gt; ま行 &gt; 魔法少女リリカルなのは</t>
  </si>
  <si>
    <t>0,20060,2084000109,2084034253,2084309709</t>
  </si>
  <si>
    <t>オークション &gt; アンティーク、コレクション &gt; 印刷物 &gt; ポスター &gt; タレント &gt; 女性タレント &gt; さ行</t>
  </si>
  <si>
    <t>オークション &gt; コンピュータ &gt; パソコン &gt; Mac &gt; デスクトップ</t>
  </si>
  <si>
    <t>魔法陣グルグル</t>
  </si>
  <si>
    <t>オークション &gt; コミック、アニメグッズ &gt; 作品別 &gt; ま行 &gt; 魔法陣グルグル</t>
  </si>
  <si>
    <t>0,20000,20116,20112,2084006183,2084040546,2084040100</t>
  </si>
  <si>
    <t>0,20060,2084000109,2084034253,2084035907</t>
  </si>
  <si>
    <t>オークション &gt; コンピュータ &gt; パソコン &gt; Mac &gt; ノートブック、ノートパソコン</t>
  </si>
  <si>
    <t>オークション &gt; アンティーク、コレクション &gt; 印刷物 &gt; ポスター &gt; タレント &gt; 女性タレント &gt; た行</t>
  </si>
  <si>
    <t>未来少年コナン</t>
  </si>
  <si>
    <t>0,20000,20116,20112,2084006183,2084040546,2084040162</t>
  </si>
  <si>
    <t>iPad</t>
  </si>
  <si>
    <t>オークション &gt; コミック、アニメグッズ &gt; 作品別 &gt; ま行 &gt; 未来少年コナン</t>
  </si>
  <si>
    <t>0,20060,2084000109,2084034253,2084035916</t>
  </si>
  <si>
    <t>オークション &gt; コンピュータ &gt; パソコン &gt; Mac &gt; iPad</t>
  </si>
  <si>
    <t>オークション &gt; アンティーク、コレクション &gt; 印刷物 &gt; ポスター &gt; タレント &gt; 女性タレント &gt; な行</t>
  </si>
  <si>
    <t>名探偵コナン</t>
  </si>
  <si>
    <t>ソフトウエア</t>
  </si>
  <si>
    <t>オークション &gt; コミック、アニメグッズ &gt; 作品別 &gt; ま行 &gt; 名探偵コナン</t>
  </si>
  <si>
    <t>オークション &gt; コンピュータ &gt; パソコン &gt; Mac &gt; ソフトウエア</t>
  </si>
  <si>
    <t>0,20000,20116,20112,2084006183,2084040546,2084040188</t>
  </si>
  <si>
    <t>0,20060,2084000109,2084034253,2084035921</t>
  </si>
  <si>
    <t>パーツ</t>
  </si>
  <si>
    <t>UFOロボ グレンダイザー</t>
  </si>
  <si>
    <t>オークション &gt; コンピュータ &gt; パソコン &gt; Mac &gt; パーツ</t>
  </si>
  <si>
    <t>オークション &gt; アンティーク、コレクション &gt; 印刷物 &gt; ポスター &gt; タレント &gt; 女性タレント &gt; は行</t>
  </si>
  <si>
    <t>オークション &gt; コミック、アニメグッズ &gt; 作品別 &gt; や行 &gt; UFOロボ グレンダイザー</t>
  </si>
  <si>
    <t>0,20060,2084000109,2084034262,2084036031</t>
  </si>
  <si>
    <t>0,20000,20116,20112,2084006183,2084040546,2084040240</t>
  </si>
  <si>
    <t>YAWARA!</t>
  </si>
  <si>
    <t>オークション &gt; コミック、アニメグッズ &gt; 作品別 &gt; や行 &gt; YAWARA!</t>
  </si>
  <si>
    <t>オークション &gt; コンピュータ &gt; パソコン &gt; Mac &gt; 雑誌</t>
  </si>
  <si>
    <t>0,20060,2084000109,2084034262,2084036026</t>
  </si>
  <si>
    <t>オークション &gt; アンティーク、コレクション &gt; 印刷物 &gt; ポスター &gt; タレント &gt; 女性タレント &gt; ま行</t>
  </si>
  <si>
    <t>0,20000,20116,20112,2084006183,2084040546,2084040274</t>
  </si>
  <si>
    <t>周辺機器</t>
  </si>
  <si>
    <t>ゆるゆり</t>
  </si>
  <si>
    <t>オークション &gt; コンピュータ &gt; パソコン &gt; Mac &gt; 周辺機器</t>
  </si>
  <si>
    <t>オークション &gt; コミック、アニメグッズ &gt; 作品別 &gt; や行 &gt; ゆるゆり</t>
  </si>
  <si>
    <t>0,20060,2084000109,2084034262,2084309710</t>
  </si>
  <si>
    <t>オークション &gt; アンティーク、コレクション &gt; 印刷物 &gt; ポスター &gt; タレント &gt; 女性タレント &gt; や行</t>
  </si>
  <si>
    <t>0,20000,20116,20112,2084006183,2084040546,2084040313</t>
  </si>
  <si>
    <t>本</t>
  </si>
  <si>
    <t>闇の末裔</t>
  </si>
  <si>
    <t>オークション &gt; コンピュータ &gt; パソコン &gt; Mac &gt; 本</t>
  </si>
  <si>
    <t>オークション &gt; コミック、アニメグッズ &gt; 作品別 &gt; や行 &gt; 闇の末裔</t>
  </si>
  <si>
    <t>0,20060,2084000109,2084034262,2084036025</t>
  </si>
  <si>
    <t>オークション &gt; アンティーク、コレクション &gt; 印刷物 &gt; ポスター &gt; タレント &gt; 女性タレント &gt; ら行</t>
  </si>
  <si>
    <t>鎧伝サムライトルーパー</t>
  </si>
  <si>
    <t>0,20000,20116,20112,2084006183,2084040546,2084040334</t>
  </si>
  <si>
    <t>オークション &gt; コミック、アニメグッズ &gt; 作品別 &gt; や行 &gt; 鎧伝サムライトルーパー</t>
  </si>
  <si>
    <t>オークション &gt; コンピュータ &gt; パソコン &gt; PC-98 &gt; デスクトップ</t>
  </si>
  <si>
    <t>0,20060,2084000109,2084034262,2084036032</t>
  </si>
  <si>
    <t>八雲立つ</t>
  </si>
  <si>
    <t>オークション &gt; コミック、アニメグッズ &gt; 作品別 &gt; や行 &gt; 八雲立つ</t>
  </si>
  <si>
    <t>0,20060,2084000109,2084034262,2084036024</t>
  </si>
  <si>
    <t>オークション &gt; アンティーク、コレクション &gt; 印刷物 &gt; ポスター &gt; タレント &gt; 女性タレント &gt; わ行</t>
  </si>
  <si>
    <t>0,20000,20116,20112,2084006183,2084040546,2084040348</t>
  </si>
  <si>
    <t>ノートブック</t>
  </si>
  <si>
    <t>オークション &gt; コンピュータ &gt; パソコン &gt; PC-98 &gt; ノートブック</t>
  </si>
  <si>
    <t>野球狂の詩</t>
  </si>
  <si>
    <t>オークション &gt; コミック、アニメグッズ &gt; 作品別 &gt; や行 &gt; 野球狂の詩</t>
  </si>
  <si>
    <t>0,20060,2084000109,2084034262,2084036023</t>
  </si>
  <si>
    <t>オークション &gt; コンピュータ &gt; パソコン &gt; PC-98 &gt; その他</t>
  </si>
  <si>
    <t>勇者ライディーン</t>
  </si>
  <si>
    <t>オークション &gt; コミック、アニメグッズ &gt; 作品別 &gt; や行 &gt; 勇者ライディーン</t>
  </si>
  <si>
    <t>0,20060,2084000109,2084034262,2084036112</t>
  </si>
  <si>
    <t>オークション &gt; アンティーク、コレクション &gt; 印刷物 &gt; ポスター &gt; タレント &gt; 男性タレント &gt; あ行</t>
  </si>
  <si>
    <t>iPad本体</t>
  </si>
  <si>
    <t>オークション &gt; コンピュータ &gt; タブレット &gt; Apple &gt; iPad本体</t>
  </si>
  <si>
    <t>0,20000,20116,20112,2084006183,2084040545,2084040005</t>
  </si>
  <si>
    <t>勇者王ガオガイガー</t>
  </si>
  <si>
    <t>オークション &gt; コミック、アニメグッズ &gt; 作品別 &gt; や行 &gt; 勇者王ガオガイガー</t>
  </si>
  <si>
    <t>0,20060,2084000109,2084034262,2084036027</t>
  </si>
  <si>
    <t>iPad用アクセサリー</t>
  </si>
  <si>
    <t>オークション &gt; コンピュータ &gt; タブレット &gt; Apple &gt; iPad用アクセサリー</t>
  </si>
  <si>
    <t>勇者警察ジェイデッカー</t>
  </si>
  <si>
    <t>オークション &gt; コミック、アニメグッズ &gt; 作品別 &gt; や行 &gt; 勇者警察ジェイデッカー</t>
  </si>
  <si>
    <t>オークション &gt; アンティーク、コレクション &gt; 印刷物 &gt; ポスター &gt; タレント &gt; 男性タレント &gt; か行</t>
  </si>
  <si>
    <t>0,20060,2084000109,2084034262,2084036028</t>
  </si>
  <si>
    <t>0,20000,20116,20112,2084006183,2084040545,2084040067</t>
  </si>
  <si>
    <t>iPod touch</t>
  </si>
  <si>
    <t>オークション &gt; コンピュータ &gt; タブレット &gt; Apple &gt; iPod touch</t>
  </si>
  <si>
    <t>勇者司令 ダグオン</t>
  </si>
  <si>
    <t>オークション &gt; コミック、アニメグッズ &gt; 作品別 &gt; や行 &gt; 勇者司令 ダグオン</t>
  </si>
  <si>
    <t>0,20060,2084000109,2084034262,2084036029</t>
  </si>
  <si>
    <t>オークション &gt; アンティーク、コレクション &gt; 印刷物 &gt; ポスター &gt; タレント &gt; 男性タレント &gt; さ行</t>
  </si>
  <si>
    <t>0,20000,20116,20112,2084006183,2084040545,2084040125</t>
  </si>
  <si>
    <t>本体</t>
  </si>
  <si>
    <t>勇者特急マイトガイン</t>
  </si>
  <si>
    <t>オークション &gt; コンピュータ &gt; タブレット &gt; アンドロイド &gt; 本体</t>
  </si>
  <si>
    <t>オークション &gt; コミック、アニメグッズ &gt; 作品別 &gt; や行 &gt; 勇者特急マイトガイン</t>
  </si>
  <si>
    <t>0,20060,2084000109,2084034262,2084036030</t>
  </si>
  <si>
    <t>オークション &gt; アンティーク、コレクション &gt; 印刷物 &gt; ポスター &gt; タレント &gt; 男性タレント &gt; た行</t>
  </si>
  <si>
    <t>幽遊白書</t>
  </si>
  <si>
    <t>アクセサリー</t>
  </si>
  <si>
    <t>0,20000,20116,20112,2084006183,2084040545,2084040176</t>
  </si>
  <si>
    <t>オークション &gt; コミック、アニメグッズ &gt; 作品別 &gt; や行 &gt; 幽遊白書</t>
  </si>
  <si>
    <t>オークション &gt; コンピュータ &gt; タブレット &gt; アンドロイド &gt; アクセサリー</t>
  </si>
  <si>
    <t>0,20060,2084000109,2084034262,2084006300</t>
  </si>
  <si>
    <t>遊戯王</t>
  </si>
  <si>
    <t>オークション &gt; コミック、アニメグッズ &gt; 作品別 &gt; や行 &gt; 遊戯王</t>
  </si>
  <si>
    <t>オークション &gt; アンティーク、コレクション &gt; 印刷物 &gt; ポスター &gt; タレント &gt; 男性タレント &gt; な行</t>
  </si>
  <si>
    <t>HTC</t>
  </si>
  <si>
    <t>0,20060,2084000109,2084034262,2084205732</t>
  </si>
  <si>
    <t>0,20000,20116,20112,2084006183,2084040545,2084040201</t>
  </si>
  <si>
    <t>オークション &gt; 家電、AV、カメラ &gt; 携帯電話、スマートフォン &gt; 携帯電話本体 &gt; NTTドコモ &gt; HTC</t>
  </si>
  <si>
    <t>ROOKIES</t>
  </si>
  <si>
    <t>オークション &gt; コミック、アニメグッズ &gt; 作品別 &gt; ら/わ行 &gt; ROOKIES</t>
  </si>
  <si>
    <t>0,20060,2084000109,2084034270,2084044122</t>
  </si>
  <si>
    <t>LGエレクトロニクス</t>
  </si>
  <si>
    <t>オークション &gt; 家電、AV、カメラ &gt; 携帯電話、スマートフォン &gt; 携帯電話本体 &gt; NTTドコモ &gt; LGエレクトロニクス</t>
  </si>
  <si>
    <t>らんま1/2</t>
  </si>
  <si>
    <t>オークション &gt; アンティーク、コレクション &gt; 印刷物 &gt; ポスター &gt; タレント &gt; 男性タレント &gt; は行</t>
  </si>
  <si>
    <t>オークション &gt; コミック、アニメグッズ &gt; 作品別 &gt; ら/わ行 &gt; らんま1/2</t>
  </si>
  <si>
    <t>0,20000,20116,20112,2084006183,2084040545,2084040254</t>
  </si>
  <si>
    <t>0,20060,2084000109,2084034270,2084036114</t>
  </si>
  <si>
    <t>NEC</t>
  </si>
  <si>
    <t>オークション &gt; 家電、AV、カメラ &gt; 携帯電話、スマートフォン &gt; 携帯電話本体 &gt; NTTドコモ &gt; NEC</t>
  </si>
  <si>
    <t>るろうに剣心</t>
  </si>
  <si>
    <t>オークション &gt; コミック、アニメグッズ &gt; 作品別 &gt; ら/わ行 &gt; るろうに剣心</t>
  </si>
  <si>
    <t>0,20060,2084000109,2084034270,2084036116</t>
  </si>
  <si>
    <t>オークション &gt; アンティーク、コレクション &gt; 印刷物 &gt; ポスター &gt; タレント &gt; 男性タレント &gt; ま行</t>
  </si>
  <si>
    <t>0,20000,20116,20112,2084006183,2084040545,2084040302</t>
  </si>
  <si>
    <t>ライディーン</t>
  </si>
  <si>
    <t>オークション &gt; コミック、アニメグッズ &gt; 作品別 &gt; ら/わ行 &gt; ライディーン</t>
  </si>
  <si>
    <t>エリクソン</t>
  </si>
  <si>
    <t>0,20060,2084000109,2084034270,2084036112</t>
  </si>
  <si>
    <t>オークション &gt; 家電、AV、カメラ &gt; 携帯電話、スマートフォン &gt; 携帯電話本体 &gt; NTTドコモ &gt; エリクソン</t>
  </si>
  <si>
    <t>オークション &gt; アンティーク、コレクション &gt; 印刷物 &gt; ポスター &gt; タレント &gt; 男性タレント &gt; や行</t>
  </si>
  <si>
    <t>ラブひな</t>
  </si>
  <si>
    <t>オークション &gt; コミック、アニメグッズ &gt; 作品別 &gt; ら/わ行 &gt; ラブひな</t>
  </si>
  <si>
    <t>0,20000,20116,20112,2084006183,2084040545,2084040326</t>
  </si>
  <si>
    <t>0,20060,2084000109,2084034270,2084006275</t>
  </si>
  <si>
    <t>サムスン</t>
  </si>
  <si>
    <t>オークション &gt; 家電、AV、カメラ &gt; 携帯電話、スマートフォン &gt; 携帯電話本体 &gt; NTTドコモ &gt; サムスン</t>
  </si>
  <si>
    <t>ラムネ＆40</t>
  </si>
  <si>
    <t>オークション &gt; コミック、アニメグッズ &gt; 作品別 &gt; ら/わ行 &gt; ラムネ＆40</t>
  </si>
  <si>
    <t>0,20060,2084000109,2084034270,2084036113</t>
  </si>
  <si>
    <t>オークション &gt; アンティーク、コレクション &gt; 印刷物 &gt; ポスター &gt; タレント &gt; 男性タレント &gt; ら行</t>
  </si>
  <si>
    <t>0,20000,20116,20112,2084006183,2084040545,2084040337</t>
  </si>
  <si>
    <t>シャープ</t>
  </si>
  <si>
    <t>オークション &gt; 家電、AV、カメラ &gt; 携帯電話、スマートフォン &gt; 携帯電話本体 &gt; NTTドコモ &gt; シャープ</t>
  </si>
  <si>
    <t>リボンの騎士</t>
  </si>
  <si>
    <t>オークション &gt; コミック、アニメグッズ &gt; 作品別 &gt; ら/わ行 &gt; リボンの騎士</t>
  </si>
  <si>
    <t>オークション &gt; アンティーク、コレクション &gt; 印刷物 &gt; ポスター &gt; タレント &gt; 男性タレント &gt; わ行</t>
  </si>
  <si>
    <t>0,20060,2084000109,2084034270,2084036115</t>
  </si>
  <si>
    <t>0,20000,20116,20112,2084006183,2084040545,2084040351</t>
  </si>
  <si>
    <t>ソニー</t>
  </si>
  <si>
    <t>オークション &gt; 家電、AV、カメラ &gt; 携帯電話、スマートフォン &gt; 携帯電話本体 &gt; NTTドコモ &gt; ソニー</t>
  </si>
  <si>
    <t>ルパン三世</t>
  </si>
  <si>
    <t>ソニー・エリクソン</t>
  </si>
  <si>
    <t>オークション &gt; コミック、アニメグッズ &gt; 作品別 &gt; ら/わ行 &gt; ルパン三世</t>
  </si>
  <si>
    <t>オークション &gt; 家電、AV、カメラ &gt; 携帯電話、スマートフォン &gt; 携帯電話本体 &gt; NTTドコモ &gt; ソニー・エリクソン</t>
  </si>
  <si>
    <t>0,20060,2084000109,2084034270,2084005070</t>
  </si>
  <si>
    <t>オークション &gt; アンティーク、コレクション &gt; 雑貨 &gt; ステッカー &gt; ミュージシャン &gt; ジャパニーズポップス</t>
  </si>
  <si>
    <t>0,20000,21152,26066,42206,2084008368</t>
  </si>
  <si>
    <t>ノキア</t>
  </si>
  <si>
    <t>オークション &gt; 家電、AV、カメラ &gt; 携帯電話、スマートフォン &gt; 携帯電話本体 &gt; NTTドコモ &gt; ノキア</t>
  </si>
  <si>
    <t>レイアース</t>
  </si>
  <si>
    <t>オークション &gt; コミック、アニメグッズ &gt; 作品別 &gt; ら/わ行 &gt; レイアース</t>
  </si>
  <si>
    <t>ロック、ポップス（洋楽）</t>
  </si>
  <si>
    <t>0,20060,2084000109,2084034270,2084006291</t>
  </si>
  <si>
    <t>オークション &gt; アンティーク、コレクション &gt; 雑貨 &gt; ステッカー &gt; ミュージシャン &gt; ロック、ポップス（洋楽）</t>
  </si>
  <si>
    <t>0,20000,21152,26066,42206,2084008369</t>
  </si>
  <si>
    <t>パナソニック、松下通信工業</t>
  </si>
  <si>
    <t>レイズナー</t>
  </si>
  <si>
    <t>オークション &gt; 家電、AV、カメラ &gt; 携帯電話、スマートフォン &gt; 携帯電話本体 &gt; NTTドコモ &gt; パナソニック、松下通信工業</t>
  </si>
  <si>
    <t>オークション &gt; コミック、アニメグッズ &gt; 作品別 &gt; ら/わ行 &gt; レイズナー</t>
  </si>
  <si>
    <t>0,20060,2084000109,2084034270,2084034426</t>
  </si>
  <si>
    <t>オークション &gt; アンティーク、コレクション &gt; 雑貨 &gt; ステッカー &gt; ミュージシャン &gt; その他</t>
  </si>
  <si>
    <t>0,20000,21152,26066,42206,2084008370</t>
  </si>
  <si>
    <t>ロードス島戦記</t>
  </si>
  <si>
    <t>モトローラ</t>
  </si>
  <si>
    <t>オークション &gt; コミック、アニメグッズ &gt; 作品別 &gt; ら/わ行 &gt; ロードス島戦記</t>
  </si>
  <si>
    <t>オークション &gt; 家電、AV、カメラ &gt; 携帯電話、スマートフォン &gt; 携帯電話本体 &gt; NTTドコモ &gt; モトローラ</t>
  </si>
  <si>
    <t>0,20060,2084000109,2084034270,2084036118</t>
  </si>
  <si>
    <t>烈火の炎</t>
  </si>
  <si>
    <t>オークション &gt; コミック、アニメグッズ &gt; 作品別 &gt; ら/わ行 &gt; 烈火の炎</t>
  </si>
  <si>
    <t>0,20060,2084000109,2084034270,2084036117</t>
  </si>
  <si>
    <t>三菱電機</t>
  </si>
  <si>
    <t>グループ</t>
  </si>
  <si>
    <t>オークション &gt; チケット、金券、宿泊予約 &gt; プリペイドカード &gt; テレホンカード &gt; ミュージシャン &gt; グループ</t>
  </si>
  <si>
    <t>オークション &gt; 家電、AV、カメラ &gt; 携帯電話、スマートフォン &gt; 携帯電話本体 &gt; NTTドコモ &gt; 三菱電機</t>
  </si>
  <si>
    <t>0,2084043920,2084007688,23968,2084005105,2084005108</t>
  </si>
  <si>
    <t>六神合体ゴッドマーズ</t>
  </si>
  <si>
    <t>オークション &gt; コミック、アニメグッズ &gt; 作品別 &gt; ら/わ行 &gt; 六神合体ゴッドマーズ</t>
  </si>
  <si>
    <t>0,20060,2084000109,2084034270,2084036119</t>
  </si>
  <si>
    <t>女性</t>
  </si>
  <si>
    <t>東芝</t>
  </si>
  <si>
    <t>オークション &gt; 家電、AV、カメラ &gt; 携帯電話、スマートフォン &gt; 携帯電話本体 &gt; NTTドコモ &gt; 東芝</t>
  </si>
  <si>
    <t>オークション &gt; チケット、金券、宿泊予約 &gt; プリペイドカード &gt; テレホンカード &gt; ミュージシャン &gt; 女性</t>
  </si>
  <si>
    <t>0,2084043920,2084007688,23968,2084005105,2084005107</t>
  </si>
  <si>
    <t>六門天外モンコレナイト</t>
  </si>
  <si>
    <t>オークション &gt; コミック、アニメグッズ &gt; 作品別 &gt; ら/わ行 &gt; 六門天外モンコレナイト</t>
  </si>
  <si>
    <t>0,20060,2084000109,2084034270,2084036120</t>
  </si>
  <si>
    <t>富士通</t>
  </si>
  <si>
    <t>男性</t>
  </si>
  <si>
    <t>オークション &gt; 家電、AV、カメラ &gt; 携帯電話、スマートフォン &gt; 携帯電話本体 &gt; NTTドコモ &gt; 富士通</t>
  </si>
  <si>
    <t>オークション &gt; チケット、金券、宿泊予約 &gt; プリペイドカード &gt; テレホンカード &gt; ミュージシャン &gt; 男性</t>
  </si>
  <si>
    <t>0,2084043920,2084007688,23968,2084005105,2084005106</t>
  </si>
  <si>
    <t>ONE PIECE</t>
  </si>
  <si>
    <t>オークション &gt; コミック、アニメグッズ &gt; 作品別 &gt; ら/わ行 &gt; ONE PIECE</t>
  </si>
  <si>
    <t>0,20060,2084000109,2084034270,2084007394</t>
  </si>
  <si>
    <t>カスタム用ジャケット</t>
  </si>
  <si>
    <t>オークション &gt; 家電、AV、カメラ &gt; 携帯電話、スマートフォン &gt; 携帯電話本体 &gt; NTTドコモ &gt; カスタム用ジャケット</t>
  </si>
  <si>
    <t>オークション &gt; コミック、アニメグッズ &gt; セル画 &gt; あ行 &gt; ああっ女神さまっ</t>
  </si>
  <si>
    <t>バッテリー、充電器</t>
  </si>
  <si>
    <t>0,20060,2084005356,2084034192,2084034309</t>
  </si>
  <si>
    <t>オークション &gt; 家電、AV、カメラ &gt; 携帯電話、スマートフォン &gt; 携帯電話本体 &gt; NTTドコモ &gt; バッテリー、充電器</t>
  </si>
  <si>
    <t>オークション &gt; 家電、AV、カメラ &gt; 携帯電話、スマートフォン &gt; 携帯電話本体 &gt; NTTドコモ &gt; その他</t>
  </si>
  <si>
    <t>オークション &gt; コミック、アニメグッズ &gt; セル画 &gt; あ行 &gt; あしたのジョー</t>
  </si>
  <si>
    <t>0,20060,2084005356,2084034192,2084034317</t>
  </si>
  <si>
    <t>オークション &gt; 家電、AV、カメラ &gt; 携帯電話、スマートフォン &gt; 携帯電話本体 &gt; au &gt; HTC</t>
  </si>
  <si>
    <t>オークション &gt; コミック、アニメグッズ &gt; セル画 &gt; あ行 &gt; あらいぐまラスカル</t>
  </si>
  <si>
    <t>0,20060,2084005356,2084034192,2084034318</t>
  </si>
  <si>
    <t>カシオ</t>
  </si>
  <si>
    <t>オークション &gt; 家電、AV、カメラ &gt; 携帯電話、スマートフォン &gt; 携帯電話本体 &gt; au &gt; カシオ</t>
  </si>
  <si>
    <t>オークション &gt; コミック、アニメグッズ &gt; セル画 &gt; あ行 &gt; うる星やつら</t>
  </si>
  <si>
    <t>0,20060,2084005356,2084034192,2084034324</t>
  </si>
  <si>
    <t>オークション &gt; 家電、AV、カメラ &gt; 携帯電話、スマートフォン &gt; 携帯電話本体 &gt; au &gt; シャープ</t>
  </si>
  <si>
    <t>オークション &gt; 家電、AV、カメラ &gt; 携帯電話、スマートフォン &gt; 携帯電話本体 &gt; au &gt; ソニー</t>
  </si>
  <si>
    <t>オークション &gt; コミック、アニメグッズ &gt; セル画 &gt; あ行 &gt; アキハバラ電脳組</t>
  </si>
  <si>
    <t>0,20060,2084005356,2084034192,2084034315</t>
  </si>
  <si>
    <t>オークション &gt; 家電、AV、カメラ &gt; 携帯電話、スマートフォン &gt; 携帯電話本体 &gt; au &gt; ソニー・エリクソン</t>
  </si>
  <si>
    <t>アルプスの少女ハイジ</t>
  </si>
  <si>
    <t>オークション &gt; コミック、アニメグッズ &gt; セル画 &gt; あ行 &gt; アルプスの少女ハイジ</t>
  </si>
  <si>
    <t>0,20060,2084005356,2084034192,2084034319</t>
  </si>
  <si>
    <t>デンソー</t>
  </si>
  <si>
    <t>オークション &gt; 家電、AV、カメラ &gt; 携帯電話、スマートフォン &gt; 携帯電話本体 &gt; au &gt; デンソー</t>
  </si>
  <si>
    <t>オークション &gt; コミック、アニメグッズ &gt; セル画 &gt; あ行 &gt; ウェディングピーチ</t>
  </si>
  <si>
    <t>0,20060,2084005356,2084034192,2084045592</t>
  </si>
  <si>
    <t>オークション &gt; 家電、AV、カメラ &gt; 携帯電話、スマートフォン &gt; 携帯電話本体 &gt; au &gt; ノキア</t>
  </si>
  <si>
    <t>エスパー魔美</t>
  </si>
  <si>
    <t>オークション &gt; コミック、アニメグッズ &gt; セル画 &gt; あ行 &gt; エスパー魔美</t>
  </si>
  <si>
    <t>0,20060,2084005356,2084034192,2084034326</t>
  </si>
  <si>
    <t>オークション &gt; 家電、AV、カメラ &gt; 携帯電話、スマートフォン &gt; 携帯電話本体 &gt; au &gt; パナソニック、松下通信工業</t>
  </si>
  <si>
    <t>オークション &gt; コミック、アニメグッズ &gt; セル画 &gt; あ行 &gt; 宇宙戦艦ヤマト</t>
  </si>
  <si>
    <t>0,20060,2084005356,2084034192,2084034322</t>
  </si>
  <si>
    <t>パンテック</t>
  </si>
  <si>
    <t>オークション &gt; 家電、AV、カメラ &gt; 携帯電話、スマートフォン &gt; 携帯電話本体 &gt; au &gt; パンテック</t>
  </si>
  <si>
    <t>黄金勇者ゴルドラン</t>
  </si>
  <si>
    <t>オークション &gt; コミック、アニメグッズ &gt; セル画 &gt; あ行 &gt; 黄金勇者ゴルドラン</t>
  </si>
  <si>
    <t>0,20060,2084005356,2084034192,2084034327</t>
  </si>
  <si>
    <t>オークション &gt; 家電、AV、カメラ &gt; 携帯電話、スマートフォン &gt; 携帯電話本体 &gt; au &gt; モトローラ</t>
  </si>
  <si>
    <t>家なき子</t>
  </si>
  <si>
    <t>オークション &gt; コミック、アニメグッズ &gt; セル画 &gt; あ行 &gt; 家なき子</t>
  </si>
  <si>
    <t>0,20060,2084005356,2084034192,2084034320</t>
  </si>
  <si>
    <t>京セラ</t>
  </si>
  <si>
    <t>オークション &gt; 家電、AV、カメラ &gt; 携帯電話、スマートフォン &gt; 携帯電話本体 &gt; au &gt; 京セラ</t>
  </si>
  <si>
    <t>オークション &gt; コミック、アニメグッズ &gt; セル画 &gt; あ行 &gt; 聖戦士ダンバイン</t>
  </si>
  <si>
    <t>0,20060,2084005356,2084034192,2084034328</t>
  </si>
  <si>
    <t>三洋電機</t>
  </si>
  <si>
    <t>オークション &gt; 家電、AV、カメラ &gt; 携帯電話、スマートフォン &gt; 携帯電話本体 &gt; au &gt; 三洋電機</t>
  </si>
  <si>
    <t>オークション &gt; コミック、アニメグッズ &gt; セル画 &gt; あ行 &gt; 赤ずきん チャチャ</t>
  </si>
  <si>
    <t>0,20060,2084005356,2084034192,2084034313</t>
  </si>
  <si>
    <t>オークション &gt; 家電、AV、カメラ &gt; 携帯電話、スマートフォン &gt; 携帯電話本体 &gt; au &gt; 東芝</t>
  </si>
  <si>
    <t>B'z</t>
  </si>
  <si>
    <t>オークション &gt; 本、雑誌 &gt; アート、エンターテインメント &gt; 写真集 &gt; ミュージシャン &gt; B'z</t>
  </si>
  <si>
    <t>0,21600,2084009036,21604,2084006192,2084031646</t>
  </si>
  <si>
    <t>オークション &gt; コミック、アニメグッズ &gt; セル画 &gt; あ行 &gt; 赤毛のアン</t>
  </si>
  <si>
    <t>日立</t>
  </si>
  <si>
    <t>0,20060,2084005356,2084034192,2084034312</t>
  </si>
  <si>
    <t>オークション &gt; 家電、AV、カメラ &gt; 携帯電話、スマートフォン &gt; 携帯電話本体 &gt; au &gt; 日立</t>
  </si>
  <si>
    <t>BOOWY</t>
  </si>
  <si>
    <t>オークション &gt; 本、雑誌 &gt; アート、エンターテインメント &gt; 写真集 &gt; ミュージシャン &gt; BOOWY</t>
  </si>
  <si>
    <t>0,21600,2084009036,21604,2084006192,2084031645</t>
  </si>
  <si>
    <t>オークション &gt; コミック、アニメグッズ &gt; セル画 &gt; あ行 &gt; 蒼き流星 SPT レイズナー</t>
  </si>
  <si>
    <t>0,20060,2084005356,2084034192,2084034310</t>
  </si>
  <si>
    <t>オークション &gt; 家電、AV、カメラ &gt; 携帯電話、スマートフォン &gt; 携帯電話本体 &gt; au &gt; バッテリー、充電器</t>
  </si>
  <si>
    <t>CHAGE&amp;ASKA</t>
  </si>
  <si>
    <t>オークション &gt; 本、雑誌 &gt; アート、エンターテインメント &gt; 写真集 &gt; ミュージシャン &gt; CHAGE&amp;ASKA</t>
  </si>
  <si>
    <t>0,21600,2084009036,21604,2084006192,2084040608</t>
  </si>
  <si>
    <t>オークション &gt; コミック、アニメグッズ &gt; セル画 &gt; あ行 &gt; その他</t>
  </si>
  <si>
    <t>0,20060,2084005356,2084034192,2084034316</t>
  </si>
  <si>
    <t>オークション &gt; 家電、AV、カメラ &gt; 携帯電話、スマートフォン &gt; 携帯電話本体 &gt; au &gt; その他</t>
  </si>
  <si>
    <t>KEY THE METAL IDOL</t>
  </si>
  <si>
    <t>GLAY</t>
  </si>
  <si>
    <t>オークション &gt; コミック、アニメグッズ &gt; セル画 &gt; か行 &gt; KEY THE METAL IDOL</t>
  </si>
  <si>
    <t>オークション &gt; 本、雑誌 &gt; アート、エンターテインメント &gt; 写真集 &gt; ミュージシャン &gt; GLAY</t>
  </si>
  <si>
    <t>0,20060,2084005356,2084038485,2084045596</t>
  </si>
  <si>
    <t>0,21600,2084009036,21604,2084006192,2084031648</t>
  </si>
  <si>
    <t>オークション &gt; 家電、AV、カメラ &gt; 携帯電話、スマートフォン &gt; 携帯電話本体 &gt; ソフトバンク &gt; HTC</t>
  </si>
  <si>
    <t>Gackt</t>
  </si>
  <si>
    <t>オークション &gt; コミック、アニメグッズ &gt; セル画 &gt; か行 &gt; きまぐれオレンジ★ロード</t>
  </si>
  <si>
    <t>0,20060,2084005356,2084038485,2084034543</t>
  </si>
  <si>
    <t>オークション &gt; 本、雑誌 &gt; アート、エンターテインメント &gt; 写真集 &gt; ミュージシャン &gt; Gackt</t>
  </si>
  <si>
    <t>0,21600,2084009036,21604,2084006192,2084031647</t>
  </si>
  <si>
    <t>オークション &gt; 家電、AV、カメラ &gt; 携帯電話、スマートフォン &gt; 携帯電話本体 &gt; ソフトバンク &gt; NEC</t>
  </si>
  <si>
    <t>オークション &gt; コミック、アニメグッズ &gt; セル画 &gt; か行 &gt; こちら葛飾区亀有公園前派出所</t>
  </si>
  <si>
    <t>0,20060,2084005356,2084038485,2084034562</t>
  </si>
  <si>
    <t>L'Arc-en-Ciel</t>
  </si>
  <si>
    <t>ZTE</t>
  </si>
  <si>
    <t>オークション &gt; 本、雑誌 &gt; アート、エンターテインメント &gt; 写真集 &gt; ミュージシャン &gt; L'Arc-en-Ciel</t>
  </si>
  <si>
    <t>オークション &gt; 家電、AV、カメラ &gt; 携帯電話、スマートフォン &gt; 携帯電話本体 &gt; ソフトバンク &gt; ZTE</t>
  </si>
  <si>
    <t>0,21600,2084009036,21604,2084006192,2084031649</t>
  </si>
  <si>
    <t>ご近所物語</t>
  </si>
  <si>
    <t>オークション &gt; コミック、アニメグッズ &gt; セル画 &gt; か行 &gt; ご近所物語</t>
  </si>
  <si>
    <t>0,20060,2084005356,2084038485,2084034560</t>
  </si>
  <si>
    <t>アップル</t>
  </si>
  <si>
    <t>LUNA SEA</t>
  </si>
  <si>
    <t>オークション &gt; 家電、AV、カメラ &gt; 携帯電話、スマートフォン &gt; 携帯電話本体 &gt; ソフトバンク &gt; アップル</t>
  </si>
  <si>
    <t>オークション &gt; 本、雑誌 &gt; アート、エンターテインメント &gt; 写真集 &gt; ミュージシャン &gt; LUNA SEA</t>
  </si>
  <si>
    <t>0,21600,2084009036,21604,2084006192,2084031650</t>
  </si>
  <si>
    <t>オークション &gt; コミック、アニメグッズ &gt; セル画 &gt; か行 &gt; カードキャプターさくら</t>
  </si>
  <si>
    <t>0,20060,2084005356,2084038485,2084034535</t>
  </si>
  <si>
    <t>オークション &gt; 家電、AV、カメラ &gt; 携帯電話、スマートフォン &gt; 携帯電話本体 &gt; ソフトバンク &gt; サムスン</t>
  </si>
  <si>
    <t>MALICE MIZER</t>
  </si>
  <si>
    <t>オークション &gt; コミック、アニメグッズ &gt; セル画 &gt; か行 &gt; カウボーイビバップ</t>
  </si>
  <si>
    <t>オークション &gt; 本、雑誌 &gt; アート、エンターテインメント &gt; 写真集 &gt; ミュージシャン &gt; MALICE MIZER</t>
  </si>
  <si>
    <t>0,21600,2084009036,21604,2084006192,2084031651</t>
  </si>
  <si>
    <t>0,20060,2084005356,2084038485,2084034539</t>
  </si>
  <si>
    <t>オークション &gt; 家電、AV、カメラ &gt; 携帯電話、スマートフォン &gt; 携帯電話本体 &gt; ソフトバンク &gt; シャープ</t>
  </si>
  <si>
    <t>Rolling Stones</t>
  </si>
  <si>
    <t>オークション &gt; 本、雑誌 &gt; アート、エンターテインメント &gt; 写真集 &gt; ミュージシャン &gt; Rolling Stones</t>
  </si>
  <si>
    <t>オークション &gt; コミック、アニメグッズ &gt; セル画 &gt; か行 &gt; ガサラキ</t>
  </si>
  <si>
    <t>0,21600,2084009036,21604,2084006192,2084031652</t>
  </si>
  <si>
    <t>0,20060,2084005356,2084038485,2084034541</t>
  </si>
  <si>
    <t>デル</t>
  </si>
  <si>
    <t>オークション &gt; 家電、AV、カメラ &gt; 携帯電話、スマートフォン &gt; 携帯電話本体 &gt; ソフトバンク &gt; デル</t>
  </si>
  <si>
    <t>オークション &gt; コミック、アニメグッズ &gt; セル画 &gt; か行 &gt; ガルフォース</t>
  </si>
  <si>
    <t>T.M.Revolution</t>
  </si>
  <si>
    <t>0,20060,2084005356,2084038485,2084034564</t>
  </si>
  <si>
    <t>オークション &gt; 本、雑誌 &gt; アート、エンターテインメント &gt; 写真集 &gt; ミュージシャン &gt; T.M.Revolution</t>
  </si>
  <si>
    <t>0,21600,2084009036,21604,2084006192,2084031654</t>
  </si>
  <si>
    <t>オークション &gt; 家電、AV、カメラ &gt; 携帯電話、スマートフォン &gt; 携帯電話本体 &gt; ソフトバンク &gt; ノキア</t>
  </si>
  <si>
    <t>オークション &gt; コミック、アニメグッズ &gt; セル画 &gt; か行 &gt; ガンダム</t>
  </si>
  <si>
    <t>0,20060,2084005356,2084038485,2084034565</t>
  </si>
  <si>
    <t>パナソニック</t>
  </si>
  <si>
    <t>THE ALFEE</t>
  </si>
  <si>
    <t>キャッツアイ</t>
  </si>
  <si>
    <t>オークション &gt; 家電、AV、カメラ &gt; 携帯電話、スマートフォン &gt; 携帯電話本体 &gt; ソフトバンク &gt; パナソニック</t>
  </si>
  <si>
    <t>オークション &gt; 本、雑誌 &gt; アート、エンターテインメント &gt; 写真集 &gt; ミュージシャン &gt; THE ALFEE</t>
  </si>
  <si>
    <t>オークション &gt; コミック、アニメグッズ &gt; セル画 &gt; か行 &gt; キャッツアイ</t>
  </si>
  <si>
    <t>0,20060,2084005356,2084038485,2084034544</t>
  </si>
  <si>
    <t>0,21600,2084009036,21604,2084006192,2084031630</t>
  </si>
  <si>
    <t>オークション &gt; コミック、アニメグッズ &gt; セル画 &gt; か行 &gt; キャプテン・ハーロック</t>
  </si>
  <si>
    <t>オークション &gt; 家電、AV、カメラ &gt; 携帯電話、スマートフォン &gt; 携帯電話本体 &gt; ソフトバンク &gt; モトローラ</t>
  </si>
  <si>
    <t>0,20060,2084005356,2084038485,2084034545</t>
  </si>
  <si>
    <t>THE BEATLES</t>
  </si>
  <si>
    <t>オークション &gt; 本、雑誌 &gt; アート、エンターテインメント &gt; 写真集 &gt; ミュージシャン &gt; THE BEATLES</t>
  </si>
  <si>
    <t>0,21600,2084009036,21604,2084006192,2084031631</t>
  </si>
  <si>
    <t>オークション &gt; コミック、アニメグッズ &gt; セル画 &gt; か行 &gt; キャプテン翼</t>
  </si>
  <si>
    <t>0,20060,2084005356,2084038485,2084034546</t>
  </si>
  <si>
    <t>オークション &gt; 家電、AV、カメラ &gt; 携帯電話、スマートフォン &gt; 携帯電話本体 &gt; ソフトバンク &gt; 三菱電機</t>
  </si>
  <si>
    <t>TM NETWORK</t>
  </si>
  <si>
    <t>オークション &gt; 本、雑誌 &gt; アート、エンターテインメント &gt; 写真集 &gt; ミュージシャン &gt; TM NETWORK</t>
  </si>
  <si>
    <t>0,21600,2084009036,21604,2084006192,2084040619</t>
  </si>
  <si>
    <t>オークション &gt; 家電、AV、カメラ &gt; 携帯電話、スマートフォン &gt; 携帯電話本体 &gt; ソフトバンク &gt; 三洋電機</t>
  </si>
  <si>
    <t>オークション &gt; コミック、アニメグッズ &gt; セル画 &gt; か行 &gt; キューティーハニー</t>
  </si>
  <si>
    <t>0,20060,2084005356,2084038485,2084034548</t>
  </si>
  <si>
    <t>YMO</t>
  </si>
  <si>
    <t>オークション &gt; コミック、アニメグッズ &gt; セル画 &gt; か行 &gt; キン肉マン</t>
  </si>
  <si>
    <t>オークション &gt; 本、雑誌 &gt; アート、エンターテインメント &gt; 写真集 &gt; ミュージシャン &gt; YMO</t>
  </si>
  <si>
    <t>0,20060,2084005356,2084038485,2084034554</t>
  </si>
  <si>
    <t>オークション &gt; 家電、AV、カメラ &gt; 携帯電話、スマートフォン &gt; 携帯電話本体 &gt; ソフトバンク &gt; 東芝</t>
  </si>
  <si>
    <t>0,21600,2084009036,21604,2084006192,2084040621</t>
  </si>
  <si>
    <t>オークション &gt; コミック、アニメグッズ &gt; セル画 &gt; か行 &gt; クラッシャージョウ</t>
  </si>
  <si>
    <t>0,20060,2084005356,2084038485,2084044306</t>
  </si>
  <si>
    <t>YOSHIKI</t>
  </si>
  <si>
    <t>オークション &gt; 家電、AV、カメラ &gt; 携帯電話、スマートフォン &gt; 携帯電話本体 &gt; ソフトバンク &gt; バッテリー、充電器</t>
  </si>
  <si>
    <t>オークション &gt; 本、雑誌 &gt; アート、エンターテインメント &gt; 写真集 &gt; ミュージシャン &gt; YOSHIKI</t>
  </si>
  <si>
    <t>0,21600,2084009036,21604,2084006192,2084040609</t>
  </si>
  <si>
    <t>オークション &gt; コミック、アニメグッズ &gt; セル画 &gt; か行 &gt; クレヨンしんちゃん</t>
  </si>
  <si>
    <t>0,20060,2084005356,2084038485,2084034555</t>
  </si>
  <si>
    <t>ZARD</t>
  </si>
  <si>
    <t>オークション &gt; 家電、AV、カメラ &gt; 携帯電話、スマートフォン &gt; 携帯電話本体 &gt; ソフトバンク &gt; その他</t>
  </si>
  <si>
    <t>オークション &gt; 本、雑誌 &gt; アート、エンターテインメント &gt; 写真集 &gt; ミュージシャン &gt; ZARD</t>
  </si>
  <si>
    <t>0,21600,2084009036,21604,2084006192,2084040610</t>
  </si>
  <si>
    <t>スマートフォン</t>
  </si>
  <si>
    <t>オークション &gt; コミック、アニメグッズ &gt; セル画 &gt; か行 &gt; ゲゲゲの鬼太郎</t>
  </si>
  <si>
    <t>オークション &gt; 家電、AV、カメラ &gt; 携帯電話、スマートフォン &gt; 携帯電話本体 &gt; ワイモバイル &gt; スマートフォン</t>
  </si>
  <si>
    <t>0,20060,2084005356,2084038485,2084034556</t>
  </si>
  <si>
    <t>hitomi</t>
  </si>
  <si>
    <t>オークション &gt; 本、雑誌 &gt; アート、エンターテインメント &gt; 写真集 &gt; ミュージシャン &gt; hitomi</t>
  </si>
  <si>
    <t>0,21600,2084009036,21604,2084006192,2084040611</t>
  </si>
  <si>
    <t>携帯電話</t>
  </si>
  <si>
    <t>オークション &gt; 家電、AV、カメラ &gt; 携帯電話、スマートフォン &gt; 携帯電話本体 &gt; ワイモバイル &gt; 携帯電話</t>
  </si>
  <si>
    <t>オークション &gt; コミック、アニメグッズ &gt; セル画 &gt; か行 &gt; ゲッターロボ</t>
  </si>
  <si>
    <t>0,20060,2084005356,2084038485,2084034557</t>
  </si>
  <si>
    <t>オフコース</t>
  </si>
  <si>
    <t>オークション &gt; 本、雑誌 &gt; アート、エンターテインメント &gt; 写真集 &gt; ミュージシャン &gt; オフコース</t>
  </si>
  <si>
    <t>0,21600,2084009036,21604,2084006192,2084031632</t>
  </si>
  <si>
    <t>NTTドコモ</t>
  </si>
  <si>
    <t>オークション &gt; コミック、アニメグッズ &gt; セル画 &gt; か行 &gt; 科学忍者隊ガッチャマン</t>
  </si>
  <si>
    <t>オークション &gt; 家電、AV、カメラ &gt; 携帯電話、スマートフォン &gt; 携帯電話本体 &gt; スマートフォン本体 &gt; NTTドコモ</t>
  </si>
  <si>
    <t>0,20060,2084005356,2084038485,2084044290</t>
  </si>
  <si>
    <t>ユニコーン</t>
  </si>
  <si>
    <t>オークション &gt; 本、雑誌 &gt; アート、エンターテインメント &gt; 写真集 &gt; ミュージシャン &gt; ユニコーン</t>
  </si>
  <si>
    <t>0,21600,2084009036,21604,2084006192,2084040612</t>
  </si>
  <si>
    <t>オークション &gt; コミック、アニメグッズ &gt; セル画 &gt; か行 &gt; 怪盗 セイント・テール</t>
  </si>
  <si>
    <t>au</t>
  </si>
  <si>
    <t>0,20060,2084005356,2084038485,2084034538</t>
  </si>
  <si>
    <t>オークション &gt; 家電、AV、カメラ &gt; 携帯電話、スマートフォン &gt; 携帯電話本体 &gt; スマートフォン本体 &gt; au</t>
  </si>
  <si>
    <t>永井真理子</t>
  </si>
  <si>
    <t>オークション &gt; コミック、アニメグッズ &gt; セル画 &gt; か行 &gt; 機動警察パトレイバー</t>
  </si>
  <si>
    <t>オークション &gt; 本、雑誌 &gt; アート、エンターテインメント &gt; 写真集 &gt; ミュージシャン &gt; 永井真理子</t>
  </si>
  <si>
    <t>0,20060,2084005356,2084038485,2084034569</t>
  </si>
  <si>
    <t>ソフトバンク</t>
  </si>
  <si>
    <t>0,21600,2084009036,21604,2084006192,2084040613</t>
  </si>
  <si>
    <t>オークション &gt; 家電、AV、カメラ &gt; 携帯電話、スマートフォン &gt; 携帯電話本体 &gt; スマートフォン本体 &gt; ソフトバンク</t>
  </si>
  <si>
    <t>オークション &gt; コミック、アニメグッズ &gt; セル画 &gt; か行 &gt; 機動戦艦ナデシコ</t>
  </si>
  <si>
    <t>0,20060,2084005356,2084038485,2084034570</t>
  </si>
  <si>
    <t>吉川晃司</t>
  </si>
  <si>
    <t>ワイモバイル</t>
  </si>
  <si>
    <t>オークション &gt; 本、雑誌 &gt; アート、エンターテインメント &gt; 写真集 &gt; ミュージシャン &gt; 吉川晃司</t>
  </si>
  <si>
    <t>オークション &gt; 家電、AV、カメラ &gt; 携帯電話、スマートフォン &gt; 携帯電話本体 &gt; スマートフォン本体 &gt; ワイモバイル</t>
  </si>
  <si>
    <t>0,21600,2084009036,21604,2084006192,2084040616</t>
  </si>
  <si>
    <t>オークション &gt; コミック、アニメグッズ &gt; セル画 &gt; か行 &gt; 吸血姫美夕</t>
  </si>
  <si>
    <t>0,20060,2084005356,2084038485,2084034547</t>
  </si>
  <si>
    <t>山崎まさよし</t>
  </si>
  <si>
    <t>国内版SIMフリー</t>
  </si>
  <si>
    <t>オークション &gt; 本、雑誌 &gt; アート、エンターテインメント &gt; 写真集 &gt; ミュージシャン &gt; 山崎まさよし</t>
  </si>
  <si>
    <t>オークション &gt; コミック、アニメグッズ &gt; セル画 &gt; か行 &gt; 巨人の星</t>
  </si>
  <si>
    <t>オークション &gt; 家電、AV、カメラ &gt; 携帯電話、スマートフォン &gt; 携帯電話本体 &gt; スマートフォン本体 &gt; 国内版SIMフリー</t>
  </si>
  <si>
    <t>0,20060,2084005356,2084038485,2084034550</t>
  </si>
  <si>
    <t>0,21600,2084009036,21604,2084006192,2084031637</t>
  </si>
  <si>
    <t>オークション &gt; コミック、アニメグッズ &gt; セル画 &gt; か行 &gt; 金田一少年の事件簿</t>
  </si>
  <si>
    <t>0,20060,2084005356,2084038485,2084034553</t>
  </si>
  <si>
    <t>谷村有美</t>
  </si>
  <si>
    <t>海外版SIMフリー</t>
  </si>
  <si>
    <t>オークション &gt; 本、雑誌 &gt; アート、エンターテインメント &gt; 写真集 &gt; ミュージシャン &gt; 谷村有美</t>
  </si>
  <si>
    <t>オークション &gt; 家電、AV、カメラ &gt; 携帯電話、スマートフォン &gt; 携帯電話本体 &gt; スマートフォン本体 &gt; 海外版SIMフリー</t>
  </si>
  <si>
    <t>0,21600,2084009036,21604,2084006192,2084031639</t>
  </si>
  <si>
    <t>オークション &gt; コミック、アニメグッズ &gt; セル画 &gt; か行 &gt; 銀河英雄伝説</t>
  </si>
  <si>
    <t>0,20060,2084005356,2084038485,2084044292</t>
  </si>
  <si>
    <t>中島みゆき</t>
  </si>
  <si>
    <t>ミラーレス一眼</t>
  </si>
  <si>
    <t>オークション &gt; 本、雑誌 &gt; アート、エンターテインメント &gt; 写真集 &gt; ミュージシャン &gt; 中島みゆき</t>
  </si>
  <si>
    <t>オークション &gt; 家電、AV、カメラ &gt; カメラ、光学機器 &gt; デジタルカメラ &gt; デジタル一眼 &gt; ミラーレス一眼</t>
  </si>
  <si>
    <t>オークション &gt; コミック、アニメグッズ &gt; セル画 &gt; か行 &gt; 銀河鉄道999</t>
  </si>
  <si>
    <t>0,21600,2084009036,21604,2084006192,2084031640</t>
  </si>
  <si>
    <t>0,20060,2084005356,2084038485,2084034551</t>
  </si>
  <si>
    <t>オリンパス</t>
  </si>
  <si>
    <t>オークション &gt; コミック、アニメグッズ &gt; セル画 &gt; か行 &gt; 銀河漂流バイファム</t>
  </si>
  <si>
    <t>0,20060,2084005356,2084038485,2084034552</t>
  </si>
  <si>
    <t>オークション &gt; 家電、AV、カメラ &gt; カメラ、光学機器 &gt; デジタルカメラ &gt; デジタル一眼 &gt; オリンパス</t>
  </si>
  <si>
    <t>藤井フミヤ</t>
  </si>
  <si>
    <t>オークション &gt; 本、雑誌 &gt; アート、エンターテインメント &gt; 写真集 &gt; ミュージシャン &gt; 藤井フミヤ</t>
  </si>
  <si>
    <t>0,21600,2084009036,21604,2084006192,2084060024</t>
  </si>
  <si>
    <t>オークション &gt; コミック、アニメグッズ &gt; セル画 &gt; か行 &gt; 攻殻機動隊</t>
  </si>
  <si>
    <t>キヤノン</t>
  </si>
  <si>
    <t>0,20060,2084005356,2084038485,2084034558</t>
  </si>
  <si>
    <t>オークション &gt; 家電、AV、カメラ &gt; カメラ、光学機器 &gt; デジタルカメラ &gt; デジタル一眼 &gt; キヤノン</t>
  </si>
  <si>
    <t>尾崎豊</t>
  </si>
  <si>
    <t>オークション &gt; コミック、アニメグッズ &gt; セル画 &gt; か行 &gt; 風の谷のナウシカ</t>
  </si>
  <si>
    <t>オークション &gt; 本、雑誌 &gt; アート、エンターテインメント &gt; 写真集 &gt; ミュージシャン &gt; 尾崎豊</t>
  </si>
  <si>
    <t>0,20060,2084005356,2084038485,2084034542</t>
  </si>
  <si>
    <t>0,21600,2084009036,21604,2084006192,2084031641</t>
  </si>
  <si>
    <t>オークション &gt; 家電、AV、カメラ &gt; カメラ、光学機器 &gt; デジタルカメラ &gt; デジタル一眼 &gt; ソニー</t>
  </si>
  <si>
    <t>オークション &gt; コミック、アニメグッズ &gt; セル画 &gt; か行 &gt; その他</t>
  </si>
  <si>
    <t>0,20060,2084005356,2084038485,2084034540</t>
  </si>
  <si>
    <t>福山雅治</t>
  </si>
  <si>
    <t>オークション &gt; 本、雑誌 &gt; アート、エンターテインメント &gt; 写真集 &gt; ミュージシャン &gt; 福山雅治</t>
  </si>
  <si>
    <t>ニコン</t>
  </si>
  <si>
    <t>0,21600,2084009036,21604,2084006192,2084031642</t>
  </si>
  <si>
    <t>オークション &gt; 家電、AV、カメラ &gt; カメラ、光学機器 &gt; デジタルカメラ &gt; デジタル一眼 &gt; ニコン</t>
  </si>
  <si>
    <t>オークション &gt; コミック、アニメグッズ &gt; セル画 &gt; さ行 &gt; それゆけ！宇宙戦艦ヤマモト・ヨーコ</t>
  </si>
  <si>
    <t>0,20060,2084005356,2084034211,2084034865</t>
  </si>
  <si>
    <t>矢沢永吉</t>
  </si>
  <si>
    <t>オークション &gt; 本、雑誌 &gt; アート、エンターテインメント &gt; 写真集 &gt; ミュージシャン &gt; 矢沢永吉</t>
  </si>
  <si>
    <t>オークション &gt; 家電、AV、カメラ &gt; カメラ、光学機器 &gt; デジタルカメラ &gt; デジタル一眼 &gt; パナソニック</t>
  </si>
  <si>
    <t>0,21600,2084009036,21604,2084006192,2084031644</t>
  </si>
  <si>
    <t>オークション &gt; コミック、アニメグッズ &gt; セル画 &gt; さ行 &gt; サイボーグ009</t>
  </si>
  <si>
    <t>0,20060,2084005356,2084034211,2084034838</t>
  </si>
  <si>
    <t>ペンタックス</t>
  </si>
  <si>
    <t>オークション &gt; 家電、AV、カメラ &gt; カメラ、光学機器 &gt; デジタルカメラ &gt; デジタル一眼 &gt; ペンタックス</t>
  </si>
  <si>
    <t>オークション &gt; 本、雑誌 &gt; アート、エンターテインメント &gt; 写真集 &gt; ミュージシャン &gt; その他</t>
  </si>
  <si>
    <t>オークション &gt; コミック、アニメグッズ &gt; セル画 &gt; さ行 &gt; サイレントメビウス</t>
  </si>
  <si>
    <t>0,20060,2084005356,2084034211,2084034839</t>
  </si>
  <si>
    <t>0,21600,2084009036,21604,2084006192,2084032120</t>
  </si>
  <si>
    <t>サクラ大戦</t>
  </si>
  <si>
    <t>オークション &gt; 家電、AV、カメラ &gt; カメラ、光学機器 &gt; デジタルカメラ &gt; デジタル一眼 &gt; その他</t>
  </si>
  <si>
    <t>オークション &gt; コミック、アニメグッズ &gt; セル画 &gt; さ行 &gt; サクラ大戦</t>
  </si>
  <si>
    <t>0,20060,2084005356,2084034211,2084044299</t>
  </si>
  <si>
    <t>オークション &gt; 家電、AV、カメラ &gt; カメラ、光学機器 &gt; デジタルカメラ &gt; ミラーレス一眼 &gt; オリンパス</t>
  </si>
  <si>
    <t>オークション &gt; コミック、アニメグッズ &gt; セル画 &gt; さ行 &gt; サザエさん</t>
  </si>
  <si>
    <t>0,20060,2084005356,2084034211,2084034842</t>
  </si>
  <si>
    <t>オークション &gt; 家電、AV、カメラ &gt; カメラ、光学機器 &gt; デジタルカメラ &gt; ミラーレス一眼 &gt; キヤノン</t>
  </si>
  <si>
    <t>オークション &gt; コミック、アニメグッズ &gt; セル画 &gt; さ行 &gt; シティーハンター</t>
  </si>
  <si>
    <t>0,20060,2084005356,2084034211,2084034846</t>
  </si>
  <si>
    <t>オークション &gt; 家電、AV、カメラ &gt; カメラ、光学機器 &gt; デジタルカメラ &gt; ミラーレス一眼 &gt; ソニー</t>
  </si>
  <si>
    <t>オークション &gt; コミック、アニメグッズ &gt; セル画 &gt; さ行 &gt; ジャングル大帝</t>
  </si>
  <si>
    <t>0,20060,2084005356,2084034211,2084034847</t>
  </si>
  <si>
    <t>オークション &gt; 家電、AV、カメラ &gt; カメラ、光学機器 &gt; デジタルカメラ &gt; ミラーレス一眼 &gt; ニコン</t>
  </si>
  <si>
    <t>オークション &gt; コミック、アニメグッズ &gt; セル画 &gt; さ行 &gt; スラムダンク</t>
  </si>
  <si>
    <t>0,20060,2084005356,2084034211,2084034857</t>
  </si>
  <si>
    <t>オークション &gt; 家電、AV、カメラ &gt; カメラ、光学機器 &gt; デジタルカメラ &gt; ミラーレス一眼 &gt; パナソニック</t>
  </si>
  <si>
    <t>オークション &gt; 家電、AV、カメラ &gt; カメラ、光学機器 &gt; デジタルカメラ &gt; ミラーレス一眼 &gt; ペンタックス</t>
  </si>
  <si>
    <t>オークション &gt; コミック、アニメグッズ &gt; セル画 &gt; さ行 &gt; スレイヤーズ</t>
  </si>
  <si>
    <t>0,20060,2084005356,2084034211,2084034858</t>
  </si>
  <si>
    <t>富士フイルム</t>
  </si>
  <si>
    <t>オークション &gt; 家電、AV、カメラ &gt; カメラ、光学機器 &gt; デジタルカメラ &gt; ミラーレス一眼 &gt; 富士フイルム</t>
  </si>
  <si>
    <t>オークション &gt; コミック、アニメグッズ &gt; セル画 &gt; さ行 &gt; セーラームーン</t>
  </si>
  <si>
    <t>0,20060,2084005356,2084034211,2084034860</t>
  </si>
  <si>
    <t>オークション &gt; 家電、AV、カメラ &gt; カメラ、光学機器 &gt; デジタルカメラ &gt; ミラーレス一眼 &gt; その他</t>
  </si>
  <si>
    <t>オークション &gt; コミック、アニメグッズ &gt; セル画 &gt; さ行 &gt; 獣神ライガー</t>
  </si>
  <si>
    <t>0,20060,2084005356,2084034211,2084034848</t>
  </si>
  <si>
    <t>オークション &gt; 家電、AV、カメラ &gt; カメラ、光学機器 &gt; デジタルカメラ &gt; コンパクトデジタルカメラ &gt; オリンパス</t>
  </si>
  <si>
    <t>オークション &gt; コミック、アニメグッズ &gt; セル画 &gt; さ行 &gt; 重戦機エルガイム</t>
  </si>
  <si>
    <t>0,20060,2084005356,2084034211,2084034849</t>
  </si>
  <si>
    <t>オークション &gt; 家電、AV、カメラ &gt; カメラ、光学機器 &gt; デジタルカメラ &gt; コンパクトデジタルカメラ &gt; カシオ</t>
  </si>
  <si>
    <t>オークション &gt; コミック、アニメグッズ &gt; セル画 &gt; さ行 &gt; 少年アシベ</t>
  </si>
  <si>
    <t>0,20060,2084005356,2084034211,2084034851</t>
  </si>
  <si>
    <t>オークション &gt; 家電、AV、カメラ &gt; カメラ、光学機器 &gt; デジタルカメラ &gt; コンパクトデジタルカメラ &gt; キヤノン</t>
  </si>
  <si>
    <t>シグマ</t>
  </si>
  <si>
    <t>オークション &gt; コミック、アニメグッズ &gt; セル画 &gt; さ行 &gt; 新世紀GPXサイバーフォーミュラ</t>
  </si>
  <si>
    <t>オークション &gt; 家電、AV、カメラ &gt; カメラ、光学機器 &gt; デジタルカメラ &gt; コンパクトデジタルカメラ &gt; シグマ</t>
  </si>
  <si>
    <t>0,20060,2084005356,2084034211,2084034852</t>
  </si>
  <si>
    <t>オークション &gt; コミック、アニメグッズ &gt; セル画 &gt; さ行 &gt; 新世紀エヴァンゲリオン</t>
  </si>
  <si>
    <t>0,20060,2084005356,2084034211,2084034853</t>
  </si>
  <si>
    <t>オークション &gt; 家電、AV、カメラ &gt; カメラ、光学機器 &gt; デジタルカメラ &gt; コンパクトデジタルカメラ &gt; ソニー</t>
  </si>
  <si>
    <t>オークション &gt; コミック、アニメグッズ &gt; セル画 &gt; さ行 &gt; 神秘の世界エルハザード</t>
  </si>
  <si>
    <t>0,20060,2084005356,2084034211,2084034855</t>
  </si>
  <si>
    <t>オークション &gt; 家電、AV、カメラ &gt; カメラ、光学機器 &gt; デジタルカメラ &gt; コンパクトデジタルカメラ &gt; ニコン</t>
  </si>
  <si>
    <t>60インチ～</t>
  </si>
  <si>
    <t>オークション &gt; コミック、アニメグッズ &gt; セル画 &gt; さ行 &gt; 聖闘士星矢</t>
  </si>
  <si>
    <t>0,20060,2084005356,2084034211,2084034859</t>
  </si>
  <si>
    <t>オークション &gt; 家電、AV、カメラ &gt; 映像機器 &gt; テレビ &gt; 60インチ～</t>
  </si>
  <si>
    <t>オークション &gt; 家電、AV、カメラ &gt; カメラ、光学機器 &gt; デジタルカメラ &gt; コンパクトデジタルカメラ &gt; パナソニック</t>
  </si>
  <si>
    <t>オークション &gt; コミック、アニメグッズ &gt; セル画 &gt; さ行 &gt; 絶対無敵ライジンオー</t>
  </si>
  <si>
    <t>0,20060,2084005356,2084034211,2084034861</t>
  </si>
  <si>
    <t>オークション &gt; 家電、AV、カメラ &gt; カメラ、光学機器 &gt; デジタルカメラ &gt; コンパクトデジタルカメラ &gt; ペンタックス</t>
  </si>
  <si>
    <t>オークション &gt; コミック、アニメグッズ &gt; セル画 &gt; さ行 &gt; 戦闘メカ ザブングル</t>
  </si>
  <si>
    <t>50インチ～</t>
  </si>
  <si>
    <t>0,20060,2084005356,2084034211,2084034863</t>
  </si>
  <si>
    <t>ミノルタ、コニカミノルタ</t>
  </si>
  <si>
    <t>オークション &gt; 家電、AV、カメラ &gt; 映像機器 &gt; テレビ &gt; 50インチ～</t>
  </si>
  <si>
    <t>オークション &gt; 家電、AV、カメラ &gt; カメラ、光学機器 &gt; デジタルカメラ &gt; コンパクトデジタルカメラ &gt; ミノルタ、コニカミノルタ</t>
  </si>
  <si>
    <t>オークション &gt; コミック、アニメグッズ &gt; セル画 &gt; さ行 &gt; 装甲騎兵 ボトムズ</t>
  </si>
  <si>
    <t>ライカ</t>
  </si>
  <si>
    <t>0,20060,2084005356,2084034211,2084034864</t>
  </si>
  <si>
    <t>オークション &gt; 家電、AV、カメラ &gt; カメラ、光学機器 &gt; デジタルカメラ &gt; コンパクトデジタルカメラ &gt; ライカ</t>
  </si>
  <si>
    <t>40インチ～</t>
  </si>
  <si>
    <t>オークション &gt; 家電、AV、カメラ &gt; 映像機器 &gt; テレビ &gt; 40インチ～</t>
  </si>
  <si>
    <t>リコー</t>
  </si>
  <si>
    <t>オークション &gt; コミック、アニメグッズ &gt; セル画 &gt; さ行 &gt; 魔法使いサリー</t>
  </si>
  <si>
    <t>オークション &gt; 家電、AV、カメラ &gt; カメラ、光学機器 &gt; デジタルカメラ &gt; コンパクトデジタルカメラ &gt; リコー</t>
  </si>
  <si>
    <t>0,20060,2084005356,2084034211,2084034840</t>
  </si>
  <si>
    <t>37インチ～</t>
  </si>
  <si>
    <t>オークション &gt; コミック、アニメグッズ &gt; セル画 &gt; さ行 &gt; その他</t>
  </si>
  <si>
    <t>オークション &gt; 家電、AV、カメラ &gt; 映像機器 &gt; テレビ &gt; 37インチ～</t>
  </si>
  <si>
    <t>三洋</t>
  </si>
  <si>
    <t>0,20060,2084005356,2084034211,2084034841</t>
  </si>
  <si>
    <t>オークション &gt; 家電、AV、カメラ &gt; カメラ、光学機器 &gt; デジタルカメラ &gt; コンパクトデジタルカメラ &gt; 三洋</t>
  </si>
  <si>
    <t>32インチ～</t>
  </si>
  <si>
    <t>オークション &gt; コミック、アニメグッズ &gt; セル画 &gt; た行 &gt; ちびまる子ちゃん</t>
  </si>
  <si>
    <t>オークション &gt; 家電、AV、カメラ &gt; 映像機器 &gt; テレビ &gt; 32インチ～</t>
  </si>
  <si>
    <t>オークション &gt; 家電、AV、カメラ &gt; カメラ、光学機器 &gt; デジタルカメラ &gt; コンパクトデジタルカメラ &gt; 日立</t>
  </si>
  <si>
    <t>0,20060,2084005356,2084034220,2084035197</t>
  </si>
  <si>
    <t>25インチ～</t>
  </si>
  <si>
    <t>ど根性ガエル</t>
  </si>
  <si>
    <t>オークション &gt; 家電、AV、カメラ &gt; 映像機器 &gt; テレビ &gt; 25インチ～</t>
  </si>
  <si>
    <t>オークション &gt; コミック、アニメグッズ &gt; セル画 &gt; た行 &gt; ど根性ガエル</t>
  </si>
  <si>
    <t>0,20060,2084005356,2084034220,2084035212</t>
  </si>
  <si>
    <t>オークション &gt; 家電、AV、カメラ &gt; カメラ、光学機器 &gt; デジタルカメラ &gt; コンパクトデジタルカメラ &gt; 富士フイルム</t>
  </si>
  <si>
    <t>15インチ～</t>
  </si>
  <si>
    <t>オークション &gt; 家電、AV、カメラ &gt; 映像機器 &gt; テレビ &gt; 15インチ～</t>
  </si>
  <si>
    <t>オークション &gt; コミック、アニメグッズ &gt; セル画 &gt; た行 &gt; タイムボカンシリーズ</t>
  </si>
  <si>
    <t>0,20060,2084005356,2084034220,2084035193</t>
  </si>
  <si>
    <t>14インチ以下</t>
  </si>
  <si>
    <t>オークション &gt; 家電、AV、カメラ &gt; カメラ、光学機器 &gt; デジタルカメラ &gt; コンパクトデジタルカメラ &gt; その他</t>
  </si>
  <si>
    <t>オークション &gt; 家電、AV、カメラ &gt; 映像機器 &gt; テレビ &gt; 14インチ以下</t>
  </si>
  <si>
    <t>オークション &gt; コミック、アニメグッズ &gt; セル画 &gt; た行 &gt; タッチ</t>
  </si>
  <si>
    <t>0,20060,2084005356,2084034220,2084044226</t>
  </si>
  <si>
    <t>ビデオ内蔵型テレビ</t>
  </si>
  <si>
    <t>オークション &gt; 家電、AV、カメラ &gt; 映像機器 &gt; テレビ &gt; ビデオ内蔵型テレビ</t>
  </si>
  <si>
    <t>一眼用</t>
  </si>
  <si>
    <t>オークション &gt; 家電、AV、カメラ &gt; カメラ、光学機器 &gt; デジタルカメラ &gt; バッテリー、充電器 &gt; 一眼用</t>
  </si>
  <si>
    <t>オークション &gt; コミック、アニメグッズ &gt; セル画 &gt; た行 &gt; ダーティペア</t>
  </si>
  <si>
    <t>0,20060,2084005356,2084034220,2084035189</t>
  </si>
  <si>
    <t>ポータブルテレビ</t>
  </si>
  <si>
    <t>コンパクトデジタルカメラ用</t>
  </si>
  <si>
    <t>オークション &gt; コミック、アニメグッズ &gt; セル画 &gt; た行 &gt; デ・ジ・キャラット</t>
  </si>
  <si>
    <t>オークション &gt; 家電、AV、カメラ &gt; 映像機器 &gt; テレビ &gt; ポータブルテレビ</t>
  </si>
  <si>
    <t>0,20060,2084005356,2084034220,2084035217</t>
  </si>
  <si>
    <t>オークション &gt; 家電、AV、カメラ &gt; カメラ、光学機器 &gt; デジタルカメラ &gt; バッテリー、充電器 &gt; コンパクトデジタルカメラ用</t>
  </si>
  <si>
    <t>アンテナ</t>
  </si>
  <si>
    <t>オークション &gt; 家電、AV、カメラ &gt; 映像機器 &gt; テレビ &gt; アンテナ</t>
  </si>
  <si>
    <t>USBタイプ</t>
  </si>
  <si>
    <t>オークション &gt; コミック、アニメグッズ &gt; セル画 &gt; た行 &gt; デビルマン</t>
  </si>
  <si>
    <t>0,20060,2084005356,2084034220,2084035203</t>
  </si>
  <si>
    <t>オークション &gt; コンピュータ &gt; 周辺機器 &gt; 入力装置 &gt; カードリーダー &gt; USBタイプ</t>
  </si>
  <si>
    <t>ハードディスク</t>
  </si>
  <si>
    <t>オークション &gt; 家電、AV、カメラ &gt; 映像機器 &gt; テレビ &gt; ハードディスク</t>
  </si>
  <si>
    <t>オークション &gt; コミック、アニメグッズ &gt; セル画 &gt; た行 &gt; ドカベン</t>
  </si>
  <si>
    <t>0,20060,2084005356,2084034220,2084035210</t>
  </si>
  <si>
    <t>PCカードタイプ</t>
  </si>
  <si>
    <t>リモコン</t>
  </si>
  <si>
    <t>オークション &gt; コンピュータ &gt; 周辺機器 &gt; 入力装置 &gt; カードリーダー &gt; PCカードタイプ</t>
  </si>
  <si>
    <t>オークション &gt; 家電、AV、カメラ &gt; 映像機器 &gt; テレビ &gt; リモコン</t>
  </si>
  <si>
    <t>オークション &gt; コミック、アニメグッズ &gt; セル画 &gt; た行 &gt; ドクタースランプ</t>
  </si>
  <si>
    <t>0,20060,2084005356,2084034220,2084035211</t>
  </si>
  <si>
    <t>プロジェクター</t>
  </si>
  <si>
    <t>オークション &gt; 家電、AV、カメラ &gt; 映像機器 &gt; テレビ &gt; プロジェクター</t>
  </si>
  <si>
    <t>オークション &gt; コンピュータ &gt; 周辺機器 &gt; 入力装置 &gt; カードリーダー &gt; その他</t>
  </si>
  <si>
    <t>オークション &gt; コミック、アニメグッズ &gt; セル画 &gt; た行 &gt; ドラえもん</t>
  </si>
  <si>
    <t>0,20060,2084005356,2084034220,2084035214</t>
  </si>
  <si>
    <t>テレビ台、AVボード</t>
  </si>
  <si>
    <t>オークション &gt; 家電、AV、カメラ &gt; 映像機器 &gt; テレビ &gt; テレビ台、AVボード</t>
  </si>
  <si>
    <t>USBメモリ</t>
  </si>
  <si>
    <t>オークション &gt; コンピュータ &gt; サプライ &gt; 記録用メモリ &gt; USBメモリ</t>
  </si>
  <si>
    <t>オークション &gt; コミック、アニメグッズ &gt; セル画 &gt; た行 &gt; ドラゴンボール</t>
  </si>
  <si>
    <t>0,20060,2084005356,2084034220,2084035215</t>
  </si>
  <si>
    <t>オークション &gt; 家電、AV、カメラ &gt; 映像機器 &gt; テレビ &gt; その他</t>
  </si>
  <si>
    <t>SDメモリーカード、MMC</t>
  </si>
  <si>
    <t>オークション &gt; コンピュータ &gt; サプライ &gt; 記録用メモリ &gt; SDメモリーカード、MMC</t>
  </si>
  <si>
    <t>オークション &gt; 家電、AV、カメラ &gt; 映像機器 &gt; プロジェクター &gt; 本体</t>
  </si>
  <si>
    <t>太陽の勇者ファイバード</t>
  </si>
  <si>
    <t>オークション &gt; コミック、アニメグッズ &gt; セル画 &gt; た行 &gt; 太陽の勇者ファイバード</t>
  </si>
  <si>
    <t>xDピクチャーカード</t>
  </si>
  <si>
    <t>0,20060,2084005356,2084034220,2084035195</t>
  </si>
  <si>
    <t>スクリーン</t>
  </si>
  <si>
    <t>オークション &gt; コンピュータ &gt; サプライ &gt; 記録用メモリ &gt; xDピクチャーカード</t>
  </si>
  <si>
    <t>オークション &gt; 家電、AV、カメラ &gt; 映像機器 &gt; プロジェクター &gt; スクリーン</t>
  </si>
  <si>
    <t>コンパクトフラッシュメモリ</t>
  </si>
  <si>
    <t>オークション &gt; 家電、AV、カメラ &gt; 映像機器 &gt; プロジェクター &gt; その他</t>
  </si>
  <si>
    <t>オークション &gt; コンピュータ &gt; サプライ &gt; 記録用メモリ &gt; コンパクトフラッシュメモリ</t>
  </si>
  <si>
    <t>オークション &gt; コミック、アニメグッズ &gt; セル画 &gt; た行 &gt; 逮捕しちゃうぞ</t>
  </si>
  <si>
    <t>0,20060,2084005356,2084034220,2084035192</t>
  </si>
  <si>
    <t>DXアンテナ</t>
  </si>
  <si>
    <t>オークション &gt; 家電、AV、カメラ &gt; 映像機器 &gt; ブルーレイレコーダー &gt; DXアンテナ</t>
  </si>
  <si>
    <t>スマートメディア</t>
  </si>
  <si>
    <t>オークション &gt; コンピュータ &gt; サプライ &gt; 記録用メモリ &gt; スマートメディア</t>
  </si>
  <si>
    <t>オークション &gt; 家電、AV、カメラ &gt; 映像機器 &gt; ブルーレイレコーダー &gt; LGエレクトロニクス</t>
  </si>
  <si>
    <t>オークション &gt; コミック、アニメグッズ &gt; セル画 &gt; た行 &gt; 大空魔竜ガイキング</t>
  </si>
  <si>
    <t>0,20060,2084005356,2084034220,2084035191</t>
  </si>
  <si>
    <t>メモリースティック</t>
  </si>
  <si>
    <t>オークション &gt; コンピュータ &gt; サプライ &gt; 記録用メモリ &gt; メモリースティック</t>
  </si>
  <si>
    <t>超電磁マシーン ボルテスV</t>
  </si>
  <si>
    <t>オークション &gt; 家電、AV、カメラ &gt; 映像機器 &gt; ブルーレイレコーダー &gt; シャープ</t>
  </si>
  <si>
    <t>オークション &gt; コミック、アニメグッズ &gt; セル画 &gt; た行 &gt; 超電磁マシーン ボルテスV</t>
  </si>
  <si>
    <t>0,20060,2084005356,2084034220,2084035216</t>
  </si>
  <si>
    <t>オークション &gt; 家電、AV、カメラ &gt; 映像機器 &gt; ブルーレイレコーダー &gt; ソニー</t>
  </si>
  <si>
    <t>PCカードメモリ</t>
  </si>
  <si>
    <t>超電磁ロボ コン・バトラーV</t>
  </si>
  <si>
    <t>オークション &gt; コミック、アニメグッズ &gt; セル画 &gt; た行 &gt; 超電磁ロボ コン・バトラーV</t>
  </si>
  <si>
    <t>オークション &gt; コンピュータ &gt; サプライ &gt; 記録用メモリ &gt; PCカードメモリ</t>
  </si>
  <si>
    <t>0,20060,2084005356,2084034220,2084035567</t>
  </si>
  <si>
    <t>オークション &gt; 家電、AV、カメラ &gt; 映像機器 &gt; ブルーレイレコーダー &gt; パナソニック</t>
  </si>
  <si>
    <t>オークション &gt; コミック、アニメグッズ &gt; セル画 &gt; た行 &gt; 鉄人28号</t>
  </si>
  <si>
    <t>オークション &gt; 家電、AV、カメラ &gt; 映像機器 &gt; ブルーレイレコーダー &gt; 三菱電機</t>
  </si>
  <si>
    <t>カードリーダー</t>
  </si>
  <si>
    <t>0,20060,2084005356,2084034220,2084035218</t>
  </si>
  <si>
    <t>オークション &gt; コンピュータ &gt; サプライ &gt; 記録用メモリ &gt; カードリーダー</t>
  </si>
  <si>
    <t>オークション &gt; 家電、AV、カメラ &gt; 映像機器 &gt; ブルーレイレコーダー &gt; 東芝</t>
  </si>
  <si>
    <t>オークション &gt; コミック、アニメグッズ &gt; セル画 &gt; た行 &gt; 鉄腕アトム</t>
  </si>
  <si>
    <t>0,20060,2084005356,2084034220,2084035202</t>
  </si>
  <si>
    <t>オークション &gt; 家電、AV、カメラ &gt; 映像機器 &gt; ブルーレイレコーダー &gt; その他</t>
  </si>
  <si>
    <t>オークション &gt; コンピュータ &gt; サプライ &gt; 記録用メモリ &gt; その他</t>
  </si>
  <si>
    <t>オークション &gt; コミック、アニメグッズ &gt; セル画 &gt; た行 &gt; 天空のエスカフローネ</t>
  </si>
  <si>
    <t>一般</t>
  </si>
  <si>
    <t>0,20060,2084005356,2084034220,2084035206</t>
  </si>
  <si>
    <t>オークション &gt; 家電、AV、カメラ &gt; 映像機器 &gt; DVDレコーダー &gt; 一般</t>
  </si>
  <si>
    <t>内蔵</t>
  </si>
  <si>
    <t>オークション &gt; コンピュータ &gt; 周辺機器 &gt; ハードディスク &gt; 内蔵</t>
  </si>
  <si>
    <t>HDD内蔵</t>
  </si>
  <si>
    <t>オークション &gt; コミック、アニメグッズ &gt; セル画 &gt; た行 &gt; 天空戦記シュラト</t>
  </si>
  <si>
    <t>オークション &gt; 家電、AV、カメラ &gt; 映像機器 &gt; DVDレコーダー &gt; HDD内蔵</t>
  </si>
  <si>
    <t>0,20060,2084005356,2084034220,2084035205</t>
  </si>
  <si>
    <t>外付け</t>
  </si>
  <si>
    <t>ブルーレイ</t>
  </si>
  <si>
    <t>オークション &gt; 家電、AV、カメラ &gt; 映像機器 &gt; DVDレコーダー &gt; ブルーレイ</t>
  </si>
  <si>
    <t>オークション &gt; コンピュータ &gt; 周辺機器 &gt; ハードディスク &gt; 外付け</t>
  </si>
  <si>
    <t>オークション &gt; コミック、アニメグッズ &gt; セル画 &gt; た行 &gt; 天地無用!</t>
  </si>
  <si>
    <t>0,20060,2084005356,2084034220,2084035209</t>
  </si>
  <si>
    <t>オークション &gt; 家電、AV、カメラ &gt; 映像機器 &gt; DVDプレーヤー &gt; 一般</t>
  </si>
  <si>
    <t>NAS</t>
  </si>
  <si>
    <t>オークション &gt; コンピュータ &gt; 周辺機器 &gt; ハードディスク &gt; NAS</t>
  </si>
  <si>
    <t>オークション &gt; コミック、アニメグッズ &gt; セル画 &gt; た行 &gt; 伝説巨神イデオン</t>
  </si>
  <si>
    <t>0,20060,2084005356,2084034220,2084035208</t>
  </si>
  <si>
    <t>ポータブルプレーヤー</t>
  </si>
  <si>
    <t>オークション &gt; 家電、AV、カメラ &gt; 映像機器 &gt; DVDプレーヤー &gt; ポータブルプレーヤー</t>
  </si>
  <si>
    <t>オークション &gt; コミック、アニメグッズ &gt; セル画 &gt; た行 &gt; その他</t>
  </si>
  <si>
    <t>ポータブル</t>
  </si>
  <si>
    <t>0,20060,2084005356,2084034220,2084035196</t>
  </si>
  <si>
    <t>オークション &gt; コンピュータ &gt; 周辺機器 &gt; ハードディスク &gt; ポータブル</t>
  </si>
  <si>
    <t>室内用地上デジタル対応アンテナ</t>
  </si>
  <si>
    <t>オークション &gt; 家電、AV、カメラ &gt; 映像機器 &gt; アンテナ &gt; 室内用地上デジタル対応アンテナ</t>
  </si>
  <si>
    <t>マウンタ、ケース</t>
  </si>
  <si>
    <t>屋外用地上デジタル対応アンテナ</t>
  </si>
  <si>
    <t>オークション &gt; コンピュータ &gt; 周辺機器 &gt; ハードディスク &gt; マウンタ、ケース</t>
  </si>
  <si>
    <t>オークション &gt; 家電、AV、カメラ &gt; 映像機器 &gt; アンテナ &gt; 屋外用地上デジタル対応アンテナ</t>
  </si>
  <si>
    <t>オークション &gt; コミック、アニメグッズ &gt; セル画 &gt; な行 &gt; 南国少年パプワくん</t>
  </si>
  <si>
    <t>0,20060,2084005356,2084034229,2084035425</t>
  </si>
  <si>
    <t>CS・BS対応アンテナ</t>
  </si>
  <si>
    <t>オークション &gt; コンピュータ &gt; 周辺機器 &gt; ハードディスク &gt; その他</t>
  </si>
  <si>
    <t>オークション &gt; 家電、AV、カメラ &gt; 映像機器 &gt; アンテナ &gt; CS・BS対応アンテナ</t>
  </si>
  <si>
    <t>オークション &gt; コミック、アニメグッズ &gt; セル画 &gt; な行 &gt; その他</t>
  </si>
  <si>
    <t>0,20060,2084005356,2084034229,2084035424</t>
  </si>
  <si>
    <t>コネクタ</t>
  </si>
  <si>
    <t>256GB～</t>
  </si>
  <si>
    <t>オークション &gt; 家電、AV、カメラ &gt; 映像機器 &gt; アンテナ &gt; コネクタ</t>
  </si>
  <si>
    <t>オークション &gt; コンピュータ &gt; 周辺機器 &gt; SSD &gt; 256GB～</t>
  </si>
  <si>
    <t>オークション &gt; コミック、アニメグッズ &gt; セル画 &gt; は行 &gt; HUNTER×HUNTER</t>
  </si>
  <si>
    <t>テレビコンセント</t>
  </si>
  <si>
    <t>0,20060,2084005356,2084034238,2084035555</t>
  </si>
  <si>
    <t>128GB～</t>
  </si>
  <si>
    <t>オークション &gt; 家電、AV、カメラ &gt; 映像機器 &gt; アンテナ &gt; テレビコンセント</t>
  </si>
  <si>
    <t>オークション &gt; コンピュータ &gt; 周辺機器 &gt; SSD &gt; 128GB～</t>
  </si>
  <si>
    <t>ブースター</t>
  </si>
  <si>
    <t>オークション &gt; コミック、アニメグッズ &gt; セル画 &gt; は行 &gt; ふしぎの海のナディア</t>
  </si>
  <si>
    <t>オークション &gt; 家電、AV、カメラ &gt; 映像機器 &gt; アンテナ &gt; ブースター</t>
  </si>
  <si>
    <t>0,20060,2084005356,2084034238,2084035560</t>
  </si>
  <si>
    <t>64GB～</t>
  </si>
  <si>
    <t>オークション &gt; コンピュータ &gt; 周辺機器 &gt; SSD &gt; 64GB～</t>
  </si>
  <si>
    <t>混合器</t>
  </si>
  <si>
    <t>オークション &gt; コミック、アニメグッズ &gt; セル画 &gt; は行 &gt; ふしぎ遊戯</t>
  </si>
  <si>
    <t>32GB～</t>
  </si>
  <si>
    <t>オークション &gt; 家電、AV、カメラ &gt; 映像機器 &gt; アンテナ &gt; 混合器</t>
  </si>
  <si>
    <t>オークション &gt; コンピュータ &gt; 周辺機器 &gt; SSD &gt; 32GB～</t>
  </si>
  <si>
    <t>0,20060,2084005356,2084034238,2084035561</t>
  </si>
  <si>
    <t>同軸ケーブル</t>
  </si>
  <si>
    <t>オークション &gt; コミック、アニメグッズ &gt; セル画 &gt; は行 &gt; バトルアスリーテス大運動会</t>
  </si>
  <si>
    <t>オークション &gt; 家電、AV、カメラ &gt; 映像機器 &gt; アンテナ &gt; 同軸ケーブル</t>
  </si>
  <si>
    <t>32GB未満</t>
  </si>
  <si>
    <t>0,20060,2084005356,2084034238,2084035551</t>
  </si>
  <si>
    <t>オークション &gt; コンピュータ &gt; 周辺機器 &gt; SSD &gt; 32GB未満</t>
  </si>
  <si>
    <t>分波器</t>
  </si>
  <si>
    <t>オークション &gt; 家電、AV、カメラ &gt; 映像機器 &gt; アンテナ &gt; 分波器</t>
  </si>
  <si>
    <t>オークション &gt; コミック、アニメグッズ &gt; セル画 &gt; は行 &gt; ファイブスター物語</t>
  </si>
  <si>
    <t>0,20060,2084005356,2084034238,2084035558</t>
  </si>
  <si>
    <t>分配器</t>
  </si>
  <si>
    <t>オークション &gt; 家電、AV、カメラ &gt; 映像機器 &gt; アンテナ &gt; 分配器</t>
  </si>
  <si>
    <t>オークション &gt; コミック、アニメグッズ &gt; セル画 &gt; は行 &gt; フランダースの犬</t>
  </si>
  <si>
    <t>0,20060,2084005356,2084034238,2084035562</t>
  </si>
  <si>
    <t>オークション &gt; 家電、AV、カメラ &gt; 映像機器 &gt; アンテナ &gt; その他</t>
  </si>
  <si>
    <t>オークション &gt; コミック、アニメグッズ &gt; セル画 &gt; は行 &gt; ベルサイユのばら</t>
  </si>
  <si>
    <t>CSチューナー</t>
  </si>
  <si>
    <t>0,20060,2084005356,2084034238,2084035565</t>
  </si>
  <si>
    <t>オークション &gt; 家電、AV、カメラ &gt; 映像機器 &gt; チューナー &gt; CSチューナー</t>
  </si>
  <si>
    <t>地上デジタルチューナー</t>
  </si>
  <si>
    <t>オークション &gt; コミック、アニメグッズ &gt; セル画 &gt; は行 &gt; ベルセルク</t>
  </si>
  <si>
    <t>オークション &gt; 家電、AV、カメラ &gt; 映像機器 &gt; チューナー &gt; 地上デジタルチューナー</t>
  </si>
  <si>
    <t>0,20060,2084005356,2084034238,2084035566</t>
  </si>
  <si>
    <t>オークション &gt; 家電、AV、カメラ &gt; 映像機器 &gt; チューナー &gt; その他</t>
  </si>
  <si>
    <t>オークション &gt; コミック、アニメグッズ &gt; セル画 &gt; は行 &gt; 覇王大系 リューナイト</t>
  </si>
  <si>
    <t>0,20060,2084005356,2084034238,2084035547</t>
  </si>
  <si>
    <t>オークション &gt; 家電、AV、カメラ &gt; 映像機器 &gt; 記録メディア &gt; ブルーレイ</t>
  </si>
  <si>
    <t>DVD-R</t>
  </si>
  <si>
    <t>オークション &gt; 家電、AV、カメラ &gt; 映像機器 &gt; 記録メディア &gt; DVD-R</t>
  </si>
  <si>
    <t>オークション &gt; コミック、アニメグッズ &gt; セル画 &gt; は行 &gt; 破裏拳ポリマー</t>
  </si>
  <si>
    <t>0,20060,2084005356,2084034238,2084035554</t>
  </si>
  <si>
    <t>DVD-RAM</t>
  </si>
  <si>
    <t>オークション &gt; 家電、AV、カメラ &gt; 映像機器 &gt; 記録メディア &gt; DVD-RAM</t>
  </si>
  <si>
    <t>DVD-RW</t>
  </si>
  <si>
    <t>オークション &gt; コミック、アニメグッズ &gt; セル画 &gt; は行 &gt; 爆走兄弟レッツ&amp;ゴー!!</t>
  </si>
  <si>
    <t>オークション &gt; 家電、AV、カメラ &gt; 映像機器 &gt; 記録メディア &gt; DVD-RW</t>
  </si>
  <si>
    <t>0,20060,2084005356,2084034238,2084035549</t>
  </si>
  <si>
    <t>オークション &gt; コンピュータ &gt; 周辺機器 &gt; ブルーレイドライブ &gt; 内蔵</t>
  </si>
  <si>
    <t>Mini DV</t>
  </si>
  <si>
    <t>オークション &gt; 家電、AV、カメラ &gt; 映像機器 &gt; 記録メディア &gt; Mini DV</t>
  </si>
  <si>
    <t>オークション &gt; コンピュータ &gt; 周辺機器 &gt; ブルーレイドライブ &gt; 外付け</t>
  </si>
  <si>
    <t>ビデオテープ</t>
  </si>
  <si>
    <t>オークション &gt; コミック、アニメグッズ &gt; セル画 &gt; は行 &gt; 母をたずねて三千里</t>
  </si>
  <si>
    <t>オークション &gt; 家電、AV、カメラ &gt; 映像機器 &gt; 記録メディア &gt; ビデオテープ</t>
  </si>
  <si>
    <t>0,20060,2084005356,2084034238,2084035552</t>
  </si>
  <si>
    <t>オークション &gt; コンピュータ &gt; 周辺機器 &gt; DVDドライブ &gt; 外付け</t>
  </si>
  <si>
    <t>オークション &gt; 家電、AV、カメラ &gt; 映像機器 &gt; 記録メディア &gt; その他</t>
  </si>
  <si>
    <t>オークション &gt; コミック、アニメグッズ &gt; セル画 &gt; は行 &gt; 北斗の拳</t>
  </si>
  <si>
    <t>0,20060,2084005356,2084034238,2084035568</t>
  </si>
  <si>
    <t>オークション &gt; コンピュータ &gt; 周辺機器 &gt; DVDドライブ &gt; 内蔵</t>
  </si>
  <si>
    <t>D端子ケーブル</t>
  </si>
  <si>
    <t>オークション &gt; 家電、AV、カメラ &gt; 映像機器 &gt; 映像用ケーブル &gt; D端子ケーブル</t>
  </si>
  <si>
    <t>内蔵CD-R/RWドライブ</t>
  </si>
  <si>
    <t>オークション &gt; コンピュータ &gt; 周辺機器 &gt; CDドライブ &gt; 内蔵CD-R/RWドライブ</t>
  </si>
  <si>
    <t>オークション &gt; コミック、アニメグッズ &gt; セル画 &gt; は行 &gt; 万能文化猫娘</t>
  </si>
  <si>
    <t>0,20060,2084005356,2084034238,2084035556</t>
  </si>
  <si>
    <t>HDMIケーブル</t>
  </si>
  <si>
    <t>オークション &gt; 家電、AV、カメラ &gt; 映像機器 &gt; 映像用ケーブル &gt; HDMIケーブル</t>
  </si>
  <si>
    <t>内蔵CD-ROMドライブ</t>
  </si>
  <si>
    <t>オークション &gt; コンピュータ &gt; 周辺機器 &gt; CDドライブ &gt; 内蔵CD-ROMドライブ</t>
  </si>
  <si>
    <t>S端子ケーブル</t>
  </si>
  <si>
    <t>オークション &gt; 家電、AV、カメラ &gt; 映像機器 &gt; 映像用ケーブル &gt; S端子ケーブル</t>
  </si>
  <si>
    <t>オークション &gt; コミック、アニメグッズ &gt; セル画 &gt; は行 &gt; その他</t>
  </si>
  <si>
    <t>外付けCD-R/RWドライブ</t>
  </si>
  <si>
    <t>0,20060,2084005356,2084034238,2084035548</t>
  </si>
  <si>
    <t>オークション &gt; コンピュータ &gt; 周辺機器 &gt; CDドライブ &gt; 外付けCD-R/RWドライブ</t>
  </si>
  <si>
    <t>ピンケーブル</t>
  </si>
  <si>
    <t>オークション &gt; 家電、AV、カメラ &gt; 映像機器 &gt; 映像用ケーブル &gt; ピンケーブル</t>
  </si>
  <si>
    <t>外付けCD-ROMドライブ</t>
  </si>
  <si>
    <t>オークション &gt; コミック、アニメグッズ &gt; セル画 &gt; ま行 &gt; めぞん一刻</t>
  </si>
  <si>
    <t>オークション &gt; コンピュータ &gt; 周辺機器 &gt; CDドライブ &gt; 外付けCD-ROMドライブ</t>
  </si>
  <si>
    <t>0,20060,2084005356,2084034247,2084035806</t>
  </si>
  <si>
    <t>オークション &gt; 家電、AV、カメラ &gt; 映像機器 &gt; 映像用ケーブル &gt; その他</t>
  </si>
  <si>
    <t>128MB</t>
  </si>
  <si>
    <t>デジタルビデオカメラ</t>
  </si>
  <si>
    <t>オークション &gt; コミック、アニメグッズ &gt; セル画 &gt; ま行 &gt; もののけ姫</t>
  </si>
  <si>
    <t>オークション &gt; 家電、AV、カメラ &gt; カメラ、光学機器 &gt; ビデオカメラ &gt; デジタルビデオカメラ</t>
  </si>
  <si>
    <t>オークション &gt; コンピュータ &gt; 周辺機器 &gt; MOドライブ &gt; 128MB</t>
  </si>
  <si>
    <t>0,20060,2084005356,2084034247,2084035780</t>
  </si>
  <si>
    <t>8ミリビデオカメラ</t>
  </si>
  <si>
    <t>オークション &gt; 家電、AV、カメラ &gt; カメラ、光学機器 &gt; ビデオカメラ &gt; 8ミリビデオカメラ</t>
  </si>
  <si>
    <t>オークション &gt; コミック、アニメグッズ &gt; セル画 &gt; ま行 &gt; マクロス</t>
  </si>
  <si>
    <t>0,20060,2084005356,2084034247,2084035782</t>
  </si>
  <si>
    <t>230MB</t>
  </si>
  <si>
    <t>オークション &gt; コンピュータ &gt; 周辺機器 &gt; MOドライブ &gt; 230MB</t>
  </si>
  <si>
    <t>アクセサリ</t>
  </si>
  <si>
    <t>オークション &gt; 家電、AV、カメラ &gt; カメラ、光学機器 &gt; ビデオカメラ &gt; アクセサリ</t>
  </si>
  <si>
    <t>オークション &gt; コミック、アニメグッズ &gt; セル画 &gt; ま行 &gt; マジンガーZ</t>
  </si>
  <si>
    <t>0,20060,2084005356,2084034247,2084035788</t>
  </si>
  <si>
    <t>640MB</t>
  </si>
  <si>
    <t>オークション &gt; コンピュータ &gt; 周辺機器 &gt; MOドライブ &gt; 640MB</t>
  </si>
  <si>
    <t>オークション &gt; 家電、AV、カメラ &gt; カメラ、光学機器 &gt; ビデオカメラ &gt; バッテリー、充電器</t>
  </si>
  <si>
    <t>オークション &gt; コミック、アニメグッズ &gt; セル画 &gt; ま行 &gt; ママレード・ボーイ</t>
  </si>
  <si>
    <t>1.3GB</t>
  </si>
  <si>
    <t>0,20060,2084005356,2084034247,2084035796</t>
  </si>
  <si>
    <t>プロ用、業務用</t>
  </si>
  <si>
    <t>オークション &gt; コンピュータ &gt; 周辺機器 &gt; MOドライブ &gt; 1.3GB</t>
  </si>
  <si>
    <t>オークション &gt; 家電、AV、カメラ &gt; カメラ、光学機器 &gt; ビデオカメラ &gt; プロ用、業務用</t>
  </si>
  <si>
    <t>ミスター味っ子</t>
  </si>
  <si>
    <t>オークション &gt; コミック、アニメグッズ &gt; セル画 &gt; ま行 &gt; ミスター味っ子</t>
  </si>
  <si>
    <t>記録媒体</t>
  </si>
  <si>
    <t>0,20060,2084005356,2084034247,2084035797</t>
  </si>
  <si>
    <t>オークション &gt; コンピュータ &gt; 周辺機器 &gt; フロッピーディスクドライブ &gt; 外付け</t>
  </si>
  <si>
    <t>オークション &gt; 家電、AV、カメラ &gt; カメラ、光学機器 &gt; ビデオカメラ &gt; 記録媒体</t>
  </si>
  <si>
    <t>カタログ</t>
  </si>
  <si>
    <t>オークション &gt; 家電、AV、カメラ &gt; カメラ、光学機器 &gt; ビデオカメラ &gt; カタログ</t>
  </si>
  <si>
    <t>オークション &gt; コンピュータ &gt; 周辺機器 &gt; フロッピーディスクドライブ &gt; 内蔵</t>
  </si>
  <si>
    <t>オークション &gt; コミック、アニメグッズ &gt; セル画 &gt; ま行 &gt; メガゾーン23</t>
  </si>
  <si>
    <t>0,20060,2084005356,2084034247,2084035805</t>
  </si>
  <si>
    <t>液晶</t>
  </si>
  <si>
    <t>説明書</t>
  </si>
  <si>
    <t>オークション &gt; コンピュータ &gt; 周辺機器 &gt; モニタ &gt; 液晶</t>
  </si>
  <si>
    <t>オークション &gt; 家電、AV、カメラ &gt; カメラ、光学機器 &gt; ビデオカメラ &gt; 説明書</t>
  </si>
  <si>
    <t>メダロット</t>
  </si>
  <si>
    <t>オークション &gt; コミック、アニメグッズ &gt; セル画 &gt; ま行 &gt; メダロット</t>
  </si>
  <si>
    <t>0,20060,2084005356,2084034247,2084035779</t>
  </si>
  <si>
    <t>プラズマ</t>
  </si>
  <si>
    <t>オークション &gt; 家電、AV、カメラ &gt; カメラ、光学機器 &gt; ビデオカメラ &gt; その他</t>
  </si>
  <si>
    <t>オークション &gt; コンピュータ &gt; 周辺機器 &gt; モニタ &gt; プラズマ</t>
  </si>
  <si>
    <t>水色時代</t>
  </si>
  <si>
    <t>オークション &gt; コミック、アニメグッズ &gt; セル画 &gt; ま行 &gt; 水色時代</t>
  </si>
  <si>
    <t>0,20060,2084005356,2084034247,2084044302</t>
  </si>
  <si>
    <t>VHSビデオデッキ</t>
  </si>
  <si>
    <t>オークション &gt; 家電、AV、カメラ &gt; 映像機器 &gt; ビデオデッキ &gt; VHSビデオデッキ</t>
  </si>
  <si>
    <t>オークション &gt; コンピュータ &gt; 周辺機器 &gt; モニタ &gt; プロジェクター</t>
  </si>
  <si>
    <t>S-VHSビデオデッキ</t>
  </si>
  <si>
    <t>CRT</t>
  </si>
  <si>
    <t>オークション &gt; 家電、AV、カメラ &gt; 映像機器 &gt; ビデオデッキ &gt; S-VHSビデオデッキ</t>
  </si>
  <si>
    <t>オークション &gt; コンピュータ &gt; 周辺機器 &gt; モニタ &gt; CRT</t>
  </si>
  <si>
    <t>オークション &gt; コミック、アニメグッズ &gt; セル画 &gt; ま行 &gt; 魔術士オーフェン</t>
  </si>
  <si>
    <t>0,20060,2084005356,2084034247,2084035784</t>
  </si>
  <si>
    <t>ベータビデオデッキ</t>
  </si>
  <si>
    <t>Mac用</t>
  </si>
  <si>
    <t>オークション &gt; 家電、AV、カメラ &gt; 映像機器 &gt; ビデオデッキ &gt; ベータビデオデッキ</t>
  </si>
  <si>
    <t>オークション &gt; コンピュータ &gt; 周辺機器 &gt; モニタ &gt; Mac用</t>
  </si>
  <si>
    <t>オークション &gt; コミック、アニメグッズ &gt; セル画 &gt; ま行 &gt; 魔女の宅急便</t>
  </si>
  <si>
    <t>8ミリビデオデッキ</t>
  </si>
  <si>
    <t>0,20060,2084005356,2084034247,2084035786</t>
  </si>
  <si>
    <t>オークション &gt; 家電、AV、カメラ &gt; 映像機器 &gt; ビデオデッキ &gt; 8ミリビデオデッキ</t>
  </si>
  <si>
    <t>タッチパネル</t>
  </si>
  <si>
    <t>オークション &gt; コンピュータ &gt; 周辺機器 &gt; モニタ &gt; タッチパネル</t>
  </si>
  <si>
    <t>D-VHSビデオデッキ</t>
  </si>
  <si>
    <t>オークション &gt; コミック、アニメグッズ &gt; セル画 &gt; ま行 &gt; 魔神英雄伝ワタル</t>
  </si>
  <si>
    <t>オークション &gt; 家電、AV、カメラ &gt; 映像機器 &gt; ビデオデッキ &gt; D-VHSビデオデッキ</t>
  </si>
  <si>
    <t>0,20060,2084005356,2084034247,2084035787</t>
  </si>
  <si>
    <t>オークション &gt; コンピュータ &gt; 周辺機器 &gt; モニタ &gt; その他</t>
  </si>
  <si>
    <t>オークション &gt; 家電、AV、カメラ &gt; 映像機器 &gt; ビデオデッキ &gt; ビデオ内蔵型テレビ</t>
  </si>
  <si>
    <t>オークション &gt; コミック、アニメグッズ &gt; セル画 &gt; ま行 &gt; 魔動王 グランゾート</t>
  </si>
  <si>
    <t>オークション &gt; コンピュータ &gt; 周辺機器 &gt; プリンタ、プロッタ &gt; Mac用</t>
  </si>
  <si>
    <t>0,20060,2084005356,2084034247,2084035789</t>
  </si>
  <si>
    <t>オークション &gt; 家電、AV、カメラ &gt; 映像機器 &gt; ビデオデッキ &gt; プロ用、業務用</t>
  </si>
  <si>
    <t>インクジェットプリンタ</t>
  </si>
  <si>
    <t>オークション &gt; コンピュータ &gt; 周辺機器 &gt; プリンタ、プロッタ &gt; インクジェットプリンタ</t>
  </si>
  <si>
    <t>オークション &gt; 家電、AV、カメラ &gt; 映像機器 &gt; ビデオデッキ &gt; 記録媒体</t>
  </si>
  <si>
    <t>オークション &gt; コミック、アニメグッズ &gt; セル画 &gt; ま行 &gt; 魔法のステージ ファンシーララ</t>
  </si>
  <si>
    <t>ドットインパクトプリンタ</t>
  </si>
  <si>
    <t>オークション &gt; コンピュータ &gt; 周辺機器 &gt; プリンタ、プロッタ &gt; ドットインパクトプリンタ</t>
  </si>
  <si>
    <t>0,20060,2084005356,2084034247,2084035793</t>
  </si>
  <si>
    <t>オークション &gt; 家電、AV、カメラ &gt; 映像機器 &gt; ビデオデッキ &gt; リモコン</t>
  </si>
  <si>
    <t>ビデオプリンタ</t>
  </si>
  <si>
    <t>オークション &gt; コンピュータ &gt; 周辺機器 &gt; プリンタ、プロッタ &gt; ビデオプリンタ</t>
  </si>
  <si>
    <t>オークション &gt; コミック、アニメグッズ &gt; セル画 &gt; ま行 &gt; 魔法のプリンセス ミンキーモモ</t>
  </si>
  <si>
    <t>0,20060,2084005356,2084034247,2084035795</t>
  </si>
  <si>
    <t>オークション &gt; 家電、AV、カメラ &gt; 映像機器 &gt; ビデオデッキ &gt; その他</t>
  </si>
  <si>
    <t>プロッタ</t>
  </si>
  <si>
    <t>オークション &gt; コンピュータ &gt; 周辺機器 &gt; プリンタ、プロッタ &gt; プロッタ</t>
  </si>
  <si>
    <t>マルチリモコン</t>
  </si>
  <si>
    <t>オークション &gt; 家電、AV、カメラ &gt; 映像機器 &gt; リモコン &gt; マルチリモコン</t>
  </si>
  <si>
    <t>レーザープリンタ</t>
  </si>
  <si>
    <t>オークション &gt; コミック、アニメグッズ &gt; セル画 &gt; ま行 &gt; 魔法の天使 クリィミーマミ</t>
  </si>
  <si>
    <t>オークション &gt; コンピュータ &gt; 周辺機器 &gt; プリンタ、プロッタ &gt; レーザープリンタ</t>
  </si>
  <si>
    <t>0,20060,2084005356,2084034247,2084035794</t>
  </si>
  <si>
    <t>テレビ用</t>
  </si>
  <si>
    <t>オークション &gt; 家電、AV、カメラ &gt; 映像機器 &gt; リモコン &gt; テレビ用</t>
  </si>
  <si>
    <t>複合機</t>
  </si>
  <si>
    <t>オークション &gt; コンピュータ &gt; 周辺機器 &gt; プリンタ、プロッタ &gt; 複合機</t>
  </si>
  <si>
    <t>ビデオ用</t>
  </si>
  <si>
    <t>オークション &gt; 家電、AV、カメラ &gt; 映像機器 &gt; リモコン &gt; ビデオ用</t>
  </si>
  <si>
    <t>オークション &gt; コミック、アニメグッズ &gt; セル画 &gt; ま行 &gt; 魔法騎士レイアース</t>
  </si>
  <si>
    <t>0,20060,2084005356,2084034247,2084035783</t>
  </si>
  <si>
    <t>オークション &gt; コンピュータ &gt; 周辺機器 &gt; プリンタ、プロッタ &gt; その他</t>
  </si>
  <si>
    <t>オークション &gt; 家電、AV、カメラ &gt; 映像機器 &gt; リモコン &gt; その他</t>
  </si>
  <si>
    <t>エプソン</t>
  </si>
  <si>
    <t>オークション &gt; コンピュータ &gt; 周辺機器 &gt; 複合機 &gt; エプソン</t>
  </si>
  <si>
    <t>オークション &gt; コミック、アニメグッズ &gt; セル画 &gt; ま行 &gt; 魔法少女プリティサミー</t>
  </si>
  <si>
    <t>オンキヨー</t>
  </si>
  <si>
    <t>0,20060,2084005356,2084034247,2084035790</t>
  </si>
  <si>
    <t>オークション &gt; 家電、AV、カメラ &gt; オーディオ機器 &gt; アンプ &gt; AVアンプ &gt; オンキヨー</t>
  </si>
  <si>
    <t>オークション &gt; コンピュータ &gt; 周辺機器 &gt; 複合機 &gt; キヤノン</t>
  </si>
  <si>
    <t>ケンウッド</t>
  </si>
  <si>
    <t>オークション &gt; 家電、AV、カメラ &gt; オーディオ機器 &gt; アンプ &gt; AVアンプ &gt; ケンウッド</t>
  </si>
  <si>
    <t>オークション &gt; コンピュータ &gt; 周辺機器 &gt; 複合機 &gt; シャープ</t>
  </si>
  <si>
    <t>オークション &gt; コミック、アニメグッズ &gt; セル画 &gt; ま行 &gt; 魔法陣グルグル</t>
  </si>
  <si>
    <t>0,20060,2084005356,2084034247,2084035791</t>
  </si>
  <si>
    <t>ブラザー</t>
  </si>
  <si>
    <t>オークション &gt; 家電、AV、カメラ &gt; オーディオ機器 &gt; アンプ &gt; AVアンプ &gt; ソニー</t>
  </si>
  <si>
    <t>オークション &gt; コンピュータ &gt; 周辺機器 &gt; 複合機 &gt; ブラザー</t>
  </si>
  <si>
    <t>レックスマーク</t>
  </si>
  <si>
    <t>オークション &gt; コンピュータ &gt; 周辺機器 &gt; 複合機 &gt; レックスマーク</t>
  </si>
  <si>
    <t>デノン</t>
  </si>
  <si>
    <t>オークション &gt; 家電、AV、カメラ &gt; オーディオ機器 &gt; アンプ &gt; AVアンプ &gt; デノン</t>
  </si>
  <si>
    <t>富士ゼロックス</t>
  </si>
  <si>
    <t>オークション &gt; コンピュータ &gt; 周辺機器 &gt; 複合機 &gt; 富士ゼロックス</t>
  </si>
  <si>
    <t>オークション &gt; コミック、アニメグッズ &gt; セル画 &gt; ま行 &gt; 未来少年コナン</t>
  </si>
  <si>
    <t>0,20060,2084005356,2084034247,2084035799</t>
  </si>
  <si>
    <t>パイオニア</t>
  </si>
  <si>
    <t>オークション &gt; 家電、AV、カメラ &gt; オーディオ機器 &gt; アンプ &gt; AVアンプ &gt; パイオニア</t>
  </si>
  <si>
    <t>オークション &gt; コンピュータ &gt; 周辺機器 &gt; 複合機 &gt; その他</t>
  </si>
  <si>
    <t>ビクター</t>
  </si>
  <si>
    <t>オークション &gt; コミック、アニメグッズ &gt; セル画 &gt; ま行 &gt; 名探偵コナン</t>
  </si>
  <si>
    <t>オークション &gt; 家電、AV、カメラ &gt; オーディオ機器 &gt; アンプ &gt; AVアンプ &gt; ビクター</t>
  </si>
  <si>
    <t>0,20060,2084005356,2084034247,2084035803</t>
  </si>
  <si>
    <t>無線LAN</t>
  </si>
  <si>
    <t>オークション &gt; コンピュータ &gt; 周辺機器 &gt; ネットワーク &gt; 無線LAN</t>
  </si>
  <si>
    <t>マランツ</t>
  </si>
  <si>
    <t>オークション &gt; 家電、AV、カメラ &gt; オーディオ機器 &gt; アンプ &gt; AVアンプ &gt; マランツ</t>
  </si>
  <si>
    <t>オークション &gt; コミック、アニメグッズ &gt; セル画 &gt; ま行 &gt; その他</t>
  </si>
  <si>
    <t>ルーター</t>
  </si>
  <si>
    <t>0,20060,2084005356,2084034247,2084035781</t>
  </si>
  <si>
    <t>オークション &gt; コンピュータ &gt; 周辺機器 &gt; ネットワーク &gt; ルーター</t>
  </si>
  <si>
    <t>ヤマハ</t>
  </si>
  <si>
    <t>オークション &gt; 家電、AV、カメラ &gt; オーディオ機器 &gt; アンプ &gt; AVアンプ &gt; ヤマハ</t>
  </si>
  <si>
    <t>ADSLモデム</t>
  </si>
  <si>
    <t>オークション &gt; コンピュータ &gt; 周辺機器 &gt; ネットワーク &gt; ADSLモデム</t>
  </si>
  <si>
    <t>オークション &gt; コミック、アニメグッズ &gt; セル画 &gt; や行 &gt; UFOロボ グレンダイザー</t>
  </si>
  <si>
    <t>0,20060,2084005356,2084034256,2084035984</t>
  </si>
  <si>
    <t>オークション &gt; 家電、AV、カメラ &gt; オーディオ機器 &gt; アンプ &gt; AVアンプ &gt; その他</t>
  </si>
  <si>
    <t>IEEE1394インターフェイスカード</t>
  </si>
  <si>
    <t>オークション &gt; コンピュータ &gt; 周辺機器 &gt; ネットワーク &gt; IEEE1394インターフェイスカード</t>
  </si>
  <si>
    <t>ロータイプ（高さ60cm未満）</t>
  </si>
  <si>
    <t>オークション &gt; 住まい、インテリア &gt; 家具、インテリア &gt; 棚、キャビネット &gt; テレビ台、AVボード &gt; ロータイプ（高さ60cm未満）</t>
  </si>
  <si>
    <t>LAN</t>
  </si>
  <si>
    <t>オークション &gt; コンピュータ &gt; 周辺機器 &gt; ネットワーク &gt; LAN</t>
  </si>
  <si>
    <t>オークション &gt; コミック、アニメグッズ &gt; セル画 &gt; や行 &gt; YAWARA!</t>
  </si>
  <si>
    <t>0,20060,2084005356,2084034256,2084035979</t>
  </si>
  <si>
    <t>TA、ISDNボード</t>
  </si>
  <si>
    <t>ハイタイプ（高さ60cm以上）</t>
  </si>
  <si>
    <t>オークション &gt; コンピュータ &gt; 周辺機器 &gt; ネットワーク &gt; TA、ISDNボード</t>
  </si>
  <si>
    <t>オークション &gt; 住まい、インテリア &gt; 家具、インテリア &gt; 棚、キャビネット &gt; テレビ台、AVボード &gt; ハイタイプ（高さ60cm以上）</t>
  </si>
  <si>
    <t>USBインターフェイスカード</t>
  </si>
  <si>
    <t>オークション &gt; コミック、アニメグッズ &gt; セル画 &gt; や行 &gt; 鎧伝サムライトルーパー</t>
  </si>
  <si>
    <t>壁面タイプ</t>
  </si>
  <si>
    <t>オークション &gt; コンピュータ &gt; 周辺機器 &gt; ネットワーク &gt; USBインターフェイスカード</t>
  </si>
  <si>
    <t>0,20060,2084005356,2084034256,2084035986</t>
  </si>
  <si>
    <t>オークション &gt; 住まい、インテリア &gt; 家具、インテリア &gt; 棚、キャビネット &gt; テレビ台、AVボード &gt; 壁面タイプ</t>
  </si>
  <si>
    <t>USBハブ</t>
  </si>
  <si>
    <t>コーナータイプ</t>
  </si>
  <si>
    <t>オークション &gt; コンピュータ &gt; 周辺機器 &gt; ネットワーク &gt; USBハブ</t>
  </si>
  <si>
    <t>オークション &gt; 住まい、インテリア &gt; 家具、インテリア &gt; 棚、キャビネット &gt; テレビ台、AVボード &gt; コーナータイプ</t>
  </si>
  <si>
    <t>オークション &gt; コミック、アニメグッズ &gt; セル画 &gt; や行 &gt; 勇者王ガオガイガー</t>
  </si>
  <si>
    <t>0,20060,2084005356,2084034256,2084035980</t>
  </si>
  <si>
    <t>イーサネットハブ</t>
  </si>
  <si>
    <t>オークション &gt; コンピュータ &gt; 周辺機器 &gt; ネットワーク &gt; イーサネットハブ</t>
  </si>
  <si>
    <t>オークション &gt; 住まい、インテリア &gt; 家具、インテリア &gt; 棚、キャビネット &gt; テレビ台、AVボード &gt; その他</t>
  </si>
  <si>
    <t>ネットワークケーブル、コネクタ</t>
  </si>
  <si>
    <t>オークション &gt; コミック、アニメグッズ &gt; セル画 &gt; や行 &gt; 勇者警察ジェイデッカー</t>
  </si>
  <si>
    <t>オークション &gt; コンピュータ &gt; 周辺機器 &gt; ネットワーク &gt; ネットワークケーブル、コネクタ</t>
  </si>
  <si>
    <t>デジタルオーディオプレーヤー</t>
  </si>
  <si>
    <t>0,20060,2084005356,2084034256,2084035981</t>
  </si>
  <si>
    <t>オークション &gt; 家電、AV、カメラ &gt; オーディオ機器 &gt; ポータブルプレーヤー &gt; デジタルオーディオプレーヤー</t>
  </si>
  <si>
    <t>プリントサーバー</t>
  </si>
  <si>
    <t>オークション &gt; コンピュータ &gt; 周辺機器 &gt; ネットワーク &gt; プリントサーバー</t>
  </si>
  <si>
    <t>FMトランスミッター</t>
  </si>
  <si>
    <t>オークション &gt; 家電、AV、カメラ &gt; オーディオ機器 &gt; ポータブルプレーヤー &gt; FMトランスミッター</t>
  </si>
  <si>
    <t>モデム</t>
  </si>
  <si>
    <t>オークション &gt; コミック、アニメグッズ &gt; セル画 &gt; や行 &gt; 勇者司令 ダグオン</t>
  </si>
  <si>
    <t>オークション &gt; コンピュータ &gt; 周辺機器 &gt; ネットワーク &gt; モデム</t>
  </si>
  <si>
    <t>0,20060,2084005356,2084034256,2084035982</t>
  </si>
  <si>
    <t>CDプレーヤー</t>
  </si>
  <si>
    <t>オークション &gt; 家電、AV、カメラ &gt; オーディオ機器 &gt; ポータブルプレーヤー &gt; CDプレーヤー</t>
  </si>
  <si>
    <t>切替器、分配器</t>
  </si>
  <si>
    <t>オークション &gt; コンピュータ &gt; 周辺機器 &gt; ネットワーク &gt; 切替器、分配器</t>
  </si>
  <si>
    <t>オークション &gt; コミック、アニメグッズ &gt; セル画 &gt; や行 &gt; 勇者特急マイトガイン</t>
  </si>
  <si>
    <t>0,20060,2084005356,2084034256,2084035983</t>
  </si>
  <si>
    <t>MDプレーヤー</t>
  </si>
  <si>
    <t>UPS、無停電電源装置</t>
  </si>
  <si>
    <t>オークション &gt; 家電、AV、カメラ &gt; オーディオ機器 &gt; ポータブルプレーヤー &gt; MDプレーヤー</t>
  </si>
  <si>
    <t>オークション &gt; コンピュータ &gt; 周辺機器 &gt; ネットワーク &gt; UPS、無停電電源装置</t>
  </si>
  <si>
    <t>オークション &gt; コミック、アニメグッズ &gt; セル画 &gt; や行 &gt; 幽遊白書</t>
  </si>
  <si>
    <t>カセットプレーヤー</t>
  </si>
  <si>
    <t>0,20060,2084005356,2084034256,2084035985</t>
  </si>
  <si>
    <t>オークション &gt; 家電、AV、カメラ &gt; オーディオ機器 &gt; ポータブルプレーヤー &gt; カセットプレーヤー</t>
  </si>
  <si>
    <t>オークション &gt; コンピュータ &gt; 周辺機器 &gt; ネットワーク &gt; その他</t>
  </si>
  <si>
    <t>オークション &gt; コミック、アニメグッズ &gt; セル画 &gt; や行 &gt; その他</t>
  </si>
  <si>
    <t>オークション &gt; 家電、AV、カメラ &gt; オーディオ機器 &gt; ポータブルプレーヤー &gt; その他</t>
  </si>
  <si>
    <t>キーボード</t>
  </si>
  <si>
    <t>0,20060,2084005356,2084034256,2084035978</t>
  </si>
  <si>
    <t>オークション &gt; コンピュータ &gt; 周辺機器 &gt; 入力装置 &gt; キーボード</t>
  </si>
  <si>
    <t>イヤフォン</t>
  </si>
  <si>
    <t>マウス、トラックボール</t>
  </si>
  <si>
    <t>オークション &gt; コミック、アニメグッズ &gt; セル画 &gt; ら行 &gt; らんま1/2</t>
  </si>
  <si>
    <t>オークション &gt; 家電、AV、カメラ &gt; オーディオ機器 &gt; ヘッドフォン、イヤフォン &gt; イヤフォン</t>
  </si>
  <si>
    <t>オークション &gt; コンピュータ &gt; 周辺機器 &gt; 入力装置 &gt; マウス、トラックボール</t>
  </si>
  <si>
    <t>0,20060,2084005356,2084034265,2084036056</t>
  </si>
  <si>
    <t>オークション &gt; コンピュータ &gt; 周辺機器 &gt; 入力装置 &gt; タブレット</t>
  </si>
  <si>
    <t>ヘッドフォン</t>
  </si>
  <si>
    <t>オークション &gt; コミック、アニメグッズ &gt; セル画 &gt; ら行 &gt; るろうに剣心</t>
  </si>
  <si>
    <t>オークション &gt; 家電、AV、カメラ &gt; オーディオ機器 &gt; ヘッドフォン、イヤフォン &gt; ヘッドフォン</t>
  </si>
  <si>
    <t>0,20060,2084005356,2084034265,2084036059</t>
  </si>
  <si>
    <t>オークション &gt; コンピュータ &gt; 周辺機器 &gt; 入力装置 &gt; カードリーダー</t>
  </si>
  <si>
    <t>ヘッドフォンアンプ</t>
  </si>
  <si>
    <t>オークション &gt; コミック、アニメグッズ &gt; セル画 &gt; ら行 &gt; ライディーン</t>
  </si>
  <si>
    <t>オークション &gt; 家電、AV、カメラ &gt; オーディオ機器 &gt; ヘッドフォン、イヤフォン &gt; ヘッドフォンアンプ</t>
  </si>
  <si>
    <t>0,20060,2084005356,2084034265,2084036053</t>
  </si>
  <si>
    <t>ジョイスティック</t>
  </si>
  <si>
    <t>オークション &gt; コンピュータ &gt; 周辺機器 &gt; 入力装置 &gt; ジョイスティック</t>
  </si>
  <si>
    <t>オークション &gt; コミック、アニメグッズ &gt; セル画 &gt; ら行 &gt; ラムネ＆40</t>
  </si>
  <si>
    <t>オークション &gt; 家電、AV、カメラ &gt; オーディオ機器 &gt; アンプ &gt; 一般</t>
  </si>
  <si>
    <t>0,20060,2084005356,2084034265,2084036055</t>
  </si>
  <si>
    <t>テンキーボード</t>
  </si>
  <si>
    <t>AVアンプ</t>
  </si>
  <si>
    <t>オークション &gt; コンピュータ &gt; 周辺機器 &gt; 入力装置 &gt; テンキーボード</t>
  </si>
  <si>
    <t>オークション &gt; 家電、AV、カメラ &gt; オーディオ機器 &gt; アンプ &gt; AVアンプ</t>
  </si>
  <si>
    <t>オークション &gt; コミック、アニメグッズ &gt; セル画 &gt; ら行 &gt; リボンの騎士</t>
  </si>
  <si>
    <t>0,20060,2084005356,2084034265,2084036057</t>
  </si>
  <si>
    <t>バーコードリーダー</t>
  </si>
  <si>
    <t>オークション &gt; コンピュータ &gt; 周辺機器 &gt; 入力装置 &gt; バーコードリーダー</t>
  </si>
  <si>
    <t>真空管アンプ</t>
  </si>
  <si>
    <t>オークション &gt; 家電、AV、カメラ &gt; オーディオ機器 &gt; アンプ &gt; 真空管アンプ</t>
  </si>
  <si>
    <t>オークション &gt; コミック、アニメグッズ &gt; セル画 &gt; ら行 &gt; ルパン三世</t>
  </si>
  <si>
    <t>0,20060,2084005356,2084034265,2084036058</t>
  </si>
  <si>
    <t>オークション &gt; コンピュータ &gt; 周辺機器 &gt; 入力装置 &gt; Mac用</t>
  </si>
  <si>
    <t>オークション &gt; 家電、AV、カメラ &gt; オーディオ機器 &gt; アンプ &gt; ヘッドフォンアンプ</t>
  </si>
  <si>
    <t>オークション &gt; コンピュータ &gt; 周辺機器 &gt; 入力装置 &gt; その他</t>
  </si>
  <si>
    <t>オークション &gt; コミック、アニメグッズ &gt; セル画 &gt; ら行 &gt; ロードス島戦記</t>
  </si>
  <si>
    <t>オークション &gt; 家電、AV、カメラ &gt; オーディオ機器 &gt; スピーカー &gt; 一般</t>
  </si>
  <si>
    <t>0,20060,2084005356,2084034265,2084036060</t>
  </si>
  <si>
    <t>フラットベッドスキャナ</t>
  </si>
  <si>
    <t>オークション &gt; コンピュータ &gt; 周辺機器 &gt; スキャナ &gt; フラットベッドスキャナ</t>
  </si>
  <si>
    <t>ウーファー</t>
  </si>
  <si>
    <t>オークション &gt; 家電、AV、カメラ &gt; オーディオ機器 &gt; スピーカー &gt; ウーファー</t>
  </si>
  <si>
    <t>オークション &gt; コミック、アニメグッズ &gt; セル画 &gt; ら行 &gt; 六神合体ゴッドマーズ</t>
  </si>
  <si>
    <t>ハンディスキャナ</t>
  </si>
  <si>
    <t>0,20060,2084005356,2084034265,2084036061</t>
  </si>
  <si>
    <t>オークション &gt; コンピュータ &gt; 周辺機器 &gt; スキャナ &gt; ハンディスキャナ</t>
  </si>
  <si>
    <t>サラウンドセット</t>
  </si>
  <si>
    <t>オークション &gt; 家電、AV、カメラ &gt; オーディオ機器 &gt; スピーカー &gt; サラウンドセット</t>
  </si>
  <si>
    <t>フィルムスキャナ</t>
  </si>
  <si>
    <t>オークション &gt; コミック、アニメグッズ &gt; セル画 &gt; ら行 &gt; 六門天外モンコレナイト</t>
  </si>
  <si>
    <t>オークション &gt; コンピュータ &gt; 周辺機器 &gt; スキャナ &gt; フィルムスキャナ</t>
  </si>
  <si>
    <t>スマートスピーカー</t>
  </si>
  <si>
    <t>0,20060,2084005356,2084034265,2084036062</t>
  </si>
  <si>
    <t>オークション &gt; 家電、AV、カメラ &gt; オーディオ機器 &gt; スピーカー &gt; スマートスピーカー</t>
  </si>
  <si>
    <t>オークション &gt; コンピュータ &gt; 周辺機器 &gt; スキャナ &gt; Mac用</t>
  </si>
  <si>
    <t>オークション &gt; コミック、アニメグッズ &gt; セル画 &gt; ら行 &gt; その他</t>
  </si>
  <si>
    <t>オークション &gt; 家電、AV、カメラ &gt; オーディオ機器 &gt; スピーカー &gt; その他</t>
  </si>
  <si>
    <t>0,20060,2084005356,2084034265,2084036054</t>
  </si>
  <si>
    <t>オークション &gt; コンピュータ &gt; 周辺機器 &gt; スキャナ &gt; その他</t>
  </si>
  <si>
    <t>ポータブルプレイヤー</t>
  </si>
  <si>
    <t>オークション &gt; 家電、AV、カメラ &gt; オーディオ機器 &gt; CDデッキ &gt; ポータブルプレイヤー</t>
  </si>
  <si>
    <t>オークション &gt; コミック、アニメグッズ &gt; セル画 &gt; わ行 &gt; ONE PIECE</t>
  </si>
  <si>
    <t>0,20060,2084005356,2084034273,2084036128</t>
  </si>
  <si>
    <t>スピーカー</t>
  </si>
  <si>
    <t>オークション &gt; コンピュータ &gt; 周辺機器 &gt; サウンド &gt; スピーカー</t>
  </si>
  <si>
    <t>オークション &gt; 家電、AV、カメラ &gt; オーディオ機器 &gt; CDデッキ &gt; 一般</t>
  </si>
  <si>
    <t>MIDI</t>
  </si>
  <si>
    <t>オークション &gt; コミック、アニメグッズ &gt; セル画 &gt; わ行 &gt; その他</t>
  </si>
  <si>
    <t>オークション &gt; コンピュータ &gt; 周辺機器 &gt; サウンド &gt; MIDI</t>
  </si>
  <si>
    <t>0,20060,2084005356,2084034273,2084036127</t>
  </si>
  <si>
    <t>KENWOOD</t>
  </si>
  <si>
    <t>オークション &gt; 家電、AV、カメラ &gt; オーディオ機器 &gt; CDデッキ &gt; KENWOOD</t>
  </si>
  <si>
    <t>MIDIキーボード、コントローラー</t>
  </si>
  <si>
    <t>AKIRA</t>
  </si>
  <si>
    <t>オークション &gt; コンピュータ &gt; 周辺機器 &gt; サウンド &gt; MIDIキーボード、コントローラー</t>
  </si>
  <si>
    <t>オークション &gt; おもちゃ、ゲーム &gt; フィギュア &gt; コミック、アニメ &gt; AKIRA</t>
  </si>
  <si>
    <t>0,25464,25888,2084023782,2084040574</t>
  </si>
  <si>
    <t>ONKYO</t>
  </si>
  <si>
    <t>オークション &gt; 家電、AV、カメラ &gt; オーディオ機器 &gt; CDデッキ &gt; ONKYO</t>
  </si>
  <si>
    <t>アンプ</t>
  </si>
  <si>
    <t>オークション &gt; コンピュータ &gt; 周辺機器 &gt; サウンド &gt; アンプ</t>
  </si>
  <si>
    <t>オークション &gt; 家電、AV、カメラ &gt; オーディオ機器 &gt; CDデッキ &gt; ソニー</t>
  </si>
  <si>
    <t>オーディオインターフェース</t>
  </si>
  <si>
    <t>オークション &gt; コンピュータ &gt; 周辺機器 &gt; サウンド &gt; オーディオインターフェース</t>
  </si>
  <si>
    <t>IS＜インフィニット・ストラトス＞</t>
  </si>
  <si>
    <t>オークション &gt; おもちゃ、ゲーム &gt; フィギュア &gt; コミック、アニメ &gt; IS＜インフィニット・ストラトス＞</t>
  </si>
  <si>
    <t>0,25464,25888,2084023782,2084305367</t>
  </si>
  <si>
    <t>DENON</t>
  </si>
  <si>
    <t>サンプリングCD</t>
  </si>
  <si>
    <t>オークション &gt; 家電、AV、カメラ &gt; オーディオ機器 &gt; CDデッキ &gt; DENON</t>
  </si>
  <si>
    <t>オークション &gt; コンピュータ &gt; 周辺機器 &gt; サウンド &gt; サンプリングCD</t>
  </si>
  <si>
    <t>オークション &gt; おもちゃ、ゲーム &gt; フィギュア &gt; コミック、アニメ &gt; うる星やつら</t>
  </si>
  <si>
    <t>0,25464,25888,2084023782,2084023784</t>
  </si>
  <si>
    <t>プレイヤー</t>
  </si>
  <si>
    <t>オークション &gt; 家電、AV、カメラ &gt; オーディオ機器 &gt; CDデッキ &gt; パイオニア</t>
  </si>
  <si>
    <t>オークション &gt; コンピュータ &gt; 周辺機器 &gt; サウンド &gt; プレイヤー</t>
  </si>
  <si>
    <t>一騎当千</t>
  </si>
  <si>
    <t>オークション &gt; おもちゃ、ゲーム &gt; フィギュア &gt; コミック、アニメ &gt; 一騎当千</t>
  </si>
  <si>
    <t>0,25464,25888,2084023782,2084222804</t>
  </si>
  <si>
    <t>オークション &gt; 家電、AV、カメラ &gt; オーディオ機器 &gt; CDデッキ &gt; マランツ</t>
  </si>
  <si>
    <t>オークション &gt; コンピュータ &gt; 周辺機器 &gt; サウンド &gt; デジタルオーディオプレーヤー</t>
  </si>
  <si>
    <t>オークション &gt; おもちゃ、ゲーム &gt; フィギュア &gt; コミック、アニメ &gt; 宇宙戦艦ヤマト</t>
  </si>
  <si>
    <t>YAMAHA</t>
  </si>
  <si>
    <t>0,25464,25888,2084023782,2084040580</t>
  </si>
  <si>
    <t>オークション &gt; 家電、AV、カメラ &gt; オーディオ機器 &gt; CDデッキ &gt; YAMAHA</t>
  </si>
  <si>
    <t>オークション &gt; コンピュータ &gt; 周辺機器 &gt; サウンド &gt; その他</t>
  </si>
  <si>
    <t>CDJ</t>
  </si>
  <si>
    <t>オークション &gt; おもちゃ、ゲーム &gt; フィギュア &gt; コミック、アニメ &gt; おそ松さん</t>
  </si>
  <si>
    <t>オークション &gt; ホビー、カルチャー &gt; 楽器、器材 &gt; DJ機器 &gt; CDJ</t>
  </si>
  <si>
    <t>0,25464,25888,2084023782,2084315983</t>
  </si>
  <si>
    <t>オークション &gt; コンピュータ &gt; 周辺機器 &gt; デジタル映像機器 &gt; デジタルビデオカメラ</t>
  </si>
  <si>
    <t>俺の妹がこんなに可愛いわけがない</t>
  </si>
  <si>
    <t>DJミキサー</t>
  </si>
  <si>
    <t>ウェブカメラ</t>
  </si>
  <si>
    <t>オークション &gt; おもちゃ、ゲーム &gt; フィギュア &gt; コミック、アニメ &gt; 俺の妹がこんなに可愛いわけがない</t>
  </si>
  <si>
    <t>オークション &gt; コンピュータ &gt; 周辺機器 &gt; デジタル映像機器 &gt; ウェブカメラ</t>
  </si>
  <si>
    <t>オークション &gt; ホビー、カルチャー &gt; 楽器、器材 &gt; DJ機器 &gt; DJミキサー</t>
  </si>
  <si>
    <t>0,25464,25888,2084023782,2084305368</t>
  </si>
  <si>
    <t>TVチューナー</t>
  </si>
  <si>
    <t>DJエフェクター</t>
  </si>
  <si>
    <t>オークション &gt; コンピュータ &gt; 周辺機器 &gt; デジタル映像機器 &gt; TVチューナー</t>
  </si>
  <si>
    <t>オークション &gt; ホビー、カルチャー &gt; 楽器、器材 &gt; DJ機器 &gt; DJエフェクター</t>
  </si>
  <si>
    <t>オークション &gt; おもちゃ、ゲーム &gt; フィギュア &gt; コミック、アニメ &gt; けいおん！</t>
  </si>
  <si>
    <t>0,25464,25888,2084023782,2084259896</t>
  </si>
  <si>
    <t>DJコントローラー</t>
  </si>
  <si>
    <t>オークション &gt; ホビー、カルチャー &gt; 楽器、器材 &gt; DJ機器 &gt; DJコントローラー</t>
  </si>
  <si>
    <t>コンバーター</t>
  </si>
  <si>
    <t>オークション &gt; おもちゃ、ゲーム &gt; フィギュア &gt; コミック、アニメ &gt; ガンダム</t>
  </si>
  <si>
    <t>オークション &gt; コンピュータ &gt; 周辺機器 &gt; デジタル映像機器 &gt; コンバーター</t>
  </si>
  <si>
    <t>0,25464,25888,2084023782,2084023728</t>
  </si>
  <si>
    <t>PCDJ</t>
  </si>
  <si>
    <t>オークション &gt; ホビー、カルチャー &gt; 楽器、器材 &gt; DJ機器 &gt; PCDJ</t>
  </si>
  <si>
    <t>デジタルフォトフレーム</t>
  </si>
  <si>
    <t>オークション &gt; おもちゃ、ゲーム &gt; フィギュア &gt; コミック、アニメ &gt; キューティーハニー</t>
  </si>
  <si>
    <t>0,25464,25888,2084023782,2084040582</t>
  </si>
  <si>
    <t>オークション &gt; コンピュータ &gt; 周辺機器 &gt; デジタル映像機器 &gt; デジタルフォトフレーム</t>
  </si>
  <si>
    <t>ターンテーブル</t>
  </si>
  <si>
    <t>オークション &gt; ホビー、カルチャー &gt; 楽器、器材 &gt; DJ機器 &gt; ターンテーブル</t>
  </si>
  <si>
    <t>ビデオ編集機器</t>
  </si>
  <si>
    <t>オークション &gt; おもちゃ、ゲーム &gt; フィギュア &gt; コミック、アニメ &gt; キン肉マン</t>
  </si>
  <si>
    <t>オークション &gt; コンピュータ &gt; 周辺機器 &gt; デジタル映像機器 &gt; ビデオ編集機器</t>
  </si>
  <si>
    <t>0,25464,25888,2084023782,2084023766</t>
  </si>
  <si>
    <t>ヘッドシェル</t>
  </si>
  <si>
    <t>オークション &gt; ホビー、カルチャー &gt; 楽器、器材 &gt; DJ機器 &gt; ヘッドシェル</t>
  </si>
  <si>
    <t>スキャナ</t>
  </si>
  <si>
    <t>クローズ WORST</t>
  </si>
  <si>
    <t>オークション &gt; コンピュータ &gt; 周辺機器 &gt; Mac用 &gt; スキャナ</t>
  </si>
  <si>
    <t>オークション &gt; おもちゃ、ゲーム &gt; フィギュア &gt; コミック、アニメ &gt; クローズ WORST</t>
  </si>
  <si>
    <t>0,25464,25888,2084023782,2084236114</t>
  </si>
  <si>
    <t>レコードカートリッジ</t>
  </si>
  <si>
    <t>プリンタ、プロッタ</t>
  </si>
  <si>
    <t>オークション &gt; ホビー、カルチャー &gt; 楽器、器材 &gt; DJ機器 &gt; レコードカートリッジ</t>
  </si>
  <si>
    <t>ケロロ軍曹</t>
  </si>
  <si>
    <t>オークション &gt; コンピュータ &gt; 周辺機器 &gt; Mac用 &gt; プリンタ、プロッタ</t>
  </si>
  <si>
    <t>オークション &gt; おもちゃ、ゲーム &gt; フィギュア &gt; コミック、アニメ &gt; ケロロ軍曹</t>
  </si>
  <si>
    <t>0,25464,25888,2084023782,2084062241</t>
  </si>
  <si>
    <t>レコード針</t>
  </si>
  <si>
    <t>モニタ</t>
  </si>
  <si>
    <t>オークション &gt; ホビー、カルチャー &gt; 楽器、器材 &gt; DJ機器 &gt; レコード針</t>
  </si>
  <si>
    <t>オークション &gt; コンピュータ &gt; 周辺機器 &gt; Mac用 &gt; モニタ</t>
  </si>
  <si>
    <t>コードギアス</t>
  </si>
  <si>
    <t>オークション &gt; おもちゃ、ゲーム &gt; フィギュア &gt; コミック、アニメ &gt; コードギアス</t>
  </si>
  <si>
    <t>0,25464,25888,2084023782,2084236120</t>
  </si>
  <si>
    <t>VJ関連機器</t>
  </si>
  <si>
    <t>記憶装置</t>
  </si>
  <si>
    <t>オークション &gt; ホビー、カルチャー &gt; 楽器、器材 &gt; DJ機器 &gt; VJ関連機器</t>
  </si>
  <si>
    <t>オークション &gt; コンピュータ &gt; 周辺機器 &gt; Mac用 &gt; 記憶装置</t>
  </si>
  <si>
    <t>家庭教師ヒットマン REBORN！</t>
  </si>
  <si>
    <t>入力装置</t>
  </si>
  <si>
    <t>オークション &gt; おもちゃ、ゲーム &gt; フィギュア &gt; コミック、アニメ &gt; 家庭教師ヒットマン REBORN！</t>
  </si>
  <si>
    <t>スリップマット</t>
  </si>
  <si>
    <t>オークション &gt; コンピュータ &gt; 周辺機器 &gt; Mac用 &gt; 入力装置</t>
  </si>
  <si>
    <t>0,25464,25888,2084023782,2084236116</t>
  </si>
  <si>
    <t>オークション &gt; ホビー、カルチャー &gt; 楽器、器材 &gt; DJ機器 &gt; スリップマット</t>
  </si>
  <si>
    <t>オークション &gt; コンピュータ &gt; 周辺機器 &gt; Mac用 &gt; その他</t>
  </si>
  <si>
    <t>オークション &gt; おもちゃ、ゲーム &gt; フィギュア &gt; コミック、アニメ &gt; 銀魂</t>
  </si>
  <si>
    <t>DJテーブル</t>
  </si>
  <si>
    <t>0,25464,25888,2084023782,2084236106</t>
  </si>
  <si>
    <t>オークション &gt; ホビー、カルチャー &gt; 楽器、器材 &gt; DJ機器 &gt; DJテーブル</t>
  </si>
  <si>
    <t>インクジェットカートリッジ</t>
  </si>
  <si>
    <t>オークション &gt; コンピュータ &gt; サプライ &gt; プリンタ用サプライ &gt; インクジェットカートリッジ</t>
  </si>
  <si>
    <t>レコードケース、バッグ</t>
  </si>
  <si>
    <t>オークション &gt; ホビー、カルチャー &gt; 楽器、器材 &gt; DJ機器 &gt; レコードケース、バッグ</t>
  </si>
  <si>
    <t>オークション &gt; おもちゃ、ゲーム &gt; フィギュア &gt; コミック、アニメ &gt; ジョジョの奇妙な冒険</t>
  </si>
  <si>
    <t>インクリボン</t>
  </si>
  <si>
    <t>0,25464,25888,2084023782,2084040583</t>
  </si>
  <si>
    <t>オークション &gt; コンピュータ &gt; サプライ &gt; プリンタ用サプライ &gt; インクリボン</t>
  </si>
  <si>
    <t>オークション &gt; ホビー、カルチャー &gt; 楽器、器材 &gt; DJ機器 &gt; その他</t>
  </si>
  <si>
    <t>トナー</t>
  </si>
  <si>
    <t>オークション &gt; コンピュータ &gt; サプライ &gt; プリンタ用サプライ &gt; トナー</t>
  </si>
  <si>
    <t>オークション &gt; おもちゃ、ゲーム &gt; フィギュア &gt; コミック、アニメ &gt; ストライクウィッチーズ</t>
  </si>
  <si>
    <t>0,25464,25888,2084023782,2084305376</t>
  </si>
  <si>
    <t>ラベル</t>
  </si>
  <si>
    <t>オークション &gt; コンピュータ &gt; サプライ &gt; プリンタ用サプライ &gt; ラベル</t>
  </si>
  <si>
    <t>オークション &gt; 家電、AV、カメラ &gt; オーディオ機器 &gt; ターンテーブル &gt; 本体</t>
  </si>
  <si>
    <t>用紙</t>
  </si>
  <si>
    <t>交換針、カートリッジ</t>
  </si>
  <si>
    <t>オークション &gt; コンピュータ &gt; サプライ &gt; プリンタ用サプライ &gt; 用紙</t>
  </si>
  <si>
    <t>オークション &gt; 家電、AV、カメラ &gt; オーディオ機器 &gt; ターンテーブル &gt; 交換針、カートリッジ</t>
  </si>
  <si>
    <t>灼眼のシャナ</t>
  </si>
  <si>
    <t>オークション &gt; おもちゃ、ゲーム &gt; フィギュア &gt; コミック、アニメ &gt; 灼眼のシャナ</t>
  </si>
  <si>
    <t>0,25464,25888,2084023782,2084236111</t>
  </si>
  <si>
    <t>DJ用ターンテーブル本体</t>
  </si>
  <si>
    <t>オークション &gt; 家電、AV、カメラ &gt; オーディオ機器 &gt; ターンテーブル &gt; DJ用ターンテーブル本体</t>
  </si>
  <si>
    <t>オークション &gt; コンピュータ &gt; サプライ &gt; プリンタ用サプライ &gt; その他</t>
  </si>
  <si>
    <t>DJ機器</t>
  </si>
  <si>
    <t>侵略!?イカ娘</t>
  </si>
  <si>
    <t>オークション &gt; 家電、AV、カメラ &gt; オーディオ機器 &gt; ターンテーブル &gt; DJ機器</t>
  </si>
  <si>
    <t>オークション &gt; おもちゃ、ゲーム &gt; フィギュア &gt; コミック、アニメ &gt; 侵略!?イカ娘</t>
  </si>
  <si>
    <t>0,25464,25888,2084023782,2084305375</t>
  </si>
  <si>
    <t>DJ用レコードカートリッジ</t>
  </si>
  <si>
    <t>オークション &gt; 家電、AV、カメラ &gt; オーディオ機器 &gt; ターンテーブル &gt; DJ用レコードカートリッジ</t>
  </si>
  <si>
    <t>DJ用レコード針</t>
  </si>
  <si>
    <t>オークション &gt; おもちゃ、ゲーム &gt; フィギュア &gt; コミック、アニメ &gt; 新世紀エヴァンゲリオン</t>
  </si>
  <si>
    <t>オークション &gt; 家電、AV、カメラ &gt; オーディオ機器 &gt; ターンテーブル &gt; DJ用レコード針</t>
  </si>
  <si>
    <t>0,25464,25888,2084023782,2084023785</t>
  </si>
  <si>
    <t>オークション &gt; おもちゃ、ゲーム &gt; フィギュア &gt; コミック、アニメ &gt; 聖闘士星矢</t>
  </si>
  <si>
    <t>0,25464,25888,2084023782,2084195224</t>
  </si>
  <si>
    <t>オークション &gt; 家電、AV、カメラ &gt; オーディオ機器 &gt; ターンテーブル &gt; その他</t>
  </si>
  <si>
    <t>DVDコンポ</t>
  </si>
  <si>
    <t>オークション &gt; おもちゃ、ゲーム &gt; フィギュア &gt; コミック、アニメ &gt; 涼宮ハルヒの憂鬱</t>
  </si>
  <si>
    <t>オークション &gt; 家電、AV、カメラ &gt; オーディオ機器 &gt; システムコンポ &gt; DVDコンポ</t>
  </si>
  <si>
    <t>0,25464,25888,2084023782,2084222803</t>
  </si>
  <si>
    <t>HDDコンポ</t>
  </si>
  <si>
    <t>オークション &gt; 家電、AV、カメラ &gt; オーディオ機器 &gt; システムコンポ &gt; HDDコンポ</t>
  </si>
  <si>
    <t>オークション &gt; おもちゃ、ゲーム &gt; フィギュア &gt; コミック、アニメ &gt; TIGER＆BUNNY</t>
  </si>
  <si>
    <t>0,25464,25888,2084023782,2084305377</t>
  </si>
  <si>
    <t>MDコンポ</t>
  </si>
  <si>
    <t>オークション &gt; 家電、AV、カメラ &gt; オーディオ機器 &gt; システムコンポ &gt; MDコンポ</t>
  </si>
  <si>
    <t>オークション &gt; おもちゃ、ゲーム &gt; フィギュア &gt; コミック、アニメ &gt; To LOVEる</t>
  </si>
  <si>
    <t>0,25464,25888,2084023782,2084236123</t>
  </si>
  <si>
    <t>オークション &gt; 家電、AV、カメラ &gt; オーディオ機器 &gt; システムコンポ &gt; その他</t>
  </si>
  <si>
    <t>とある（禁書目録、超電磁砲）</t>
  </si>
  <si>
    <t>オークション &gt; おもちゃ、ゲーム &gt; フィギュア &gt; コミック、アニメ &gt; とある（禁書目録、超電磁砲）</t>
  </si>
  <si>
    <t>0,25464,25888,2084023782,2084305378</t>
  </si>
  <si>
    <t>RCAケーブル</t>
  </si>
  <si>
    <t>オークション &gt; 家電、AV、カメラ &gt; オーディオ機器 &gt; 音響用ケーブル &gt; RCAケーブル</t>
  </si>
  <si>
    <t>ディズニー</t>
  </si>
  <si>
    <t>XLRケーブル</t>
  </si>
  <si>
    <t>オークション &gt; おもちゃ、ゲーム &gt; フィギュア &gt; コミック、アニメ &gt; ディズニー</t>
  </si>
  <si>
    <t>オークション &gt; 家電、AV、カメラ &gt; オーディオ機器 &gt; 音響用ケーブル &gt; XLRケーブル</t>
  </si>
  <si>
    <t>0,25464,25888,2084023782,2084063730</t>
  </si>
  <si>
    <t>オークション &gt; コンピュータ &gt; サプライ &gt; 記録用ディスク &gt; ブルーレイ</t>
  </si>
  <si>
    <t>スピーカーケーブル</t>
  </si>
  <si>
    <t>オークション &gt; おもちゃ、ゲーム &gt; フィギュア &gt; コミック、アニメ &gt; デビルマン</t>
  </si>
  <si>
    <t>オークション &gt; 家電、AV、カメラ &gt; オーディオ機器 &gt; 音響用ケーブル &gt; スピーカーケーブル</t>
  </si>
  <si>
    <t>0,25464,25888,2084023782,2084023765</t>
  </si>
  <si>
    <t>DVD-R、DVD-RW</t>
  </si>
  <si>
    <t>オークション &gt; コンピュータ &gt; サプライ &gt; 記録用ディスク &gt; DVD-R、DVD-RW</t>
  </si>
  <si>
    <t>デジタルケーブル</t>
  </si>
  <si>
    <t>オークション &gt; 家電、AV、カメラ &gt; オーディオ機器 &gt; 音響用ケーブル &gt; デジタルケーブル</t>
  </si>
  <si>
    <t>オークション &gt; おもちゃ、ゲーム &gt; フィギュア &gt; コミック、アニメ &gt; ドラゴンボール</t>
  </si>
  <si>
    <t>0,25464,25888,2084023782,2084040584</t>
  </si>
  <si>
    <t>DVD+RW</t>
  </si>
  <si>
    <t>オークション &gt; コンピュータ &gt; サプライ &gt; 記録用ディスク &gt; DVD+RW</t>
  </si>
  <si>
    <t>オークション &gt; 家電、AV、カメラ &gt; オーディオ機器 &gt; 音響用ケーブル &gt; その他</t>
  </si>
  <si>
    <t>オークション &gt; おもちゃ、ゲーム &gt; フィギュア &gt; コミック、アニメ &gt; 鉄人28号</t>
  </si>
  <si>
    <t>0,25464,25888,2084023782,2084023769</t>
  </si>
  <si>
    <t>オークション &gt; 家電、AV、カメラ &gt; オーディオ機器 &gt; MDデッキ &gt; 一般</t>
  </si>
  <si>
    <t>オークション &gt; コンピュータ &gt; サプライ &gt; 記録用ディスク &gt; DVD-RAM</t>
  </si>
  <si>
    <t>オークション &gt; おもちゃ、ゲーム &gt; フィギュア &gt; コミック、アニメ &gt; 鉄腕アトム</t>
  </si>
  <si>
    <t>0,25464,25888,2084023782,2084023768</t>
  </si>
  <si>
    <t>天元突破グレンラガン</t>
  </si>
  <si>
    <t>CD-R、CD-RW</t>
  </si>
  <si>
    <t>オークション &gt; おもちゃ、ゲーム &gt; フィギュア &gt; コミック、アニメ &gt; 天元突破グレンラガン</t>
  </si>
  <si>
    <t>オークション &gt; 家電、AV、カメラ &gt; オーディオ機器 &gt; MDデッキ &gt; ポータブルプレイヤー</t>
  </si>
  <si>
    <t>0,25464,25888,2084023782,2084239889</t>
  </si>
  <si>
    <t>オークション &gt; コンピュータ &gt; サプライ &gt; 記録用ディスク &gt; CD-R、CD-RW</t>
  </si>
  <si>
    <t>天上天下</t>
  </si>
  <si>
    <t>オークション &gt; おもちゃ、ゲーム &gt; フィギュア &gt; コミック、アニメ &gt; 天上天下</t>
  </si>
  <si>
    <t>DAT</t>
  </si>
  <si>
    <t>オークション &gt; 家電、AV、カメラ &gt; オーディオ機器 &gt; カセットデッキ &gt; 一般</t>
  </si>
  <si>
    <t>0,25464,25888,2084023782,2084222807</t>
  </si>
  <si>
    <t>オークション &gt; コンピュータ &gt; サプライ &gt; 記録用ディスク &gt; DAT</t>
  </si>
  <si>
    <t>オークション &gt; おもちゃ、ゲーム &gt; フィギュア &gt; コミック、アニメ &gt; NARUTO</t>
  </si>
  <si>
    <t>0,25464,25888,2084023782,2084236113</t>
  </si>
  <si>
    <t>オークション &gt; 家電、AV、カメラ &gt; オーディオ機器 &gt; カセットデッキ &gt; ポータブルプレイヤー</t>
  </si>
  <si>
    <t>FD</t>
  </si>
  <si>
    <t>オークション &gt; コンピュータ &gt; サプライ &gt; 記録用ディスク &gt; FD</t>
  </si>
  <si>
    <t>ラジカセ</t>
  </si>
  <si>
    <t>オークション &gt; おもちゃ、ゲーム &gt; フィギュア &gt; コミック、アニメ &gt; 夏目友人帳</t>
  </si>
  <si>
    <t>オークション &gt; 家電、AV、カメラ &gt; オーディオ機器 &gt; カセットデッキ &gt; ラジカセ</t>
  </si>
  <si>
    <t>0,25464,25888,2084023782,2084305379</t>
  </si>
  <si>
    <t>MO</t>
  </si>
  <si>
    <t>オークション &gt; コンピュータ &gt; サプライ &gt; 記録用ディスク &gt; MO</t>
  </si>
  <si>
    <t>オークション &gt; 家電、AV、カメラ &gt; オーディオ機器 &gt; ラジオ &gt; 一般</t>
  </si>
  <si>
    <t>オークション &gt; おもちゃ、ゲーム &gt; フィギュア &gt; コミック、アニメ &gt; BLEACH</t>
  </si>
  <si>
    <t>0,25464,25888,2084023782,2084241346</t>
  </si>
  <si>
    <t>オークション &gt; コンピュータ &gt; サプライ &gt; 記録用ディスク &gt; その他</t>
  </si>
  <si>
    <t>アンティーク</t>
  </si>
  <si>
    <t>オークション &gt; 家電、AV、カメラ &gt; オーディオ機器 &gt; ラジオ &gt; アンティーク</t>
  </si>
  <si>
    <t>Fate</t>
  </si>
  <si>
    <t>オークション &gt; おもちゃ、ゲーム &gt; フィギュア &gt; コミック、アニメ &gt; Fate</t>
  </si>
  <si>
    <t>0,25464,25888,2084023782,2084236118</t>
  </si>
  <si>
    <t>オークション &gt; 家電、AV、カメラ &gt; オーディオ機器 &gt; ラジオ &gt; ラジカセ</t>
  </si>
  <si>
    <t>オークション &gt; おもちゃ、ゲーム &gt; フィギュア &gt; コミック、アニメ &gt; プリキュアシリーズ</t>
  </si>
  <si>
    <t>0,25464,25888,2084023782,2084242880</t>
  </si>
  <si>
    <t>防災ラジオ</t>
  </si>
  <si>
    <t>ノートパソコン用</t>
  </si>
  <si>
    <t>オークション &gt; 家電、AV、カメラ &gt; オーディオ機器 &gt; ラジオ &gt; 防災ラジオ</t>
  </si>
  <si>
    <t>オークション &gt; コンピュータ &gt; サプライ &gt; ケース &gt; ノートパソコン用</t>
  </si>
  <si>
    <t>化物語、偽物語</t>
  </si>
  <si>
    <t>オークション &gt; おもちゃ、ゲーム &gt; フィギュア &gt; コミック、アニメ &gt; 化物語、偽物語</t>
  </si>
  <si>
    <t>0,25464,25888,2084023782,2084305380</t>
  </si>
  <si>
    <t>LED</t>
  </si>
  <si>
    <t>オークション &gt; 家電、AV、カメラ &gt; 電子部品 &gt; LED</t>
  </si>
  <si>
    <t>iPod touch用</t>
  </si>
  <si>
    <t>オークション &gt; コンピュータ &gt; サプライ &gt; ケース &gt; iPod touch用</t>
  </si>
  <si>
    <t>オークション &gt; おもちゃ、ゲーム &gt; フィギュア &gt; コミック、アニメ &gt; 鋼の錬金術師</t>
  </si>
  <si>
    <t>0,25464,25888,2084023782,2084242879</t>
  </si>
  <si>
    <t>コイル</t>
  </si>
  <si>
    <t>オークション &gt; 家電、AV、カメラ &gt; 電子部品 &gt; コイル</t>
  </si>
  <si>
    <t>PDA用</t>
  </si>
  <si>
    <t>初音ミク</t>
  </si>
  <si>
    <t>オークション &gt; コンピュータ &gt; サプライ &gt; ケース &gt; PDA用</t>
  </si>
  <si>
    <t>オークション &gt; おもちゃ、ゲーム &gt; フィギュア &gt; コミック、アニメ &gt; 初音ミク</t>
  </si>
  <si>
    <t>0,25464,25888,2084023782,2084239888</t>
  </si>
  <si>
    <t>コンデンサ</t>
  </si>
  <si>
    <t>オークション &gt; 家電、AV、カメラ &gt; 電子部品 &gt; コンデンサ</t>
  </si>
  <si>
    <t>美少女戦士セーラームーン</t>
  </si>
  <si>
    <t>オークション &gt; おもちゃ、ゲーム &gt; フィギュア &gt; コミック、アニメ &gt; 美少女戦士セーラームーン</t>
  </si>
  <si>
    <t>可変抵抗</t>
  </si>
  <si>
    <t>オークション &gt; コンピュータ &gt; サプライ &gt; ケース &gt; その他</t>
  </si>
  <si>
    <t>0,25464,25888,2084023782,2084023788</t>
  </si>
  <si>
    <t>オークション &gt; 家電、AV、カメラ &gt; 電子部品 &gt; 可変抵抗</t>
  </si>
  <si>
    <t>固定抵抗</t>
  </si>
  <si>
    <t>オークション &gt; 家電、AV、カメラ &gt; 電子部品 &gt; 固定抵抗</t>
  </si>
  <si>
    <t>インテル</t>
  </si>
  <si>
    <t>オークション &gt; コンピュータ &gt; パーツ &gt; CPU &gt; インテル</t>
  </si>
  <si>
    <t>オークション &gt; おもちゃ、ゲーム &gt; フィギュア &gt; コミック、アニメ &gt; 北斗の拳</t>
  </si>
  <si>
    <t>0,25464,25888,2084023782,2084236115</t>
  </si>
  <si>
    <t>スイッチ</t>
  </si>
  <si>
    <t>オークション &gt; 家電、AV、カメラ &gt; 電子部品 &gt; スイッチ</t>
  </si>
  <si>
    <t>AMD</t>
  </si>
  <si>
    <t>マクロスF</t>
  </si>
  <si>
    <t>オークション &gt; コンピュータ &gt; パーツ &gt; CPU &gt; AMD</t>
  </si>
  <si>
    <t>オークション &gt; おもちゃ、ゲーム &gt; フィギュア &gt; コミック、アニメ &gt; マクロスF</t>
  </si>
  <si>
    <t>スイッチング電源</t>
  </si>
  <si>
    <t>0,25464,25888,2084023782,2084305381</t>
  </si>
  <si>
    <t>オークション &gt; 家電、AV、カメラ &gt; 電子部品 &gt; スイッチング電源</t>
  </si>
  <si>
    <t>CPUクーラー</t>
  </si>
  <si>
    <t>オークション &gt; コンピュータ &gt; パーツ &gt; CPU &gt; CPUクーラー</t>
  </si>
  <si>
    <t>ダイオード</t>
  </si>
  <si>
    <t>オークション &gt; おもちゃ、ゲーム &gt; フィギュア &gt; コミック、アニメ &gt; 魔法少女まどか☆マギカ</t>
  </si>
  <si>
    <t>オークション &gt; 家電、AV、カメラ &gt; 電子部品 &gt; ダイオード</t>
  </si>
  <si>
    <t>0,25464,25888,2084023782,2084305382</t>
  </si>
  <si>
    <t>アクセラレータ</t>
  </si>
  <si>
    <t>オークション &gt; コンピュータ &gt; パーツ &gt; CPU &gt; アクセラレータ</t>
  </si>
  <si>
    <t>トランジスタ</t>
  </si>
  <si>
    <t>オークション &gt; 家電、AV、カメラ &gt; 電子部品 &gt; トランジスタ</t>
  </si>
  <si>
    <t>オークション &gt; おもちゃ、ゲーム &gt; フィギュア &gt; コミック、アニメ &gt; 魔法少女リリカルなのは</t>
  </si>
  <si>
    <t>バリスタ</t>
  </si>
  <si>
    <t>0,25464,25888,2084023782,2084236119</t>
  </si>
  <si>
    <t>オークション &gt; 家電、AV、カメラ &gt; 電子部品 &gt; バリスタ</t>
  </si>
  <si>
    <t>オークション &gt; コンピュータ &gt; パーツ &gt; CPU &gt; モトローラ</t>
  </si>
  <si>
    <t>ヒートシンク</t>
  </si>
  <si>
    <t>オークション &gt; 家電、AV、カメラ &gt; 電子部品 &gt; ヒートシンク</t>
  </si>
  <si>
    <t>ヤッターマン</t>
  </si>
  <si>
    <t>オークション &gt; おもちゃ、ゲーム &gt; フィギュア &gt; コミック、アニメ &gt; ヤッターマン</t>
  </si>
  <si>
    <t>0,25464,25888,2084023782,2084236108</t>
  </si>
  <si>
    <t>オークション &gt; コンピュータ &gt; パーツ &gt; CPU &gt; その他</t>
  </si>
  <si>
    <t>ヒューズ</t>
  </si>
  <si>
    <t>オークション &gt; 家電、AV、カメラ &gt; 電子部品 &gt; ヒューズ</t>
  </si>
  <si>
    <t>らき☆すた</t>
  </si>
  <si>
    <t>オークション &gt; おもちゃ、ゲーム &gt; フィギュア &gt; コミック、アニメ &gt; らき☆すた</t>
  </si>
  <si>
    <t>0,25464,25888,2084023782,2084236117</t>
  </si>
  <si>
    <t>プリント基板</t>
  </si>
  <si>
    <t>オークション &gt; 家電、AV、カメラ &gt; 電子部品 &gt; プリント基板</t>
  </si>
  <si>
    <t>オークション &gt; コンピュータ &gt; パーツ &gt; メモリ &gt; Mac用</t>
  </si>
  <si>
    <t>オークション &gt; おもちゃ、ゲーム &gt; フィギュア &gt; コミック、アニメ &gt; ルパン三世</t>
  </si>
  <si>
    <t>0,25464,25888,2084023782,2084023783</t>
  </si>
  <si>
    <t>メーター</t>
  </si>
  <si>
    <t>オークション &gt; 家電、AV、カメラ &gt; 電子部品 &gt; メーター</t>
  </si>
  <si>
    <t>デスクトップ用</t>
  </si>
  <si>
    <t>オークション &gt; コンピュータ &gt; パーツ &gt; メモリ &gt; デスクトップ用</t>
  </si>
  <si>
    <t>ロボットヒーロー</t>
  </si>
  <si>
    <t>オークション &gt; おもちゃ、ゲーム &gt; フィギュア &gt; コミック、アニメ &gt; ロボットヒーロー</t>
  </si>
  <si>
    <t>0,25464,25888,2084023782,2084023719</t>
  </si>
  <si>
    <t>リレー</t>
  </si>
  <si>
    <t>オークション &gt; 家電、AV、カメラ &gt; 電子部品 &gt; リレー</t>
  </si>
  <si>
    <t>オークション &gt; おもちゃ、ゲーム &gt; フィギュア &gt; コミック、アニメ &gt; ONE PIECE</t>
  </si>
  <si>
    <t>オークション &gt; コンピュータ &gt; パーツ &gt; メモリ &gt; ノートパソコン用</t>
  </si>
  <si>
    <t>0,25464,25888,2084023782,2084040581</t>
  </si>
  <si>
    <t>オークション &gt; 家電、AV、カメラ &gt; 電子部品 &gt; コネクタ</t>
  </si>
  <si>
    <t>オークション &gt; おもちゃ、ゲーム &gt; フィギュア &gt; コミック、アニメ &gt; その他</t>
  </si>
  <si>
    <t>オークション &gt; コンピュータ &gt; パーツ &gt; メモリ &gt; その他</t>
  </si>
  <si>
    <t>0,25464,25888,2084023782,2084023789</t>
  </si>
  <si>
    <t>オークション &gt; 家電、AV、カメラ &gt; 電子部品 &gt; スピーカー</t>
  </si>
  <si>
    <t>人造人間キカイダー</t>
  </si>
  <si>
    <t>オークション &gt; おもちゃ、ゲーム &gt; フィギュア &gt; 特撮 &gt; 人造人間キカイダー</t>
  </si>
  <si>
    <t>ピックアップ</t>
  </si>
  <si>
    <t>0,25464,25888,2084023622,2084023721</t>
  </si>
  <si>
    <t>オークション &gt; 家電、AV、カメラ &gt; 電子部品 &gt; ピックアップ</t>
  </si>
  <si>
    <t>オークション &gt; コンピュータ &gt; パーツ &gt; カード &gt; IEEE1394インターフェイスカード</t>
  </si>
  <si>
    <t>ロボット刑事</t>
  </si>
  <si>
    <t>オークション &gt; おもちゃ、ゲーム &gt; フィギュア &gt; 特撮 &gt; ロボット刑事</t>
  </si>
  <si>
    <t>集積回路</t>
  </si>
  <si>
    <t>0,25464,25888,2084023622,2084023722</t>
  </si>
  <si>
    <t>オークション &gt; 家電、AV、カメラ &gt; 電子部品 &gt; 集積回路</t>
  </si>
  <si>
    <t>LANカード</t>
  </si>
  <si>
    <t>オークション &gt; コンピュータ &gt; パーツ &gt; カード &gt; LANカード</t>
  </si>
  <si>
    <t>キカイダー01</t>
  </si>
  <si>
    <t>オークション &gt; おもちゃ、ゲーム &gt; フィギュア &gt; 特撮 &gt; キカイダー01</t>
  </si>
  <si>
    <t>0,25464,25888,2084023622,2084023723</t>
  </si>
  <si>
    <t>端子台</t>
  </si>
  <si>
    <t>SCSIカード</t>
  </si>
  <si>
    <t>オークション &gt; 家電、AV、カメラ &gt; 電子部品 &gt; 端子台</t>
  </si>
  <si>
    <t>オークション &gt; コンピュータ &gt; パーツ &gt; カード &gt; SCSIカード</t>
  </si>
  <si>
    <t>オークション &gt; 家電、AV、カメラ &gt; 電子部品 &gt; その他</t>
  </si>
  <si>
    <t>ウルトラマン</t>
  </si>
  <si>
    <t>オークション &gt; おもちゃ、ゲーム &gt; フィギュア &gt; 特撮 &gt; ウルトラマン</t>
  </si>
  <si>
    <t>0,25464,25888,2084023622,2084023623</t>
  </si>
  <si>
    <t>TVチューナーカード</t>
  </si>
  <si>
    <t>Windows用ソフトウエア</t>
  </si>
  <si>
    <t>オークション &gt; コンピュータ &gt; パーツ &gt; カード &gt; TVチューナーカード</t>
  </si>
  <si>
    <t>オークション &gt; ホビー、カルチャー &gt; 楽器、器材 &gt; DTM、DAW &gt; Windows用ソフトウエア</t>
  </si>
  <si>
    <t>ゴジラ、怪獣</t>
  </si>
  <si>
    <t>オークション &gt; おもちゃ、ゲーム &gt; フィギュア &gt; 特撮 &gt; ゴジラ、怪獣</t>
  </si>
  <si>
    <t>0,25464,25888,2084023622,2084023745</t>
  </si>
  <si>
    <t>Mac用ソフトウエア</t>
  </si>
  <si>
    <t>オークション &gt; ホビー、カルチャー &gt; 楽器、器材 &gt; DTM、DAW &gt; Mac用ソフトウエア</t>
  </si>
  <si>
    <t>オークション &gt; コンピュータ &gt; パーツ &gt; カード &gt; USBインターフェイスカード</t>
  </si>
  <si>
    <t>メタルシリーズ</t>
  </si>
  <si>
    <t>オークション &gt; おもちゃ、ゲーム &gt; フィギュア &gt; 特撮 &gt; メタルシリーズ</t>
  </si>
  <si>
    <t>オークション &gt; ホビー、カルチャー &gt; 楽器、器材 &gt; DTM、DAW &gt; MIDIキーボード、コントローラー</t>
  </si>
  <si>
    <t>0,25464,25888,2084023622,2084023694</t>
  </si>
  <si>
    <t>サウンドカード</t>
  </si>
  <si>
    <t>オークション &gt; コンピュータ &gt; パーツ &gt; カード &gt; サウンドカード</t>
  </si>
  <si>
    <t>仮面ライダー</t>
  </si>
  <si>
    <t>サンプラー</t>
  </si>
  <si>
    <t>オークション &gt; おもちゃ、ゲーム &gt; フィギュア &gt; 特撮 &gt; 仮面ライダー</t>
  </si>
  <si>
    <t>オークション &gt; ホビー、カルチャー &gt; 楽器、器材 &gt; DTM、DAW &gt; サンプラー</t>
  </si>
  <si>
    <t>0,25464,25888,2084023622,2084023644</t>
  </si>
  <si>
    <t>ビデオカード</t>
  </si>
  <si>
    <t>オークション &gt; コンピュータ &gt; パーツ &gt; カード &gt; ビデオカード</t>
  </si>
  <si>
    <t>オークション &gt; ホビー、カルチャー &gt; 楽器、器材 &gt; DTM、DAW &gt; サンプリングCD</t>
  </si>
  <si>
    <t>戦隊シリーズ</t>
  </si>
  <si>
    <t>オークション &gt; おもちゃ、ゲーム &gt; フィギュア &gt; 特撮 &gt; 戦隊シリーズ</t>
  </si>
  <si>
    <t>0,25464,25888,2084023622,2084023661</t>
  </si>
  <si>
    <t>オークション &gt; ホビー、カルチャー &gt; 楽器、器材 &gt; DTM、DAW &gt; オーディオインターフェース</t>
  </si>
  <si>
    <t>ビデオキャプチャカード</t>
  </si>
  <si>
    <t>オークション &gt; コンピュータ &gt; パーツ &gt; カード &gt; ビデオキャプチャカード</t>
  </si>
  <si>
    <t>音源モジュール</t>
  </si>
  <si>
    <t>オークション &gt; ホビー、カルチャー &gt; 楽器、器材 &gt; DTM、DAW &gt; 音源モジュール</t>
  </si>
  <si>
    <t>オークション &gt; コンピュータ &gt; パーツ &gt; カード &gt; その他</t>
  </si>
  <si>
    <t>PC用MIDI機器</t>
  </si>
  <si>
    <t>オークション &gt; おもちゃ、ゲーム &gt; フィギュア &gt; 特撮 &gt; ロボットヒーロー</t>
  </si>
  <si>
    <t>オークション &gt; ホビー、カルチャー &gt; 楽器、器材 &gt; DTM、DAW &gt; PC用MIDI機器</t>
  </si>
  <si>
    <t>0,25464,25888,2084023622,2084023719</t>
  </si>
  <si>
    <t>ATXミニタワー</t>
  </si>
  <si>
    <t>リズムマシン</t>
  </si>
  <si>
    <t>オークション &gt; ホビー、カルチャー &gt; 楽器、器材 &gt; DTM、DAW &gt; リズムマシン</t>
  </si>
  <si>
    <t>オークション &gt; コンピュータ &gt; パーツ &gt; ケース &gt; ATXミニタワー</t>
  </si>
  <si>
    <t>キーボード、シンセサイザー</t>
  </si>
  <si>
    <t>オークション &gt; ホビー、カルチャー &gt; 楽器、器材 &gt; DTM、DAW &gt; キーボード、シンセサイザー</t>
  </si>
  <si>
    <t>ATXミドルタワー</t>
  </si>
  <si>
    <t>オークション &gt; コンピュータ &gt; パーツ &gt; ケース &gt; ATXミドルタワー</t>
  </si>
  <si>
    <t>オークション &gt; おもちゃ、ゲーム &gt; フィギュア &gt; 特撮 &gt; その他</t>
  </si>
  <si>
    <t>パソコン周辺機器</t>
  </si>
  <si>
    <t>0,25464,25888,2084023622,2084047373</t>
  </si>
  <si>
    <t>オークション &gt; ホビー、カルチャー &gt; 楽器、器材 &gt; DTM、DAW &gt; パソコン周辺機器</t>
  </si>
  <si>
    <t>Piaキャロットへようこそ!!</t>
  </si>
  <si>
    <t>オークション &gt; ホビー、カルチャー &gt; 楽器、器材 &gt; DTM、DAW &gt; その他</t>
  </si>
  <si>
    <t>ATXフルタワー</t>
  </si>
  <si>
    <t>オークション &gt; おもちゃ、ゲーム &gt; フィギュア &gt; ゲームキャラクター &gt; Piaキャロットへようこそ!!</t>
  </si>
  <si>
    <t>0,25464,25888,2084040564,2084236103</t>
  </si>
  <si>
    <t>オークション &gt; コンピュータ &gt; パーツ &gt; ケース &gt; ATXフルタワー</t>
  </si>
  <si>
    <t>ToHeart2</t>
  </si>
  <si>
    <t>オークション &gt; 自動車、オートバイ &gt; カーオーディオ &gt; FMトランスミッター</t>
  </si>
  <si>
    <t>Micro ATX</t>
  </si>
  <si>
    <t>オークション &gt; おもちゃ、ゲーム &gt; フィギュア &gt; ゲームキャラクター &gt; ToHeart2</t>
  </si>
  <si>
    <t>オークション &gt; コンピュータ &gt; パーツ &gt; ケース &gt; Micro ATX</t>
  </si>
  <si>
    <t>0,25464,25888,2084040564,2084236102</t>
  </si>
  <si>
    <t>CD＆MDプレイヤー</t>
  </si>
  <si>
    <t>オークション &gt; 自動車、オートバイ &gt; カーオーディオ &gt; CD＆MDプレイヤー</t>
  </si>
  <si>
    <t>オークション &gt; おもちゃ、ゲーム &gt; フィギュア &gt; ゲームキャラクター &gt; すーぱーそに子</t>
  </si>
  <si>
    <t>CD＆カセットプレイヤー</t>
  </si>
  <si>
    <t>オークション &gt; 自動車、オートバイ &gt; カーオーディオ &gt; CD＆カセットプレイヤー</t>
  </si>
  <si>
    <t>オークション &gt; コンピュータ &gt; パーツ &gt; ケース &gt; その他</t>
  </si>
  <si>
    <t>0,25464,25888,2084040564,2084305391</t>
  </si>
  <si>
    <t>CDチェンジャー</t>
  </si>
  <si>
    <t>オークション &gt; 自動車、オートバイ &gt; カーオーディオ &gt; CDチェンジャー</t>
  </si>
  <si>
    <t>150W未満</t>
  </si>
  <si>
    <t>オークション &gt; おもちゃ、ゲーム &gt; フィギュア &gt; ゲームキャラクター &gt; ときめきメモリアル</t>
  </si>
  <si>
    <t>オークション &gt; コンピュータ &gt; パーツ &gt; 電源、ACアダプタ &gt; 150W未満</t>
  </si>
  <si>
    <t>オークション &gt; 自動車、オートバイ &gt; カーオーディオ &gt; CDプレーヤー</t>
  </si>
  <si>
    <t>0,25464,25888,2084040564,2084040566</t>
  </si>
  <si>
    <t>DVDチェンジャー</t>
  </si>
  <si>
    <t>オークション &gt; 自動車、オートバイ &gt; カーオーディオ &gt; DVDチェンジャー</t>
  </si>
  <si>
    <t>アイドルマスター</t>
  </si>
  <si>
    <t>オークション &gt; おもちゃ、ゲーム &gt; フィギュア &gt; ゲームキャラクター &gt; アイドルマスター</t>
  </si>
  <si>
    <t>150W～</t>
  </si>
  <si>
    <t>0,25464,25888,2084040564,2084239890</t>
  </si>
  <si>
    <t>オークション &gt; コンピュータ &gt; パーツ &gt; 電源、ACアダプタ &gt; 150W～</t>
  </si>
  <si>
    <t>DVDプレイヤー</t>
  </si>
  <si>
    <t>オークション &gt; 自動車、オートバイ &gt; カーオーディオ &gt; DVDプレイヤー</t>
  </si>
  <si>
    <t>キングダムハーツ</t>
  </si>
  <si>
    <t>オークション &gt; おもちゃ、ゲーム &gt; フィギュア &gt; ゲームキャラクター &gt; キングダムハーツ</t>
  </si>
  <si>
    <t>0,25464,25888,2084040564,2084048365</t>
  </si>
  <si>
    <t>250W～</t>
  </si>
  <si>
    <t>オークション &gt; 自動車、オートバイ &gt; カーオーディオ &gt; MDプレーヤー</t>
  </si>
  <si>
    <t>オークション &gt; コンピュータ &gt; パーツ &gt; 電源、ACアダプタ &gt; 250W～</t>
  </si>
  <si>
    <t>クイーンズブレイド</t>
  </si>
  <si>
    <t>オークション &gt; おもちゃ、ゲーム &gt; フィギュア &gt; ゲームキャラクター &gt; クイーンズブレイド</t>
  </si>
  <si>
    <t>0,25464,25888,2084040564,2084236100</t>
  </si>
  <si>
    <t>350W～</t>
  </si>
  <si>
    <t>オークション &gt; コンピュータ &gt; パーツ &gt; 電源、ACアダプタ &gt; 350W～</t>
  </si>
  <si>
    <t>オークション &gt; 自動車、オートバイ &gt; カーオーディオ &gt; アンプ</t>
  </si>
  <si>
    <t>オークション &gt; おもちゃ、ゲーム &gt; フィギュア &gt; ゲームキャラクター &gt; サクラ大戦</t>
  </si>
  <si>
    <t>450W～</t>
  </si>
  <si>
    <t>ウーハー</t>
  </si>
  <si>
    <t>0,25464,25888,2084040564,2084040565</t>
  </si>
  <si>
    <t>オークション &gt; 自動車、オートバイ &gt; カーオーディオ &gt; ウーハー</t>
  </si>
  <si>
    <t>オークション &gt; コンピュータ &gt; パーツ &gt; 電源、ACアダプタ &gt; 450W～</t>
  </si>
  <si>
    <t>サムライスピリッツ</t>
  </si>
  <si>
    <t>オークション &gt; おもちゃ、ゲーム &gt; フィギュア &gt; ゲームキャラクター &gt; サムライスピリッツ</t>
  </si>
  <si>
    <t>0,25464,25888,2084040564,2084236105</t>
  </si>
  <si>
    <t>550W～</t>
  </si>
  <si>
    <t>オークション &gt; コンピュータ &gt; パーツ &gt; 電源、ACアダプタ &gt; 550W～</t>
  </si>
  <si>
    <t>オークション &gt; 自動車、オートバイ &gt; カーオーディオ &gt; スピーカー</t>
  </si>
  <si>
    <t>シャイニング・ウィンド</t>
  </si>
  <si>
    <t>オークション &gt; おもちゃ、ゲーム &gt; フィギュア &gt; ゲームキャラクター &gt; シャイニング・ウィンド</t>
  </si>
  <si>
    <t>0,25464,25888,2084040564,2084236101</t>
  </si>
  <si>
    <t>チューナー</t>
  </si>
  <si>
    <t>オークション &gt; 自動車、オートバイ &gt; カーオーディオ &gt; チューナー</t>
  </si>
  <si>
    <t>650W～</t>
  </si>
  <si>
    <t>オークション &gt; コンピュータ &gt; パーツ &gt; 電源、ACアダプタ &gt; 650W～</t>
  </si>
  <si>
    <t>スーパーマリオ</t>
  </si>
  <si>
    <t>テープデッキ</t>
  </si>
  <si>
    <t>オークション &gt; おもちゃ、ゲーム &gt; フィギュア &gt; ゲームキャラクター &gt; スーパーマリオ</t>
  </si>
  <si>
    <t>オークション &gt; 自動車、オートバイ &gt; カーオーディオ &gt; テープデッキ</t>
  </si>
  <si>
    <t>0,25464,25888,2084040564,2084222830</t>
  </si>
  <si>
    <t>750w～</t>
  </si>
  <si>
    <t>デッドニング用品</t>
  </si>
  <si>
    <t>オークション &gt; 自動車、オートバイ &gt; カーオーディオ &gt; デッドニング用品</t>
  </si>
  <si>
    <t>オークション &gt; コンピュータ &gt; パーツ &gt; 電源、ACアダプタ &gt; 750w～</t>
  </si>
  <si>
    <t>スーパーロボット大戦</t>
  </si>
  <si>
    <t>オークション &gt; おもちゃ、ゲーム &gt; フィギュア &gt; ゲームキャラクター &gt; スーパーロボット大戦</t>
  </si>
  <si>
    <t>オークション &gt; 自動車、オートバイ &gt; カーオーディオ &gt; リモコン</t>
  </si>
  <si>
    <t>0,25464,25888,2084040564,2084236104</t>
  </si>
  <si>
    <t>取り付けキット、配線</t>
  </si>
  <si>
    <t>850w～</t>
  </si>
  <si>
    <t>オークション &gt; コンピュータ &gt; パーツ &gt; 電源、ACアダプタ &gt; 850w～</t>
  </si>
  <si>
    <t>ストリートファイター</t>
  </si>
  <si>
    <t>オークション &gt; 自動車、オートバイ &gt; カーオーディオ &gt; 取り付けキット、配線</t>
  </si>
  <si>
    <t>オークション &gt; おもちゃ、ゲーム &gt; フィギュア &gt; ゲームキャラクター &gt; ストリートファイター</t>
  </si>
  <si>
    <t>0,25464,25888,2084040564,2084236580</t>
  </si>
  <si>
    <t>セット</t>
  </si>
  <si>
    <t>950w～</t>
  </si>
  <si>
    <t>オークション &gt; 自動車、オートバイ &gt; カーオーディオ &gt; セット</t>
  </si>
  <si>
    <t>オークション &gt; コンピュータ &gt; パーツ &gt; 電源、ACアダプタ &gt; 950w～</t>
  </si>
  <si>
    <t>センチメンタル・グラフティ</t>
  </si>
  <si>
    <t>取り付けサービス</t>
  </si>
  <si>
    <t>オークション &gt; おもちゃ、ゲーム &gt; フィギュア &gt; ゲームキャラクター &gt; センチメンタル・グラフティ</t>
  </si>
  <si>
    <t>オークション &gt; 自動車、オートバイ &gt; カーオーディオ &gt; 取り付けサービス</t>
  </si>
  <si>
    <t>0,25464,25888,2084040564,2084040567</t>
  </si>
  <si>
    <t>ノートパソコン用ACアダプタ</t>
  </si>
  <si>
    <t>オークション &gt; コンピュータ &gt; パーツ &gt; 電源、ACアダプタ &gt; ノートパソコン用ACアダプタ</t>
  </si>
  <si>
    <t>オークション &gt; 自動車、オートバイ &gt; カーオーディオ &gt; その他</t>
  </si>
  <si>
    <t>IEEE1394</t>
  </si>
  <si>
    <t>コンデンサー型</t>
  </si>
  <si>
    <t>オークション &gt; コンピュータ &gt; パーツ &gt; ケーブル、コネクタ &gt; IEEE1394</t>
  </si>
  <si>
    <t>オークション &gt; おもちゃ、ゲーム &gt; フィギュア &gt; ゲームキャラクター &gt; デジタルモンスター</t>
  </si>
  <si>
    <t>オークション &gt; 家電、AV、カメラ &gt; オーディオ機器 &gt; マイクロフォン &gt; コンデンサー型</t>
  </si>
  <si>
    <t>0,25464,25888,2084040564,2084040569</t>
  </si>
  <si>
    <t>ダイナミック型</t>
  </si>
  <si>
    <t>デッド オア アライブ</t>
  </si>
  <si>
    <t>オークション &gt; 家電、AV、カメラ &gt; オーディオ機器 &gt; マイクロフォン &gt; ダイナミック型</t>
  </si>
  <si>
    <t>RS-232C</t>
  </si>
  <si>
    <t>オークション &gt; おもちゃ、ゲーム &gt; フィギュア &gt; ゲームキャラクター &gt; デッド オア アライブ</t>
  </si>
  <si>
    <t>オークション &gt; コンピュータ &gt; パーツ &gt; ケーブル、コネクタ &gt; RS-232C</t>
  </si>
  <si>
    <t>0,25464,25888,2084040564,2084063700</t>
  </si>
  <si>
    <t>レコーディング用マイク</t>
  </si>
  <si>
    <t>オークション &gt; 家電、AV、カメラ &gt; オーディオ機器 &gt; マイクロフォン &gt; レコーディング用マイク</t>
  </si>
  <si>
    <t>SCSI</t>
  </si>
  <si>
    <t>ドラゴンクエスト</t>
  </si>
  <si>
    <t>オークション &gt; コンピュータ &gt; パーツ &gt; ケーブル、コネクタ &gt; SCSI</t>
  </si>
  <si>
    <t>オークション &gt; おもちゃ、ゲーム &gt; フィギュア &gt; ゲームキャラクター &gt; ドラゴンクエスト</t>
  </si>
  <si>
    <t>0,25464,25888,2084040564,2084063703</t>
  </si>
  <si>
    <t>オークション &gt; 家電、AV、カメラ &gt; オーディオ機器 &gt; マイクロフォン &gt; その他</t>
  </si>
  <si>
    <t>USB</t>
  </si>
  <si>
    <t>オークション &gt; コンピュータ &gt; パーツ &gt; ケーブル、コネクタ &gt; USB</t>
  </si>
  <si>
    <t>オークション &gt; アンティーク、コレクション &gt; 蓄音機 &gt; 本体</t>
  </si>
  <si>
    <t>ファイナルファンタジー</t>
  </si>
  <si>
    <t>ネットワーク</t>
  </si>
  <si>
    <t>オークション &gt; おもちゃ、ゲーム &gt; フィギュア &gt; ゲームキャラクター &gt; ファイナルファンタジー</t>
  </si>
  <si>
    <t>オークション &gt; コンピュータ &gt; パーツ &gt; ケーブル、コネクタ &gt; ネットワーク</t>
  </si>
  <si>
    <t>0,25464,25888,2084040564,2084040568</t>
  </si>
  <si>
    <t>SP盤</t>
  </si>
  <si>
    <t>オークション &gt; アンティーク、コレクション &gt; 蓄音機 &gt; SP盤</t>
  </si>
  <si>
    <t>プリンタ</t>
  </si>
  <si>
    <t>オークション &gt; コンピュータ &gt; パーツ &gt; ケーブル、コネクタ &gt; プリンタ</t>
  </si>
  <si>
    <t>ペルソナシリーズ</t>
  </si>
  <si>
    <t>オークション &gt; アンティーク、コレクション &gt; 蓄音機 &gt; その他</t>
  </si>
  <si>
    <t>オークション &gt; おもちゃ、ゲーム &gt; フィギュア &gt; ゲームキャラクター &gt; ペルソナシリーズ</t>
  </si>
  <si>
    <t>0,25464,25888,2084040564,2084305394</t>
  </si>
  <si>
    <t>デジタル一眼</t>
  </si>
  <si>
    <t>オークション &gt; 家電、AV、カメラ &gt; カメラ、光学機器 &gt; デジタルカメラ &gt; デジタル一眼</t>
  </si>
  <si>
    <t>オークション &gt; コンピュータ &gt; パーツ &gt; ケーブル、コネクタ &gt; モニタ</t>
  </si>
  <si>
    <t>オークション &gt; 家電、AV、カメラ &gt; カメラ、光学機器 &gt; デジタルカメラ &gt; ミラーレス一眼</t>
  </si>
  <si>
    <t>モンスターハンター</t>
  </si>
  <si>
    <t>オークション &gt; おもちゃ、ゲーム &gt; フィギュア &gt; ゲームキャラクター &gt; モンスターハンター</t>
  </si>
  <si>
    <t>0,25464,25888,2084040564,2084236581</t>
  </si>
  <si>
    <t>コンパクトデジタルカメラ</t>
  </si>
  <si>
    <t>オークション &gt; コンピュータ &gt; パーツ &gt; ケーブル、コネクタ &gt; その他</t>
  </si>
  <si>
    <t>オークション &gt; 家電、AV、カメラ &gt; カメラ、光学機器 &gt; デジタルカメラ &gt; コンパクトデジタルカメラ</t>
  </si>
  <si>
    <t>CPU</t>
  </si>
  <si>
    <t>オークション &gt; 家電、AV、カメラ &gt; カメラ、光学機器 &gt; デジタルカメラ &gt; バッテリー、充電器</t>
  </si>
  <si>
    <t>オークション &gt; コンピュータ &gt; パーツ &gt; Mac用 &gt; CPU</t>
  </si>
  <si>
    <t>ラブプラス</t>
  </si>
  <si>
    <t>オークション &gt; おもちゃ、ゲーム &gt; フィギュア &gt; ゲームキャラクター &gt; ラブプラス</t>
  </si>
  <si>
    <t>0,25464,25888,2084040564,2084305395</t>
  </si>
  <si>
    <t>パソコン接続キット</t>
  </si>
  <si>
    <t>マザーボード</t>
  </si>
  <si>
    <t>オークション &gt; 家電、AV、カメラ &gt; カメラ、光学機器 &gt; デジタルカメラ &gt; パソコン接続キット</t>
  </si>
  <si>
    <t>オークション &gt; コンピュータ &gt; パーツ &gt; Mac用 &gt; マザーボード</t>
  </si>
  <si>
    <t>メモリ</t>
  </si>
  <si>
    <t>リトルバスターズ！</t>
  </si>
  <si>
    <t>オークション &gt; コンピュータ &gt; パーツ &gt; Mac用 &gt; メモリ</t>
  </si>
  <si>
    <t>オークション &gt; おもちゃ、ゲーム &gt; フィギュア &gt; ゲームキャラクター &gt; リトルバスターズ！</t>
  </si>
  <si>
    <t>0,25464,25888,2084040564,2084239892</t>
  </si>
  <si>
    <t>オークション &gt; 家電、AV、カメラ &gt; カメラ、光学機器 &gt; デジタルカメラ &gt; 説明書</t>
  </si>
  <si>
    <t>オークション &gt; コンピュータ &gt; パーツ &gt; Mac用 &gt; その他</t>
  </si>
  <si>
    <t>オークション &gt; 家電、AV、カメラ &gt; カメラ、光学機器 &gt; デジタルカメラ &gt; カタログ</t>
  </si>
  <si>
    <t>オークション &gt; おもちゃ、ゲーム &gt; フィギュア &gt; ゲームキャラクター &gt; 戦国BASARA</t>
  </si>
  <si>
    <t>HP、コンパック</t>
  </si>
  <si>
    <t>オークション &gt; コンピュータ &gt; サーバー &gt; サーバー本体 &gt; HP、コンパック</t>
  </si>
  <si>
    <t>0,25464,25888,2084040564,2084242881</t>
  </si>
  <si>
    <t>IBM、レノボ</t>
  </si>
  <si>
    <t>オークション &gt; コンピュータ &gt; サーバー &gt; サーバー本体 &gt; IBM、レノボ</t>
  </si>
  <si>
    <t>オークション &gt; 家電、AV、カメラ &gt; カメラ、光学機器 &gt; デジタルカメラ &gt; カードリーダー</t>
  </si>
  <si>
    <t>オークション &gt; おもちゃ、ゲーム &gt; フィギュア &gt; ゲームキャラクター &gt; 東方Project</t>
  </si>
  <si>
    <t>オークション &gt; コンピュータ &gt; サーバー &gt; サーバー本体 &gt; NEC</t>
  </si>
  <si>
    <t>0,25464,25888,2084040564,2084242882</t>
  </si>
  <si>
    <t>記録用メモリ</t>
  </si>
  <si>
    <t>オークション &gt; 家電、AV、カメラ &gt; カメラ、光学機器 &gt; デジタルカメラ &gt; 記録用メモリ</t>
  </si>
  <si>
    <t>オークション &gt; コンピュータ &gt; サーバー &gt; サーバー本体 &gt; デル</t>
  </si>
  <si>
    <t>武装神姫</t>
  </si>
  <si>
    <t>オークション &gt; おもちゃ、ゲーム &gt; フィギュア &gt; ゲームキャラクター &gt; 武装神姫</t>
  </si>
  <si>
    <t>オークション &gt; 家電、AV、カメラ &gt; カメラ、光学機器 &gt; デジタルカメラ &gt; デジタルフォトフレーム</t>
  </si>
  <si>
    <t>0,25464,25888,2084040564,2084236099</t>
  </si>
  <si>
    <t>オークション &gt; コンピュータ &gt; サーバー &gt; サーバー本体 &gt; 富士通</t>
  </si>
  <si>
    <t>一眼レフ</t>
  </si>
  <si>
    <t>オークション &gt; 家電、AV、カメラ &gt; カメラ、光学機器 &gt; フィルムカメラ &gt; 一眼レフ</t>
  </si>
  <si>
    <t>オークション &gt; コンピュータ &gt; サーバー &gt; サーバー本体 &gt; その他</t>
  </si>
  <si>
    <t>オークション &gt; おもちゃ、ゲーム &gt; フィギュア &gt; ゲームキャラクター &gt; その他</t>
  </si>
  <si>
    <t>0,25464,25888,2084040564,2084040570</t>
  </si>
  <si>
    <t>インスタント、ポラロイド</t>
  </si>
  <si>
    <t>CLIE</t>
  </si>
  <si>
    <t>オークション &gt; 家電、AV、カメラ &gt; カメラ、光学機器 &gt; フィルムカメラ &gt; インスタント、ポラロイド</t>
  </si>
  <si>
    <t>オークション &gt; コンピュータ &gt; PDA &gt; CLIE</t>
  </si>
  <si>
    <t>13日の金曜日</t>
  </si>
  <si>
    <t>コンパクトカメラ</t>
  </si>
  <si>
    <t>オークション &gt; 家電、AV、カメラ &gt; カメラ、光学機器 &gt; フィルムカメラ &gt; コンパクトカメラ</t>
  </si>
  <si>
    <t>オークション &gt; おもちゃ、ゲーム &gt; フィギュア &gt; SF、ファンタジー、ホラー &gt; 13日の金曜日</t>
  </si>
  <si>
    <t>PDA用ケース</t>
  </si>
  <si>
    <t>オークション &gt; コンピュータ &gt; PDA &gt; PDA用ケース</t>
  </si>
  <si>
    <t>0,25464,25888,2084023799,2084040561</t>
  </si>
  <si>
    <t>8ミリ</t>
  </si>
  <si>
    <t>オークション &gt; 家電、AV、カメラ &gt; カメラ、光学機器 &gt; フィルムカメラ &gt; 8ミリ</t>
  </si>
  <si>
    <t>Palmシリーズ</t>
  </si>
  <si>
    <t>アイアンマン</t>
  </si>
  <si>
    <t>APS</t>
  </si>
  <si>
    <t>オークション &gt; コンピュータ &gt; PDA &gt; Palmシリーズ</t>
  </si>
  <si>
    <t>オークション &gt; 家電、AV、カメラ &gt; カメラ、光学機器 &gt; フィルムカメラ &gt; APS</t>
  </si>
  <si>
    <t>オークション &gt; おもちゃ、ゲーム &gt; フィギュア &gt; SF、ファンタジー、ホラー &gt; アイアンマン</t>
  </si>
  <si>
    <t>0,25464,25888,2084023799,2084242884</t>
  </si>
  <si>
    <t>Windows CE</t>
  </si>
  <si>
    <t>オークション &gt; コンピュータ &gt; PDA &gt; Windows CE</t>
  </si>
  <si>
    <t>レンジファインダー</t>
  </si>
  <si>
    <t>オークション &gt; 家電、AV、カメラ &gt; カメラ、光学機器 &gt; フィルムカメラ &gt; レンジファインダー</t>
  </si>
  <si>
    <t>ザウルス</t>
  </si>
  <si>
    <t>エイリアン</t>
  </si>
  <si>
    <t>オークション &gt; コンピュータ &gt; PDA &gt; ザウルス</t>
  </si>
  <si>
    <t>オークション &gt; おもちゃ、ゲーム &gt; フィギュア &gt; SF、ファンタジー、ホラー &gt; エイリアン</t>
  </si>
  <si>
    <t>0,25464,25888,2084023799,2084040558</t>
  </si>
  <si>
    <t>ポケットボード</t>
  </si>
  <si>
    <t>オークション &gt; コンピュータ &gt; PDA &gt; ポケットボード</t>
  </si>
  <si>
    <t>大判、中判</t>
  </si>
  <si>
    <t>オークション &gt; 家電、AV、カメラ &gt; カメラ、光学機器 &gt; フィルムカメラ &gt; 大判、中判</t>
  </si>
  <si>
    <t>エルム街の悪夢</t>
  </si>
  <si>
    <t>オークション &gt; コンピュータ &gt; PDA &gt; その他</t>
  </si>
  <si>
    <t>オークション &gt; おもちゃ、ゲーム &gt; フィギュア &gt; SF、ファンタジー、ホラー &gt; エルム街の悪夢</t>
  </si>
  <si>
    <t>二眼レフ</t>
  </si>
  <si>
    <t>0,25464,25888,2084023799,2084040560</t>
  </si>
  <si>
    <t>オークション &gt; 家電、AV、カメラ &gt; カメラ、光学機器 &gt; フィルムカメラ &gt; 二眼レフ</t>
  </si>
  <si>
    <t>オークション &gt; コンピュータ &gt; PDA &gt; Palmシリーズ &gt; 本体</t>
  </si>
  <si>
    <t>ザ・ナイトメア・ビフォア・クリスマス</t>
  </si>
  <si>
    <t>オークション &gt; コンピュータ &gt; PDA &gt; Palmシリーズ &gt; その他</t>
  </si>
  <si>
    <t>オークション &gt; おもちゃ、ゲーム &gt; フィギュア &gt; SF、ファンタジー、ホラー &gt; ザ・ナイトメア・ビフォア・クリスマス</t>
  </si>
  <si>
    <t>オークション &gt; 家電、AV、カメラ &gt; カメラ、光学機器 &gt; フィルムカメラ &gt; カタログ</t>
  </si>
  <si>
    <t>0,25464,25888,2084023799,2084040585</t>
  </si>
  <si>
    <t>アクリル、樹脂</t>
  </si>
  <si>
    <t>オークション &gt; 住まい、インテリア &gt; 家具、インテリア &gt; 机 &gt; パソコンデスク &gt; 一般 &gt; アクリル、樹脂</t>
  </si>
  <si>
    <t>オークション &gt; 家電、AV、カメラ &gt; カメラ、光学機器 &gt; フィルムカメラ &gt; 説明書</t>
  </si>
  <si>
    <t>スター・ウォーズシリーズ</t>
  </si>
  <si>
    <t>ガラス</t>
  </si>
  <si>
    <t>オークション &gt; おもちゃ、ゲーム &gt; フィギュア &gt; SF、ファンタジー、ホラー &gt; スター・ウォーズシリーズ</t>
  </si>
  <si>
    <t>オークション &gt; 住まい、インテリア &gt; 家具、インテリア &gt; 机 &gt; パソコンデスク &gt; 一般 &gt; ガラス</t>
  </si>
  <si>
    <t>0,25464,25888,2084023799,40577</t>
  </si>
  <si>
    <t>オークション &gt; 家電、AV、カメラ &gt; カメラ、光学機器 &gt; フィルムカメラ &gt; その他</t>
  </si>
  <si>
    <t>金属</t>
  </si>
  <si>
    <t>スタートレック</t>
  </si>
  <si>
    <t>オークション &gt; 住まい、インテリア &gt; 家具、インテリア &gt; 机 &gt; パソコンデスク &gt; 一般 &gt; 金属</t>
  </si>
  <si>
    <t>オークション &gt; おもちゃ、ゲーム &gt; フィギュア &gt; SF、ファンタジー、ホラー &gt; スタートレック</t>
  </si>
  <si>
    <t>0,25464,25888,2084023799,2084023848</t>
  </si>
  <si>
    <t>木材</t>
  </si>
  <si>
    <t>オークション &gt; 住まい、インテリア &gt; 家具、インテリア &gt; 机 &gt; パソコンデスク &gt; 一般 &gt; 木材</t>
  </si>
  <si>
    <t>ターミネーター</t>
  </si>
  <si>
    <t>オークション &gt; おもちゃ、ゲーム &gt; フィギュア &gt; SF、ファンタジー、ホラー &gt; ターミネーター</t>
  </si>
  <si>
    <t>0,25464,25888,2084023799,2084242883</t>
  </si>
  <si>
    <t>オークション &gt; 住まい、インテリア &gt; 家具、インテリア &gt; 机 &gt; パソコンデスク &gt; 一般 &gt; その他</t>
  </si>
  <si>
    <t>プレデター</t>
  </si>
  <si>
    <t>オークション &gt; おもちゃ、ゲーム &gt; フィギュア &gt; SF、ファンタジー、ホラー &gt; プレデター</t>
  </si>
  <si>
    <t>0,25464,25888,2084023799,2084040559</t>
  </si>
  <si>
    <t>Windows 7</t>
  </si>
  <si>
    <t>オークション &gt; 本、雑誌 &gt; コンピュータとインターネット &gt; OS &gt; Windows 7</t>
  </si>
  <si>
    <t>猿の惑星</t>
  </si>
  <si>
    <t>オークション &gt; おもちゃ、ゲーム &gt; フィギュア &gt; SF、ファンタジー、ホラー &gt; 猿の惑星</t>
  </si>
  <si>
    <t>0,25464,25888,2084023799,2084040563</t>
  </si>
  <si>
    <t>Windows Vista</t>
  </si>
  <si>
    <t>オークション &gt; 本、雑誌 &gt; コンピュータとインターネット &gt; OS &gt; Windows Vista</t>
  </si>
  <si>
    <t>オークション &gt; おもちゃ、ゲーム &gt; フィギュア &gt; SF、ファンタジー、ホラー &gt; その他</t>
  </si>
  <si>
    <t>0,25464,25888,2084023799,2084046903</t>
  </si>
  <si>
    <t>WindowsXP</t>
  </si>
  <si>
    <t>オークション &gt; 本、雑誌 &gt; コンピュータとインターネット &gt; OS &gt; WindowsXP</t>
  </si>
  <si>
    <t>Xメン</t>
  </si>
  <si>
    <t>オークション &gt; おもちゃ、ゲーム &gt; フィギュア &gt; アメコミ &gt; Xメン</t>
  </si>
  <si>
    <t>0,25464,25888,21688,2084023775</t>
  </si>
  <si>
    <t>WindowsNT/2000</t>
  </si>
  <si>
    <t>オークション &gt; 本、雑誌 &gt; コンピュータとインターネット &gt; OS &gt; WindowsNT/2000</t>
  </si>
  <si>
    <t>スーパーマン</t>
  </si>
  <si>
    <t>Windows Me</t>
  </si>
  <si>
    <t>オークション &gt; おもちゃ、ゲーム &gt; フィギュア &gt; アメコミ &gt; スーパーマン</t>
  </si>
  <si>
    <t>オークション &gt; 本、雑誌 &gt; コンピュータとインターネット &gt; OS &gt; Windows Me</t>
  </si>
  <si>
    <t>0,25464,25888,21688,2084023772</t>
  </si>
  <si>
    <t>スパイダーマン</t>
  </si>
  <si>
    <t>オークション &gt; おもちゃ、ゲーム &gt; フィギュア &gt; アメコミ &gt; スパイダーマン</t>
  </si>
  <si>
    <t>Windows95/98/CE</t>
  </si>
  <si>
    <t>0,25464,25888,21688,2084023771</t>
  </si>
  <si>
    <t>オークション &gt; 本、雑誌 &gt; コンピュータとインターネット &gt; OS &gt; Windows95/98/CE</t>
  </si>
  <si>
    <t>MS-DOS</t>
  </si>
  <si>
    <t>スポーン</t>
  </si>
  <si>
    <t>一眼カメラ用（オートフォーカス）</t>
  </si>
  <si>
    <t>オークション &gt; おもちゃ、ゲーム &gt; フィギュア &gt; アメコミ &gt; スポーン</t>
  </si>
  <si>
    <t>オークション &gt; 本、雑誌 &gt; コンピュータとインターネット &gt; OS &gt; MS-DOS</t>
  </si>
  <si>
    <t>オークション &gt; 家電、AV、カメラ &gt; カメラ、光学機器 &gt; レンズ &gt; 一眼カメラ用（オートフォーカス）</t>
  </si>
  <si>
    <t>0,25464,25888,21688,2084040694</t>
  </si>
  <si>
    <t>OS/2</t>
  </si>
  <si>
    <t>オークション &gt; 本、雑誌 &gt; コンピュータとインターネット &gt; OS &gt; OS/2</t>
  </si>
  <si>
    <t>一眼カメラ用（マニュアルフォーカス）</t>
  </si>
  <si>
    <t>バットマン</t>
  </si>
  <si>
    <t>オークション &gt; 家電、AV、カメラ &gt; カメラ、光学機器 &gt; レンズ &gt; 一眼カメラ用（マニュアルフォーカス）</t>
  </si>
  <si>
    <t>オークション &gt; おもちゃ、ゲーム &gt; フィギュア &gt; アメコミ &gt; バットマン</t>
  </si>
  <si>
    <t>0,25464,25888,21688,2084023773</t>
  </si>
  <si>
    <t>PC-UNIX、Linux、BSD</t>
  </si>
  <si>
    <t>オークション &gt; 本、雑誌 &gt; コンピュータとインターネット &gt; OS &gt; PC-UNIX、Linux、BSD</t>
  </si>
  <si>
    <t>大判、中判カメラ用</t>
  </si>
  <si>
    <t>オークション &gt; 家電、AV、カメラ &gt; カメラ、光学機器 &gt; レンズ &gt; 大判、中判カメラ用</t>
  </si>
  <si>
    <t>オークション &gt; おもちゃ、ゲーム &gt; フィギュア &gt; アメコミ &gt; その他</t>
  </si>
  <si>
    <t>0,25464,25888,21688,2084023777</t>
  </si>
  <si>
    <t>UNIX</t>
  </si>
  <si>
    <t>オークション &gt; 本、雑誌 &gt; コンピュータとインターネット &gt; OS &gt; UNIX</t>
  </si>
  <si>
    <t>コンパクトカメラ用</t>
  </si>
  <si>
    <t>オークション &gt; 家電、AV、カメラ &gt; カメラ、光学機器 &gt; レンズ &gt; コンパクトカメラ用</t>
  </si>
  <si>
    <t>オークション &gt; おもちゃ、ゲーム &gt; フィギュア &gt; スポーツ &gt; サッカー</t>
  </si>
  <si>
    <t>オークション &gt; 本、雑誌 &gt; コンピュータとインターネット &gt; OS &gt; その他</t>
  </si>
  <si>
    <t>0,25464,25888,25892,2084023792</t>
  </si>
  <si>
    <t>オークション &gt; 家電、AV、カメラ &gt; カメラ、光学機器 &gt; レンズ &gt; カタログ</t>
  </si>
  <si>
    <t>データベース</t>
  </si>
  <si>
    <t>オークション &gt; 本、雑誌 &gt; コンピュータとインターネット &gt; アプリケーション &gt; データベース</t>
  </si>
  <si>
    <t>バスケット</t>
  </si>
  <si>
    <t>オークション &gt; おもちゃ、ゲーム &gt; フィギュア &gt; スポーツ &gt; バスケット</t>
  </si>
  <si>
    <t>オークション &gt; 家電、AV、カメラ &gt; カメラ、光学機器 &gt; レンズ &gt; 説明書</t>
  </si>
  <si>
    <t>0,25464,25888,25892,2084023793</t>
  </si>
  <si>
    <t>表計算</t>
  </si>
  <si>
    <t>オークション &gt; 本、雑誌 &gt; コンピュータとインターネット &gt; アプリケーション &gt; 表計算</t>
  </si>
  <si>
    <t>プロレス、格闘技</t>
  </si>
  <si>
    <t>オークション &gt; おもちゃ、ゲーム &gt; フィギュア &gt; スポーツ &gt; プロレス、格闘技</t>
  </si>
  <si>
    <t>ワープロ</t>
  </si>
  <si>
    <t>オークション &gt; 本、雑誌 &gt; コンピュータとインターネット &gt; アプリケーション &gt; ワープロ</t>
  </si>
  <si>
    <t>0,25464,25888,25892,2084023790</t>
  </si>
  <si>
    <t>オークション &gt; 家電、AV、カメラ &gt; カメラ、光学機器 &gt; レンズ &gt; その他</t>
  </si>
  <si>
    <t>プレゼンテーション</t>
  </si>
  <si>
    <t>プロ野球</t>
  </si>
  <si>
    <t>キャップ</t>
  </si>
  <si>
    <t>オークション &gt; おもちゃ、ゲーム &gt; フィギュア &gt; スポーツ &gt; プロ野球</t>
  </si>
  <si>
    <t>オークション &gt; 家電、AV、カメラ &gt; カメラ、光学機器 &gt; アクセサリー &gt; キャップ</t>
  </si>
  <si>
    <t>オークション &gt; 本、雑誌 &gt; コンピュータとインターネット &gt; アプリケーション &gt; プレゼンテーション</t>
  </si>
  <si>
    <t>0,25464,25888,25892,2084023791</t>
  </si>
  <si>
    <t>ケース、バッグ</t>
  </si>
  <si>
    <t>オークション &gt; 家電、AV、カメラ &gt; カメラ、光学機器 &gt; アクセサリー &gt; ケース、バッグ</t>
  </si>
  <si>
    <t>フォトレタッチ</t>
  </si>
  <si>
    <t>オークション &gt; おもちゃ、ゲーム &gt; フィギュア &gt; スポーツ &gt; その他</t>
  </si>
  <si>
    <t>オークション &gt; 本、雑誌 &gt; コンピュータとインターネット &gt; アプリケーション &gt; フォトレタッチ</t>
  </si>
  <si>
    <t>0,25464,25888,25892,2084023794</t>
  </si>
  <si>
    <t>ストロボ、照明</t>
  </si>
  <si>
    <t>G.I.ジョー</t>
  </si>
  <si>
    <t>オークション &gt; 家電、AV、カメラ &gt; カメラ、光学機器 &gt; アクセサリー &gt; ストロボ、照明</t>
  </si>
  <si>
    <t>オークション &gt; おもちゃ、ゲーム &gt; フィギュア &gt; ミリタリー &gt; G.I.ジョー</t>
  </si>
  <si>
    <t>0,25464,25888,25890,2084023610</t>
  </si>
  <si>
    <t>ペイント、ドロー</t>
  </si>
  <si>
    <t>オークション &gt; 本、雑誌 &gt; コンピュータとインターネット &gt; アプリケーション &gt; ペイント、ドロー</t>
  </si>
  <si>
    <t>フード</t>
  </si>
  <si>
    <t>オークション &gt; 家電、AV、カメラ &gt; カメラ、光学機器 &gt; アクセサリー &gt; フード</t>
  </si>
  <si>
    <t>クールガール</t>
  </si>
  <si>
    <t>オークション &gt; おもちゃ、ゲーム &gt; フィギュア &gt; ミリタリー &gt; クールガール</t>
  </si>
  <si>
    <t>0,25464,25888,25890,2084236098</t>
  </si>
  <si>
    <t>CAD</t>
  </si>
  <si>
    <t>フィルター</t>
  </si>
  <si>
    <t>オークション &gt; 家電、AV、カメラ &gt; カメラ、光学機器 &gt; アクセサリー &gt; フィルター</t>
  </si>
  <si>
    <t>オークション &gt; 本、雑誌 &gt; コンピュータとインターネット &gt; アプリケーション &gt; CAD</t>
  </si>
  <si>
    <t>軍服、洋服</t>
  </si>
  <si>
    <t>オークション &gt; おもちゃ、ゲーム &gt; フィギュア &gt; ミリタリー &gt; 軍服、洋服</t>
  </si>
  <si>
    <t>0,25464,25888,25890,2084023618</t>
  </si>
  <si>
    <t>ミニスタジオ</t>
  </si>
  <si>
    <t>DTP、フォント</t>
  </si>
  <si>
    <t>オークション &gt; 家電、AV、カメラ &gt; カメラ、光学機器 &gt; アクセサリー &gt; ミニスタジオ</t>
  </si>
  <si>
    <t>オークション &gt; 本、雑誌 &gt; コンピュータとインターネット &gt; アプリケーション &gt; DTP、フォント</t>
  </si>
  <si>
    <t>乗り物</t>
  </si>
  <si>
    <t>オークション &gt; おもちゃ、ゲーム &gt; フィギュア &gt; ミリタリー &gt; 乗り物</t>
  </si>
  <si>
    <t>0,25464,25888,25890,2084023620</t>
  </si>
  <si>
    <t>Tex</t>
  </si>
  <si>
    <t>オークション &gt; 家電、AV、カメラ &gt; カメラ、光学機器 &gt; アクセサリー &gt; リモコン</t>
  </si>
  <si>
    <t>オークション &gt; 本、雑誌 &gt; コンピュータとインターネット &gt; アプリケーション &gt; Tex</t>
  </si>
  <si>
    <t>武器、個人装備</t>
  </si>
  <si>
    <t>レリーズ</t>
  </si>
  <si>
    <t>オークション &gt; おもちゃ、ゲーム &gt; フィギュア &gt; ミリタリー &gt; 武器、個人装備</t>
  </si>
  <si>
    <t>0,25464,25888,25890,2084023619</t>
  </si>
  <si>
    <t>オークション &gt; 家電、AV、カメラ &gt; カメラ、光学機器 &gt; アクセサリー &gt; レリーズ</t>
  </si>
  <si>
    <t>エディタ</t>
  </si>
  <si>
    <t>オークション &gt; 本、雑誌 &gt; コンピュータとインターネット &gt; アプリケーション &gt; エディタ</t>
  </si>
  <si>
    <t>オークション &gt; おもちゃ、ゲーム &gt; フィギュア &gt; ミリタリー &gt; その他</t>
  </si>
  <si>
    <t>0,25464,25888,25890,2084023621</t>
  </si>
  <si>
    <t>三脚、一脚</t>
  </si>
  <si>
    <t>オークション &gt; 家電、AV、カメラ &gt; カメラ、光学機器 &gt; アクセサリー &gt; 三脚、一脚</t>
  </si>
  <si>
    <t>オンラインソフト</t>
  </si>
  <si>
    <t>オークション &gt; 本、雑誌 &gt; コンピュータとインターネット &gt; アプリケーション &gt; オンラインソフト</t>
  </si>
  <si>
    <t>くまのパディントン</t>
  </si>
  <si>
    <t>オークション &gt; おもちゃ、ゲーム &gt; 人形、キャラクタードール &gt; キャラクタードール &gt; くまのパディントン</t>
  </si>
  <si>
    <t>防湿庫</t>
  </si>
  <si>
    <t>0,25464,25864,25870,2084020055</t>
  </si>
  <si>
    <t>オークション &gt; 家電、AV、カメラ &gt; カメラ、光学機器 &gt; アクセサリー &gt; 防湿庫</t>
  </si>
  <si>
    <t>ぞうのババール</t>
  </si>
  <si>
    <t>マルチメディアタイトル</t>
  </si>
  <si>
    <t>オークション &gt; おもちゃ、ゲーム &gt; 人形、キャラクタードール &gt; キャラクタードール &gt; ぞうのババール</t>
  </si>
  <si>
    <t>露出計</t>
  </si>
  <si>
    <t>オークション &gt; 本、雑誌 &gt; コンピュータとインターネット &gt; アプリケーション &gt; マルチメディアタイトル</t>
  </si>
  <si>
    <t>0,25464,25864,25870,2084020052</t>
  </si>
  <si>
    <t>オークション &gt; 家電、AV、カメラ &gt; カメラ、光学機器 &gt; アクセサリー &gt; 露出計</t>
  </si>
  <si>
    <t>たれパンダ</t>
  </si>
  <si>
    <t>暗室関連用品</t>
  </si>
  <si>
    <t>ユーティリティー</t>
  </si>
  <si>
    <t>オークション &gt; おもちゃ、ゲーム &gt; 人形、キャラクタードール &gt; キャラクタードール &gt; たれパンダ</t>
  </si>
  <si>
    <t>オークション &gt; 家電、AV、カメラ &gt; カメラ、光学機器 &gt; アクセサリー &gt; 暗室関連用品</t>
  </si>
  <si>
    <t>オークション &gt; 本、雑誌 &gt; コンピュータとインターネット &gt; アプリケーション &gt; ユーティリティー</t>
  </si>
  <si>
    <t>0,25464,25864,25870,2084020034</t>
  </si>
  <si>
    <t>オークション &gt; 家電、AV、カメラ &gt; カメラ、光学機器 &gt; アクセサリー &gt; その他</t>
  </si>
  <si>
    <t>レンダリング</t>
  </si>
  <si>
    <t>オークション &gt; おもちゃ、ゲーム &gt; 人形、キャラクタードール &gt; キャラクタードール &gt; となりのトトロ</t>
  </si>
  <si>
    <t>オークション &gt; 本、雑誌 &gt; コンピュータとインターネット &gt; アプリケーション &gt; レンダリング</t>
  </si>
  <si>
    <t>0,25464,25864,25870,2084020035</t>
  </si>
  <si>
    <t>音楽編集、DTM</t>
  </si>
  <si>
    <t>どこでもいっしょ</t>
  </si>
  <si>
    <t>オークション &gt; 本、雑誌 &gt; コンピュータとインターネット &gt; アプリケーション &gt; 音楽編集、DTM</t>
  </si>
  <si>
    <t>オークション &gt; おもちゃ、ゲーム &gt; 人形、キャラクタードール &gt; キャラクタードール &gt; どこでもいっしょ</t>
  </si>
  <si>
    <t>0,25464,25864,25870,2084020061</t>
  </si>
  <si>
    <t>情報管理、PIM</t>
  </si>
  <si>
    <t>オークション &gt; 本、雑誌 &gt; コンピュータとインターネット &gt; アプリケーション &gt; 情報管理、PIM</t>
  </si>
  <si>
    <t>ひとまねこざる</t>
  </si>
  <si>
    <t>オークション &gt; おもちゃ、ゲーム &gt; 人形、キャラクタードール &gt; キャラクタードール &gt; ひとまねこざる</t>
  </si>
  <si>
    <t>0,25464,25864,25870,2084020056</t>
  </si>
  <si>
    <t>統合型ソフト</t>
  </si>
  <si>
    <t>オークション &gt; 本、雑誌 &gt; コンピュータとインターネット &gt; アプリケーション &gt; 統合型ソフト</t>
  </si>
  <si>
    <t>オークション &gt; おもちゃ、ゲーム &gt; 人形、キャラクタードール &gt; キャラクタードール &gt; アンパンマン</t>
  </si>
  <si>
    <t>0,25464,25864,25870,2084020050</t>
  </si>
  <si>
    <t>オークション &gt; 本、雑誌 &gt; コンピュータとインターネット &gt; アプリケーション &gt; その他</t>
  </si>
  <si>
    <t>ウッドペッカー</t>
  </si>
  <si>
    <t>オークション &gt; おもちゃ、ゲーム &gt; 人形、キャラクタードール &gt; キャラクタードール &gt; ウッドペッカー</t>
  </si>
  <si>
    <t>0,25464,25864,25870,2084020042</t>
  </si>
  <si>
    <t>DBグループウェア</t>
  </si>
  <si>
    <t>オークション &gt; 本、雑誌 &gt; コンピュータとインターネット &gt; インターネット、通信 &gt; DBグループウェア</t>
  </si>
  <si>
    <t>オバケのＱ太郎</t>
  </si>
  <si>
    <t>オークション &gt; おもちゃ、ゲーム &gt; 人形、キャラクタードール &gt; キャラクタードール &gt; オバケのＱ太郎</t>
  </si>
  <si>
    <t>0,25464,25864,25870,2084020047</t>
  </si>
  <si>
    <t>JAVA</t>
  </si>
  <si>
    <t>オークション &gt; 本、雑誌 &gt; コンピュータとインターネット &gt; インターネット、通信 &gt; JAVA</t>
  </si>
  <si>
    <t>オークション &gt; 家電、AV、カメラ &gt; カメラ、光学機器 &gt; 双眼鏡 &gt; オリンパス</t>
  </si>
  <si>
    <t>ガーフィールド</t>
  </si>
  <si>
    <t>インターネットサーバー</t>
  </si>
  <si>
    <t>オークション &gt; おもちゃ、ゲーム &gt; 人形、キャラクタードール &gt; キャラクタードール &gt; ガーフィールド</t>
  </si>
  <si>
    <t>オークション &gt; 本、雑誌 &gt; コンピュータとインターネット &gt; インターネット、通信 &gt; インターネットサーバー</t>
  </si>
  <si>
    <t>0,25464,25864,25870,2084020036</t>
  </si>
  <si>
    <t>カールツァイス</t>
  </si>
  <si>
    <t>オークション &gt; 家電、AV、カメラ &gt; カメラ、光学機器 &gt; 双眼鏡 &gt; カールツァイス</t>
  </si>
  <si>
    <t>ネットワークシステム</t>
  </si>
  <si>
    <t>オークション &gt; 本、雑誌 &gt; コンピュータとインターネット &gt; インターネット、通信 &gt; ネットワークシステム</t>
  </si>
  <si>
    <t>キャスパー</t>
  </si>
  <si>
    <t>オークション &gt; おもちゃ、ゲーム &gt; 人形、キャラクタードール &gt; キャラクタードール &gt; キャスパー</t>
  </si>
  <si>
    <t>パソコン通信、通信ソフト</t>
  </si>
  <si>
    <t>オークション &gt; 家電、AV、カメラ &gt; カメラ、光学機器 &gt; 双眼鏡 &gt; キヤノン</t>
  </si>
  <si>
    <t>0,25464,25864,25870,2084020037</t>
  </si>
  <si>
    <t>オークション &gt; 本、雑誌 &gt; コンピュータとインターネット &gt; インターネット、通信 &gt; パソコン通信、通信ソフト</t>
  </si>
  <si>
    <t>ケンコー</t>
  </si>
  <si>
    <t>キューピー</t>
  </si>
  <si>
    <t>ブラウザ、メーラー</t>
  </si>
  <si>
    <t>オークション &gt; 家電、AV、カメラ &gt; カメラ、光学機器 &gt; 双眼鏡 &gt; ケンコー</t>
  </si>
  <si>
    <t>オークション &gt; おもちゃ、ゲーム &gt; 人形、キャラクタードール &gt; キャラクタードール &gt; キューピー</t>
  </si>
  <si>
    <t>オークション &gt; 本、雑誌 &gt; コンピュータとインターネット &gt; インターネット、通信 &gt; ブラウザ、メーラー</t>
  </si>
  <si>
    <t>0,25464,25864,25870,2084020016</t>
  </si>
  <si>
    <t>ナシカ</t>
  </si>
  <si>
    <t>キューブリック、ベアブリック</t>
  </si>
  <si>
    <t>プロトコル</t>
  </si>
  <si>
    <t>オークション &gt; 家電、AV、カメラ &gt; カメラ、光学機器 &gt; 双眼鏡 &gt; ナシカ</t>
  </si>
  <si>
    <t>オークション &gt; おもちゃ、ゲーム &gt; 人形、キャラクタードール &gt; キャラクタードール &gt; キューブリック、ベアブリック</t>
  </si>
  <si>
    <t>オークション &gt; 本、雑誌 &gt; コンピュータとインターネット &gt; インターネット、通信 &gt; プロトコル</t>
  </si>
  <si>
    <t>0,25464,25864,25870,2084048015</t>
  </si>
  <si>
    <t>オークション &gt; 家電、AV、カメラ &gt; カメラ、光学機器 &gt; 双眼鏡 &gt; ニコン</t>
  </si>
  <si>
    <t>ホームページガイド</t>
  </si>
  <si>
    <t>オークション &gt; 本、雑誌 &gt; コンピュータとインターネット &gt; インターネット、通信 &gt; ホームページガイド</t>
  </si>
  <si>
    <t>グレムリン</t>
  </si>
  <si>
    <t>オークション &gt; おもちゃ、ゲーム &gt; 人形、キャラクタードール &gt; キャラクタードール &gt; グレムリン</t>
  </si>
  <si>
    <t>0,25464,25864,25870,2084020058</t>
  </si>
  <si>
    <t>ビクセン</t>
  </si>
  <si>
    <t>オークション &gt; 家電、AV、カメラ &gt; カメラ、光学機器 &gt; 双眼鏡 &gt; ビクセン</t>
  </si>
  <si>
    <t>ホームページ作成</t>
  </si>
  <si>
    <t>オークション &gt; 本、雑誌 &gt; コンピュータとインターネット &gt; インターネット、通信 &gt; ホームページ作成</t>
  </si>
  <si>
    <t>ケンケン</t>
  </si>
  <si>
    <t>オークション &gt; おもちゃ、ゲーム &gt; 人形、キャラクタードール &gt; キャラクタードール &gt; ケンケン</t>
  </si>
  <si>
    <t>オークション &gt; 家電、AV、カメラ &gt; カメラ、光学機器 &gt; 双眼鏡 &gt; ペンタックス</t>
  </si>
  <si>
    <t>0,25464,25864,25870,2084020043</t>
  </si>
  <si>
    <t>入門書</t>
  </si>
  <si>
    <t>オークション &gt; 本、雑誌 &gt; コンピュータとインターネット &gt; インターネット、通信 &gt; 入門書</t>
  </si>
  <si>
    <t>オークション &gt; 家電、AV、カメラ &gt; カメラ、光学機器 &gt; 双眼鏡 &gt; ライカ</t>
  </si>
  <si>
    <t>MCP、MOUS</t>
  </si>
  <si>
    <t>シルバニアファミリー</t>
  </si>
  <si>
    <t>オークション &gt; 本、雑誌 &gt; コンピュータとインターネット &gt; コンピュータ資格試験 &gt; MCP、MOUS</t>
  </si>
  <si>
    <t>オークション &gt; おもちゃ、ゲーム &gt; 人形、キャラクタードール &gt; キャラクタードール &gt; シルバニアファミリー</t>
  </si>
  <si>
    <t>0,25464,25864,25870,2084005261</t>
  </si>
  <si>
    <t>オペラグラス</t>
  </si>
  <si>
    <t>オークション &gt; 家電、AV、カメラ &gt; カメラ、光学機器 &gt; 双眼鏡 &gt; オペラグラス</t>
  </si>
  <si>
    <t>システムアドミニストレーター</t>
  </si>
  <si>
    <t>オークション &gt; 本、雑誌 &gt; コンピュータとインターネット &gt; コンピュータ資格試験 &gt; システムアドミニストレーター</t>
  </si>
  <si>
    <t>スノーマン</t>
  </si>
  <si>
    <t>オークション &gt; おもちゃ、ゲーム &gt; 人形、キャラクタードール &gt; キャラクタードール &gt; スノーマン</t>
  </si>
  <si>
    <t>0,25464,25864,25870,2084020051</t>
  </si>
  <si>
    <t>単眼鏡</t>
  </si>
  <si>
    <t>オークション &gt; 家電、AV、カメラ &gt; カメラ、光学機器 &gt; 双眼鏡 &gt; 単眼鏡</t>
  </si>
  <si>
    <t>情報処理技術者試験</t>
  </si>
  <si>
    <t>オークション &gt; 本、雑誌 &gt; コンピュータとインターネット &gt; コンピュータ資格試験 &gt; 情報処理技術者試験</t>
  </si>
  <si>
    <t>スマーフ</t>
  </si>
  <si>
    <t>オークション &gt; おもちゃ、ゲーム &gt; 人形、キャラクタードール &gt; キャラクタードール &gt; スマーフ</t>
  </si>
  <si>
    <t>0,25464,25864,25870,2084034100</t>
  </si>
  <si>
    <t>オークション &gt; 家電、AV、カメラ &gt; カメラ、光学機器 &gt; 双眼鏡 &gt; その他</t>
  </si>
  <si>
    <t>オークション &gt; 本、雑誌 &gt; コンピュータとインターネット &gt; コンピュータ資格試験 &gt; その他</t>
  </si>
  <si>
    <t>セサミストリート</t>
  </si>
  <si>
    <t>オークション &gt; おもちゃ、ゲーム &gt; 人形、キャラクタードール &gt; キャラクタードール &gt; セサミストリート</t>
  </si>
  <si>
    <t>3D</t>
  </si>
  <si>
    <t>ドローン本体</t>
  </si>
  <si>
    <t>0,25464,25864,25870,2084020044</t>
  </si>
  <si>
    <t>オークション &gt; 本、雑誌 &gt; コンピュータとインターネット &gt; デジタルクリエイト &gt; 3D</t>
  </si>
  <si>
    <t>オークション &gt; おもちゃ、ゲーム &gt; ホビーラジコン &gt; ドローン &gt; ドローン本体</t>
  </si>
  <si>
    <t>ダッコちゃん</t>
  </si>
  <si>
    <t>パーツ、アクセサリー</t>
  </si>
  <si>
    <t>オークション &gt; おもちゃ、ゲーム &gt; 人形、キャラクタードール &gt; キャラクタードール &gt; ダッコちゃん</t>
  </si>
  <si>
    <t>オークション &gt; おもちゃ、ゲーム &gt; ホビーラジコン &gt; ドローン &gt; パーツ、アクセサリー</t>
  </si>
  <si>
    <t>オークション &gt; 本、雑誌 &gt; コンピュータとインターネット &gt; デジタルクリエイト &gt; CAD</t>
  </si>
  <si>
    <t>0,25464,25864,25870,2084040586</t>
  </si>
  <si>
    <t>テレタビーズ</t>
  </si>
  <si>
    <t>オークション &gt; 家電、AV、カメラ &gt; カメラ、光学機器 &gt; 望遠鏡 &gt; セット</t>
  </si>
  <si>
    <t>オークション &gt; おもちゃ、ゲーム &gt; 人形、キャラクタードール &gt; キャラクタードール &gt; テレタビーズ</t>
  </si>
  <si>
    <t>0,25464,25864,25870,2084020045</t>
  </si>
  <si>
    <t>オークション &gt; 本、雑誌 &gt; コンピュータとインターネット &gt; デジタルクリエイト &gt; DTP、フォント</t>
  </si>
  <si>
    <t>部品</t>
  </si>
  <si>
    <t>オークション &gt; 家電、AV、カメラ &gt; カメラ、光学機器 &gt; 望遠鏡 &gt; 部品</t>
  </si>
  <si>
    <t>DTV、デジタルビデオ</t>
  </si>
  <si>
    <t>オークション &gt; おもちゃ、ゲーム &gt; 人形、キャラクタードール &gt; キャラクタードール &gt; ディズニー</t>
  </si>
  <si>
    <t>0,25464,25864,25870,27587</t>
  </si>
  <si>
    <t>オークション &gt; 本、雑誌 &gt; コンピュータとインターネット &gt; デジタルクリエイト &gt; DTV、デジタルビデオ</t>
  </si>
  <si>
    <t>オークション &gt; 家電、AV、カメラ &gt; カメラ、光学機器 &gt; 望遠鏡 &gt; その他</t>
  </si>
  <si>
    <t>トッポジージョ</t>
  </si>
  <si>
    <t>オークション &gt; おもちゃ、ゲーム &gt; 人形、キャラクタードール &gt; キャラクタードール &gt; トッポジージョ</t>
  </si>
  <si>
    <t>0,25464,25864,25870,2084020046</t>
  </si>
  <si>
    <t>オークション &gt; 本、雑誌 &gt; コンピュータとインターネット &gt; デジタルクリエイト &gt; フォトレタッチ</t>
  </si>
  <si>
    <t>トム&amp;ジェリー</t>
  </si>
  <si>
    <t>オークション &gt; おもちゃ、ゲーム &gt; 人形、キャラクタードール &gt; キャラクタードール &gt; トム&amp;ジェリー</t>
  </si>
  <si>
    <t>0,25464,25864,25870,2084020041</t>
  </si>
  <si>
    <t>オークション &gt; 本、雑誌 &gt; コンピュータとインターネット &gt; デジタルクリエイト &gt; ペイント、ドロー</t>
  </si>
  <si>
    <t>オークション &gt; おもちゃ、ゲーム &gt; 人形、キャラクタードール &gt; キャラクタードール &gt; ドラえもん</t>
  </si>
  <si>
    <t>0,25464,25864,25870,2084020048</t>
  </si>
  <si>
    <t>オークション &gt; 本、雑誌 &gt; コンピュータとインターネット &gt; デジタルクリエイト &gt; 音楽編集、DTM</t>
  </si>
  <si>
    <t>オークション &gt; おもちゃ、ゲーム &gt; 人形、キャラクタードール &gt; キャラクタードール &gt; ハローキティ</t>
  </si>
  <si>
    <t>0,25464,25864,25870,2084020033</t>
  </si>
  <si>
    <t>オークション &gt; 本、雑誌 &gt; コンピュータとインターネット &gt; デジタルクリエイト &gt; その他</t>
  </si>
  <si>
    <t>バーバパパ</t>
  </si>
  <si>
    <t>オークション &gt; おもちゃ、ゲーム &gt; 人形、キャラクタードール &gt; キャラクタードール &gt; バーバパパ</t>
  </si>
  <si>
    <t>0,25464,25864,25870,2084020057</t>
  </si>
  <si>
    <t>オークション &gt; 本、雑誌 &gt; コンピュータとインターネット &gt; ハードウエア &gt; CPU</t>
  </si>
  <si>
    <t>ピーターラビット</t>
  </si>
  <si>
    <t>オークション &gt; おもちゃ、ゲーム &gt; 人形、キャラクタードール &gt; キャラクタードール &gt; ピーターラビット</t>
  </si>
  <si>
    <t>iPhone</t>
  </si>
  <si>
    <t>0,25464,25864,25870,2084020053</t>
  </si>
  <si>
    <t>オークション &gt; 本、雑誌 &gt; コンピュータとインターネット &gt; ハードウエア &gt; iPhone</t>
  </si>
  <si>
    <t>オークション &gt; 家電、AV、カメラ &gt; 携帯電話、スマートフォン &gt; 携帯電話本体 &gt; NTTドコモ</t>
  </si>
  <si>
    <t>ピーナッツ、スヌーピー</t>
  </si>
  <si>
    <t>iモード、携帯</t>
  </si>
  <si>
    <t>オークション &gt; おもちゃ、ゲーム &gt; 人形、キャラクタードール &gt; キャラクタードール &gt; ピーナッツ、スヌーピー</t>
  </si>
  <si>
    <t>オークション &gt; 本、雑誌 &gt; コンピュータとインターネット &gt; ハードウエア &gt; iモード、携帯</t>
  </si>
  <si>
    <t>オークション &gt; 家電、AV、カメラ &gt; 携帯電話、スマートフォン &gt; 携帯電話本体 &gt; au</t>
  </si>
  <si>
    <t>0,25464,25864,25870,25966</t>
  </si>
  <si>
    <t>デジカメ、画像処理</t>
  </si>
  <si>
    <t>オークション &gt; 本、雑誌 &gt; コンピュータとインターネット &gt; ハードウエア &gt; デジカメ、画像処理</t>
  </si>
  <si>
    <t>ピンクパンサー</t>
  </si>
  <si>
    <t>オークション &gt; 家電、AV、カメラ &gt; 携帯電話、スマートフォン &gt; 携帯電話本体 &gt; ソフトバンク</t>
  </si>
  <si>
    <t>オークション &gt; おもちゃ、ゲーム &gt; 人形、キャラクタードール &gt; キャラクタードール &gt; ピンクパンサー</t>
  </si>
  <si>
    <t>0,25464,25864,25870,2084020040</t>
  </si>
  <si>
    <t>ピングー</t>
  </si>
  <si>
    <t>オークション &gt; 家電、AV、カメラ &gt; 携帯電話、スマートフォン &gt; 携帯電話本体 &gt; ワイモバイル</t>
  </si>
  <si>
    <t>パソコン</t>
  </si>
  <si>
    <t>オークション &gt; おもちゃ、ゲーム &gt; 人形、キャラクタードール &gt; キャラクタードール &gt; ピングー</t>
  </si>
  <si>
    <t>オークション &gt; 本、雑誌 &gt; コンピュータとインターネット &gt; ハードウエア &gt; パソコン</t>
  </si>
  <si>
    <t>0,25464,25864,25870,2084020039</t>
  </si>
  <si>
    <t>ウィルコム</t>
  </si>
  <si>
    <t>オークション &gt; 家電、AV、カメラ &gt; 携帯電話、スマートフォン &gt; 携帯電話本体 &gt; ウィルコム</t>
  </si>
  <si>
    <t>ファーファ</t>
  </si>
  <si>
    <t>オークション &gt; おもちゃ、ゲーム &gt; 人形、キャラクタードール &gt; キャラクタードール &gt; ファーファ</t>
  </si>
  <si>
    <t>モバイル機器</t>
  </si>
  <si>
    <t>0,25464,25864,25870,2084020059</t>
  </si>
  <si>
    <t>オークション &gt; 本、雑誌 &gt; コンピュータとインターネット &gt; ハードウエア &gt; モバイル機器</t>
  </si>
  <si>
    <t>海外用携帯</t>
  </si>
  <si>
    <t>オークション &gt; 家電、AV、カメラ &gt; 携帯電話、スマートフォン &gt; 携帯電話本体 &gt; 海外用携帯</t>
  </si>
  <si>
    <t>ブライス</t>
  </si>
  <si>
    <t>オークション &gt; おもちゃ、ゲーム &gt; 人形、キャラクタードール &gt; キャラクタードール &gt; ブライス</t>
  </si>
  <si>
    <t>0,25464,25864,25870,2084046540</t>
  </si>
  <si>
    <t>周辺機器、記憶装置</t>
  </si>
  <si>
    <t>オークション &gt; 本、雑誌 &gt; コンピュータとインターネット &gt; ハードウエア &gt; 周辺機器、記憶装置</t>
  </si>
  <si>
    <t>スマートフォン本体</t>
  </si>
  <si>
    <t>プーリップ</t>
  </si>
  <si>
    <t>オークション &gt; 家電、AV、カメラ &gt; 携帯電話、スマートフォン &gt; 携帯電話本体 &gt; スマートフォン本体</t>
  </si>
  <si>
    <t>オークション &gt; おもちゃ、ゲーム &gt; 人形、キャラクタードール &gt; キャラクタードール &gt; プーリップ</t>
  </si>
  <si>
    <t>0,25464,25864,25870,2084049982</t>
  </si>
  <si>
    <t>Basic</t>
  </si>
  <si>
    <t>オークション &gt; おもちゃ、ゲーム &gt; 人形、キャラクタードール &gt; キャラクタードール &gt; ポケットモンスター</t>
  </si>
  <si>
    <t>オークション &gt; 本、雑誌 &gt; コンピュータとインターネット &gt; 言語 &gt; Basic</t>
  </si>
  <si>
    <t>オークション &gt; 家電、AV、カメラ &gt; 携帯電話、スマートフォン &gt; PHS本体 &gt; ワイモバイル</t>
  </si>
  <si>
    <t>0,25464,25864,25870,2084020060</t>
  </si>
  <si>
    <t>ポパイ</t>
  </si>
  <si>
    <t>オークション &gt; 家電、AV、カメラ &gt; 携帯電話、スマートフォン &gt; PHS本体 &gt; その他</t>
  </si>
  <si>
    <t>C/C＋＋</t>
  </si>
  <si>
    <t>オークション &gt; おもちゃ、ゲーム &gt; 人形、キャラクタードール &gt; キャラクタードール &gt; ポパイ</t>
  </si>
  <si>
    <t>オークション &gt; 本、雑誌 &gt; コンピュータとインターネット &gt; 言語 &gt; C/C＋＋</t>
  </si>
  <si>
    <t>0,25464,25864,25870,2084020038</t>
  </si>
  <si>
    <t>ACアダプタ式充電器</t>
  </si>
  <si>
    <t>オークション &gt; 家電、AV、カメラ &gt; 携帯電話、スマートフォン &gt; バッテリー、充電器 &gt; ACアダプタ式充電器</t>
  </si>
  <si>
    <t>COBOL</t>
  </si>
  <si>
    <t>ミッフィー</t>
  </si>
  <si>
    <t>オークション &gt; 本、雑誌 &gt; コンピュータとインターネット &gt; 言語 &gt; COBOL</t>
  </si>
  <si>
    <t>オークション &gt; おもちゃ、ゲーム &gt; 人形、キャラクタードール &gt; キャラクタードール &gt; ミッフィー</t>
  </si>
  <si>
    <t>0,25464,25864,25870,2084020054</t>
  </si>
  <si>
    <t>USB式充電器</t>
  </si>
  <si>
    <t>オークション &gt; 家電、AV、カメラ &gt; 携帯電話、スマートフォン &gt; バッテリー、充電器 &gt; USB式充電器</t>
  </si>
  <si>
    <t>Delphi</t>
  </si>
  <si>
    <t>オークション &gt; 本、雑誌 &gt; コンピュータとインターネット &gt; 言語 &gt; Delphi</t>
  </si>
  <si>
    <t>オークション &gt; おもちゃ、ゲーム &gt; 人形、キャラクタードール &gt; キャラクタードール &gt; ムーミン</t>
  </si>
  <si>
    <t>0,25464,25864,25870,2084020049</t>
  </si>
  <si>
    <t>シガーソケット式充電器</t>
  </si>
  <si>
    <t>オークション &gt; 家電、AV、カメラ &gt; 携帯電話、スマートフォン &gt; バッテリー、充電器 &gt; シガーソケット式充電器</t>
  </si>
  <si>
    <t>FORTRAN</t>
  </si>
  <si>
    <t>オークション &gt; 本、雑誌 &gt; コンピュータとインターネット &gt; 言語 &gt; FORTRAN</t>
  </si>
  <si>
    <t>オークション &gt; おもちゃ、ゲーム &gt; 人形、キャラクタードール &gt; キャラクタードール &gt; その他</t>
  </si>
  <si>
    <t>ソーラー式充電器</t>
  </si>
  <si>
    <t>0,25464,25864,25870,2084020062</t>
  </si>
  <si>
    <t>オークション &gt; 家電、AV、カメラ &gt; 携帯電話、スマートフォン &gt; バッテリー、充電器 &gt; ソーラー式充電器</t>
  </si>
  <si>
    <t>オークション &gt; 本、雑誌 &gt; コンピュータとインターネット &gt; 言語 &gt; JAVA</t>
  </si>
  <si>
    <t>完成品</t>
  </si>
  <si>
    <t>電池パック</t>
  </si>
  <si>
    <t>オークション &gt; おもちゃ、ゲーム &gt; プラモデル &gt; キャラクター &gt; ガンダム &gt; 完成品</t>
  </si>
  <si>
    <t>オークション &gt; 家電、AV、カメラ &gt; 携帯電話、スマートフォン &gt; バッテリー、充電器 &gt; 電池パック</t>
  </si>
  <si>
    <t>0,25464,2084250263,2084250334,2084250335,2084250374</t>
  </si>
  <si>
    <t>Visual Basic</t>
  </si>
  <si>
    <t>オークション &gt; 本、雑誌 &gt; コンピュータとインターネット &gt; 言語 &gt; Visual Basic</t>
  </si>
  <si>
    <t>機動戦士ガンダム</t>
  </si>
  <si>
    <t>電池式充電器</t>
  </si>
  <si>
    <t>オークション &gt; おもちゃ、ゲーム &gt; プラモデル &gt; キャラクター &gt; ガンダム &gt; 機動戦士ガンダム</t>
  </si>
  <si>
    <t>オークション &gt; 家電、AV、カメラ &gt; 携帯電話、スマートフォン &gt; バッテリー、充電器 &gt; 電池式充電器</t>
  </si>
  <si>
    <t>0,25464,2084250263,2084250334,2084250335,2084250336</t>
  </si>
  <si>
    <t>visual C＋＋</t>
  </si>
  <si>
    <t>オークション &gt; 本、雑誌 &gt; コンピュータとインターネット &gt; 言語 &gt; visual C＋＋</t>
  </si>
  <si>
    <t>機動戦士Zガンダム</t>
  </si>
  <si>
    <t>オークション &gt; おもちゃ、ゲーム &gt; プラモデル &gt; キャラクター &gt; ガンダム &gt; 機動戦士Zガンダム</t>
  </si>
  <si>
    <t>オークション &gt; 家電、AV、カメラ &gt; 携帯電話、スマートフォン &gt; バッテリー、充電器 &gt; その他</t>
  </si>
  <si>
    <t>0,25464,2084250263,2084250334,2084250335,2084250337</t>
  </si>
  <si>
    <t>アセンブラ</t>
  </si>
  <si>
    <t>オークション &gt; 本、雑誌 &gt; コンピュータとインターネット &gt; 言語 &gt; アセンブラ</t>
  </si>
  <si>
    <t>ストラップ</t>
  </si>
  <si>
    <t>機動戦士ガンダムZZ</t>
  </si>
  <si>
    <t>オークション &gt; 家電、AV、カメラ &gt; 携帯電話、スマートフォン &gt; アクセサリー &gt; ストラップ</t>
  </si>
  <si>
    <t>オークション &gt; おもちゃ、ゲーム &gt; プラモデル &gt; キャラクター &gt; ガンダム &gt; 機動戦士ガンダムZZ</t>
  </si>
  <si>
    <t>0,25464,2084250263,2084250334,2084250335,2084250338</t>
  </si>
  <si>
    <t>ケース</t>
  </si>
  <si>
    <t>オークション &gt; 本、雑誌 &gt; コンピュータとインターネット &gt; 言語 &gt; その他</t>
  </si>
  <si>
    <t>オークション &gt; 家電、AV、カメラ &gt; 携帯電話、スマートフォン &gt; アクセサリー &gt; ケース</t>
  </si>
  <si>
    <t>機動戦士ガンダムSEED</t>
  </si>
  <si>
    <t>オークション &gt; おもちゃ、ゲーム &gt; プラモデル &gt; キャラクター &gt; ガンダム &gt; 機動戦士ガンダムSEED</t>
  </si>
  <si>
    <t>0,25464,2084250263,2084250334,2084250335,2084250339</t>
  </si>
  <si>
    <t>パソコン一般</t>
  </si>
  <si>
    <t>iPhone用ケース</t>
  </si>
  <si>
    <t>オークション &gt; 本、雑誌 &gt; 雑誌 &gt; コンピュータとインターネット &gt; パソコン一般</t>
  </si>
  <si>
    <t>オークション &gt; 家電、AV、カメラ &gt; 携帯電話、スマートフォン &gt; アクセサリー &gt; iPhone用ケース</t>
  </si>
  <si>
    <t>機動戦士ガンダムSEEDデスティニー</t>
  </si>
  <si>
    <t>オークション &gt; おもちゃ、ゲーム &gt; プラモデル &gt; キャラクター &gt; ガンダム &gt; 機動戦士ガンダムSEEDデスティニー</t>
  </si>
  <si>
    <t>0,25464,2084250263,2084250334,2084250335,2084250340</t>
  </si>
  <si>
    <t>Mac関連誌</t>
  </si>
  <si>
    <t>オークション &gt; 家電、AV、カメラ &gt; 携帯電話、スマートフォン &gt; アクセサリー &gt; カスタム用ジャケット</t>
  </si>
  <si>
    <t>オークション &gt; 本、雑誌 &gt; 雑誌 &gt; コンピュータとインターネット &gt; Mac関連誌</t>
  </si>
  <si>
    <t>SDガンダムBB戦士</t>
  </si>
  <si>
    <t>オークション &gt; おもちゃ、ゲーム &gt; プラモデル &gt; キャラクター &gt; ガンダム &gt; SDガンダムBB戦士</t>
  </si>
  <si>
    <t>ハンズフリーキット</t>
  </si>
  <si>
    <t>Windows関連誌</t>
  </si>
  <si>
    <t>0,25464,2084250263,2084250334,2084250335,2084250343</t>
  </si>
  <si>
    <t>オークション &gt; 家電、AV、カメラ &gt; 携帯電話、スマートフォン &gt; アクセサリー &gt; ハンズフリーキット</t>
  </si>
  <si>
    <t>オークション &gt; 本、雑誌 &gt; 雑誌 &gt; コンピュータとインターネット &gt; Windows関連誌</t>
  </si>
  <si>
    <t>機動戦士ガンダムAGE</t>
  </si>
  <si>
    <t>microSDHCカード</t>
  </si>
  <si>
    <t>インターネット、通信</t>
  </si>
  <si>
    <t>オークション &gt; おもちゃ、ゲーム &gt; プラモデル &gt; キャラクター &gt; ガンダム &gt; 機動戦士ガンダムAGE</t>
  </si>
  <si>
    <t>オークション &gt; 家電、AV、カメラ &gt; 携帯電話、スマートフォン &gt; アクセサリー &gt; microSDHCカード</t>
  </si>
  <si>
    <t>オークション &gt; 本、雑誌 &gt; 雑誌 &gt; コンピュータとインターネット &gt; インターネット、通信</t>
  </si>
  <si>
    <t>0,25464,2084250263,2084250334,2084250335,2084310498</t>
  </si>
  <si>
    <t>microSDカード</t>
  </si>
  <si>
    <t>オークション &gt; 家電、AV、カメラ &gt; 携帯電話、スマートフォン &gt; アクセサリー &gt; microSDカード</t>
  </si>
  <si>
    <t>コンピュータミュージック、DTM</t>
  </si>
  <si>
    <t>機動戦士ガンダムOO（ダブルオー）</t>
  </si>
  <si>
    <t>オークション &gt; 本、雑誌 &gt; 雑誌 &gt; コンピュータとインターネット &gt; コンピュータミュージック、DTM</t>
  </si>
  <si>
    <t>オークション &gt; おもちゃ、ゲーム &gt; プラモデル &gt; キャラクター &gt; ガンダム &gt; 機動戦士ガンダムOO（ダブルオー）</t>
  </si>
  <si>
    <t>0,25464,2084250263,2084250334,2084250335,2084250341</t>
  </si>
  <si>
    <t>オークション &gt; 家電、AV、カメラ &gt; 携帯電話、スマートフォン &gt; アクセサリー &gt; アンテナ</t>
  </si>
  <si>
    <t>パソコンゲーム</t>
  </si>
  <si>
    <t>機動戦士ガンダムUC（ユニコーン）</t>
  </si>
  <si>
    <t>オークション &gt; 本、雑誌 &gt; 雑誌 &gt; コンピュータとインターネット &gt; パソコンゲーム</t>
  </si>
  <si>
    <t>オークション &gt; おもちゃ、ゲーム &gt; プラモデル &gt; キャラクター &gt; ガンダム &gt; 機動戦士ガンダムUC（ユニコーン）</t>
  </si>
  <si>
    <t>0,25464,2084250263,2084250334,2084250335,2084250342</t>
  </si>
  <si>
    <t>保護フィルム、シール</t>
  </si>
  <si>
    <t>オークション &gt; 家電、AV、カメラ &gt; 携帯電話、スマートフォン &gt; アクセサリー &gt; 保護フィルム、シール</t>
  </si>
  <si>
    <t>オークション &gt; おもちゃ、ゲーム &gt; プラモデル &gt; キャラクター &gt; ガンダム &gt; その他</t>
  </si>
  <si>
    <t>0,25464,2084250263,2084250334,2084250335,2084250344</t>
  </si>
  <si>
    <t>オークション &gt; 家電、AV、カメラ &gt; 携帯電話、スマートフォン &gt; アクセサリー &gt; その他</t>
  </si>
  <si>
    <t>タイトル別</t>
  </si>
  <si>
    <t>オークション &gt; 本、雑誌 &gt; 漫画、コミック &gt; 同人誌 &gt; タイトル別</t>
  </si>
  <si>
    <t>Apple</t>
  </si>
  <si>
    <t>0,21600,21636,2084005146,2084040627</t>
  </si>
  <si>
    <t>オークション &gt; コンピュータ &gt; タブレット &gt; Apple</t>
  </si>
  <si>
    <t>創作、オリジナル</t>
  </si>
  <si>
    <t>アンドロイド</t>
  </si>
  <si>
    <t>オークション &gt; コンピュータ &gt; タブレット &gt; アンドロイド</t>
  </si>
  <si>
    <t>オークション &gt; 本、雑誌 &gt; 漫画、コミック &gt; 同人誌 &gt; 創作、オリジナル</t>
  </si>
  <si>
    <t>0,21600,21636,2084005146,2084007071</t>
  </si>
  <si>
    <t>Windows</t>
  </si>
  <si>
    <t>オークション &gt; コンピュータ &gt; タブレット &gt; Windows</t>
  </si>
  <si>
    <t>イラスト集、原画集</t>
  </si>
  <si>
    <t>オークション &gt; 本、雑誌 &gt; 漫画、コミック &gt; 同人誌 &gt; イラスト集、原画集</t>
  </si>
  <si>
    <t>0,21600,21636,2084005146,2084051217</t>
  </si>
  <si>
    <t>電子ブックリーダー</t>
  </si>
  <si>
    <t>オークション &gt; コンピュータ &gt; タブレット &gt; 電子ブックリーダー</t>
  </si>
  <si>
    <t>児童コミック誌</t>
  </si>
  <si>
    <t>オークション &gt; 本、雑誌 &gt; 雑誌 &gt; 漫画､コミック &gt; 児童コミック誌</t>
  </si>
  <si>
    <t>0,21600,21884,2084008144,2084008145</t>
  </si>
  <si>
    <t>女性コミック誌</t>
  </si>
  <si>
    <t>オークション &gt; 本、雑誌 &gt; 雑誌 &gt; 漫画､コミック &gt; 女性コミック誌</t>
  </si>
  <si>
    <t>0,21600,21884,2084008144,2084008146</t>
  </si>
  <si>
    <t>男性コミック誌</t>
  </si>
  <si>
    <t>オークション &gt; 本、雑誌 &gt; 雑誌 &gt; 漫画､コミック &gt; 男性コミック誌</t>
  </si>
  <si>
    <t>0,21600,21884,2084008144,2084008149</t>
  </si>
  <si>
    <t>オークション &gt; 映画、ビデオ &gt; DVD &gt; アニメ &gt; 日本 &gt; あ行</t>
  </si>
  <si>
    <t>0,21964,21968,21976,2084057188,2084202916</t>
  </si>
  <si>
    <t>コーヒーメーカー一般</t>
  </si>
  <si>
    <t>オークション &gt; 家電、AV、カメラ &gt; キッチン、食卓 &gt; コーヒーメーカー &gt; コーヒーメーカー一般</t>
  </si>
  <si>
    <t>エスプレッソマシン</t>
  </si>
  <si>
    <t>オークション &gt; 映画、ビデオ &gt; DVD &gt; アニメ &gt; 日本 &gt; か行</t>
  </si>
  <si>
    <t>オークション &gt; 家電、AV、カメラ &gt; キッチン、食卓 &gt; コーヒーメーカー &gt; エスプレッソマシン</t>
  </si>
  <si>
    <t>0,21964,21968,21976,2084057188,2084202917</t>
  </si>
  <si>
    <t>手動式コーヒーミル</t>
  </si>
  <si>
    <t>オークション &gt; 家電、AV、カメラ &gt; キッチン、食卓 &gt; コーヒーメーカー &gt; 手動式コーヒーミル</t>
  </si>
  <si>
    <t>オークション &gt; 映画、ビデオ &gt; DVD &gt; アニメ &gt; 日本 &gt; さ行</t>
  </si>
  <si>
    <t>電動式コーヒーミル</t>
  </si>
  <si>
    <t>0,21964,21968,21976,2084057188,2084202918</t>
  </si>
  <si>
    <t>オークション &gt; 家電、AV、カメラ &gt; キッチン、食卓 &gt; コーヒーメーカー &gt; 電動式コーヒーミル</t>
  </si>
  <si>
    <t>オークション &gt; 映画、ビデオ &gt; DVD &gt; アニメ &gt; 日本 &gt; た行</t>
  </si>
  <si>
    <t>オークション &gt; 家電、AV、カメラ &gt; キッチン、食卓 &gt; コーヒーメーカー &gt; その他</t>
  </si>
  <si>
    <t>0,21964,21968,21976,2084057188,2084202919</t>
  </si>
  <si>
    <t>ロック、ポップス</t>
  </si>
  <si>
    <t>オークション &gt; 音楽 &gt; CD &gt; ジャパニーズポップス &gt; ロック、ポップス</t>
  </si>
  <si>
    <t>ジューサー</t>
  </si>
  <si>
    <t>オークション &gt; 家電、AV、カメラ &gt; キッチン、食卓 &gt; ジューサー、ミキサー &gt; ジューサー</t>
  </si>
  <si>
    <t>オークション &gt; 映画、ビデオ &gt; DVD &gt; アニメ &gt; 日本 &gt; な行</t>
  </si>
  <si>
    <t>ジューサー付きミキサー</t>
  </si>
  <si>
    <t>0,21964,21968,21976,2084057188,2084202920</t>
  </si>
  <si>
    <t>オークション &gt; 家電、AV、カメラ &gt; キッチン、食卓 &gt; ジューサー、ミキサー &gt; ジューサー付きミキサー</t>
  </si>
  <si>
    <t>インディーズ</t>
  </si>
  <si>
    <t>オークション &gt; 音楽 &gt; CD &gt; ジャパニーズポップス &gt; インディーズ</t>
  </si>
  <si>
    <t>ハンドミキサー</t>
  </si>
  <si>
    <t>オークション &gt; 映画、ビデオ &gt; DVD &gt; アニメ &gt; 日本 &gt; は行</t>
  </si>
  <si>
    <t>オークション &gt; 家電、AV、カメラ &gt; キッチン、食卓 &gt; ジューサー、ミキサー &gt; ハンドミキサー</t>
  </si>
  <si>
    <t>0,21964,21968,21976,2084057188,2084202921</t>
  </si>
  <si>
    <t>ミキサー</t>
  </si>
  <si>
    <t>オークション &gt; 家電、AV、カメラ &gt; キッチン、食卓 &gt; ジューサー、ミキサー &gt; ミキサー</t>
  </si>
  <si>
    <t>オークション &gt; 映画、ビデオ &gt; DVD &gt; アニメ &gt; 日本 &gt; ま行</t>
  </si>
  <si>
    <t>オークション &gt; 音楽 &gt; CD &gt; ジャパニーズポップス &gt; その他</t>
  </si>
  <si>
    <t>0,21964,21968,21976,2084057188,2084202922</t>
  </si>
  <si>
    <t>ミル付きミキサー</t>
  </si>
  <si>
    <t>ロック、ポップス一般</t>
  </si>
  <si>
    <t>オークション &gt; 家電、AV、カメラ &gt; キッチン、食卓 &gt; ジューサー、ミキサー &gt; ミル付きミキサー</t>
  </si>
  <si>
    <t>オークション &gt; 映画、ビデオ &gt; DVD &gt; アニメ &gt; 日本 &gt; や行</t>
  </si>
  <si>
    <t>オークション &gt; 音楽 &gt; CD &gt; ロック、ポップス（洋楽） &gt; ロック、ポップス一般</t>
  </si>
  <si>
    <t>0,21964,21968,21976,2084057188,2084202923</t>
  </si>
  <si>
    <t>オークション &gt; 家電、AV、カメラ &gt; キッチン、食卓 &gt; ジューサー、ミキサー &gt; その他</t>
  </si>
  <si>
    <t>ハードロック</t>
  </si>
  <si>
    <t>オークション &gt; 音楽 &gt; CD &gt; ロック、ポップス（洋楽） &gt; ハードロック</t>
  </si>
  <si>
    <t>オークション &gt; 映画、ビデオ &gt; DVD &gt; アニメ &gt; 日本 &gt; ら行</t>
  </si>
  <si>
    <t>0,21964,21968,21976,2084057188,2084202924</t>
  </si>
  <si>
    <t>たこ焼き器</t>
  </si>
  <si>
    <t>オークション &gt; 家電、AV、カメラ &gt; キッチン、食卓 &gt; ホットプレート、グリルパン &gt; たこ焼き器</t>
  </si>
  <si>
    <t>パンク</t>
  </si>
  <si>
    <t>オークション &gt; 音楽 &gt; CD &gt; ロック、ポップス（洋楽） &gt; パンク</t>
  </si>
  <si>
    <t>オークション &gt; 映画、ビデオ &gt; DVD &gt; アニメ &gt; 日本 &gt; わ行</t>
  </si>
  <si>
    <t>0,21964,21968,21976,2084057188,2084202925</t>
  </si>
  <si>
    <t>グリルパン、なべ</t>
  </si>
  <si>
    <t>オークション &gt; 家電、AV、カメラ &gt; キッチン、食卓 &gt; ホットプレート、グリルパン &gt; グリルパン、なべ</t>
  </si>
  <si>
    <t>プログレッシブロック</t>
  </si>
  <si>
    <t>オークション &gt; 音楽 &gt; CD &gt; ロック、ポップス（洋楽） &gt; プログレッシブロック</t>
  </si>
  <si>
    <t>オークション &gt; 映画、ビデオ &gt; ビデオテープ &gt; アニメ &gt; 日本 &gt; あ行</t>
  </si>
  <si>
    <t>0,21964,22072,22080,2084057185,2084216651</t>
  </si>
  <si>
    <t>サンドメーカー</t>
  </si>
  <si>
    <t>ポピュラーボーカル</t>
  </si>
  <si>
    <t>オークション &gt; 家電、AV、カメラ &gt; キッチン、食卓 &gt; ホットプレート、グリルパン &gt; サンドメーカー</t>
  </si>
  <si>
    <t>オークション &gt; 音楽 &gt; CD &gt; ロック、ポップス（洋楽） &gt; ポピュラーボーカル</t>
  </si>
  <si>
    <t>オークション &gt; 映画、ビデオ &gt; ビデオテープ &gt; アニメ &gt; 日本 &gt; か行</t>
  </si>
  <si>
    <t>0,21964,22072,22080,2084057185,2084216652</t>
  </si>
  <si>
    <t>ホットプレート</t>
  </si>
  <si>
    <t>オークション &gt; 家電、AV、カメラ &gt; キッチン、食卓 &gt; ホットプレート、グリルパン &gt; ホットプレート</t>
  </si>
  <si>
    <t>オークション &gt; 映画、ビデオ &gt; ビデオテープ &gt; アニメ &gt; 日本 &gt; さ行</t>
  </si>
  <si>
    <t>オークション &gt; 音楽 &gt; CD &gt; ロック、ポップス（洋楽） &gt; その他</t>
  </si>
  <si>
    <t>0,21964,22072,22080,2084057185,2084216653</t>
  </si>
  <si>
    <t>オークション &gt; 家電、AV、カメラ &gt; キッチン、食卓 &gt; ホットプレート、グリルパン &gt; その他</t>
  </si>
  <si>
    <t>SF、ファンタジー</t>
  </si>
  <si>
    <t>IH</t>
  </si>
  <si>
    <t>オークション &gt; 音楽 &gt; CD &gt; 映画音楽 &gt; SF、ファンタジー</t>
  </si>
  <si>
    <t>オークション &gt; 家電、AV、カメラ &gt; キッチン、食卓 &gt; レンジ、コンロ &gt; IH</t>
  </si>
  <si>
    <t>オークション &gt; 映画、ビデオ &gt; ビデオテープ &gt; アニメ &gt; 日本 &gt; た行</t>
  </si>
  <si>
    <t>0,21964,22072,22080,2084057185,2084216654</t>
  </si>
  <si>
    <t>カセットコンロ、卓上コンロ</t>
  </si>
  <si>
    <t>アクション、アドベンチャー</t>
  </si>
  <si>
    <t>オークション &gt; 映画、ビデオ &gt; ビデオテープ &gt; アニメ &gt; 日本 &gt; な行</t>
  </si>
  <si>
    <t>オークション &gt; 音楽 &gt; CD &gt; 映画音楽 &gt; アクション、アドベンチャー</t>
  </si>
  <si>
    <t>オークション &gt; 家電、AV、カメラ &gt; キッチン、食卓 &gt; レンジ、コンロ &gt; カセットコンロ、卓上コンロ</t>
  </si>
  <si>
    <t>0,21964,22072,22080,2084057185,2084216655</t>
  </si>
  <si>
    <t>ガス</t>
  </si>
  <si>
    <t>オークション &gt; 家電、AV、カメラ &gt; キッチン、食卓 &gt; レンジ、コンロ &gt; ガス</t>
  </si>
  <si>
    <t>アニメソング</t>
  </si>
  <si>
    <t>オークション &gt; 映画、ビデオ &gt; ビデオテープ &gt; アニメ &gt; 日本 &gt; は行</t>
  </si>
  <si>
    <t>0,21964,22072,22080,2084057185,2084216656</t>
  </si>
  <si>
    <t>オークション &gt; 音楽 &gt; CD &gt; 映画音楽 &gt; アニメソング</t>
  </si>
  <si>
    <t>オークション &gt; 家電、AV、カメラ &gt; キッチン、食卓 &gt; レンジ、コンロ &gt; その他</t>
  </si>
  <si>
    <t>オークション &gt; 映画、ビデオ &gt; ビデオテープ &gt; アニメ &gt; 日本 &gt; ま行</t>
  </si>
  <si>
    <t>コメディ</t>
  </si>
  <si>
    <t>食器洗い乾燥機</t>
  </si>
  <si>
    <t>0,21964,22072,22080,2084057185,2084216657</t>
  </si>
  <si>
    <t>オークション &gt; 家電、AV、カメラ &gt; キッチン、食卓 &gt; 食器洗い機、食器乾燥機 &gt; 食器洗い乾燥機</t>
  </si>
  <si>
    <t>オークション &gt; 音楽 &gt; CD &gt; 映画音楽 &gt; コメディ</t>
  </si>
  <si>
    <t>食器乾燥機</t>
  </si>
  <si>
    <t>オークション &gt; 映画、ビデオ &gt; ビデオテープ &gt; アニメ &gt; 日本 &gt; や行</t>
  </si>
  <si>
    <t>オークション &gt; 家電、AV、カメラ &gt; キッチン、食卓 &gt; 食器洗い機、食器乾燥機 &gt; 食器乾燥機</t>
  </si>
  <si>
    <t>0,21964,22072,22080,2084057185,2084216658</t>
  </si>
  <si>
    <t>サスペンス</t>
  </si>
  <si>
    <t>オークション &gt; 音楽 &gt; CD &gt; 映画音楽 &gt; サスペンス</t>
  </si>
  <si>
    <t>オークション &gt; 映画、ビデオ &gt; ビデオテープ &gt; アニメ &gt; 日本 &gt; ら行</t>
  </si>
  <si>
    <t>オークション &gt; 家電、AV、カメラ &gt; キッチン、食卓 &gt; 食器洗い機、食器乾燥機 &gt; その他</t>
  </si>
  <si>
    <t>0,21964,22072,22080,2084057185,2084216659</t>
  </si>
  <si>
    <t>圧力IH</t>
  </si>
  <si>
    <t>ドラマ</t>
  </si>
  <si>
    <t>オークション &gt; 家電、AV、カメラ &gt; キッチン、食卓 &gt; 炊飯器 &gt; 圧力IH</t>
  </si>
  <si>
    <t>オークション &gt; 音楽 &gt; CD &gt; 映画音楽 &gt; ドラマ</t>
  </si>
  <si>
    <t>オークション &gt; 映画、ビデオ &gt; ビデオテープ &gt; アニメ &gt; 日本 &gt; わ行</t>
  </si>
  <si>
    <t>0,21964,22072,22080,2084057185,2084216660</t>
  </si>
  <si>
    <t>オークション &gt; 家電、AV、カメラ &gt; キッチン、食卓 &gt; 炊飯器 &gt; IH</t>
  </si>
  <si>
    <t>ホラー</t>
  </si>
  <si>
    <t>オークション &gt; 音楽 &gt; CD &gt; 映画音楽 &gt; ホラー</t>
  </si>
  <si>
    <t>マイコン</t>
  </si>
  <si>
    <t>オークション &gt; 家電、AV、カメラ &gt; キッチン、食卓 &gt; 炊飯器 &gt; マイコン</t>
  </si>
  <si>
    <t>オークション &gt; アンティーク、コレクション &gt; トレーディングカード &gt; コミック、アニメーション &gt; 作品別 &gt; あ行</t>
  </si>
  <si>
    <t>0,20000,20992,21020,2084006032,2084034349</t>
  </si>
  <si>
    <t>オークション &gt; 家電、AV、カメラ &gt; キッチン、食卓 &gt; 炊飯器 &gt; その他</t>
  </si>
  <si>
    <t>オークション &gt; 音楽 &gt; CD &gt; 映画音楽 &gt; ミュージカル</t>
  </si>
  <si>
    <t>オークション &gt; アンティーク、コレクション &gt; トレーディングカード &gt; コミック、アニメーション &gt; 作品別 &gt; か行</t>
  </si>
  <si>
    <t>電子レンジ一般</t>
  </si>
  <si>
    <t>0,20000,20992,21020,2084006032,2084034615</t>
  </si>
  <si>
    <t>オークション &gt; 家電、AV、カメラ &gt; キッチン、食卓 &gt; 電子レンジ &gt; 電子レンジ一般</t>
  </si>
  <si>
    <t>時代劇</t>
  </si>
  <si>
    <t>オークション &gt; 音楽 &gt; CD &gt; 映画音楽 &gt; 時代劇</t>
  </si>
  <si>
    <t>オークション &gt; アンティーク、コレクション &gt; トレーディングカード &gt; コミック、アニメーション &gt; 作品別 &gt; さ行</t>
  </si>
  <si>
    <t>0,20000,20992,21020,2084006032,2084034899</t>
  </si>
  <si>
    <t>オーブンレンジ</t>
  </si>
  <si>
    <t>西部劇</t>
  </si>
  <si>
    <t>オークション &gt; 家電、AV、カメラ &gt; キッチン、食卓 &gt; 電子レンジ &gt; オーブンレンジ</t>
  </si>
  <si>
    <t>オークション &gt; 音楽 &gt; CD &gt; 映画音楽 &gt; 西部劇</t>
  </si>
  <si>
    <t>オークション &gt; アンティーク、コレクション &gt; トレーディングカード &gt; コミック、アニメーション &gt; 作品別 &gt; た行</t>
  </si>
  <si>
    <t>スチームオーブンレンジ</t>
  </si>
  <si>
    <t>0,20000,20992,21020,2084006032,2084035255</t>
  </si>
  <si>
    <t>戦争</t>
  </si>
  <si>
    <t>オークション &gt; 家電、AV、カメラ &gt; キッチン、食卓 &gt; 電子レンジ &gt; スチームオーブンレンジ</t>
  </si>
  <si>
    <t>オークション &gt; 音楽 &gt; CD &gt; 映画音楽 &gt; 戦争</t>
  </si>
  <si>
    <t>特撮</t>
  </si>
  <si>
    <t>オークション &gt; アンティーク、コレクション &gt; トレーディングカード &gt; コミック、アニメーション &gt; 作品別 &gt; な行</t>
  </si>
  <si>
    <t>オークション &gt; 音楽 &gt; CD &gt; 映画音楽 &gt; 特撮</t>
  </si>
  <si>
    <t>0,20000,20992,21020,2084006032,2084035431</t>
  </si>
  <si>
    <t>100リットル未満</t>
  </si>
  <si>
    <t>オークション &gt; 家電、AV、カメラ &gt; キッチン、食卓 &gt; 冷蔵庫 &gt; 100リットル未満</t>
  </si>
  <si>
    <t>日本映画</t>
  </si>
  <si>
    <t>オークション &gt; 音楽 &gt; CD &gt; 映画音楽 &gt; 日本映画</t>
  </si>
  <si>
    <t>オークション &gt; アンティーク、コレクション &gt; トレーディングカード &gt; コミック、アニメーション &gt; 作品別 &gt; は行</t>
  </si>
  <si>
    <t>0,20000,20992,21020,2084006032,2084035617</t>
  </si>
  <si>
    <t>100リットル～</t>
  </si>
  <si>
    <t>オークション &gt; 家電、AV、カメラ &gt; キッチン、食卓 &gt; 冷蔵庫 &gt; 100リットル～</t>
  </si>
  <si>
    <t>オークション &gt; 音楽 &gt; CD &gt; 映画音楽 &gt; その他</t>
  </si>
  <si>
    <t>オークション &gt; アンティーク、コレクション &gt; トレーディングカード &gt; コミック、アニメーション &gt; 作品別 &gt; ま行</t>
  </si>
  <si>
    <t>0,20000,20992,21020,2084006032,2084035833</t>
  </si>
  <si>
    <t>200リットル～</t>
  </si>
  <si>
    <t>アニメソング一般</t>
  </si>
  <si>
    <t>オークション &gt; 家電、AV、カメラ &gt; キッチン、食卓 &gt; 冷蔵庫 &gt; 200リットル～</t>
  </si>
  <si>
    <t>オークション &gt; 音楽 &gt; CD &gt; アニメソング &gt; アニメソング一般</t>
  </si>
  <si>
    <t>オークション &gt; アンティーク、コレクション &gt; トレーディングカード &gt; コミック、アニメーション &gt; 作品別 &gt; や行</t>
  </si>
  <si>
    <t>0,20000,20992,21020,2084006032,2084035997</t>
  </si>
  <si>
    <t>300リットル～</t>
  </si>
  <si>
    <t>オークション &gt; 家電、AV、カメラ &gt; キッチン、食卓 &gt; 冷蔵庫 &gt; 300リットル～</t>
  </si>
  <si>
    <t>オークション &gt; 音楽 &gt; CD &gt; アニメソング &gt; ふしぎ遊戯</t>
  </si>
  <si>
    <t>オークション &gt; アンティーク、コレクション &gt; トレーディングカード &gt; コミック、アニメーション &gt; 作品別 &gt; ら行</t>
  </si>
  <si>
    <t>400リットル～</t>
  </si>
  <si>
    <t>0,20000,20992,21020,2084006032,2084036074</t>
  </si>
  <si>
    <t>オークション &gt; 家電、AV、カメラ &gt; キッチン、食卓 &gt; 冷蔵庫 &gt; 400リットル～</t>
  </si>
  <si>
    <t>オークション &gt; 音楽 &gt; CD &gt; アニメソング &gt; ガンダム</t>
  </si>
  <si>
    <t>オークション &gt; アンティーク、コレクション &gt; トレーディングカード &gt; コミック、アニメーション &gt; 作品別 &gt; わ行</t>
  </si>
  <si>
    <t>スタジオジブリ</t>
  </si>
  <si>
    <t>0,20000,20992,21020,2084006032,2084036131</t>
  </si>
  <si>
    <t>オークション &gt; 音楽 &gt; CD &gt; アニメソング &gt; スタジオジブリ</t>
  </si>
  <si>
    <t>500リットル以上</t>
  </si>
  <si>
    <t>オークション &gt; 家電、AV、カメラ &gt; キッチン、食卓 &gt; 冷蔵庫 &gt; 500リットル以上</t>
  </si>
  <si>
    <t>ポケモンカードゲーム</t>
  </si>
  <si>
    <t>オークション &gt; 音楽 &gt; CD &gt; アニメソング &gt; スレイヤーズ</t>
  </si>
  <si>
    <t>オークション &gt; アンティーク、コレクション &gt; トレーディングカード &gt; テレビゲーム &gt; ポケモンカードゲーム</t>
  </si>
  <si>
    <t>0,20000,20992,2084006008,2084241343</t>
  </si>
  <si>
    <t>オークション &gt; 家電、AV、カメラ &gt; 洗濯、アイロン &gt; アイロン &gt; 一般</t>
  </si>
  <si>
    <t>オークション &gt; 音楽 &gt; CD &gt; アニメソング &gt; ディズニー</t>
  </si>
  <si>
    <t>コードレスアイロン</t>
  </si>
  <si>
    <t>ポケモンバトリオ</t>
  </si>
  <si>
    <t>オークション &gt; 家電、AV、カメラ &gt; 洗濯、アイロン &gt; アイロン &gt; コードレスアイロン</t>
  </si>
  <si>
    <t>オークション &gt; アンティーク、コレクション &gt; トレーディングカード &gt; テレビゲーム &gt; ポケモンバトリオ</t>
  </si>
  <si>
    <t>0,20000,20992,2084006008,2084241344</t>
  </si>
  <si>
    <t>オークション &gt; 音楽 &gt; CD &gt; アニメソング &gt; マクロス</t>
  </si>
  <si>
    <t>コミック、アニメーショントレカ</t>
  </si>
  <si>
    <t>オークション &gt; アンティーク、コレクション &gt; トレーディングカード &gt; テレビゲーム &gt; コミック、アニメーショントレカ</t>
  </si>
  <si>
    <t>ハンディアイロン</t>
  </si>
  <si>
    <t>0,20000,20992,2084006008,21020</t>
  </si>
  <si>
    <t>オークション &gt; 家電、AV、カメラ &gt; 洗濯、アイロン &gt; アイロン &gt; ハンディアイロン</t>
  </si>
  <si>
    <t>アイロン台</t>
  </si>
  <si>
    <t>オークション &gt; 音楽 &gt; CD &gt; アニメソング &gt; ルパン三世</t>
  </si>
  <si>
    <t>オークション &gt; 家電、AV、カメラ &gt; 洗濯、アイロン &gt; アイロン &gt; アイロン台</t>
  </si>
  <si>
    <t>オークション &gt; アンティーク、コレクション &gt; トレーディングカード &gt; テレビゲーム &gt; その他</t>
  </si>
  <si>
    <t>0,20000,20992,2084006008,2084006018</t>
  </si>
  <si>
    <t>オークション &gt; ホビー、カルチャー &gt; ハンドクラフト、手工芸 &gt; ミシン &gt; 本体</t>
  </si>
  <si>
    <t>オークション &gt; 音楽 &gt; CD &gt; アニメソング &gt; 機動戦艦ナデシコ</t>
  </si>
  <si>
    <t>ボビン</t>
  </si>
  <si>
    <t>オークション &gt; ホビー、カルチャー &gt; ハンドクラフト、手工芸 &gt; ミシン &gt; ボビン</t>
  </si>
  <si>
    <t>オークション &gt; チケット、金券、宿泊予約 &gt; プリペイドカード &gt; テレホンカード &gt; コミック、アニメーション &gt; か行 &gt; きまぐれオレンジ★ロード</t>
  </si>
  <si>
    <t>0,2084043920,2084007688,23968,2084005120,2084037044,2084034585</t>
  </si>
  <si>
    <t>オークション &gt; 音楽 &gt; CD &gt; アニメソング &gt; 新世紀GPXサイバーフォーミュラ</t>
  </si>
  <si>
    <t>ミシン糸</t>
  </si>
  <si>
    <t>オークション &gt; ホビー、カルチャー &gt; ハンドクラフト、手工芸 &gt; ミシン &gt; ミシン糸</t>
  </si>
  <si>
    <t>オークション &gt; 音楽 &gt; CD &gt; アニメソング &gt; 新世紀エヴァンゲリオン</t>
  </si>
  <si>
    <t>オークション &gt; チケット、金券、宿泊予約 &gt; プリペイドカード &gt; テレホンカード &gt; コミック、アニメーション &gt; か行 &gt; こちら葛飾区亀有公園前派出所</t>
  </si>
  <si>
    <t>0,2084043920,2084007688,23968,2084005120,2084037044,2084034605</t>
  </si>
  <si>
    <t>ミシン針</t>
  </si>
  <si>
    <t>声優</t>
  </si>
  <si>
    <t>オークション &gt; ホビー、カルチャー &gt; ハンドクラフト、手工芸 &gt; ミシン &gt; ミシン針</t>
  </si>
  <si>
    <t>オークション &gt; 音楽 &gt; CD &gt; アニメソング &gt; 声優</t>
  </si>
  <si>
    <t>オークション &gt; チケット、金券、宿泊予約 &gt; プリペイドカード &gt; テレホンカード &gt; コミック、アニメーション &gt; か行 &gt; カードキャプターさくら</t>
  </si>
  <si>
    <t>0,2084043920,2084007688,23968,2084005120,2084037044,2084034571</t>
  </si>
  <si>
    <t>オークション &gt; ホビー、カルチャー &gt; ハンドクラフト、手工芸 &gt; ミシン &gt; その他</t>
  </si>
  <si>
    <t>オークション &gt; 音楽 &gt; CD &gt; アニメソング &gt; 天地無用!</t>
  </si>
  <si>
    <t>洗濯機一般</t>
  </si>
  <si>
    <t>オークション &gt; チケット、金券、宿泊予約 &gt; プリペイドカード &gt; テレホンカード &gt; コミック、アニメーション &gt; か行 &gt; カウボーイビバップ</t>
  </si>
  <si>
    <t>オークション &gt; 家電、AV、カメラ &gt; 洗濯、アイロン &gt; 洗濯機 &gt; 洗濯機一般</t>
  </si>
  <si>
    <t>0,2084043920,2084007688,23968,2084005120,2084037044,2084034574</t>
  </si>
  <si>
    <t>オークション &gt; 音楽 &gt; CD &gt; アニメソング &gt; 幽遊白書</t>
  </si>
  <si>
    <t>ドラム式</t>
  </si>
  <si>
    <t>オークション &gt; 家電、AV、カメラ &gt; 洗濯、アイロン &gt; 洗濯機 &gt; ドラム式</t>
  </si>
  <si>
    <t>CDブック、ドラマCD</t>
  </si>
  <si>
    <t>オークション &gt; チケット、金券、宿泊予約 &gt; プリペイドカード &gt; テレホンカード &gt; コミック、アニメーション &gt; か行 &gt; ガルフォース</t>
  </si>
  <si>
    <t>オークション &gt; 音楽 &gt; CD &gt; アニメソング &gt; CDブック、ドラマCD</t>
  </si>
  <si>
    <t>0,2084043920,2084007688,23968,2084005120,2084037044,2084034580</t>
  </si>
  <si>
    <t>オークション &gt; 家電、AV、カメラ &gt; 洗濯、アイロン &gt; 洗濯機 &gt; その他</t>
  </si>
  <si>
    <t>ジャズ一般</t>
  </si>
  <si>
    <t>オークション &gt; 音楽 &gt; CD &gt; ジャズ &gt; ジャズ一般</t>
  </si>
  <si>
    <t>オークション &gt; チケット、金券、宿泊予約 &gt; プリペイドカード &gt; テレホンカード &gt; コミック、アニメーション &gt; か行 &gt; ガンダム</t>
  </si>
  <si>
    <t>0,2084043920,2084007688,23968,2084005120,2084037044,2084034582</t>
  </si>
  <si>
    <t>オークション &gt; 家電、AV、カメラ &gt; 掃除 &gt; 掃除機一般 &gt; シャープ</t>
  </si>
  <si>
    <t>フュージョン</t>
  </si>
  <si>
    <t>オークション &gt; 音楽 &gt; CD &gt; ジャズ &gt; フュージョン</t>
  </si>
  <si>
    <t>オークション &gt; チケット、金券、宿泊予約 &gt; プリペイドカード &gt; テレホンカード &gt; コミック、アニメーション &gt; か行 &gt; キャプテン・ハーロック</t>
  </si>
  <si>
    <t>0,2084043920,2084007688,23968,2084005120,2084037044,2084034586</t>
  </si>
  <si>
    <t>パナソニック、ナショナル</t>
  </si>
  <si>
    <t>オークション &gt; 家電、AV、カメラ &gt; 掃除 &gt; 掃除機一般 &gt; パナソニック、ナショナル</t>
  </si>
  <si>
    <t>ボーカル</t>
  </si>
  <si>
    <t>オークション &gt; 音楽 &gt; CD &gt; ジャズ &gt; ボーカル</t>
  </si>
  <si>
    <t>オークション &gt; チケット、金券、宿泊予約 &gt; プリペイドカード &gt; テレホンカード &gt; コミック、アニメーション &gt; か行 &gt; キャプテン翼</t>
  </si>
  <si>
    <t>オークション &gt; 家電、AV、カメラ &gt; 掃除 &gt; 掃除機一般 &gt; 東芝</t>
  </si>
  <si>
    <t>0,2084043920,2084007688,23968,2084005120,2084037044,2084034587</t>
  </si>
  <si>
    <t>コンピレーション、オムニバス</t>
  </si>
  <si>
    <t>オークション &gt; 音楽 &gt; CD &gt; ジャズ &gt; コンピレーション、オムニバス</t>
  </si>
  <si>
    <t>オークション &gt; 家電、AV、カメラ &gt; 掃除 &gt; 掃除機一般 &gt; 日立</t>
  </si>
  <si>
    <t>オークション &gt; チケット、金券、宿泊予約 &gt; プリペイドカード &gt; テレホンカード &gt; コミック、アニメーション &gt; か行 &gt; キューティーハニー</t>
  </si>
  <si>
    <t>交響曲</t>
  </si>
  <si>
    <t>0,2084043920,2084007688,23968,2084005120,2084037044,2084034590</t>
  </si>
  <si>
    <t>オークション &gt; 音楽 &gt; CD &gt; クラシック &gt; 交響曲</t>
  </si>
  <si>
    <t>オークション &gt; 家電、AV、カメラ &gt; 掃除 &gt; 掃除機一般 &gt; その他</t>
  </si>
  <si>
    <t>管弦楽</t>
  </si>
  <si>
    <t>オークション &gt; チケット、金券、宿泊予約 &gt; プリペイドカード &gt; テレホンカード &gt; コミック、アニメーション &gt; か行 &gt; キン肉マン</t>
  </si>
  <si>
    <t>オークション &gt; 音楽 &gt; CD &gt; クラシック &gt; 管弦楽</t>
  </si>
  <si>
    <t>0,2084043920,2084007688,23968,2084005120,2084037044,2084034595</t>
  </si>
  <si>
    <t>ダイソン</t>
  </si>
  <si>
    <t>オークション &gt; 家電、AV、カメラ &gt; 掃除 &gt; サイクロンタイプ &gt; ダイソン</t>
  </si>
  <si>
    <t>協奏曲</t>
  </si>
  <si>
    <t>オークション &gt; 音楽 &gt; CD &gt; クラシック &gt; 協奏曲</t>
  </si>
  <si>
    <t>オークション &gt; チケット、金券、宿泊予約 &gt; プリペイドカード &gt; テレホンカード &gt; コミック、アニメーション &gt; か行 &gt; クレヨンしんちゃん</t>
  </si>
  <si>
    <t>0,2084043920,2084007688,23968,2084005120,2084037044,2084034597</t>
  </si>
  <si>
    <t>オークション &gt; 家電、AV、カメラ &gt; 掃除 &gt; サイクロンタイプ &gt; シャープ</t>
  </si>
  <si>
    <t>室内楽</t>
  </si>
  <si>
    <t>オークション &gt; 音楽 &gt; CD &gt; クラシック &gt; 室内楽</t>
  </si>
  <si>
    <t>オークション &gt; チケット、金券、宿泊予約 &gt; プリペイドカード &gt; テレホンカード &gt; コミック、アニメーション &gt; か行 &gt; ゲゲゲの鬼太郎</t>
  </si>
  <si>
    <t>オークション &gt; 家電、AV、カメラ &gt; 掃除 &gt; サイクロンタイプ &gt; パナソニック、ナショナル</t>
  </si>
  <si>
    <t>0,2084043920,2084007688,23968,2084005120,2084037044,2084034598</t>
  </si>
  <si>
    <t>器楽</t>
  </si>
  <si>
    <t>オークション &gt; 音楽 &gt; CD &gt; クラシック &gt; 器楽</t>
  </si>
  <si>
    <t>オークション &gt; 家電、AV、カメラ &gt; 掃除 &gt; サイクロンタイプ &gt; 東芝</t>
  </si>
  <si>
    <t>吹奏楽</t>
  </si>
  <si>
    <t>オークション &gt; 音楽 &gt; CD &gt; クラシック &gt; 吹奏楽</t>
  </si>
  <si>
    <t>オークション &gt; チケット、金券、宿泊予約 &gt; プリペイドカード &gt; テレホンカード &gt; コミック、アニメーション &gt; か行 &gt; ゲッターロボ</t>
  </si>
  <si>
    <t>オークション &gt; 家電、AV、カメラ &gt; 掃除 &gt; サイクロンタイプ &gt; 日立</t>
  </si>
  <si>
    <t>0,2084043920,2084007688,23968,2084005120,2084037044,2084034599</t>
  </si>
  <si>
    <t>声楽</t>
  </si>
  <si>
    <t>オークション &gt; 音楽 &gt; CD &gt; クラシック &gt; 声楽</t>
  </si>
  <si>
    <t>オークション &gt; 家電、AV、カメラ &gt; 掃除 &gt; サイクロンタイプ &gt; その他</t>
  </si>
  <si>
    <t>オークション &gt; チケット、金券、宿泊予約 &gt; プリペイドカード &gt; テレホンカード &gt; コミック、アニメーション &gt; か行 &gt; ゴルゴ13</t>
  </si>
  <si>
    <t>業務用</t>
  </si>
  <si>
    <t>0,2084043920,2084007688,23968,2084005120,2084037044,2084034607</t>
  </si>
  <si>
    <t>オークション &gt; 家電、AV、カメラ &gt; 冷暖房、空調 &gt; エアコン &gt; 業務用</t>
  </si>
  <si>
    <t>オークション &gt; 音楽 &gt; CD &gt; クラシック &gt; オペラ</t>
  </si>
  <si>
    <t>床置型</t>
  </si>
  <si>
    <t>オークション &gt; 家電、AV、カメラ &gt; 冷暖房、空調 &gt; エアコン &gt; 床置型</t>
  </si>
  <si>
    <t>オークション &gt; チケット、金券、宿泊予約 &gt; プリペイドカード &gt; テレホンカード &gt; コミック、アニメーション &gt; か行 &gt; 科学忍者隊ガッチャマン</t>
  </si>
  <si>
    <t>現代音楽</t>
  </si>
  <si>
    <t>0,2084043920,2084007688,23968,2084005120,2084037044,2084034575</t>
  </si>
  <si>
    <t>オークション &gt; 音楽 &gt; CD &gt; クラシック &gt; 現代音楽</t>
  </si>
  <si>
    <t>窓用</t>
  </si>
  <si>
    <t>オークション &gt; 家電、AV、カメラ &gt; 冷暖房、空調 &gt; エアコン &gt; 窓用</t>
  </si>
  <si>
    <t>オークション &gt; チケット、金券、宿泊予約 &gt; プリペイドカード &gt; テレホンカード &gt; コミック、アニメーション &gt; か行 &gt; 機動警察パトレイバー</t>
  </si>
  <si>
    <t>0,2084043920,2084007688,23968,2084005120,2084037044,2084034583</t>
  </si>
  <si>
    <t>オークション &gt; 音楽 &gt; CD &gt; クラシック &gt; コンピレーション、オムニバス</t>
  </si>
  <si>
    <t>壁掛型</t>
  </si>
  <si>
    <t>オークション &gt; 家電、AV、カメラ &gt; 冷暖房、空調 &gt; エアコン &gt; 壁掛型</t>
  </si>
  <si>
    <t>オークション &gt; チケット、金券、宿泊予約 &gt; プリペイドカード &gt; テレホンカード &gt; コミック、アニメーション &gt; か行 &gt; 機動戦艦ナデシコ</t>
  </si>
  <si>
    <t>0,2084043920,2084007688,23968,2084005120,2084037044,2084034584</t>
  </si>
  <si>
    <t>オークション &gt; 音楽 &gt; CD &gt; クラシック &gt; その他</t>
  </si>
  <si>
    <t>オークション &gt; 家電、AV、カメラ &gt; 冷暖房、空調 &gt; エアコン &gt; リモコン</t>
  </si>
  <si>
    <t>オークション &gt; チケット、金券、宿泊予約 &gt; プリペイドカード &gt; テレホンカード &gt; コミック、アニメーション &gt; か行 &gt; 吸血姫美夕</t>
  </si>
  <si>
    <t>アジアンポップス</t>
  </si>
  <si>
    <t>0,2084043920,2084007688,23968,2084005120,2084037044,2084034589</t>
  </si>
  <si>
    <t>オークション &gt; 音楽 &gt; CD &gt; ワールドミュージック &gt; アジアンポップス</t>
  </si>
  <si>
    <t>オークション &gt; 家電、AV、カメラ &gt; 冷暖房、空調 &gt; エアコン &gt; その他</t>
  </si>
  <si>
    <t>アフリカ</t>
  </si>
  <si>
    <t>オークション &gt; チケット、金券、宿泊予約 &gt; プリペイドカード &gt; テレホンカード &gt; コミック、アニメーション &gt; か行 &gt; 巨人の星</t>
  </si>
  <si>
    <t>オークション &gt; 音楽 &gt; CD &gt; ワールドミュージック &gt; アフリカ</t>
  </si>
  <si>
    <t>0,2084043920,2084007688,23968,2084005120,2084037044,2084034591</t>
  </si>
  <si>
    <t>インドネシア、バリ</t>
  </si>
  <si>
    <t>オークション &gt; 音楽 &gt; CD &gt; ワールドミュージック &gt; インドネシア、バリ</t>
  </si>
  <si>
    <t>オークション &gt; 家電、AV、カメラ &gt; 冷暖房、空調 &gt; 空気清浄器 &gt; シャープ</t>
  </si>
  <si>
    <t>オークション &gt; チケット、金券、宿泊予約 &gt; プリペイドカード &gt; テレホンカード &gt; コミック、アニメーション &gt; か行 &gt; 金田一少年の事件簿</t>
  </si>
  <si>
    <t>0,2084043920,2084007688,23968,2084005120,2084037044,2084034594</t>
  </si>
  <si>
    <t>カントリー&amp;ウエスタン</t>
  </si>
  <si>
    <t>ダイキン</t>
  </si>
  <si>
    <t>オークション &gt; 音楽 &gt; CD &gt; ワールドミュージック &gt; カントリー&amp;ウエスタン</t>
  </si>
  <si>
    <t>オークション &gt; 家電、AV、カメラ &gt; 冷暖房、空調 &gt; 空気清浄器 &gt; ダイキン</t>
  </si>
  <si>
    <t>サンバ</t>
  </si>
  <si>
    <t>オークション &gt; 音楽 &gt; CD &gt; ワールドミュージック &gt; サンバ</t>
  </si>
  <si>
    <t>オークション &gt; チケット、金券、宿泊予約 &gt; プリペイドカード &gt; テレホンカード &gt; コミック、アニメーション &gt; か行 &gt; 銀河英雄伝説</t>
  </si>
  <si>
    <t>オークション &gt; 家電、AV、カメラ &gt; 冷暖房、空調 &gt; 空気清浄器 &gt; パナソニック、ナショナル</t>
  </si>
  <si>
    <t>0,2084043920,2084007688,23968,2084005120,2084037044,2084044297</t>
  </si>
  <si>
    <t>シャンソン</t>
  </si>
  <si>
    <t>オークション &gt; 音楽 &gt; CD &gt; ワールドミュージック &gt; シャンソン</t>
  </si>
  <si>
    <t>オークション &gt; 家電、AV、カメラ &gt; 冷暖房、空調 &gt; 空気清浄器 &gt; 東芝</t>
  </si>
  <si>
    <t>スカ</t>
  </si>
  <si>
    <t>オークション &gt; チケット、金券、宿泊予約 &gt; プリペイドカード &gt; テレホンカード &gt; コミック、アニメーション &gt; か行 &gt; 銀河鉄道999</t>
  </si>
  <si>
    <t>オークション &gt; 音楽 &gt; CD &gt; ワールドミュージック &gt; スカ</t>
  </si>
  <si>
    <t>0,2084043920,2084007688,23968,2084005120,2084037044,2084034592</t>
  </si>
  <si>
    <t>オークション &gt; 家電、AV、カメラ &gt; 冷暖房、空調 &gt; 空気清浄器 &gt; 日立</t>
  </si>
  <si>
    <t>ハワイアン</t>
  </si>
  <si>
    <t>オークション &gt; 音楽 &gt; CD &gt; ワールドミュージック &gt; ハワイアン</t>
  </si>
  <si>
    <t>自動車用</t>
  </si>
  <si>
    <t>オークション &gt; チケット、金券、宿泊予約 &gt; プリペイドカード &gt; テレホンカード &gt; コミック、アニメーション &gt; か行 &gt; 銀河漂流バイファム</t>
  </si>
  <si>
    <t>オークション &gt; 家電、AV、カメラ &gt; 冷暖房、空調 &gt; 空気清浄器 &gt; 自動車用</t>
  </si>
  <si>
    <t>0,2084043920,2084007688,23968,2084005120,2084037044,2084034593</t>
  </si>
  <si>
    <t>フォーク &amp; カントリー</t>
  </si>
  <si>
    <t>オークション &gt; 音楽 &gt; CD &gt; ワールドミュージック &gt; フォーク &amp; カントリー</t>
  </si>
  <si>
    <t>オークション &gt; 家電、AV、カメラ &gt; 冷暖房、空調 &gt; 空気清浄器 &gt; その他</t>
  </si>
  <si>
    <t>オークション &gt; チケット、金券、宿泊予約 &gt; プリペイドカード &gt; テレホンカード &gt; コミック、アニメーション &gt; か行 &gt; 幻想魔伝 最遊記</t>
  </si>
  <si>
    <t>0,2084043920,2084007688,23968,2084005120,2084037044,2084034600</t>
  </si>
  <si>
    <t>フラメンコ</t>
  </si>
  <si>
    <t>オークション &gt; 音楽 &gt; CD &gt; ワールドミュージック &gt; フラメンコ</t>
  </si>
  <si>
    <t>加湿、除湿両用</t>
  </si>
  <si>
    <t>オークション &gt; 家電、AV、カメラ &gt; 冷暖房、空調 &gt; 加湿器、除湿器 &gt; 加湿、除湿両用</t>
  </si>
  <si>
    <t>ブリティッシュフォーク、トラッド</t>
  </si>
  <si>
    <t>オークション &gt; 音楽 &gt; CD &gt; ワールドミュージック &gt; ブリティッシュフォーク、トラッド</t>
  </si>
  <si>
    <t>オークション &gt; チケット、金券、宿泊予約 &gt; プリペイドカード &gt; テレホンカード &gt; コミック、アニメーション &gt; か行 &gt; 攻殻機動隊</t>
  </si>
  <si>
    <t>加湿器</t>
  </si>
  <si>
    <t>0,2084043920,2084007688,23968,2084005120,2084037044,2084034601</t>
  </si>
  <si>
    <t>オークション &gt; 家電、AV、カメラ &gt; 冷暖房、空調 &gt; 加湿器、除湿器 &gt; 加湿器</t>
  </si>
  <si>
    <t>ボサノバ</t>
  </si>
  <si>
    <t>オークション &gt; 音楽 &gt; CD &gt; ワールドミュージック &gt; ボサノバ</t>
  </si>
  <si>
    <t>除湿器</t>
  </si>
  <si>
    <t>オークション &gt; チケット、金券、宿泊予約 &gt; プリペイドカード &gt; テレホンカード &gt; コミック、アニメーション &gt; か行 &gt; 風の谷のナウシカ</t>
  </si>
  <si>
    <t>オークション &gt; 家電、AV、カメラ &gt; 冷暖房、空調 &gt; 加湿器、除湿器 &gt; 除湿器</t>
  </si>
  <si>
    <t>0,2084043920,2084007688,23968,2084005120,2084037044,2084034577</t>
  </si>
  <si>
    <t>レゲエ</t>
  </si>
  <si>
    <t>オークション &gt; 音楽 &gt; CD &gt; ワールドミュージック &gt; レゲエ</t>
  </si>
  <si>
    <t>オークション &gt; チケット、金券、宿泊予約 &gt; プリペイドカード &gt; テレホンカード &gt; コミック、アニメーション &gt; か行 &gt; その他</t>
  </si>
  <si>
    <t>0,2084043920,2084007688,23968,2084005120,2084037044,2084034576</t>
  </si>
  <si>
    <t>オークション &gt; 音楽 &gt; CD &gt; ワールドミュージック &gt; その他</t>
  </si>
  <si>
    <t>ゲーム一般</t>
  </si>
  <si>
    <t>オークション &gt; 音楽 &gt; CD &gt; ゲーム音楽 &gt; ゲーム一般</t>
  </si>
  <si>
    <t>正方形（～75cm）</t>
  </si>
  <si>
    <t>オークション &gt; 音楽 &gt; CD &gt; ゲーム音楽 &gt; ときめきメモリアル</t>
  </si>
  <si>
    <t>オークション &gt; 家電、AV、カメラ &gt; 冷暖房、空調 &gt; こたつ &gt; 正方形（～75cm）</t>
  </si>
  <si>
    <t>オークション &gt; チケット、金券、宿泊予約 &gt; プリペイドカード &gt; テレホンカード &gt; コミック、アニメーション &gt; さ行 &gt; それいけ！アンパンマン</t>
  </si>
  <si>
    <t>オークション &gt; 音楽 &gt; CD &gt; ゲーム音楽 &gt; サクラ大戦</t>
  </si>
  <si>
    <t>正方形（～90cm）</t>
  </si>
  <si>
    <t>0,2084043920,2084007688,23968,2084005120,2084034212,2084034889</t>
  </si>
  <si>
    <t>オークション &gt; 家電、AV、カメラ &gt; 冷暖房、空調 &gt; こたつ &gt; 正方形（～90cm）</t>
  </si>
  <si>
    <t>オークション &gt; 音楽 &gt; CD &gt; ゲーム音楽 &gt; センチメンタル・グラフティ</t>
  </si>
  <si>
    <t>正方形（91cm～）</t>
  </si>
  <si>
    <t>オークション &gt; チケット、金券、宿泊予約 &gt; プリペイドカード &gt; テレホンカード &gt; コミック、アニメーション &gt; さ行 &gt; それゆけ！宇宙戦艦ヤマモト・ヨーコ</t>
  </si>
  <si>
    <t>オークション &gt; 家電、AV、カメラ &gt; 冷暖房、空調 &gt; こたつ &gt; 正方形（91cm～）</t>
  </si>
  <si>
    <t>0,2084043920,2084007688,23968,2084005120,2084034212,2084034890</t>
  </si>
  <si>
    <t>オークション &gt; 音楽 &gt; CD &gt; ゲーム音楽 &gt; ドラゴンクエスト</t>
  </si>
  <si>
    <t>長方形（長辺～90cm）</t>
  </si>
  <si>
    <t>オークション &gt; 家電、AV、カメラ &gt; 冷暖房、空調 &gt; こたつ &gt; 長方形（長辺～90cm）</t>
  </si>
  <si>
    <t>オークション &gt; チケット、金券、宿泊予約 &gt; プリペイドカード &gt; テレホンカード &gt; コミック、アニメーション &gt; さ行 &gt; サイボーグ009</t>
  </si>
  <si>
    <t>オークション &gt; 音楽 &gt; CD &gt; ゲーム音楽 &gt; ファイナルファンタジー</t>
  </si>
  <si>
    <t>0,2084043920,2084007688,23968,2084005120,2084034212,2084034881</t>
  </si>
  <si>
    <t>長方形（長辺～105cm）</t>
  </si>
  <si>
    <t>オークション &gt; 家電、AV、カメラ &gt; 冷暖房、空調 &gt; こたつ &gt; 長方形（長辺～105cm）</t>
  </si>
  <si>
    <t>CDブック</t>
  </si>
  <si>
    <t>オークション &gt; 音楽 &gt; CD &gt; ゲーム音楽 &gt; CDブック</t>
  </si>
  <si>
    <t>長方形（長辺～120cm）</t>
  </si>
  <si>
    <t>オークション &gt; 家電、AV、カメラ &gt; 冷暖房、空調 &gt; こたつ &gt; 長方形（長辺～120cm）</t>
  </si>
  <si>
    <t>オークション &gt; チケット、金券、宿泊予約 &gt; プリペイドカード &gt; テレホンカード &gt; コミック、アニメーション &gt; さ行 &gt; サクラ大戦</t>
  </si>
  <si>
    <t>0,2084043920,2084007688,23968,2084005120,2084034212,2084049560</t>
  </si>
  <si>
    <t>アンビエント</t>
  </si>
  <si>
    <t>オークション &gt; 音楽 &gt; CD &gt; クラブ、ダンス &gt; アンビエント</t>
  </si>
  <si>
    <t>長方形（長辺121cm～）</t>
  </si>
  <si>
    <t>オークション &gt; 家電、AV、カメラ &gt; 冷暖房、空調 &gt; こたつ &gt; 長方形（長辺121cm～）</t>
  </si>
  <si>
    <t>テクノ</t>
  </si>
  <si>
    <t>丸型</t>
  </si>
  <si>
    <t>オークション &gt; 音楽 &gt; CD &gt; クラブ、ダンス &gt; テクノ</t>
  </si>
  <si>
    <t>オークション &gt; チケット、金券、宿泊予約 &gt; プリペイドカード &gt; テレホンカード &gt; コミック、アニメーション &gt; さ行 &gt; サザエさん</t>
  </si>
  <si>
    <t>オークション &gt; 家電、AV、カメラ &gt; 冷暖房、空調 &gt; こたつ &gt; 丸型</t>
  </si>
  <si>
    <t>0,2084043920,2084007688,23968,2084005120,2084034212,2084034884</t>
  </si>
  <si>
    <t>こたつ布団</t>
  </si>
  <si>
    <t>オークション &gt; 家電、AV、カメラ &gt; 冷暖房、空調 &gt; こたつ &gt; こたつ布団</t>
  </si>
  <si>
    <t>ディスコ</t>
  </si>
  <si>
    <t>オークション &gt; 音楽 &gt; CD &gt; クラブ、ダンス &gt; ディスコ</t>
  </si>
  <si>
    <t>オークション &gt; チケット、金券、宿泊予約 &gt; プリペイドカード &gt; テレホンカード &gt; コミック、アニメーション &gt; さ行 &gt; シスタープリンセス</t>
  </si>
  <si>
    <t>0,2084043920,2084007688,23968,2084005120,2084034212,2084044175</t>
  </si>
  <si>
    <t>オークション &gt; 家電、AV、カメラ &gt; 冷暖房、空調 &gt; こたつ &gt; その他</t>
  </si>
  <si>
    <t>トランス</t>
  </si>
  <si>
    <t>オークション &gt; 音楽 &gt; CD &gt; クラブ、ダンス &gt; トランス</t>
  </si>
  <si>
    <t>ガスストーブ</t>
  </si>
  <si>
    <t>オークション &gt; 家電、AV、カメラ &gt; 冷暖房、空調 &gt; ストーブ &gt; ガスストーブ</t>
  </si>
  <si>
    <t>ハウス</t>
  </si>
  <si>
    <t>オークション &gt; チケット、金券、宿泊予約 &gt; プリペイドカード &gt; テレホンカード &gt; コミック、アニメーション &gt; さ行 &gt; シティーハンター</t>
  </si>
  <si>
    <t>オークション &gt; 音楽 &gt; CD &gt; クラブ、ダンス &gt; ハウス</t>
  </si>
  <si>
    <t>0,2084043920,2084007688,23968,2084005120,2084034212,2084034866</t>
  </si>
  <si>
    <t>ユーロビート</t>
  </si>
  <si>
    <t>薪ストーブ</t>
  </si>
  <si>
    <t>オークション &gt; 音楽 &gt; CD &gt; クラブ、ダンス &gt; ユーロビート</t>
  </si>
  <si>
    <t>オークション &gt; 家電、AV、カメラ &gt; 冷暖房、空調 &gt; ストーブ &gt; 薪ストーブ</t>
  </si>
  <si>
    <t>オークション &gt; チケット、金券、宿泊予約 &gt; プリペイドカード &gt; テレホンカード &gt; コミック、アニメーション &gt; さ行 &gt; シャーマンキング</t>
  </si>
  <si>
    <t>0,2084043920,2084007688,23968,2084005120,2084034212,2084034867</t>
  </si>
  <si>
    <t>オークション &gt; 音楽 &gt; CD &gt; クラブ、ダンス &gt; コンピレーション、オムニバス</t>
  </si>
  <si>
    <t>石油ストーブ</t>
  </si>
  <si>
    <t>オークション &gt; 家電、AV、カメラ &gt; 冷暖房、空調 &gt; ストーブ &gt; 石油ストーブ</t>
  </si>
  <si>
    <t>オークション &gt; チケット、金券、宿泊予約 &gt; プリペイドカード &gt; テレホンカード &gt; コミック、アニメーション &gt; さ行 &gt; ジャングル大帝</t>
  </si>
  <si>
    <t>オークション &gt; 音楽 &gt; CD &gt; クラブ、ダンス &gt; その他</t>
  </si>
  <si>
    <t>0,2084043920,2084007688,23968,2084005120,2084034212,2084034870</t>
  </si>
  <si>
    <t>オークション &gt; 家電、AV、カメラ &gt; 冷暖房、空調 &gt; ストーブ &gt; その他</t>
  </si>
  <si>
    <t>イージーリスニング</t>
  </si>
  <si>
    <t>ガスファンヒーター</t>
  </si>
  <si>
    <t>オークション &gt; 音楽 &gt; CD &gt; ヒーリング、ニューエイジ &gt; イージーリスニング</t>
  </si>
  <si>
    <t>オークション &gt; チケット、金券、宿泊予約 &gt; プリペイドカード &gt; テレホンカード &gt; コミック、アニメーション &gt; さ行 &gt; ジョジョの奇妙な冒険</t>
  </si>
  <si>
    <t>0,2084043920,2084007688,23968,2084005120,2084034212,2084034893</t>
  </si>
  <si>
    <t>オークション &gt; 家電、AV、カメラ &gt; 冷暖房、空調 &gt; ファンヒーター &gt; ガスファンヒーター</t>
  </si>
  <si>
    <t>ニューエイジ</t>
  </si>
  <si>
    <t>オークション &gt; 音楽 &gt; CD &gt; ヒーリング、ニューエイジ &gt; ニューエイジ</t>
  </si>
  <si>
    <t>スヌーピー</t>
  </si>
  <si>
    <t>オークション &gt; チケット、金券、宿泊予約 &gt; プリペイドカード &gt; テレホンカード &gt; コミック、アニメーション &gt; さ行 &gt; スヌーピー</t>
  </si>
  <si>
    <t>石油ファンヒーター</t>
  </si>
  <si>
    <t>0,2084043920,2084007688,23968,2084005120,2084034212,2084034897</t>
  </si>
  <si>
    <t>オークション &gt; 家電、AV、カメラ &gt; 冷暖房、空調 &gt; ファンヒーター &gt; 石油ファンヒーター</t>
  </si>
  <si>
    <t>ヒーリング</t>
  </si>
  <si>
    <t>オークション &gt; 音楽 &gt; CD &gt; ヒーリング、ニューエイジ &gt; ヒーリング</t>
  </si>
  <si>
    <t>ラウンジ</t>
  </si>
  <si>
    <t>オークション &gt; 音楽 &gt; CD &gt; ヒーリング、ニューエイジ &gt; ラウンジ</t>
  </si>
  <si>
    <t>オークション &gt; チケット、金券、宿泊予約 &gt; プリペイドカード &gt; テレホンカード &gt; コミック、アニメーション &gt; さ行 &gt; スラムダンク</t>
  </si>
  <si>
    <t>オークション &gt; 家電、AV、カメラ &gt; 冷暖房、空調 &gt; ファンヒーター &gt; その他</t>
  </si>
  <si>
    <t>0,2084043920,2084007688,23968,2084005120,2084034212,2084034887</t>
  </si>
  <si>
    <t>オークション &gt; 音楽 &gt; CD &gt; ヒーリング、ニューエイジ &gt; その他</t>
  </si>
  <si>
    <t>～1.5畳</t>
  </si>
  <si>
    <t>オークション &gt; 家電、AV、カメラ &gt; 冷暖房、空調 &gt; ホットカーペット &gt; ～1.5畳</t>
  </si>
  <si>
    <t>オークション &gt; チケット、金券、宿泊予約 &gt; プリペイドカード &gt; テレホンカード &gt; コミック、アニメーション &gt; さ行 &gt; スレイヤーズ</t>
  </si>
  <si>
    <t>0,2084043920,2084007688,23968,2084005120,2084034212,2084034875</t>
  </si>
  <si>
    <t>キリスト教</t>
  </si>
  <si>
    <t>オークション &gt; 音楽 &gt; CD &gt; 宗教音楽 &gt; キリスト教</t>
  </si>
  <si>
    <t>2畳～</t>
  </si>
  <si>
    <t>オークション &gt; 家電、AV、カメラ &gt; 冷暖房、空調 &gt; ホットカーペット &gt; 2畳～</t>
  </si>
  <si>
    <t>オークション &gt; チケット、金券、宿泊予約 &gt; プリペイドカード &gt; テレホンカード &gt; コミック、アニメーション &gt; さ行 &gt; セーラームーン</t>
  </si>
  <si>
    <t>0,2084043920,2084007688,23968,2084005120,2084034212,2084034878</t>
  </si>
  <si>
    <t>オークション &gt; 音楽 &gt; CD &gt; 宗教音楽 &gt; その他</t>
  </si>
  <si>
    <t>3畳～</t>
  </si>
  <si>
    <t>オークション &gt; 家電、AV、カメラ &gt; 冷暖房、空調 &gt; ホットカーペット &gt; 3畳～</t>
  </si>
  <si>
    <t>オークション &gt; 音楽 &gt; レコード &gt; クラシック &gt; 交響曲</t>
  </si>
  <si>
    <t>オークション &gt; チケット、金券、宿泊予約 &gt; プリペイドカード &gt; テレホンカード &gt; コミック、アニメーション &gt; さ行 &gt; 獣神ライガー</t>
  </si>
  <si>
    <t>0,2084043920,2084007688,23968,2084005120,2084034212,2084034871</t>
  </si>
  <si>
    <t>電気ヒーター一般</t>
  </si>
  <si>
    <t>オークション &gt; 家電、AV、カメラ &gt; 冷暖房、空調 &gt; 電気ヒーター &gt; 電気ヒーター一般</t>
  </si>
  <si>
    <t>オークション &gt; 音楽 &gt; レコード &gt; クラシック &gt; 管弦楽</t>
  </si>
  <si>
    <t>オークション &gt; チケット、金券、宿泊予約 &gt; プリペイドカード &gt; テレホンカード &gt; コミック、アニメーション &gt; さ行 &gt; 重戦機エルガイム</t>
  </si>
  <si>
    <t>0,2084043920,2084007688,23968,2084005120,2084034212,2084034872</t>
  </si>
  <si>
    <t>カーボンヒーター</t>
  </si>
  <si>
    <t>オークション &gt; 音楽 &gt; レコード &gt; クラシック &gt; 協奏曲</t>
  </si>
  <si>
    <t>オークション &gt; 家電、AV、カメラ &gt; 冷暖房、空調 &gt; 電気ヒーター &gt; カーボンヒーター</t>
  </si>
  <si>
    <t>ハロゲンヒーター</t>
  </si>
  <si>
    <t>オークション &gt; 音楽 &gt; レコード &gt; クラシック &gt; 室内楽</t>
  </si>
  <si>
    <t>オークション &gt; チケット、金券、宿泊予約 &gt; プリペイドカード &gt; テレホンカード &gt; コミック、アニメーション &gt; さ行 &gt; 少女革命ウテナ</t>
  </si>
  <si>
    <t>オークション &gt; 家電、AV、カメラ &gt; 冷暖房、空調 &gt; 電気ヒーター &gt; ハロゲンヒーター</t>
  </si>
  <si>
    <t>0,2084043920,2084007688,23968,2084005120,2084034212,2084034891</t>
  </si>
  <si>
    <t>オークション &gt; 音楽 &gt; レコード &gt; クラシック &gt; 器楽</t>
  </si>
  <si>
    <t>パネルヒーター</t>
  </si>
  <si>
    <t>オークション &gt; 家電、AV、カメラ &gt; 冷暖房、空調 &gt; 電気ヒーター &gt; パネルヒーター</t>
  </si>
  <si>
    <t>オークション &gt; チケット、金券、宿泊予約 &gt; プリペイドカード &gt; テレホンカード &gt; コミック、アニメーション &gt; さ行 &gt; 少年アシベ</t>
  </si>
  <si>
    <t>オークション &gt; 音楽 &gt; レコード &gt; クラシック &gt; 吹奏楽</t>
  </si>
  <si>
    <t>0,2084043920,2084007688,23968,2084005120,2084034212,2084034892</t>
  </si>
  <si>
    <t>オークション &gt; 家電、AV、カメラ &gt; 冷暖房、空調 &gt; 電気ヒーター &gt; その他</t>
  </si>
  <si>
    <t>オークション &gt; 音楽 &gt; レコード &gt; クラシック &gt; 声楽</t>
  </si>
  <si>
    <t>カールドライヤー</t>
  </si>
  <si>
    <t>オークション &gt; 家電、AV、カメラ &gt; 美容、健康 &gt; ヘアドライヤー &gt; カールドライヤー</t>
  </si>
  <si>
    <t>オークション &gt; チケット、金券、宿泊予約 &gt; プリペイドカード &gt; テレホンカード &gt; コミック、アニメーション &gt; さ行 &gt; 新世紀GPXサイバーフォーミュラ</t>
  </si>
  <si>
    <t>0,2084043920,2084007688,23968,2084005120,2084034212,2084034894</t>
  </si>
  <si>
    <t>オークション &gt; 音楽 &gt; レコード &gt; クラシック &gt; オペラ</t>
  </si>
  <si>
    <t>ハンドドライヤー</t>
  </si>
  <si>
    <t>オークション &gt; 家電、AV、カメラ &gt; 美容、健康 &gt; ヘアドライヤー &gt; ハンドドライヤー</t>
  </si>
  <si>
    <t>オークション &gt; 音楽 &gt; レコード &gt; クラシック &gt; 現代音楽</t>
  </si>
  <si>
    <t>オークション &gt; 家電、AV、カメラ &gt; 美容、健康 &gt; ヘアドライヤー &gt; その他</t>
  </si>
  <si>
    <t>オークション &gt; チケット、金券、宿泊予約 &gt; プリペイドカード &gt; テレホンカード &gt; コミック、アニメーション &gt; さ行 &gt; 新世紀エヴァンゲリオン</t>
  </si>
  <si>
    <t>0,2084043920,2084007688,23968,2084005120,2084034212,2084034895</t>
  </si>
  <si>
    <t>ハンディマッサージャー</t>
  </si>
  <si>
    <t>オークション &gt; 音楽 &gt; レコード &gt; クラシック &gt; その他</t>
  </si>
  <si>
    <t>オークション &gt; 家電、AV、カメラ &gt; 美容、健康 &gt; マッサージ機 &gt; ハンディマッサージャー</t>
  </si>
  <si>
    <t>フットバス</t>
  </si>
  <si>
    <t>オークション &gt; 家電、AV、カメラ &gt; 美容、健康 &gt; マッサージ機 &gt; フットバス</t>
  </si>
  <si>
    <t>オークション &gt; 音楽 &gt; レコード &gt; クラブ、ダンス &gt; アンビエント</t>
  </si>
  <si>
    <t>オークション &gt; チケット、金券、宿泊予約 &gt; プリペイドカード &gt; テレホンカード &gt; コミック、アニメーション &gt; さ行 &gt; 神秘の世界エルハザード</t>
  </si>
  <si>
    <t>0,2084043920,2084007688,23968,2084005120,2084034212,2084034896</t>
  </si>
  <si>
    <t>フットマッサージャー</t>
  </si>
  <si>
    <t>オークション &gt; 家電、AV、カメラ &gt; 美容、健康 &gt; マッサージ機 &gt; フットマッサージャー</t>
  </si>
  <si>
    <t>オークション &gt; 音楽 &gt; レコード &gt; クラブ、ダンス &gt; テクノ</t>
  </si>
  <si>
    <t>オークション &gt; チケット、金券、宿泊予約 &gt; プリペイドカード &gt; テレホンカード &gt; コミック、アニメーション &gt; さ行 &gt; 聖闘士星矢</t>
  </si>
  <si>
    <t>マッサージチェア</t>
  </si>
  <si>
    <t>0,2084043920,2084007688,23968,2084005120,2084034212,2084034877</t>
  </si>
  <si>
    <t>オークション &gt; 家電、AV、カメラ &gt; 美容、健康 &gt; マッサージ機 &gt; マッサージチェア</t>
  </si>
  <si>
    <t>オークション &gt; 音楽 &gt; レコード &gt; クラブ、ダンス &gt; ディスコ</t>
  </si>
  <si>
    <t>オークション &gt; 家電、AV、カメラ &gt; 美容、健康 &gt; マッサージ機 &gt; その他</t>
  </si>
  <si>
    <t>オークション &gt; 音楽 &gt; レコード &gt; クラブ、ダンス &gt; トランス</t>
  </si>
  <si>
    <t>オークション &gt; チケット、金券、宿泊予約 &gt; プリペイドカード &gt; テレホンカード &gt; コミック、アニメーション &gt; さ行 &gt; 絶対無敵ライジンオー</t>
  </si>
  <si>
    <t>0,2084043920,2084007688,23968,2084005120,2084034212,2084034879</t>
  </si>
  <si>
    <t>セイコー</t>
  </si>
  <si>
    <t>オークション &gt; 家電、AV、カメラ &gt; 美容、健康 &gt; 電気シェーバー &gt; セイコー</t>
  </si>
  <si>
    <t>オークション &gt; 音楽 &gt; レコード &gt; クラブ、ダンス &gt; ハウス</t>
  </si>
  <si>
    <t>オークション &gt; チケット、金券、宿泊予約 &gt; プリペイドカード &gt; テレホンカード &gt; コミック、アニメーション &gt; さ行 &gt; 装甲騎兵 ボトムズ</t>
  </si>
  <si>
    <t>オークション &gt; 家電、AV、カメラ &gt; 美容、健康 &gt; 電気シェーバー &gt; パナソニック、ナショナル</t>
  </si>
  <si>
    <t>0,2084043920,2084007688,23968,2084005120,2084034212,2084034880</t>
  </si>
  <si>
    <t>オークション &gt; 音楽 &gt; レコード &gt; クラブ、ダンス &gt; ユーロビート</t>
  </si>
  <si>
    <t>フィリップス</t>
  </si>
  <si>
    <t>オークション &gt; 家電、AV、カメラ &gt; 美容、健康 &gt; 電気シェーバー &gt; フィリップス</t>
  </si>
  <si>
    <t>オークション &gt; チケット、金券、宿泊予約 &gt; プリペイドカード &gt; テレホンカード &gt; コミック、アニメーション &gt; さ行 &gt; 魔法使いサリー</t>
  </si>
  <si>
    <t>オークション &gt; 音楽 &gt; レコード &gt; クラブ、ダンス &gt; その他</t>
  </si>
  <si>
    <t>0,2084043920,2084007688,23968,2084005120,2084034212,2084034882</t>
  </si>
  <si>
    <t>ブラウン</t>
  </si>
  <si>
    <t>オークション &gt; 家電、AV、カメラ &gt; 美容、健康 &gt; 電気シェーバー &gt; ブラウン</t>
  </si>
  <si>
    <t>オークション &gt; 音楽 &gt; レコード &gt; ジャズ &gt; ジャズ一般</t>
  </si>
  <si>
    <t>オークション &gt; チケット、金券、宿泊予約 &gt; プリペイドカード &gt; テレホンカード &gt; コミック、アニメーション &gt; さ行 &gt; その他</t>
  </si>
  <si>
    <t>0,2084043920,2084007688,23968,2084005120,2084034212,2084034883</t>
  </si>
  <si>
    <t>オークション &gt; 家電、AV、カメラ &gt; 美容、健康 &gt; 電気シェーバー &gt; 日立</t>
  </si>
  <si>
    <t>オークション &gt; 音楽 &gt; レコード &gt; ジャズ &gt; フュージョン</t>
  </si>
  <si>
    <t>オークション &gt; 音楽 &gt; レコード &gt; ジャズ &gt; ボーカル</t>
  </si>
  <si>
    <t>オークション &gt; 家電、AV、カメラ &gt; 美容、健康 &gt; 電気シェーバー &gt; その他</t>
  </si>
  <si>
    <t>オークション &gt; チケット、金券、宿泊予約 &gt; プリペイドカード &gt; テレホンカード &gt; コミック、アニメーション &gt; た行 &gt; ちびまる子ちゃん</t>
  </si>
  <si>
    <t>0,2084043920,2084007688,23968,2084005120,2084034221,2084035224</t>
  </si>
  <si>
    <t>オムロン</t>
  </si>
  <si>
    <t>オークション &gt; 家電、AV、カメラ &gt; 美容、健康 &gt; 電動歯ブラシ &gt; オムロン</t>
  </si>
  <si>
    <t>オークション &gt; 音楽 &gt; レコード &gt; ジャズ &gt; その他</t>
  </si>
  <si>
    <t>オークション &gt; チケット、金券、宿泊予約 &gt; プリペイドカード &gt; テレホンカード &gt; コミック、アニメーション &gt; た行 &gt; ちょびっツ</t>
  </si>
  <si>
    <t>0,2084043920,2084007688,23968,2084005120,2084034221,2084035227</t>
  </si>
  <si>
    <t>オークション &gt; 家電、AV、カメラ &gt; 美容、健康 &gt; 電動歯ブラシ &gt; パナソニック、ナショナル</t>
  </si>
  <si>
    <t>オークション &gt; 音楽 &gt; レコード &gt; ジャパニーズポップス &gt; インディーズ</t>
  </si>
  <si>
    <t>オークション &gt; チケット、金券、宿泊予約 &gt; プリペイドカード &gt; テレホンカード &gt; コミック、アニメーション &gt; た行 &gt; となりのトトロ</t>
  </si>
  <si>
    <t>0,2084043920,2084007688,23968,2084005120,2084034221,2084035245</t>
  </si>
  <si>
    <t>オークション &gt; 家電、AV、カメラ &gt; 美容、健康 &gt; 電動歯ブラシ &gt; フィリップス</t>
  </si>
  <si>
    <t>オークション &gt; 音楽 &gt; レコード &gt; ジャパニーズポップス &gt; ロック、ポップス</t>
  </si>
  <si>
    <t>オークション &gt; チケット、金券、宿泊予約 &gt; プリペイドカード &gt; テレホンカード &gt; コミック、アニメーション &gt; た行 &gt; タイムボカンシリーズ</t>
  </si>
  <si>
    <t>0,2084043920,2084007688,23968,2084005120,2084034221,2084035222</t>
  </si>
  <si>
    <t>オークション &gt; 家電、AV、カメラ &gt; 美容、健康 &gt; 電動歯ブラシ &gt; ブラウン</t>
  </si>
  <si>
    <t>オークション &gt; 音楽 &gt; レコード &gt; ジャパニーズポップス &gt; その他</t>
  </si>
  <si>
    <t>東レ</t>
  </si>
  <si>
    <t>オークション &gt; 音楽 &gt; レコード &gt; ロック、ポップス（洋楽） &gt; ロック、ポップス一般</t>
  </si>
  <si>
    <t>オークション &gt; チケット、金券、宿泊予約 &gt; プリペイドカード &gt; テレホンカード &gt; コミック、アニメーション &gt; た行 &gt; タッチ</t>
  </si>
  <si>
    <t>オークション &gt; 家電、AV、カメラ &gt; 美容、健康 &gt; 電動歯ブラシ &gt; 東レ</t>
  </si>
  <si>
    <t>0,2084043920,2084007688,23968,2084005120,2084034221,2084044223</t>
  </si>
  <si>
    <t>オークション &gt; 家電、AV、カメラ &gt; 美容、健康 &gt; 電動歯ブラシ &gt; その他</t>
  </si>
  <si>
    <t>オークション &gt; 音楽 &gt; レコード &gt; ロック、ポップス（洋楽） &gt; ハードロック</t>
  </si>
  <si>
    <t>オークション &gt; チケット、金券、宿泊予約 &gt; プリペイドカード &gt; テレホンカード &gt; コミック、アニメーション &gt; た行 &gt; ダーティペア</t>
  </si>
  <si>
    <t>0,2084043920,2084007688,23968,2084005120,2084034221,2084035220</t>
  </si>
  <si>
    <t>ネイルケア</t>
  </si>
  <si>
    <t>オークション &gt; 家電、AV、カメラ &gt; 美容、健康 &gt; 美容機器 &gt; ネイルケア</t>
  </si>
  <si>
    <t>オークション &gt; 音楽 &gt; レコード &gt; ロック、ポップス（洋楽） &gt; パンク</t>
  </si>
  <si>
    <t>オークション &gt; チケット、金券、宿泊予約 &gt; プリペイドカード &gt; テレホンカード &gt; コミック、アニメーション &gt; た行 &gt; テッカマン</t>
  </si>
  <si>
    <t>フェイスケア</t>
  </si>
  <si>
    <t>オークション &gt; 家電、AV、カメラ &gt; 美容、健康 &gt; 美容機器 &gt; フェイスケア</t>
  </si>
  <si>
    <t>0,2084043920,2084007688,23968,2084005120,2084034221,2084035231</t>
  </si>
  <si>
    <t>オークション &gt; 音楽 &gt; レコード &gt; ロック、ポップス（洋楽） &gt; プログレッシブロック</t>
  </si>
  <si>
    <t>ヘアケア</t>
  </si>
  <si>
    <t>オークション &gt; 家電、AV、カメラ &gt; 美容、健康 &gt; 美容機器 &gt; ヘアケア</t>
  </si>
  <si>
    <t>オークション &gt; 音楽 &gt; レコード &gt; ロック、ポップス（洋楽） &gt; ポピュラーボーカル</t>
  </si>
  <si>
    <t>ボディケア</t>
  </si>
  <si>
    <t>オークション &gt; 家電、AV、カメラ &gt; 美容、健康 &gt; 美容機器 &gt; ボディケア</t>
  </si>
  <si>
    <t>オークション &gt; チケット、金券、宿泊予約 &gt; プリペイドカード &gt; テレホンカード &gt; コミック、アニメーション &gt; た行 &gt; テニスの王子様</t>
  </si>
  <si>
    <t>0,2084043920,2084007688,23968,2084005120,2084034221,2084035234</t>
  </si>
  <si>
    <t>オークション &gt; 音楽 &gt; レコード &gt; ロック、ポップス（洋楽） &gt; その他</t>
  </si>
  <si>
    <t>体脂肪計</t>
  </si>
  <si>
    <t>オークション &gt; 家電、AV、カメラ &gt; 美容、健康 &gt; 美容機器 &gt; 体脂肪計</t>
  </si>
  <si>
    <t>オークション &gt; 音楽 &gt; レコード &gt; ワールドミュージック &gt; アジアンポップス</t>
  </si>
  <si>
    <t>オークション &gt; チケット、金券、宿泊予約 &gt; プリペイドカード &gt; テレホンカード &gt; コミック、アニメーション &gt; た行 &gt; デ・ジ・キャラット</t>
  </si>
  <si>
    <t>0,2084043920,2084007688,23968,2084005120,2084034221,2084035229</t>
  </si>
  <si>
    <t>体重計</t>
  </si>
  <si>
    <t>オークション &gt; 家電、AV、カメラ &gt; 美容、健康 &gt; 美容機器 &gt; 体重計</t>
  </si>
  <si>
    <t>オークション &gt; 音楽 &gt; レコード &gt; ワールドミュージック &gt; カントリー&amp;ウエスタン</t>
  </si>
  <si>
    <t>オークション &gt; チケット、金券、宿泊予約 &gt; プリペイドカード &gt; テレホンカード &gt; コミック、アニメーション &gt; た行 &gt; デジタルモンスター</t>
  </si>
  <si>
    <t>0,2084043920,2084007688,23968,2084005120,2084034221,2084035230</t>
  </si>
  <si>
    <t>脱毛、除毛</t>
  </si>
  <si>
    <t>オークション &gt; 家電、AV、カメラ &gt; 美容、健康 &gt; 美容機器 &gt; 脱毛、除毛</t>
  </si>
  <si>
    <t>オークション &gt; 音楽 &gt; レコード &gt; ワールドミュージック &gt; サンバ</t>
  </si>
  <si>
    <t>電動歯ブラシ</t>
  </si>
  <si>
    <t>オークション &gt; 家電、AV、カメラ &gt; 美容、健康 &gt; 美容機器 &gt; 電動歯ブラシ</t>
  </si>
  <si>
    <t>オークション &gt; チケット、金券、宿泊予約 &gt; プリペイドカード &gt; テレホンカード &gt; コミック、アニメーション &gt; た行 &gt; デビルマン</t>
  </si>
  <si>
    <t>0,2084043920,2084007688,23968,2084005120,2084034221,2084035235</t>
  </si>
  <si>
    <t>オークション &gt; 音楽 &gt; レコード &gt; ワールドミュージック &gt; スカ</t>
  </si>
  <si>
    <t>オークション &gt; 家電、AV、カメラ &gt; 美容、健康 &gt; 美容機器 &gt; その他</t>
  </si>
  <si>
    <t>オークション &gt; チケット、金券、宿泊予約 &gt; プリペイドカード &gt; テレホンカード &gt; コミック、アニメーション &gt; た行 &gt; ドカベン</t>
  </si>
  <si>
    <t>0,2084043920,2084007688,23968,2084005120,2084034221,2084035242</t>
  </si>
  <si>
    <t>オークション &gt; 音楽 &gt; レコード &gt; ワールドミュージック &gt; フォーク &amp; カントリー</t>
  </si>
  <si>
    <t>オークション &gt; 家電、AV、カメラ &gt; 携帯電話、スマートフォン &gt; スマートフォン本体</t>
  </si>
  <si>
    <t>オークション &gt; 音楽 &gt; レコード &gt; ワールドミュージック &gt; フラメンコ</t>
  </si>
  <si>
    <t>スマートウォッチ本体</t>
  </si>
  <si>
    <t>オークション &gt; 家電、AV、カメラ &gt; 携帯電話、スマートフォン &gt; スマートウォッチ本体</t>
  </si>
  <si>
    <t>オークション &gt; チケット、金券、宿泊予約 &gt; プリペイドカード &gt; テレホンカード &gt; コミック、アニメーション &gt; た行 &gt; ドクタースランプ</t>
  </si>
  <si>
    <t>0,2084043920,2084007688,23968,2084005120,2084034221,2084035243</t>
  </si>
  <si>
    <t>オークション &gt; 音楽 &gt; レコード &gt; ワールドミュージック &gt; ブリティッシュフォーク、トラッド</t>
  </si>
  <si>
    <t>携帯電話本体</t>
  </si>
  <si>
    <t>オークション &gt; 家電、AV、カメラ &gt; 携帯電話、スマートフォン &gt; 携帯電話本体</t>
  </si>
  <si>
    <t>オークション &gt; 音楽 &gt; レコード &gt; ワールドミュージック &gt; ボサノバ</t>
  </si>
  <si>
    <t>PHS本体</t>
  </si>
  <si>
    <t>オークション &gt; チケット、金券、宿泊予約 &gt; プリペイドカード &gt; テレホンカード &gt; コミック、アニメーション &gt; た行 &gt; ドラえもん</t>
  </si>
  <si>
    <t>オークション &gt; 家電、AV、カメラ &gt; 携帯電話、スマートフォン &gt; PHS本体</t>
  </si>
  <si>
    <t>0,2084043920,2084007688,23968,2084005120,2084034221,2084035247</t>
  </si>
  <si>
    <t>オークション &gt; 音楽 &gt; レコード &gt; ワールドミュージック &gt; レゲエ</t>
  </si>
  <si>
    <t>オークション &gt; 家電、AV、カメラ &gt; 携帯電話、スマートフォン &gt; バッテリー、充電器</t>
  </si>
  <si>
    <t>オークション &gt; 音楽 &gt; レコード &gt; ワールドミュージック &gt; その他</t>
  </si>
  <si>
    <t>オークション &gt; チケット、金券、宿泊予約 &gt; プリペイドカード &gt; テレホンカード &gt; コミック、アニメーション &gt; た行 &gt; ドラゴンボール</t>
  </si>
  <si>
    <t>0,2084043920,2084007688,23968,2084005120,2084034221,2084035248</t>
  </si>
  <si>
    <t>オークション &gt; 音楽 &gt; レコード &gt; 映画音楽 &gt; SF、ファンタジー</t>
  </si>
  <si>
    <t>オークション &gt; 家電、AV、カメラ &gt; 携帯電話、スマートフォン &gt; アクセサリー</t>
  </si>
  <si>
    <t>オークション &gt; チケット、金券、宿泊予約 &gt; プリペイドカード &gt; テレホンカード &gt; コミック、アニメーション &gt; た行 &gt; 逮捕しちゃうぞ</t>
  </si>
  <si>
    <t>0,2084043920,2084007688,23968,2084005120,2084034221,2084035221</t>
  </si>
  <si>
    <t>オークション &gt; 音楽 &gt; レコード &gt; 映画音楽 &gt; アクション、アドベンチャー</t>
  </si>
  <si>
    <t>モックアップ</t>
  </si>
  <si>
    <t>オークション &gt; 家電、AV、カメラ &gt; 携帯電話、スマートフォン &gt; モックアップ</t>
  </si>
  <si>
    <t>オークション &gt; チケット、金券、宿泊予約 &gt; プリペイドカード &gt; テレホンカード &gt; コミック、アニメーション &gt; た行 &gt; 鉄人28号</t>
  </si>
  <si>
    <t>オークション &gt; 音楽 &gt; レコード &gt; 映画音楽 &gt; アニメソング</t>
  </si>
  <si>
    <t>0,2084043920,2084007688,23968,2084005120,2084034221,2084035232</t>
  </si>
  <si>
    <t>タブレット端末</t>
  </si>
  <si>
    <t>オークション &gt; 家電、AV、カメラ &gt; 携帯電話、スマートフォン &gt; タブレット端末</t>
  </si>
  <si>
    <t>オークション &gt; 音楽 &gt; レコード &gt; 映画音楽 &gt; コメディ</t>
  </si>
  <si>
    <t>オークション &gt; チケット、金券、宿泊予約 &gt; プリペイドカード &gt; テレホンカード &gt; コミック、アニメーション &gt; た行 &gt; 鉄腕アトム</t>
  </si>
  <si>
    <t>0,2084043920,2084007688,23968,2084005120,2084034221,2084035233</t>
  </si>
  <si>
    <t>オークション &gt; 音楽 &gt; レコード &gt; 映画音楽 &gt; サスペンス</t>
  </si>
  <si>
    <t>ヘッドフォン、イヤフォン</t>
  </si>
  <si>
    <t>オークション &gt; チケット、金券、宿泊予約 &gt; プリペイドカード &gt; テレホンカード &gt; コミック、アニメーション &gt; た行 &gt; 天空のエスカフローネ</t>
  </si>
  <si>
    <t>0,2084043920,2084007688,23968,2084005120,2084034221,2084035238</t>
  </si>
  <si>
    <t>オークション &gt; 家電、AV、カメラ &gt; 携帯電話、スマートフォン &gt; ヘッドフォン、イヤフォン</t>
  </si>
  <si>
    <t>オークション &gt; 音楽 &gt; レコード &gt; 映画音楽 &gt; ドラマ</t>
  </si>
  <si>
    <t>オークション &gt; 家電、AV、カメラ &gt; 携帯電話、スマートフォン &gt; その他</t>
  </si>
  <si>
    <t>オークション &gt; 音楽 &gt; レコード &gt; 映画音楽 &gt; ホラー</t>
  </si>
  <si>
    <t>オークション &gt; チケット、金券、宿泊予約 &gt; プリペイドカード &gt; テレホンカード &gt; コミック、アニメーション &gt; た行 &gt; 天空戦記シュラト</t>
  </si>
  <si>
    <t>0,2084043920,2084007688,23968,2084005120,2084034221,2084035237</t>
  </si>
  <si>
    <t>オークション &gt; 事務、店舗用品 &gt; OA機器 &gt; ビジネスフォン &gt; NEC</t>
  </si>
  <si>
    <t>オークション &gt; 音楽 &gt; レコード &gt; 映画音楽 &gt; ミュージカル</t>
  </si>
  <si>
    <t>オークション &gt; チケット、金券、宿泊予約 &gt; プリペイドカード &gt; テレホンカード &gt; コミック、アニメーション &gt; た行 &gt; 天才バカボン</t>
  </si>
  <si>
    <t>0,2084043920,2084007688,23968,2084005120,2084034221,2084035239</t>
  </si>
  <si>
    <t>NTT</t>
  </si>
  <si>
    <t>オークション &gt; 事務、店舗用品 &gt; OA機器 &gt; ビジネスフォン &gt; NTT</t>
  </si>
  <si>
    <t>サクサ</t>
  </si>
  <si>
    <t>オークション &gt; 音楽 &gt; レコード &gt; 映画音楽 &gt; 時代劇</t>
  </si>
  <si>
    <t>オークション &gt; 事務、店舗用品 &gt; OA機器 &gt; ビジネスフォン &gt; サクサ</t>
  </si>
  <si>
    <t>オークション &gt; チケット、金券、宿泊予約 &gt; プリペイドカード &gt; テレホンカード &gt; コミック、アニメーション &gt; た行 &gt; 天地無用!</t>
  </si>
  <si>
    <t>0,2084043920,2084007688,23968,2084005120,2084034221,2084035241</t>
  </si>
  <si>
    <t>ナカヨ電子サービス</t>
  </si>
  <si>
    <t>オークション &gt; 音楽 &gt; レコード &gt; 映画音楽 &gt; 西部劇</t>
  </si>
  <si>
    <t>オークション &gt; 事務、店舗用品 &gt; OA機器 &gt; ビジネスフォン &gt; ナカヨ電子サービス</t>
  </si>
  <si>
    <t>オークション &gt; 音楽 &gt; レコード &gt; 映画音楽 &gt; 戦争</t>
  </si>
  <si>
    <t>オークション &gt; チケット、金券、宿泊予約 &gt; プリペイドカード &gt; テレホンカード &gt; コミック、アニメーション &gt; た行 &gt; その他</t>
  </si>
  <si>
    <t>0,2084043920,2084007688,23968,2084005120,2084034221,2084035223</t>
  </si>
  <si>
    <t>オークション &gt; 事務、店舗用品 &gt; OA機器 &gt; ビジネスフォン &gt; パナソニック</t>
  </si>
  <si>
    <t>オークション &gt; 音楽 &gt; レコード &gt; 映画音楽 &gt; その他</t>
  </si>
  <si>
    <t>岩崎通信機</t>
  </si>
  <si>
    <t>オークション &gt; 事務、店舗用品 &gt; OA機器 &gt; ビジネスフォン &gt; 岩崎通信機</t>
  </si>
  <si>
    <t>オークション &gt; 音楽 &gt; カセットテープ &gt; ジャパニーズポップス &gt; インディーズ</t>
  </si>
  <si>
    <t>オークション &gt; チケット、金券、宿泊予約 &gt; プリペイドカード &gt; テレホンカード &gt; コミック、アニメーション &gt; な行 &gt; NARUTO</t>
  </si>
  <si>
    <t>0,2084043920,2084007688,23968,2084005120,2084034230,2084035427</t>
  </si>
  <si>
    <t>日立製作所</t>
  </si>
  <si>
    <t>オークション &gt; 事務、店舗用品 &gt; OA機器 &gt; ビジネスフォン &gt; 日立製作所</t>
  </si>
  <si>
    <t>オークション &gt; 音楽 &gt; カセットテープ &gt; ジャパニーズポップス &gt; ロック、ポップス</t>
  </si>
  <si>
    <t>オークション &gt; チケット、金券、宿泊予約 &gt; プリペイドカード &gt; テレホンカード &gt; コミック、アニメーション &gt; な行 &gt; 南国少年パプワくん</t>
  </si>
  <si>
    <t>0,2084043920,2084007688,23968,2084005120,2084034230,2084035428</t>
  </si>
  <si>
    <t>オークション &gt; 事務、店舗用品 &gt; OA機器 &gt; ビジネスフォン &gt; その他</t>
  </si>
  <si>
    <t>オークション &gt; 音楽 &gt; カセットテープ &gt; ジャパニーズポップス &gt; その他</t>
  </si>
  <si>
    <t>オークション &gt; チケット、金券、宿泊予約 &gt; プリペイドカード &gt; テレホンカード &gt; コミック、アニメーション &gt; な行 &gt; 忍たま乱太郎</t>
  </si>
  <si>
    <t>オークション &gt; 事務、店舗用品 &gt; OA機器 &gt; 複合機、コピー機 &gt; 本体</t>
  </si>
  <si>
    <t>0,2084043920,2084007688,23968,2084005120,2084034230,2084035430</t>
  </si>
  <si>
    <t>オークション &gt; 音楽 &gt; カセットテープ &gt; ロック、ポップス（洋楽） &gt; ロック、ポップス一般</t>
  </si>
  <si>
    <t>サプライ</t>
  </si>
  <si>
    <t>オークション &gt; 事務、店舗用品 &gt; OA機器 &gt; 複合機、コピー機 &gt; サプライ</t>
  </si>
  <si>
    <t>オークション &gt; チケット、金券、宿泊予約 &gt; プリペイドカード &gt; テレホンカード &gt; コミック、アニメーション &gt; な行 &gt; その他</t>
  </si>
  <si>
    <t>オークション &gt; 音楽 &gt; カセットテープ &gt; ロック、ポップス（洋楽） &gt; ハードロック</t>
  </si>
  <si>
    <t>0,2084043920,2084007688,23968,2084005120,2084034230,2084035426</t>
  </si>
  <si>
    <t>キャラクター</t>
  </si>
  <si>
    <t>オークション &gt; チケット、金券、宿泊予約 &gt; プリペイドカード &gt; テレホンカード &gt; キャラクター</t>
  </si>
  <si>
    <t>オークション &gt; 音楽 &gt; カセットテープ &gt; ロック、ポップス（洋楽） &gt; パンク</t>
  </si>
  <si>
    <t>コミック、アニメーション</t>
  </si>
  <si>
    <t>オークション &gt; チケット、金券、宿泊予約 &gt; プリペイドカード &gt; テレホンカード &gt; コミック、アニメーション</t>
  </si>
  <si>
    <t>オークション &gt; 音楽 &gt; カセットテープ &gt; ロック、ポップス（洋楽） &gt; プログレッシブロック</t>
  </si>
  <si>
    <t>スポーツ</t>
  </si>
  <si>
    <t>オークション &gt; チケット、金券、宿泊予約 &gt; プリペイドカード &gt; テレホンカード &gt; スポーツ</t>
  </si>
  <si>
    <t>オークション &gt; チケット、金券、宿泊予約 &gt; プリペイドカード &gt; テレホンカード &gt; コミック、アニメーション &gt; は行 &gt; HUNTER×HUNTER</t>
  </si>
  <si>
    <t>0,2084043920,2084007688,23968,2084005120,2084037167,2084035583</t>
  </si>
  <si>
    <t>オークション &gt; 音楽 &gt; カセットテープ &gt; ロック、ポップス（洋楽） &gt; ポピュラーボーカル</t>
  </si>
  <si>
    <t>テレビゲーム</t>
  </si>
  <si>
    <t>オークション &gt; チケット、金券、宿泊予約 &gt; プリペイドカード &gt; テレホンカード &gt; テレビゲーム</t>
  </si>
  <si>
    <t>オークション &gt; チケット、金券、宿泊予約 &gt; プリペイドカード &gt; テレホンカード &gt; コミック、アニメーション &gt; は行 &gt; はじめの一歩</t>
  </si>
  <si>
    <t>オークション &gt; 音楽 &gt; カセットテープ &gt; ロック、ポップス（洋楽） &gt; その他</t>
  </si>
  <si>
    <t>0,2084043920,2084007688,23968,2084005120,2084037167,2084035578</t>
  </si>
  <si>
    <t>テレビ番組</t>
  </si>
  <si>
    <t>オークション &gt; チケット、金券、宿泊予約 &gt; プリペイドカード &gt; テレホンカード &gt; テレビ番組</t>
  </si>
  <si>
    <t>オークション &gt; 音楽 &gt; ビデオ &gt; ジャパニーズポップス &gt; インディーズ</t>
  </si>
  <si>
    <t>ミュージシャン</t>
  </si>
  <si>
    <t>オークション &gt; チケット、金券、宿泊予約 &gt; プリペイドカード &gt; テレホンカード &gt; ミュージシャン</t>
  </si>
  <si>
    <t>オークション &gt; チケット、金券、宿泊予約 &gt; プリペイドカード &gt; テレホンカード &gt; コミック、アニメーション &gt; は行 &gt; ふしぎの海のナディア</t>
  </si>
  <si>
    <t>0,2084043920,2084007688,23968,2084005120,2084037167,2084035589</t>
  </si>
  <si>
    <t>オークション &gt; 音楽 &gt; ビデオ &gt; ジャパニーズポップス &gt; ロック、ポップス</t>
  </si>
  <si>
    <t>ラジオ番組</t>
  </si>
  <si>
    <t>オークション &gt; チケット、金券、宿泊予約 &gt; プリペイドカード &gt; テレホンカード &gt; ラジオ番組</t>
  </si>
  <si>
    <t>オークション &gt; チケット、金券、宿泊予約 &gt; プリペイドカード &gt; テレホンカード &gt; コミック、アニメーション &gt; は行 &gt; ふしぎ遊戯</t>
  </si>
  <si>
    <t>オークション &gt; 音楽 &gt; ビデオ &gt; ジャパニーズポップス &gt; その他</t>
  </si>
  <si>
    <t>0,2084043920,2084007688,23968,2084005120,2084037167,2084035590</t>
  </si>
  <si>
    <t>映画</t>
  </si>
  <si>
    <t>オークション &gt; チケット、金券、宿泊予約 &gt; プリペイドカード &gt; テレホンカード &gt; 映画</t>
  </si>
  <si>
    <t>オークション &gt; 音楽 &gt; ビデオ &gt; ロック、ポップス（洋楽） &gt; ロック、ポップス一般</t>
  </si>
  <si>
    <t>芸術、アート</t>
  </si>
  <si>
    <t>オークション &gt; チケット、金券、宿泊予約 &gt; プリペイドカード &gt; テレホンカード &gt; コミック、アニメーション &gt; は行 &gt; バキ</t>
  </si>
  <si>
    <t>オークション &gt; チケット、金券、宿泊予約 &gt; プリペイドカード &gt; テレホンカード &gt; 芸術、アート</t>
  </si>
  <si>
    <t>0,2084043920,2084007688,23968,2084005120,2084037167,2084044161</t>
  </si>
  <si>
    <t>オークション &gt; 音楽 &gt; ビデオ &gt; ロック、ポップス（洋楽） &gt; ハードロック</t>
  </si>
  <si>
    <t>芸能人、タレント</t>
  </si>
  <si>
    <t>オークション &gt; チケット、金券、宿泊予約 &gt; プリペイドカード &gt; テレホンカード &gt; 芸能人、タレント</t>
  </si>
  <si>
    <t>オークション &gt; チケット、金券、宿泊予約 &gt; プリペイドカード &gt; テレホンカード &gt; コミック、アニメーション &gt; は行 &gt; バトルアスリーテス大運動会</t>
  </si>
  <si>
    <t>0,2084043920,2084007688,23968,2084005120,2084037167,2084035580</t>
  </si>
  <si>
    <t>オークション &gt; 音楽 &gt; ビデオ &gt; ロック、ポップス（洋楽） &gt; パンク</t>
  </si>
  <si>
    <t>航空機</t>
  </si>
  <si>
    <t>オークション &gt; チケット、金券、宿泊予約 &gt; プリペイドカード &gt; テレホンカード &gt; 航空機</t>
  </si>
  <si>
    <t>自動車</t>
  </si>
  <si>
    <t>オークション &gt; 音楽 &gt; ビデオ &gt; ロック、ポップス（洋楽） &gt; プログレッシブロック</t>
  </si>
  <si>
    <t>オークション &gt; チケット、金券、宿泊予約 &gt; プリペイドカード &gt; テレホンカード &gt; コミック、アニメーション &gt; は行 &gt; ファイブスター物語</t>
  </si>
  <si>
    <t>オークション &gt; チケット、金券、宿泊予約 &gt; プリペイドカード &gt; テレホンカード &gt; 自動車</t>
  </si>
  <si>
    <t>0,2084043920,2084007688,23968,2084005120,2084037167,2084035587</t>
  </si>
  <si>
    <t>植物</t>
  </si>
  <si>
    <t>オークション &gt; 音楽 &gt; ビデオ &gt; ロック、ポップス（洋楽） &gt; ポピュラーボーカル</t>
  </si>
  <si>
    <t>オークション &gt; チケット、金券、宿泊予約 &gt; プリペイドカード &gt; テレホンカード &gt; 植物</t>
  </si>
  <si>
    <t>フルーツバスケット</t>
  </si>
  <si>
    <t>オークション &gt; チケット、金券、宿泊予約 &gt; プリペイドカード &gt; テレホンカード &gt; コミック、アニメーション &gt; は行 &gt; フルーツバスケット</t>
  </si>
  <si>
    <t>0,2084043920,2084007688,23968,2084005120,2084037167,2084048375</t>
  </si>
  <si>
    <t>オークション &gt; 音楽 &gt; ビデオ &gt; ロック、ポップス（洋楽） &gt; その他</t>
  </si>
  <si>
    <t>オークション &gt; チケット、金券、宿泊予約 &gt; プリペイドカード &gt; テレホンカード &gt; 声優</t>
  </si>
  <si>
    <t>オークション &gt; チケット、金券、宿泊予約 &gt; プリペイドカード &gt; テレホンカード &gt; コミック、アニメーション &gt; は行 &gt; ブラックジャック</t>
  </si>
  <si>
    <t>0,2084043920,2084007688,23968,2084005120,2084037167,2084035591</t>
  </si>
  <si>
    <t>鉄道</t>
  </si>
  <si>
    <t>オークション &gt; チケット、金券、宿泊予約 &gt; プリペイドカード &gt; テレホンカード &gt; 鉄道</t>
  </si>
  <si>
    <t>オークション &gt; 音楽 &gt; レーザーディスク &gt; ジャパニーズポップス &gt; インディーズ</t>
  </si>
  <si>
    <t>オークション &gt; チケット、金券、宿泊予約 &gt; プリペイドカード &gt; テレホンカード &gt; コミック、アニメーション &gt; は行 &gt; ベルサイユのばら</t>
  </si>
  <si>
    <t>0,2084043920,2084007688,23968,2084005120,2084037167,2084035571</t>
  </si>
  <si>
    <t>動物</t>
  </si>
  <si>
    <t>オークション &gt; チケット、金券、宿泊予約 &gt; プリペイドカード &gt; テレホンカード &gt; 動物</t>
  </si>
  <si>
    <t>オークション &gt; 音楽 &gt; レーザーディスク &gt; ジャパニーズポップス &gt; ロック、ポップス</t>
  </si>
  <si>
    <t>オークション &gt; チケット、金券、宿泊予約 &gt; プリペイドカード &gt; テレホンカード &gt; コミック、アニメーション &gt; は行 &gt; ベルセルク</t>
  </si>
  <si>
    <t>風景</t>
  </si>
  <si>
    <t>0,2084043920,2084007688,23968,2084005120,2084037167,2084035572</t>
  </si>
  <si>
    <t>オークション &gt; チケット、金券、宿泊予約 &gt; プリペイドカード &gt; テレホンカード &gt; 風景</t>
  </si>
  <si>
    <t>オークション &gt; 音楽 &gt; レーザーディスク &gt; ジャパニーズポップス &gt; その他</t>
  </si>
  <si>
    <t>オークション &gt; チケット、金券、宿泊予約 &gt; プリペイドカード &gt; テレホンカード &gt; コミック、アニメーション &gt; は行 &gt; ヴァイスクロイツ</t>
  </si>
  <si>
    <t>オークション &gt; チケット、金券、宿泊予約 &gt; プリペイドカード &gt; テレホンカード &gt; その他</t>
  </si>
  <si>
    <t>0,2084043920,2084007688,23968,2084005120,2084037167,2084044312</t>
  </si>
  <si>
    <t>オークション &gt; 音楽 &gt; レーザーディスク &gt; ロック、ポップス（洋楽） &gt; ロック、ポップス一般</t>
  </si>
  <si>
    <t>オークション &gt; チケット、金券、宿泊予約 &gt; プリペイドカード &gt; テレホンカード &gt; コミック、アニメーション &gt; は行 &gt; 覇王大系 リューナイト</t>
  </si>
  <si>
    <t>0,2084043920,2084007688,23968,2084005120,2084037167,2084035574</t>
  </si>
  <si>
    <t>オークション &gt; 音楽 &gt; レーザーディスク &gt; ロック、ポップス（洋楽） &gt; ハードロック</t>
  </si>
  <si>
    <t>オークション &gt; チケット、金券、宿泊予約 &gt; プリペイドカード &gt; テレホンカード &gt; コミック、アニメーション &gt; は行 &gt; 爆走兄弟レッツ&amp;ゴー!!</t>
  </si>
  <si>
    <t>0,2084043920,2084007688,23968,2084005120,2084037167,2084035576</t>
  </si>
  <si>
    <t>オークション &gt; 音楽 &gt; レーザーディスク &gt; ロック、ポップス（洋楽） &gt; パンク</t>
  </si>
  <si>
    <t>オークション &gt; チケット、金券、宿泊予約 &gt; プリペイドカード &gt; テレホンカード &gt; コミック、アニメーション &gt; は行 &gt; 封神演義</t>
  </si>
  <si>
    <t>オークション &gt; 音楽 &gt; レーザーディスク &gt; ロック、ポップス（洋楽） &gt; プログレッシブロック</t>
  </si>
  <si>
    <t>0,2084043920,2084007688,23968,2084005120,2084037167,2084035592</t>
  </si>
  <si>
    <t>オークション &gt; 音楽 &gt; レーザーディスク &gt; ロック、ポップス（洋楽） &gt; ポピュラーボーカル</t>
  </si>
  <si>
    <t>オークション &gt; チケット、金券、宿泊予約 &gt; プリペイドカード &gt; テレホンカード &gt; コミック、アニメーション &gt; は行 &gt; 母をたずねて三千里</t>
  </si>
  <si>
    <t>0,2084043920,2084007688,23968,2084005120,2084037167,2084035581</t>
  </si>
  <si>
    <t>オークション &gt; 音楽 &gt; レーザーディスク &gt; ロック、ポップス（洋楽） &gt; その他</t>
  </si>
  <si>
    <t>オークション &gt; チケット、金券、宿泊予約 &gt; プリペイドカード &gt; テレホンカード &gt; コミック、アニメーション &gt; は行 &gt; 北斗の拳</t>
  </si>
  <si>
    <t>0,2084043920,2084007688,23968,2084005120,2084037167,2084035593</t>
  </si>
  <si>
    <t>エレキギター</t>
  </si>
  <si>
    <t>オークション &gt; ホビー、カルチャー &gt; 楽器、器材 &gt; ギター &gt; エレキギター</t>
  </si>
  <si>
    <t>オークション &gt; チケット、金券、宿泊予約 &gt; プリペイドカード &gt; テレホンカード &gt; コミック、アニメーション &gt; は行 &gt; 万能文化猫娘</t>
  </si>
  <si>
    <t>アコースティックギター</t>
  </si>
  <si>
    <t>0,2084043920,2084007688,23968,2084005120,2084037167,2084035584</t>
  </si>
  <si>
    <t>オークション &gt; ホビー、カルチャー &gt; 楽器、器材 &gt; ギター &gt; アコースティックギター</t>
  </si>
  <si>
    <t>クラシックギター</t>
  </si>
  <si>
    <t>オークション &gt; ホビー、カルチャー &gt; 楽器、器材 &gt; ギター &gt; クラシックギター</t>
  </si>
  <si>
    <t>オークション &gt; チケット、金券、宿泊予約 &gt; プリペイドカード &gt; テレホンカード &gt; コミック、アニメーション &gt; は行 &gt; その他</t>
  </si>
  <si>
    <t>0,2084043920,2084007688,23968,2084005120,2084037167,2084035575</t>
  </si>
  <si>
    <t>フラメンコギター</t>
  </si>
  <si>
    <t>オークション &gt; ホビー、カルチャー &gt; 楽器、器材 &gt; ギター &gt; フラメンコギター</t>
  </si>
  <si>
    <t>ウクレレ</t>
  </si>
  <si>
    <t>オークション &gt; 事務、店舗用品 &gt; OA機器 &gt; ファクシミリ &gt; サプライ</t>
  </si>
  <si>
    <t>オークション &gt; ホビー、カルチャー &gt; 楽器、器材 &gt; ギター &gt; ウクレレ</t>
  </si>
  <si>
    <t>オークション &gt; チケット、金券、宿泊予約 &gt; プリペイドカード &gt; テレホンカード &gt; コミック、アニメーション &gt; ま行 &gt; まもって守護月天</t>
  </si>
  <si>
    <t>0,2084043920,2084007688,23968,2084005120,2084034248,2084035824</t>
  </si>
  <si>
    <t>ファクシミリホン</t>
  </si>
  <si>
    <t>オークション &gt; 事務、店舗用品 &gt; OA機器 &gt; ファクシミリ &gt; ファクシミリホン</t>
  </si>
  <si>
    <t>オークション &gt; ホビー、カルチャー &gt; 楽器、器材 &gt; ギター &gt; アクセサリー</t>
  </si>
  <si>
    <t>オークション &gt; チケット、金券、宿泊予約 &gt; プリペイドカード &gt; テレホンカード &gt; コミック、アニメーション &gt; ま行 &gt; めぞん一刻</t>
  </si>
  <si>
    <t>0,2084043920,2084007688,23968,2084005120,2084034248,2084035832</t>
  </si>
  <si>
    <t>オークション &gt; 事務、店舗用品 &gt; OA機器 &gt; ファクシミリ &gt; 一般</t>
  </si>
  <si>
    <t>ベース</t>
  </si>
  <si>
    <t>オークション &gt; ホビー、カルチャー &gt; 楽器、器材 &gt; ギター &gt; ベース</t>
  </si>
  <si>
    <t>オークション &gt; チケット、金券、宿泊予約 &gt; プリペイドカード &gt; テレホンカード &gt; コミック、アニメーション &gt; ま行 &gt; もののけ姫</t>
  </si>
  <si>
    <t>オークション &gt; 事務、店舗用品 &gt; OA機器 &gt; ファクシミリ &gt; 周辺機器</t>
  </si>
  <si>
    <t>0,2084043920,2084007688,23968,2084005120,2084034248,2084048884</t>
  </si>
  <si>
    <t>オークション &gt; ホビー、カルチャー &gt; 楽器、器材 &gt; ギター &gt; その他</t>
  </si>
  <si>
    <t>エレキベース本体</t>
  </si>
  <si>
    <t>オークション &gt; 事務、店舗用品 &gt; OA機器 &gt; 電子辞書 &gt; カシオ</t>
  </si>
  <si>
    <t>オークション &gt; チケット、金券、宿泊予約 &gt; プリペイドカード &gt; テレホンカード &gt; コミック、アニメーション &gt; ま行 &gt; マクロス</t>
  </si>
  <si>
    <t>オークション &gt; ホビー、カルチャー &gt; 楽器、器材 &gt; ベース &gt; エレキベース本体</t>
  </si>
  <si>
    <t>0,2084043920,2084007688,23968,2084005120,2084034248,2084035808</t>
  </si>
  <si>
    <t>アコースティックベース</t>
  </si>
  <si>
    <t>オークション &gt; チケット、金券、宿泊予約 &gt; プリペイドカード &gt; テレホンカード &gt; コミック、アニメーション &gt; ま行 &gt; マジンガーZ</t>
  </si>
  <si>
    <t>オークション &gt; ホビー、カルチャー &gt; 楽器、器材 &gt; ベース &gt; アコースティックベース</t>
  </si>
  <si>
    <t>オークション &gt; 事務、店舗用品 &gt; OA機器 &gt; 電子辞書 &gt; キヤノン</t>
  </si>
  <si>
    <t>0,2084043920,2084007688,23968,2084005120,2084034248,2084035814</t>
  </si>
  <si>
    <t>EUB</t>
  </si>
  <si>
    <t>シチズン</t>
  </si>
  <si>
    <t>オークション &gt; ホビー、カルチャー &gt; 楽器、器材 &gt; ベース &gt; EUB</t>
  </si>
  <si>
    <t>オークション &gt; 事務、店舗用品 &gt; OA機器 &gt; 電子辞書 &gt; シチズン</t>
  </si>
  <si>
    <t>オークション &gt; チケット、金券、宿泊予約 &gt; プリペイドカード &gt; テレホンカード &gt; コミック、アニメーション &gt; ま行 &gt; ママレード・ボーイ</t>
  </si>
  <si>
    <t>0,2084043920,2084007688,23968,2084005120,2084034248,2084035823</t>
  </si>
  <si>
    <t>ウッドベース、コントラバス</t>
  </si>
  <si>
    <t>オークション &gt; ホビー、カルチャー &gt; 楽器、器材 &gt; ベース &gt; ウッドベース、コントラバス</t>
  </si>
  <si>
    <t>オークション &gt; 事務、店舗用品 &gt; OA機器 &gt; 電子辞書 &gt; シャープ</t>
  </si>
  <si>
    <t>オークション &gt; チケット、金券、宿泊予約 &gt; プリペイドカード &gt; テレホンカード &gt; コミック、アニメーション &gt; ま行 &gt; メガゾーン23</t>
  </si>
  <si>
    <t>0,2084043920,2084007688,23968,2084005120,2084034248,2084035831</t>
  </si>
  <si>
    <t>エレキベースパーツ</t>
  </si>
  <si>
    <t>オークション &gt; 事務、店舗用品 &gt; OA機器 &gt; 電子辞書 &gt; セイコー</t>
  </si>
  <si>
    <t>オークション &gt; ホビー、カルチャー &gt; 楽器、器材 &gt; ベース &gt; エレキベースパーツ</t>
  </si>
  <si>
    <t>ベースアンプ</t>
  </si>
  <si>
    <t>オークション &gt; ホビー、カルチャー &gt; 楽器、器材 &gt; ベース &gt; ベースアンプ</t>
  </si>
  <si>
    <t>オークション &gt; チケット、金券、宿泊予約 &gt; プリペイドカード &gt; テレホンカード &gt; コミック、アニメーション &gt; ま行 &gt; 魔術士オーフェン</t>
  </si>
  <si>
    <t>0,2084043920,2084007688,23968,2084005120,2084034248,2084035810</t>
  </si>
  <si>
    <t>オークション &gt; 事務、店舗用品 &gt; OA機器 &gt; 電子辞書 &gt; ソニー</t>
  </si>
  <si>
    <t>ベースエフェクター</t>
  </si>
  <si>
    <t>オークション &gt; ホビー、カルチャー &gt; 楽器、器材 &gt; ベース &gt; ベースエフェクター</t>
  </si>
  <si>
    <t>ベースケース</t>
  </si>
  <si>
    <t>オークション &gt; 事務、店舗用品 &gt; OA機器 &gt; 電子辞書 &gt; その他</t>
  </si>
  <si>
    <t>オークション &gt; チケット、金券、宿泊予約 &gt; プリペイドカード &gt; テレホンカード &gt; コミック、アニメーション &gt; ま行 &gt; 魔女の宅急便</t>
  </si>
  <si>
    <t>オークション &gt; ホビー、カルチャー &gt; 楽器、器材 &gt; ベース &gt; ベースケース</t>
  </si>
  <si>
    <t>0,2084043920,2084007688,23968,2084005120,2084034248,2084035812</t>
  </si>
  <si>
    <t>アマダナ</t>
  </si>
  <si>
    <t>シールド</t>
  </si>
  <si>
    <t>オークション &gt; チケット、金券、宿泊予約 &gt; プリペイドカード &gt; テレホンカード &gt; コミック、アニメーション &gt; ま行 &gt; 魔神英雄伝ワタル</t>
  </si>
  <si>
    <t>オークション &gt; 事務、店舗用品 &gt; OA機器 &gt; 電卓 &gt; アマダナ</t>
  </si>
  <si>
    <t>オークション &gt; ホビー、カルチャー &gt; 楽器、器材 &gt; ベース &gt; シールド</t>
  </si>
  <si>
    <t>0,2084043920,2084007688,23968,2084005120,2084034248,2084035813</t>
  </si>
  <si>
    <t>スタンド</t>
  </si>
  <si>
    <t>オークション &gt; ホビー、カルチャー &gt; 楽器、器材 &gt; ベース &gt; スタンド</t>
  </si>
  <si>
    <t>オークション &gt; 事務、店舗用品 &gt; OA機器 &gt; 電卓 &gt; カシオ</t>
  </si>
  <si>
    <t>オークション &gt; チケット、金券、宿泊予約 &gt; プリペイドカード &gt; テレホンカード &gt; コミック、アニメーション &gt; ま行 &gt; 魔動王 グランゾート</t>
  </si>
  <si>
    <t>0,2084043920,2084007688,23968,2084005120,2084034248,2084035816</t>
  </si>
  <si>
    <t>オークション &gt; ホビー、カルチャー &gt; 楽器、器材 &gt; ベース &gt; ストラップ</t>
  </si>
  <si>
    <t>オークション &gt; 事務、店舗用品 &gt; OA機器 &gt; 電卓 &gt; シチズン</t>
  </si>
  <si>
    <t>オークション &gt; ホビー、カルチャー &gt; 楽器、器材 &gt; ベース &gt; チューナー</t>
  </si>
  <si>
    <t>オークション &gt; チケット、金券、宿泊予約 &gt; プリペイドカード &gt; テレホンカード &gt; コミック、アニメーション &gt; ま行 &gt; 魔法のステージ ファンシーララ</t>
  </si>
  <si>
    <t>オークション &gt; 事務、店舗用品 &gt; OA機器 &gt; 電卓 &gt; シャープ</t>
  </si>
  <si>
    <t>0,2084043920,2084007688,23968,2084005120,2084034248,2084035821</t>
  </si>
  <si>
    <t>ピック</t>
  </si>
  <si>
    <t>オークション &gt; ホビー、カルチャー &gt; 楽器、器材 &gt; ベース &gt; ピック</t>
  </si>
  <si>
    <t>オークション &gt; 事務、店舗用品 &gt; OA機器 &gt; 電卓 &gt; その他</t>
  </si>
  <si>
    <t>オークション &gt; チケット、金券、宿泊予約 &gt; プリペイドカード &gt; テレホンカード &gt; コミック、アニメーション &gt; ま行 &gt; 魔法の天使 クリィミーマミ</t>
  </si>
  <si>
    <t>0,2084043920,2084007688,23968,2084005120,2084034248,2084035822</t>
  </si>
  <si>
    <t>ベース弦</t>
  </si>
  <si>
    <t>単3形</t>
  </si>
  <si>
    <t>オークション &gt; ホビー、カルチャー &gt; 楽器、器材 &gt; ベース &gt; ベース弦</t>
  </si>
  <si>
    <t>オークション &gt; 家電、AV、カメラ &gt; 電池、バッテリー、充電器 &gt; アルカリ乾電池 &gt; 単3形</t>
  </si>
  <si>
    <t>オークション &gt; チケット、金券、宿泊予約 &gt; プリペイドカード &gt; テレホンカード &gt; コミック、アニメーション &gt; ま行 &gt; 魔法騎士レイアース</t>
  </si>
  <si>
    <t>単4形</t>
  </si>
  <si>
    <t>0,2084043920,2084007688,23968,2084005120,2084034248,2084035809</t>
  </si>
  <si>
    <t>オークション &gt; ホビー、カルチャー &gt; 楽器、器材 &gt; ベース &gt; その他</t>
  </si>
  <si>
    <t>オークション &gt; 家電、AV、カメラ &gt; 電池、バッテリー、充電器 &gt; アルカリ乾電池 &gt; 単4形</t>
  </si>
  <si>
    <t>ギター</t>
  </si>
  <si>
    <t>オークション &gt; ホビー、カルチャー &gt; 楽器、器材 &gt; 弦楽器 &gt; ギター</t>
  </si>
  <si>
    <t>オークション &gt; チケット、金券、宿泊予約 &gt; プリペイドカード &gt; テレホンカード &gt; コミック、アニメーション &gt; ま行 &gt; 魔法少女プリティサミー</t>
  </si>
  <si>
    <t>0,2084043920,2084007688,23968,2084005120,2084034248,2084035817</t>
  </si>
  <si>
    <t>オークション &gt; 家電、AV、カメラ &gt; 電池、バッテリー、充電器 &gt; アルカリ乾電池 &gt; その他</t>
  </si>
  <si>
    <t>オークション &gt; ホビー、カルチャー &gt; 楽器、器材 &gt; 弦楽器 &gt; ベース</t>
  </si>
  <si>
    <t>オークション &gt; チケット、金券、宿泊予約 &gt; プリペイドカード &gt; テレホンカード &gt; コミック、アニメーション &gt; ま行 &gt; 魔法陣グルグル</t>
  </si>
  <si>
    <t>0,2084043920,2084007688,23968,2084005120,2084034248,2084035818</t>
  </si>
  <si>
    <t>オークション &gt; 家電、AV、カメラ &gt; 電池、バッテリー、充電器 &gt; 充電池 &gt; 単3形</t>
  </si>
  <si>
    <t>オークション &gt; ホビー、カルチャー &gt; 楽器、器材 &gt; 弦楽器 &gt; ウクレレ</t>
  </si>
  <si>
    <t>オークション &gt; チケット、金券、宿泊予約 &gt; プリペイドカード &gt; テレホンカード &gt; コミック、アニメーション &gt; ま行 &gt; 名探偵コナン</t>
  </si>
  <si>
    <t>0,2084043920,2084007688,23968,2084005120,2084034248,2084035829</t>
  </si>
  <si>
    <t>オークション &gt; 家電、AV、カメラ &gt; 電池、バッテリー、充電器 &gt; 充電池 &gt; 単4形</t>
  </si>
  <si>
    <t>コントラバス</t>
  </si>
  <si>
    <t>オークション &gt; ホビー、カルチャー &gt; 楽器、器材 &gt; 弦楽器 &gt; コントラバス</t>
  </si>
  <si>
    <t>充電器</t>
  </si>
  <si>
    <t>オークション &gt; チケット、金券、宿泊予約 &gt; プリペイドカード &gt; テレホンカード &gt; コミック、アニメーション &gt; ま行 &gt; その他</t>
  </si>
  <si>
    <t>オークション &gt; 家電、AV、カメラ &gt; 電池、バッテリー、充電器 &gt; 充電池 &gt; 充電器</t>
  </si>
  <si>
    <t>0,2084043920,2084007688,23968,2084005120,2084034248,2084035807</t>
  </si>
  <si>
    <t>チェロ</t>
  </si>
  <si>
    <t>オークション &gt; ホビー、カルチャー &gt; 楽器、器材 &gt; 弦楽器 &gt; チェロ</t>
  </si>
  <si>
    <t>オークション &gt; 家電、AV、カメラ &gt; 電池、バッテリー、充電器 &gt; 充電池 &gt; その他</t>
  </si>
  <si>
    <t>バイオリン</t>
  </si>
  <si>
    <t>オークション &gt; ホビー、カルチャー &gt; 楽器、器材 &gt; 弦楽器 &gt; バイオリン</t>
  </si>
  <si>
    <t>オークション &gt; チケット、金券、宿泊予約 &gt; プリペイドカード &gt; テレホンカード &gt; コミック、アニメーション &gt; や行 &gt; YAWARA!</t>
  </si>
  <si>
    <t>0,2084043920,2084007688,23968,2084005120,2084034257,2084035990</t>
  </si>
  <si>
    <t>ビオラ</t>
  </si>
  <si>
    <t>オークション &gt; チケット、金券、宿泊予約 &gt; プリペイドカード &gt; テレホンカード &gt; コミック、アニメーション &gt; や行 &gt; 闇の末裔</t>
  </si>
  <si>
    <t>オークション &gt; ホビー、カルチャー &gt; 楽器、器材 &gt; 弦楽器 &gt; ビオラ</t>
  </si>
  <si>
    <t>0,2084043920,2084007688,23968,2084005120,2084034257,2084035989</t>
  </si>
  <si>
    <t>マンドリン</t>
  </si>
  <si>
    <t>オークション &gt; チケット、金券、宿泊予約 &gt; プリペイドカード &gt; テレホンカード &gt; コミック、アニメーション &gt; や行 &gt; 鎧伝サムライトルーパー</t>
  </si>
  <si>
    <t>オークション &gt; ホビー、カルチャー &gt; 楽器、器材 &gt; 弦楽器 &gt; マンドリン</t>
  </si>
  <si>
    <t>0,2084043920,2084007688,23968,2084005120,2084034257,2084035995</t>
  </si>
  <si>
    <t>胡弓</t>
  </si>
  <si>
    <t>オークション &gt; ホビー、カルチャー &gt; 楽器、器材 &gt; 弦楽器 &gt; 胡弓</t>
  </si>
  <si>
    <t>オークション &gt; チケット、金券、宿泊予約 &gt; プリペイドカード &gt; テレホンカード &gt; コミック、アニメーション &gt; や行 &gt; 八雲立つ</t>
  </si>
  <si>
    <t>0,2084043920,2084007688,23968,2084005120,2084034257,2084035988</t>
  </si>
  <si>
    <t>三線</t>
  </si>
  <si>
    <t>オークション &gt; ホビー、カルチャー &gt; 楽器、器材 &gt; 弦楽器 &gt; 三線</t>
  </si>
  <si>
    <t>オークション &gt; チケット、金券、宿泊予約 &gt; プリペイドカード &gt; テレホンカード &gt; コミック、アニメーション &gt; や行 &gt; 勇者王ガオガイガー</t>
  </si>
  <si>
    <t>0,2084043920,2084007688,23968,2084005120,2084034257,2084035991</t>
  </si>
  <si>
    <t>三味線</t>
  </si>
  <si>
    <t>オークション &gt; ホビー、カルチャー &gt; 楽器、器材 &gt; 弦楽器 &gt; 三味線</t>
  </si>
  <si>
    <t>オークション &gt; チケット、金券、宿泊予約 &gt; プリペイドカード &gt; テレホンカード &gt; コミック、アニメーション &gt; や行 &gt; 勇者警察ジェイデッカー</t>
  </si>
  <si>
    <t>0,2084043920,2084007688,23968,2084005120,2084034257,2084035992</t>
  </si>
  <si>
    <t>大正琴</t>
  </si>
  <si>
    <t>オークション &gt; ホビー、カルチャー &gt; 楽器、器材 &gt; 弦楽器 &gt; 大正琴</t>
  </si>
  <si>
    <t>琵琶</t>
  </si>
  <si>
    <t>ニンテンドースイッチ本体</t>
  </si>
  <si>
    <t>オークション &gt; ホビー、カルチャー &gt; 楽器、器材 &gt; 弦楽器 &gt; 琵琶</t>
  </si>
  <si>
    <t>オークション &gt; チケット、金券、宿泊予約 &gt; プリペイドカード &gt; テレホンカード &gt; コミック、アニメーション &gt; や行 &gt; 勇者司令 ダグオン</t>
  </si>
  <si>
    <t>オークション &gt; おもちゃ、ゲーム &gt; ゲーム &gt; テレビゲーム &gt; ニンテンドースイッチ &gt; ニンテンドースイッチ本体</t>
  </si>
  <si>
    <t>0,2084043920,2084007688,23968,2084005120,2084034257,2084035993</t>
  </si>
  <si>
    <t>筝、琴</t>
  </si>
  <si>
    <t>ニンテンドースイッチソフト</t>
  </si>
  <si>
    <t>オークション &gt; ホビー、カルチャー &gt; 楽器、器材 &gt; 弦楽器 &gt; 筝、琴</t>
  </si>
  <si>
    <t>オークション &gt; おもちゃ、ゲーム &gt; ゲーム &gt; テレビゲーム &gt; ニンテンドースイッチ &gt; ニンテンドースイッチソフト</t>
  </si>
  <si>
    <t>オークション &gt; チケット、金券、宿泊予約 &gt; プリペイドカード &gt; テレホンカード &gt; コミック、アニメーション &gt; や行 &gt; 幽遊白書</t>
  </si>
  <si>
    <t>0,2084043920,2084007688,23968,2084005120,2084034257,2084035994</t>
  </si>
  <si>
    <t>ニンテンドースイッチアクセサリー</t>
  </si>
  <si>
    <t>オークション &gt; おもちゃ、ゲーム &gt; ゲーム &gt; テレビゲーム &gt; ニンテンドースイッチ &gt; ニンテンドースイッチアクセサリー</t>
  </si>
  <si>
    <t>オークション &gt; ホビー、カルチャー &gt; 楽器、器材 &gt; 弦楽器 &gt; アクセサリー</t>
  </si>
  <si>
    <t>オークション &gt; チケット、金券、宿泊予約 &gt; プリペイドカード &gt; テレホンカード &gt; コミック、アニメーション &gt; や行 &gt; その他</t>
  </si>
  <si>
    <t>0,2084043920,2084007688,23968,2084005120,2084034257,2084035987</t>
  </si>
  <si>
    <t>ニンテンドークラシックミニ本体</t>
  </si>
  <si>
    <t>オークション &gt; おもちゃ、ゲーム &gt; ゲーム &gt; テレビゲーム &gt; ニンテンドークラシックミニ &gt; ニンテンドークラシックミニ本体</t>
  </si>
  <si>
    <t>楽譜（弦楽器曲）</t>
  </si>
  <si>
    <t>オークション &gt; ホビー、カルチャー &gt; 楽器、器材 &gt; 弦楽器 &gt; 楽譜（弦楽器曲）</t>
  </si>
  <si>
    <t>ニンテンドークラシックミニアクセサリー</t>
  </si>
  <si>
    <t>オークション &gt; おもちゃ、ゲーム &gt; ゲーム &gt; テレビゲーム &gt; ニンテンドークラシックミニ &gt; ニンテンドークラシックミニアクセサリー</t>
  </si>
  <si>
    <t>オークション &gt; ホビー、カルチャー &gt; 楽器、器材 &gt; 弦楽器 &gt; その他</t>
  </si>
  <si>
    <t>オークション &gt; チケット、金券、宿泊予約 &gt; プリペイドカード &gt; テレホンカード &gt; コミック、アニメーション &gt; ら行 &gt; ROOKIES</t>
  </si>
  <si>
    <t>0,2084043920,2084007688,23968,2084005120,2084034266,2084044131</t>
  </si>
  <si>
    <t>ニンテンドー3DS LL本体</t>
  </si>
  <si>
    <t>オークション &gt; おもちゃ、ゲーム &gt; ゲーム &gt; テレビゲーム &gt; ニンテンドー3DS &gt; ニンテンドー3DS LL本体</t>
  </si>
  <si>
    <t>オーボエ</t>
  </si>
  <si>
    <t>ニンテンドー3DS本体</t>
  </si>
  <si>
    <t>オークション &gt; おもちゃ、ゲーム &gt; ゲーム &gt; テレビゲーム &gt; ニンテンドー3DS &gt; ニンテンドー3DS本体</t>
  </si>
  <si>
    <t>オークション &gt; チケット、金券、宿泊予約 &gt; プリペイドカード &gt; テレホンカード &gt; コミック、アニメーション &gt; ら行 &gt; らんま1/2</t>
  </si>
  <si>
    <t>オークション &gt; ホビー、カルチャー &gt; 楽器、器材 &gt; 管楽器 &gt; オーボエ</t>
  </si>
  <si>
    <t>0,2084043920,2084007688,23968,2084005120,2084034266,2084036067</t>
  </si>
  <si>
    <t>ニンテンドー3DS専用ソフト</t>
  </si>
  <si>
    <t>オークション &gt; おもちゃ、ゲーム &gt; ゲーム &gt; テレビゲーム &gt; ニンテンドー3DS &gt; ニンテンドー3DS専用ソフト</t>
  </si>
  <si>
    <t>クラリネット</t>
  </si>
  <si>
    <t>オークション &gt; ホビー、カルチャー &gt; 楽器、器材 &gt; 管楽器 &gt; クラリネット</t>
  </si>
  <si>
    <t>オークション &gt; チケット、金券、宿泊予約 &gt; プリペイドカード &gt; テレホンカード &gt; コミック、アニメーション &gt; ら行 &gt; るろうに剣心</t>
  </si>
  <si>
    <t>0,2084043920,2084007688,23968,2084005120,2084034266,2084036070</t>
  </si>
  <si>
    <t>ニンテンドーDS用ソフト</t>
  </si>
  <si>
    <t>オークション &gt; おもちゃ、ゲーム &gt; ゲーム &gt; テレビゲーム &gt; ニンテンドー3DS &gt; ニンテンドーDS用ソフト</t>
  </si>
  <si>
    <t>コルネット</t>
  </si>
  <si>
    <t>オークション &gt; ホビー、カルチャー &gt; 楽器、器材 &gt; 管楽器 &gt; コルネット</t>
  </si>
  <si>
    <t>オークション &gt; チケット、金券、宿泊予約 &gt; プリペイドカード &gt; テレホンカード &gt; コミック、アニメーション &gt; ら行 &gt; ライディーン</t>
  </si>
  <si>
    <t>0,2084043920,2084007688,23968,2084005120,2084034266,2084036063</t>
  </si>
  <si>
    <t>サックス</t>
  </si>
  <si>
    <t>オークション &gt; ホビー、カルチャー &gt; 楽器、器材 &gt; 管楽器 &gt; サックス</t>
  </si>
  <si>
    <t>アクセサリ、周辺機器</t>
  </si>
  <si>
    <t>オークション &gt; おもちゃ、ゲーム &gt; ゲーム &gt; テレビゲーム &gt; ニンテンドー3DS &gt; アクセサリ、周辺機器</t>
  </si>
  <si>
    <t>チューバ</t>
  </si>
  <si>
    <t>オークション &gt; チケット、金券、宿泊予約 &gt; プリペイドカード &gt; テレホンカード &gt; コミック、アニメーション &gt; ら行 &gt; ラブひな</t>
  </si>
  <si>
    <t>オークション &gt; ホビー、カルチャー &gt; 楽器、器材 &gt; 管楽器 &gt; チューバ</t>
  </si>
  <si>
    <t>0,2084043920,2084007688,23968,2084005120,2084034266,2084036065</t>
  </si>
  <si>
    <t>ニンテンドーDS本体</t>
  </si>
  <si>
    <t>オークション &gt; おもちゃ、ゲーム &gt; ゲーム &gt; テレビゲーム &gt; ニンテンドーDS &gt; ニンテンドーDS本体</t>
  </si>
  <si>
    <t>トランペット</t>
  </si>
  <si>
    <t>オークション &gt; ホビー、カルチャー &gt; 楽器、器材 &gt; 管楽器 &gt; トランペット</t>
  </si>
  <si>
    <t>ニンテンドーDSソフト</t>
  </si>
  <si>
    <t>オークション &gt; おもちゃ、ゲーム &gt; ゲーム &gt; テレビゲーム &gt; ニンテンドーDS &gt; ニンテンドーDSソフト</t>
  </si>
  <si>
    <t>オークション &gt; チケット、金券、宿泊予約 &gt; プリペイドカード &gt; テレホンカード &gt; コミック、アニメーション &gt; ら行 &gt; ラムネ＆40</t>
  </si>
  <si>
    <t>0,2084043920,2084007688,23968,2084005120,2084034266,2084036066</t>
  </si>
  <si>
    <t>トロンボーン</t>
  </si>
  <si>
    <t>オークション &gt; ホビー、カルチャー &gt; 楽器、器材 &gt; 管楽器 &gt; トロンボーン</t>
  </si>
  <si>
    <t>オークション &gt; おもちゃ、ゲーム &gt; ゲーム &gt; テレビゲーム &gt; ニンテンドーDS &gt; アクセサリ、周辺機器</t>
  </si>
  <si>
    <t>オークション &gt; チケット、金券、宿泊予約 &gt; プリペイドカード &gt; テレホンカード &gt; コミック、アニメーション &gt; ら行 &gt; リボンの騎士</t>
  </si>
  <si>
    <t>0,2084043920,2084007688,23968,2084005120,2084034266,2084036068</t>
  </si>
  <si>
    <t>Wii U本体</t>
  </si>
  <si>
    <t>ハーモニカ、ブルースハープ</t>
  </si>
  <si>
    <t>オークション &gt; おもちゃ、ゲーム &gt; ゲーム &gt; テレビゲーム &gt; Wii U &gt; Wii U本体</t>
  </si>
  <si>
    <t>オークション &gt; ホビー、カルチャー &gt; 楽器、器材 &gt; 管楽器 &gt; ハーモニカ、ブルースハープ</t>
  </si>
  <si>
    <t>オークション &gt; チケット、金券、宿泊予約 &gt; プリペイドカード &gt; テレホンカード &gt; コミック、アニメーション &gt; ら行 &gt; ルパン三世</t>
  </si>
  <si>
    <t>0,2084043920,2084007688,23968,2084005120,2084034266,2084036069</t>
  </si>
  <si>
    <t>Wii U専用ソフト</t>
  </si>
  <si>
    <t>ピッコロ</t>
  </si>
  <si>
    <t>オークション &gt; おもちゃ、ゲーム &gt; ゲーム &gt; テレビゲーム &gt; Wii U &gt; Wii U専用ソフト</t>
  </si>
  <si>
    <t>オークション &gt; ホビー、カルチャー &gt; 楽器、器材 &gt; 管楽器 &gt; ピッコロ</t>
  </si>
  <si>
    <t>オークション &gt; チケット、金券、宿泊予約 &gt; プリペイドカード &gt; テレホンカード &gt; コミック、アニメーション &gt; ら行 &gt; ロードス島戦記</t>
  </si>
  <si>
    <t>Wii用ソフト</t>
  </si>
  <si>
    <t>ファゴット</t>
  </si>
  <si>
    <t>0,2084043920,2084007688,23968,2084005120,2084034266,2084036072</t>
  </si>
  <si>
    <t>オークション &gt; ホビー、カルチャー &gt; 楽器、器材 &gt; 管楽器 &gt; ファゴット</t>
  </si>
  <si>
    <t>オークション &gt; おもちゃ、ゲーム &gt; ゲーム &gt; テレビゲーム &gt; Wii U &gt; Wii用ソフト</t>
  </si>
  <si>
    <t>フルート</t>
  </si>
  <si>
    <t>オークション &gt; ホビー、カルチャー &gt; 楽器、器材 &gt; 管楽器 &gt; フルート</t>
  </si>
  <si>
    <t>オークション &gt; チケット、金券、宿泊予約 &gt; プリペイドカード &gt; テレホンカード &gt; コミック、アニメーション &gt; ら行 &gt; 烈火の炎</t>
  </si>
  <si>
    <t>オークション &gt; おもちゃ、ゲーム &gt; ゲーム &gt; テレビゲーム &gt; Wii U &gt; アクセサリ、周辺機器</t>
  </si>
  <si>
    <t>0,2084043920,2084007688,23968,2084005120,2084034266,2084036071</t>
  </si>
  <si>
    <t>ホルン</t>
  </si>
  <si>
    <t>オークション &gt; ホビー、カルチャー &gt; 楽器、器材 &gt; 管楽器 &gt; ホルン</t>
  </si>
  <si>
    <t>Wii本体</t>
  </si>
  <si>
    <t>オークション &gt; おもちゃ、ゲーム &gt; ゲーム &gt; テレビゲーム &gt; Wii &gt; Wii本体</t>
  </si>
  <si>
    <t>ユーフォニアム</t>
  </si>
  <si>
    <t>オークション &gt; ホビー、カルチャー &gt; 楽器、器材 &gt; 管楽器 &gt; ユーフォニアム</t>
  </si>
  <si>
    <t>オークション &gt; チケット、金券、宿泊予約 &gt; プリペイドカード &gt; テレホンカード &gt; コミック、アニメーション &gt; ら行 &gt; その他</t>
  </si>
  <si>
    <t>Wiiソフト</t>
  </si>
  <si>
    <t>0,2084043920,2084007688,23968,2084005120,2084034266,2084036064</t>
  </si>
  <si>
    <t>オークション &gt; おもちゃ、ゲーム &gt; ゲーム &gt; テレビゲーム &gt; Wii &gt; Wiiソフト</t>
  </si>
  <si>
    <t>リコーダー</t>
  </si>
  <si>
    <t>オークション &gt; ホビー、カルチャー &gt; 楽器、器材 &gt; 管楽器 &gt; リコーダー</t>
  </si>
  <si>
    <t>オークション &gt; おもちゃ、ゲーム &gt; ゲーム &gt; テレビゲーム &gt; Wii &gt; アクセサリ、周辺機器</t>
  </si>
  <si>
    <t>横笛</t>
  </si>
  <si>
    <t>オークション &gt; ホビー、カルチャー &gt; 楽器、器材 &gt; 管楽器 &gt; 横笛</t>
  </si>
  <si>
    <t>PS Vita本体</t>
  </si>
  <si>
    <t>オークション &gt; おもちゃ、ゲーム &gt; ゲーム &gt; テレビゲーム &gt; PS Vita &gt; PS Vita本体</t>
  </si>
  <si>
    <t>オークション &gt; チケット、金券、宿泊予約 &gt; プリペイドカード &gt; テレホンカード &gt; コミック、アニメーション &gt; わ行 &gt; ONE PIECE</t>
  </si>
  <si>
    <t>0,2084043920,2084007688,23968,2084005120,2084034274,2084036130</t>
  </si>
  <si>
    <t>尺八</t>
  </si>
  <si>
    <t>PS Vitaソフト</t>
  </si>
  <si>
    <t>オークション &gt; ホビー、カルチャー &gt; 楽器、器材 &gt; 管楽器 &gt; 尺八</t>
  </si>
  <si>
    <t>オークション &gt; おもちゃ、ゲーム &gt; ゲーム &gt; テレビゲーム &gt; PS Vita &gt; PS Vitaソフト</t>
  </si>
  <si>
    <t>楽譜（管楽器曲）</t>
  </si>
  <si>
    <t>アクセサリー、周辺機器</t>
  </si>
  <si>
    <t>オークション &gt; チケット、金券、宿泊予約 &gt; プリペイドカード &gt; テレホンカード &gt; コミック、アニメーション &gt; わ行 &gt; その他</t>
  </si>
  <si>
    <t>オークション &gt; ホビー、カルチャー &gt; 楽器、器材 &gt; 管楽器 &gt; 楽譜（管楽器曲）</t>
  </si>
  <si>
    <t>オークション &gt; おもちゃ、ゲーム &gt; ゲーム &gt; テレビゲーム &gt; PS Vita &gt; アクセサリー、周辺機器</t>
  </si>
  <si>
    <t>0,2084043920,2084007688,23968,2084005120,2084034274,2084036129</t>
  </si>
  <si>
    <t>その他の木管楽器</t>
  </si>
  <si>
    <t>PSP本体</t>
  </si>
  <si>
    <t>オークション &gt; ホビー、カルチャー &gt; 楽器、器材 &gt; 管楽器 &gt; その他の木管楽器</t>
  </si>
  <si>
    <t>オークション &gt; おもちゃ、ゲーム &gt; ゲーム &gt; テレビゲーム &gt; PSP（プレイステーション・ポータブル） &gt; PSP本体</t>
  </si>
  <si>
    <t>その他の金管楽器</t>
  </si>
  <si>
    <t>PSPソフト</t>
  </si>
  <si>
    <t>オークション &gt; ホビー、カルチャー &gt; 楽器、器材 &gt; 管楽器 &gt; その他の金管楽器</t>
  </si>
  <si>
    <t>オークション &gt; おもちゃ、ゲーム &gt; ゲーム &gt; テレビゲーム &gt; PSP（プレイステーション・ポータブル） &gt; PSPソフト</t>
  </si>
  <si>
    <t>ピアノ</t>
  </si>
  <si>
    <t>オークション &gt; ホビー、カルチャー &gt; 楽器、器材 &gt; 鍵盤楽器 &gt; ピアノ</t>
  </si>
  <si>
    <t>オークション &gt; おもちゃ、ゲーム &gt; ゲーム &gt; テレビゲーム &gt; PSP（プレイステーション・ポータブル） &gt; アクセサリ、周辺機器</t>
  </si>
  <si>
    <t>電子ピアノ</t>
  </si>
  <si>
    <t>PS4本体</t>
  </si>
  <si>
    <t>オークション &gt; ホビー、カルチャー &gt; 楽器、器材 &gt; 鍵盤楽器 &gt; 電子ピアノ</t>
  </si>
  <si>
    <t>オークション &gt; おもちゃ、ゲーム &gt; ゲーム &gt; テレビゲーム &gt; プレイステーション4 &gt; PS4本体</t>
  </si>
  <si>
    <t>オルガン</t>
  </si>
  <si>
    <t>PS4ソフト</t>
  </si>
  <si>
    <t>オークション &gt; ホビー、カルチャー &gt; 楽器、器材 &gt; 鍵盤楽器 &gt; オルガン</t>
  </si>
  <si>
    <t>オークション &gt; おもちゃ、ゲーム &gt; ゲーム &gt; テレビゲーム &gt; プレイステーション4 &gt; PS4ソフト</t>
  </si>
  <si>
    <t>電子オルガン</t>
  </si>
  <si>
    <t>オークション &gt; ホビー、カルチャー &gt; 楽器、器材 &gt; 鍵盤楽器 &gt; 電子オルガン</t>
  </si>
  <si>
    <t>PSVR</t>
  </si>
  <si>
    <t>アコーディオン</t>
  </si>
  <si>
    <t>オークション &gt; おもちゃ、ゲーム &gt; ゲーム &gt; テレビゲーム &gt; プレイステーション4 &gt; PSVR</t>
  </si>
  <si>
    <t>オークション &gt; ホビー、カルチャー &gt; 楽器、器材 &gt; 鍵盤楽器 &gt; アコーディオン</t>
  </si>
  <si>
    <t>オークション &gt; おもちゃ、ゲーム &gt; ゲーム &gt; テレビゲーム &gt; プレイステーション4 &gt; アクセサリ、周辺機器</t>
  </si>
  <si>
    <t>オークション &gt; ホビー、カルチャー &gt; 楽器、器材 &gt; 鍵盤楽器 &gt; キーボード、シンセサイザー</t>
  </si>
  <si>
    <t>PS3本体</t>
  </si>
  <si>
    <t>オークション &gt; おもちゃ、ゲーム &gt; ゲーム &gt; テレビゲーム &gt; プレイステーション 3 &gt; PS3本体</t>
  </si>
  <si>
    <t>オークション &gt; ホビー、カルチャー &gt; 楽器、器材 &gt; 鍵盤楽器 &gt; アクセサリー</t>
  </si>
  <si>
    <t>PS3ソフト</t>
  </si>
  <si>
    <t>オークション &gt; おもちゃ、ゲーム &gt; ゲーム &gt; テレビゲーム &gt; プレイステーション 3 &gt; PS3ソフト</t>
  </si>
  <si>
    <t>オークション &gt; ホビー、カルチャー &gt; 楽器、器材 &gt; 鍵盤楽器 &gt; その他</t>
  </si>
  <si>
    <t>オークション &gt; おもちゃ、ゲーム &gt; ゲーム &gt; テレビゲーム &gt; プレイステーション 3 &gt; アクセサリ、周辺機器</t>
  </si>
  <si>
    <t>ドラム</t>
  </si>
  <si>
    <t>オークション &gt; ホビー、カルチャー &gt; 楽器、器材 &gt; 打楽器 &gt; ドラム</t>
  </si>
  <si>
    <t>タイトル</t>
  </si>
  <si>
    <t>オークション &gt; おもちゃ、ゲーム &gt; ゲーム &gt; テレビゲーム &gt; プレイステーション2 &gt; タイトル</t>
  </si>
  <si>
    <t>ハンドベル</t>
  </si>
  <si>
    <t>オークション &gt; ホビー、カルチャー &gt; 楽器、器材 &gt; 打楽器 &gt; ハンドベル</t>
  </si>
  <si>
    <t>本体、アクセサリー</t>
  </si>
  <si>
    <t>オークション &gt; おもちゃ、ゲーム &gt; ゲーム &gt; テレビゲーム &gt; プレイステーション2 &gt; 本体、アクセサリー</t>
  </si>
  <si>
    <t>オークション &gt; ホビー、カルチャー &gt; 楽器、器材 &gt; 打楽器 &gt; リズムマシン</t>
  </si>
  <si>
    <t>Xbox One本体</t>
  </si>
  <si>
    <t>オークション &gt; おもちゃ、ゲーム &gt; ゲーム &gt; テレビゲーム &gt; Xbox One &gt; Xbox One本体</t>
  </si>
  <si>
    <t>木琴</t>
  </si>
  <si>
    <t>オークション &gt; ホビー、カルチャー &gt; 楽器、器材 &gt; 打楽器 &gt; 木琴</t>
  </si>
  <si>
    <t>Xbox Oneソフト</t>
  </si>
  <si>
    <t>オークション &gt; おもちゃ、ゲーム &gt; ゲーム &gt; テレビゲーム &gt; Xbox One &gt; Xbox Oneソフト</t>
  </si>
  <si>
    <t>和太鼓</t>
  </si>
  <si>
    <t>オークション &gt; ホビー、カルチャー &gt; 楽器、器材 &gt; 打楽器 &gt; 和太鼓</t>
  </si>
  <si>
    <t>オークション &gt; おもちゃ、ゲーム &gt; ゲーム &gt; テレビゲーム &gt; Xbox One &gt; アクセサリ、周辺機器</t>
  </si>
  <si>
    <t>オークション &gt; ホビー、カルチャー &gt; 楽器、器材 &gt; 打楽器 &gt; その他</t>
  </si>
  <si>
    <t>Xbox360本体</t>
  </si>
  <si>
    <t>オークション &gt; おもちゃ、ゲーム &gt; ゲーム &gt; テレビゲーム &gt; Xbox 360 &gt; Xbox360本体</t>
  </si>
  <si>
    <t>オークション &gt; ホビー、カルチャー &gt; 楽器、器材 &gt; 和楽器 &gt; 横笛</t>
  </si>
  <si>
    <t>Xbox360ソフト</t>
  </si>
  <si>
    <t>オークション &gt; ホビー、カルチャー &gt; 楽器、器材 &gt; 和楽器 &gt; 尺八</t>
  </si>
  <si>
    <t>オークション &gt; おもちゃ、ゲーム &gt; ゲーム &gt; テレビゲーム &gt; Xbox 360 &gt; Xbox360ソフト</t>
  </si>
  <si>
    <t>オークション &gt; ホビー、カルチャー &gt; 楽器、器材 &gt; 和楽器 &gt; 胡弓</t>
  </si>
  <si>
    <t>オークション &gt; おもちゃ、ゲーム &gt; ゲーム &gt; テレビゲーム &gt; Xbox 360 &gt; アクセサリ、周辺機器</t>
  </si>
  <si>
    <t>オークション &gt; ホビー、カルチャー &gt; 楽器、器材 &gt; 和楽器 &gt; 三線</t>
  </si>
  <si>
    <t>オークション &gt; おもちゃ、ゲーム &gt; ゲーム &gt; テレビゲーム &gt; プレイステーション &gt; 本体</t>
  </si>
  <si>
    <t>オークション &gt; おもちゃ、ゲーム &gt; ゲーム &gt; テレビゲーム &gt; プレイステーション &gt; タイトル</t>
  </si>
  <si>
    <t>オークション &gt; ホビー、カルチャー &gt; 楽器、器材 &gt; 和楽器 &gt; 三味線</t>
  </si>
  <si>
    <t>オークション &gt; おもちゃ、ゲーム &gt; ゲーム &gt; テレビゲーム &gt; プレイステーション &gt; アクセサリー、周辺機器</t>
  </si>
  <si>
    <t>オークション &gt; ホビー、カルチャー &gt; 楽器、器材 &gt; 和楽器 &gt; 琵琶</t>
  </si>
  <si>
    <t>オークション &gt; おもちゃ、ゲーム &gt; ゲーム &gt; テレビゲーム &gt; ゲームボーイアドバンス &gt; 本体</t>
  </si>
  <si>
    <t>オークション &gt; ホビー、カルチャー &gt; 楽器、器材 &gt; 和楽器 &gt; 大正琴</t>
  </si>
  <si>
    <t>オークション &gt; おもちゃ、ゲーム &gt; ゲーム &gt; テレビゲーム &gt; ゲームボーイアドバンス &gt; タイトル</t>
  </si>
  <si>
    <t>オークション &gt; ホビー、カルチャー &gt; 楽器、器材 &gt; 和楽器 &gt; 筝、琴</t>
  </si>
  <si>
    <t>オークション &gt; おもちゃ、ゲーム &gt; ゲーム &gt; テレビゲーム &gt; ゲームボーイアドバンス &gt; アクセサリ、周辺機器</t>
  </si>
  <si>
    <t>オークション &gt; ホビー、カルチャー &gt; 楽器、器材 &gt; 和楽器 &gt; 和太鼓</t>
  </si>
  <si>
    <t>美術総合</t>
  </si>
  <si>
    <t>オークション &gt; 本、雑誌 &gt; 雑誌 &gt; アート、エンターテインメント &gt; 美術総合</t>
  </si>
  <si>
    <t>オークション &gt; おもちゃ、ゲーム &gt; ゲーム &gt; テレビゲーム &gt; ゲームボーイミクロ &gt; 本体</t>
  </si>
  <si>
    <t>鼓</t>
  </si>
  <si>
    <t>オークション &gt; ホビー、カルチャー &gt; 楽器、器材 &gt; 和楽器 &gt; 鼓</t>
  </si>
  <si>
    <t>アート写真</t>
  </si>
  <si>
    <t>オークション &gt; 本、雑誌 &gt; 雑誌 &gt; アート、エンターテインメント &gt; アート写真</t>
  </si>
  <si>
    <t>オークション &gt; おもちゃ、ゲーム &gt; ゲーム &gt; テレビゲーム &gt; ゲームボーイミクロ &gt; タイトル</t>
  </si>
  <si>
    <t>絵画</t>
  </si>
  <si>
    <t>オークション &gt; 本、雑誌 &gt; 雑誌 &gt; アート、エンターテインメント &gt; 絵画</t>
  </si>
  <si>
    <t>オークション &gt; おもちゃ、ゲーム &gt; ゲーム &gt; テレビゲーム &gt; ゲームボーイミクロ &gt; アクセサリ、周辺機器</t>
  </si>
  <si>
    <t>オークション &gt; ホビー、カルチャー &gt; 楽器、器材 &gt; 和楽器 &gt; その他</t>
  </si>
  <si>
    <t>工芸</t>
  </si>
  <si>
    <t>オークション &gt; 本、雑誌 &gt; 雑誌 &gt; アート、エンターテインメント &gt; 工芸</t>
  </si>
  <si>
    <t>オークション &gt; おもちゃ、ゲーム &gt; ゲーム &gt; テレビゲーム &gt; ゲームボーイ &gt; 本体、アクセサリー</t>
  </si>
  <si>
    <t>DI（ダイレクトボックス）</t>
  </si>
  <si>
    <t>オークション &gt; ホビー、カルチャー &gt; 楽器、器材 &gt; レコーディング、PA機器 &gt; DI（ダイレクトボックス）</t>
  </si>
  <si>
    <t>映画、テレビ</t>
  </si>
  <si>
    <t>イコライザー</t>
  </si>
  <si>
    <t>オークション &gt; 本、雑誌 &gt; 雑誌 &gt; アート、エンターテインメント &gt; 映画、テレビ</t>
  </si>
  <si>
    <t>オークション &gt; ホビー、カルチャー &gt; 楽器、器材 &gt; レコーディング、PA機器 &gt; イコライザー</t>
  </si>
  <si>
    <t>オークション &gt; おもちゃ、ゲーム &gt; ゲーム &gt; テレビゲーム &gt; ゲームボーイ &gt; タイトル</t>
  </si>
  <si>
    <t>エフェクター</t>
  </si>
  <si>
    <t>オークション &gt; ホビー、カルチャー &gt; 楽器、器材 &gt; レコーディング、PA機器 &gt; エフェクター</t>
  </si>
  <si>
    <t>オークション &gt; おもちゃ、ゲーム &gt; ゲーム &gt; テレビゲーム &gt; ゲームキューブ &gt; 本体</t>
  </si>
  <si>
    <t>オークション &gt; 本、雑誌 &gt; 雑誌 &gt; アート、エンターテインメント &gt; 演劇</t>
  </si>
  <si>
    <t>エンハンサー</t>
  </si>
  <si>
    <t>オークション &gt; ホビー、カルチャー &gt; 楽器、器材 &gt; レコーディング、PA機器 &gt; エンハンサー</t>
  </si>
  <si>
    <t>音楽</t>
  </si>
  <si>
    <t>オークション &gt; おもちゃ、ゲーム &gt; ゲーム &gt; テレビゲーム &gt; ゲームキューブ &gt; タイトル</t>
  </si>
  <si>
    <t>オークション &gt; 本、雑誌 &gt; 雑誌 &gt; アート、エンターテインメント &gt; 音楽</t>
  </si>
  <si>
    <t>クロスオーバー</t>
  </si>
  <si>
    <t>オークション &gt; おもちゃ、ゲーム &gt; ゲーム &gt; テレビゲーム &gt; ゲームキューブ &gt; アクセサリ、周辺機器</t>
  </si>
  <si>
    <t>オークション &gt; ホビー、カルチャー &gt; 楽器、器材 &gt; レコーディング、PA機器 &gt; クロスオーバー</t>
  </si>
  <si>
    <t>アイドル、芸能人</t>
  </si>
  <si>
    <t>オークション &gt; 本、雑誌 &gt; 雑誌 &gt; アート、エンターテインメント &gt; アイドル、芸能人</t>
  </si>
  <si>
    <t>オークション &gt; おもちゃ、ゲーム &gt; ゲーム &gt; テレビゲーム &gt; スーパーファミコン &gt; 本体、アクセサリー</t>
  </si>
  <si>
    <t>ケーブル、コネクター</t>
  </si>
  <si>
    <t>オークション &gt; ホビー、カルチャー &gt; 楽器、器材 &gt; レコーディング、PA機器 &gt; ケーブル、コネクター</t>
  </si>
  <si>
    <t>アニメーション</t>
  </si>
  <si>
    <t>オークション &gt; 本、雑誌 &gt; 雑誌 &gt; アート、エンターテインメント &gt; アニメーション</t>
  </si>
  <si>
    <t>オークション &gt; おもちゃ、ゲーム &gt; ゲーム &gt; テレビゲーム &gt; スーパーファミコン &gt; タイトル</t>
  </si>
  <si>
    <t>コンプレッサー</t>
  </si>
  <si>
    <t>オークション &gt; ホビー、カルチャー &gt; 楽器、器材 &gt; レコーディング、PA機器 &gt; コンプレッサー</t>
  </si>
  <si>
    <t>オークション &gt; 本、雑誌 &gt; 雑誌 &gt; アート、エンターテインメント &gt; ゲーム</t>
  </si>
  <si>
    <t>オークション &gt; おもちゃ、ゲーム &gt; ゲーム &gt; テレビゲーム &gt; ファミコン &gt; タイトル</t>
  </si>
  <si>
    <t>オークション &gt; ホビー、カルチャー &gt; 楽器、器材 &gt; レコーディング、PA機器 &gt; スピーカー</t>
  </si>
  <si>
    <t>サブカルチャー</t>
  </si>
  <si>
    <t>オークション &gt; 本、雑誌 &gt; 雑誌 &gt; アート、エンターテインメント &gt; サブカルチャー</t>
  </si>
  <si>
    <t>オークション &gt; おもちゃ、ゲーム &gt; ゲーム &gt; テレビゲーム &gt; ファミコン &gt; 本体、アクセサリー</t>
  </si>
  <si>
    <t>オークション &gt; ホビー、カルチャー &gt; 楽器、器材 &gt; レコーディング、PA機器 &gt; スピーカーケーブル</t>
  </si>
  <si>
    <t>オークション &gt; 本、雑誌 &gt; 雑誌 &gt; アート、エンターテインメント &gt; バレエ、ダンス</t>
  </si>
  <si>
    <t>オークション &gt; おもちゃ、ゲーム &gt; ゲーム &gt; テレビゲーム &gt; Xbox &gt; 本体</t>
  </si>
  <si>
    <t>ダイナミックプロセッサー</t>
  </si>
  <si>
    <t>トレンド情報、タウンガイド</t>
  </si>
  <si>
    <t>オークション &gt; 本、雑誌 &gt; 雑誌 &gt; アート、エンターテインメント &gt; トレンド情報、タウンガイド</t>
  </si>
  <si>
    <t>オークション &gt; ホビー、カルチャー &gt; 楽器、器材 &gt; レコーディング、PA機器 &gt; ダイナミックプロセッサー</t>
  </si>
  <si>
    <t>ソフトウェア</t>
  </si>
  <si>
    <t>オークション &gt; おもちゃ、ゲーム &gt; ゲーム &gt; テレビゲーム &gt; Xbox &gt; ソフトウェア</t>
  </si>
  <si>
    <t>ノイズゲート</t>
  </si>
  <si>
    <t>オークション &gt; ホビー、カルチャー &gt; 楽器、器材 &gt; レコーディング、PA機器 &gt; ノイズゲート</t>
  </si>
  <si>
    <t>オークション &gt; おもちゃ、ゲーム &gt; ゲーム &gt; テレビゲーム &gt; Xbox &gt; 周辺機器</t>
  </si>
  <si>
    <t>ハンディーレコーダー</t>
  </si>
  <si>
    <t>ゲームギア</t>
  </si>
  <si>
    <t>オークション &gt; ホビー、カルチャー &gt; 楽器、器材 &gt; レコーディング、PA機器 &gt; ハンディーレコーダー</t>
  </si>
  <si>
    <t>オークション &gt; おもちゃ、ゲーム &gt; ゲーム &gt; テレビゲーム &gt; セガ &gt; ゲームギア</t>
  </si>
  <si>
    <t>パッチベイ</t>
  </si>
  <si>
    <t>オークション &gt; ホビー、カルチャー &gt; 楽器、器材 &gt; レコーディング、PA機器 &gt; パッチベイ</t>
  </si>
  <si>
    <t>サターン</t>
  </si>
  <si>
    <t>オークション &gt; おもちゃ、ゲーム &gt; ゲーム &gt; テレビゲーム &gt; セガ &gt; サターン</t>
  </si>
  <si>
    <t>ドリームキャスト</t>
  </si>
  <si>
    <t>パワーアンプ</t>
  </si>
  <si>
    <t>オークション &gt; おもちゃ、ゲーム &gt; ゲーム &gt; テレビゲーム &gt; セガ &gt; ドリームキャスト</t>
  </si>
  <si>
    <t>オークション &gt; ホビー、カルチャー &gt; 楽器、器材 &gt; レコーディング、PA機器 &gt; パワーアンプ</t>
  </si>
  <si>
    <t>マイク</t>
  </si>
  <si>
    <t>オークション &gt; ホビー、カルチャー &gt; 楽器、器材 &gt; レコーディング、PA機器 &gt; マイク</t>
  </si>
  <si>
    <t>マークIII</t>
  </si>
  <si>
    <t>オークション &gt; おもちゃ、ゲーム &gt; ゲーム &gt; テレビゲーム &gt; セガ &gt; マークIII</t>
  </si>
  <si>
    <t>マイクスタンド</t>
  </si>
  <si>
    <t>タウン・グルメ情報</t>
  </si>
  <si>
    <t>オークション &gt; ホビー、カルチャー &gt; 楽器、器材 &gt; レコーディング、PA機器 &gt; マイクスタンド</t>
  </si>
  <si>
    <t>オークション &gt; 本、雑誌 &gt; 雑誌 &gt; トレンド情報、タウンガイド &gt; タウン・グルメ情報</t>
  </si>
  <si>
    <t>メガドライブ</t>
  </si>
  <si>
    <t>オークション &gt; おもちゃ、ゲーム &gt; ゲーム &gt; テレビゲーム &gt; セガ &gt; メガドライブ</t>
  </si>
  <si>
    <t>マイクプリアンプ</t>
  </si>
  <si>
    <t>モノ・トレンド情報</t>
  </si>
  <si>
    <t>オークション &gt; ホビー、カルチャー &gt; 楽器、器材 &gt; レコーディング、PA機器 &gt; マイクプリアンプ</t>
  </si>
  <si>
    <t>オークション &gt; 本、雑誌 &gt; 雑誌 &gt; トレンド情報、タウンガイド &gt; モノ・トレンド情報</t>
  </si>
  <si>
    <t>オークション &gt; おもちゃ、ゲーム &gt; ゲーム &gt; テレビゲーム &gt; セガ &gt; その他</t>
  </si>
  <si>
    <t>マルチトラックレコーダー</t>
  </si>
  <si>
    <t>グラフ誌</t>
  </si>
  <si>
    <t>オークション &gt; ホビー、カルチャー &gt; 楽器、器材 &gt; レコーディング、PA機器 &gt; マルチトラックレコーダー</t>
  </si>
  <si>
    <t>オークション &gt; 本、雑誌 &gt; 雑誌 &gt; ニュース、総合 &gt; グラフ誌</t>
  </si>
  <si>
    <t>PC-FX</t>
  </si>
  <si>
    <t>オークション &gt; おもちゃ、ゲーム &gt; ゲーム &gt; テレビゲーム &gt; NEC &gt; PC-FX</t>
  </si>
  <si>
    <t>ビジネス、マネー</t>
  </si>
  <si>
    <t>オークション &gt; 本、雑誌 &gt; 雑誌 &gt; ニュース、総合 &gt; ビジネス、マネー</t>
  </si>
  <si>
    <t>オークション &gt; ホビー、カルチャー &gt; 楽器、器材 &gt; レコーディング、PA機器 &gt; ミキサー</t>
  </si>
  <si>
    <t>PCエンジン</t>
  </si>
  <si>
    <t>写真週刊誌</t>
  </si>
  <si>
    <t>オークション &gt; おもちゃ、ゲーム &gt; ゲーム &gt; テレビゲーム &gt; NEC &gt; PCエンジン</t>
  </si>
  <si>
    <t>オークション &gt; 本、雑誌 &gt; 雑誌 &gt; ニュース、総合 &gt; 写真週刊誌</t>
  </si>
  <si>
    <t>リバーブ</t>
  </si>
  <si>
    <t>オークション &gt; ホビー、カルチャー &gt; 楽器、器材 &gt; レコーディング、PA機器 &gt; リバーブ</t>
  </si>
  <si>
    <t>総合誌</t>
  </si>
  <si>
    <t>オークション &gt; 本、雑誌 &gt; 雑誌 &gt; ニュース、総合 &gt; 総合誌</t>
  </si>
  <si>
    <t>PSP（プレイステーション・ポータブル）</t>
  </si>
  <si>
    <t>電源ケーブル</t>
  </si>
  <si>
    <t>オークション &gt; おもちゃ、ゲーム &gt; ゲーム &gt; テレビゲーム &gt; 携帯型 &gt; PSP（プレイステーション・ポータブル）</t>
  </si>
  <si>
    <t>オークション &gt; ホビー、カルチャー &gt; 楽器、器材 &gt; レコーディング、PA機器 &gt; 電源ケーブル</t>
  </si>
  <si>
    <t>ニンテンドーDS</t>
  </si>
  <si>
    <t>オークション &gt; 本、雑誌 &gt; 雑誌 &gt; ファッション &gt; モノ・トレンド情報</t>
  </si>
  <si>
    <t>オークション &gt; おもちゃ、ゲーム &gt; ゲーム &gt; テレビゲーム &gt; 携帯型 &gt; ニンテンドーDS</t>
  </si>
  <si>
    <t>オークション &gt; ホビー、カルチャー &gt; 楽器、器材 &gt; レコーディング、PA機器 &gt; ヘッドフォン、イヤフォン</t>
  </si>
  <si>
    <t>ゲームボーイアドバンス</t>
  </si>
  <si>
    <t>オークション &gt; おもちゃ、ゲーム &gt; ゲーム &gt; テレビゲーム &gt; 携帯型 &gt; ゲームボーイアドバンス</t>
  </si>
  <si>
    <t>ラック、ラックケース</t>
  </si>
  <si>
    <t>オークション &gt; 本、雑誌 &gt; 雑誌 &gt; ファッション &gt; 女性</t>
  </si>
  <si>
    <t>オークション &gt; ホビー、カルチャー &gt; 楽器、器材 &gt; レコーディング、PA機器 &gt; ラック、ラックケース</t>
  </si>
  <si>
    <t>ゲームボーイ</t>
  </si>
  <si>
    <t>オークション &gt; おもちゃ、ゲーム &gt; ゲーム &gt; テレビゲーム &gt; 携帯型 &gt; ゲームボーイ</t>
  </si>
  <si>
    <t>ゲームウォッチ</t>
  </si>
  <si>
    <t>オークション &gt; 本、雑誌 &gt; 雑誌 &gt; ファッション &gt; 男性</t>
  </si>
  <si>
    <t>オークション &gt; おもちゃ、ゲーム &gt; ゲーム &gt; テレビゲーム &gt; 携帯型 &gt; ゲームウォッチ</t>
  </si>
  <si>
    <t>オークション &gt; ホビー、カルチャー &gt; 楽器、器材 &gt; レコーディング、PA機器 &gt; その他</t>
  </si>
  <si>
    <t>オークション &gt; おもちゃ、ゲーム &gt; ゲーム &gt; テレビゲーム &gt; 携帯型 &gt; ゲームギア</t>
  </si>
  <si>
    <t>語学</t>
  </si>
  <si>
    <t>オークション &gt; 本、雑誌 &gt; 雑誌 &gt; 学習、教育 &gt; 語学</t>
  </si>
  <si>
    <t>ポケットステーション</t>
  </si>
  <si>
    <t>オークション &gt; おもちゃ、ゲーム &gt; ゲーム &gt; テレビゲーム &gt; 携帯型 &gt; ポケットステーション</t>
  </si>
  <si>
    <t>ワンダースワン</t>
  </si>
  <si>
    <t>子ども向け</t>
  </si>
  <si>
    <t>オークション &gt; おもちゃ、ゲーム &gt; ゲーム &gt; テレビゲーム &gt; 携帯型 &gt; ワンダースワン</t>
  </si>
  <si>
    <t>オークション &gt; 本、雑誌 &gt; 雑誌 &gt; 学習、教育 &gt; 子ども向け</t>
  </si>
  <si>
    <t>オークション &gt; おもちゃ、ゲーム &gt; ゲーム &gt; テレビゲーム &gt; 携帯型 &gt; その他</t>
  </si>
  <si>
    <t>趣味テキスト</t>
  </si>
  <si>
    <t>オークション &gt; 本、雑誌 &gt; 雑誌 &gt; 学習、教育 &gt; 趣味テキスト</t>
  </si>
  <si>
    <t>ゲーム基板</t>
  </si>
  <si>
    <t>オークション &gt; おもちゃ、ゲーム &gt; ゲーム &gt; アーケードゲーム &gt; ゲーム基板</t>
  </si>
  <si>
    <t>大学、高校</t>
  </si>
  <si>
    <t>筐体、コントロールパネル</t>
  </si>
  <si>
    <t>オークション &gt; 本、雑誌 &gt; 雑誌 &gt; 学習、教育 &gt; 大学、高校</t>
  </si>
  <si>
    <t>オークション &gt; おもちゃ、ゲーム &gt; ゲーム &gt; アーケードゲーム &gt; 筐体、コントロールパネル</t>
  </si>
  <si>
    <t>ICカード</t>
  </si>
  <si>
    <t>オークション &gt; 本、雑誌 &gt; 雑誌 &gt; 学習、教育 &gt; その他</t>
  </si>
  <si>
    <t>オークション &gt; おもちゃ、ゲーム &gt; ゲーム &gt; アーケードゲーム &gt; ICカード</t>
  </si>
  <si>
    <t>カタログ、取説</t>
  </si>
  <si>
    <t>アウトドア</t>
  </si>
  <si>
    <t>オークション &gt; 本、雑誌 &gt; 雑誌 &gt; 趣味、スポーツ、実用 &gt; アウトドア</t>
  </si>
  <si>
    <t>オークション &gt; おもちゃ、ゲーム &gt; ゲーム &gt; アーケードゲーム &gt; カタログ、取説</t>
  </si>
  <si>
    <t>オーディオ</t>
  </si>
  <si>
    <t>オークション &gt; 本、雑誌 &gt; 雑誌 &gt; 趣味、スポーツ、実用 &gt; オーディオ</t>
  </si>
  <si>
    <t>ポスター</t>
  </si>
  <si>
    <t>オークション &gt; おもちゃ、ゲーム &gt; ゲーム &gt; アーケードゲーム &gt; ポスター</t>
  </si>
  <si>
    <t>オートバイ</t>
  </si>
  <si>
    <t>オークション &gt; 本、雑誌 &gt; 雑誌 &gt; 趣味、スポーツ、実用 &gt; オートバイ</t>
  </si>
  <si>
    <t>ポップ、インスト</t>
  </si>
  <si>
    <t>オークション &gt; おもちゃ、ゲーム &gt; ゲーム &gt; アーケードゲーム &gt; ポップ、インスト</t>
  </si>
  <si>
    <t>ギャンブル</t>
  </si>
  <si>
    <t>オークション &gt; 本、雑誌 &gt; 雑誌 &gt; 趣味、スポーツ、実用 &gt; ギャンブル</t>
  </si>
  <si>
    <t>WCCF</t>
  </si>
  <si>
    <t>オークション &gt; おもちゃ、ゲーム &gt; ゲーム &gt; アーケードゲーム &gt; WCCF</t>
  </si>
  <si>
    <t>オークション &gt; 本、雑誌 &gt; 雑誌 &gt; 趣味、スポーツ、実用 &gt; スポーツ</t>
  </si>
  <si>
    <t>オークション &gt; おもちゃ、ゲーム &gt; ゲーム &gt; アーケードゲーム &gt; その他</t>
  </si>
  <si>
    <t>パズル</t>
  </si>
  <si>
    <t>オークション &gt; 本、雑誌 &gt; 雑誌 &gt; 趣味、スポーツ、実用 &gt; パズル</t>
  </si>
  <si>
    <t>ペット、動物</t>
  </si>
  <si>
    <t>オークション &gt; 本、雑誌 &gt; 雑誌 &gt; 趣味、スポーツ、実用 &gt; ペット、動物</t>
  </si>
  <si>
    <t>園芸、ガーデニング</t>
  </si>
  <si>
    <t>オークション &gt; 本、雑誌 &gt; 雑誌 &gt; 趣味、スポーツ、実用 &gt; 園芸、ガーデニング</t>
  </si>
  <si>
    <t>オークション &gt; 本、雑誌 &gt; 雑誌 &gt; 趣味、スポーツ、実用 &gt; 航空機</t>
  </si>
  <si>
    <t>オークション &gt; 本、雑誌 &gt; 雑誌 &gt; 趣味、スポーツ、実用 &gt; 自動車</t>
  </si>
  <si>
    <t>占い</t>
  </si>
  <si>
    <t>オークション &gt; 本、雑誌 &gt; 雑誌 &gt; 趣味、スポーツ、実用 &gt; 占い</t>
  </si>
  <si>
    <t>釣り、フィッシング</t>
  </si>
  <si>
    <t>オークション &gt; 本、雑誌 &gt; 雑誌 &gt; 趣味、スポーツ、実用 &gt; 釣り、フィッシング</t>
  </si>
  <si>
    <t>ゲーム設定資料集</t>
  </si>
  <si>
    <t>オークション &gt; 本、雑誌 &gt; 雑誌 &gt; 趣味、スポーツ、実用 &gt; 鉄道</t>
  </si>
  <si>
    <t>オークション &gt; 本、雑誌 &gt; アート、エンターテインメント &gt; ゲーム攻略本 &gt; ゲーム設定資料集</t>
  </si>
  <si>
    <t>アクション</t>
  </si>
  <si>
    <t>模型、プラモデル、ラジコン</t>
  </si>
  <si>
    <t>オークション &gt; 本、雑誌 &gt; アート、エンターテインメント &gt; ゲーム攻略本 &gt; アクション</t>
  </si>
  <si>
    <t>オークション &gt; 本、雑誌 &gt; 雑誌 &gt; 趣味、スポーツ、実用 &gt; 模型、プラモデル、ラジコン</t>
  </si>
  <si>
    <t>アドベンチャー</t>
  </si>
  <si>
    <t>オークション &gt; 本、雑誌 &gt; アート、エンターテインメント &gt; ゲーム攻略本 &gt; アドベンチャー</t>
  </si>
  <si>
    <t>インテリア、家づくり</t>
  </si>
  <si>
    <t>オークション &gt; 本、雑誌 &gt; 雑誌 &gt; 住まい、暮らし、育児 &gt; インテリア、家づくり</t>
  </si>
  <si>
    <t>カード、テーブル</t>
  </si>
  <si>
    <t>オークション &gt; 本、雑誌 &gt; アート、エンターテインメント &gt; ゲーム攻略本 &gt; カード、テーブル</t>
  </si>
  <si>
    <t>クイズ</t>
  </si>
  <si>
    <t>オークション &gt; 本、雑誌 &gt; 雑誌 &gt; 住まい、暮らし、育児 &gt; ペット、動物</t>
  </si>
  <si>
    <t>オークション &gt; 本、雑誌 &gt; アート、エンターテインメント &gt; ゲーム攻略本 &gt; クイズ</t>
  </si>
  <si>
    <t>ゲーム雑誌</t>
  </si>
  <si>
    <t>オークション &gt; 本、雑誌 &gt; 雑誌 &gt; 住まい、暮らし、育児 &gt; 園芸、ガーデニング</t>
  </si>
  <si>
    <t>オークション &gt; 本、雑誌 &gt; アート、エンターテインメント &gt; ゲーム攻略本 &gt; ゲーム雑誌</t>
  </si>
  <si>
    <t>シミュレーション</t>
  </si>
  <si>
    <t>オークション &gt; 本、雑誌 &gt; アート、エンターテインメント &gt; ゲーム攻略本 &gt; シミュレーション</t>
  </si>
  <si>
    <t>結婚、ウエディングガイド</t>
  </si>
  <si>
    <t>オークション &gt; 本、雑誌 &gt; 雑誌 &gt; 住まい、暮らし、育児 &gt; 結婚、ウエディングガイド</t>
  </si>
  <si>
    <t>オークション &gt; 本、雑誌 &gt; アート、エンターテインメント &gt; ゲーム攻略本 &gt; スポーツ</t>
  </si>
  <si>
    <t>健康誌</t>
  </si>
  <si>
    <t>オークション &gt; 本、雑誌 &gt; 雑誌 &gt; 住まい、暮らし、育児 &gt; 健康誌</t>
  </si>
  <si>
    <t>パズル、迷路</t>
  </si>
  <si>
    <t>オークション &gt; 本、雑誌 &gt; アート、エンターテインメント &gt; ゲーム攻略本 &gt; パズル、迷路</t>
  </si>
  <si>
    <t>出産、育児</t>
  </si>
  <si>
    <t>レース</t>
  </si>
  <si>
    <t>オークション &gt; 本、雑誌 &gt; 雑誌 &gt; 住まい、暮らし、育児 &gt; 出産、育児</t>
  </si>
  <si>
    <t>オークション &gt; 本、雑誌 &gt; アート、エンターテインメント &gt; ゲーム攻略本 &gt; レース</t>
  </si>
  <si>
    <t>生活、料理誌</t>
  </si>
  <si>
    <t>オークション &gt; 本、雑誌 &gt; 雑誌 &gt; 住まい、暮らし、育児 &gt; 生活、料理誌</t>
  </si>
  <si>
    <t>ロールプレイング</t>
  </si>
  <si>
    <t>オークション &gt; 本、雑誌 &gt; アート、エンターテインメント &gt; ゲーム攻略本 &gt; ロールプレイング</t>
  </si>
  <si>
    <t>オークション &gt; 本、雑誌 &gt; 雑誌 &gt; 住まい、暮らし、育児 &gt; 占い</t>
  </si>
  <si>
    <t>オークション &gt; 本、雑誌 &gt; アート、エンターテインメント &gt; ゲーム攻略本 &gt; その他</t>
  </si>
  <si>
    <t>オークション &gt; 本、雑誌 &gt; 雑誌 &gt; アート、エンターテインメント &gt; ゲーム &gt; テレビゲーム</t>
  </si>
  <si>
    <t>オークション &gt; 本、雑誌 &gt; 雑誌 &gt; 人文、社会、ノンフィクション &gt; サブカルチャー</t>
  </si>
  <si>
    <t>オークション &gt; 本、雑誌 &gt; 雑誌 &gt; アート、エンターテインメント &gt; ゲーム &gt; パソコンゲーム</t>
  </si>
  <si>
    <t>超常現象、オカルト</t>
  </si>
  <si>
    <t>オークション &gt; 本、雑誌 &gt; 雑誌 &gt; 人文、社会、ノンフィクション &gt; 超常現象、オカルト</t>
  </si>
  <si>
    <t>オークション &gt; コンピュータ &gt; パソコン &gt; Windows</t>
  </si>
  <si>
    <t>歴史</t>
  </si>
  <si>
    <t>オークション &gt; 本、雑誌 &gt; 雑誌 &gt; 人文、社会、ノンフィクション &gt; 歴史</t>
  </si>
  <si>
    <t>Mac</t>
  </si>
  <si>
    <t>小説一般</t>
  </si>
  <si>
    <t>オークション &gt; コンピュータ &gt; パソコン &gt; Mac</t>
  </si>
  <si>
    <t>オークション &gt; 本、雑誌 &gt; 雑誌 &gt; 文学、小説 &gt; 小説一般</t>
  </si>
  <si>
    <t>ギターアンプ</t>
  </si>
  <si>
    <t>オークション &gt; ホビー、カルチャー &gt; 楽器、器材 &gt; アンプ &gt; ギターアンプ</t>
  </si>
  <si>
    <t>PC-98</t>
  </si>
  <si>
    <t>オークション &gt; コンピュータ &gt; パソコン &gt; PC-98</t>
  </si>
  <si>
    <t>SF、ファンタジー、ホラー</t>
  </si>
  <si>
    <t>オークション &gt; ホビー、カルチャー &gt; 楽器、器材 &gt; アンプ &gt; ベースアンプ</t>
  </si>
  <si>
    <t>オークション &gt; 本、雑誌 &gt; 雑誌 &gt; 文学、小説 &gt; SF、ファンタジー、ホラー</t>
  </si>
  <si>
    <t>FM TOWNS</t>
  </si>
  <si>
    <t>オークション &gt; コンピュータ &gt; パソコン &gt; FM TOWNS</t>
  </si>
  <si>
    <t>ミステリー</t>
  </si>
  <si>
    <t>オークション &gt; ホビー、カルチャー &gt; 楽器、器材 &gt; アンプ &gt; その他</t>
  </si>
  <si>
    <t>オークション &gt; 本、雑誌 &gt; 雑誌 &gt; 文学、小説 &gt; ミステリー</t>
  </si>
  <si>
    <t>ライトノベル</t>
  </si>
  <si>
    <t>オークション &gt; 本、雑誌 &gt; 雑誌 &gt; 文学、小説 &gt; ライトノベル</t>
  </si>
  <si>
    <t>X68000</t>
  </si>
  <si>
    <t>たいこ</t>
  </si>
  <si>
    <t>オークション &gt; コンピュータ &gt; パソコン &gt; X68000</t>
  </si>
  <si>
    <t>オークション &gt; おもちゃ、ゲーム &gt; 楽器玩具 &gt; たいこ</t>
  </si>
  <si>
    <t>随筆、短歌、俳句</t>
  </si>
  <si>
    <t>オークション &gt; 本、雑誌 &gt; 雑誌 &gt; 文学、小説 &gt; 随筆、短歌、俳句</t>
  </si>
  <si>
    <t>MSX</t>
  </si>
  <si>
    <t>オークション &gt; おもちゃ、ゲーム &gt; 楽器玩具 &gt; ピアノ</t>
  </si>
  <si>
    <t>オークション &gt; コンピュータ &gt; パソコン &gt; MSX</t>
  </si>
  <si>
    <t>笛、ラッパ</t>
  </si>
  <si>
    <t>オークション &gt; コンピュータ &gt; パソコン &gt; その他</t>
  </si>
  <si>
    <t>オークション &gt; おもちゃ、ゲーム &gt; 楽器玩具 &gt; 笛、ラッパ</t>
  </si>
  <si>
    <t>楽器、器材</t>
  </si>
  <si>
    <t>オークション &gt; おもちゃ、ゲーム &gt; 楽器玩具 &gt; 楽器、器材</t>
  </si>
  <si>
    <t>オークション &gt; おもちゃ、ゲーム &gt; 楽器玩具 &gt; その他</t>
  </si>
  <si>
    <t>外国人作家</t>
  </si>
  <si>
    <t>オークション &gt; 本、雑誌 &gt; 文学、小説 &gt; 小説一般 &gt; 外国人作家</t>
  </si>
  <si>
    <t>オークション &gt; 本、雑誌 &gt; アート、エンターテインメント &gt; 音楽、楽譜 &gt; 楽譜 &gt; クラシック</t>
  </si>
  <si>
    <t>日本人作家</t>
  </si>
  <si>
    <t>オークション &gt; 本、雑誌 &gt; 文学、小説 &gt; 小説一般 &gt; 日本人作家</t>
  </si>
  <si>
    <t>ポピュラー</t>
  </si>
  <si>
    <t>オークション &gt; 本、雑誌 &gt; アート、エンターテインメント &gt; 音楽、楽譜 &gt; 楽譜 &gt; ポピュラー</t>
  </si>
  <si>
    <t>ボーイズラブ</t>
  </si>
  <si>
    <t>童謡、子どもの歌</t>
  </si>
  <si>
    <t>オークション &gt; 本、雑誌 &gt; 文学、小説 &gt; ライトノベル &gt; ボーイズラブ</t>
  </si>
  <si>
    <t>オークション &gt; 本、雑誌 &gt; アート、エンターテインメント &gt; 音楽、楽譜 &gt; 楽譜 &gt; 童謡、子どもの歌</t>
  </si>
  <si>
    <t>ライトノベル一般</t>
  </si>
  <si>
    <t>オークション &gt; 本、雑誌 &gt; 文学、小説 &gt; ライトノベル &gt; ライトノベル一般</t>
  </si>
  <si>
    <t>オークション &gt; 本、雑誌 &gt; アート、エンターテインメント &gt; 音楽、楽譜 &gt; 楽譜 &gt; その他</t>
  </si>
  <si>
    <t>恋愛小説一般</t>
  </si>
  <si>
    <t>オークション &gt; 本、雑誌 &gt; 文学、小説 &gt; ロマンス、恋愛小説 &gt; 恋愛小説一般</t>
  </si>
  <si>
    <t>オークション &gt; チケット、金券、宿泊予約 &gt; 興行チケット &gt; 音楽 &gt; ジャパニーズポップス &gt; 演歌</t>
  </si>
  <si>
    <t>サンリオロマンス</t>
  </si>
  <si>
    <t>オークション &gt; 本、雑誌 &gt; 文学、小説 &gt; ロマンス、恋愛小説 &gt; サンリオロマンス</t>
  </si>
  <si>
    <t>北海道</t>
  </si>
  <si>
    <t>オークション &gt; チケット、金券、宿泊予約 &gt; 興行チケット &gt; 音楽 &gt; ジャパニーズポップス &gt; 北海道</t>
  </si>
  <si>
    <t>セカンドチャンス アト ラブ</t>
  </si>
  <si>
    <t>オークション &gt; 本、雑誌 &gt; 文学、小説 &gt; ロマンス、恋愛小説 &gt; セカンドチャンス アト ラブ</t>
  </si>
  <si>
    <t>東北</t>
  </si>
  <si>
    <t>オークション &gt; チケット、金券、宿泊予約 &gt; 興行チケット &gt; 音楽 &gt; ジャパニーズポップス &gt; 東北</t>
  </si>
  <si>
    <t>ハーレクインシリーズ</t>
  </si>
  <si>
    <t>オークション &gt; 本、雑誌 &gt; 文学、小説 &gt; ロマンス、恋愛小説 &gt; ハーレクインシリーズ</t>
  </si>
  <si>
    <t>関東</t>
  </si>
  <si>
    <t>オークション &gt; チケット、金券、宿泊予約 &gt; 興行チケット &gt; 音楽 &gt; ジャパニーズポップス &gt; 関東</t>
  </si>
  <si>
    <t>バーバラ・カートランドロマンス</t>
  </si>
  <si>
    <t>オークション &gt; 本、雑誌 &gt; 文学、小説 &gt; ロマンス、恋愛小説 &gt; バーバラ・カートランドロマンス</t>
  </si>
  <si>
    <t>北陸</t>
  </si>
  <si>
    <t>オークション &gt; チケット、金券、宿泊予約 &gt; 興行チケット &gt; 音楽 &gt; ジャパニーズポップス &gt; 北陸</t>
  </si>
  <si>
    <t>オークション &gt; 本、雑誌 &gt; 文学、小説 &gt; ロマンス、恋愛小説 &gt; ボーイズラブ</t>
  </si>
  <si>
    <t>信越</t>
  </si>
  <si>
    <t>オークション &gt; 本、雑誌 &gt; 文学、小説 &gt; SF &gt; 外国人作家</t>
  </si>
  <si>
    <t>オークション &gt; チケット、金券、宿泊予約 &gt; 興行チケット &gt; 音楽 &gt; ジャパニーズポップス &gt; 信越</t>
  </si>
  <si>
    <t>オークション &gt; 本、雑誌 &gt; 文学、小説 &gt; SF &gt; 日本人作家</t>
  </si>
  <si>
    <t>東海</t>
  </si>
  <si>
    <t>オークション &gt; チケット、金券、宿泊予約 &gt; 興行チケット &gt; 音楽 &gt; ジャパニーズポップス &gt; 東海</t>
  </si>
  <si>
    <t>同人誌</t>
  </si>
  <si>
    <t>オークション &gt; 本、雑誌 &gt; 文学、小説 &gt; SF &gt; 同人誌</t>
  </si>
  <si>
    <t>近畿</t>
  </si>
  <si>
    <t>オークション &gt; チケット、金券、宿泊予約 &gt; 興行チケット &gt; 音楽 &gt; ジャパニーズポップス &gt; 近畿</t>
  </si>
  <si>
    <t>オークション &gt; 本、雑誌 &gt; 文学、小説 &gt; ファンタジー &gt; 外国人作家</t>
  </si>
  <si>
    <t>中国</t>
  </si>
  <si>
    <t>オークション &gt; チケット、金券、宿泊予約 &gt; 興行チケット &gt; 音楽 &gt; ジャパニーズポップス &gt; 中国</t>
  </si>
  <si>
    <t>オークション &gt; 本、雑誌 &gt; 文学、小説 &gt; ファンタジー &gt; 日本人作家</t>
  </si>
  <si>
    <t>四国</t>
  </si>
  <si>
    <t>オークション &gt; 本、雑誌 &gt; 文学、小説 &gt; ファンタジー &gt; 同人誌</t>
  </si>
  <si>
    <t>オークション &gt; チケット、金券、宿泊予約 &gt; 興行チケット &gt; 音楽 &gt; ジャパニーズポップス &gt; 四国</t>
  </si>
  <si>
    <t>九州</t>
  </si>
  <si>
    <t>オークション &gt; 本、雑誌 &gt; 文学、小説 &gt; ホラー &gt; 外国人作家</t>
  </si>
  <si>
    <t>オークション &gt; チケット、金券、宿泊予約 &gt; 興行チケット &gt; 音楽 &gt; ジャパニーズポップス &gt; 九州</t>
  </si>
  <si>
    <t>沖縄</t>
  </si>
  <si>
    <t>オークション &gt; チケット、金券、宿泊予約 &gt; 興行チケット &gt; 音楽 &gt; ジャパニーズポップス &gt; 沖縄</t>
  </si>
  <si>
    <t>オークション &gt; 本、雑誌 &gt; 文学、小説 &gt; ホラー &gt; 日本人作家</t>
  </si>
  <si>
    <t>オークション &gt; 本、雑誌 &gt; 文学、小説 &gt; ホラー &gt; 同人誌</t>
  </si>
  <si>
    <t>オークション &gt; チケット、金券、宿泊予約 &gt; 興行チケット &gt; 音楽 &gt; ジャパニーズポップス &gt; その他</t>
  </si>
  <si>
    <t>オークション &gt; 本、雑誌 &gt; 文学、小説 &gt; ミステリー &gt; 外国人作家</t>
  </si>
  <si>
    <t>オークション &gt; チケット、金券、宿泊予約 &gt; 興行チケット &gt; 音楽 &gt; 洋楽 &gt; 北海道</t>
  </si>
  <si>
    <t>オークション &gt; 本、雑誌 &gt; 文学、小説 &gt; ミステリー &gt; 日本人作家</t>
  </si>
  <si>
    <t>オークション &gt; コンピュータ &gt; 周辺機器 &gt; ハードディスク</t>
  </si>
  <si>
    <t>オークション &gt; チケット、金券、宿泊予約 &gt; 興行チケット &gt; 音楽 &gt; 洋楽 &gt; 東北</t>
  </si>
  <si>
    <t>オークション &gt; 本、雑誌 &gt; 文学、小説 &gt; ミステリー &gt; 同人誌</t>
  </si>
  <si>
    <t>SSD</t>
  </si>
  <si>
    <t>オークション &gt; コンピュータ &gt; 周辺機器 &gt; SSD</t>
  </si>
  <si>
    <t>世界の歴史</t>
  </si>
  <si>
    <t>オークション &gt; チケット、金券、宿泊予約 &gt; 興行チケット &gt; 音楽 &gt; 洋楽 &gt; 関東</t>
  </si>
  <si>
    <t>オークション &gt; 本、雑誌 &gt; 文学、小説 &gt; 時代、歴史 &gt; 世界の歴史</t>
  </si>
  <si>
    <t>オークション &gt; コンピュータ &gt; 周辺機器 &gt; 記録用メモリ</t>
  </si>
  <si>
    <t>日本の歴史</t>
  </si>
  <si>
    <t>オークション &gt; 本、雑誌 &gt; 文学、小説 &gt; 時代、歴史 &gt; 日本の歴史</t>
  </si>
  <si>
    <t>オークション &gt; チケット、金券、宿泊予約 &gt; 興行チケット &gt; 音楽 &gt; 洋楽 &gt; 北陸</t>
  </si>
  <si>
    <t>ブルーレイドライブ</t>
  </si>
  <si>
    <t>オークション &gt; コンピュータ &gt; 周辺機器 &gt; ブルーレイドライブ</t>
  </si>
  <si>
    <t>オークション &gt; 本、雑誌 &gt; 文学、小説 &gt; 純文学 &gt; あ行</t>
  </si>
  <si>
    <t>オークション &gt; チケット、金券、宿泊予約 &gt; 興行チケット &gt; 音楽 &gt; 洋楽 &gt; 信越</t>
  </si>
  <si>
    <t>DVDドライブ</t>
  </si>
  <si>
    <t>オークション &gt; コンピュータ &gt; 周辺機器 &gt; DVDドライブ</t>
  </si>
  <si>
    <t>CDドライブ</t>
  </si>
  <si>
    <t>オークション &gt; チケット、金券、宿泊予約 &gt; 興行チケット &gt; 音楽 &gt; 洋楽 &gt; 東海</t>
  </si>
  <si>
    <t>オークション &gt; 本、雑誌 &gt; 文学、小説 &gt; 純文学 &gt; か行</t>
  </si>
  <si>
    <t>オークション &gt; コンピュータ &gt; 周辺機器 &gt; CDドライブ</t>
  </si>
  <si>
    <t>MOドライブ</t>
  </si>
  <si>
    <t>オークション &gt; 本、雑誌 &gt; 文学、小説 &gt; 純文学 &gt; さ行</t>
  </si>
  <si>
    <t>オークション &gt; コンピュータ &gt; 周辺機器 &gt; MOドライブ</t>
  </si>
  <si>
    <t>オークション &gt; チケット、金券、宿泊予約 &gt; 興行チケット &gt; 音楽 &gt; 洋楽 &gt; 近畿</t>
  </si>
  <si>
    <t>テープ装置</t>
  </si>
  <si>
    <t>オークション &gt; コンピュータ &gt; 周辺機器 &gt; テープ装置</t>
  </si>
  <si>
    <t>オークション &gt; チケット、金券、宿泊予約 &gt; 興行チケット &gt; 音楽 &gt; 洋楽 &gt; 中国</t>
  </si>
  <si>
    <t>オークション &gt; 本、雑誌 &gt; 文学、小説 &gt; 純文学 &gt; た行</t>
  </si>
  <si>
    <t>フロッピーディスクドライブ</t>
  </si>
  <si>
    <t>オークション &gt; コンピュータ &gt; 周辺機器 &gt; フロッピーディスクドライブ</t>
  </si>
  <si>
    <t>オークション &gt; チケット、金券、宿泊予約 &gt; 興行チケット &gt; 音楽 &gt; 洋楽 &gt; 四国</t>
  </si>
  <si>
    <t>オークション &gt; 本、雑誌 &gt; 文学、小説 &gt; 純文学 &gt; な行</t>
  </si>
  <si>
    <t>オークション &gt; コンピュータ &gt; 周辺機器 &gt; モニタ</t>
  </si>
  <si>
    <t>オークション &gt; チケット、金券、宿泊予約 &gt; 興行チケット &gt; 音楽 &gt; 洋楽 &gt; 九州</t>
  </si>
  <si>
    <t>オークション &gt; 本、雑誌 &gt; 文学、小説 &gt; 純文学 &gt; は行</t>
  </si>
  <si>
    <t>オークション &gt; コンピュータ &gt; 周辺機器 &gt; プリンタ、プロッタ</t>
  </si>
  <si>
    <t>オークション &gt; チケット、金券、宿泊予約 &gt; 興行チケット &gt; 音楽 &gt; 洋楽 &gt; 沖縄</t>
  </si>
  <si>
    <t>オークション &gt; 本、雑誌 &gt; 文学、小説 &gt; 純文学 &gt; ま行</t>
  </si>
  <si>
    <t>オークション &gt; コンピュータ &gt; 周辺機器 &gt; 複合機</t>
  </si>
  <si>
    <t>オークション &gt; チケット、金券、宿泊予約 &gt; 興行チケット &gt; 音楽 &gt; 洋楽 &gt; その他</t>
  </si>
  <si>
    <t>オークション &gt; 本、雑誌 &gt; 文学、小説 &gt; 純文学 &gt; や行</t>
  </si>
  <si>
    <t>オークション &gt; コンピュータ &gt; 周辺機器 &gt; ネットワーク</t>
  </si>
  <si>
    <t>オークション &gt; 本、雑誌 &gt; アート、エンターテインメント &gt; 音楽、楽譜 &gt; 音楽評論 &gt; クラシック</t>
  </si>
  <si>
    <t>オークション &gt; 本、雑誌 &gt; 文学、小説 &gt; 純文学 &gt; ら行</t>
  </si>
  <si>
    <t>オークション &gt; コンピュータ &gt; 周辺機器 &gt; 入力装置</t>
  </si>
  <si>
    <t>オークション &gt; 本、雑誌 &gt; 文学、小説 &gt; 純文学 &gt; わ行</t>
  </si>
  <si>
    <t>オークション &gt; 本、雑誌 &gt; アート、エンターテインメント &gt; 音楽、楽譜 &gt; 音楽評論 &gt; ジャズ</t>
  </si>
  <si>
    <t>オークション &gt; コンピュータ &gt; 周辺機器 &gt; スキャナ</t>
  </si>
  <si>
    <t>オークション &gt; 本、雑誌 &gt; 文学、小説 &gt; 純文学 &gt; 同人誌</t>
  </si>
  <si>
    <t>オークション &gt; 本、雑誌 &gt; アート、エンターテインメント &gt; 音楽、楽譜 &gt; 音楽評論 &gt; ジャパニーズポップス</t>
  </si>
  <si>
    <t>サウンド</t>
  </si>
  <si>
    <t>オークション &gt; コンピュータ &gt; 周辺機器 &gt; サウンド</t>
  </si>
  <si>
    <t>海外古典</t>
  </si>
  <si>
    <t>オークション &gt; 本、雑誌 &gt; 文学、小説 &gt; 古典文学 &gt; 海外古典</t>
  </si>
  <si>
    <t>オークション &gt; 本、雑誌 &gt; アート、エンターテインメント &gt; 音楽、楽譜 &gt; 音楽評論 &gt; 童謡、子どもの歌</t>
  </si>
  <si>
    <t>デジタル映像機器</t>
  </si>
  <si>
    <t>オークション &gt; コンピュータ &gt; 周辺機器 &gt; デジタル映像機器</t>
  </si>
  <si>
    <t>民族音楽、民謡</t>
  </si>
  <si>
    <t>日本古典</t>
  </si>
  <si>
    <t>オークション &gt; 本、雑誌 &gt; アート、エンターテインメント &gt; 音楽、楽譜 &gt; 音楽評論 &gt; 民族音楽、民謡</t>
  </si>
  <si>
    <t>オークション &gt; 本、雑誌 &gt; 文学、小説 &gt; 古典文学 &gt; 日本古典</t>
  </si>
  <si>
    <t>オークション &gt; コンピュータ &gt; 周辺機器 &gt; UPS、無停電電源装置</t>
  </si>
  <si>
    <t>古書、古文書</t>
  </si>
  <si>
    <t>オークション &gt; 本、雑誌 &gt; 文学、小説 &gt; 古典文学 &gt; 古書、古文書</t>
  </si>
  <si>
    <t>オークション &gt; 本、雑誌 &gt; アート、エンターテインメント &gt; 音楽、楽譜 &gt; 音楽評論 &gt; 洋楽</t>
  </si>
  <si>
    <t>オークション &gt; コンピュータ &gt; 周辺機器 &gt; Mac用</t>
  </si>
  <si>
    <t>紀行文、旅行エッセイ</t>
  </si>
  <si>
    <t>オークション &gt; 本、雑誌 &gt; 文学、小説 &gt; エッセイ、随筆 &gt; 紀行文、旅行エッセイ</t>
  </si>
  <si>
    <t>ワークステーション用</t>
  </si>
  <si>
    <t>オークション &gt; コンピュータ &gt; 周辺機器 &gt; ワークステーション用</t>
  </si>
  <si>
    <t>料理エッセイ</t>
  </si>
  <si>
    <t>オークション &gt; 本、雑誌 &gt; 文学、小説 &gt; エッセイ、随筆 &gt; 料理エッセイ</t>
  </si>
  <si>
    <t>オークション &gt; コンピュータ &gt; 周辺機器 &gt; その他</t>
  </si>
  <si>
    <t>恋愛エッセイ</t>
  </si>
  <si>
    <t>オークション &gt; 本、雑誌 &gt; 文学、小説 &gt; エッセイ、随筆 &gt; 恋愛エッセイ</t>
  </si>
  <si>
    <t>ダウンロード版</t>
  </si>
  <si>
    <t>オークション &gt; コンピュータ &gt; ソフトウエア &gt; ダウンロード版</t>
  </si>
  <si>
    <t>オークション &gt; 本、雑誌 &gt; 文学、小説 &gt; エッセイ、随筆 &gt; その他</t>
  </si>
  <si>
    <t>パッケージ版</t>
  </si>
  <si>
    <t>オークション &gt; 本、雑誌 &gt; ノンフィクション、教養 &gt; サブカルチャー &gt; 一般</t>
  </si>
  <si>
    <t>オークション &gt; コンピュータ &gt; ソフトウエア &gt; パッケージ版</t>
  </si>
  <si>
    <t>管楽器</t>
  </si>
  <si>
    <t>オークション &gt; 本、雑誌 &gt; アート、エンターテインメント &gt; 音楽、楽譜 &gt; 音楽教育、指導 &gt; 管楽器</t>
  </si>
  <si>
    <t>プリンタ用サプライ</t>
  </si>
  <si>
    <t>アート雑誌</t>
  </si>
  <si>
    <t>オークション &gt; コンピュータ &gt; サプライ &gt; プリンタ用サプライ</t>
  </si>
  <si>
    <t>オークション &gt; 本、雑誌 &gt; ノンフィクション、教養 &gt; サブカルチャー &gt; アート雑誌</t>
  </si>
  <si>
    <t>鍵盤楽器</t>
  </si>
  <si>
    <t>オークション &gt; 本、雑誌 &gt; アート、エンターテインメント &gt; 音楽、楽譜 &gt; 音楽教育、指導 &gt; 鍵盤楽器</t>
  </si>
  <si>
    <t>ノンフィクション雑誌</t>
  </si>
  <si>
    <t>オークション &gt; 本、雑誌 &gt; ノンフィクション、教養 &gt; サブカルチャー &gt; ノンフィクション雑誌</t>
  </si>
  <si>
    <t>オークション &gt; コンピュータ &gt; サプライ &gt; 記録用メモリ</t>
  </si>
  <si>
    <t>弦楽器</t>
  </si>
  <si>
    <t>オークション &gt; 本、雑誌 &gt; アート、エンターテインメント &gt; 音楽、楽譜 &gt; 音楽教育、指導 &gt; 弦楽器</t>
  </si>
  <si>
    <t>裏社会</t>
  </si>
  <si>
    <t>オークション &gt; 本、雑誌 &gt; ノンフィクション、教養 &gt; サブカルチャー &gt; 裏社会</t>
  </si>
  <si>
    <t>記録用ディスク</t>
  </si>
  <si>
    <t>オークション &gt; コンピュータ &gt; サプライ &gt; 記録用ディスク</t>
  </si>
  <si>
    <t>打楽器</t>
  </si>
  <si>
    <t>オークション &gt; 本、雑誌 &gt; アート、エンターテインメント &gt; 音楽、楽譜 &gt; 音楽教育、指導 &gt; 打楽器</t>
  </si>
  <si>
    <t>サイエンス</t>
  </si>
  <si>
    <t>オークション &gt; 本、雑誌 &gt; ノンフィクション、教養 &gt; ノンフィクション &gt; サイエンス</t>
  </si>
  <si>
    <t>オークション &gt; コンピュータ &gt; サプライ &gt; ケース</t>
  </si>
  <si>
    <t>スポーツノンフィクション</t>
  </si>
  <si>
    <t>オークション &gt; 本、雑誌 &gt; ノンフィクション、教養 &gt; ノンフィクション &gt; スポーツノンフィクション</t>
  </si>
  <si>
    <t>オークション &gt; 本、雑誌 &gt; アート、エンターテインメント &gt; 音楽、楽譜 &gt; 音楽教育、指導 &gt; その他</t>
  </si>
  <si>
    <t>シール、ステッカー</t>
  </si>
  <si>
    <t>オークション &gt; コンピュータ &gt; サプライ &gt; シール、ステッカー</t>
  </si>
  <si>
    <t>海外ノンフィクション</t>
  </si>
  <si>
    <t>オークション &gt; 本、雑誌 &gt; ノンフィクション、教養 &gt; ノンフィクション &gt; 海外ノンフィクション</t>
  </si>
  <si>
    <t>クリーナー、掃除用品</t>
  </si>
  <si>
    <t>オークション &gt; コンピュータ &gt; サプライ &gt; クリーナー、掃除用品</t>
  </si>
  <si>
    <t>皇室</t>
  </si>
  <si>
    <t>オークション &gt; 本、雑誌 &gt; ノンフィクション、教養 &gt; ノンフィクション &gt; 皇室</t>
  </si>
  <si>
    <t>マウスパッド</t>
  </si>
  <si>
    <t>オークション &gt; コンピュータ &gt; サプライ &gt; マウスパッド</t>
  </si>
  <si>
    <t>日本ノンフィクション</t>
  </si>
  <si>
    <t>オークション &gt; 本、雑誌 &gt; ノンフィクション、教養 &gt; ノンフィクション &gt; 日本ノンフィクション</t>
  </si>
  <si>
    <t>オークション &gt; 本、雑誌 &gt; ノンフィクション、教養 &gt; 超常現象、オカルト &gt; 一般</t>
  </si>
  <si>
    <t>オークション &gt; コンピュータ &gt; パーツ &gt; CPU</t>
  </si>
  <si>
    <t>オークション &gt; コンピュータ &gt; パーツ &gt; メモリ</t>
  </si>
  <si>
    <t>オークション &gt; 本、雑誌 &gt; ノンフィクション、教養 &gt; 超常現象、オカルト &gt; 雑誌</t>
  </si>
  <si>
    <t>オークション &gt; コンピュータ &gt; パーツ &gt; マザーボード</t>
  </si>
  <si>
    <t>オークション &gt; 本、雑誌 &gt; ノンフィクション、教養 &gt; 恋愛、結婚 &gt; エッセイ</t>
  </si>
  <si>
    <t>ロマンス、恋愛小説</t>
  </si>
  <si>
    <t>カード</t>
  </si>
  <si>
    <t>オークション &gt; コンピュータ &gt; パーツ &gt; カード</t>
  </si>
  <si>
    <t>オークション &gt; 本、雑誌 &gt; ノンフィクション、教養 &gt; 恋愛、結婚 &gt; ロマンス、恋愛小説</t>
  </si>
  <si>
    <t>CD情報、ランキング</t>
  </si>
  <si>
    <t>オークション &gt; 本、雑誌 &gt; 雑誌 &gt; アート、エンターテインメント &gt; 音楽 &gt; CD情報、ランキング</t>
  </si>
  <si>
    <t>オークション &gt; コンピュータ &gt; パーツ &gt; ケース</t>
  </si>
  <si>
    <t>家族、嫁姑問題</t>
  </si>
  <si>
    <t>オークション &gt; 本、雑誌 &gt; ノンフィクション、教養 &gt; 恋愛、結婚 &gt; 家族、嫁姑問題</t>
  </si>
  <si>
    <t>オークション &gt; 本、雑誌 &gt; 雑誌 &gt; アート、エンターテインメント &gt; 音楽 &gt; クラシック</t>
  </si>
  <si>
    <t>電源、ACアダプタ</t>
  </si>
  <si>
    <t>オークション &gt; コンピュータ &gt; パーツ &gt; 電源、ACアダプタ</t>
  </si>
  <si>
    <t>結婚</t>
  </si>
  <si>
    <t>オークション &gt; 本、雑誌 &gt; ノンフィクション、教養 &gt; 恋愛、結婚 &gt; 結婚</t>
  </si>
  <si>
    <t>コンピュータミュージック</t>
  </si>
  <si>
    <t>ケーブル、コネクタ</t>
  </si>
  <si>
    <t>オークション &gt; 本、雑誌 &gt; 雑誌 &gt; アート、エンターテインメント &gt; 音楽 &gt; コンピュータミュージック</t>
  </si>
  <si>
    <t>オークション &gt; コンピュータ &gt; パーツ &gt; ケーブル、コネクタ</t>
  </si>
  <si>
    <t>女性の生き方</t>
  </si>
  <si>
    <t>オークション &gt; 本、雑誌 &gt; ノンフィクション、教養 &gt; 恋愛、結婚 &gt; 女性の生き方</t>
  </si>
  <si>
    <t>オークション &gt; 本、雑誌 &gt; 雑誌 &gt; アート、エンターテインメント &gt; 音楽 &gt; ジャズ</t>
  </si>
  <si>
    <t>オークション &gt; コンピュータ &gt; パーツ &gt; Mac用</t>
  </si>
  <si>
    <t>恋愛心理</t>
  </si>
  <si>
    <t>オークション &gt; 本、雑誌 &gt; ノンフィクション、教養 &gt; 恋愛、結婚 &gt; 恋愛心理</t>
  </si>
  <si>
    <t>ベアボーンキット</t>
  </si>
  <si>
    <t>オークション &gt; 本、雑誌 &gt; 雑誌 &gt; アート、エンターテインメント &gt; 音楽 &gt; ジャパニーズポップス</t>
  </si>
  <si>
    <t>オークション &gt; コンピュータ &gt; パーツ &gt; ベアボーンキット</t>
  </si>
  <si>
    <t>全国</t>
  </si>
  <si>
    <t>オークション &gt; 本、雑誌 &gt; 地図、旅行ガイド &gt; 日本地図 &gt; 全国</t>
  </si>
  <si>
    <t>楽器</t>
  </si>
  <si>
    <t>オークション &gt; コンピュータ &gt; パーツ &gt; ワークステーション用</t>
  </si>
  <si>
    <t>オークション &gt; 本、雑誌 &gt; 雑誌 &gt; アート、エンターテインメント &gt; 音楽 &gt; 楽器</t>
  </si>
  <si>
    <t>オークション &gt; 本、雑誌 &gt; 地図、旅行ガイド &gt; 日本地図 &gt; 北海道</t>
  </si>
  <si>
    <t>冷却装置</t>
  </si>
  <si>
    <t>オークション &gt; 本、雑誌 &gt; 雑誌 &gt; アート、エンターテインメント &gt; 音楽 &gt; 洋楽</t>
  </si>
  <si>
    <t>オークション &gt; コンピュータ &gt; パーツ &gt; 冷却装置</t>
  </si>
  <si>
    <t>オークション &gt; 本、雑誌 &gt; 地図、旅行ガイド &gt; 日本地図 &gt; 東北</t>
  </si>
  <si>
    <t>オークション &gt; 本、雑誌 &gt; 雑誌 &gt; アート、エンターテインメント &gt; 音楽 &gt; その他</t>
  </si>
  <si>
    <t>サーバー本体</t>
  </si>
  <si>
    <t>オークション &gt; コンピュータ &gt; サーバー &gt; サーバー本体</t>
  </si>
  <si>
    <t>オークション &gt; 本、雑誌 &gt; 地図、旅行ガイド &gt; 日本地図 &gt; 関東</t>
  </si>
  <si>
    <t>サーバーラック</t>
  </si>
  <si>
    <t>オークション &gt; 本、雑誌 &gt; 地図、旅行ガイド &gt; 日本地図 &gt; 信越</t>
  </si>
  <si>
    <t>オークション &gt; コンピュータ &gt; サーバー &gt; サーバーラック</t>
  </si>
  <si>
    <t>オークション &gt; コンピュータ &gt; サーバー &gt; その他</t>
  </si>
  <si>
    <t>オークション &gt; 本、雑誌 &gt; 地図、旅行ガイド &gt; 日本地図 &gt; 北陸</t>
  </si>
  <si>
    <t>オークション &gt; コンピュータ &gt; ワークステーション &gt; デル</t>
  </si>
  <si>
    <t>オークション &gt; 本、雑誌 &gt; 地図、旅行ガイド &gt; 日本地図 &gt; 東海</t>
  </si>
  <si>
    <t>HP</t>
  </si>
  <si>
    <t>オークション &gt; 本、雑誌 &gt; 地図、旅行ガイド &gt; 日本地図 &gt; 近畿</t>
  </si>
  <si>
    <t>オークション &gt; コンピュータ &gt; ワークステーション &gt; HP</t>
  </si>
  <si>
    <t>SUN</t>
  </si>
  <si>
    <t>オークション &gt; 本、雑誌 &gt; 地図、旅行ガイド &gt; 日本地図 &gt; 四国</t>
  </si>
  <si>
    <t>オークション &gt; コンピュータ &gt; ワークステーション &gt; SUN</t>
  </si>
  <si>
    <t>オークション &gt; 本、雑誌 &gt; 地図、旅行ガイド &gt; 日本地図 &gt; 中国</t>
  </si>
  <si>
    <t>オークション &gt; コンピュータ &gt; ワークステーション &gt; IBM、レノボ</t>
  </si>
  <si>
    <t>オークション &gt; 本、雑誌 &gt; 地図、旅行ガイド &gt; 日本地図 &gt; 九州</t>
  </si>
  <si>
    <t>SGI</t>
  </si>
  <si>
    <t>オークション &gt; コンピュータ &gt; ワークステーション &gt; SGI</t>
  </si>
  <si>
    <t>オークション &gt; 本、雑誌 &gt; 地図、旅行ガイド &gt; 日本地図 &gt; 沖縄</t>
  </si>
  <si>
    <t>オークション &gt; コンピュータ &gt; ワークステーション &gt; パーツ</t>
  </si>
  <si>
    <t>レジャーガイド</t>
  </si>
  <si>
    <t>オークション &gt; 本、雑誌 &gt; 趣味、スポーツ、実用 &gt; 旅行、レジャーガイド &gt; レジャーガイド</t>
  </si>
  <si>
    <t>オークション &gt; コンピュータ &gt; ワークステーション &gt; 周辺機器</t>
  </si>
  <si>
    <t>レストランガイド</t>
  </si>
  <si>
    <t>オークション &gt; コンピュータ &gt; ワークステーション &gt; その他</t>
  </si>
  <si>
    <t>オークション &gt; 本、雑誌 &gt; 趣味、スポーツ、実用 &gt; 旅行、レジャーガイド &gt; レストランガイド</t>
  </si>
  <si>
    <t>オークション &gt; 本、雑誌 &gt; 趣味、スポーツ、実用 &gt; 旅行、レジャーガイド &gt; 紀行文、旅行エッセイ</t>
  </si>
  <si>
    <t>宿泊、ホテルガイド</t>
  </si>
  <si>
    <t>オークション &gt; 本、雑誌 &gt; 趣味、スポーツ、実用 &gt; 旅行、レジャーガイド &gt; 宿泊、ホテルガイド</t>
  </si>
  <si>
    <t>地図</t>
  </si>
  <si>
    <t>オークション &gt; 本、雑誌 &gt; 趣味、スポーツ、実用 &gt; 旅行、レジャーガイド &gt; 地図</t>
  </si>
  <si>
    <t>旅行ガイド</t>
  </si>
  <si>
    <t>オークション &gt; 本、雑誌 &gt; 趣味、スポーツ、実用 &gt; 旅行、レジャーガイド &gt; 旅行ガイド</t>
  </si>
  <si>
    <t>カット集</t>
  </si>
  <si>
    <t>オークション &gt; 本、雑誌 &gt; 趣味、スポーツ、実用 &gt; イラスト、カット &gt; カット集</t>
  </si>
  <si>
    <t>コミックイラスト集</t>
  </si>
  <si>
    <t>オークション &gt; 本、雑誌 &gt; 趣味、スポーツ、実用 &gt; イラスト、カット &gt; コミックイラスト集</t>
  </si>
  <si>
    <t>絵手紙</t>
  </si>
  <si>
    <t>オークション &gt; 本、雑誌 &gt; 趣味、スポーツ、実用 &gt; イラスト、カット &gt; 絵手紙</t>
  </si>
  <si>
    <t>技法書</t>
  </si>
  <si>
    <t>オークション &gt; 本、雑誌 &gt; 趣味、スポーツ、実用 &gt; イラスト、カット &gt; 技法書</t>
  </si>
  <si>
    <t>オークション &gt; 住まい、インテリア &gt; 家具、インテリア &gt; 机 &gt; パソコンデスク &gt; セット</t>
  </si>
  <si>
    <t>オークション &gt; 住まい、インテリア &gt; 家具、インテリア &gt; 机 &gt; パソコンデスク &gt; 一般</t>
  </si>
  <si>
    <t>オークション &gt; 本、雑誌 &gt; 趣味、スポーツ、実用 &gt; イラスト、カット &gt; その他</t>
  </si>
  <si>
    <t>バイク一般</t>
  </si>
  <si>
    <t>座卓</t>
  </si>
  <si>
    <t>オークション &gt; 本、雑誌 &gt; 趣味、スポーツ、実用 &gt; オートバイ &gt; バイク一般</t>
  </si>
  <si>
    <t>オークション &gt; 住まい、インテリア &gt; 家具、インテリア &gt; 机 &gt; パソコンデスク &gt; 座卓</t>
  </si>
  <si>
    <t>メカニズム</t>
  </si>
  <si>
    <t>キャビネット、デスクワゴン</t>
  </si>
  <si>
    <t>オークション &gt; 本、雑誌 &gt; 趣味、スポーツ、実用 &gt; オートバイ &gt; メカニズム</t>
  </si>
  <si>
    <t>オークション &gt; 住まい、インテリア &gt; 家具、インテリア &gt; 机 &gt; パソコンデスク &gt; キャビネット、デスクワゴン</t>
  </si>
  <si>
    <t>メンテナンス</t>
  </si>
  <si>
    <t>オークション &gt; 本、雑誌 &gt; 趣味、スポーツ、実用 &gt; オートバイ &gt; メンテナンス</t>
  </si>
  <si>
    <t>オークション &gt; 本、雑誌 &gt; 趣味、スポーツ、実用 &gt; オートバイ &gt; 雑誌</t>
  </si>
  <si>
    <t>免許取得</t>
  </si>
  <si>
    <t>オークション &gt; 本、雑誌 &gt; 趣味、スポーツ、実用 &gt; オートバイ &gt; 免許取得</t>
  </si>
  <si>
    <t>パチンコ、パチスロ</t>
  </si>
  <si>
    <t>オークション &gt; 本、雑誌 &gt; 趣味、スポーツ、実用 &gt; ギャンブル &gt; パチンコ、パチスロ</t>
  </si>
  <si>
    <t>競馬</t>
  </si>
  <si>
    <t>オークション &gt; 本、雑誌 &gt; 趣味、スポーツ、実用 &gt; ギャンブル &gt; 競馬</t>
  </si>
  <si>
    <t>オークション &gt; 本、雑誌 &gt; 趣味、スポーツ、実用 &gt; ギャンブル &gt; その他</t>
  </si>
  <si>
    <t>オークション &gt; 本、雑誌 &gt; 趣味、スポーツ、実用 &gt; スポーツ &gt; ゴルフ</t>
  </si>
  <si>
    <t>オークション &gt; 本、雑誌 &gt; コンピュータとインターネット &gt; Mac</t>
  </si>
  <si>
    <t>オークション &gt; 本、雑誌 &gt; 趣味、スポーツ、実用 &gt; スポーツ &gt; サッカー</t>
  </si>
  <si>
    <t>OS</t>
  </si>
  <si>
    <t>オークション &gt; 本、雑誌 &gt; コンピュータとインターネット &gt; OS</t>
  </si>
  <si>
    <t>オークション &gt; 本、雑誌 &gt; 趣味、スポーツ、実用 &gt; スポーツ &gt; スキー、スノーボード</t>
  </si>
  <si>
    <t>アプリケーション</t>
  </si>
  <si>
    <t>オークション &gt; 本、雑誌 &gt; コンピュータとインターネット &gt; アプリケーション</t>
  </si>
  <si>
    <t>オークション &gt; 本、雑誌 &gt; 趣味、スポーツ、実用 &gt; スポーツ &gt; テニス</t>
  </si>
  <si>
    <t>オークション &gt; 本、雑誌 &gt; コンピュータとインターネット &gt; インターネット、通信</t>
  </si>
  <si>
    <t>オークション &gt; 本、雑誌 &gt; 趣味、スポーツ、実用 &gt; スポーツ &gt; バスケットボール</t>
  </si>
  <si>
    <t>コンピュータ資格試験</t>
  </si>
  <si>
    <t>オークション &gt; 本、雑誌 &gt; コンピュータとインターネット &gt; コンピュータ資格試験</t>
  </si>
  <si>
    <t>オークション &gt; 本、雑誌 &gt; 趣味、スポーツ、実用 &gt; スポーツ &gt; バレーボール</t>
  </si>
  <si>
    <t>システム設計、開発</t>
  </si>
  <si>
    <t>オークション &gt; 本、雑誌 &gt; コンピュータとインターネット &gt; システム設計、開発</t>
  </si>
  <si>
    <t>オークション &gt; 本、雑誌 &gt; 趣味、スポーツ、実用 &gt; スポーツ &gt; バレエ、ダンス</t>
  </si>
  <si>
    <t>デジタルクリエイト</t>
  </si>
  <si>
    <t>オークション &gt; 本、雑誌 &gt; コンピュータとインターネット &gt; デジタルクリエイト</t>
  </si>
  <si>
    <t>マリンスポーツ</t>
  </si>
  <si>
    <t>オークション &gt; 本、雑誌 &gt; 趣味、スポーツ、実用 &gt; スポーツ &gt; マリンスポーツ</t>
  </si>
  <si>
    <t>ハードウエア</t>
  </si>
  <si>
    <t>オークション &gt; 本、雑誌 &gt; コンピュータとインターネット &gt; ハードウエア</t>
  </si>
  <si>
    <t>オークション &gt; 本、雑誌 &gt; 趣味、スポーツ、実用 &gt; スポーツ &gt; 格闘技、プロレス</t>
  </si>
  <si>
    <t>言語</t>
  </si>
  <si>
    <t>オークション &gt; 本、雑誌 &gt; コンピュータとインターネット &gt; 言語</t>
  </si>
  <si>
    <t>オークション &gt; 本、雑誌 &gt; 趣味、スポーツ、実用 &gt; スポーツ &gt; 雑誌</t>
  </si>
  <si>
    <t>自転車、サイクリング</t>
  </si>
  <si>
    <t>オークション &gt; 本、雑誌 &gt; コンピュータとインターネット &gt; 雑誌</t>
  </si>
  <si>
    <t>オークション &gt; 本、雑誌 &gt; 趣味、スポーツ、実用 &gt; スポーツ &gt; 自転車、サイクリング</t>
  </si>
  <si>
    <t>オークション &gt; 本、雑誌 &gt; 趣味、スポーツ、実用 &gt; スポーツ &gt; 野球</t>
  </si>
  <si>
    <t>オークション &gt; 本、雑誌 &gt; 趣味、スポーツ、実用 &gt; スポーツ &gt; その他</t>
  </si>
  <si>
    <t>観賞魚</t>
  </si>
  <si>
    <t>オークション &gt; 本、雑誌 &gt; 趣味、スポーツ、実用 &gt; ペット、動物 &gt; 観賞魚</t>
  </si>
  <si>
    <t>犬</t>
  </si>
  <si>
    <t>オークション &gt; 本、雑誌 &gt; 趣味、スポーツ、実用 &gt; ペット、動物 &gt; 犬</t>
  </si>
  <si>
    <t>オークション &gt; 家電、AV、カメラ &gt; オーディオ機器 &gt; ポータブルプレーヤー</t>
  </si>
  <si>
    <t>昆虫</t>
  </si>
  <si>
    <t>オークション &gt; 本、雑誌 &gt; 趣味、スポーツ、実用 &gt; ペット、動物 &gt; 昆虫</t>
  </si>
  <si>
    <t>オークション &gt; 家電、AV、カメラ &gt; オーディオ機器 &gt; ヘッドフォン、イヤフォン</t>
  </si>
  <si>
    <t>オークション &gt; 本、雑誌 &gt; 趣味、スポーツ、実用 &gt; ペット、動物 &gt; 雑誌</t>
  </si>
  <si>
    <t>小鳥</t>
  </si>
  <si>
    <t>オークション &gt; 家電、AV、カメラ &gt; オーディオ機器 &gt; アンプ</t>
  </si>
  <si>
    <t>オークション &gt; 本、雑誌 &gt; 趣味、スポーツ、実用 &gt; ペット、動物 &gt; 小鳥</t>
  </si>
  <si>
    <t>オークション &gt; 家電、AV、カメラ &gt; オーディオ機器 &gt; スピーカー</t>
  </si>
  <si>
    <t>小動物</t>
  </si>
  <si>
    <t>オークション &gt; 本、雑誌 &gt; 趣味、スポーツ、実用 &gt; ペット、動物 &gt; 小動物</t>
  </si>
  <si>
    <t>CDデッキ</t>
  </si>
  <si>
    <t>猫</t>
  </si>
  <si>
    <t>オークション &gt; 家電、AV、カメラ &gt; オーディオ機器 &gt; CDデッキ</t>
  </si>
  <si>
    <t>オークション &gt; 本、雑誌 &gt; 趣味、スポーツ、実用 &gt; ペット、動物 &gt; 猫</t>
  </si>
  <si>
    <t>爬虫類、両生類</t>
  </si>
  <si>
    <t>オークション &gt; 家電、AV、カメラ &gt; オーディオ機器 &gt; DJ機器</t>
  </si>
  <si>
    <t>オークション &gt; 本、雑誌 &gt; 趣味、スポーツ、実用 &gt; ペット、動物 &gt; 爬虫類、両生類</t>
  </si>
  <si>
    <t>オークション &gt; 家電、AV、カメラ &gt; オーディオ機器 &gt; ターンテーブル</t>
  </si>
  <si>
    <t>オークション &gt; 本、雑誌 &gt; 趣味、スポーツ、実用 &gt; ペット、動物 &gt; その他</t>
  </si>
  <si>
    <t>システムコンポ</t>
  </si>
  <si>
    <t>囲碁</t>
  </si>
  <si>
    <t>オークション &gt; 家電、AV、カメラ &gt; オーディオ機器 &gt; システムコンポ</t>
  </si>
  <si>
    <t>オークション &gt; 本、雑誌 &gt; 趣味、スポーツ、実用 &gt; 囲碁、将棋 &gt; 囲碁</t>
  </si>
  <si>
    <t>音響用ケーブル</t>
  </si>
  <si>
    <t>オークション &gt; 家電、AV、カメラ &gt; オーディオ機器 &gt; 音響用ケーブル</t>
  </si>
  <si>
    <t>将棋</t>
  </si>
  <si>
    <t>オークション &gt; 本、雑誌 &gt; 趣味、スポーツ、実用 &gt; 囲碁、将棋 &gt; 将棋</t>
  </si>
  <si>
    <t>MDデッキ</t>
  </si>
  <si>
    <t>オークション &gt; 家電、AV、カメラ &gt; オーディオ機器 &gt; MDデッキ</t>
  </si>
  <si>
    <t>ガーデニング</t>
  </si>
  <si>
    <t>カセットデッキ</t>
  </si>
  <si>
    <t>オークション &gt; 本、雑誌 &gt; 住まい、暮らし、育児 &gt; 花、園芸 &gt; ガーデニング</t>
  </si>
  <si>
    <t>オークション &gt; 家電、AV、カメラ &gt; オーディオ機器 &gt; カセットデッキ</t>
  </si>
  <si>
    <t>フラワーアレンジメント</t>
  </si>
  <si>
    <t>DAT機器</t>
  </si>
  <si>
    <t>オークション &gt; 本、雑誌 &gt; 住まい、暮らし、育児 &gt; 花、園芸 &gt; フラワーアレンジメント</t>
  </si>
  <si>
    <t>オークション &gt; 家電、AV、カメラ &gt; オーディオ機器 &gt; DAT機器</t>
  </si>
  <si>
    <t>家庭菜園</t>
  </si>
  <si>
    <t>オークション &gt; 本、雑誌 &gt; 住まい、暮らし、育児 &gt; 花、園芸 &gt; 家庭菜園</t>
  </si>
  <si>
    <t>オープンリールデッキ</t>
  </si>
  <si>
    <t>オークション &gt; 家電、AV、カメラ &gt; オーディオ機器 &gt; オープンリールデッキ</t>
  </si>
  <si>
    <t>オークション &gt; 本、雑誌 &gt; 住まい、暮らし、育児 &gt; 花、園芸 &gt; 雑誌</t>
  </si>
  <si>
    <t>ICレコーダー</t>
  </si>
  <si>
    <t>オークション &gt; 家電、AV、カメラ &gt; オーディオ機器 &gt; ICレコーダー</t>
  </si>
  <si>
    <t>盆栽</t>
  </si>
  <si>
    <t>オークション &gt; 本、雑誌 &gt; 住まい、暮らし、育児 &gt; 花、園芸 &gt; 盆栽</t>
  </si>
  <si>
    <t>ラジオ</t>
  </si>
  <si>
    <t>オークション &gt; 家電、AV、カメラ &gt; オーディオ機器 &gt; ラジオ</t>
  </si>
  <si>
    <t>野草、植物</t>
  </si>
  <si>
    <t>オークション &gt; 本、雑誌 &gt; 住まい、暮らし、育児 &gt; 花、園芸 &gt; 野草、植物</t>
  </si>
  <si>
    <t>電子部品</t>
  </si>
  <si>
    <t>オークション &gt; 家電、AV、カメラ &gt; オーディオ機器 &gt; 電子部品</t>
  </si>
  <si>
    <t>航空機一般</t>
  </si>
  <si>
    <t>オークション &gt; 本、雑誌 &gt; 趣味、スポーツ、実用 &gt; 航空機 &gt; 航空機一般</t>
  </si>
  <si>
    <t>DTM、DAW機器</t>
  </si>
  <si>
    <t>オークション &gt; 家電、AV、カメラ &gt; オーディオ機器 &gt; DTM、DAW機器</t>
  </si>
  <si>
    <t>オークション &gt; 本、雑誌 &gt; 趣味、スポーツ、実用 &gt; 航空機 &gt; 雑誌</t>
  </si>
  <si>
    <t>オークション &gt; 家電、AV、カメラ &gt; オーディオ機器 &gt; イコライザー</t>
  </si>
  <si>
    <t>自動車一般</t>
  </si>
  <si>
    <t>オークション &gt; 本、雑誌 &gt; 趣味、スポーツ、実用 &gt; 自動車 &gt; 自動車一般</t>
  </si>
  <si>
    <t>オーディオ関連書籍</t>
  </si>
  <si>
    <t>オークション &gt; 家電、AV、カメラ &gt; オーディオ機器 &gt; オーディオ関連書籍</t>
  </si>
  <si>
    <t>オークション &gt; 本、雑誌 &gt; 趣味、スポーツ、実用 &gt; 自動車 &gt; メカニズム</t>
  </si>
  <si>
    <t>カーオーディオ</t>
  </si>
  <si>
    <t>オークション &gt; 本、雑誌 &gt; 趣味、スポーツ、実用 &gt; 自動車 &gt; メンテナンス</t>
  </si>
  <si>
    <t>オークション &gt; 家電、AV、カメラ &gt; オーディオ機器 &gt; カーオーディオ</t>
  </si>
  <si>
    <t>オークション &gt; 本、雑誌 &gt; 趣味、スポーツ、実用 &gt; 自動車 &gt; 雑誌</t>
  </si>
  <si>
    <t>カラオケ機器</t>
  </si>
  <si>
    <t>オークション &gt; 家電、AV、カメラ &gt; オーディオ機器 &gt; カラオケ機器</t>
  </si>
  <si>
    <t>オークション &gt; 本、雑誌 &gt; 趣味、スポーツ、実用 &gt; 自動車 &gt; 免許取得</t>
  </si>
  <si>
    <t>タロット</t>
  </si>
  <si>
    <t>オークション &gt; 本、雑誌 &gt; 趣味、スポーツ、実用 &gt; 占い &gt; タロット</t>
  </si>
  <si>
    <t>オークション &gt; 家電、AV、カメラ &gt; オーディオ機器 &gt; チューナー</t>
  </si>
  <si>
    <t>易学</t>
  </si>
  <si>
    <t>オークション &gt; 本、雑誌 &gt; 趣味、スポーツ、実用 &gt; 占い &gt; 易学</t>
  </si>
  <si>
    <t>マイクロフォン</t>
  </si>
  <si>
    <t>オークション &gt; 家電、AV、カメラ &gt; オーディオ機器 &gt; マイクロフォン</t>
  </si>
  <si>
    <t>血液型</t>
  </si>
  <si>
    <t>オークション &gt; 本、雑誌 &gt; 趣味、スポーツ、実用 &gt; 占い &gt; 血液型</t>
  </si>
  <si>
    <t>オークション &gt; 家電、AV、カメラ &gt; オーディオ機器 &gt; 記録媒体</t>
  </si>
  <si>
    <t>オークション &gt; 本、雑誌 &gt; 趣味、スポーツ、実用 &gt; 占い &gt; 雑誌</t>
  </si>
  <si>
    <t>四柱推命</t>
  </si>
  <si>
    <t>オークション &gt; 家電、AV、カメラ &gt; オーディオ機器 &gt; 雑誌</t>
  </si>
  <si>
    <t>オークション &gt; 本、雑誌 &gt; 趣味、スポーツ、実用 &gt; 占い &gt; 四柱推命</t>
  </si>
  <si>
    <t>アニメ</t>
  </si>
  <si>
    <t>オークション &gt; 映画、ビデオ &gt; DVD &gt; 映画 &gt; アニメ</t>
  </si>
  <si>
    <t>手相</t>
  </si>
  <si>
    <t>オークション &gt; 本、雑誌 &gt; 趣味、スポーツ、実用 &gt; 占い &gt; 手相</t>
  </si>
  <si>
    <t>蓄音機</t>
  </si>
  <si>
    <t>オークション &gt; 家電、AV、カメラ &gt; オーディオ機器 &gt; 蓄音機</t>
  </si>
  <si>
    <t>姓名判断</t>
  </si>
  <si>
    <t>オークション &gt; 本、雑誌 &gt; 趣味、スポーツ、実用 &gt; 占い &gt; 姓名判断</t>
  </si>
  <si>
    <t>オークション &gt; 家電、AV、カメラ &gt; オーディオ機器 &gt; リモコン</t>
  </si>
  <si>
    <t>オークション &gt; 映画、ビデオ &gt; DVD &gt; 映画 &gt; 日本映画</t>
  </si>
  <si>
    <t>占星学、星占い</t>
  </si>
  <si>
    <t>オークション &gt; 本、雑誌 &gt; 趣味、スポーツ、実用 &gt; 占い &gt; 占星学、星占い</t>
  </si>
  <si>
    <t>オークション &gt; 家電、AV、カメラ &gt; オーディオ機器 &gt; その他</t>
  </si>
  <si>
    <t>オークション &gt; 映画、ビデオ &gt; DVD &gt; 映画 &gt; 特撮</t>
  </si>
  <si>
    <t>かき氷機</t>
  </si>
  <si>
    <t>風水</t>
  </si>
  <si>
    <t>オークション &gt; 家電、AV、カメラ &gt; キッチン、食卓 &gt; かき氷機</t>
  </si>
  <si>
    <t>オークション &gt; 本、雑誌 &gt; 趣味、スポーツ、実用 &gt; 占い &gt; 風水</t>
  </si>
  <si>
    <t>アルカリイオン整水器</t>
  </si>
  <si>
    <t>夢占い、トランプ占い</t>
  </si>
  <si>
    <t>オークション &gt; 映画、ビデオ &gt; DVD &gt; 映画 &gt; SF、ファンタジー</t>
  </si>
  <si>
    <t>オークション &gt; 家電、AV、カメラ &gt; キッチン、食卓 &gt; アルカリイオン整水器</t>
  </si>
  <si>
    <t>オークション &gt; 本、雑誌 &gt; 趣味、スポーツ、実用 &gt; 占い &gt; 夢占い、トランプ占い</t>
  </si>
  <si>
    <t>オーブン</t>
  </si>
  <si>
    <t>オークション &gt; 家電、AV、カメラ &gt; キッチン、食卓 &gt; オーブン</t>
  </si>
  <si>
    <t>オークション &gt; 映画、ビデオ &gt; DVD &gt; 映画 &gt; アクション、アドベンチャー</t>
  </si>
  <si>
    <t>オークション &gt; 本、雑誌 &gt; 趣味、スポーツ、実用 &gt; 占い &gt; その他</t>
  </si>
  <si>
    <t>コーヒーメーカー</t>
  </si>
  <si>
    <t>オークション &gt; 家電、AV、カメラ &gt; キッチン、食卓 &gt; コーヒーメーカー</t>
  </si>
  <si>
    <t>ジューサー、ミキサー</t>
  </si>
  <si>
    <t>オークション &gt; 映画、ビデオ &gt; DVD &gt; 映画 &gt; コメディ</t>
  </si>
  <si>
    <t>オークション &gt; 家電、AV、カメラ &gt; キッチン、食卓 &gt; ジューサー、ミキサー</t>
  </si>
  <si>
    <t>オークション &gt; 本、雑誌 &gt; 趣味、スポーツ、実用 &gt; 釣り、フィッシング &gt; 一般</t>
  </si>
  <si>
    <t>サイレント</t>
  </si>
  <si>
    <t>オークション &gt; 映画、ビデオ &gt; DVD &gt; 映画 &gt; サイレント</t>
  </si>
  <si>
    <t>トースター</t>
  </si>
  <si>
    <t>オークション &gt; 家電、AV、カメラ &gt; キッチン、食卓 &gt; トースター</t>
  </si>
  <si>
    <t>オークション &gt; 本、雑誌 &gt; 趣味、スポーツ、実用 &gt; 釣り、フィッシング &gt; 雑誌</t>
  </si>
  <si>
    <t>オークション &gt; 映画、ビデオ &gt; DVD &gt; 映画 &gt; サスペンス</t>
  </si>
  <si>
    <t>フードプロセッサー</t>
  </si>
  <si>
    <t>オークション &gt; 家電、AV、カメラ &gt; キッチン、食卓 &gt; フードプロセッサー</t>
  </si>
  <si>
    <t>鉄道一般</t>
  </si>
  <si>
    <t>オークション &gt; 映画、ビデオ &gt; DVD &gt; 映画 &gt; ディズニー</t>
  </si>
  <si>
    <t>オークション &gt; 本、雑誌 &gt; 趣味、スポーツ、実用 &gt; 鉄道 &gt; 鉄道一般</t>
  </si>
  <si>
    <t>ホームベーカリー</t>
  </si>
  <si>
    <t>オークション &gt; 家電、AV、カメラ &gt; キッチン、食卓 &gt; ホームベーカリー</t>
  </si>
  <si>
    <t>ドキュメンタリー</t>
  </si>
  <si>
    <t>オークション &gt; 映画、ビデオ &gt; DVD &gt; 映画 &gt; ドキュメンタリー</t>
  </si>
  <si>
    <t>オークション &gt; 本、雑誌 &gt; 趣味、スポーツ、実用 &gt; 鉄道 &gt; 雑誌</t>
  </si>
  <si>
    <t>ホットプレート、グリルパン</t>
  </si>
  <si>
    <t>オークション &gt; 家電、AV、カメラ &gt; キッチン、食卓 &gt; ホットプレート、グリルパン</t>
  </si>
  <si>
    <t>オークション &gt; 映画、ビデオ &gt; DVD &gt; 映画 &gt; ドラマ</t>
  </si>
  <si>
    <t>レンジ、コンロ</t>
  </si>
  <si>
    <t>オークション &gt; 家電、AV、カメラ &gt; キッチン、食卓 &gt; レンジ、コンロ</t>
  </si>
  <si>
    <t>ハリウッド古典</t>
  </si>
  <si>
    <t>オークション &gt; 映画、ビデオ &gt; DVD &gt; 映画 &gt; ハリウッド古典</t>
  </si>
  <si>
    <t>ワインセラー</t>
  </si>
  <si>
    <t>オークション &gt; 家電、AV、カメラ &gt; キッチン、食卓 &gt; ワインセラー</t>
  </si>
  <si>
    <t>オークション &gt; 映画、ビデオ &gt; DVD &gt; 映画 &gt; ホラー</t>
  </si>
  <si>
    <t>給湯設備</t>
  </si>
  <si>
    <t>オークション &gt; 家電、AV、カメラ &gt; キッチン、食卓 &gt; 給湯設備</t>
  </si>
  <si>
    <t>オークション &gt; 映画、ビデオ &gt; DVD &gt; 映画 &gt; ミュージカル</t>
  </si>
  <si>
    <t>食器洗い機、食器乾燥機</t>
  </si>
  <si>
    <t>オークション &gt; 家電、AV、カメラ &gt; キッチン、食卓 &gt; 食器洗い機、食器乾燥機</t>
  </si>
  <si>
    <t>ヨーロッパ映画</t>
  </si>
  <si>
    <t>オークション &gt; 映画、ビデオ &gt; DVD &gt; 映画 &gt; ヨーロッパ映画</t>
  </si>
  <si>
    <t>炊飯器</t>
  </si>
  <si>
    <t>韓国映画</t>
  </si>
  <si>
    <t>オークション &gt; 家電、AV、カメラ &gt; キッチン、食卓 &gt; 炊飯器</t>
  </si>
  <si>
    <t>オークション &gt; 映画、ビデオ &gt; DVD &gt; 映画 &gt; 韓国映画</t>
  </si>
  <si>
    <t>香港映画</t>
  </si>
  <si>
    <t>生ごみ処理機</t>
  </si>
  <si>
    <t>オークション &gt; 家電、AV、カメラ &gt; キッチン、食卓 &gt; 生ごみ処理機</t>
  </si>
  <si>
    <t>オークション &gt; 映画、ビデオ &gt; DVD &gt; 映画 &gt; 香港映画</t>
  </si>
  <si>
    <t>精米機</t>
  </si>
  <si>
    <t>オークション &gt; 家電、AV、カメラ &gt; キッチン、食卓 &gt; 精米機</t>
  </si>
  <si>
    <t>オークション &gt; 映画、ビデオ &gt; DVD &gt; 映画 &gt; 子ども向け</t>
  </si>
  <si>
    <t>電気ケトル</t>
  </si>
  <si>
    <t>オークション &gt; 家電、AV、カメラ &gt; キッチン、食卓 &gt; 電気ケトル</t>
  </si>
  <si>
    <t>オークション &gt; 映画、ビデオ &gt; DVD &gt; 映画 &gt; 時代劇</t>
  </si>
  <si>
    <t>家庭医学一般</t>
  </si>
  <si>
    <t>電気ポット</t>
  </si>
  <si>
    <t>オークション &gt; 本、雑誌 &gt; 健康と医学 &gt; 家庭医学 &gt; 家庭医学一般</t>
  </si>
  <si>
    <t>オークション &gt; 家電、AV、カメラ &gt; キッチン、食卓 &gt; 電気ポット</t>
  </si>
  <si>
    <t>オークション &gt; 映画、ビデオ &gt; DVD &gt; 映画 &gt; 西部劇</t>
  </si>
  <si>
    <t>電子レンジ</t>
  </si>
  <si>
    <t>くすり、検査</t>
  </si>
  <si>
    <t>オークション &gt; 家電、AV、カメラ &gt; キッチン、食卓 &gt; 電子レンジ</t>
  </si>
  <si>
    <t>オークション &gt; 本、雑誌 &gt; 健康と医学 &gt; 家庭医学 &gt; くすり、検査</t>
  </si>
  <si>
    <t>オークション &gt; 映画、ビデオ &gt; DVD &gt; 映画 &gt; 戦争</t>
  </si>
  <si>
    <t>アレルギー 、アトピー</t>
  </si>
  <si>
    <t>オークション &gt; 家電、AV、カメラ &gt; キッチン、食卓 &gt; 電動式コーヒーミル</t>
  </si>
  <si>
    <t>オークション &gt; 本、雑誌 &gt; 健康と医学 &gt; 家庭医学 &gt; アレルギー 、アトピー</t>
  </si>
  <si>
    <t>オークション &gt; 映画、ビデオ &gt; DVD &gt; 映画 &gt; その他</t>
  </si>
  <si>
    <t>食事療法</t>
  </si>
  <si>
    <t>オークション &gt; 本、雑誌 &gt; 健康と医学 &gt; 家庭医学 &gt; 食事療法</t>
  </si>
  <si>
    <t>冷蔵庫</t>
  </si>
  <si>
    <t>日本</t>
  </si>
  <si>
    <t>オークション &gt; 家電、AV、カメラ &gt; キッチン、食卓 &gt; 冷蔵庫</t>
  </si>
  <si>
    <t>オークション &gt; 映画、ビデオ &gt; DVD &gt; アニメ &gt; 日本</t>
  </si>
  <si>
    <t>海外</t>
  </si>
  <si>
    <t>冷凍庫</t>
  </si>
  <si>
    <t>オークション &gt; 映画、ビデオ &gt; DVD &gt; アニメ &gt; 海外</t>
  </si>
  <si>
    <t>オークション &gt; 家電、AV、カメラ &gt; キッチン、食卓 &gt; 冷凍庫</t>
  </si>
  <si>
    <t>オークション &gt; 映画、ビデオ &gt; DVD &gt; テレビドラマ &gt; 海外</t>
  </si>
  <si>
    <t>オークション &gt; 家電、AV、カメラ &gt; キッチン、食卓 &gt; その他</t>
  </si>
  <si>
    <t>オークション &gt; 映画、ビデオ &gt; DVD &gt; テレビドラマ &gt; 日本</t>
  </si>
  <si>
    <t>女性アイドル</t>
  </si>
  <si>
    <t>オークション &gt; 映画、ビデオ &gt; DVD &gt; アイドル &gt; 女性アイドル</t>
  </si>
  <si>
    <t>男性アイドル</t>
  </si>
  <si>
    <t>オークション &gt; 映画、ビデオ &gt; DVD &gt; アイドル &gt; 男性アイドル</t>
  </si>
  <si>
    <t>アート</t>
  </si>
  <si>
    <t>オークション &gt; 映画、ビデオ &gt; DVD &gt; 趣味、実用 &gt; アート</t>
  </si>
  <si>
    <t>マッサージ、指圧</t>
  </si>
  <si>
    <t>オークション &gt; 本、雑誌 &gt; 健康と医学 &gt; 健康法 &gt; マッサージ、指圧</t>
  </si>
  <si>
    <t>エデュテイメント</t>
  </si>
  <si>
    <t>オークション &gt; 映画、ビデオ &gt; DVD &gt; 趣味、実用 &gt; エデュテイメント</t>
  </si>
  <si>
    <t>気功、ヨガ</t>
  </si>
  <si>
    <t>オークション &gt; 本、雑誌 &gt; 健康と医学 &gt; 健康法 &gt; 気功、ヨガ</t>
  </si>
  <si>
    <t>ミリタリー</t>
  </si>
  <si>
    <t>オークション &gt; 映画、ビデオ &gt; DVD &gt; 趣味、実用 &gt; ミリタリー</t>
  </si>
  <si>
    <t>民間療法</t>
  </si>
  <si>
    <t>オークション &gt; 本、雑誌 &gt; 健康と医学 &gt; 健康法 &gt; 民間療法</t>
  </si>
  <si>
    <t>科学</t>
  </si>
  <si>
    <t>オークション &gt; 映画、ビデオ &gt; DVD &gt; 趣味、実用 &gt; 科学</t>
  </si>
  <si>
    <t>自然</t>
  </si>
  <si>
    <t>オークション &gt; 映画、ビデオ &gt; DVD &gt; 趣味、実用 &gt; 自然</t>
  </si>
  <si>
    <t>オークション &gt; 映画、ビデオ &gt; DVD &gt; 趣味、実用 &gt; 乗り物</t>
  </si>
  <si>
    <t>オークション &gt; 映画、ビデオ &gt; DVD &gt; 趣味、実用 &gt; 動物</t>
  </si>
  <si>
    <t>オークション &gt; 映画、ビデオ &gt; DVD &gt; 趣味、実用 &gt; 歴史</t>
  </si>
  <si>
    <t>オークション &gt; 映画、ビデオ &gt; DVD &gt; 趣味、実用 &gt; その他</t>
  </si>
  <si>
    <t>漫才、コント、喜劇</t>
  </si>
  <si>
    <t>オークション &gt; 映画、ビデオ &gt; DVD &gt; お笑い、バラエティ &gt; 漫才、コント、喜劇</t>
  </si>
  <si>
    <t>古典芸能</t>
  </si>
  <si>
    <t>オークション &gt; 映画、ビデオ &gt; DVD &gt; お笑い、バラエティ &gt; 古典芸能</t>
  </si>
  <si>
    <t>オークション &gt; 映画、ビデオ &gt; DVD &gt; お笑い、バラエティ &gt; その他</t>
  </si>
  <si>
    <t>おべんとう</t>
  </si>
  <si>
    <t>オークション &gt; 本、雑誌 &gt; 住まい、暮らし、育児 &gt; 料理、レシピ &gt; おべんとう</t>
  </si>
  <si>
    <t>お菓子づくり</t>
  </si>
  <si>
    <t>ウィンタースポーツ</t>
  </si>
  <si>
    <t>オークション &gt; 本、雑誌 &gt; 住まい、暮らし、育児 &gt; 料理、レシピ &gt; お菓子づくり</t>
  </si>
  <si>
    <t>オークション &gt; 映画、ビデオ &gt; DVD &gt; スポーツ、レジャー &gt; ウィンタースポーツ</t>
  </si>
  <si>
    <t>エクササイズ、ヨガ</t>
  </si>
  <si>
    <t>オークション &gt; 映画、ビデオ &gt; DVD &gt; スポーツ、レジャー &gt; エクササイズ、ヨガ</t>
  </si>
  <si>
    <t>イタリア料理</t>
  </si>
  <si>
    <t>オークション &gt; 本、雑誌 &gt; 住まい、暮らし、育児 &gt; 料理、レシピ &gt; イタリア料理</t>
  </si>
  <si>
    <t>カーレース</t>
  </si>
  <si>
    <t>オークション &gt; 映画、ビデオ &gt; DVD &gt; スポーツ、レジャー &gt; カーレース</t>
  </si>
  <si>
    <t>エスニック料理</t>
  </si>
  <si>
    <t>オークション &gt; 本、雑誌 &gt; 住まい、暮らし、育児 &gt; 料理、レシピ &gt; エスニック料理</t>
  </si>
  <si>
    <t>格闘技</t>
  </si>
  <si>
    <t>オークション &gt; 映画、ビデオ &gt; DVD &gt; スポーツ、レジャー &gt; 格闘技</t>
  </si>
  <si>
    <t>パンづくり</t>
  </si>
  <si>
    <t>オークション &gt; 本、雑誌 &gt; 住まい、暮らし、育児 &gt; 料理、レシピ &gt; パンづくり</t>
  </si>
  <si>
    <t>球技</t>
  </si>
  <si>
    <t>オークション &gt; 映画、ビデオ &gt; DVD &gt; スポーツ、レジャー &gt; 球技</t>
  </si>
  <si>
    <t>フランス料理</t>
  </si>
  <si>
    <t>オークション &gt; 本、雑誌 &gt; 住まい、暮らし、育児 &gt; 料理、レシピ &gt; フランス料理</t>
  </si>
  <si>
    <t>オークション &gt; 本、雑誌 &gt; 住まい、暮らし、育児 &gt; 料理、レシピ &gt; レストランガイド</t>
  </si>
  <si>
    <t>オークション &gt; 映画、ビデオ &gt; DVD &gt; スポーツ、レジャー &gt; 競馬</t>
  </si>
  <si>
    <t>家庭料理</t>
  </si>
  <si>
    <t>オークション &gt; 本、雑誌 &gt; 住まい、暮らし、育児 &gt; 料理、レシピ &gt; 家庭料理</t>
  </si>
  <si>
    <t>オークション &gt; 映画、ビデオ &gt; DVD &gt; スポーツ、レジャー &gt; 自転車</t>
  </si>
  <si>
    <t>オークション &gt; 本、雑誌 &gt; 住まい、暮らし、育児 &gt; 料理、レシピ &gt; 雑誌</t>
  </si>
  <si>
    <t>旅行</t>
  </si>
  <si>
    <t>オークション &gt; 映画、ビデオ &gt; DVD &gt; スポーツ、レジャー &gt; 旅行</t>
  </si>
  <si>
    <t>酒、ドリンク</t>
  </si>
  <si>
    <t>オークション &gt; 本、雑誌 &gt; 住まい、暮らし、育児 &gt; 料理、レシピ &gt; 酒、ドリンク</t>
  </si>
  <si>
    <t>オークション &gt; 映画、ビデオ &gt; DVD &gt; スポーツ、レジャー &gt; その他</t>
  </si>
  <si>
    <t>中華料理</t>
  </si>
  <si>
    <t>オークション &gt; 本、雑誌 &gt; 住まい、暮らし、育児 &gt; 料理、レシピ &gt; 中華料理</t>
  </si>
  <si>
    <t>オークション &gt; 音楽 &gt; DVD &gt; ジャパニーズポップス</t>
  </si>
  <si>
    <t>洋食</t>
  </si>
  <si>
    <t>オークション &gt; 本、雑誌 &gt; 住まい、暮らし、育児 &gt; 料理、レシピ &gt; 洋食</t>
  </si>
  <si>
    <t>オークション &gt; 音楽 &gt; DVD &gt; ロック、ポップス（洋楽）</t>
  </si>
  <si>
    <t>オークション &gt; 本、雑誌 &gt; 住まい、暮らし、育児 &gt; 料理、レシピ &gt; 料理エッセイ</t>
  </si>
  <si>
    <t>オークション &gt; 音楽 &gt; DVD &gt; ジャズ</t>
  </si>
  <si>
    <t>和食</t>
  </si>
  <si>
    <t>オークション &gt; 本、雑誌 &gt; 住まい、暮らし、育児 &gt; 料理、レシピ &gt; 和食</t>
  </si>
  <si>
    <t>オークション &gt; 音楽 &gt; DVD &gt; クラシック</t>
  </si>
  <si>
    <t>オークション &gt; 音楽 &gt; DVD &gt; その他</t>
  </si>
  <si>
    <t>オークション &gt; 映画、ビデオ &gt; DVD &gt; 映画 &gt; 特撮 &gt; ウルトラマン</t>
  </si>
  <si>
    <t>オークション &gt; 映画、ビデオ &gt; DVD &gt; 映画 &gt; 特撮 &gt; 一般</t>
  </si>
  <si>
    <t>オークション &gt; 映画、ビデオ &gt; DVD &gt; 映画 &gt; 特撮 &gt; 仮面ライダー</t>
  </si>
  <si>
    <t>外国映画</t>
  </si>
  <si>
    <t>オークション &gt; 映画、ビデオ &gt; ブルーレイ &gt; 映画 &gt; 外国映画</t>
  </si>
  <si>
    <t>オークション &gt; 映画、ビデオ &gt; ブルーレイ &gt; 映画 &gt; 日本映画</t>
  </si>
  <si>
    <t>手芸</t>
  </si>
  <si>
    <t>外国</t>
  </si>
  <si>
    <t>オークション &gt; 本、雑誌 &gt; 住まい、暮らし、育児 &gt; 和洋裁、手芸 &gt; 手芸</t>
  </si>
  <si>
    <t>オークション &gt; 映画、ビデオ &gt; ブルーレイ &gt; テレビドラマ &gt; 外国</t>
  </si>
  <si>
    <t>編み物</t>
  </si>
  <si>
    <t>オークション &gt; 本、雑誌 &gt; 住まい、暮らし、育児 &gt; 和洋裁、手芸 &gt; 編み物</t>
  </si>
  <si>
    <t>オークション &gt; 映画、ビデオ &gt; ブルーレイ &gt; テレビドラマ &gt; 日本</t>
  </si>
  <si>
    <t>洋裁</t>
  </si>
  <si>
    <t>オークション &gt; 本、雑誌 &gt; 住まい、暮らし、育児 &gt; 和洋裁、手芸 &gt; 洋裁</t>
  </si>
  <si>
    <t>オークション &gt; 映画、ビデオ &gt; ブルーレイ &gt; アニメ &gt; 外国</t>
  </si>
  <si>
    <t>和裁</t>
  </si>
  <si>
    <t>オークション &gt; 本、雑誌 &gt; 住まい、暮らし、育児 &gt; 和洋裁、手芸 &gt; 和裁</t>
  </si>
  <si>
    <t>オークション &gt; 映画、ビデオ &gt; ブルーレイ &gt; アニメ &gt; 日本</t>
  </si>
  <si>
    <t>J-POP</t>
  </si>
  <si>
    <t>オークション &gt; 本、雑誌 &gt; 住まい、暮らし、育児 &gt; 和洋裁、手芸 &gt; その他</t>
  </si>
  <si>
    <t>テレビ</t>
  </si>
  <si>
    <t>オークション &gt; 音楽 &gt; ブルーレイ &gt; J-POP</t>
  </si>
  <si>
    <t>オークション &gt; 家電、AV、カメラ &gt; 映像機器 &gt; テレビ</t>
  </si>
  <si>
    <t>電子辞書</t>
  </si>
  <si>
    <t>オークション &gt; 音楽 &gt; ブルーレイ &gt; 洋楽</t>
  </si>
  <si>
    <t>オークション &gt; 本、雑誌 &gt; 学習、教育 &gt; リファレンス、辞書 &gt; 電子辞書</t>
  </si>
  <si>
    <t>オークション &gt; 家電、AV、カメラ &gt; 映像機器 &gt; プロジェクター</t>
  </si>
  <si>
    <t>オークション &gt; 音楽 &gt; ブルーレイ &gt; クラシック</t>
  </si>
  <si>
    <t>百科事典</t>
  </si>
  <si>
    <t>オークション &gt; 本、雑誌 &gt; 学習、教育 &gt; リファレンス、辞書 &gt; 百科事典</t>
  </si>
  <si>
    <t>ブルーレイレコーダー</t>
  </si>
  <si>
    <t>オークション &gt; 家電、AV、カメラ &gt; 映像機器 &gt; ブルーレイレコーダー</t>
  </si>
  <si>
    <t>オークション &gt; 音楽 &gt; ブルーレイ &gt; ジャズ</t>
  </si>
  <si>
    <t>ブルーレイプレーヤー</t>
  </si>
  <si>
    <t>日本語</t>
  </si>
  <si>
    <t>オークション &gt; 家電、AV、カメラ &gt; 映像機器 &gt; ブルーレイプレーヤー</t>
  </si>
  <si>
    <t>オークション &gt; 本、雑誌 &gt; 学習、教育 &gt; リファレンス、辞書 &gt; 日本語</t>
  </si>
  <si>
    <t>オークション &gt; 音楽 &gt; ブルーレイ &gt; ミュージカル</t>
  </si>
  <si>
    <t>DVDレコーダー</t>
  </si>
  <si>
    <t>オークション &gt; 家電、AV、カメラ &gt; 映像機器 &gt; DVDレコーダー</t>
  </si>
  <si>
    <t>オークション &gt; 音楽 &gt; ブルーレイ &gt; その他</t>
  </si>
  <si>
    <t>外来語、新語</t>
  </si>
  <si>
    <t>オークション &gt; 本、雑誌 &gt; 学習、教育 &gt; リファレンス、辞書 &gt; 外来語、新語</t>
  </si>
  <si>
    <t>DVDプレーヤー</t>
  </si>
  <si>
    <t>オークション &gt; 家電、AV、カメラ &gt; 映像機器 &gt; DVDプレーヤー</t>
  </si>
  <si>
    <t>ファミリー</t>
  </si>
  <si>
    <t>オークション &gt; 映画、ビデオ &gt; VCD &gt; ドラマ &gt; ファミリー</t>
  </si>
  <si>
    <t>英語</t>
  </si>
  <si>
    <t>オークション &gt; 本、雑誌 &gt; 学習、教育 &gt; リファレンス、辞書 &gt; 英語</t>
  </si>
  <si>
    <t>オークション &gt; 家電、AV、カメラ &gt; 映像機器 &gt; アンテナ</t>
  </si>
  <si>
    <t>オークション &gt; 家電、AV、カメラ &gt; 映像機器 &gt; チューナー</t>
  </si>
  <si>
    <t>ラブストーリー</t>
  </si>
  <si>
    <t>イタリア語</t>
  </si>
  <si>
    <t>オークション &gt; 映画、ビデオ &gt; VCD &gt; ドラマ &gt; ラブストーリー</t>
  </si>
  <si>
    <t>オークション &gt; 本、雑誌 &gt; 学習、教育 &gt; リファレンス、辞書 &gt; イタリア語</t>
  </si>
  <si>
    <t>記録メディア</t>
  </si>
  <si>
    <t>スペイン語</t>
  </si>
  <si>
    <t>オークション &gt; 家電、AV、カメラ &gt; 映像機器 &gt; 記録メディア</t>
  </si>
  <si>
    <t>オークション &gt; 本、雑誌 &gt; 学習、教育 &gt; リファレンス、辞書 &gt; スペイン語</t>
  </si>
  <si>
    <t>青春</t>
  </si>
  <si>
    <t>オークション &gt; 映画、ビデオ &gt; VCD &gt; ドラマ &gt; 青春</t>
  </si>
  <si>
    <t>映像用ケーブル</t>
  </si>
  <si>
    <t>ドイツ語</t>
  </si>
  <si>
    <t>オークション &gt; 家電、AV、カメラ &gt; 映像機器 &gt; 映像用ケーブル</t>
  </si>
  <si>
    <t>オークション &gt; 本、雑誌 &gt; 学習、教育 &gt; リファレンス、辞書 &gt; ドイツ語</t>
  </si>
  <si>
    <t>オークション &gt; 映画、ビデオ &gt; VCD &gt; ドラマ &gt; その他</t>
  </si>
  <si>
    <t>LDプレーヤー</t>
  </si>
  <si>
    <t>オークション &gt; 家電、AV、カメラ &gt; 映像機器 &gt; LDプレーヤー</t>
  </si>
  <si>
    <t>ハングル</t>
  </si>
  <si>
    <t>オークション &gt; 本、雑誌 &gt; 学習、教育 &gt; リファレンス、辞書 &gt; ハングル</t>
  </si>
  <si>
    <t>オークション &gt; 映画、ビデオ &gt; ビデオテープ &gt; アイドル &gt; 女性アイドル</t>
  </si>
  <si>
    <t>ビデオカメラ</t>
  </si>
  <si>
    <t>オークション &gt; 家電、AV、カメラ &gt; 映像機器 &gt; ビデオカメラ</t>
  </si>
  <si>
    <t>フランス語</t>
  </si>
  <si>
    <t>オークション &gt; 本、雑誌 &gt; 学習、教育 &gt; リファレンス、辞書 &gt; フランス語</t>
  </si>
  <si>
    <t>オークション &gt; 映画、ビデオ &gt; ビデオテープ &gt; アイドル &gt; 男性アイドル</t>
  </si>
  <si>
    <t>ビデオデッキ</t>
  </si>
  <si>
    <t>オークション &gt; 家電、AV、カメラ &gt; 映像機器 &gt; ビデオデッキ</t>
  </si>
  <si>
    <t>人名、地名</t>
  </si>
  <si>
    <t>オークション &gt; 本、雑誌 &gt; 学習、教育 &gt; リファレンス、辞書 &gt; 人名、地名</t>
  </si>
  <si>
    <t>オークション &gt; 映画、ビデオ &gt; ビデオテープ &gt; アニメ &gt; 日本</t>
  </si>
  <si>
    <t>オークション &gt; 家電、AV、カメラ &gt; 映像機器 &gt; リモコン</t>
  </si>
  <si>
    <t>中国語</t>
  </si>
  <si>
    <t>オークション &gt; 本、雑誌 &gt; 学習、教育 &gt; リファレンス、辞書 &gt; 中国語</t>
  </si>
  <si>
    <t>オークション &gt; 映画、ビデオ &gt; ビデオテープ &gt; アニメ &gt; 海外</t>
  </si>
  <si>
    <t>オークション &gt; 家電、AV、カメラ &gt; 映像機器 &gt; AVアンプ</t>
  </si>
  <si>
    <t>辞書ソフト（Macintosh）</t>
  </si>
  <si>
    <t>オークション &gt; 本、雑誌 &gt; 学習、教育 &gt; リファレンス、辞書 &gt; 辞書ソフト（Macintosh）</t>
  </si>
  <si>
    <t>オークション &gt; 映画、ビデオ &gt; ビデオテープ &gt; スポーツ、レジャー &gt; ウィンタースポーツ</t>
  </si>
  <si>
    <t>オークション &gt; 家電、AV、カメラ &gt; 映像機器 &gt; テレビ台、AVボード</t>
  </si>
  <si>
    <t>辞書ソフト（Windows）</t>
  </si>
  <si>
    <t>オークション &gt; 本、雑誌 &gt; 学習、教育 &gt; リファレンス、辞書 &gt; 辞書ソフト（Windows）</t>
  </si>
  <si>
    <t>オークション &gt; 映画、ビデオ &gt; ビデオテープ &gt; スポーツ、レジャー &gt; ゴルフ</t>
  </si>
  <si>
    <t>オークション &gt; 家電、AV、カメラ &gt; 映像機器 &gt; その他</t>
  </si>
  <si>
    <t>オークション &gt; 本、雑誌 &gt; 学習、教育 &gt; リファレンス、辞書 &gt; その他</t>
  </si>
  <si>
    <t>オークション &gt; 映画、ビデオ &gt; ビデオテープ &gt; スポーツ、レジャー &gt; サッカー</t>
  </si>
  <si>
    <t>ふとん乾燥機</t>
  </si>
  <si>
    <t>未就学</t>
  </si>
  <si>
    <t>オークション &gt; 家電、AV、カメラ &gt; 家庭用電化製品 &gt; 乾燥機 &gt; ふとん乾燥機</t>
  </si>
  <si>
    <t>オークション &gt; 本、雑誌 &gt; 学習、教育 &gt; 学習参考書 &gt; 未就学</t>
  </si>
  <si>
    <t>フィッシング</t>
  </si>
  <si>
    <t>オークション &gt; 映画、ビデオ &gt; ビデオテープ &gt; スポーツ、レジャー &gt; フィッシング</t>
  </si>
  <si>
    <t>小学生</t>
  </si>
  <si>
    <t>オークション &gt; 本、雑誌 &gt; 学習、教育 &gt; 学習参考書 &gt; 小学生</t>
  </si>
  <si>
    <t>衣類乾燥機</t>
  </si>
  <si>
    <t>オークション &gt; 家電、AV、カメラ &gt; 家庭用電化製品 &gt; 乾燥機 &gt; 衣類乾燥機</t>
  </si>
  <si>
    <t>オークション &gt; 映画、ビデオ &gt; ビデオテープ &gt; スポーツ、レジャー &gt; マリンスポーツ</t>
  </si>
  <si>
    <t>中学生</t>
  </si>
  <si>
    <t>オークション &gt; 本、雑誌 &gt; 学習、教育 &gt; 学習参考書 &gt; 中学生</t>
  </si>
  <si>
    <t>加湿器、除湿器</t>
  </si>
  <si>
    <t>オークション &gt; 家電、AV、カメラ &gt; 家庭用電化製品 &gt; 乾燥機 &gt; 加湿器、除湿器</t>
  </si>
  <si>
    <t>オークション &gt; 映画、ビデオ &gt; ビデオテープ &gt; スポーツ、レジャー &gt; 格闘技、プロレス</t>
  </si>
  <si>
    <t>高校生</t>
  </si>
  <si>
    <t>オークション &gt; 本、雑誌 &gt; 学習、教育 &gt; 学習参考書 &gt; 高校生</t>
  </si>
  <si>
    <t>蛍光灯、電球</t>
  </si>
  <si>
    <t>競艇</t>
  </si>
  <si>
    <t>オークション &gt; 住まい、インテリア &gt; 家具、インテリア &gt; 照明 &gt; 蛍光灯、電球</t>
  </si>
  <si>
    <t>オークション &gt; 映画、ビデオ &gt; ビデオテープ &gt; スポーツ、レジャー &gt; 競艇</t>
  </si>
  <si>
    <t>小学校</t>
  </si>
  <si>
    <t>オークション &gt; 本、雑誌 &gt; 学習、教育 &gt; 教科書 &gt; 小学校</t>
  </si>
  <si>
    <t>天井照明</t>
  </si>
  <si>
    <t>オークション &gt; 住まい、インテリア &gt; 家具、インテリア &gt; 照明 &gt; 天井照明</t>
  </si>
  <si>
    <t>オークション &gt; 映画、ビデオ &gt; ビデオテープ &gt; スポーツ、レジャー &gt; 競馬</t>
  </si>
  <si>
    <t>中学校</t>
  </si>
  <si>
    <t>オークション &gt; 本、雑誌 &gt; 学習、教育 &gt; 教科書 &gt; 中学校</t>
  </si>
  <si>
    <t>フロアスタンド</t>
  </si>
  <si>
    <t>オークション &gt; 住まい、インテリア &gt; 家具、インテリア &gt; 照明 &gt; フロアスタンド</t>
  </si>
  <si>
    <t>オークション &gt; 映画、ビデオ &gt; ビデオテープ &gt; スポーツ、レジャー &gt; 野球</t>
  </si>
  <si>
    <t>高等学校</t>
  </si>
  <si>
    <t>オークション &gt; 本、雑誌 &gt; 学習、教育 &gt; 教科書 &gt; 高等学校</t>
  </si>
  <si>
    <t>卓上スタンド</t>
  </si>
  <si>
    <t>オークション &gt; 住まい、インテリア &gt; 家具、インテリア &gt; 照明 &gt; 卓上スタンド</t>
  </si>
  <si>
    <t>オークション &gt; 映画、ビデオ &gt; ビデオテープ &gt; スポーツ、レジャー &gt; 旅行</t>
  </si>
  <si>
    <t>大学</t>
  </si>
  <si>
    <t>オークション &gt; 本、雑誌 &gt; 学習、教育 &gt; 教科書 &gt; 大学</t>
  </si>
  <si>
    <t>デスク用タスクライト</t>
  </si>
  <si>
    <t>オークション &gt; 住まい、インテリア &gt; 家具、インテリア &gt; 照明 &gt; デスク用タスクライト</t>
  </si>
  <si>
    <t>オークション &gt; 映画、ビデオ &gt; ビデオテープ &gt; スポーツ、レジャー &gt; その他</t>
  </si>
  <si>
    <t>語学検定</t>
  </si>
  <si>
    <t>オークション &gt; 本、雑誌 &gt; 学習、教育 &gt; 語学 &gt; 語学検定</t>
  </si>
  <si>
    <t>あんどん</t>
  </si>
  <si>
    <t>オークション &gt; 住まい、インテリア &gt; 家具、インテリア &gt; 照明 &gt; あんどん</t>
  </si>
  <si>
    <t>オークション &gt; 映画、ビデオ &gt; ビデオテープ &gt; ホビー、カルチャー &gt; アート</t>
  </si>
  <si>
    <t>オークション &gt; 本、雑誌 &gt; 学習、教育 &gt; 語学 &gt; イタリア語</t>
  </si>
  <si>
    <t>アロマライト、ランプ</t>
  </si>
  <si>
    <t>オークション &gt; 住まい、インテリア &gt; 家具、インテリア &gt; 照明 &gt; アロマライト、ランプ</t>
  </si>
  <si>
    <t>オークション &gt; 映画、ビデオ &gt; ビデオテープ &gt; ホビー、カルチャー &gt; エデュテイメント</t>
  </si>
  <si>
    <t>屋外用ライト</t>
  </si>
  <si>
    <t>オークション &gt; 住まい、インテリア &gt; 家具、インテリア &gt; 照明 &gt; 屋外用ライト</t>
  </si>
  <si>
    <t>オークション &gt; 映画、ビデオ &gt; ビデオテープ &gt; ホビー、カルチャー &gt; パチンコ、パチスロ</t>
  </si>
  <si>
    <t>オークション &gt; 本、雑誌 &gt; 学習、教育 &gt; 語学 &gt; スペイン語</t>
  </si>
  <si>
    <t>イルミネーション</t>
  </si>
  <si>
    <t>オークション &gt; 住まい、インテリア &gt; 家具、インテリア &gt; 照明 &gt; イルミネーション</t>
  </si>
  <si>
    <t>オークション &gt; 映画、ビデオ &gt; ビデオテープ &gt; ホビー、カルチャー &gt; ミリタリー</t>
  </si>
  <si>
    <t>オークション &gt; 本、雑誌 &gt; 学習、教育 &gt; 語学 &gt; ドイツ語</t>
  </si>
  <si>
    <t>ガーデンライト</t>
  </si>
  <si>
    <t>オークション &gt; 住まい、インテリア &gt; 家具、インテリア &gt; 照明 &gt; ガーデンライト</t>
  </si>
  <si>
    <t>オークション &gt; 映画、ビデオ &gt; ビデオテープ &gt; ホビー、カルチャー &gt; 科学</t>
  </si>
  <si>
    <t>オークション &gt; 本、雑誌 &gt; 学習、教育 &gt; 語学 &gt; ハングル</t>
  </si>
  <si>
    <t>センサー付き照明</t>
  </si>
  <si>
    <t>芸能、お笑い</t>
  </si>
  <si>
    <t>オークション &gt; 住まい、インテリア &gt; 家具、インテリア &gt; 照明 &gt; センサー付き照明</t>
  </si>
  <si>
    <t>オークション &gt; 映画、ビデオ &gt; ビデオテープ &gt; ホビー、カルチャー &gt; 芸能、お笑い</t>
  </si>
  <si>
    <t>オークション &gt; 本、雑誌 &gt; 学習、教育 &gt; 語学 &gt; フランス語</t>
  </si>
  <si>
    <t>特殊用</t>
  </si>
  <si>
    <t>オークション &gt; 住まい、インテリア &gt; 家具、インテリア &gt; 照明 &gt; 特殊用</t>
  </si>
  <si>
    <t>オークション &gt; 映画、ビデオ &gt; ビデオテープ &gt; ホビー、カルチャー &gt; 自然</t>
  </si>
  <si>
    <t>オークション &gt; 本、雑誌 &gt; 学習、教育 &gt; 語学 &gt; 英語</t>
  </si>
  <si>
    <t>配線ダクトレール</t>
  </si>
  <si>
    <t>オークション &gt; 映画、ビデオ &gt; ビデオテープ &gt; ホビー、カルチャー &gt; 乗り物</t>
  </si>
  <si>
    <t>オークション &gt; 住まい、インテリア &gt; 家具、インテリア &gt; 照明 &gt; 配線ダクトレール</t>
  </si>
  <si>
    <t>オークション &gt; 本、雑誌 &gt; 学習、教育 &gt; 語学 &gt; 中国語</t>
  </si>
  <si>
    <t>配線ダクトレール用ライト</t>
  </si>
  <si>
    <t>オークション &gt; 映画、ビデオ &gt; ビデオテープ &gt; ホビー、カルチャー &gt; 動物</t>
  </si>
  <si>
    <t>オークション &gt; 住まい、インテリア &gt; 家具、インテリア &gt; 照明 &gt; 配線ダクトレール用ライト</t>
  </si>
  <si>
    <t>オークション &gt; 本、雑誌 &gt; 学習、教育 &gt; 語学 &gt; 日本語</t>
  </si>
  <si>
    <t>スポットライト</t>
  </si>
  <si>
    <t>オークション &gt; 住まい、インテリア &gt; 家具、インテリア &gt; 照明 &gt; スポットライト</t>
  </si>
  <si>
    <t>オークション &gt; 映画、ビデオ &gt; ビデオテープ &gt; ホビー、カルチャー &gt; 歴史</t>
  </si>
  <si>
    <t>オークション &gt; 本、雑誌 &gt; 学習、教育 &gt; 語学 &gt; 電子辞書</t>
  </si>
  <si>
    <t>オークション &gt; 映画、ビデオ &gt; ビデオテープ &gt; ホビー、カルチャー &gt; その他</t>
  </si>
  <si>
    <t>オークション &gt; 住まい、インテリア &gt; 家具、インテリア &gt; 照明 &gt; その他</t>
  </si>
  <si>
    <t>オークション &gt; 本、雑誌 &gt; 学習、教育 &gt; 語学 &gt; その他</t>
  </si>
  <si>
    <t>オークション &gt; 映画、ビデオ &gt; ビデオテープ &gt; 映画 &gt; SF、ファンタジー</t>
  </si>
  <si>
    <t>オークション &gt; 本、雑誌 &gt; 学習、教育 &gt; 問題集 &gt; 小学校</t>
  </si>
  <si>
    <t>オークション &gt; 本、雑誌 &gt; 学習、教育 &gt; 問題集 &gt; 中学校</t>
  </si>
  <si>
    <t>オークション &gt; 映画、ビデオ &gt; ビデオテープ &gt; 映画 &gt; アクション、アドベンチャー</t>
  </si>
  <si>
    <t>オークション &gt; 本、雑誌 &gt; 学習、教育 &gt; 問題集 &gt; 高等学校</t>
  </si>
  <si>
    <t>オークション &gt; 映画、ビデオ &gt; ビデオテープ &gt; 映画 &gt; アニメ</t>
  </si>
  <si>
    <t>大学別問題集、赤本</t>
  </si>
  <si>
    <t>オークション &gt; 本、雑誌 &gt; 学習、教育 &gt; 問題集 &gt; 大学別問題集、赤本</t>
  </si>
  <si>
    <t>掃除機一般</t>
  </si>
  <si>
    <t>オークション &gt; 家電、AV、カメラ &gt; 掃除 &gt; 掃除機一般</t>
  </si>
  <si>
    <t>オークション &gt; 映画、ビデオ &gt; ビデオテープ &gt; 映画 &gt; コメディ</t>
  </si>
  <si>
    <t>オークション &gt; 本、雑誌 &gt; 学習、教育 &gt; 問題集 &gt; その他</t>
  </si>
  <si>
    <t>コードレスタイプ</t>
  </si>
  <si>
    <t>オークション &gt; 映画、ビデオ &gt; ビデオテープ &gt; 映画 &gt; サイレント</t>
  </si>
  <si>
    <t>化学</t>
  </si>
  <si>
    <t>オークション &gt; 家電、AV、カメラ &gt; 掃除 &gt; コードレスタイプ</t>
  </si>
  <si>
    <t>オークション &gt; 本、雑誌 &gt; 自然科学と技術 &gt; 化学</t>
  </si>
  <si>
    <t>サイクロンタイプ</t>
  </si>
  <si>
    <t>オークション &gt; 家電、AV、カメラ &gt; 掃除 &gt; サイクロンタイプ</t>
  </si>
  <si>
    <t>オークション &gt; 本、雑誌 &gt; 自然科学と技術 &gt; 科学</t>
  </si>
  <si>
    <t>オークション &gt; 映画、ビデオ &gt; ビデオテープ &gt; 映画 &gt; サスペンス</t>
  </si>
  <si>
    <t>スチームタイプ</t>
  </si>
  <si>
    <t>環境</t>
  </si>
  <si>
    <t>オークション &gt; 家電、AV、カメラ &gt; 掃除 &gt; スチームタイプ</t>
  </si>
  <si>
    <t>オークション &gt; 本、雑誌 &gt; 自然科学と技術 &gt; 環境</t>
  </si>
  <si>
    <t>オークション &gt; 映画、ビデオ &gt; ビデオテープ &gt; 映画 &gt; ディズニー</t>
  </si>
  <si>
    <t>ロボットタイプ</t>
  </si>
  <si>
    <t>工学</t>
  </si>
  <si>
    <t>オークション &gt; 家電、AV、カメラ &gt; 掃除 &gt; ロボットタイプ</t>
  </si>
  <si>
    <t>オークション &gt; 本、雑誌 &gt; 自然科学と技術 &gt; 工学</t>
  </si>
  <si>
    <t>オークション &gt; 映画、ビデオ &gt; ビデオテープ &gt; 映画 &gt; ドキュメンタリー</t>
  </si>
  <si>
    <t>オークション &gt; 家電、AV、カメラ &gt; 掃除 &gt; その他</t>
  </si>
  <si>
    <t>オークション &gt; 本、雑誌 &gt; 自然科学と技術 &gt; 雑誌</t>
  </si>
  <si>
    <t>オークション &gt; 映画、ビデオ &gt; ビデオテープ &gt; 映画 &gt; ドラマ</t>
  </si>
  <si>
    <t>電話機一般</t>
  </si>
  <si>
    <t>オークション &gt; 家電、AV、カメラ &gt; 電話、ファクシミリ &gt; 電話機一般</t>
  </si>
  <si>
    <t>オークション &gt; 映画、ビデオ &gt; ビデオテープ &gt; 映画 &gt; ハリウッド古典</t>
  </si>
  <si>
    <t>数学</t>
  </si>
  <si>
    <t>オークション &gt; 本、雑誌 &gt; 自然科学と技術 &gt; 数学</t>
  </si>
  <si>
    <t>オークション &gt; 家電、AV、カメラ &gt; 電話、ファクシミリ &gt; ファクシミリホン</t>
  </si>
  <si>
    <t>オークション &gt; 映画、ビデオ &gt; ビデオテープ &gt; 映画 &gt; ホラー</t>
  </si>
  <si>
    <t>携帯電話、PHS</t>
  </si>
  <si>
    <t>オークション &gt; 家電、AV、カメラ &gt; 電話、ファクシミリ &gt; 携帯電話、PHS</t>
  </si>
  <si>
    <t>生物学</t>
  </si>
  <si>
    <t>オークション &gt; 本、雑誌 &gt; 自然科学と技術 &gt; 生物学</t>
  </si>
  <si>
    <t>オークション &gt; 映画、ビデオ &gt; ビデオテープ &gt; 映画 &gt; ミュージカル</t>
  </si>
  <si>
    <t>留守番電話</t>
  </si>
  <si>
    <t>オークション &gt; 家電、AV、カメラ &gt; 電話、ファクシミリ &gt; 留守番電話</t>
  </si>
  <si>
    <t>地学</t>
  </si>
  <si>
    <t>オークション &gt; 映画、ビデオ &gt; ビデオテープ &gt; 映画 &gt; 香港映画</t>
  </si>
  <si>
    <t>テレビ電話</t>
  </si>
  <si>
    <t>オークション &gt; 本、雑誌 &gt; 自然科学と技術 &gt; 地学</t>
  </si>
  <si>
    <t>オークション &gt; 家電、AV、カメラ &gt; 電話、ファクシミリ &gt; テレビ電話</t>
  </si>
  <si>
    <t>天文、宇宙</t>
  </si>
  <si>
    <t>オークション &gt; 本、雑誌 &gt; 自然科学と技術 &gt; 天文、宇宙</t>
  </si>
  <si>
    <t>ビジネスフォン</t>
  </si>
  <si>
    <t>オークション &gt; 映画、ビデオ &gt; ビデオテープ &gt; 映画 &gt; 子ども向け</t>
  </si>
  <si>
    <t>オークション &gt; 家電、AV、カメラ &gt; 電話、ファクシミリ &gt; ビジネスフォン</t>
  </si>
  <si>
    <t>農学</t>
  </si>
  <si>
    <t>オークション &gt; 本、雑誌 &gt; 自然科学と技術 &gt; 農学</t>
  </si>
  <si>
    <t>オークション &gt; 家電、AV、カメラ &gt; 電話、ファクシミリ &gt; 周辺機器</t>
  </si>
  <si>
    <t>オークション &gt; 映画、ビデオ &gt; ビデオテープ &gt; 映画 &gt; 時代劇</t>
  </si>
  <si>
    <t>物理学</t>
  </si>
  <si>
    <t>オークション &gt; 本、雑誌 &gt; 自然科学と技術 &gt; 物理学</t>
  </si>
  <si>
    <t>複合機、コピー機</t>
  </si>
  <si>
    <t>オークション &gt; 家電、AV、カメラ &gt; 電話、ファクシミリ &gt; 複合機、コピー機</t>
  </si>
  <si>
    <t>オークション &gt; 映画、ビデオ &gt; ビデオテープ &gt; 映画 &gt; 西部劇</t>
  </si>
  <si>
    <t>テレホンカード</t>
  </si>
  <si>
    <t>オークション &gt; 本、雑誌 &gt; 人文、社会 &gt; 語学</t>
  </si>
  <si>
    <t>オークション &gt; 家電、AV、カメラ &gt; 電話、ファクシミリ &gt; テレホンカード</t>
  </si>
  <si>
    <t>オークション &gt; 映画、ビデオ &gt; ビデオテープ &gt; 映画 &gt; 戦争</t>
  </si>
  <si>
    <t>宗教</t>
  </si>
  <si>
    <t>エアコン</t>
  </si>
  <si>
    <t>オークション &gt; 本、雑誌 &gt; 人文、社会 &gt; 宗教</t>
  </si>
  <si>
    <t>オークション &gt; 家電、AV、カメラ &gt; 冷暖房、空調 &gt; エアコン</t>
  </si>
  <si>
    <t>オークション &gt; 映画、ビデオ &gt; ビデオテープ &gt; 映画 &gt; 特撮</t>
  </si>
  <si>
    <t>空気清浄器</t>
  </si>
  <si>
    <t>心理学</t>
  </si>
  <si>
    <t>オークション &gt; 家電、AV、カメラ &gt; 冷暖房、空調 &gt; 空気清浄器</t>
  </si>
  <si>
    <t>オークション &gt; 本、雑誌 &gt; 人文、社会 &gt; 心理学</t>
  </si>
  <si>
    <t>冷風扇</t>
  </si>
  <si>
    <t>オークション &gt; 映画、ビデオ &gt; ビデオテープ &gt; 映画 &gt; 日本映画</t>
  </si>
  <si>
    <t>図書館、博物館</t>
  </si>
  <si>
    <t>オークション &gt; 家電、AV、カメラ &gt; 冷暖房、空調 &gt; 冷風扇</t>
  </si>
  <si>
    <t>オークション &gt; 本、雑誌 &gt; 人文、社会 &gt; 図書館、博物館</t>
  </si>
  <si>
    <t>扇風機</t>
  </si>
  <si>
    <t>哲学、思想</t>
  </si>
  <si>
    <t>オークション &gt; 家電、AV、カメラ &gt; 冷暖房、空調 &gt; 扇風機</t>
  </si>
  <si>
    <t>オークション &gt; 映画、ビデオ &gt; ビデオテープ &gt; 映画 &gt; その他</t>
  </si>
  <si>
    <t>オークション &gt; 本、雑誌 &gt; 人文、社会 &gt; 哲学、思想</t>
  </si>
  <si>
    <t>サーキュレーター</t>
  </si>
  <si>
    <t>R&amp;B、ソウル</t>
  </si>
  <si>
    <t>オークション &gt; 家電、AV、カメラ &gt; 冷暖房、空調 &gt; サーキュレーター</t>
  </si>
  <si>
    <t>オークション &gt; 音楽 &gt; ビデオ &gt; R&amp;B、ソウル</t>
  </si>
  <si>
    <t>経営学</t>
  </si>
  <si>
    <t>オークション &gt; 家電、AV、カメラ &gt; 冷暖房、空調 &gt; 加湿器、除湿器</t>
  </si>
  <si>
    <t>オークション &gt; 本、雑誌 &gt; 人文、社会 &gt; 経営学</t>
  </si>
  <si>
    <t>オークション &gt; 音楽 &gt; ビデオ &gt; アニメソング</t>
  </si>
  <si>
    <t>こたつ</t>
  </si>
  <si>
    <t>経済学</t>
  </si>
  <si>
    <t>オークション &gt; 家電、AV、カメラ &gt; 冷暖房、空調 &gt; こたつ</t>
  </si>
  <si>
    <t>オークション &gt; 本、雑誌 &gt; 人文、社会 &gt; 経済学</t>
  </si>
  <si>
    <t>オークション &gt; 音楽 &gt; ビデオ &gt; クラシック</t>
  </si>
  <si>
    <t>社会学</t>
  </si>
  <si>
    <t>オイルヒーター</t>
  </si>
  <si>
    <t>オークション &gt; 本、雑誌 &gt; 人文、社会 &gt; 社会学</t>
  </si>
  <si>
    <t>クラブ、ダンス</t>
  </si>
  <si>
    <t>オークション &gt; 家電、AV、カメラ &gt; 冷暖房、空調 &gt; オイルヒーター</t>
  </si>
  <si>
    <t>オークション &gt; 音楽 &gt; ビデオ &gt; クラブ、ダンス</t>
  </si>
  <si>
    <t>社会問題</t>
  </si>
  <si>
    <t>オークション &gt; 本、雑誌 &gt; 人文、社会 &gt; 社会問題</t>
  </si>
  <si>
    <t>ストーブ</t>
  </si>
  <si>
    <t>ゲーム音楽</t>
  </si>
  <si>
    <t>オークション &gt; 家電、AV、カメラ &gt; 冷暖房、空調 &gt; ストーブ</t>
  </si>
  <si>
    <t>オークション &gt; 音楽 &gt; ビデオ &gt; ゲーム音楽</t>
  </si>
  <si>
    <t>政治学</t>
  </si>
  <si>
    <t>ファンヒーター</t>
  </si>
  <si>
    <t>オークション &gt; 音楽 &gt; ビデオ &gt; ジャズ</t>
  </si>
  <si>
    <t>オークション &gt; 本、雑誌 &gt; 人文、社会 &gt; 政治学</t>
  </si>
  <si>
    <t>オークション &gt; 家電、AV、カメラ &gt; 冷暖房、空調 &gt; ファンヒーター</t>
  </si>
  <si>
    <t>オークション &gt; 音楽 &gt; ビデオ &gt; ジャパニーズポップス</t>
  </si>
  <si>
    <t>ホットカーペット</t>
  </si>
  <si>
    <t>オークション &gt; 家電、AV、カメラ &gt; 冷暖房、空調 &gt; ホットカーペット</t>
  </si>
  <si>
    <t>地理</t>
  </si>
  <si>
    <t>オークション &gt; 本、雑誌 &gt; 人文、社会 &gt; 地理</t>
  </si>
  <si>
    <t>ブルース</t>
  </si>
  <si>
    <t>オークション &gt; 音楽 &gt; ビデオ &gt; ブルース</t>
  </si>
  <si>
    <t>ホットマット</t>
  </si>
  <si>
    <t>オークション &gt; 家電、AV、カメラ &gt; 冷暖房、空調 &gt; ホットマット</t>
  </si>
  <si>
    <t>福祉</t>
  </si>
  <si>
    <t>ラップ、ヒップホップ</t>
  </si>
  <si>
    <t>オークション &gt; 本、雑誌 &gt; 人文、社会 &gt; 福祉</t>
  </si>
  <si>
    <t>オークション &gt; 音楽 &gt; ビデオ &gt; ラップ、ヒップホップ</t>
  </si>
  <si>
    <t>電気あんか</t>
  </si>
  <si>
    <t>オークション &gt; 家電、AV、カメラ &gt; 冷暖房、空調 &gt; 電気あんか</t>
  </si>
  <si>
    <t>文化、民俗</t>
  </si>
  <si>
    <t>電気ヒーター</t>
  </si>
  <si>
    <t>オークション &gt; 本、雑誌 &gt; 人文、社会 &gt; 文化、民俗</t>
  </si>
  <si>
    <t>オークション &gt; 音楽 &gt; ビデオ &gt; ロック、ポップス（洋楽）</t>
  </si>
  <si>
    <t>オークション &gt; 家電、AV、カメラ &gt; 冷暖房、空調 &gt; 電気ヒーター</t>
  </si>
  <si>
    <t>法律</t>
  </si>
  <si>
    <t>電気毛布、電気ひざ掛け</t>
  </si>
  <si>
    <t>ワールドミュージック</t>
  </si>
  <si>
    <t>オークション &gt; 本、雑誌 &gt; 人文、社会 &gt; 法律</t>
  </si>
  <si>
    <t>オークション &gt; 家電、AV、カメラ &gt; 冷暖房、空調 &gt; 電気毛布、電気ひざ掛け</t>
  </si>
  <si>
    <t>オークション &gt; 音楽 &gt; ビデオ &gt; ワールドミュージック</t>
  </si>
  <si>
    <t>オークション &gt; 家電、AV、カメラ &gt; 冷暖房、空調 &gt; ふとん乾燥機</t>
  </si>
  <si>
    <t>オークション &gt; 本、雑誌 &gt; 人文、社会 &gt; 歴史</t>
  </si>
  <si>
    <t>映画音楽</t>
  </si>
  <si>
    <t>オークション &gt; 音楽 &gt; ビデオ &gt; 映画音楽</t>
  </si>
  <si>
    <t>換気扇</t>
  </si>
  <si>
    <t>オークション &gt; 家電、AV、カメラ &gt; 冷暖房、空調 &gt; 換気扇</t>
  </si>
  <si>
    <t>絵本一般</t>
  </si>
  <si>
    <t>オークション &gt; 本、雑誌 &gt; 児童書、絵本 &gt; 絵本 &gt; 絵本一般</t>
  </si>
  <si>
    <t>オークション &gt; 家電、AV、カメラ &gt; 冷暖房、空調 &gt; その他</t>
  </si>
  <si>
    <t>童謡、教育</t>
  </si>
  <si>
    <t>赤ちゃんの絵本</t>
  </si>
  <si>
    <t>オークション &gt; 音楽 &gt; ビデオ &gt; 童謡、教育</t>
  </si>
  <si>
    <t>オークション &gt; 本、雑誌 &gt; 児童書、絵本 &gt; 絵本 &gt; 赤ちゃんの絵本</t>
  </si>
  <si>
    <t>LED電球</t>
  </si>
  <si>
    <t>オークション &gt; 住まい、インテリア &gt; 家具、インテリア &gt; 照明 &gt; 蛍光灯、電球 &gt; LED電球</t>
  </si>
  <si>
    <t>3、4歳児用絵本</t>
  </si>
  <si>
    <t>オークション &gt; 本、雑誌 &gt; 児童書、絵本 &gt; 絵本 &gt; 3、4歳児用絵本</t>
  </si>
  <si>
    <t>オークション &gt; 音楽 &gt; ビデオ &gt; その他</t>
  </si>
  <si>
    <t>白熱電球</t>
  </si>
  <si>
    <t>オークション &gt; 住まい、インテリア &gt; 家具、インテリア &gt; 照明 &gt; 蛍光灯、電球 &gt; 白熱電球</t>
  </si>
  <si>
    <t>大人向け絵本</t>
  </si>
  <si>
    <t>オークション &gt; 本、雑誌 &gt; 児童書、絵本 &gt; 絵本 &gt; 大人向け絵本</t>
  </si>
  <si>
    <t>オークション &gt; 映画、ビデオ &gt; ビデオテープ &gt; 映画 &gt; 特撮 &gt; ウルトラマン</t>
  </si>
  <si>
    <t>蛍光灯</t>
  </si>
  <si>
    <t>オークション &gt; 住まい、インテリア &gt; 家具、インテリア &gt; 照明 &gt; 蛍光灯、電球 &gt; 蛍光灯</t>
  </si>
  <si>
    <t>しかけ絵本</t>
  </si>
  <si>
    <t>オークション &gt; 本、雑誌 &gt; 児童書、絵本 &gt; 絵本 &gt; しかけ絵本</t>
  </si>
  <si>
    <t>オークション &gt; 映画、ビデオ &gt; ビデオテープ &gt; 映画 &gt; 特撮 &gt; 一般</t>
  </si>
  <si>
    <t>ハロゲンランプ</t>
  </si>
  <si>
    <t>紙芝居、ぬりえ</t>
  </si>
  <si>
    <t>オークション &gt; 住まい、インテリア &gt; 家具、インテリア &gt; 照明 &gt; 蛍光灯、電球 &gt; ハロゲンランプ</t>
  </si>
  <si>
    <t>オークション &gt; 本、雑誌 &gt; 児童書、絵本 &gt; 絵本 &gt; 紙芝居、ぬりえ</t>
  </si>
  <si>
    <t>オークション &gt; 映画、ビデオ &gt; ビデオテープ &gt; 映画 &gt; 特撮 &gt; 仮面ライダー</t>
  </si>
  <si>
    <t>知育絵本、学習絵本</t>
  </si>
  <si>
    <t>HIDランプ</t>
  </si>
  <si>
    <t>オークション &gt; 本、雑誌 &gt; 児童書、絵本 &gt; 絵本 &gt; 知育絵本、学習絵本</t>
  </si>
  <si>
    <t>オークション &gt; 住まい、インテリア &gt; 家具、インテリア &gt; 照明 &gt; 蛍光灯、電球 &gt; HIDランプ</t>
  </si>
  <si>
    <t>オークション &gt; 映画、ビデオ &gt; レーザーディスク &gt; ドラマ &gt; ファミリー</t>
  </si>
  <si>
    <t>洋書、外国語絵本</t>
  </si>
  <si>
    <t>オークション &gt; 本、雑誌 &gt; 児童書、絵本 &gt; 絵本 &gt; 洋書、外国語絵本</t>
  </si>
  <si>
    <t>オークション &gt; 住まい、インテリア &gt; 家具、インテリア &gt; 照明 &gt; 蛍光灯、電球 &gt; その他</t>
  </si>
  <si>
    <t>オークション &gt; 映画、ビデオ &gt; レーザーディスク &gt; ドラマ &gt; ラブストーリー</t>
  </si>
  <si>
    <t>シーリングファン</t>
  </si>
  <si>
    <t>読み物一般</t>
  </si>
  <si>
    <t>オークション &gt; 住まい、インテリア &gt; 家具、インテリア &gt; 照明 &gt; 天井照明 &gt; シーリングファン</t>
  </si>
  <si>
    <t>オークション &gt; 本、雑誌 &gt; 児童書、絵本 &gt; 児童文学、読み物 &gt; 読み物一般</t>
  </si>
  <si>
    <t>オークション &gt; 映画、ビデオ &gt; レーザーディスク &gt; ドラマ &gt; 青春</t>
  </si>
  <si>
    <t>怪談、おばけの話</t>
  </si>
  <si>
    <t>シーリングライト</t>
  </si>
  <si>
    <t>オークション &gt; 本、雑誌 &gt; 児童書、絵本 &gt; 児童文学、読み物 &gt; 怪談、おばけの話</t>
  </si>
  <si>
    <t>オークション &gt; 住まい、インテリア &gt; 家具、インテリア &gt; 照明 &gt; 天井照明 &gt; シーリングライト</t>
  </si>
  <si>
    <t>オークション &gt; 映画、ビデオ &gt; レーザーディスク &gt; ドラマ &gt; その他</t>
  </si>
  <si>
    <t>学習よみもの</t>
  </si>
  <si>
    <t>シャンデリア</t>
  </si>
  <si>
    <t>オークション &gt; 本、雑誌 &gt; 児童書、絵本 &gt; 児童文学、読み物 &gt; 学習よみもの</t>
  </si>
  <si>
    <t>オークション &gt; 住まい、インテリア &gt; 家具、インテリア &gt; 照明 &gt; 天井照明 &gt; シャンデリア</t>
  </si>
  <si>
    <t>昔話、民話</t>
  </si>
  <si>
    <t>オークション &gt; 音楽 &gt; レーザーディスク &gt; R&amp;B、ソウル</t>
  </si>
  <si>
    <t>オークション &gt; 本、雑誌 &gt; 児童書、絵本 &gt; 児童文学、読み物 &gt; 昔話、民話</t>
  </si>
  <si>
    <t>オークション &gt; 住まい、インテリア &gt; 家具、インテリア &gt; 照明 &gt; 天井照明 &gt; スポットライト</t>
  </si>
  <si>
    <t>伝記、偉人伝</t>
  </si>
  <si>
    <t>オークション &gt; 音楽 &gt; レーザーディスク &gt; アニメソング</t>
  </si>
  <si>
    <t>オークション &gt; 本、雑誌 &gt; 児童書、絵本 &gt; 児童文学、読み物 &gt; 伝記、偉人伝</t>
  </si>
  <si>
    <t>ダウンライト</t>
  </si>
  <si>
    <t>オークション &gt; 住まい、インテリア &gt; 家具、インテリア &gt; 照明 &gt; 天井照明 &gt; ダウンライト</t>
  </si>
  <si>
    <t>名作</t>
  </si>
  <si>
    <t>オークション &gt; 本、雑誌 &gt; 児童書、絵本 &gt; 児童文学、読み物 &gt; 名作</t>
  </si>
  <si>
    <t>オークション &gt; 音楽 &gt; レーザーディスク &gt; クラシック</t>
  </si>
  <si>
    <t>ペンダントライト</t>
  </si>
  <si>
    <t>オークション &gt; 住まい、インテリア &gt; 家具、インテリア &gt; 照明 &gt; 天井照明 &gt; ペンダントライト</t>
  </si>
  <si>
    <t>オークション &gt; 音楽 &gt; レーザーディスク &gt; クラブ、ダンス</t>
  </si>
  <si>
    <t>オークション &gt; 住まい、インテリア &gt; 家具、インテリア &gt; 照明 &gt; 天井照明 &gt; 配線ダクトレール</t>
  </si>
  <si>
    <t>オークション &gt; 音楽 &gt; レーザーディスク &gt; ゲーム音楽</t>
  </si>
  <si>
    <t>オークション &gt; 住まい、インテリア &gt; 家具、インテリア &gt; 照明 &gt; 天井照明 &gt; 配線ダクトレール用ライト</t>
  </si>
  <si>
    <t>オークション &gt; 音楽 &gt; レーザーディスク &gt; ジャズ</t>
  </si>
  <si>
    <t>オークション &gt; 住まい、インテリア &gt; 家具、インテリア &gt; 照明 &gt; 天井照明 &gt; その他</t>
  </si>
  <si>
    <t>テーブルスタンド</t>
  </si>
  <si>
    <t>オークション &gt; 音楽 &gt; レーザーディスク &gt; ジャパニーズポップス</t>
  </si>
  <si>
    <t>オークション &gt; 住まい、インテリア &gt; 家具、インテリア &gt; 照明 &gt; 卓上スタンド &gt; テーブルスタンド</t>
  </si>
  <si>
    <t>デスクライト</t>
  </si>
  <si>
    <t>オークション &gt; 住まい、インテリア &gt; 家具、インテリア &gt; 照明 &gt; 卓上スタンド &gt; デスクライト</t>
  </si>
  <si>
    <t>オークション &gt; 音楽 &gt; レーザーディスク &gt; ブルース</t>
  </si>
  <si>
    <t>ナイトスタンド</t>
  </si>
  <si>
    <t>オークション &gt; 住まい、インテリア &gt; 家具、インテリア &gt; 照明 &gt; 卓上スタンド &gt; ナイトスタンド</t>
  </si>
  <si>
    <t>オークション &gt; 音楽 &gt; レーザーディスク &gt; ラップ、ヒップホップ</t>
  </si>
  <si>
    <t>オークション &gt; 住まい、インテリア &gt; 家具、インテリア &gt; 照明 &gt; 卓上スタンド &gt; デスク用タスクライト</t>
  </si>
  <si>
    <t>オークション &gt; 音楽 &gt; レーザーディスク &gt; ロック、ポップス（洋楽）</t>
  </si>
  <si>
    <t>オークション &gt; 住まい、インテリア &gt; 家具、インテリア &gt; 照明 &gt; 卓上スタンド &gt; その他</t>
  </si>
  <si>
    <t>オークション &gt; 音楽 &gt; レーザーディスク &gt; ワールドミュージック</t>
  </si>
  <si>
    <t>ストレートライト</t>
  </si>
  <si>
    <t>オークション &gt; 住まい、インテリア &gt; 季節、年中行事 &gt; クリスマス &gt; イルミネーション &gt; ストレートライト</t>
  </si>
  <si>
    <t>オークション &gt; 音楽 &gt; レーザーディスク &gt; 映画音楽</t>
  </si>
  <si>
    <t>モチーフライト</t>
  </si>
  <si>
    <t>オークション &gt; 住まい、インテリア &gt; 季節、年中行事 &gt; クリスマス &gt; イルミネーション &gt; モチーフライト</t>
  </si>
  <si>
    <t>チューブライト（ロープライト）</t>
  </si>
  <si>
    <t>オークション &gt; 音楽 &gt; レーザーディスク &gt; 童謡、教育</t>
  </si>
  <si>
    <t>オークション &gt; 住まい、インテリア &gt; 季節、年中行事 &gt; クリスマス &gt; イルミネーション &gt; チューブライト（ロープライト）</t>
  </si>
  <si>
    <t>テープライト</t>
  </si>
  <si>
    <t>オークション &gt; 音楽 &gt; レーザーディスク &gt; その他</t>
  </si>
  <si>
    <t>オークション &gt; 住まい、インテリア &gt; 季節、年中行事 &gt; クリスマス &gt; イルミネーション &gt; テープライト</t>
  </si>
  <si>
    <t>ネットタイプ</t>
  </si>
  <si>
    <t>オークション &gt; 映画、ビデオ &gt; レーザーディスク &gt; 特撮 &gt; ウルトラマン</t>
  </si>
  <si>
    <t>オークション &gt; 住まい、インテリア &gt; 季節、年中行事 &gt; クリスマス &gt; イルミネーション &gt; ネットタイプ</t>
  </si>
  <si>
    <t>つらら、ナイアガラタイプ</t>
  </si>
  <si>
    <t>オークション &gt; 映画、ビデオ &gt; レーザーディスク &gt; 特撮 &gt; 一般</t>
  </si>
  <si>
    <t>オークション &gt; 住まい、インテリア &gt; 季節、年中行事 &gt; クリスマス &gt; イルミネーション &gt; つらら、ナイアガラタイプ</t>
  </si>
  <si>
    <t>スティックタイプ</t>
  </si>
  <si>
    <t>オークション &gt; 住まい、インテリア &gt; 季節、年中行事 &gt; クリスマス &gt; イルミネーション &gt; スティックタイプ</t>
  </si>
  <si>
    <t>オークション &gt; 映画、ビデオ &gt; レーザーディスク &gt; 特撮 &gt; 仮面ライダー</t>
  </si>
  <si>
    <t>オークション &gt; 住まい、インテリア &gt; 季節、年中行事 &gt; クリスマス &gt; イルミネーション &gt; 周辺機器</t>
  </si>
  <si>
    <t>ファイバーツリー</t>
  </si>
  <si>
    <t>オークション &gt; 住まい、インテリア &gt; 季節、年中行事 &gt; クリスマス &gt; イルミネーション &gt; ファイバーツリー</t>
  </si>
  <si>
    <t>オークション &gt; 住まい、インテリア &gt; 季節、年中行事 &gt; クリスマス &gt; イルミネーション &gt; その他</t>
  </si>
  <si>
    <t>DIY、業務用</t>
  </si>
  <si>
    <t>オークション &gt; 住まい、インテリア &gt; 家具、インテリア &gt; 照明 &gt; 特殊用 &gt; DIY、業務用</t>
  </si>
  <si>
    <t>観賞魚飼育、水草育成用</t>
  </si>
  <si>
    <t>オークション &gt; 住まい、インテリア &gt; 家具、インテリア &gt; 照明 &gt; 特殊用 &gt; 観賞魚飼育、水草育成用</t>
  </si>
  <si>
    <t>爬虫類、両生類飼育用</t>
  </si>
  <si>
    <t>オークション &gt; 住まい、インテリア &gt; 家具、インテリア &gt; 照明 &gt; 特殊用 &gt; 爬虫類、両生類飼育用</t>
  </si>
  <si>
    <t>オークション &gt; アクセサリー、時計 &gt; キャラクター腕時計 &gt; スヌーピー</t>
  </si>
  <si>
    <t>オークション &gt; アクセサリー、時計 &gt; キャラクター腕時計 &gt; ディズニー</t>
  </si>
  <si>
    <t>オークション &gt; アクセサリー、時計 &gt; キャラクター腕時計 &gt; ドラえもん</t>
  </si>
  <si>
    <t>オークション &gt; アクセサリー、時計 &gt; キャラクター腕時計 &gt; ハローキティ</t>
  </si>
  <si>
    <t>オークション &gt; アクセサリー、時計 &gt; キャラクター腕時計 &gt; その他</t>
  </si>
  <si>
    <t>オークション &gt; アクセサリー、時計 &gt; ブランド腕時計 &gt; あ行</t>
  </si>
  <si>
    <t>オークション &gt; アクセサリー、時計 &gt; ブランド腕時計 &gt; か行</t>
  </si>
  <si>
    <t>オークション &gt; アクセサリー、時計 &gt; ブランド腕時計 &gt; さ行</t>
  </si>
  <si>
    <t>オークション &gt; アクセサリー、時計 &gt; ブランド腕時計 &gt; た行</t>
  </si>
  <si>
    <t>オークション &gt; アクセサリー、時計 &gt; ブランド腕時計 &gt; な行</t>
  </si>
  <si>
    <t>オークション &gt; アクセサリー、時計 &gt; ブランド腕時計 &gt; は行</t>
  </si>
  <si>
    <t>ま行、や行</t>
  </si>
  <si>
    <t>オークション &gt; アクセサリー、時計 &gt; ブランド腕時計 &gt; ま行、や行</t>
  </si>
  <si>
    <t>オークション &gt; アクセサリー、時計 &gt; ブランド腕時計 &gt; ら行</t>
  </si>
  <si>
    <t>アナログ（クォーツ式）</t>
  </si>
  <si>
    <t>オークション &gt; アクセサリー、時計 &gt; レディース腕時計 &gt; アナログ（クォーツ式）</t>
  </si>
  <si>
    <t>アナログ（自動巻き）</t>
  </si>
  <si>
    <t>オークション &gt; アクセサリー、時計 &gt; レディース腕時計 &gt; アナログ（自動巻き）</t>
  </si>
  <si>
    <t>アナログ（手巻き）</t>
  </si>
  <si>
    <t>オークション &gt; アクセサリー、時計 &gt; レディース腕時計 &gt; アナログ（手巻き）</t>
  </si>
  <si>
    <t>デジタル</t>
  </si>
  <si>
    <t>オークション &gt; アクセサリー、時計 &gt; レディース腕時計 &gt; デジタル</t>
  </si>
  <si>
    <t>SWATCH</t>
  </si>
  <si>
    <t>オークション &gt; アクセサリー、時計 &gt; レディース腕時計 &gt; SWATCH</t>
  </si>
  <si>
    <t>オークション &gt; アクセサリー、時計 &gt; レディース腕時計 &gt; カシオ</t>
  </si>
  <si>
    <t>オークション &gt; アクセサリー、時計 &gt; レディース腕時計 &gt; シチズン</t>
  </si>
  <si>
    <t>オークション &gt; アクセサリー、時計 &gt; レディース腕時計 &gt; セイコー</t>
  </si>
  <si>
    <t>オークション &gt; アクセサリー、時計 &gt; ユニセックス腕時計 &gt; アナログ（クォーツ式）</t>
  </si>
  <si>
    <t>オークション &gt; アクセサリー、時計 &gt; ユニセックス腕時計 &gt; アナログ（自動巻き）</t>
  </si>
  <si>
    <t>オークション &gt; アクセサリー、時計 &gt; ユニセックス腕時計 &gt; アナログ（手巻き）</t>
  </si>
  <si>
    <t>オークション &gt; アンティーク、コレクション &gt; 印刷物 &gt; チラシ &gt; 映画 &gt; SF、ファンタジー</t>
  </si>
  <si>
    <t>オークション &gt; アクセサリー、時計 &gt; ユニセックス腕時計 &gt; デジタル</t>
  </si>
  <si>
    <t>オークション &gt; アンティーク、コレクション &gt; 印刷物 &gt; チラシ &gt; 映画 &gt; アクション、アドベンチャー</t>
  </si>
  <si>
    <t>オークション &gt; アクセサリー、時計 &gt; ユニセックス腕時計 &gt; カシオ</t>
  </si>
  <si>
    <t>オークション &gt; アンティーク、コレクション &gt; 印刷物 &gt; チラシ &gt; 映画 &gt; コメディ</t>
  </si>
  <si>
    <t>オークション &gt; アクセサリー、時計 &gt; ユニセックス腕時計 &gt; シチズン</t>
  </si>
  <si>
    <t>オークション &gt; アンティーク、コレクション &gt; 印刷物 &gt; チラシ &gt; 映画 &gt; ドキュメンタリー</t>
  </si>
  <si>
    <t>オークション &gt; アクセサリー、時計 &gt; ユニセックス腕時計 &gt; セイコー</t>
  </si>
  <si>
    <t>ホラー、サスペンス</t>
  </si>
  <si>
    <t>オークション &gt; アンティーク、コレクション &gt; 印刷物 &gt; チラシ &gt; 映画 &gt; ホラー、サスペンス</t>
  </si>
  <si>
    <t>オークション &gt; アクセサリー、時計 &gt; メンズ腕時計 &gt; アナログ（クォーツ式）</t>
  </si>
  <si>
    <t>オークション &gt; アンティーク、コレクション &gt; 印刷物 &gt; チラシ &gt; 映画 &gt; ミュージカル</t>
  </si>
  <si>
    <t>オークション &gt; アクセサリー、時計 &gt; メンズ腕時計 &gt; アナログ（自動巻き）</t>
  </si>
  <si>
    <t>オークション &gt; アンティーク、コレクション &gt; 印刷物 &gt; チラシ &gt; 映画 &gt; その他</t>
  </si>
  <si>
    <t>オークション &gt; アクセサリー、時計 &gt; メンズ腕時計 &gt; アナログ（手巻き）</t>
  </si>
  <si>
    <t>オークション &gt; チケット、金券、宿泊予約 &gt; プリペイドカード &gt; テレホンカード &gt; 映画 &gt; SF、ファンタジー</t>
  </si>
  <si>
    <t>オークション &gt; アクセサリー、時計 &gt; メンズ腕時計 &gt; デジタル</t>
  </si>
  <si>
    <t>オークション &gt; チケット、金券、宿泊予約 &gt; プリペイドカード &gt; テレホンカード &gt; 映画 &gt; アクション、アドベンチャー</t>
  </si>
  <si>
    <t>オークション &gt; アクセサリー、時計 &gt; メンズ腕時計 &gt; SWATCH</t>
  </si>
  <si>
    <t>オークション &gt; チケット、金券、宿泊予約 &gt; プリペイドカード &gt; テレホンカード &gt; 映画 &gt; コメディ</t>
  </si>
  <si>
    <t>オークション &gt; アクセサリー、時計 &gt; メンズ腕時計 &gt; カシオ</t>
  </si>
  <si>
    <t>オークション &gt; アクセサリー、時計 &gt; メンズ腕時計 &gt; シチズン</t>
  </si>
  <si>
    <t>オークション &gt; チケット、金券、宿泊予約 &gt; プリペイドカード &gt; テレホンカード &gt; 映画 &gt; ドキュメンタリー</t>
  </si>
  <si>
    <t>オークション &gt; アクセサリー、時計 &gt; メンズ腕時計 &gt; セイコー</t>
  </si>
  <si>
    <t>オークション &gt; チケット、金券、宿泊予約 &gt; プリペイドカード &gt; テレホンカード &gt; 映画 &gt; ホラー、サスペンス</t>
  </si>
  <si>
    <t>ルミノックス</t>
  </si>
  <si>
    <t>オークション &gt; アクセサリー、時計 &gt; メンズ腕時計 &gt; ルミノックス</t>
  </si>
  <si>
    <t>オークション &gt; チケット、金券、宿泊予約 &gt; プリペイドカード &gt; テレホンカード &gt; 映画 &gt; ミュージカル</t>
  </si>
  <si>
    <t>クォーツ式</t>
  </si>
  <si>
    <t>オークション &gt; アクセサリー、時計 &gt; 懐中時計 &gt; クォーツ式</t>
  </si>
  <si>
    <t>オークション &gt; チケット、金券、宿泊予約 &gt; プリペイドカード &gt; テレホンカード &gt; 映画 &gt; その他</t>
  </si>
  <si>
    <t>機械式</t>
  </si>
  <si>
    <t>オークション &gt; アクセサリー、時計 &gt; 懐中時計 &gt; 機械式</t>
  </si>
  <si>
    <t>オークション &gt; 映画、ビデオ &gt; 映画関連グッズ &gt; パンフレット &gt; SF、ファンタジー</t>
  </si>
  <si>
    <t>掛時計、柱時計</t>
  </si>
  <si>
    <t>オークション &gt; 映画、ビデオ &gt; 映画関連グッズ &gt; パンフレット &gt; アクション、アドベンチャー</t>
  </si>
  <si>
    <t>オークション &gt; 住まい、インテリア &gt; 家具、インテリア &gt; インテリア小物 &gt; 置時計、掛時計 &gt; 掛時計、柱時計</t>
  </si>
  <si>
    <t>オークション &gt; 映画、ビデオ &gt; 映画関連グッズ &gt; パンフレット &gt; アニメーション</t>
  </si>
  <si>
    <t>工具</t>
  </si>
  <si>
    <t>オークション &gt; 住まい、インテリア &gt; 家具、インテリア &gt; インテリア小物 &gt; 置時計、掛時計 &gt; 工具</t>
  </si>
  <si>
    <t>オークション &gt; 映画、ビデオ &gt; 映画関連グッズ &gt; パンフレット &gt; コメディ</t>
  </si>
  <si>
    <t>置時計</t>
  </si>
  <si>
    <t>オークション &gt; 住まい、インテリア &gt; 家具、インテリア &gt; インテリア小物 &gt; 置時計、掛時計 &gt; 置時計</t>
  </si>
  <si>
    <t>オークション &gt; 映画、ビデオ &gt; 映画関連グッズ &gt; パンフレット &gt; ディズニー</t>
  </si>
  <si>
    <t>ハンディ</t>
  </si>
  <si>
    <t>オークション &gt; ホビー、カルチャー &gt; アマチュア無線 &gt; トランシーバー &gt; ハンディ</t>
  </si>
  <si>
    <t>モービル</t>
  </si>
  <si>
    <t>オークション &gt; ホビー、カルチャー &gt; アマチュア無線 &gt; トランシーバー &gt; モービル</t>
  </si>
  <si>
    <t>オークション &gt; 映画、ビデオ &gt; 映画関連グッズ &gt; パンフレット &gt; ドキュメンタリー</t>
  </si>
  <si>
    <t>固定</t>
  </si>
  <si>
    <t>オークション &gt; 映画、ビデオ &gt; 映画関連グッズ &gt; パンフレット &gt; ドラマ</t>
  </si>
  <si>
    <t>オークション &gt; ホビー、カルチャー &gt; アマチュア無線 &gt; トランシーバー &gt; 固定</t>
  </si>
  <si>
    <t>オークション &gt; 映画、ビデオ &gt; 映画関連グッズ &gt; パンフレット &gt; ハリウッド古典</t>
  </si>
  <si>
    <t>オークション &gt; ホビー、カルチャー &gt; アマチュア無線 &gt; トランシーバー &gt; その他</t>
  </si>
  <si>
    <t>オークション &gt; 映画、ビデオ &gt; 映画関連グッズ &gt; パンフレット &gt; ホラー、サスペンス</t>
  </si>
  <si>
    <t>オークション &gt; 映画、ビデオ &gt; 映画関連グッズ &gt; パンフレット &gt; ミュージカル</t>
  </si>
  <si>
    <t>オークション &gt; 映画、ビデオ &gt; 映画関連グッズ &gt; パンフレット &gt; 香港映画</t>
  </si>
  <si>
    <t>オークション &gt; 映画、ビデオ &gt; 映画関連グッズ &gt; パンフレット &gt; 時代劇</t>
  </si>
  <si>
    <t>オークション &gt; 映画、ビデオ &gt; 映画関連グッズ &gt; パンフレット &gt; 西部劇</t>
  </si>
  <si>
    <t>オークション &gt; 映画、ビデオ &gt; 映画関連グッズ &gt; パンフレット &gt; 戦争</t>
  </si>
  <si>
    <t>オークション &gt; 映画、ビデオ &gt; 映画関連グッズ &gt; パンフレット &gt; 特撮</t>
  </si>
  <si>
    <t>オークション &gt; 映画、ビデオ &gt; 映画関連グッズ &gt; パンフレット &gt; 日本映画</t>
  </si>
  <si>
    <t>オークション &gt; 映画、ビデオ &gt; 映画関連グッズ &gt; パンフレット &gt; その他</t>
  </si>
  <si>
    <t>オークション &gt; アンティーク、コレクション &gt; 印刷物 &gt; ポスター &gt; 映画 &gt; SF、ファンタジー</t>
  </si>
  <si>
    <t>オークション &gt; アンティーク、コレクション &gt; 印刷物 &gt; ポスター &gt; 映画 &gt; アクション、アドベンチャー</t>
  </si>
  <si>
    <t>オークション &gt; アンティーク、コレクション &gt; 印刷物 &gt; ポスター &gt; 映画 &gt; コメディ</t>
  </si>
  <si>
    <t>オークション &gt; アンティーク、コレクション &gt; 印刷物 &gt; ポスター &gt; 映画 &gt; ドキュメンタリー</t>
  </si>
  <si>
    <t>オークション &gt; アンティーク、コレクション &gt; 印刷物 &gt; ポスター &gt; 映画 &gt; ホラー、サスペンス</t>
  </si>
  <si>
    <t>オークション &gt; アンティーク、コレクション &gt; 印刷物 &gt; ポスター &gt; 映画 &gt; ミュージカル</t>
  </si>
  <si>
    <t>オークション &gt; アンティーク、コレクション &gt; 印刷物 &gt; ポスター &gt; 映画 &gt; その他</t>
  </si>
  <si>
    <t>工学一般</t>
  </si>
  <si>
    <t>オークション &gt; 本、雑誌 &gt; 自然科学と技術 &gt; 工学 &gt; 工学一般</t>
  </si>
  <si>
    <t>化学工業</t>
  </si>
  <si>
    <t>オークション &gt; 本、雑誌 &gt; 自然科学と技術 &gt; 工学 &gt; 化学工業</t>
  </si>
  <si>
    <t>海事工学</t>
  </si>
  <si>
    <t>オークション &gt; 本、雑誌 &gt; 自然科学と技術 &gt; 工学 &gt; 海事工学</t>
  </si>
  <si>
    <t>機械工学</t>
  </si>
  <si>
    <t>オークション &gt; 本、雑誌 &gt; 自然科学と技術 &gt; 工学 &gt; 機械工学</t>
  </si>
  <si>
    <t>金属工学</t>
  </si>
  <si>
    <t>オークション &gt; 本、雑誌 &gt; 自然科学と技術 &gt; 工学 &gt; 金属工学</t>
  </si>
  <si>
    <t>建築工学</t>
  </si>
  <si>
    <t>オークション &gt; 本、雑誌 &gt; 自然科学と技術 &gt; 工学 &gt; 建築工学</t>
  </si>
  <si>
    <t>情報工学</t>
  </si>
  <si>
    <t>オークション &gt; 本、雑誌 &gt; 自然科学と技術 &gt; 工学 &gt; 情報工学</t>
  </si>
  <si>
    <t>電気電子工学</t>
  </si>
  <si>
    <t>オークション &gt; 本、雑誌 &gt; 自然科学と技術 &gt; 工学 &gt; 電気電子工学</t>
  </si>
  <si>
    <t>土木工学</t>
  </si>
  <si>
    <t>オークション &gt; おもちゃ、ゲーム &gt; ゲーム &gt; テレビゲーム &gt; ニンテンドー</t>
  </si>
  <si>
    <t>オークション &gt; 本、雑誌 &gt; 自然科学と技術 &gt; 工学 &gt; 土木工学</t>
  </si>
  <si>
    <t>医学一般</t>
  </si>
  <si>
    <t>オークション &gt; 本、雑誌 &gt; 健康と医学 &gt; 医学 &gt; 医学一般</t>
  </si>
  <si>
    <t>医療関連資格</t>
  </si>
  <si>
    <t>オークション &gt; 本、雑誌 &gt; 健康と医学 &gt; 医学 &gt; 医療関連資格</t>
  </si>
  <si>
    <t>歯科学</t>
  </si>
  <si>
    <t>オークション &gt; 本、雑誌 &gt; 健康と医学 &gt; 医学 &gt; 歯科学</t>
  </si>
  <si>
    <t>精神医学</t>
  </si>
  <si>
    <t>オークション &gt; 本、雑誌 &gt; 健康と医学 &gt; 医学 &gt; 精神医学</t>
  </si>
  <si>
    <t>東洋医学</t>
  </si>
  <si>
    <t>オークション &gt; 本、雑誌 &gt; 健康と医学 &gt; 医学 &gt; 東洋医学</t>
  </si>
  <si>
    <t>保健、体育学</t>
  </si>
  <si>
    <t>オークション &gt; 本、雑誌 &gt; 健康と医学 &gt; 医学 &gt; 保健、体育学</t>
  </si>
  <si>
    <t>臨床医学</t>
  </si>
  <si>
    <t>オークション &gt; 本、雑誌 &gt; 健康と医学 &gt; 医学 &gt; 臨床医学</t>
  </si>
  <si>
    <t>アニメ研究、作品論</t>
  </si>
  <si>
    <t>オークション &gt; 本、雑誌 &gt; アート、エンターテインメント &gt; アニメーション &gt; アニメ研究、作品論</t>
  </si>
  <si>
    <t>ノベライズ</t>
  </si>
  <si>
    <t>オークション &gt; 本、雑誌 &gt; アート、エンターテインメント &gt; アニメーション &gt; ノベライズ</t>
  </si>
  <si>
    <t>原画、設定資料集</t>
  </si>
  <si>
    <t>オークション &gt; 本、雑誌 &gt; アート、エンターテインメント &gt; アニメーション &gt; 原画、設定資料集</t>
  </si>
  <si>
    <t>オークション &gt; 本、雑誌 &gt; アート、エンターテインメント &gt; アニメーション &gt; 雑誌</t>
  </si>
  <si>
    <t>オークション &gt; 本、雑誌 &gt; アート、エンターテインメント &gt; アニメーション &gt; 声優</t>
  </si>
  <si>
    <t>オークション &gt; おもちゃ、ゲーム &gt; ゲーム &gt; テレビゲーム &gt; Xbox 360 &gt; アクセサリ、 周辺機器</t>
  </si>
  <si>
    <t>オークション &gt; おもちゃ、ゲーム &gt; ゲーム &gt; テレビゲーム &gt; NINTENDO 64 &gt; タイトル</t>
  </si>
  <si>
    <t>オークション &gt; おもちゃ、ゲーム &gt; ゲーム &gt; テレビゲーム &gt; NINTENDO 64 &gt; 本体、アクセサリー</t>
  </si>
  <si>
    <t>バレエ、ダンス一般</t>
  </si>
  <si>
    <t>オークション &gt; 本、雑誌 &gt; アート、エンターテインメント &gt; バレエ、ダンス &gt; バレエ、ダンス一般</t>
  </si>
  <si>
    <t>オークション &gt; 本、雑誌 &gt; アート、エンターテインメント &gt; バレエ、ダンス &gt; 雑誌</t>
  </si>
  <si>
    <t>タレント本</t>
  </si>
  <si>
    <t>オークション &gt; 本、雑誌 &gt; アート、エンターテインメント &gt; 映画、テレビ &gt; タレント本</t>
  </si>
  <si>
    <t>オークション &gt; 本、雑誌 &gt; アート、エンターテインメント &gt; 映画、テレビ &gt; テレビ</t>
  </si>
  <si>
    <t>オークション &gt; 本、雑誌 &gt; アート、エンターテインメント &gt; 映画、テレビ &gt; ラジオ</t>
  </si>
  <si>
    <t>オークション &gt; 本、雑誌 &gt; アート、エンターテインメント &gt; 映画、テレビ &gt; 映画</t>
  </si>
  <si>
    <t>演劇一般</t>
  </si>
  <si>
    <t>オークション &gt; 本、雑誌 &gt; アート、エンターテインメント &gt; 演劇 &gt; 演劇一般</t>
  </si>
  <si>
    <t>シナリオ、戯曲</t>
  </si>
  <si>
    <t>オークション &gt; 本、雑誌 &gt; アート、エンターテインメント &gt; 演劇 &gt; シナリオ、戯曲</t>
  </si>
  <si>
    <t>オークション &gt; 本、雑誌 &gt; アート、エンターテインメント &gt; 演劇 &gt; ミュージカル</t>
  </si>
  <si>
    <t>歌舞伎</t>
  </si>
  <si>
    <t>オークション &gt; 本、雑誌 &gt; アート、エンターテインメント &gt; 演劇 &gt; 歌舞伎</t>
  </si>
  <si>
    <t>オークション &gt; 本、雑誌 &gt; アート、エンターテインメント &gt; 演劇 &gt; 雑誌</t>
  </si>
  <si>
    <t>児童、学生演劇</t>
  </si>
  <si>
    <t>オークション &gt; 本、雑誌 &gt; アート、エンターテインメント &gt; 演劇 &gt; 児童、学生演劇</t>
  </si>
  <si>
    <t>能、狂言</t>
  </si>
  <si>
    <t>オークション &gt; 本、雑誌 &gt; アート、エンターテインメント &gt; 演劇 &gt; 能、狂言</t>
  </si>
  <si>
    <t>舞踏、舞踊</t>
  </si>
  <si>
    <t>オークション &gt; 本、雑誌 &gt; アート、エンターテインメント &gt; 演劇 &gt; 舞踏、舞踊</t>
  </si>
  <si>
    <t>宝塚</t>
  </si>
  <si>
    <t>オークション &gt; 本、雑誌 &gt; アート、エンターテインメント &gt; 演劇 &gt; 宝塚</t>
  </si>
  <si>
    <t>音楽評論</t>
  </si>
  <si>
    <t>オークション &gt; 本、雑誌 &gt; アート、エンターテインメント &gt; 音楽、楽譜 &gt; 音楽評論</t>
  </si>
  <si>
    <t>楽譜</t>
  </si>
  <si>
    <t>オークション &gt; 本、雑誌 &gt; アート、エンターテインメント &gt; 音楽、楽譜 &gt; 楽譜</t>
  </si>
  <si>
    <t>音楽教育、指導</t>
  </si>
  <si>
    <t>オークション &gt; 本、雑誌 &gt; アート、エンターテインメント &gt; 音楽、楽譜 &gt; 音楽教育、指導</t>
  </si>
  <si>
    <t>カラオケ、歌本</t>
  </si>
  <si>
    <t>オークション &gt; 本、雑誌 &gt; アート、エンターテインメント &gt; 音楽、楽譜 &gt; カラオケ、歌本</t>
  </si>
  <si>
    <t>ミュージシャンの本</t>
  </si>
  <si>
    <t>オークション &gt; 本、雑誌 &gt; アート、エンターテインメント &gt; 音楽、楽譜 &gt; ミュージシャンの本</t>
  </si>
  <si>
    <t>オークション &gt; 本、雑誌 &gt; アート、エンターテインメント &gt; 音楽、楽譜 &gt; 雑誌</t>
  </si>
  <si>
    <t>イラスト、カット</t>
  </si>
  <si>
    <t>オークション &gt; 本、雑誌 &gt; アート、エンターテインメント &gt; 絵画 &gt; イラスト、カット</t>
  </si>
  <si>
    <t>画集、作品集</t>
  </si>
  <si>
    <t>オークション &gt; 本、雑誌 &gt; アート、エンターテインメント &gt; 絵画 &gt; 画集、作品集</t>
  </si>
  <si>
    <t>解説、評論</t>
  </si>
  <si>
    <t>オークション &gt; 本、雑誌 &gt; アート、エンターテインメント &gt; 絵画 &gt; 解説、評論</t>
  </si>
  <si>
    <t>オークション &gt; 本、雑誌 &gt; アート、エンターテインメント &gt; 絵画 &gt; 技法書</t>
  </si>
  <si>
    <t>オークション &gt; 本、雑誌 &gt; アート、エンターテインメント &gt; 工芸 &gt; 解説、評論</t>
  </si>
  <si>
    <t>オークション &gt; 本、雑誌 &gt; アート、エンターテインメント &gt; 工芸 &gt; 技法書</t>
  </si>
  <si>
    <t>第1弾「騎士王降臨（きしおうこうりん）」</t>
  </si>
  <si>
    <t>オークション &gt; おもちゃ、ゲーム &gt; ゲーム &gt; トレーディングカードゲーム &gt; カードファイト!!　ヴァンガード &gt; 第1弾「騎士王降臨（きしおうこうりん）」</t>
  </si>
  <si>
    <t>作品集</t>
  </si>
  <si>
    <t>第2弾「竜魂乱舞（りゅうこんらんぶ）」</t>
  </si>
  <si>
    <t>オークション &gt; 本、雑誌 &gt; アート、エンターテインメント &gt; 工芸 &gt; 作品集</t>
  </si>
  <si>
    <t>オークション &gt; おもちゃ、ゲーム &gt; ゲーム &gt; トレーディングカードゲーム &gt; カードファイト!!　ヴァンガード &gt; 第2弾「竜魂乱舞（りゅうこんらんぶ）」</t>
  </si>
  <si>
    <t>第3弾「魔侯襲来（まこうしゅうらい）」</t>
  </si>
  <si>
    <t>オークション &gt; おもちゃ、ゲーム &gt; ゲーム &gt; トレーディングカードゲーム &gt; カードファイト!!　ヴァンガード &gt; 第3弾「魔侯襲来（まこうしゅうらい）」</t>
  </si>
  <si>
    <t>図録</t>
  </si>
  <si>
    <t>第4弾「虚影神蝕（きょえいしんしょく）」</t>
  </si>
  <si>
    <t>オークション &gt; おもちゃ、ゲーム &gt; ゲーム &gt; トレーディングカードゲーム &gt; カードファイト!!　ヴァンガード &gt; 第4弾「虚影神蝕（きょえいしんしょく）」</t>
  </si>
  <si>
    <t>オークション &gt; 本、雑誌 &gt; アート、エンターテインメント &gt; 工芸 &gt; 図録</t>
  </si>
  <si>
    <t>第5弾「双剣覚醒（そうけんかくせい）」</t>
  </si>
  <si>
    <t>オークション &gt; おもちゃ、ゲーム &gt; ゲーム &gt; トレーディングカードゲーム &gt; カードファイト!!　ヴァンガード &gt; 第5弾「双剣覚醒（そうけんかくせい）」</t>
  </si>
  <si>
    <t>第6弾「極限突破（きょくげんとっぱ）」</t>
  </si>
  <si>
    <t>全集、カタログレゾネ</t>
  </si>
  <si>
    <t>オークション &gt; おもちゃ、ゲーム &gt; ゲーム &gt; トレーディングカードゲーム &gt; カードファイト!!　ヴァンガード &gt; 第6弾「極限突破（きょくげんとっぱ）」</t>
  </si>
  <si>
    <t>オークション &gt; 本、雑誌 &gt; アート、エンターテインメント &gt; 工芸 &gt; 全集、カタログレゾネ</t>
  </si>
  <si>
    <t>第7弾「獣王爆進（じゅうおうばくしん）」</t>
  </si>
  <si>
    <t>オークション &gt; おもちゃ、ゲーム &gt; ゲーム &gt; トレーディングカードゲーム &gt; カードファイト!!　ヴァンガード &gt; 第7弾「獣王爆進（じゅうおうばくしん）」</t>
  </si>
  <si>
    <t>第8弾「蒼嵐艦隊（そうらんかんたい）」</t>
  </si>
  <si>
    <t>オークション &gt; おもちゃ、ゲーム &gt; ゲーム &gt; トレーディングカードゲーム &gt; カードファイト!!　ヴァンガード &gt; 第8弾「蒼嵐艦隊（そうらんかんたい）」</t>
  </si>
  <si>
    <t>オークション &gt; 本、雑誌 &gt; アート、エンターテインメント &gt; 工芸 &gt; その他</t>
  </si>
  <si>
    <t>オークション &gt; おもちゃ、ゲーム &gt; ゲーム &gt; トレーディングカードゲーム &gt; カードファイト!!　ヴァンガード &gt; その他</t>
  </si>
  <si>
    <t>シングル</t>
  </si>
  <si>
    <t>オークション &gt; おもちゃ、ゲーム &gt; ゲーム &gt; トレーディングカードゲーム &gt; ガンダムウォー &gt; シングル</t>
  </si>
  <si>
    <t>ボックス</t>
  </si>
  <si>
    <t>女性タレント</t>
  </si>
  <si>
    <t>オークション &gt; おもちゃ、ゲーム &gt; ゲーム &gt; トレーディングカードゲーム &gt; ガンダムウォー &gt; ボックス</t>
  </si>
  <si>
    <t>オークション &gt; 本、雑誌 &gt; アート、エンターテインメント &gt; 写真集 &gt; 女性タレント</t>
  </si>
  <si>
    <t>OGクルセイド</t>
  </si>
  <si>
    <t>オークション &gt; おもちゃ、ゲーム &gt; ゲーム &gt; トレーディングカードゲーム &gt; クルセイド &gt; OGクルセイド</t>
  </si>
  <si>
    <t>サンライズクルセイド</t>
  </si>
  <si>
    <t>オークション &gt; おもちゃ、ゲーム &gt; ゲーム &gt; トレーディングカードゲーム &gt; クルセイド &gt; サンライズクルセイド</t>
  </si>
  <si>
    <t>男性タレント</t>
  </si>
  <si>
    <t>マクロスクルセイド</t>
  </si>
  <si>
    <t>オークション &gt; 本、雑誌 &gt; アート、エンターテインメント &gt; 写真集 &gt; 男性タレント</t>
  </si>
  <si>
    <t>オークション &gt; おもちゃ、ゲーム &gt; ゲーム &gt; トレーディングカードゲーム &gt; クルセイド &gt; マクロスクルセイド</t>
  </si>
  <si>
    <t>オークション &gt; おもちゃ、ゲーム &gt; ゲーム &gt; トレーディングカードゲーム &gt; クルセイド &gt; その他</t>
  </si>
  <si>
    <t>ノーマル</t>
  </si>
  <si>
    <t>オークション &gt; おもちゃ、ゲーム &gt; ゲーム &gt; トレーディングカードゲーム &gt; 仮面ライダーバトル ガンバライド &gt; ノーマル</t>
  </si>
  <si>
    <t>オークション &gt; 本、雑誌 &gt; アート、エンターテインメント &gt; 写真集 &gt; アート写真</t>
  </si>
  <si>
    <t>レア</t>
  </si>
  <si>
    <t>オークション &gt; おもちゃ、ゲーム &gt; ゲーム &gt; トレーディングカードゲーム &gt; 仮面ライダーバトル ガンバライド &gt; レア</t>
  </si>
  <si>
    <t>スーパーレア</t>
  </si>
  <si>
    <t>オークション &gt; おもちゃ、ゲーム &gt; ゲーム &gt; トレーディングカードゲーム &gt; 仮面ライダーバトル ガンバライド &gt; スーパーレア</t>
  </si>
  <si>
    <t>スポーツ選手</t>
  </si>
  <si>
    <t>スペシャル</t>
  </si>
  <si>
    <t>オークション &gt; 本、雑誌 &gt; アート、エンターテインメント &gt; 写真集 &gt; スポーツ選手</t>
  </si>
  <si>
    <t>オークション &gt; おもちゃ、ゲーム &gt; ゲーム &gt; トレーディングカードゲーム &gt; 仮面ライダーバトル ガンバライド &gt; スペシャル</t>
  </si>
  <si>
    <t>レジェンドレア</t>
  </si>
  <si>
    <t>オークション &gt; おもちゃ、ゲーム &gt; ゲーム &gt; トレーディングカードゲーム &gt; 仮面ライダーバトル ガンバライド &gt; レジェンドレア</t>
  </si>
  <si>
    <t>ドキュメント</t>
  </si>
  <si>
    <t>オークション &gt; おもちゃ、ゲーム &gt; ゲーム &gt; トレーディングカードゲーム &gt; 仮面ライダーバトル ガンバライド &gt; その他</t>
  </si>
  <si>
    <t>オークション &gt; 本、雑誌 &gt; アート、エンターテインメント &gt; 写真集 &gt; ドキュメント</t>
  </si>
  <si>
    <t>第1弾</t>
  </si>
  <si>
    <t>オークション &gt; おもちゃ、ゲーム &gt; ゲーム &gt; トレーディングカードゲーム &gt; スーパー戦隊バトル ダイスオー &gt; 第1弾</t>
  </si>
  <si>
    <t>第2弾</t>
  </si>
  <si>
    <t>オークション &gt; おもちゃ、ゲーム &gt; ゲーム &gt; トレーディングカードゲーム &gt; スーパー戦隊バトル ダイスオー &gt; 第2弾</t>
  </si>
  <si>
    <t>第3弾</t>
  </si>
  <si>
    <t>オークション &gt; 本、雑誌 &gt; アート、エンターテインメント &gt; 写真集 &gt; ミュージシャン</t>
  </si>
  <si>
    <t>オークション &gt; おもちゃ、ゲーム &gt; ゲーム &gt; トレーディングカードゲーム &gt; スーパー戦隊バトル ダイスオー &gt; 第3弾</t>
  </si>
  <si>
    <t>オークション &gt; おもちゃ、ゲーム &gt; ゲーム &gt; トレーディングカードゲーム &gt; スーパー戦隊バトル ダイスオー &gt; その他</t>
  </si>
  <si>
    <t>自然、風景</t>
  </si>
  <si>
    <t>オークション &gt; 本、雑誌 &gt; アート、エンターテインメント &gt; 写真集 &gt; 自然、風景</t>
  </si>
  <si>
    <t>スペシャルカード</t>
  </si>
  <si>
    <t>オークション &gt; おもちゃ、ゲーム &gt; ゲーム &gt; トレーディングカードゲーム &gt; WCCF &gt; スペシャルカード</t>
  </si>
  <si>
    <t>レアカード</t>
  </si>
  <si>
    <t>静物</t>
  </si>
  <si>
    <t>オークション &gt; おもちゃ、ゲーム &gt; ゲーム &gt; トレーディングカードゲーム &gt; WCCF &gt; レアカード</t>
  </si>
  <si>
    <t>オークション &gt; 本、雑誌 &gt; アート、エンターテインメント &gt; 写真集 &gt; 静物</t>
  </si>
  <si>
    <t>レギュラーカード</t>
  </si>
  <si>
    <t>オークション &gt; おもちゃ、ゲーム &gt; ゲーム &gt; トレーディングカードゲーム &gt; WCCF &gt; レギュラーカード</t>
  </si>
  <si>
    <t>オークション &gt; 本、雑誌 &gt; アート、エンターテインメント &gt; 精神世界 &gt; ヒーリング</t>
  </si>
  <si>
    <t>クリーチャー</t>
  </si>
  <si>
    <t>オークション &gt; おもちゃ、ゲーム &gt; ゲーム &gt; トレーディングカードゲーム &gt; デュエルマスターズ &gt; クリーチャー</t>
  </si>
  <si>
    <t>呪文</t>
  </si>
  <si>
    <t>死生観</t>
  </si>
  <si>
    <t>オークション &gt; おもちゃ、ゲーム &gt; ゲーム &gt; トレーディングカードゲーム &gt; デュエルマスターズ &gt; 呪文</t>
  </si>
  <si>
    <t>オークション &gt; 本、雑誌 &gt; アート、エンターテインメント &gt; 精神世界 &gt; 死生観</t>
  </si>
  <si>
    <t>オークション &gt; おもちゃ、ゲーム &gt; ゲーム &gt; トレーディングカードゲーム &gt; デュエルマスターズ &gt; その他</t>
  </si>
  <si>
    <t>精神世界全般</t>
  </si>
  <si>
    <t>オークション &gt; 本、雑誌 &gt; アート、エンターテインメント &gt; 精神世界 &gt; 精神世界全般</t>
  </si>
  <si>
    <t>モンスターバトルロードI</t>
  </si>
  <si>
    <t>オークション &gt; おもちゃ、ゲーム &gt; ゲーム &gt; トレーディングカードゲーム &gt; ドラゴンクエスト &gt; モンスターバトルロードI</t>
  </si>
  <si>
    <t>モンスターバトルロードII</t>
  </si>
  <si>
    <t>オークション &gt; 本、雑誌 &gt; アート、エンターテインメント &gt; 版画、彫刻 &gt; 解説、評論</t>
  </si>
  <si>
    <t>オークション &gt; おもちゃ、ゲーム &gt; ゲーム &gt; トレーディングカードゲーム &gt; ドラゴンクエスト &gt; モンスターバトルロードII</t>
  </si>
  <si>
    <t>ドラゴンボールヒーローズ</t>
  </si>
  <si>
    <t>オークション &gt; おもちゃ、ゲーム &gt; ゲーム &gt; トレーディングカードゲーム &gt; ドラゴンボール &gt; ドラゴンボールヒーローズ</t>
  </si>
  <si>
    <t>オークション &gt; 本、雑誌 &gt; アート、エンターテインメント &gt; 版画、彫刻 &gt; 技法書</t>
  </si>
  <si>
    <t>ドラゴンボールカードダス</t>
  </si>
  <si>
    <t>オークション &gt; おもちゃ、ゲーム &gt; ゲーム &gt; トレーディングカードゲーム &gt; ドラゴンボール &gt; ドラゴンボールカードダス</t>
  </si>
  <si>
    <t>ドラゴンボール改 ドラゴンバトラーズ</t>
  </si>
  <si>
    <t>オークション &gt; おもちゃ、ゲーム &gt; ゲーム &gt; トレーディングカードゲーム &gt; ドラゴンボール &gt; ドラゴンボール改 ドラゴンバトラーズ</t>
  </si>
  <si>
    <t>オークション &gt; 本、雑誌 &gt; アート、エンターテインメント &gt; 版画、彫刻 &gt; 作品集</t>
  </si>
  <si>
    <t>ミラクルバトルカードダス</t>
  </si>
  <si>
    <t>オークション &gt; おもちゃ、ゲーム &gt; ゲーム &gt; トレーディングカードゲーム &gt; ドラゴンボール &gt; ミラクルバトルカードダス</t>
  </si>
  <si>
    <t>ビジネス教養</t>
  </si>
  <si>
    <t>オークション &gt; 本、雑誌 &gt; ビジネス、経済 &gt; ビジネス &gt; ビジネス教養</t>
  </si>
  <si>
    <t>オークション &gt; おもちゃ、ゲーム &gt; ゲーム &gt; トレーディングカードゲーム &gt; ドラゴンボール &gt; その他</t>
  </si>
  <si>
    <t>マネープラン</t>
  </si>
  <si>
    <t>オークション &gt; 本、雑誌 &gt; ビジネス、経済 &gt; ビジネス &gt; マネープラン</t>
  </si>
  <si>
    <t>セット、まとめ売り</t>
  </si>
  <si>
    <t>オークション &gt; おもちゃ、ゲーム &gt; ゲーム &gt; トレーディングカードゲーム &gt; バトルスピリッツ &gt; セット、まとめ売り</t>
  </si>
  <si>
    <t>黄金の大地</t>
  </si>
  <si>
    <t>企業法務</t>
  </si>
  <si>
    <t>オークション &gt; おもちゃ、ゲーム &gt; ゲーム &gt; トレーディングカードゲーム &gt; バトルスピリッツ &gt; 黄金の大地</t>
  </si>
  <si>
    <t>オークション &gt; 本、雑誌 &gt; ビジネス、経済 &gt; ビジネス &gt; 企業法務</t>
  </si>
  <si>
    <t>剣舞う世界</t>
  </si>
  <si>
    <t>オークション &gt; おもちゃ、ゲーム &gt; ゲーム &gt; トレーディングカードゲーム &gt; バトルスピリッツ &gt; 剣舞う世界</t>
  </si>
  <si>
    <t>覇王大決戦</t>
  </si>
  <si>
    <t>オークション &gt; 本、雑誌 &gt; ビジネス、経済 &gt; ビジネス &gt; 経営学</t>
  </si>
  <si>
    <t>オークション &gt; おもちゃ、ゲーム &gt; ゲーム &gt; トレーディングカードゲーム &gt; バトルスピリッツ &gt; 覇王大決戦</t>
  </si>
  <si>
    <t>爆裂の覇道</t>
  </si>
  <si>
    <t>オークション &gt; おもちゃ、ゲーム &gt; ゲーム &gt; トレーディングカードゲーム &gt; バトルスピリッツ &gt; 爆裂の覇道</t>
  </si>
  <si>
    <t>広告、セールス</t>
  </si>
  <si>
    <t>オークション &gt; 本、雑誌 &gt; ビジネス、経済 &gt; ビジネス &gt; 広告、セールス</t>
  </si>
  <si>
    <t>オークション &gt; おもちゃ、ゲーム &gt; ゲーム &gt; トレーディングカードゲーム &gt; バトルスピリッツ &gt; その他</t>
  </si>
  <si>
    <t>ハートキャッチ ドリームダンス</t>
  </si>
  <si>
    <t>財務、会計</t>
  </si>
  <si>
    <t>オークション &gt; おもちゃ、ゲーム &gt; ゲーム &gt; トレーディングカードゲーム &gt; プリキュア &gt; ハートキャッチ ドリームダンス</t>
  </si>
  <si>
    <t>オークション &gt; 本、雑誌 &gt; ビジネス、経済 &gt; ビジネス &gt; 財務、会計</t>
  </si>
  <si>
    <t>プリキュアオールスターズ</t>
  </si>
  <si>
    <t>オークション &gt; おもちゃ、ゲーム &gt; ゲーム &gt; トレーディングカードゲーム &gt; プリキュア &gt; プリキュアオールスターズ</t>
  </si>
  <si>
    <t>仕事の技術</t>
  </si>
  <si>
    <t>オークション &gt; 本、雑誌 &gt; ビジネス、経済 &gt; ビジネス &gt; 仕事の技術</t>
  </si>
  <si>
    <t>オークション &gt; おもちゃ、ゲーム &gt; ゲーム &gt; トレーディングカードゲーム &gt; プリキュア &gt; その他</t>
  </si>
  <si>
    <t>オリックス・バファローズ</t>
  </si>
  <si>
    <t>オークション &gt; おもちゃ、ゲーム &gt; ゲーム &gt; トレーディングカードゲーム &gt; プロ野球オーナーズリーグ &gt; オリックス・バファローズ</t>
  </si>
  <si>
    <t>自己啓発</t>
  </si>
  <si>
    <t>オークション &gt; 本、雑誌 &gt; ビジネス、経済 &gt; ビジネス &gt; 自己啓発</t>
  </si>
  <si>
    <t>横浜DeNAベイスターズ</t>
  </si>
  <si>
    <t>オークション &gt; おもちゃ、ゲーム &gt; ゲーム &gt; トレーディングカードゲーム &gt; プロ野球オーナーズリーグ &gt; 横浜DeNAベイスターズ</t>
  </si>
  <si>
    <t>独立、開業</t>
  </si>
  <si>
    <t>広島東洋カープ</t>
  </si>
  <si>
    <t>オークション &gt; 本、雑誌 &gt; ビジネス、経済 &gt; ビジネス &gt; 独立、開業</t>
  </si>
  <si>
    <t>オークション &gt; おもちゃ、ゲーム &gt; ゲーム &gt; トレーディングカードゲーム &gt; プロ野球オーナーズリーグ &gt; 広島東洋カープ</t>
  </si>
  <si>
    <t>阪神タイガース</t>
  </si>
  <si>
    <t>オークション &gt; おもちゃ、ゲーム &gt; ゲーム &gt; トレーディングカードゲーム &gt; プロ野球オーナーズリーグ &gt; 阪神タイガース</t>
  </si>
  <si>
    <t>流通</t>
  </si>
  <si>
    <t>埼玉西武ライオンズ</t>
  </si>
  <si>
    <t>オークション &gt; 本、雑誌 &gt; ビジネス、経済 &gt; ビジネス &gt; 流通</t>
  </si>
  <si>
    <t>オークション &gt; おもちゃ、ゲーム &gt; ゲーム &gt; トレーディングカードゲーム &gt; プロ野球オーナーズリーグ &gt; 埼玉西武ライオンズ</t>
  </si>
  <si>
    <t>千葉ロッテマリーンズ</t>
  </si>
  <si>
    <t>インテリアコーディネーター</t>
  </si>
  <si>
    <t>オークション &gt; おもちゃ、ゲーム &gt; ゲーム &gt; トレーディングカードゲーム &gt; プロ野球オーナーズリーグ &gt; 千葉ロッテマリーンズ</t>
  </si>
  <si>
    <t>オークション &gt; 本、雑誌 &gt; ビジネス、経済 &gt; 資格試験 &gt; インテリアコーディネーター</t>
  </si>
  <si>
    <t>中日ドラゴンズ</t>
  </si>
  <si>
    <t>オークション &gt; おもちゃ、ゲーム &gt; ゲーム &gt; トレーディングカードゲーム &gt; プロ野球オーナーズリーグ &gt; 中日ドラゴンズ</t>
  </si>
  <si>
    <t>カラーコーディネーター、色彩検定</t>
  </si>
  <si>
    <t>オークション &gt; 本、雑誌 &gt; ビジネス、経済 &gt; 資格試験 &gt; カラーコーディネーター、色彩検定</t>
  </si>
  <si>
    <t>東京ヤクルトスワローズ</t>
  </si>
  <si>
    <t>オークション &gt; おもちゃ、ゲーム &gt; ゲーム &gt; トレーディングカードゲーム &gt; プロ野球オーナーズリーグ &gt; 東京ヤクルトスワローズ</t>
  </si>
  <si>
    <t>東北楽天ゴールデンイーグルス</t>
  </si>
  <si>
    <t>オークション &gt; おもちゃ、ゲーム &gt; ゲーム &gt; トレーディングカードゲーム &gt; プロ野球オーナーズリーグ &gt; 東北楽天ゴールデンイーグルス</t>
  </si>
  <si>
    <t>オークション &gt; 本、雑誌 &gt; ビジネス、経済 &gt; 資格試験 &gt; コンピュータ資格試験</t>
  </si>
  <si>
    <t>読売ジャイアンツ</t>
  </si>
  <si>
    <t>オークション &gt; おもちゃ、ゲーム &gt; ゲーム &gt; トレーディングカードゲーム &gt; プロ野球オーナーズリーグ &gt; 読売ジャイアンツ</t>
  </si>
  <si>
    <t>スチュワーデス試験</t>
  </si>
  <si>
    <t>オークション &gt; 本、雑誌 &gt; ビジネス、経済 &gt; 資格試験 &gt; スチュワーデス試験</t>
  </si>
  <si>
    <t>福岡ソフトバンクホークス</t>
  </si>
  <si>
    <t>オークション &gt; おもちゃ、ゲーム &gt; ゲーム &gt; トレーディングカードゲーム &gt; プロ野球オーナーズリーグ &gt; 福岡ソフトバンクホークス</t>
  </si>
  <si>
    <t>ワープロ検定</t>
  </si>
  <si>
    <t>北海道日本ハムファイターズ</t>
  </si>
  <si>
    <t>オークション &gt; 本、雑誌 &gt; ビジネス、経済 &gt; 資格試験 &gt; ワープロ検定</t>
  </si>
  <si>
    <t>オークション &gt; おもちゃ、ゲーム &gt; ゲーム &gt; トレーディングカードゲーム &gt; プロ野球オーナーズリーグ &gt; 北海道日本ハムファイターズ</t>
  </si>
  <si>
    <t>オークション &gt; おもちゃ、ゲーム &gt; ゲーム &gt; トレーディングカードゲーム &gt; プロ野球オーナーズリーグ &gt; その他</t>
  </si>
  <si>
    <t>BBH1</t>
  </si>
  <si>
    <t>オークション &gt; おもちゃ、ゲーム &gt; ゲーム &gt; トレーディングカードゲーム &gt; ベースボールヒーローズ &gt; BBH1</t>
  </si>
  <si>
    <t>オークション &gt; 本、雑誌 &gt; ビジネス、経済 &gt; 資格試験 &gt; 医療関連資格</t>
  </si>
  <si>
    <t>BBH2</t>
  </si>
  <si>
    <t>オークション &gt; おもちゃ、ゲーム &gt; ゲーム &gt; トレーディングカードゲーム &gt; ベースボールヒーローズ &gt; BBH2</t>
  </si>
  <si>
    <t>漢字検定</t>
  </si>
  <si>
    <t>BBH3</t>
  </si>
  <si>
    <t>オークション &gt; 本、雑誌 &gt; ビジネス、経済 &gt; 資格試験 &gt; 漢字検定</t>
  </si>
  <si>
    <t>オークション &gt; おもちゃ、ゲーム &gt; ゲーム &gt; トレーディングカードゲーム &gt; ベースボールヒーローズ &gt; BBH3</t>
  </si>
  <si>
    <t>2008制覇</t>
  </si>
  <si>
    <t>危険物取扱者試験</t>
  </si>
  <si>
    <t>オークション &gt; おもちゃ、ゲーム &gt; ゲーム &gt; トレーディングカードゲーム &gt; ベースボールヒーローズ &gt; 2008制覇</t>
  </si>
  <si>
    <t>オークション &gt; 本、雑誌 &gt; ビジネス、経済 &gt; 資格試験 &gt; 危険物取扱者試験</t>
  </si>
  <si>
    <t>2009覇者</t>
  </si>
  <si>
    <t>教員試験</t>
  </si>
  <si>
    <t>オークション &gt; おもちゃ、ゲーム &gt; ゲーム &gt; トレーディングカードゲーム &gt; ベースボールヒーローズ &gt; 2009覇者</t>
  </si>
  <si>
    <t>オークション &gt; 本、雑誌 &gt; ビジネス、経済 &gt; 資格試験 &gt; 教員試験</t>
  </si>
  <si>
    <t>BBH2010</t>
  </si>
  <si>
    <t>オークション &gt; おもちゃ、ゲーム &gt; ゲーム &gt; トレーディングカードゲーム &gt; ベースボールヒーローズ &gt; BBH2010</t>
  </si>
  <si>
    <t>金融資格</t>
  </si>
  <si>
    <t>BBH2011</t>
  </si>
  <si>
    <t>オークション &gt; 本、雑誌 &gt; ビジネス、経済 &gt; 資格試験 &gt; 金融資格</t>
  </si>
  <si>
    <t>オークション &gt; おもちゃ、ゲーム &gt; ゲーム &gt; トレーディングカードゲーム &gt; ベースボールヒーローズ &gt; BBH2011</t>
  </si>
  <si>
    <t>BBH2012</t>
  </si>
  <si>
    <t>オークション &gt; おもちゃ、ゲーム &gt; ゲーム &gt; トレーディングカードゲーム &gt; ベースボールヒーローズ &gt; BBH2012</t>
  </si>
  <si>
    <t>警察官試験</t>
  </si>
  <si>
    <t>オークション &gt; 本、雑誌 &gt; ビジネス、経済 &gt; 資格試験 &gt; 警察官試験</t>
  </si>
  <si>
    <t>オークション &gt; おもちゃ、ゲーム &gt; ゲーム &gt; トレーディングカードゲーム &gt; ベースボールヒーローズ &gt; その他</t>
  </si>
  <si>
    <t>オークション &gt; 本、雑誌 &gt; ビジネス、経済 &gt; 資格試験 &gt; 語学検定</t>
  </si>
  <si>
    <t>オークション &gt; おもちゃ、ゲーム &gt; ゲーム &gt; トレーディングカードゲーム &gt; ポケモンカードゲーム &gt; セット、まとめ売り</t>
  </si>
  <si>
    <t>ポケモンカードゲームLEGEND</t>
  </si>
  <si>
    <t>公認会計士</t>
  </si>
  <si>
    <t>オークション &gt; おもちゃ、ゲーム &gt; ゲーム &gt; トレーディングカードゲーム &gt; ポケモンカードゲーム &gt; ポケモンカードゲームLEGEND</t>
  </si>
  <si>
    <t>オークション &gt; 本、雑誌 &gt; ビジネス、経済 &gt; 資格試験 &gt; 公認会計士</t>
  </si>
  <si>
    <t>ポケモンカードゲームBW</t>
  </si>
  <si>
    <t>オークション &gt; おもちゃ、ゲーム &gt; ゲーム &gt; トレーディングカードゲーム &gt; ポケモンカードゲーム &gt; ポケモンカードゲームBW</t>
  </si>
  <si>
    <t>公務員試験</t>
  </si>
  <si>
    <t>ポケモンカードゲームDP</t>
  </si>
  <si>
    <t>オークション &gt; 本、雑誌 &gt; ビジネス、経済 &gt; 資格試験 &gt; 公務員試験</t>
  </si>
  <si>
    <t>オークション &gt; おもちゃ、ゲーム &gt; ゲーム &gt; トレーディングカードゲーム &gt; ポケモンカードゲーム &gt; ポケモンカードゲームDP</t>
  </si>
  <si>
    <t>ポケモンカードゲームDpt</t>
  </si>
  <si>
    <t>オークション &gt; おもちゃ、ゲーム &gt; ゲーム &gt; トレーディングカードゲーム &gt; ポケモンカードゲーム &gt; ポケモンカードゲームDpt</t>
  </si>
  <si>
    <t>司法資格</t>
  </si>
  <si>
    <t>オークション &gt; 本、雑誌 &gt; ビジネス、経済 &gt; 資格試験 &gt; 司法資格</t>
  </si>
  <si>
    <t>オークション &gt; おもちゃ、ゲーム &gt; ゲーム &gt; トレーディングカードゲーム &gt; ポケモンカードゲーム &gt; その他</t>
  </si>
  <si>
    <t>ノーマルパック</t>
  </si>
  <si>
    <t>オークション &gt; おもちゃ、ゲーム &gt; ゲーム &gt; トレーディングカードゲーム &gt; ポケモンバトリオ &gt; ノーマルパック</t>
  </si>
  <si>
    <t>資格ガイダンス</t>
  </si>
  <si>
    <t>スーパーパック</t>
  </si>
  <si>
    <t>オークション &gt; 本、雑誌 &gt; ビジネス、経済 &gt; 資格試験 &gt; 資格ガイダンス</t>
  </si>
  <si>
    <t>オークション &gt; おもちゃ、ゲーム &gt; ゲーム &gt; トレーディングカードゲーム &gt; ポケモンバトリオ &gt; スーパーパック</t>
  </si>
  <si>
    <t>ハイパーパック</t>
  </si>
  <si>
    <t>オークション &gt; おもちゃ、ゲーム &gt; ゲーム &gt; トレーディングカードゲーム &gt; ポケモンバトリオ &gt; ハイパーパック</t>
  </si>
  <si>
    <t>自動車免許</t>
  </si>
  <si>
    <t>オークション &gt; 本、雑誌 &gt; ビジネス、経済 &gt; 資格試験 &gt; 自動車免許</t>
  </si>
  <si>
    <t>マスターパック</t>
  </si>
  <si>
    <t>オークション &gt; おもちゃ、ゲーム &gt; ゲーム &gt; トレーディングカードゲーム &gt; ポケモンバトリオ &gt; マスターパック</t>
  </si>
  <si>
    <t>社会保険労務士</t>
  </si>
  <si>
    <t>オークション &gt; おもちゃ、ゲーム &gt; ゲーム &gt; トレーディングカードゲーム &gt; ポケモンバトリオ &gt; その他</t>
  </si>
  <si>
    <t>オークション &gt; 本、雑誌 &gt; ビジネス、経済 &gt; 資格試験 &gt; 社会保険労務士</t>
  </si>
  <si>
    <t>オークション &gt; おもちゃ、ゲーム &gt; ゲーム &gt; トレーディングカードゲーム &gt; Magic: The Gathering &gt; セット、まとめ売り</t>
  </si>
  <si>
    <t>消防関係試験</t>
  </si>
  <si>
    <t>Foilカード</t>
  </si>
  <si>
    <t>オークション &gt; 本、雑誌 &gt; ビジネス、経済 &gt; 資格試験 &gt; 消防関係試験</t>
  </si>
  <si>
    <t>オークション &gt; おもちゃ、ゲーム &gt; ゲーム &gt; トレーディングカードゲーム &gt; Magic: The Gathering &gt; Foilカード</t>
  </si>
  <si>
    <t>シングルカード</t>
  </si>
  <si>
    <t>税務関係資格</t>
  </si>
  <si>
    <t>オークション &gt; おもちゃ、ゲーム &gt; ゲーム &gt; トレーディングカードゲーム &gt; Magic: The Gathering &gt; シングルカード</t>
  </si>
  <si>
    <t>オークション &gt; 本、雑誌 &gt; ビジネス、経済 &gt; 資格試験 &gt; 税務関係資格</t>
  </si>
  <si>
    <t>オークション &gt; おもちゃ、ゲーム &gt; ゲーム &gt; トレーディングカードゲーム &gt; Magic: The Gathering &gt; ボックス</t>
  </si>
  <si>
    <t>宅建</t>
  </si>
  <si>
    <t>オークション &gt; おもちゃ、ゲーム &gt; ゲーム &gt; トレーディングカードゲーム &gt; 遊戯王（コナミ） &gt; セット、まとめ売り</t>
  </si>
  <si>
    <t>オークション &gt; 本、雑誌 &gt; ビジネス、経済 &gt; 資格試験 &gt; 宅建</t>
  </si>
  <si>
    <t>DUEL TERMINAL</t>
  </si>
  <si>
    <t>オークション &gt; おもちゃ、ゲーム &gt; ゲーム &gt; トレーディングカードゲーム &gt; 遊戯王（コナミ） &gt; DUEL TERMINAL</t>
  </si>
  <si>
    <t>中小企業診断士</t>
  </si>
  <si>
    <t>オークション &gt; 本、雑誌 &gt; ビジネス、経済 &gt; 資格試験 &gt; 中小企業診断士</t>
  </si>
  <si>
    <t>デュエリストパック</t>
  </si>
  <si>
    <t>オークション &gt; おもちゃ、ゲーム &gt; ゲーム &gt; トレーディングカードゲーム &gt; 遊戯王（コナミ） &gt; デュエリストパック</t>
  </si>
  <si>
    <t>ストラクチャーデッキ</t>
  </si>
  <si>
    <t>オークション &gt; おもちゃ、ゲーム &gt; ゲーム &gt; トレーディングカードゲーム &gt; 遊戯王（コナミ） &gt; ストラクチャーデッキ</t>
  </si>
  <si>
    <t>調理師試験</t>
  </si>
  <si>
    <t>ファイブディーズシリーズ</t>
  </si>
  <si>
    <t>オークション &gt; 本、雑誌 &gt; ビジネス、経済 &gt; 資格試験 &gt; 調理師試験</t>
  </si>
  <si>
    <t>オークション &gt; おもちゃ、ゲーム &gt; ゲーム &gt; トレーディングカードゲーム &gt; 遊戯王（コナミ） &gt; ファイブディーズシリーズ</t>
  </si>
  <si>
    <t>デュエルモンスターズシリーズ</t>
  </si>
  <si>
    <t>オークション &gt; おもちゃ、ゲーム &gt; ゲーム &gt; トレーディングカードゲーム &gt; 遊戯王（コナミ） &gt; デュエルモンスターズシリーズ</t>
  </si>
  <si>
    <t>土地家屋調査士</t>
  </si>
  <si>
    <t>オークション &gt; 本、雑誌 &gt; ビジネス、経済 &gt; 資格試験 &gt; 土地家屋調査士</t>
  </si>
  <si>
    <t>エクシーズ</t>
  </si>
  <si>
    <t>オークション &gt; おもちゃ、ゲーム &gt; ゲーム &gt; トレーディングカードゲーム &gt; 遊戯王（コナミ） &gt; エクシーズ</t>
  </si>
  <si>
    <t>秘書検定</t>
  </si>
  <si>
    <t>海外版</t>
  </si>
  <si>
    <t>オークション &gt; 本、雑誌 &gt; ビジネス、経済 &gt; 資格試験 &gt; 秘書検定</t>
  </si>
  <si>
    <t>オークション &gt; おもちゃ、ゲーム &gt; ゲーム &gt; トレーディングカードゲーム &gt; 遊戯王（コナミ） &gt; 海外版</t>
  </si>
  <si>
    <t>限定品、非売品</t>
  </si>
  <si>
    <t>オークション &gt; おもちゃ、ゲーム &gt; ゲーム &gt; トレーディングカードゲーム &gt; 遊戯王（コナミ） &gt; 限定品、非売品</t>
  </si>
  <si>
    <t>美容師試験</t>
  </si>
  <si>
    <t>オークション &gt; 本、雑誌 &gt; ビジネス、経済 &gt; 資格試験 &gt; 美容師試験</t>
  </si>
  <si>
    <t>オークション &gt; おもちゃ、ゲーム &gt; ゲーム &gt; トレーディングカードゲーム &gt; 遊戯王（コナミ） &gt; その他</t>
  </si>
  <si>
    <t>トレーディングカードゲーム</t>
  </si>
  <si>
    <t>不動産鑑定士</t>
  </si>
  <si>
    <t>オークション &gt; アンティーク、コレクション &gt; トレーディングカード &gt; トレーディングカードゲーム</t>
  </si>
  <si>
    <t>オークション &gt; 本、雑誌 &gt; ビジネス、経済 &gt; 資格試験 &gt; 不動産鑑定士</t>
  </si>
  <si>
    <t>オークション &gt; アンティーク、コレクション &gt; トレーディングカード &gt; コミック、アニメーション</t>
  </si>
  <si>
    <t>福祉資格</t>
  </si>
  <si>
    <t>オークション &gt; 本、雑誌 &gt; ビジネス、経済 &gt; 資格試験 &gt; 福祉資格</t>
  </si>
  <si>
    <t>オークション &gt; アンティーク、コレクション &gt; トレーディングカード &gt; スポーツ</t>
  </si>
  <si>
    <t>タレント</t>
  </si>
  <si>
    <t>オークション &gt; アンティーク、コレクション &gt; トレーディングカード &gt; タレント</t>
  </si>
  <si>
    <t>簿記検定</t>
  </si>
  <si>
    <t>オークション &gt; 本、雑誌 &gt; ビジネス、経済 &gt; 資格試験 &gt; 簿記検定</t>
  </si>
  <si>
    <t>オークション &gt; アンティーク、コレクション &gt; トレーディングカード &gt; テレビゲーム</t>
  </si>
  <si>
    <t>幼稚園保母試験</t>
  </si>
  <si>
    <t>オークション &gt; 本、雑誌 &gt; ビジネス、経済 &gt; 資格試験 &gt; 幼稚園保母試験</t>
  </si>
  <si>
    <t>オークション &gt; アンティーク、コレクション &gt; トレーディングカード &gt; ミュージシャン</t>
  </si>
  <si>
    <t>オークション &gt; アンティーク、コレクション &gt; トレーディングカード &gt; 競馬</t>
  </si>
  <si>
    <t>旅行取扱主任者</t>
  </si>
  <si>
    <t>オークション &gt; 本、雑誌 &gt; ビジネス、経済 &gt; 資格試験 &gt; 旅行取扱主任者</t>
  </si>
  <si>
    <t>オークション &gt; アンティーク、コレクション &gt; トレーディングカード &gt; 特撮</t>
  </si>
  <si>
    <t>オークション &gt; アンティーク、コレクション &gt; トレーディングカード &gt; その他</t>
  </si>
  <si>
    <t>オークション &gt; 本、雑誌 &gt; ビジネス、経済 &gt; 資格試験 &gt; その他</t>
  </si>
  <si>
    <t>ARカードダス</t>
  </si>
  <si>
    <t>オークション &gt; おもちゃ、ゲーム &gt; ゲーム &gt; トレーディングカードゲーム &gt; ワンピース &gt; ARカードダス</t>
  </si>
  <si>
    <t>SPI</t>
  </si>
  <si>
    <t>オークション &gt; 本、雑誌 &gt; ビジネス、経済 &gt; 就職試験 &gt; SPI</t>
  </si>
  <si>
    <t>ベリーマッチアイシー</t>
  </si>
  <si>
    <t>オークション &gt; おもちゃ、ゲーム &gt; ゲーム &gt; トレーディングカードゲーム &gt; ワンピース &gt; ベリーマッチアイシー</t>
  </si>
  <si>
    <t>フライトアテンダント試験</t>
  </si>
  <si>
    <t>ベリーマッチダブル</t>
  </si>
  <si>
    <t>オークション &gt; 本、雑誌 &gt; ビジネス、経済 &gt; 就職試験 &gt; フライトアテンダント試験</t>
  </si>
  <si>
    <t>オークション &gt; おもちゃ、ゲーム &gt; ゲーム &gt; トレーディングカードゲーム &gt; ワンピース &gt; ベリーマッチダブル</t>
  </si>
  <si>
    <t>オークション &gt; おもちゃ、ゲーム &gt; ゲーム &gt; トレーディングカードゲーム &gt; ワンピース &gt; ミラクルバトルカードダス</t>
  </si>
  <si>
    <t>一般常識</t>
  </si>
  <si>
    <t>オークション &gt; 本、雑誌 &gt; ビジネス、経済 &gt; 就職試験 &gt; 一般常識</t>
  </si>
  <si>
    <t>オークション &gt; おもちゃ、ゲーム &gt; ゲーム &gt; トレーディングカードゲーム &gt; ワンピース &gt; その他</t>
  </si>
  <si>
    <t>オークション &gt; 本、雑誌 &gt; ビジネス、経済 &gt; 就職試験 &gt; 教員試験</t>
  </si>
  <si>
    <t>業界ガイダンス</t>
  </si>
  <si>
    <t>オークション &gt; 本、雑誌 &gt; ビジネス、経済 &gt; 就職試験 &gt; 業界ガイダンス</t>
  </si>
  <si>
    <t>オークション &gt; 本、雑誌 &gt; ビジネス、経済 &gt; 就職試験 &gt; 警察官試験</t>
  </si>
  <si>
    <t>オークション &gt; 本、雑誌 &gt; ビジネス、経済 &gt; 就職試験 &gt; 公務員試験</t>
  </si>
  <si>
    <t>時事情報</t>
  </si>
  <si>
    <t>オークション &gt; 本、雑誌 &gt; ビジネス、経済 &gt; 就職試験 &gt; 時事情報</t>
  </si>
  <si>
    <t>就職ガイダンス</t>
  </si>
  <si>
    <t>オークション &gt; 本、雑誌 &gt; ビジネス、経済 &gt; 就職試験 &gt; 就職ガイダンス</t>
  </si>
  <si>
    <t>就職試験テキスト</t>
  </si>
  <si>
    <t>オークション &gt; 本、雑誌 &gt; ビジネス、経済 &gt; 就職試験 &gt; 就職試験テキスト</t>
  </si>
  <si>
    <t>小論文、作文</t>
  </si>
  <si>
    <t>オークション &gt; 本、雑誌 &gt; ビジネス、経済 &gt; 就職試験 &gt; 小論文、作文</t>
  </si>
  <si>
    <t>オークション &gt; 本、雑誌 &gt; ビジネス、経済 &gt; 就職試験 &gt; 消防関係試験</t>
  </si>
  <si>
    <t>オークション &gt; 本、雑誌 &gt; ビジネス、経済 &gt; 就職試験 &gt; 独立、開業</t>
  </si>
  <si>
    <t>面接、自己PR</t>
  </si>
  <si>
    <t>オークション &gt; 本、雑誌 &gt; ビジネス、経済 &gt; 就職試験 &gt; 面接、自己PR</t>
  </si>
  <si>
    <t>幼稚園保育士試験</t>
  </si>
  <si>
    <t>オークション &gt; 本、雑誌 &gt; ビジネス、経済 &gt; 就職試験 &gt; 幼稚園保育士試験</t>
  </si>
  <si>
    <t>履歴書の書き方</t>
  </si>
  <si>
    <t>オークション &gt; 本、雑誌 &gt; ビジネス、経済 &gt; 就職試験 &gt; 履歴書の書き方</t>
  </si>
  <si>
    <t>宗教学</t>
  </si>
  <si>
    <t>オークション &gt; 本、雑誌 &gt; 人文、社会 &gt; 宗教 &gt; 宗教学</t>
  </si>
  <si>
    <t>神道</t>
  </si>
  <si>
    <t>オークション &gt; 本、雑誌 &gt; 人文、社会 &gt; 宗教 &gt; 神道</t>
  </si>
  <si>
    <t>仏教</t>
  </si>
  <si>
    <t>オークション &gt; 本、雑誌 &gt; 人文、社会 &gt; 宗教 &gt; 仏教</t>
  </si>
  <si>
    <t>オークション &gt; 本、雑誌 &gt; 人文、社会 &gt; 宗教 &gt; キリスト教</t>
  </si>
  <si>
    <t>イスラム教</t>
  </si>
  <si>
    <t>オークション &gt; 本、雑誌 &gt; 人文、社会 &gt; 宗教 &gt; イスラム教</t>
  </si>
  <si>
    <t>オークション &gt; 本、雑誌 &gt; 人文、社会 &gt; 宗教 &gt; その他</t>
  </si>
  <si>
    <t>オークション &gt; 本、雑誌 &gt; 人文、社会 &gt; 歴史 &gt; 雑誌</t>
  </si>
  <si>
    <t>はり絵、きり絵</t>
  </si>
  <si>
    <t>時代小説、歴史小説</t>
  </si>
  <si>
    <t>オークション &gt; ホビー、カルチャー &gt; 美術品 &gt; 絵画 &gt; はり絵、きり絵</t>
  </si>
  <si>
    <t>オークション &gt; 本、雑誌 &gt; 人文、社会 &gt; 歴史 &gt; 時代小説、歴史小説</t>
  </si>
  <si>
    <t>アクリル、ガッシュ</t>
  </si>
  <si>
    <t>世界史</t>
  </si>
  <si>
    <t>オークション &gt; ホビー、カルチャー &gt; 美術品 &gt; 絵画 &gt; アクリル、ガッシュ</t>
  </si>
  <si>
    <t>オークション &gt; 本、雑誌 &gt; 人文、社会 &gt; 歴史 &gt; 世界史</t>
  </si>
  <si>
    <t>日本史</t>
  </si>
  <si>
    <t>グラフィック</t>
  </si>
  <si>
    <t>オークション &gt; ホビー、カルチャー &gt; 美術品 &gt; 絵画 &gt; グラフィック</t>
  </si>
  <si>
    <t>オークション &gt; 本、雑誌 &gt; 人文、社会 &gt; 歴史 &gt; 日本史</t>
  </si>
  <si>
    <t>パステル画、クレヨン画</t>
  </si>
  <si>
    <t>歴史一般</t>
  </si>
  <si>
    <t>オークション &gt; ホビー、カルチャー &gt; 美術品 &gt; 絵画 &gt; パステル画、クレヨン画</t>
  </si>
  <si>
    <t>オークション &gt; 本、雑誌 &gt; 人文、社会 &gt; 歴史 &gt; 歴史一般</t>
  </si>
  <si>
    <t>鉛筆画、木炭画</t>
  </si>
  <si>
    <t>オークション &gt; ホビー、カルチャー &gt; 美術品 &gt; 絵画 &gt; 鉛筆画、木炭画</t>
  </si>
  <si>
    <t>オークション &gt; アンティーク、コレクション &gt; 印刷物 &gt; カレンダー &gt; コミック、アニメーション &gt; あ行</t>
  </si>
  <si>
    <t>児童画</t>
  </si>
  <si>
    <t>オークション &gt; ホビー、カルチャー &gt; 美術品 &gt; 絵画 &gt; 児童画</t>
  </si>
  <si>
    <t>オークション &gt; アンティーク、コレクション &gt; 印刷物 &gt; カレンダー &gt; コミック、アニメーション &gt; か行</t>
  </si>
  <si>
    <t>人物画</t>
  </si>
  <si>
    <t>オークション &gt; ホビー、カルチャー &gt; 美術品 &gt; 絵画 &gt; 人物画</t>
  </si>
  <si>
    <t>オークション &gt; アンティーク、コレクション &gt; 印刷物 &gt; カレンダー &gt; コミック、アニメーション &gt; さ行</t>
  </si>
  <si>
    <t>水彩</t>
  </si>
  <si>
    <t>オークション &gt; ホビー、カルチャー &gt; 美術品 &gt; 絵画 &gt; 水彩</t>
  </si>
  <si>
    <t>オークション &gt; アンティーク、コレクション &gt; 印刷物 &gt; カレンダー &gt; コミック、アニメーション &gt; た行</t>
  </si>
  <si>
    <t>水墨画</t>
  </si>
  <si>
    <t>オークション &gt; ホビー、カルチャー &gt; 美術品 &gt; 絵画 &gt; 水墨画</t>
  </si>
  <si>
    <t>日本画</t>
  </si>
  <si>
    <t>オークション &gt; アンティーク、コレクション &gt; 印刷物 &gt; カレンダー &gt; コミック、アニメーション &gt; な行</t>
  </si>
  <si>
    <t>オークション &gt; ホビー、カルチャー &gt; 美術品 &gt; 絵画 &gt; 日本画</t>
  </si>
  <si>
    <t>浮世絵、版画</t>
  </si>
  <si>
    <t>オークション &gt; ホビー、カルチャー &gt; 美術品 &gt; 絵画 &gt; 浮世絵、版画</t>
  </si>
  <si>
    <t>オークション &gt; アンティーク、コレクション &gt; 印刷物 &gt; カレンダー &gt; コミック、アニメーション &gt; は行</t>
  </si>
  <si>
    <t>油彩</t>
  </si>
  <si>
    <t>オークション &gt; ホビー、カルチャー &gt; 美術品 &gt; 絵画 &gt; 油彩</t>
  </si>
  <si>
    <t>オークション &gt; アンティーク、コレクション &gt; 印刷物 &gt; カレンダー &gt; コミック、アニメーション &gt; ま行</t>
  </si>
  <si>
    <t>オークション &gt; ホビー、カルチャー &gt; 美術品 &gt; 絵画 &gt; その他</t>
  </si>
  <si>
    <t>オークション &gt; アンティーク、コレクション &gt; 印刷物 &gt; カレンダー &gt; コミック、アニメーション &gt; や行</t>
  </si>
  <si>
    <t>シルクスクリーン</t>
  </si>
  <si>
    <t>オークション &gt; ホビー、カルチャー &gt; 美術品 &gt; 版画 &gt; シルクスクリーン</t>
  </si>
  <si>
    <t>オークション &gt; アンティーク、コレクション &gt; 印刷物 &gt; カレンダー &gt; コミック、アニメーション &gt; ら行</t>
  </si>
  <si>
    <t>石版画、リトグラフ</t>
  </si>
  <si>
    <t>オークション &gt; ホビー、カルチャー &gt; 美術品 &gt; 版画 &gt; 石版画、リトグラフ</t>
  </si>
  <si>
    <t>銅版画、エッチング</t>
  </si>
  <si>
    <t>オークション &gt; アンティーク、コレクション &gt; 印刷物 &gt; カレンダー &gt; コミック、アニメーション &gt; わ行</t>
  </si>
  <si>
    <t>オークション &gt; ホビー、カルチャー &gt; 美術品 &gt; 版画 &gt; 銅版画、エッチング</t>
  </si>
  <si>
    <t>木版画</t>
  </si>
  <si>
    <t>オークション &gt; ホビー、カルチャー &gt; 美術品 &gt; 版画 &gt; 木版画</t>
  </si>
  <si>
    <t>オークション &gt; ホビー、カルチャー &gt; 美術品 &gt; 版画 &gt; その他</t>
  </si>
  <si>
    <t>オブジェ</t>
  </si>
  <si>
    <t>オークション &gt; ホビー、カルチャー &gt; 美術品 &gt; 彫刻、オブジェ &gt; オブジェ</t>
  </si>
  <si>
    <t>西洋彫刻</t>
  </si>
  <si>
    <t>オークション &gt; ホビー、カルチャー &gt; 美術品 &gt; 彫刻、オブジェ &gt; 西洋彫刻</t>
  </si>
  <si>
    <t>東洋彫刻</t>
  </si>
  <si>
    <t>オークション &gt; ホビー、カルチャー &gt; 美術品 &gt; 彫刻、オブジェ &gt; 東洋彫刻</t>
  </si>
  <si>
    <t>置物</t>
  </si>
  <si>
    <t>オークション &gt; ホビー、カルチャー &gt; 美術品 &gt; 彫刻、オブジェ &gt; 置物</t>
  </si>
  <si>
    <t>オークション &gt; ホビー、カルチャー &gt; 美術品 &gt; 彫刻、オブジェ &gt; その他</t>
  </si>
  <si>
    <t>陶芸</t>
  </si>
  <si>
    <t>オークション &gt; アンティーク、コレクション &gt; 工芸品 &gt; 陶芸</t>
  </si>
  <si>
    <t>オークション &gt; アンティーク、コレクション &gt; 工芸品 &gt; ガラス</t>
  </si>
  <si>
    <t>漆芸</t>
  </si>
  <si>
    <t>オークション &gt; アンティーク、コレクション &gt; 工芸品 &gt; 漆芸</t>
  </si>
  <si>
    <t>金属工芸</t>
  </si>
  <si>
    <t>オークション &gt; アンティーク、コレクション &gt; 工芸品 &gt; 金属工芸</t>
  </si>
  <si>
    <t>鍔</t>
  </si>
  <si>
    <t>オークション &gt; アンティーク、コレクション &gt; 工芸品 &gt; 鍔</t>
  </si>
  <si>
    <t>木工、竹工芸</t>
  </si>
  <si>
    <t>オークション &gt; アンティーク、コレクション &gt; 工芸品 &gt; 木工、竹工芸</t>
  </si>
  <si>
    <t>オークション &gt; アンティーク、コレクション &gt; 工芸品 &gt; 置物</t>
  </si>
  <si>
    <t>根付</t>
  </si>
  <si>
    <t>オークション &gt; アンティーク、コレクション &gt; 工芸品 &gt; 根付</t>
  </si>
  <si>
    <t>日本人形</t>
  </si>
  <si>
    <t>オークション &gt; アンティーク、コレクション &gt; 工芸品 &gt; 日本人形</t>
  </si>
  <si>
    <t>工芸関連本</t>
  </si>
  <si>
    <t>オークション &gt; アンティーク、コレクション &gt; 工芸品 &gt; 工芸関連本</t>
  </si>
  <si>
    <t>絵画、工芸品レンタル</t>
  </si>
  <si>
    <t>オークション &gt; アンティーク、コレクション &gt; 工芸品 &gt; 絵画、工芸品レンタル</t>
  </si>
  <si>
    <t>ポスターフレーム</t>
  </si>
  <si>
    <t>オークション &gt; ホビー、カルチャー &gt; アート用品 &gt; 額縁 &gt; ポスターフレーム</t>
  </si>
  <si>
    <t>写真額縁</t>
  </si>
  <si>
    <t>オークション &gt; ホビー、カルチャー &gt; アート用品 &gt; 額縁 &gt; 写真額縁</t>
  </si>
  <si>
    <t>水彩額縁、デッサン額縁</t>
  </si>
  <si>
    <t>オークション &gt; ホビー、カルチャー &gt; アート用品 &gt; 額縁 &gt; 水彩額縁、デッサン額縁</t>
  </si>
  <si>
    <t>油彩額縁</t>
  </si>
  <si>
    <t>オークション &gt; ホビー、カルチャー &gt; アート用品 &gt; 額縁 &gt; 油彩額縁</t>
  </si>
  <si>
    <t>オークション &gt; ホビー、カルチャー &gt; アート用品 &gt; 額縁 &gt; その他</t>
  </si>
  <si>
    <t>掛軸</t>
  </si>
  <si>
    <t>オークション &gt; ホビー、カルチャー &gt; 美術品 &gt; 書 &gt; 掛軸</t>
  </si>
  <si>
    <t>色紙</t>
  </si>
  <si>
    <t>オークション &gt; ホビー、カルチャー &gt; 美術品 &gt; 書 &gt; 色紙</t>
  </si>
  <si>
    <t>扇面</t>
  </si>
  <si>
    <t>オークション &gt; ホビー、カルチャー &gt; 美術品 &gt; 書 &gt; 扇面</t>
  </si>
  <si>
    <t>短冊</t>
  </si>
  <si>
    <t>オークション &gt; ホビー、カルチャー &gt; 美術品 &gt; 書 &gt; 短冊</t>
  </si>
  <si>
    <t>額、扁額</t>
  </si>
  <si>
    <t>オークション &gt; ホビー、カルチャー &gt; 美術品 &gt; 書 &gt; 額、扁額</t>
  </si>
  <si>
    <t>筆</t>
  </si>
  <si>
    <t>オークション &gt; ホビー、カルチャー &gt; 美術品 &gt; 書 &gt; 筆</t>
  </si>
  <si>
    <t>オークション &gt; ホビー、カルチャー &gt; 美術品 &gt; 書 &gt; 本</t>
  </si>
  <si>
    <t>オークション &gt; ホビー、カルチャー &gt; 美術品 &gt; 書 &gt; その他</t>
  </si>
  <si>
    <t>オークション &gt; ホビー、カルチャー &gt; 美術品 &gt; 芸術写真 &gt; ドキュメント</t>
  </si>
  <si>
    <t>オークション &gt; ホビー、カルチャー &gt; 美術品 &gt; 芸術写真 &gt; 自然、風景</t>
  </si>
  <si>
    <t>写真集</t>
  </si>
  <si>
    <t>オークション &gt; ホビー、カルチャー &gt; 美術品 &gt; 芸術写真 &gt; 写真集</t>
  </si>
  <si>
    <t>人物写真</t>
  </si>
  <si>
    <t>オークション &gt; ホビー、カルチャー &gt; 美術品 &gt; 芸術写真 &gt; 人物写真</t>
  </si>
  <si>
    <t>オークション &gt; ホビー、カルチャー &gt; 美術品 &gt; 芸術写真 &gt; 静物</t>
  </si>
  <si>
    <t>オークション &gt; ホビー、カルチャー &gt; 美術品 &gt; 芸術写真 &gt; 鉄道</t>
  </si>
  <si>
    <t>オークション &gt; ホビー、カルチャー &gt; 美術品 &gt; 芸術写真 &gt; その他</t>
  </si>
  <si>
    <t>オークション &gt; ホビー、カルチャー &gt; 美術品 &gt; 本 &gt; 絵画</t>
  </si>
  <si>
    <t>芸術、美術史</t>
  </si>
  <si>
    <t>オークション &gt; ホビー、カルチャー &gt; 美術品 &gt; 本 &gt; 芸術、美術史</t>
  </si>
  <si>
    <t>オークション &gt; ホビー、カルチャー &gt; 美術品 &gt; 本 &gt; 古書、古文書</t>
  </si>
  <si>
    <t>オークション &gt; ホビー、カルチャー &gt; 美術品 &gt; 本 &gt; 工芸</t>
  </si>
  <si>
    <t>書道</t>
  </si>
  <si>
    <t>オークション &gt; ホビー、カルチャー &gt; 美術品 &gt; 本 &gt; 書道</t>
  </si>
  <si>
    <t>版画、彫刻</t>
  </si>
  <si>
    <t>オークション &gt; ホビー、カルチャー &gt; 美術品 &gt; 本 &gt; 版画、彫刻</t>
  </si>
  <si>
    <t>オークション &gt; ホビー、カルチャー &gt; 美術品 &gt; 本 &gt; アート写真</t>
  </si>
  <si>
    <t>写真技法</t>
  </si>
  <si>
    <t>オークション &gt; ホビー、カルチャー &gt; 美術品 &gt; 本 &gt; 写真技法</t>
  </si>
  <si>
    <t>オークション &gt; ホビー、カルチャー &gt; 美術品 &gt; 雑誌 &gt; アート写真</t>
  </si>
  <si>
    <t>アーマード・コア</t>
  </si>
  <si>
    <t>オークション &gt; おもちゃ、ゲーム &gt; プラモデル &gt; キャラクター &gt; アーマード・コア</t>
  </si>
  <si>
    <t>オークション &gt; おもちゃ、ゲーム &gt; プラモデル &gt; キャラクター &gt; ウルトラマン</t>
  </si>
  <si>
    <t>オークション &gt; ホビー、カルチャー &gt; 美術品 &gt; 雑誌 &gt; 絵画</t>
  </si>
  <si>
    <t>オークション &gt; おもちゃ、ゲーム &gt; プラモデル &gt; キャラクター &gt; 宇宙戦艦ヤマト</t>
  </si>
  <si>
    <t>オークション &gt; おもちゃ、ゲーム &gt; プラモデル &gt; キャラクター &gt; ガンダム</t>
  </si>
  <si>
    <t>オークション &gt; ホビー、カルチャー &gt; 美術品 &gt; 雑誌 &gt; 美術総合</t>
  </si>
  <si>
    <t>オークション &gt; おもちゃ、ゲーム &gt; プラモデル &gt; キャラクター &gt; コードギアス</t>
  </si>
  <si>
    <t>エアブラシ</t>
  </si>
  <si>
    <t>オークション &gt; ホビー、カルチャー &gt; アート用品 &gt; 画材 &gt; エアブラシ</t>
  </si>
  <si>
    <t>ゴジラ</t>
  </si>
  <si>
    <t>オークション &gt; おもちゃ、ゲーム &gt; プラモデル &gt; キャラクター &gt; ゴジラ</t>
  </si>
  <si>
    <t>クレヨン、パステル</t>
  </si>
  <si>
    <t>オークション &gt; ホビー、カルチャー &gt; アート用品 &gt; 画材 &gt; クレヨン、パステル</t>
  </si>
  <si>
    <t>オークション &gt; おもちゃ、ゲーム &gt; プラモデル &gt; キャラクター &gt; 機動警察パトレイバー</t>
  </si>
  <si>
    <t>パステル、コンテ</t>
  </si>
  <si>
    <t>オークション &gt; ホビー、カルチャー &gt; アート用品 &gt; 画材 &gt; パステル、コンテ</t>
  </si>
  <si>
    <t>オークション &gt; おもちゃ、ゲーム &gt; プラモデル &gt; キャラクター &gt; 銀河漂流バイファム</t>
  </si>
  <si>
    <t>サンダーバード</t>
  </si>
  <si>
    <t>マーカー、サインペン</t>
  </si>
  <si>
    <t>オークション &gt; ホビー、カルチャー &gt; アート用品 &gt; 画材 &gt; マーカー、サインペン</t>
  </si>
  <si>
    <t>オークション &gt; おもちゃ、ゲーム &gt; プラモデル &gt; キャラクター &gt; サンダーバード</t>
  </si>
  <si>
    <t>画用紙</t>
  </si>
  <si>
    <t>オークション &gt; おもちゃ、ゲーム &gt; プラモデル &gt; キャラクター &gt; スーパーロボット大戦</t>
  </si>
  <si>
    <t>オークション &gt; ホビー、カルチャー &gt; アート用品 &gt; 画材 &gt; 画用紙</t>
  </si>
  <si>
    <t>スター・ウォーズ</t>
  </si>
  <si>
    <t>オークション &gt; おもちゃ、ゲーム &gt; プラモデル &gt; キャラクター &gt; スター・ウォーズ</t>
  </si>
  <si>
    <t>絵の具、ポスターカラー</t>
  </si>
  <si>
    <t>オークション &gt; ホビー、カルチャー &gt; アート用品 &gt; 画材 &gt; 絵の具、ポスターカラー</t>
  </si>
  <si>
    <t>オークション &gt; おもちゃ、ゲーム &gt; プラモデル &gt; キャラクター &gt; スタートレック</t>
  </si>
  <si>
    <t>絵筆</t>
  </si>
  <si>
    <t>オークション &gt; ホビー、カルチャー &gt; アート用品 &gt; 画材 &gt; 絵筆</t>
  </si>
  <si>
    <t>オークション &gt; おもちゃ、ゲーム &gt; プラモデル &gt; キャラクター &gt; スタジオジブリ</t>
  </si>
  <si>
    <t>ゾイド</t>
  </si>
  <si>
    <t>色鉛筆</t>
  </si>
  <si>
    <t>オークション &gt; おもちゃ、ゲーム &gt; プラモデル &gt; キャラクター &gt; ゾイド</t>
  </si>
  <si>
    <t>オークション &gt; ホビー、カルチャー &gt; アート用品 &gt; 画材 &gt; 色鉛筆</t>
  </si>
  <si>
    <t>オークション &gt; おもちゃ、ゲーム &gt; プラモデル &gt; キャラクター &gt; 重戦機エルガイム</t>
  </si>
  <si>
    <t>オークション &gt; ホビー、カルチャー &gt; アート用品 &gt; 画材 &gt; その他</t>
  </si>
  <si>
    <t>オークション &gt; おもちゃ、ゲーム &gt; プラモデル &gt; キャラクター &gt; 新世紀エヴァンゲリオン</t>
  </si>
  <si>
    <t>戦闘メカザブングル</t>
  </si>
  <si>
    <t>オークション &gt; おもちゃ、ゲーム &gt; プラモデル &gt; キャラクター &gt; 戦闘メカザブングル</t>
  </si>
  <si>
    <t>装甲騎兵ボトムズ</t>
  </si>
  <si>
    <t>オークション &gt; おもちゃ、ゲーム &gt; プラモデル &gt; キャラクター &gt; 装甲騎兵ボトムズ</t>
  </si>
  <si>
    <t>ダンボール戦機</t>
  </si>
  <si>
    <t>オークション &gt; おもちゃ、ゲーム &gt; プラモデル &gt; キャラクター &gt; ダンボール戦機</t>
  </si>
  <si>
    <t>太陽の牙ダグラム</t>
  </si>
  <si>
    <t>オークション &gt; おもちゃ、ゲーム &gt; プラモデル &gt; キャラクター &gt; 太陽の牙ダグラム</t>
  </si>
  <si>
    <t>オークション &gt; おもちゃ、ゲーム &gt; プラモデル &gt; キャラクター &gt; 伝説巨神イデオン</t>
  </si>
  <si>
    <t>バーチャロン</t>
  </si>
  <si>
    <t>オークション &gt; おもちゃ、ゲーム &gt; プラモデル &gt; キャラクター &gt; バーチャロン</t>
  </si>
  <si>
    <t>オークション &gt; おもちゃ、ゲーム &gt; プラモデル &gt; キャラクター &gt; マクロス</t>
  </si>
  <si>
    <t>オークション &gt; ホビー、カルチャー &gt; 美術品 &gt; 絵画</t>
  </si>
  <si>
    <t>マシーネンクリーガー</t>
  </si>
  <si>
    <t>オークション &gt; おもちゃ、ゲーム &gt; プラモデル &gt; キャラクター &gt; マシーネンクリーガー</t>
  </si>
  <si>
    <t>オークション &gt; おもちゃ、ゲーム &gt; プラモデル &gt; キャラクター &gt; マジンガーZ</t>
  </si>
  <si>
    <t>版画</t>
  </si>
  <si>
    <t>オークション &gt; ホビー、カルチャー &gt; 美術品 &gt; 版画</t>
  </si>
  <si>
    <t>オークション &gt; おもちゃ、ゲーム &gt; プラモデル &gt; キャラクター &gt; 魔神英雄伝ワタル</t>
  </si>
  <si>
    <t>彫刻、オブジェ</t>
  </si>
  <si>
    <t>ロボダッチ</t>
  </si>
  <si>
    <t>オークション &gt; ホビー、カルチャー &gt; 美術品 &gt; 彫刻、オブジェ</t>
  </si>
  <si>
    <t>オークション &gt; おもちゃ、ゲーム &gt; プラモデル &gt; キャラクター &gt; ロボダッチ</t>
  </si>
  <si>
    <t>オークション &gt; おもちゃ、ゲーム &gt; プラモデル &gt; キャラクター &gt; 完成品</t>
  </si>
  <si>
    <t>オークション &gt; ホビー、カルチャー &gt; 美術品 &gt; 工芸</t>
  </si>
  <si>
    <t>オークション &gt; おもちゃ、ゲーム &gt; プラモデル &gt; キャラクター &gt; その他</t>
  </si>
  <si>
    <t>額縁</t>
  </si>
  <si>
    <t>オークション &gt; ホビー、カルチャー &gt; 美術品 &gt; 額縁</t>
  </si>
  <si>
    <t>オークション &gt; おもちゃ、ゲーム &gt; プラモデル &gt; 自動車 &gt; 完成品</t>
  </si>
  <si>
    <t>乗用車</t>
  </si>
  <si>
    <t>オークション &gt; おもちゃ、ゲーム &gt; プラモデル &gt; 自動車 &gt; 乗用車</t>
  </si>
  <si>
    <t>書</t>
  </si>
  <si>
    <t>レーシングカー</t>
  </si>
  <si>
    <t>オークション &gt; ホビー、カルチャー &gt; 美術品 &gt; 書</t>
  </si>
  <si>
    <t>オークション &gt; おもちゃ、ゲーム &gt; プラモデル &gt; 自動車 &gt; レーシングカー</t>
  </si>
  <si>
    <t>トラック、トレーラー</t>
  </si>
  <si>
    <t>オークション &gt; おもちゃ、ゲーム &gt; プラモデル &gt; 自動車 &gt; トラック、トレーラー</t>
  </si>
  <si>
    <t>芸術写真</t>
  </si>
  <si>
    <t>オークション &gt; ホビー、カルチャー &gt; 美術品 &gt; 芸術写真</t>
  </si>
  <si>
    <t>バス</t>
  </si>
  <si>
    <t>オークション &gt; おもちゃ、ゲーム &gt; プラモデル &gt; 自動車 &gt; バス</t>
  </si>
  <si>
    <t>オークション &gt; ホビー、カルチャー &gt; 美術品 &gt; 本</t>
  </si>
  <si>
    <t>オークション &gt; おもちゃ、ゲーム &gt; プラモデル &gt; 自動車 &gt; その他</t>
  </si>
  <si>
    <t>オークション &gt; ホビー、カルチャー &gt; 美術品 &gt; 絵画、工芸品レンタル</t>
  </si>
  <si>
    <t>オークション &gt; おもちゃ、ゲーム &gt; プラモデル &gt; 航空機 &gt; 完成品</t>
  </si>
  <si>
    <t>軍用機</t>
  </si>
  <si>
    <t>オークション &gt; ホビー、カルチャー &gt; 美術品 &gt; 雑誌</t>
  </si>
  <si>
    <t>オークション &gt; おもちゃ、ゲーム &gt; プラモデル &gt; 航空機 &gt; 軍用機</t>
  </si>
  <si>
    <t>旅客機</t>
  </si>
  <si>
    <t>オークション &gt; おもちゃ、ゲーム &gt; プラモデル &gt; 航空機 &gt; 旅客機</t>
  </si>
  <si>
    <t>オークション &gt; ホビー、カルチャー &gt; 美術品 &gt; その他</t>
  </si>
  <si>
    <t>オークション &gt; おもちゃ、ゲーム &gt; プラモデル &gt; 航空機 &gt; その他</t>
  </si>
  <si>
    <t>はぎれ、布地</t>
  </si>
  <si>
    <t>オークション &gt; ホビー、カルチャー &gt; ハンドクラフト、手工芸 &gt; 裁縫、刺繍 &gt; はぎれ、布地</t>
  </si>
  <si>
    <t>オークション &gt; おもちゃ、ゲーム &gt; プラモデル &gt; オートバイ &gt; 完成品</t>
  </si>
  <si>
    <t>裁縫箱、道具</t>
  </si>
  <si>
    <t>カワサキ</t>
  </si>
  <si>
    <t>オークション &gt; ホビー、カルチャー &gt; ハンドクラフト、手工芸 &gt; 裁縫、刺繍 &gt; 裁縫箱、道具</t>
  </si>
  <si>
    <t>オークション &gt; おもちゃ、ゲーム &gt; プラモデル &gt; オートバイ &gt; カワサキ</t>
  </si>
  <si>
    <t>スズキ</t>
  </si>
  <si>
    <t>オークション &gt; おもちゃ、ゲーム &gt; プラモデル &gt; オートバイ &gt; スズキ</t>
  </si>
  <si>
    <t>ワッペン、飾り素材</t>
  </si>
  <si>
    <t>オークション &gt; ホビー、カルチャー &gt; ハンドクラフト、手工芸 &gt; 裁縫、刺繍 &gt; ワッペン、飾り素材</t>
  </si>
  <si>
    <t>ホンダ</t>
  </si>
  <si>
    <t>オークション &gt; おもちゃ、ゲーム &gt; プラモデル &gt; オートバイ &gt; ホンダ</t>
  </si>
  <si>
    <t>ボタン</t>
  </si>
  <si>
    <t>オークション &gt; ホビー、カルチャー &gt; ハンドクラフト、手工芸 &gt; 裁縫、刺繍 &gt; ボタン</t>
  </si>
  <si>
    <t>オークション &gt; おもちゃ、ゲーム &gt; プラモデル &gt; オートバイ &gt; ヤマハ</t>
  </si>
  <si>
    <t>糸</t>
  </si>
  <si>
    <t>オークション &gt; ホビー、カルチャー &gt; ハンドクラフト、手工芸 &gt; 裁縫、刺繍 &gt; 糸</t>
  </si>
  <si>
    <t>ハーレーダビッドソン</t>
  </si>
  <si>
    <t>オークション &gt; おもちゃ、ゲーム &gt; プラモデル &gt; オートバイ &gt; ハーレーダビッドソン</t>
  </si>
  <si>
    <t>毛糸</t>
  </si>
  <si>
    <t>オークション &gt; ホビー、カルチャー &gt; ハンドクラフト、手工芸 &gt; 裁縫、刺繍 &gt; 毛糸</t>
  </si>
  <si>
    <t>オークション &gt; おもちゃ、ゲーム &gt; プラモデル &gt; オートバイ &gt; その他</t>
  </si>
  <si>
    <t>型紙</t>
  </si>
  <si>
    <t>オークション &gt; おもちゃ、ゲーム &gt; プラモデル &gt; 戦車、軍用車両 &gt; 完成品</t>
  </si>
  <si>
    <t>オークション &gt; ホビー、カルチャー &gt; ハンドクラフト、手工芸 &gt; 裁縫、刺繍 &gt; 型紙</t>
  </si>
  <si>
    <t>自走砲（SPA）</t>
  </si>
  <si>
    <t>オークション &gt; おもちゃ、ゲーム &gt; プラモデル &gt; 戦車、軍用車両 &gt; 自走砲（SPA）</t>
  </si>
  <si>
    <t>主力戦車（MBT）</t>
  </si>
  <si>
    <t>刺繍</t>
  </si>
  <si>
    <t>オークション &gt; おもちゃ、ゲーム &gt; プラモデル &gt; 戦車、軍用車両 &gt; 主力戦車（MBT）</t>
  </si>
  <si>
    <t>オークション &gt; ホビー、カルチャー &gt; ハンドクラフト、手工芸 &gt; 裁縫、刺繍 &gt; 刺繍</t>
  </si>
  <si>
    <t>装甲兵員輸送車（APC）</t>
  </si>
  <si>
    <t>オークション &gt; おもちゃ、ゲーム &gt; プラモデル &gt; 戦車、軍用車両 &gt; 装甲兵員輸送車（APC）</t>
  </si>
  <si>
    <t>作成キット</t>
  </si>
  <si>
    <t>対空戦車（AAT）</t>
  </si>
  <si>
    <t>オークション &gt; おもちゃ、ゲーム &gt; プラモデル &gt; 戦車、軍用車両 &gt; 対空戦車（AAT）</t>
  </si>
  <si>
    <t>オークション &gt; ホビー、カルチャー &gt; ハンドクラフト、手工芸 &gt; 裁縫、刺繍 &gt; 作成キット</t>
  </si>
  <si>
    <t>歩兵戦闘車（AIFV）</t>
  </si>
  <si>
    <t>オークション &gt; おもちゃ、ゲーム &gt; プラモデル &gt; 戦車、軍用車両 &gt; 歩兵戦闘車（AIFV）</t>
  </si>
  <si>
    <t>ミシン</t>
  </si>
  <si>
    <t>オークション &gt; ホビー、カルチャー &gt; ハンドクラフト、手工芸 &gt; 裁縫、刺繍 &gt; ミシン</t>
  </si>
  <si>
    <t>オークション &gt; おもちゃ、ゲーム &gt; プラモデル &gt; 戦車、軍用車両 &gt; その他</t>
  </si>
  <si>
    <t>オークション &gt; おもちゃ、ゲーム &gt; プラモデル &gt; 船、ボート &gt; 完成品</t>
  </si>
  <si>
    <t>オークション &gt; ホビー、カルチャー &gt; ハンドクラフト、手工芸 &gt; 裁縫、刺繍 &gt; レース</t>
  </si>
  <si>
    <t>艦艇</t>
  </si>
  <si>
    <t>オークション &gt; おもちゃ、ゲーム &gt; プラモデル &gt; 船、ボート &gt; 艦艇</t>
  </si>
  <si>
    <t>ソーイング雑誌</t>
  </si>
  <si>
    <t>オークション &gt; ホビー、カルチャー &gt; ハンドクラフト、手工芸 &gt; 裁縫、刺繍 &gt; ソーイング雑誌</t>
  </si>
  <si>
    <t>オークション &gt; おもちゃ、ゲーム &gt; プラモデル &gt; 船、ボート &gt; その他</t>
  </si>
  <si>
    <t>手芸、洋裁の本</t>
  </si>
  <si>
    <t>オークション &gt; ホビー、カルチャー &gt; ハンドクラフト、手工芸 &gt; 裁縫、刺繍 &gt; 手芸、洋裁の本</t>
  </si>
  <si>
    <t>衣桁</t>
  </si>
  <si>
    <t>オークション &gt; アンティーク、コレクション &gt; 家具 &gt; 日本 &gt; 衣桁</t>
  </si>
  <si>
    <t>オークション &gt; ホビー、カルチャー &gt; 模型製作用品 &gt; 工具</t>
  </si>
  <si>
    <t>塗装用品</t>
  </si>
  <si>
    <t>オークション &gt; ホビー、カルチャー &gt; 模型製作用品 &gt; 塗装用品</t>
  </si>
  <si>
    <t>オークション &gt; ホビー、カルチャー &gt; ハンドクラフト、手工芸 &gt; 裁縫、刺繍 &gt; 完成品</t>
  </si>
  <si>
    <t>座卓、ちゃぶ台</t>
  </si>
  <si>
    <t>接着用品</t>
  </si>
  <si>
    <t>オークション &gt; アンティーク、コレクション &gt; 家具 &gt; 日本 &gt; 座卓、ちゃぶ台</t>
  </si>
  <si>
    <t>オークション &gt; ホビー、カルチャー &gt; 模型製作用品 &gt; 接着用品</t>
  </si>
  <si>
    <t>箪笥</t>
  </si>
  <si>
    <t>オークション &gt; ホビー、カルチャー &gt; ハンドクラフト、手工芸 &gt; 裁縫、刺繍 &gt; その他</t>
  </si>
  <si>
    <t>オークション &gt; アンティーク、コレクション &gt; 家具 &gt; 日本 &gt; 箪笥</t>
  </si>
  <si>
    <t>文机</t>
  </si>
  <si>
    <t>オークション &gt; アンティーク、コレクション &gt; 家具 &gt; 日本 &gt; 文机</t>
  </si>
  <si>
    <t>オークション &gt; アンティーク、コレクション &gt; 家具 &gt; 日本 &gt; その他</t>
  </si>
  <si>
    <t>完成品（エンジン）</t>
  </si>
  <si>
    <t>オークション &gt; おもちゃ、ゲーム &gt; ホビーラジコン &gt; 自動車 &gt; 完成品（エンジン）</t>
  </si>
  <si>
    <t>刀、太刀</t>
  </si>
  <si>
    <t>完成品（電動）</t>
  </si>
  <si>
    <t>オークション &gt; アンティーク、コレクション &gt; 武具 &gt; 日本刀、刀剣 &gt; 刀、太刀</t>
  </si>
  <si>
    <t>オークション &gt; おもちゃ、ゲーム &gt; ホビーラジコン &gt; 自動車 &gt; 完成品（電動）</t>
  </si>
  <si>
    <t>組立キット（エンジン）</t>
  </si>
  <si>
    <t>脇差、短刀</t>
  </si>
  <si>
    <t>オークション &gt; おもちゃ、ゲーム &gt; ホビーラジコン &gt; 自動車 &gt; 組立キット（エンジン）</t>
  </si>
  <si>
    <t>オークション &gt; アンティーク、コレクション &gt; 武具 &gt; 日本刀、刀剣 &gt; 脇差、短刀</t>
  </si>
  <si>
    <t>組立キット（電動）</t>
  </si>
  <si>
    <t>オークション &gt; おもちゃ、ゲーム &gt; ホビーラジコン &gt; 自動車 &gt; 組立キット（電動）</t>
  </si>
  <si>
    <t>槍、薙刀</t>
  </si>
  <si>
    <t>オークション &gt; アンティーク、コレクション &gt; 武具 &gt; 日本刀、刀剣 &gt; 槍、薙刀</t>
  </si>
  <si>
    <t>オークション &gt; おもちゃ、ゲーム &gt; ホビーラジコン &gt; 自動車 &gt; パーツ</t>
  </si>
  <si>
    <t>オークション &gt; おもちゃ、ゲーム &gt; ホビーラジコン &gt; 自動車 &gt; その他</t>
  </si>
  <si>
    <t>模造刀</t>
  </si>
  <si>
    <t>オークション &gt; アンティーク、コレクション &gt; 武具 &gt; 日本刀、刀剣 &gt; 模造刀</t>
  </si>
  <si>
    <t>ビーズ</t>
  </si>
  <si>
    <t>オークション &gt; おもちゃ、ゲーム &gt; ホビーラジコン &gt; 飛行機 &gt; 完成品（エンジン）</t>
  </si>
  <si>
    <t>オークション &gt; ホビー、カルチャー &gt; ハンドクラフト、手工芸 &gt; ビーズ細工 &gt; ビーズ</t>
  </si>
  <si>
    <t>普通切手</t>
  </si>
  <si>
    <t>オークション &gt; おもちゃ、ゲーム &gt; ホビーラジコン &gt; 飛行機 &gt; 完成品（電動）</t>
  </si>
  <si>
    <t>オークション &gt; アンティーク、コレクション &gt; 切手、はがき &gt; 日本 &gt; 普通切手</t>
  </si>
  <si>
    <t>オークション &gt; おもちゃ、ゲーム &gt; ホビーラジコン &gt; 飛行機 &gt; 組立キット（エンジン）</t>
  </si>
  <si>
    <t>特殊切手、記念切手</t>
  </si>
  <si>
    <t>テグス、ワイヤー</t>
  </si>
  <si>
    <t>オークション &gt; アンティーク、コレクション &gt; 切手、はがき &gt; 日本 &gt; 特殊切手、記念切手</t>
  </si>
  <si>
    <t>オークション &gt; おもちゃ、ゲーム &gt; ホビーラジコン &gt; 飛行機 &gt; 組立キット（電動）</t>
  </si>
  <si>
    <t>オークション &gt; ホビー、カルチャー &gt; ハンドクラフト、手工芸 &gt; ビーズ細工 &gt; テグス、ワイヤー</t>
  </si>
  <si>
    <t>オークション &gt; おもちゃ、ゲーム &gt; ホビーラジコン &gt; 飛行機 &gt; パーツ</t>
  </si>
  <si>
    <t>ふるさと切手</t>
  </si>
  <si>
    <t>オークション &gt; アンティーク、コレクション &gt; 切手、はがき &gt; 日本 &gt; ふるさと切手</t>
  </si>
  <si>
    <t>オークション &gt; おもちゃ、ゲーム &gt; ホビーラジコン &gt; 飛行機 &gt; その他</t>
  </si>
  <si>
    <t>オークション &gt; ホビー、カルチャー &gt; ハンドクラフト、手工芸 &gt; ビーズ細工 &gt; 完成品</t>
  </si>
  <si>
    <t>オークション &gt; アンティーク、コレクション &gt; 貨幣 &gt; 硬貨 &gt; 日本</t>
  </si>
  <si>
    <t>オークション &gt; おもちゃ、ゲーム &gt; ホビーラジコン &gt; ヘリコプター &gt; 完成品（エンジン）</t>
  </si>
  <si>
    <t>オークション &gt; おもちゃ、ゲーム &gt; ホビーラジコン &gt; ヘリコプター &gt; 完成品（電動）</t>
  </si>
  <si>
    <t>世界</t>
  </si>
  <si>
    <t>オークション &gt; アンティーク、コレクション &gt; 貨幣 &gt; 硬貨 &gt; 世界</t>
  </si>
  <si>
    <t>金属パーツ</t>
  </si>
  <si>
    <t>オークション &gt; おもちゃ、ゲーム &gt; ホビーラジコン &gt; ヘリコプター &gt; 組立キット（エンジン）</t>
  </si>
  <si>
    <t>オークション &gt; ホビー、カルチャー &gt; ハンドクラフト、手工芸 &gt; ビーズ細工 &gt; 金属パーツ</t>
  </si>
  <si>
    <t>オークション &gt; アンティーク、コレクション &gt; 貨幣 &gt; 紙幣 &gt; 日本</t>
  </si>
  <si>
    <t>オークション &gt; おもちゃ、ゲーム &gt; ホビーラジコン &gt; ヘリコプター &gt; 組立キット（電動）</t>
  </si>
  <si>
    <t>ストーン</t>
  </si>
  <si>
    <t>オークション &gt; ホビー、カルチャー &gt; ハンドクラフト、手工芸 &gt; ビーズ細工 &gt; ストーン</t>
  </si>
  <si>
    <t>オークション &gt; おもちゃ、ゲーム &gt; ホビーラジコン &gt; ヘリコプター &gt; パーツ</t>
  </si>
  <si>
    <t>オークション &gt; アンティーク、コレクション &gt; 貨幣 &gt; 紙幣 &gt; 世界</t>
  </si>
  <si>
    <t>オークション &gt; おもちゃ、ゲーム &gt; ホビーラジコン &gt; ヘリコプター &gt; その他</t>
  </si>
  <si>
    <t>プラチナ</t>
  </si>
  <si>
    <t>オークション &gt; ホビー、カルチャー &gt; ハンドクラフト、手工芸 &gt; ビーズ細工 &gt; その他</t>
  </si>
  <si>
    <t>オークション &gt; アンティーク、コレクション &gt; 貨幣 &gt; 地金 &gt; プラチナ</t>
  </si>
  <si>
    <t>金</t>
  </si>
  <si>
    <t>レース糸</t>
  </si>
  <si>
    <t>オークション &gt; アンティーク、コレクション &gt; 貨幣 &gt; 地金 &gt; 金</t>
  </si>
  <si>
    <t>オークション &gt; ホビー、カルチャー &gt; ハンドクラフト、手工芸 &gt; 編物 &gt; レース糸</t>
  </si>
  <si>
    <t>プロポセット</t>
  </si>
  <si>
    <t>オークション &gt; おもちゃ、ゲーム &gt; ホビーラジコン &gt; プロポ &gt; プロポセット</t>
  </si>
  <si>
    <t>サーボ</t>
  </si>
  <si>
    <t>銀</t>
  </si>
  <si>
    <t>オークション &gt; おもちゃ、ゲーム &gt; ホビーラジコン &gt; プロポ &gt; サーボ</t>
  </si>
  <si>
    <t>オークション &gt; アンティーク、コレクション &gt; 貨幣 &gt; 地金 &gt; 銀</t>
  </si>
  <si>
    <t>受信機</t>
  </si>
  <si>
    <t>オークション &gt; おもちゃ、ゲーム &gt; ホビーラジコン &gt; プロポ &gt; 受信機</t>
  </si>
  <si>
    <t>オークション &gt; ホビー、カルチャー &gt; ハンドクラフト、手工芸 &gt; 編物 &gt; 作成キット</t>
  </si>
  <si>
    <t>送信機</t>
  </si>
  <si>
    <t>オークション &gt; アンティーク、コレクション &gt; 印刷物 &gt; カレンダー &gt; コミック、アニメーション</t>
  </si>
  <si>
    <t>オークション &gt; おもちゃ、ゲーム &gt; ホビーラジコン &gt; プロポ &gt; 送信機</t>
  </si>
  <si>
    <t>編針</t>
  </si>
  <si>
    <t>オークション &gt; ホビー、カルチャー &gt; ハンドクラフト、手工芸 &gt; 編物 &gt; 編針</t>
  </si>
  <si>
    <t>オークション &gt; おもちゃ、ゲーム &gt; ホビーラジコン &gt; プロポ &gt; その他</t>
  </si>
  <si>
    <t>オークション &gt; アンティーク、コレクション &gt; 印刷物 &gt; カレンダー &gt; ミュージシャン</t>
  </si>
  <si>
    <t>オークション &gt; ホビー、カルチャー &gt; ハンドクラフト、手工芸 &gt; 編物 &gt; 毛糸</t>
  </si>
  <si>
    <t>オークション &gt; アンティーク、コレクション &gt; 印刷物 &gt; カレンダー &gt; 絵画</t>
  </si>
  <si>
    <t>オークション &gt; ホビー、カルチャー &gt; ハンドクラフト、手工芸 &gt; 編物 &gt; 完成品</t>
  </si>
  <si>
    <t>hpi・racing</t>
  </si>
  <si>
    <t>オークション &gt; おもちゃ、ゲーム &gt; ミニカー &gt; 自動車 &gt; hpi・racing</t>
  </si>
  <si>
    <t>アーテル</t>
  </si>
  <si>
    <t>オークション &gt; おもちゃ、ゲーム &gt; ミニカー &gt; 自動車 &gt; アーテル</t>
  </si>
  <si>
    <t>オークション &gt; アンティーク、コレクション &gt; 印刷物 &gt; カレンダー &gt; 芸能人、タレント</t>
  </si>
  <si>
    <t>オークション &gt; ホビー、カルチャー &gt; ハンドクラフト、手工芸 &gt; 編物 &gt; 本</t>
  </si>
  <si>
    <t>アオシマ</t>
  </si>
  <si>
    <t>オークション &gt; おもちゃ、ゲーム &gt; ミニカー &gt; 自動車 &gt; アオシマ</t>
  </si>
  <si>
    <t>イクソ</t>
  </si>
  <si>
    <t>オークション &gt; アンティーク、コレクション &gt; 印刷物 &gt; カレンダー &gt; 航空機</t>
  </si>
  <si>
    <t>オークション &gt; おもちゃ、ゲーム &gt; ミニカー &gt; 自動車 &gt; イクソ</t>
  </si>
  <si>
    <t>オークション &gt; ホビー、カルチャー &gt; ハンドクラフト、手工芸 &gt; 編物 &gt; その他</t>
  </si>
  <si>
    <t>ウェリー</t>
  </si>
  <si>
    <t>オークション &gt; おもちゃ、ゲーム &gt; ミニカー &gt; 自動車 &gt; ウェリー</t>
  </si>
  <si>
    <t>樹脂粘土</t>
  </si>
  <si>
    <t>オークション &gt; ホビー、カルチャー &gt; ハンドクラフト、手工芸 &gt; 粘土工芸 &gt; 樹脂粘土</t>
  </si>
  <si>
    <t>オークション &gt; アンティーク、コレクション &gt; 印刷物 &gt; カレンダー &gt; 鉄道</t>
  </si>
  <si>
    <t>エグゾト</t>
  </si>
  <si>
    <t>オークション &gt; おもちゃ、ゲーム &gt; ミニカー &gt; 自動車 &gt; エグゾト</t>
  </si>
  <si>
    <t>エブロ</t>
  </si>
  <si>
    <t>オークション &gt; ホビー、カルチャー &gt; ハンドクラフト、手工芸 &gt; 粘土工芸 &gt; 陶芸</t>
  </si>
  <si>
    <t>オークション &gt; おもちゃ、ゲーム &gt; ミニカー &gt; 自動車 &gt; エブロ</t>
  </si>
  <si>
    <t>オークション &gt; アンティーク、コレクション &gt; 印刷物 &gt; カレンダー &gt; 動物</t>
  </si>
  <si>
    <t>エムテック</t>
  </si>
  <si>
    <t>オークション &gt; おもちゃ、ゲーム &gt; ミニカー &gt; 自動車 &gt; エムテック</t>
  </si>
  <si>
    <t>オークション &gt; ホビー、カルチャー &gt; ハンドクラフト、手工芸 &gt; 粘土工芸 &gt; その他</t>
  </si>
  <si>
    <t>オートアート</t>
  </si>
  <si>
    <t>オークション &gt; おもちゃ、ゲーム &gt; ミニカー &gt; 自動車 &gt; オートアート</t>
  </si>
  <si>
    <t>オークション &gt; アンティーク、コレクション &gt; 印刷物 &gt; カレンダー &gt; 風景</t>
  </si>
  <si>
    <t>コーギー</t>
  </si>
  <si>
    <t>オークション &gt; おもちゃ、ゲーム &gt; ミニカー &gt; 自動車 &gt; コーギー</t>
  </si>
  <si>
    <t>材料</t>
  </si>
  <si>
    <t>オークション &gt; ホビー、カルチャー &gt; ハンドクラフト、手工芸 &gt; レザークラフト &gt; 材料</t>
  </si>
  <si>
    <t>コナミ</t>
  </si>
  <si>
    <t>オークション &gt; おもちゃ、ゲーム &gt; ミニカー &gt; 自動車 &gt; コナミ</t>
  </si>
  <si>
    <t>卓上カレンダー</t>
  </si>
  <si>
    <t>オークション &gt; アンティーク、コレクション &gt; 印刷物 &gt; カレンダー &gt; 卓上カレンダー</t>
  </si>
  <si>
    <t>京商</t>
  </si>
  <si>
    <t>道具</t>
  </si>
  <si>
    <t>オークション &gt; おもちゃ、ゲーム &gt; ミニカー &gt; 自動車 &gt; 京商</t>
  </si>
  <si>
    <t>オークション &gt; ホビー、カルチャー &gt; ハンドクラフト、手工芸 &gt; レザークラフト &gt; 道具</t>
  </si>
  <si>
    <t>Jada Toys</t>
  </si>
  <si>
    <t>オークション &gt; おもちゃ、ゲーム &gt; ミニカー &gt; 自動車 &gt; Jada Toys</t>
  </si>
  <si>
    <t>サンスター</t>
  </si>
  <si>
    <t>オークション &gt; アンティーク、コレクション &gt; 印刷物 &gt; カレンダー &gt; その他</t>
  </si>
  <si>
    <t>オークション &gt; おもちゃ、ゲーム &gt; ミニカー &gt; 自動車 &gt; サンスター</t>
  </si>
  <si>
    <t>オークション &gt; ホビー、カルチャー &gt; ハンドクラフト、手工芸 &gt; レザークラフト &gt; 完成品</t>
  </si>
  <si>
    <t>シュコー</t>
  </si>
  <si>
    <t>オークション &gt; おもちゃ、ゲーム &gt; ミニカー &gt; 自動車 &gt; シュコー</t>
  </si>
  <si>
    <t>オークション &gt; アンティーク、コレクション &gt; 印刷物 &gt; チラシ &gt; コミック、アニメーション</t>
  </si>
  <si>
    <t>クラフトパンチ</t>
  </si>
  <si>
    <t>ジョニーライトニング</t>
  </si>
  <si>
    <t>オークション &gt; ホビー、カルチャー &gt; ハンドクラフト、手工芸 &gt; ペーパークラフト &gt; クラフトパンチ</t>
  </si>
  <si>
    <t>オークション &gt; おもちゃ、ゲーム &gt; ミニカー &gt; 自動車 &gt; ジョニーライトニング</t>
  </si>
  <si>
    <t>スパークモデル</t>
  </si>
  <si>
    <t>オークション &gt; おもちゃ、ゲーム &gt; ミニカー &gt; 自動車 &gt; スパークモデル</t>
  </si>
  <si>
    <t>スクラップブッキング</t>
  </si>
  <si>
    <t>オークション &gt; アンティーク、コレクション &gt; 印刷物 &gt; チラシ &gt; ミュージシャン</t>
  </si>
  <si>
    <t>ソリド</t>
  </si>
  <si>
    <t>オークション &gt; ホビー、カルチャー &gt; ハンドクラフト、手工芸 &gt; ペーパークラフト &gt; スクラップブッキング</t>
  </si>
  <si>
    <t>オークション &gt; おもちゃ、ゲーム &gt; ミニカー &gt; 自動車 &gt; ソリド</t>
  </si>
  <si>
    <t>ダイヤペット</t>
  </si>
  <si>
    <t>オークション &gt; おもちゃ、ゲーム &gt; ミニカー &gt; 自動車 &gt; ダイヤペット</t>
  </si>
  <si>
    <t>折り紙、千代紙</t>
  </si>
  <si>
    <t>オークション &gt; ホビー、カルチャー &gt; ハンドクラフト、手工芸 &gt; ペーパークラフト &gt; 折り紙、千代紙</t>
  </si>
  <si>
    <t>チョロQ</t>
  </si>
  <si>
    <t>オークション &gt; アンティーク、コレクション &gt; 印刷物 &gt; チラシ &gt; 映画</t>
  </si>
  <si>
    <t>オークション &gt; おもちゃ、ゲーム &gt; ミニカー &gt; 自動車 &gt; チョロQ</t>
  </si>
  <si>
    <t>ディンキー</t>
  </si>
  <si>
    <t>オークション &gt; ホビー、カルチャー &gt; ハンドクラフト、手工芸 &gt; ペーパークラフト &gt; 画用紙</t>
  </si>
  <si>
    <t>オークション &gt; アンティーク、コレクション &gt; 印刷物 &gt; チラシ &gt; その他</t>
  </si>
  <si>
    <t>オークション &gt; おもちゃ、ゲーム &gt; ミニカー &gt; 自動車 &gt; ディンキー</t>
  </si>
  <si>
    <t>はさみ</t>
  </si>
  <si>
    <t>オークション &gt; ホビー、カルチャー &gt; ハンドクラフト、手工芸 &gt; ペーパークラフト &gt; はさみ</t>
  </si>
  <si>
    <t>オークション &gt; アンティーク、コレクション &gt; 印刷物 &gt; ポスター &gt; コミック、アニメーション</t>
  </si>
  <si>
    <t>トミカ</t>
  </si>
  <si>
    <t>オークション &gt; おもちゃ、ゲーム &gt; ミニカー &gt; 自動車 &gt; トミカ</t>
  </si>
  <si>
    <t>カッターナイフ</t>
  </si>
  <si>
    <t>オークション &gt; ホビー、カルチャー &gt; ハンドクラフト、手工芸 &gt; ペーパークラフト &gt; カッターナイフ</t>
  </si>
  <si>
    <t>トロフュー</t>
  </si>
  <si>
    <t>オークション &gt; おもちゃ、ゲーム &gt; ミニカー &gt; 自動車 &gt; トロフュー</t>
  </si>
  <si>
    <t>オークション &gt; アンティーク、コレクション &gt; 印刷物 &gt; ポスター &gt; タレント</t>
  </si>
  <si>
    <t>田宮模型</t>
  </si>
  <si>
    <t>オークション &gt; ホビー、カルチャー &gt; ハンドクラフト、手工芸 &gt; ペーパークラフト &gt; その他</t>
  </si>
  <si>
    <t>オークション &gt; おもちゃ、ゲーム &gt; ミニカー &gt; 自動車 &gt; 田宮模型</t>
  </si>
  <si>
    <t>ノレブ</t>
  </si>
  <si>
    <t>オークション &gt; アンティーク、コレクション &gt; 印刷物 &gt; ポスター &gt; ミュージシャン</t>
  </si>
  <si>
    <t>オークション &gt; おもちゃ、ゲーム &gt; ミニカー &gt; 自動車 &gt; ノレブ</t>
  </si>
  <si>
    <t>BBR</t>
  </si>
  <si>
    <t>オークション &gt; おもちゃ、ゲーム &gt; ミニカー &gt; 自動車 &gt; BBR</t>
  </si>
  <si>
    <t>オークション &gt; ホビー、カルチャー &gt; ハンドクラフト、手工芸 &gt; アートフラワー、押し花 &gt; 一般</t>
  </si>
  <si>
    <t>ビテス</t>
  </si>
  <si>
    <t>オークション &gt; アンティーク、コレクション &gt; 印刷物 &gt; ポスター &gt; 映画</t>
  </si>
  <si>
    <t>オークション &gt; おもちゃ、ゲーム &gt; ミニカー &gt; 自動車 &gt; ビテス</t>
  </si>
  <si>
    <t>フランクリン・ミント</t>
  </si>
  <si>
    <t>アレンジメント</t>
  </si>
  <si>
    <t>オークション &gt; おもちゃ、ゲーム &gt; ミニカー &gt; 自動車 &gt; フランクリン・ミント</t>
  </si>
  <si>
    <t>オークション &gt; ホビー、カルチャー &gt; ハンドクラフト、手工芸 &gt; アートフラワー、押し花 &gt; アレンジメント</t>
  </si>
  <si>
    <t>科学、自然</t>
  </si>
  <si>
    <t>オークション &gt; アンティーク、コレクション &gt; 印刷物 &gt; ポスター &gt; 科学、自然</t>
  </si>
  <si>
    <t>ブラーゴ</t>
  </si>
  <si>
    <t>オークション &gt; おもちゃ、ゲーム &gt; ミニカー &gt; 自動車 &gt; ブラーゴ</t>
  </si>
  <si>
    <t>ブルム</t>
  </si>
  <si>
    <t>オークション &gt; おもちゃ、ゲーム &gt; ミニカー &gt; 自動車 &gt; ブルム</t>
  </si>
  <si>
    <t>リース</t>
  </si>
  <si>
    <t>オークション &gt; ホビー、カルチャー &gt; ハンドクラフト、手工芸 &gt; アートフラワー、押し花 &gt; リース</t>
  </si>
  <si>
    <t>ヘルパ</t>
  </si>
  <si>
    <t>オークション &gt; アンティーク、コレクション &gt; 印刷物 &gt; ポスター &gt; 野球</t>
  </si>
  <si>
    <t>オークション &gt; おもちゃ、ゲーム &gt; ミニカー &gt; 自動車 &gt; ヘルパ</t>
  </si>
  <si>
    <t>ベストモデル</t>
  </si>
  <si>
    <t>オークション &gt; おもちゃ、ゲーム &gt; ミニカー &gt; 自動車 &gt; ベストモデル</t>
  </si>
  <si>
    <t>押し花</t>
  </si>
  <si>
    <t>オークション &gt; ホビー、カルチャー &gt; ハンドクラフト、手工芸 &gt; アートフラワー、押し花 &gt; 押し花</t>
  </si>
  <si>
    <t>ホットウィール</t>
  </si>
  <si>
    <t>オークション &gt; おもちゃ、ゲーム &gt; ミニカー &gt; 自動車 &gt; ホットウィール</t>
  </si>
  <si>
    <t>オークション &gt; アンティーク、コレクション &gt; 印刷物 &gt; ポスター &gt; その他</t>
  </si>
  <si>
    <t>材料、道具</t>
  </si>
  <si>
    <t>マイスト</t>
  </si>
  <si>
    <t>オークション &gt; ホビー、カルチャー &gt; ハンドクラフト、手工芸 &gt; アートフラワー、押し花 &gt; 材料、道具</t>
  </si>
  <si>
    <t>オークション &gt; おもちゃ、ゲーム &gt; ミニカー &gt; 自動車 &gt; マイスト</t>
  </si>
  <si>
    <t>マジョレット</t>
  </si>
  <si>
    <t>オークション &gt; アンティーク、コレクション &gt; 印刷物 &gt; 絵はがき、ポストカード &gt; 航空機</t>
  </si>
  <si>
    <t>オークション &gt; おもちゃ、ゲーム &gt; ミニカー &gt; 自動車 &gt; マジョレット</t>
  </si>
  <si>
    <t>オークション &gt; ホビー、カルチャー &gt; ハンドクラフト、手工芸 &gt; アートフラワー、押し花 &gt; 作成キット</t>
  </si>
  <si>
    <t>マッチボックス</t>
  </si>
  <si>
    <t>オークション &gt; おもちゃ、ゲーム &gt; ミニカー &gt; 自動車 &gt; マッチボックス</t>
  </si>
  <si>
    <t>オークション &gt; アンティーク、コレクション &gt; 印刷物 &gt; 絵はがき、ポストカード &gt; 鉄道</t>
  </si>
  <si>
    <t>ミニチャンプス</t>
  </si>
  <si>
    <t>オークション &gt; ホビー、カルチャー &gt; ハンドクラフト、手工芸 &gt; アートフラワー、押し花 &gt; 完成品</t>
  </si>
  <si>
    <t>オークション &gt; おもちゃ、ゲーム &gt; ミニカー &gt; 自動車 &gt; ミニチャンプス</t>
  </si>
  <si>
    <t>リアル-X</t>
  </si>
  <si>
    <t>オークション &gt; おもちゃ、ゲーム &gt; ミニカー &gt; 自動車 &gt; リアル-X</t>
  </si>
  <si>
    <t>ドライフラワー</t>
  </si>
  <si>
    <t>オークション &gt; アンティーク、コレクション &gt; 印刷物 &gt; 絵はがき、ポストカード &gt; 動物</t>
  </si>
  <si>
    <t>オークション &gt; ホビー、カルチャー &gt; ハンドクラフト、手工芸 &gt; アートフラワー、押し花 &gt; ドライフラワー</t>
  </si>
  <si>
    <t>レーシングチャンピオン</t>
  </si>
  <si>
    <t>オークション &gt; おもちゃ、ゲーム &gt; ミニカー &gt; 自動車 &gt; レーシングチャンピオン</t>
  </si>
  <si>
    <t>レベル</t>
  </si>
  <si>
    <t>風景、自然</t>
  </si>
  <si>
    <t>トールペイント</t>
  </si>
  <si>
    <t>オークション &gt; おもちゃ、ゲーム &gt; ミニカー &gt; 自動車 &gt; レベル</t>
  </si>
  <si>
    <t>オークション &gt; アンティーク、コレクション &gt; 印刷物 &gt; 絵はがき、ポストカード &gt; 風景、自然</t>
  </si>
  <si>
    <t>オークション &gt; ホビー、カルチャー &gt; ハンドクラフト、手工芸 &gt; 木工、ペイント &gt; トールペイント</t>
  </si>
  <si>
    <t>ホンウェル</t>
  </si>
  <si>
    <t>オークション &gt; おもちゃ、ゲーム &gt; ミニカー &gt; 自動車 &gt; ホンウェル</t>
  </si>
  <si>
    <t>工作キット</t>
  </si>
  <si>
    <t>オークション &gt; ホビー、カルチャー &gt; ハンドクラフト、手工芸 &gt; 木工、ペイント &gt; 工作キット</t>
  </si>
  <si>
    <t>オークション &gt; アンティーク、コレクション &gt; 印刷物 &gt; 絵はがき、ポストカード &gt; その他</t>
  </si>
  <si>
    <t>オークション &gt; おもちゃ、ゲーム &gt; ミニカー &gt; 自動車 &gt; その他</t>
  </si>
  <si>
    <t>オークション &gt; おもちゃ、ゲーム &gt; ミニカー &gt; 航空機 &gt; 軍用機</t>
  </si>
  <si>
    <t>和書</t>
  </si>
  <si>
    <t>オークション &gt; 本、雑誌 &gt; 古書、古文書 &gt; 和書</t>
  </si>
  <si>
    <t>民間航空機</t>
  </si>
  <si>
    <t>オークション &gt; おもちゃ、ゲーム &gt; ミニカー &gt; 航空機 &gt; 民間航空機</t>
  </si>
  <si>
    <t>オークション &gt; ホビー、カルチャー &gt; ハンドクラフト、手工芸 &gt; ガラス工芸 &gt; 工具</t>
  </si>
  <si>
    <t>機関車</t>
  </si>
  <si>
    <t>洋書</t>
  </si>
  <si>
    <t>オークション &gt; おもちゃ、ゲーム &gt; 鉄道模型 &gt; HOゲージ &gt; 機関車</t>
  </si>
  <si>
    <t>オークション &gt; 本、雑誌 &gt; 古書、古文書 &gt; 洋書</t>
  </si>
  <si>
    <t>貨物列車</t>
  </si>
  <si>
    <t>オークション &gt; おもちゃ、ゲーム &gt; 鉄道模型 &gt; HOゲージ &gt; 貨物列車</t>
  </si>
  <si>
    <t>古地図</t>
  </si>
  <si>
    <t>JR、国鉄車輌</t>
  </si>
  <si>
    <t>ガラス材料</t>
  </si>
  <si>
    <t>オークション &gt; 本、雑誌 &gt; 古書、古文書 &gt; 古地図</t>
  </si>
  <si>
    <t>オークション &gt; おもちゃ、ゲーム &gt; 鉄道模型 &gt; HOゲージ &gt; JR、国鉄車輌</t>
  </si>
  <si>
    <t>オークション &gt; ホビー、カルチャー &gt; ハンドクラフト、手工芸 &gt; ガラス工芸 &gt; ガラス材料</t>
  </si>
  <si>
    <t>外国車輌</t>
  </si>
  <si>
    <t>明治、大正</t>
  </si>
  <si>
    <t>オークション &gt; おもちゃ、ゲーム &gt; 鉄道模型 &gt; HOゲージ &gt; 外国車輌</t>
  </si>
  <si>
    <t>オークション &gt; アンティーク、コレクション &gt; 印刷物 &gt; 新聞 &gt; 明治、大正</t>
  </si>
  <si>
    <t>私鉄電車</t>
  </si>
  <si>
    <t>オークション &gt; ホビー、カルチャー &gt; ハンドクラフト、手工芸 &gt; ガラス工芸 &gt; 作成キット</t>
  </si>
  <si>
    <t>オークション &gt; おもちゃ、ゲーム &gt; 鉄道模型 &gt; HOゲージ &gt; 私鉄電車</t>
  </si>
  <si>
    <t>昭和</t>
  </si>
  <si>
    <t>路面電車</t>
  </si>
  <si>
    <t>オークション &gt; アンティーク、コレクション &gt; 印刷物 &gt; 新聞 &gt; 昭和</t>
  </si>
  <si>
    <t>オークション &gt; おもちゃ、ゲーム &gt; 鉄道模型 &gt; HOゲージ &gt; 路面電車</t>
  </si>
  <si>
    <t>とんぼ玉</t>
  </si>
  <si>
    <t>オークション &gt; ホビー、カルチャー &gt; ハンドクラフト、手工芸 &gt; ガラス工芸 &gt; とんぼ玉</t>
  </si>
  <si>
    <t>車輌パーツ</t>
  </si>
  <si>
    <t>オークション &gt; おもちゃ、ゲーム &gt; 鉄道模型 &gt; HOゲージ &gt; 車輌パーツ</t>
  </si>
  <si>
    <t>平成</t>
  </si>
  <si>
    <t>オークション &gt; アンティーク、コレクション &gt; 印刷物 &gt; 新聞 &gt; 平成</t>
  </si>
  <si>
    <t>ステンドグラス</t>
  </si>
  <si>
    <t>ストラクチャー</t>
  </si>
  <si>
    <t>オークション &gt; おもちゃ、ゲーム &gt; 鉄道模型 &gt; HOゲージ &gt; ストラクチャー</t>
  </si>
  <si>
    <t>オークション &gt; ホビー、カルチャー &gt; ハンドクラフト、手工芸 &gt; ガラス工芸 &gt; ステンドグラス</t>
  </si>
  <si>
    <t>オークション &gt; アンティーク、コレクション &gt; 印刷物 &gt; 切り抜き &gt; コミック、アニメーション</t>
  </si>
  <si>
    <t>パワーパック</t>
  </si>
  <si>
    <t>オークション &gt; おもちゃ、ゲーム &gt; 鉄道模型 &gt; HOゲージ &gt; パワーパック</t>
  </si>
  <si>
    <t>オークション &gt; ホビー、カルチャー &gt; ハンドクラフト、手工芸 &gt; キャンドル &gt; 材料、道具</t>
  </si>
  <si>
    <t>線路</t>
  </si>
  <si>
    <t>オークション &gt; おもちゃ、ゲーム &gt; 鉄道模型 &gt; HOゲージ &gt; 線路</t>
  </si>
  <si>
    <t>オークション &gt; アンティーク、コレクション &gt; 印刷物 &gt; 切り抜き &gt; タレント</t>
  </si>
  <si>
    <t>オークション &gt; おもちゃ、ゲーム &gt; 鉄道模型 &gt; HOゲージ &gt; その他</t>
  </si>
  <si>
    <t>オークション &gt; ホビー、カルチャー &gt; ハンドクラフト、手工芸 &gt; キャンドル &gt; 作成キット</t>
  </si>
  <si>
    <t>ディーゼル機関車</t>
  </si>
  <si>
    <t>オークション &gt; おもちゃ、ゲーム &gt; 鉄道模型 &gt; Nゲージ &gt; ディーゼル機関車</t>
  </si>
  <si>
    <t>蒸気機関車</t>
  </si>
  <si>
    <t>オークション &gt; ホビー、カルチャー &gt; ハンドクラフト、手工芸 &gt; キャンドル &gt; 完成品</t>
  </si>
  <si>
    <t>オークション &gt; アンティーク、コレクション &gt; 印刷物 &gt; 切り抜き &gt; ミュージシャン</t>
  </si>
  <si>
    <t>オークション &gt; おもちゃ、ゲーム &gt; 鉄道模型 &gt; Nゲージ &gt; 蒸気機関車</t>
  </si>
  <si>
    <t>電気機関車</t>
  </si>
  <si>
    <t>オークション &gt; おもちゃ、ゲーム &gt; 鉄道模型 &gt; Nゲージ &gt; 電気機関車</t>
  </si>
  <si>
    <t>ラインストーン</t>
  </si>
  <si>
    <t>オークション &gt; ビューティー、ヘルスケア &gt; ネイルケア &gt; ネイルアート用品 &gt; ストーン &gt; ラインストーン</t>
  </si>
  <si>
    <t>オークション &gt; おもちゃ、ゲーム &gt; 鉄道模型 &gt; Nゲージ &gt; JR、国鉄車輌</t>
  </si>
  <si>
    <t>オークション &gt; アンティーク、コレクション &gt; 印刷物 &gt; 切り抜き &gt; 映画</t>
  </si>
  <si>
    <t>チェーン</t>
  </si>
  <si>
    <t>オークション &gt; おもちゃ、ゲーム &gt; 鉄道模型 &gt; Nゲージ &gt; 貨物列車</t>
  </si>
  <si>
    <t>オークション &gt; ビューティー、ヘルスケア &gt; ネイルケア &gt; ネイルアート用品 &gt; ストーン &gt; チェーン</t>
  </si>
  <si>
    <t>オークション &gt; アンティーク、コレクション &gt; 印刷物 &gt; 切り抜き &gt; その他</t>
  </si>
  <si>
    <t>オークション &gt; おもちゃ、ゲーム &gt; 鉄道模型 &gt; Nゲージ &gt; 外国車輌</t>
  </si>
  <si>
    <t>パール</t>
  </si>
  <si>
    <t>私鉄車輌</t>
  </si>
  <si>
    <t>オークション &gt; ビューティー、ヘルスケア &gt; ネイルケア &gt; ネイルアート用品 &gt; ストーン &gt; パール</t>
  </si>
  <si>
    <t>オークション &gt; おもちゃ、ゲーム &gt; 鉄道模型 &gt; Nゲージ &gt; 私鉄車輌</t>
  </si>
  <si>
    <t>アイカツ</t>
  </si>
  <si>
    <t>オークション &gt; おもちゃ、ゲーム &gt; ゲーム &gt; トレーディングカードゲーム &gt; アイカツ</t>
  </si>
  <si>
    <t>オークション &gt; おもちゃ、ゲーム &gt; 鉄道模型 &gt; Nゲージ &gt; 路面電車</t>
  </si>
  <si>
    <t>プラパーツ</t>
  </si>
  <si>
    <t>オークション &gt; ビューティー、ヘルスケア &gt; ネイルケア &gt; ネイルアート用品 &gt; ストーン &gt; プラパーツ</t>
  </si>
  <si>
    <t>オークション &gt; おもちゃ、ゲーム &gt; 鉄道模型 &gt; Nゲージ &gt; 車輌パーツ</t>
  </si>
  <si>
    <t>オーナーズホース</t>
  </si>
  <si>
    <t>オークション &gt; おもちゃ、ゲーム &gt; ゲーム &gt; トレーディングカードゲーム &gt; オーナーズホース</t>
  </si>
  <si>
    <t>オークション &gt; おもちゃ、ゲーム &gt; 鉄道模型 &gt; Nゲージ &gt; ストラクチャー</t>
  </si>
  <si>
    <t>オークション &gt; ビューティー、ヘルスケア &gt; ネイルケア &gt; ネイルアート用品 &gt; ストーン &gt; その他</t>
  </si>
  <si>
    <t>オークション &gt; おもちゃ、ゲーム &gt; 鉄道模型 &gt; Nゲージ &gt; パワーパック</t>
  </si>
  <si>
    <t>きらりんレボリューション</t>
  </si>
  <si>
    <t>オークション &gt; おもちゃ、ゲーム &gt; ゲーム &gt; トレーディングカードゲーム &gt; きらりんレボリューション</t>
  </si>
  <si>
    <t>スーパードルフィー</t>
  </si>
  <si>
    <t>オークション &gt; おもちゃ、ゲーム &gt; 人形、キャラクタードール &gt; スーパードルフィー</t>
  </si>
  <si>
    <t>オークション &gt; おもちゃ、ゲーム &gt; 鉄道模型 &gt; Nゲージ &gt; 線路</t>
  </si>
  <si>
    <t>カードファイト!!　ヴァンガード</t>
  </si>
  <si>
    <t>オークション &gt; おもちゃ、ゲーム &gt; 鉄道模型 &gt; Nゲージ &gt; その他</t>
  </si>
  <si>
    <t>オークション &gt; おもちゃ、ゲーム &gt; ゲーム &gt; トレーディングカードゲーム &gt; カードファイト!!　ヴァンガード</t>
  </si>
  <si>
    <t>ドルフィードリーム</t>
  </si>
  <si>
    <t>ロボット</t>
  </si>
  <si>
    <t>オークション &gt; おもちゃ、ゲーム &gt; 人形、キャラクタードール &gt; ドルフィードリーム</t>
  </si>
  <si>
    <t>オークション &gt; おもちゃ、ゲーム &gt; ビンテージ &gt; ブリキ &gt; ロボット</t>
  </si>
  <si>
    <t>ガンダムウォー</t>
  </si>
  <si>
    <t>人間</t>
  </si>
  <si>
    <t>オークション &gt; おもちゃ、ゲーム &gt; ゲーム &gt; トレーディングカードゲーム &gt; ガンダムウォー</t>
  </si>
  <si>
    <t>オークション &gt; おもちゃ、ゲーム &gt; ビンテージ &gt; ブリキ &gt; 人間</t>
  </si>
  <si>
    <t>カスタムドール</t>
  </si>
  <si>
    <t>オークション &gt; おもちゃ、ゲーム &gt; 人形、キャラクタードール &gt; カスタムドール</t>
  </si>
  <si>
    <t>オークション &gt; おもちゃ、ゲーム &gt; ビンテージ &gt; ブリキ &gt; 動物</t>
  </si>
  <si>
    <t>ガンダムトライエイジ</t>
  </si>
  <si>
    <t>オークション &gt; おもちゃ、ゲーム &gt; ゲーム &gt; トレーディングカードゲーム &gt; ガンダムトライエイジ</t>
  </si>
  <si>
    <t>オークション &gt; おもちゃ、ゲーム &gt; ビンテージ &gt; ブリキ &gt; 乗り物</t>
  </si>
  <si>
    <t>オークション &gt; おもちゃ、ゲーム &gt; ビンテージ &gt; ブリキ &gt; その他</t>
  </si>
  <si>
    <t>キングオブプロレスリング</t>
  </si>
  <si>
    <t>キャラクタードール</t>
  </si>
  <si>
    <t>オークション &gt; おもちゃ、ゲーム &gt; ゲーム &gt; トレーディングカードゲーム &gt; キングオブプロレスリング</t>
  </si>
  <si>
    <t>オークション &gt; おもちゃ、ゲーム &gt; 人形、キャラクタードール &gt; キャラクタードール</t>
  </si>
  <si>
    <t>クルセイド</t>
  </si>
  <si>
    <t>着せかえ人形</t>
  </si>
  <si>
    <t>オークション &gt; おもちゃ、ゲーム &gt; ゲーム &gt; トレーディングカードゲーム &gt; クルセイド</t>
  </si>
  <si>
    <t>オークション &gt; おもちゃ、ゲーム &gt; 人形、キャラクタードール &gt; 着せかえ人形</t>
  </si>
  <si>
    <t>仮面ライダーバトル ガンバライド</t>
  </si>
  <si>
    <t>オークション &gt; おもちゃ、ゲーム &gt; ゲーム &gt; トレーディングカードゲーム &gt; 仮面ライダーバトル ガンバライド</t>
  </si>
  <si>
    <t>オークション &gt; おもちゃ、ゲーム &gt; 人形、キャラクタードール &gt; 日本人形</t>
  </si>
  <si>
    <t>ビスクドール</t>
  </si>
  <si>
    <t>Z/X ゼクス</t>
  </si>
  <si>
    <t>オークション &gt; おもちゃ、ゲーム &gt; 人形、キャラクタードール &gt; ビスクドール</t>
  </si>
  <si>
    <t>オークション &gt; おもちゃ、ゲーム &gt; ゲーム &gt; トレーディングカードゲーム &gt; Z/X ゼクス</t>
  </si>
  <si>
    <t>ドールハウス</t>
  </si>
  <si>
    <t>オークション &gt; おもちゃ、ゲーム &gt; 人形、キャラクタードール &gt; ドールハウス</t>
  </si>
  <si>
    <t>スーパー戦隊バトル ダイスオー</t>
  </si>
  <si>
    <t>オークション &gt; おもちゃ、ゲーム &gt; 人形、キャラクタードール &gt; スーパードルフィー &gt; 本体</t>
  </si>
  <si>
    <t>オークション &gt; おもちゃ、ゲーム &gt; ゲーム &gt; トレーディングカードゲーム &gt; スーパー戦隊バトル ダイスオー</t>
  </si>
  <si>
    <t>抱き人形、ベビー人形</t>
  </si>
  <si>
    <t>服、靴</t>
  </si>
  <si>
    <t>オークション &gt; おもちゃ、ゲーム &gt; 人形、キャラクタードール &gt; スーパードルフィー &gt; 服、靴</t>
  </si>
  <si>
    <t>オークション &gt; おもちゃ、ゲーム &gt; 人形、キャラクタードール &gt; 抱き人形、ベビー人形</t>
  </si>
  <si>
    <t>オークション &gt; おもちゃ、ゲーム &gt; 人形、キャラクタードール &gt; スーパードルフィー &gt; パーツ</t>
  </si>
  <si>
    <t>三国志大戦</t>
  </si>
  <si>
    <t>オークション &gt; おもちゃ、ゲーム &gt; 人形、キャラクタードール &gt; スーパードルフィー &gt; アクセサリー</t>
  </si>
  <si>
    <t>オークション &gt; おもちゃ、ゲーム &gt; ゲーム &gt; トレーディングカードゲーム &gt; 三国志大戦</t>
  </si>
  <si>
    <t>手作り人形</t>
  </si>
  <si>
    <t>オークション &gt; おもちゃ、ゲーム &gt; 人形、キャラクタードール &gt; スーパードルフィー &gt; その他</t>
  </si>
  <si>
    <t>オークション &gt; おもちゃ、ゲーム &gt; 人形、キャラクタードール &gt; 手作り人形</t>
  </si>
  <si>
    <t>オークション &gt; おもちゃ、ゲーム &gt; 人形、キャラクタードール &gt; ドルフィードリーム &gt; 本体</t>
  </si>
  <si>
    <t>神羅万象</t>
  </si>
  <si>
    <t>オークション &gt; おもちゃ、ゲーム &gt; 人形、キャラクタードール &gt; ドルフィードリーム &gt; パーツ</t>
  </si>
  <si>
    <t>オークション &gt; おもちゃ、ゲーム &gt; ゲーム &gt; トレーディングカードゲーム &gt; 神羅万象</t>
  </si>
  <si>
    <t>ぬいぐるみ</t>
  </si>
  <si>
    <t>オークション &gt; おもちゃ、ゲーム &gt; 人形、キャラクタードール &gt; ドルフィードリーム &gt; その他</t>
  </si>
  <si>
    <t>オークション &gt; おもちゃ、ゲーム &gt; 人形、キャラクタードール &gt; ぬいぐるみ</t>
  </si>
  <si>
    <t>オークション &gt; おもちゃ、ゲーム &gt; 人形、キャラクタードール &gt; カスタムドール &gt; 本体</t>
  </si>
  <si>
    <t>フィギュア</t>
  </si>
  <si>
    <t>オークション &gt; おもちゃ、ゲーム &gt; 人形、キャラクタードール &gt; フィギュア</t>
  </si>
  <si>
    <t>オークション &gt; おもちゃ、ゲーム &gt; 人形、キャラクタードール &gt; カスタムドール &gt; パーツ</t>
  </si>
  <si>
    <t>戦国大戦</t>
  </si>
  <si>
    <t>オークション &gt; おもちゃ、ゲーム &gt; ゲーム &gt; トレーディングカードゲーム &gt; 戦国大戦</t>
  </si>
  <si>
    <t>オークション &gt; おもちゃ、ゲーム &gt; 人形、キャラクタードール &gt; カスタムドール &gt; その他</t>
  </si>
  <si>
    <t>オークション &gt; おもちゃ、ゲーム &gt; 人形、キャラクタードール &gt; その他</t>
  </si>
  <si>
    <t>オークション &gt; おもちゃ、ゲーム &gt; ゲーム &gt; トレーディングカードゲーム &gt; WCCF</t>
  </si>
  <si>
    <t>オークション &gt; おもちゃ、ゲーム &gt; ゲーム &gt; トレーディングカードゲーム &gt; デジタルモンスター</t>
  </si>
  <si>
    <t>デュエルマスターズ</t>
  </si>
  <si>
    <t>オークション &gt; おもちゃ、ゲーム &gt; ゲーム &gt; トレーディングカードゲーム &gt; デュエルマスターズ</t>
  </si>
  <si>
    <t>トリコ</t>
  </si>
  <si>
    <t>オークション &gt; おもちゃ、ゲーム &gt; ゲーム &gt; トレーディングカードゲーム &gt; トリコ</t>
  </si>
  <si>
    <t>オークション &gt; おもちゃ、ゲーム &gt; ゲーム &gt; トレーディングカードゲーム &gt; ドラゴンクエスト</t>
  </si>
  <si>
    <t>オークション &gt; おもちゃ、ゲーム &gt; ゲーム &gt; トレーディングカードゲーム &gt; ドラゴンボール</t>
  </si>
  <si>
    <t>画材</t>
  </si>
  <si>
    <t>オークション &gt; ホビー、カルチャー &gt; アート用品 &gt; 画材</t>
  </si>
  <si>
    <t>超速変形ジャイロゼッター</t>
  </si>
  <si>
    <t>オークション &gt; おもちゃ、ゲーム &gt; ゲーム &gt; トレーディングカードゲーム &gt; 超速変形ジャイロゼッター</t>
  </si>
  <si>
    <t>オークション &gt; ホビー、カルチャー &gt; アート用品 &gt; 額縁</t>
  </si>
  <si>
    <t>オークション &gt; おもちゃ、ゲーム &gt; ゲーム &gt; トレーディングカードゲーム &gt; NARUTO</t>
  </si>
  <si>
    <t>美術品</t>
  </si>
  <si>
    <t>オークション &gt; ホビー、カルチャー &gt; アート用品 &gt; 美術品</t>
  </si>
  <si>
    <t>バトルスピリッツ</t>
  </si>
  <si>
    <t>オークション &gt; おもちゃ、ゲーム &gt; ゲーム &gt; トレーディングカードゲーム &gt; バトルスピリッツ</t>
  </si>
  <si>
    <t>オークション &gt; ホビー、カルチャー &gt; アート用品 &gt; その他</t>
  </si>
  <si>
    <t>パニーニフットボールリーグ</t>
  </si>
  <si>
    <t>オークション &gt; おもちゃ、ゲーム &gt; ゲーム &gt; トレーディングカードゲーム &gt; パニーニフットボールリーグ</t>
  </si>
  <si>
    <t>トルソー</t>
  </si>
  <si>
    <t>オークション &gt; 事務、店舗用品 &gt; 店舗用品 &gt; マネキン &gt; トルソー</t>
  </si>
  <si>
    <t>ファイナルファンタジーTCG</t>
  </si>
  <si>
    <t>オークション &gt; おもちゃ、ゲーム &gt; ゲーム &gt; トレーディングカードゲーム &gt; ファイナルファンタジーTCG</t>
  </si>
  <si>
    <t>マネキン</t>
  </si>
  <si>
    <t>オークション &gt; 事務、店舗用品 &gt; 店舗用品 &gt; マネキン &gt; マネキン</t>
  </si>
  <si>
    <t>フットボールオールスターズ</t>
  </si>
  <si>
    <t>オークション &gt; おもちゃ、ゲーム &gt; ゲーム &gt; トレーディングカードゲーム &gt; フットボールオールスターズ</t>
  </si>
  <si>
    <t>オークション &gt; 事務、店舗用品 &gt; 店舗用品 &gt; マネキン &gt; その他</t>
  </si>
  <si>
    <t>プリキュア</t>
  </si>
  <si>
    <t>オークション &gt; おもちゃ、ゲーム &gt; ゲーム &gt; トレーディングカードゲーム &gt; プリキュア</t>
  </si>
  <si>
    <t>ビーズ細工</t>
  </si>
  <si>
    <t>オークション &gt; ホビー、カルチャー &gt; ハンドクラフト、手工芸 &gt; 完成品 &gt; ビーズ細工</t>
  </si>
  <si>
    <t>プリズムストーン</t>
  </si>
  <si>
    <t>オークション &gt; おもちゃ、ゲーム &gt; ゲーム &gt; トレーディングカードゲーム &gt; プリズムストーン</t>
  </si>
  <si>
    <t>レザークラフト</t>
  </si>
  <si>
    <t>オークション &gt; ホビー、カルチャー &gt; ハンドクラフト、手工芸 &gt; 完成品 &gt; レザークラフト</t>
  </si>
  <si>
    <t>プレシャスメモリーズ</t>
  </si>
  <si>
    <t>裁縫、刺繍</t>
  </si>
  <si>
    <t>オークション &gt; おもちゃ、ゲーム &gt; ゲーム &gt; トレーディングカードゲーム &gt; プレシャスメモリーズ</t>
  </si>
  <si>
    <t>オークション &gt; ホビー、カルチャー &gt; ハンドクラフト、手工芸 &gt; 完成品 &gt; 裁縫、刺繍</t>
  </si>
  <si>
    <t>プロ野球オーナーズリーグ</t>
  </si>
  <si>
    <t>人形</t>
  </si>
  <si>
    <t>オークション &gt; おもちゃ、ゲーム &gt; ゲーム &gt; トレーディングカードゲーム &gt; プロ野球オーナーズリーグ</t>
  </si>
  <si>
    <t>オークション &gt; ホビー、カルチャー &gt; ハンドクラフト、手工芸 &gt; 完成品 &gt; 人形</t>
  </si>
  <si>
    <t>ベースボールヒーローズ</t>
  </si>
  <si>
    <t>オークション &gt; ホビー、カルチャー &gt; ハンドクラフト、手工芸 &gt; 完成品 &gt; 陶芸</t>
  </si>
  <si>
    <t>オークション &gt; おもちゃ、ゲーム &gt; ゲーム &gt; トレーディングカードゲーム &gt; ベースボールヒーローズ</t>
  </si>
  <si>
    <t>編物</t>
  </si>
  <si>
    <t>オークション &gt; おもちゃ、ゲーム &gt; ゲーム &gt; トレーディングカードゲーム &gt; ポケモンカードゲーム</t>
  </si>
  <si>
    <t>オークション &gt; ホビー、カルチャー &gt; ハンドクラフト、手工芸 &gt; 完成品 &gt; 編物</t>
  </si>
  <si>
    <t>ポケモントレッタ</t>
  </si>
  <si>
    <t>オークション &gt; おもちゃ、ゲーム &gt; ゲーム &gt; トレーディングカードゲーム &gt; ポケモントレッタ</t>
  </si>
  <si>
    <t>電動ガン</t>
  </si>
  <si>
    <t>オークション &gt; ホビー、カルチャー &gt; ミリタリー &gt; トイガン &gt; 電動ガン</t>
  </si>
  <si>
    <t>オークション &gt; おもちゃ、ゲーム &gt; ゲーム &gt; トレーディングカードゲーム &gt; ポケモンバトリオ</t>
  </si>
  <si>
    <t>ガスガン</t>
  </si>
  <si>
    <t>オークション &gt; ホビー、カルチャー &gt; ミリタリー &gt; トイガン &gt; ガスガン</t>
  </si>
  <si>
    <t>ヴァイスシュヴァルツ</t>
  </si>
  <si>
    <t>オークション &gt; おもちゃ、ゲーム &gt; ゲーム &gt; トレーディングカードゲーム &gt; ヴァイスシュヴァルツ</t>
  </si>
  <si>
    <t>百獣大戦 アニマルカイザー</t>
  </si>
  <si>
    <t>オークション &gt; おもちゃ、ゲーム &gt; ゲーム &gt; トレーディングカードゲーム &gt; 百獣大戦 アニマルカイザー</t>
  </si>
  <si>
    <t>エアガン</t>
  </si>
  <si>
    <t>オークション &gt; ホビー、カルチャー &gt; ミリタリー &gt; トイガン &gt; エアガン</t>
  </si>
  <si>
    <t>Magic: The Gathering</t>
  </si>
  <si>
    <t>オークション &gt; おもちゃ、ゲーム &gt; ゲーム &gt; トレーディングカードゲーム &gt; Magic: The Gathering</t>
  </si>
  <si>
    <t>オークション &gt; ホビー、カルチャー &gt; ミリタリー &gt; トイガン &gt; パーツ</t>
  </si>
  <si>
    <t>遊戯王（コナミ）</t>
  </si>
  <si>
    <t>オークション &gt; おもちゃ、ゲーム &gt; ゲーム &gt; トレーディングカードゲーム &gt; 遊戯王（コナミ）</t>
  </si>
  <si>
    <t>モデルガン</t>
  </si>
  <si>
    <t>バービー</t>
  </si>
  <si>
    <t>オークション &gt; ホビー、カルチャー &gt; ミリタリー &gt; トイガン &gt; モデルガン</t>
  </si>
  <si>
    <t>オークション &gt; おもちゃ、ゲーム &gt; 人形、キャラクタードール &gt; 着せかえ人形 &gt; バービー</t>
  </si>
  <si>
    <t>遊戯王（バンダイ）</t>
  </si>
  <si>
    <t>オークション &gt; おもちゃ、ゲーム &gt; ゲーム &gt; トレーディングカードゲーム &gt; 遊戯王（バンダイ）</t>
  </si>
  <si>
    <t>ジェニー</t>
  </si>
  <si>
    <t>オークション &gt; おもちゃ、ゲーム &gt; 人形、キャラクタードール &gt; 着せかえ人形 &gt; ジェニー</t>
  </si>
  <si>
    <t>オークション &gt; ホビー、カルチャー &gt; ミリタリー &gt; トイガン &gt; その他</t>
  </si>
  <si>
    <t>妖怪ウォッチ</t>
  </si>
  <si>
    <t>オークション &gt; おもちゃ、ゲーム &gt; ゲーム &gt; トレーディングカードゲーム &gt; 妖怪ウォッチ</t>
  </si>
  <si>
    <t>リカちゃん</t>
  </si>
  <si>
    <t>オークション &gt; おもちゃ、ゲーム &gt; 人形、キャラクタードール &gt; 着せかえ人形 &gt; リカちゃん</t>
  </si>
  <si>
    <t>ヘルメット</t>
  </si>
  <si>
    <t>オークション &gt; ホビー、カルチャー &gt; ミリタリー &gt; 個人装備 &gt; ヘルメット</t>
  </si>
  <si>
    <t>momoko</t>
  </si>
  <si>
    <t>オークション &gt; おもちゃ、ゲーム &gt; 人形、キャラクタードール &gt; 着せかえ人形 &gt; momoko</t>
  </si>
  <si>
    <t>トレーディングカード</t>
  </si>
  <si>
    <t>オークション &gt; おもちゃ、ゲーム &gt; ゲーム &gt; トレーディングカードゲーム &gt; トレーディングカード</t>
  </si>
  <si>
    <t>コンパクトドール</t>
  </si>
  <si>
    <t>オークション &gt; おもちゃ、ゲーム &gt; 人形、キャラクタードール &gt; 着せかえ人形 &gt; コンパクトドール</t>
  </si>
  <si>
    <t>帽子</t>
  </si>
  <si>
    <t>リセ</t>
  </si>
  <si>
    <t>オークション &gt; ホビー、カルチャー &gt; ミリタリー &gt; 個人装備 &gt; 帽子</t>
  </si>
  <si>
    <t>オークション &gt; おもちゃ、ゲーム &gt; ゲーム &gt; トレーディングカードゲーム &gt; リセ</t>
  </si>
  <si>
    <t>オークション &gt; おもちゃ、ゲーム &gt; 人形、キャラクタードール &gt; 着せかえ人形 &gt; ブライス</t>
  </si>
  <si>
    <t>制服</t>
  </si>
  <si>
    <t>オークション &gt; おもちゃ、ゲーム &gt; 人形、キャラクタードール &gt; 着せかえ人形 &gt; その他</t>
  </si>
  <si>
    <t>レンジャーズストライク</t>
  </si>
  <si>
    <t>オークション &gt; ホビー、カルチャー &gt; ミリタリー &gt; 個人装備 &gt; 制服</t>
  </si>
  <si>
    <t>オークション &gt; おもちゃ、ゲーム &gt; ゲーム &gt; トレーディングカードゲーム &gt; レンジャーズストライク</t>
  </si>
  <si>
    <t>こけし</t>
  </si>
  <si>
    <t>オークション &gt; おもちゃ、ゲーム &gt; 人形、キャラクタードール &gt; 日本人形 &gt; こけし</t>
  </si>
  <si>
    <t>戦闘服</t>
  </si>
  <si>
    <t>ひな人形</t>
  </si>
  <si>
    <t>ロード オブ ヴァーミリオン</t>
  </si>
  <si>
    <t>オークション &gt; ホビー、カルチャー &gt; ミリタリー &gt; 個人装備 &gt; 戦闘服</t>
  </si>
  <si>
    <t>オークション &gt; おもちゃ、ゲーム &gt; 人形、キャラクタードール &gt; 日本人形 &gt; ひな人形</t>
  </si>
  <si>
    <t>オークション &gt; おもちゃ、ゲーム &gt; ゲーム &gt; トレーディングカードゲーム &gt; ロード オブ ヴァーミリオン</t>
  </si>
  <si>
    <t>五月人形</t>
  </si>
  <si>
    <t>オークション &gt; おもちゃ、ゲーム &gt; 人形、キャラクタードール &gt; 日本人形 &gt; 五月人形</t>
  </si>
  <si>
    <t>フライトジャケット</t>
  </si>
  <si>
    <t>オークション &gt; ホビー、カルチャー &gt; ミリタリー &gt; 個人装備 &gt; フライトジャケット</t>
  </si>
  <si>
    <t>御所人形</t>
  </si>
  <si>
    <t>ワンピース</t>
  </si>
  <si>
    <t>オークション &gt; おもちゃ、ゲーム &gt; 人形、キャラクタードール &gt; 日本人形 &gt; 御所人形</t>
  </si>
  <si>
    <t>オークション &gt; おもちゃ、ゲーム &gt; ゲーム &gt; トレーディングカードゲーム &gt; ワンピース</t>
  </si>
  <si>
    <t>市松人形</t>
  </si>
  <si>
    <t>Tシャツ</t>
  </si>
  <si>
    <t>オークション &gt; おもちゃ、ゲーム &gt; 人形、キャラクタードール &gt; 日本人形 &gt; 市松人形</t>
  </si>
  <si>
    <t>オークション &gt; ホビー、カルチャー &gt; ミリタリー &gt; 個人装備 &gt; Tシャツ</t>
  </si>
  <si>
    <t>木目込人形</t>
  </si>
  <si>
    <t>オークション &gt; おもちゃ、ゲーム &gt; ゲーム &gt; トレーディングカードゲーム &gt; その他</t>
  </si>
  <si>
    <t>オークション &gt; おもちゃ、ゲーム &gt; 人形、キャラクタードール &gt; 日本人形 &gt; 木目込人形</t>
  </si>
  <si>
    <t>オークション &gt; おもちゃ、ゲーム &gt; 人形、キャラクタードール &gt; 日本人形 &gt; その他</t>
  </si>
  <si>
    <t>作品別</t>
  </si>
  <si>
    <t>オークション &gt; アンティーク、コレクション &gt; トレーディングカード &gt; コミック、アニメーション &gt; 作品別</t>
  </si>
  <si>
    <t>パンツ</t>
  </si>
  <si>
    <t>オークション &gt; ホビー、カルチャー &gt; ミリタリー &gt; 個人装備 &gt; パンツ</t>
  </si>
  <si>
    <t>オークション &gt; おもちゃ、ゲーム &gt; ぬいぐるみ &gt; キャラクター</t>
  </si>
  <si>
    <t>テレビゲームトレカ</t>
  </si>
  <si>
    <t>オークション &gt; おもちゃ、ゲーム &gt; ぬいぐるみ &gt; 動物</t>
  </si>
  <si>
    <t>オークション &gt; アンティーク、コレクション &gt; トレーディングカード &gt; コミック、アニメーション &gt; テレビゲームトレカ</t>
  </si>
  <si>
    <t>テディベア</t>
  </si>
  <si>
    <t>オークション &gt; おもちゃ、ゲーム &gt; ぬいぐるみ &gt; テディベア</t>
  </si>
  <si>
    <t>靴</t>
  </si>
  <si>
    <t>オークション &gt; ホビー、カルチャー &gt; ミリタリー &gt; 個人装備 &gt; 靴</t>
  </si>
  <si>
    <t>あみぐるみ</t>
  </si>
  <si>
    <t>オークション &gt; アンティーク、コレクション &gt; トレーディングカード &gt; スポーツ &gt; 野球</t>
  </si>
  <si>
    <t>オークション &gt; おもちゃ、ゲーム &gt; ぬいぐるみ &gt; あみぐるみ</t>
  </si>
  <si>
    <t>羊毛フェルト</t>
  </si>
  <si>
    <t>マガジンポーチ</t>
  </si>
  <si>
    <t>オークション &gt; おもちゃ、ゲーム &gt; ぬいぐるみ &gt; 羊毛フェルト</t>
  </si>
  <si>
    <t>オークション &gt; ホビー、カルチャー &gt; ミリタリー &gt; 個人装備 &gt; マガジンポーチ</t>
  </si>
  <si>
    <t>オークション &gt; アンティーク、コレクション &gt; トレーディングカード &gt; スポーツ &gt; サッカー</t>
  </si>
  <si>
    <t>Ty ビーニーズ</t>
  </si>
  <si>
    <t>オークション &gt; おもちゃ、ゲーム &gt; ぬいぐるみ &gt; Ty ビーニーズ</t>
  </si>
  <si>
    <t>弾帯</t>
  </si>
  <si>
    <t>オークション &gt; ホビー、カルチャー &gt; ミリタリー &gt; 個人装備 &gt; 弾帯</t>
  </si>
  <si>
    <t>コミック、アニメ</t>
  </si>
  <si>
    <t>オークション &gt; アンティーク、コレクション &gt; トレーディングカード &gt; スポーツ &gt; バスケットボール</t>
  </si>
  <si>
    <t>オークション &gt; おもちゃ、ゲーム &gt; フィギュア &gt; コミック、アニメ</t>
  </si>
  <si>
    <t>オークション &gt; アンティーク、コレクション &gt; トレーディングカード &gt; スポーツ &gt; 格闘技、プロレス</t>
  </si>
  <si>
    <t>オークション &gt; おもちゃ、ゲーム &gt; フィギュア &gt; 特撮</t>
  </si>
  <si>
    <t>オークション &gt; ホビー、カルチャー &gt; ミリタリー &gt; 個人装備 &gt; その他</t>
  </si>
  <si>
    <t>ゲームキャラクター</t>
  </si>
  <si>
    <t>オークション &gt; おもちゃ、ゲーム &gt; フィギュア &gt; ゲームキャラクター</t>
  </si>
  <si>
    <t>オークション &gt; アンティーク、コレクション &gt; トレーディングカード &gt; スポーツ &gt; その他</t>
  </si>
  <si>
    <t>オークション &gt; ホビー、カルチャー &gt; ミリタリー &gt; 小物、アクセサリー &gt; Tシャツ</t>
  </si>
  <si>
    <t>オークション &gt; おもちゃ、ゲーム &gt; フィギュア &gt; SF、ファンタジー、ホラー</t>
  </si>
  <si>
    <t>アメコミ</t>
  </si>
  <si>
    <t>ライター</t>
  </si>
  <si>
    <t>オークション &gt; おもちゃ、ゲーム &gt; フィギュア &gt; アメコミ</t>
  </si>
  <si>
    <t>オークション &gt; ホビー、カルチャー &gt; ミリタリー &gt; 小物、アクセサリー &gt; ライター</t>
  </si>
  <si>
    <t>オークション &gt; アンティーク、コレクション &gt; トレーディングカード &gt; タレント &gt; 女性タレント</t>
  </si>
  <si>
    <t>オークション &gt; おもちゃ、ゲーム &gt; フィギュア &gt; スポーツ</t>
  </si>
  <si>
    <t>オークション &gt; アンティーク、コレクション &gt; トレーディングカード &gt; タレント &gt; 男性タレント</t>
  </si>
  <si>
    <t>徽章</t>
  </si>
  <si>
    <t>オークション &gt; おもちゃ、ゲーム &gt; フィギュア &gt; ミリタリー</t>
  </si>
  <si>
    <t>オークション &gt; ホビー、カルチャー &gt; ミリタリー &gt; 小物、アクセサリー &gt; 徽章</t>
  </si>
  <si>
    <t>生き物</t>
  </si>
  <si>
    <t>オークション &gt; おもちゃ、ゲーム &gt; フィギュア &gt; 生き物</t>
  </si>
  <si>
    <t>腕時計</t>
  </si>
  <si>
    <t>オークション &gt; ホビー、カルチャー &gt; ミリタリー &gt; 小物、アクセサリー &gt; 腕時計</t>
  </si>
  <si>
    <t>オークション &gt; おもちゃ、ゲーム &gt; フィギュア &gt; 芸能人、タレント</t>
  </si>
  <si>
    <t>オークション &gt; おもちゃ、ゲーム &gt; フィギュア &gt; 時代劇</t>
  </si>
  <si>
    <t>オークション &gt; ホビー、カルチャー &gt; ミリタリー &gt; 小物、アクセサリー &gt; その他</t>
  </si>
  <si>
    <t>オークション &gt; おもちゃ、ゲーム &gt; フィギュア &gt; 創作、オリジナル</t>
  </si>
  <si>
    <t>オークション &gt; おもちゃ、ゲーム &gt; フィギュア &gt; キャラクタードール</t>
  </si>
  <si>
    <t>オークション &gt; おもちゃ、ゲーム &gt; フィギュア &gt; その他</t>
  </si>
  <si>
    <t>オークション &gt; おもちゃ、ゲーム &gt; ぬいぐるみ &gt; キャラクター &gt; あらいぐまラスカル</t>
  </si>
  <si>
    <t>オークション &gt; アンティーク、コレクション &gt; トレーディングカード &gt; 特撮 &gt; ウルトラマン</t>
  </si>
  <si>
    <t>おさわり探偵なめこ栽培キット</t>
  </si>
  <si>
    <t>オークション &gt; おもちゃ、ゲーム &gt; ぬいぐるみ &gt; キャラクター &gt; おさわり探偵なめこ栽培キット</t>
  </si>
  <si>
    <t>オークション &gt; おもちゃ、ゲーム &gt; ぬいぐるみ &gt; キャラクター &gt; おじゃる丸</t>
  </si>
  <si>
    <t>オークション &gt; アンティーク、コレクション &gt; トレーディングカード &gt; 特撮 &gt; 仮面ライダー</t>
  </si>
  <si>
    <t>アフロ犬</t>
  </si>
  <si>
    <t>オークション &gt; おもちゃ、ゲーム &gt; ぬいぐるみ &gt; キャラクター &gt; アフロ犬</t>
  </si>
  <si>
    <t>オークション &gt; おもちゃ、ゲーム &gt; ぬいぐるみ &gt; キャラクター &gt; アンパンマン</t>
  </si>
  <si>
    <t>オークション &gt; アンティーク、コレクション &gt; トレーディングカード &gt; 特撮 &gt; 戦隊シリーズ</t>
  </si>
  <si>
    <t>こげぱん</t>
  </si>
  <si>
    <t>オークション &gt; おもちゃ、ゲーム &gt; ぬいぐるみ &gt; キャラクター &gt; こげぱん</t>
  </si>
  <si>
    <t>カピバラさん</t>
  </si>
  <si>
    <t>オークション &gt; アンティーク、コレクション &gt; トレーディングカード &gt; 特撮 &gt; その他</t>
  </si>
  <si>
    <t>オークション &gt; おもちゃ、ゲーム &gt; ぬいぐるみ &gt; キャラクター &gt; カピバラさん</t>
  </si>
  <si>
    <t>ガチャピン、ムック</t>
  </si>
  <si>
    <t>オークション &gt; おもちゃ、ゲーム &gt; ぬいぐるみ &gt; キャラクター &gt; ガチャピン、ムック</t>
  </si>
  <si>
    <t>アサヒ</t>
  </si>
  <si>
    <t>オークション &gt; アンティーク、コレクション &gt; 広告、ノベルティグッズ &gt; ドリンク &gt; アサヒ</t>
  </si>
  <si>
    <t>キョロちゃん</t>
  </si>
  <si>
    <t>オークション &gt; おもちゃ、ゲーム &gt; ぬいぐるみ &gt; キャラクター &gt; キョロちゃん</t>
  </si>
  <si>
    <t>グレイトフル・デッドベア</t>
  </si>
  <si>
    <t>キリン</t>
  </si>
  <si>
    <t>オークション &gt; おもちゃ、ゲーム &gt; ぬいぐるみ &gt; キャラクター &gt; グレイトフル・デッドベア</t>
  </si>
  <si>
    <t>オークション &gt; アンティーク、コレクション &gt; 広告、ノベルティグッズ &gt; ドリンク &gt; キリン</t>
  </si>
  <si>
    <t>オークション &gt; おもちゃ、ゲーム &gt; ぬいぐるみ &gt; キャラクター &gt; ケンケン</t>
  </si>
  <si>
    <t>コカ・コーラ</t>
  </si>
  <si>
    <t>オークション &gt; アンティーク、コレクション &gt; 広告、ノベルティグッズ &gt; ドリンク &gt; コカ・コーラ</t>
  </si>
  <si>
    <t>サンリオ</t>
  </si>
  <si>
    <t>オークション &gt; おもちゃ、ゲーム &gt; ぬいぐるみ &gt; キャラクター &gt; サンリオ</t>
  </si>
  <si>
    <t>サントリー</t>
  </si>
  <si>
    <t>オークション &gt; アンティーク、コレクション &gt; 広告、ノベルティグッズ &gt; ドリンク &gt; サントリー</t>
  </si>
  <si>
    <t>オークション &gt; おもちゃ、ゲーム &gt; ぬいぐるみ &gt; キャラクター &gt; セサミストリート</t>
  </si>
  <si>
    <t>たれぱんだ</t>
  </si>
  <si>
    <t>ペプシコーラ</t>
  </si>
  <si>
    <t>オークション &gt; おもちゃ、ゲーム &gt; ぬいぐるみ &gt; キャラクター &gt; たれぱんだ</t>
  </si>
  <si>
    <t>オークション &gt; アンティーク、コレクション &gt; 広告、ノベルティグッズ &gt; ドリンク &gt; ペプシコーラ</t>
  </si>
  <si>
    <t>オークション &gt; おもちゃ、ゲーム &gt; ぬいぐるみ &gt; キャラクター &gt; となりのトトロ</t>
  </si>
  <si>
    <t>オークション &gt; アンティーク、コレクション &gt; 広告、ノベルティグッズ &gt; ドリンク &gt; その他</t>
  </si>
  <si>
    <t>オークション &gt; おもちゃ、ゲーム &gt; ぬいぐるみ &gt; キャラクター &gt; どこでもいっしょ</t>
  </si>
  <si>
    <t>ジュエリー用裸石</t>
  </si>
  <si>
    <t>オークション &gt; おもちゃ、ゲーム &gt; ぬいぐるみ &gt; キャラクター &gt; テレタビーズ</t>
  </si>
  <si>
    <t>オークション &gt; アンティーク、コレクション &gt; 科学、自然 &gt; 岩石、鉱物 &gt; ジュエリー用裸石</t>
  </si>
  <si>
    <t>オークション &gt; おもちゃ、ゲーム &gt; ぬいぐるみ &gt; キャラクター &gt; ディズニー</t>
  </si>
  <si>
    <t>トム＆ジェリー</t>
  </si>
  <si>
    <t>原石</t>
  </si>
  <si>
    <t>オークション &gt; おもちゃ、ゲーム &gt; ぬいぐるみ &gt; キャラクター &gt; トム＆ジェリー</t>
  </si>
  <si>
    <t>オークション &gt; アンティーク、コレクション &gt; 科学、自然 &gt; 岩石、鉱物 &gt; 原石</t>
  </si>
  <si>
    <t>オークション &gt; おもちゃ、ゲーム &gt; ぬいぐるみ &gt; キャラクター &gt; ドラえもん</t>
  </si>
  <si>
    <t>隕石</t>
  </si>
  <si>
    <t>オークション &gt; アンティーク、コレクション &gt; 科学、自然 &gt; 岩石、鉱物 &gt; 隕石</t>
  </si>
  <si>
    <t>オークション &gt; おもちゃ、ゲーム &gt; ぬいぐるみ &gt; キャラクター &gt; 夏目友人帳</t>
  </si>
  <si>
    <t>PostPet</t>
  </si>
  <si>
    <t>オークション &gt; おもちゃ、ゲーム &gt; ぬいぐるみ &gt; キャラクター &gt; PostPet</t>
  </si>
  <si>
    <t>オークション &gt; アンティーク、コレクション &gt; 科学、自然 &gt; 岩石、鉱物 &gt; その他</t>
  </si>
  <si>
    <t>オークション &gt; おもちゃ、ゲーム &gt; ぬいぐるみ &gt; キャラクター &gt; ひとまねこざる</t>
  </si>
  <si>
    <t>オークション &gt; おもちゃ、ゲーム &gt; ぬいぐるみ &gt; キャラクター &gt; バーバパパ</t>
  </si>
  <si>
    <t>バックスバニー</t>
  </si>
  <si>
    <t>オークション &gt; おもちゃ、ゲーム &gt; ぬいぐるみ &gt; キャラクター &gt; バックスバニー</t>
  </si>
  <si>
    <t>オークション &gt; おもちゃ、ゲーム &gt; ぬいぐるみ &gt; キャラクター &gt; ピーターラビット</t>
  </si>
  <si>
    <t>オークション &gt; おもちゃ、ゲーム &gt; ぬいぐるみ &gt; キャラクター &gt; ピーナッツ、スヌーピー</t>
  </si>
  <si>
    <t>オークション &gt; おもちゃ、ゲーム &gt; ぬいぐるみ &gt; キャラクター &gt; ピンクパンサー</t>
  </si>
  <si>
    <t>オークション &gt; おもちゃ、ゲーム &gt; ぬいぐるみ &gt; キャラクター &gt; ピングー</t>
  </si>
  <si>
    <t>ファービー</t>
  </si>
  <si>
    <t>オークション &gt; おもちゃ、ゲーム &gt; ぬいぐるみ &gt; キャラクター &gt; ファービー</t>
  </si>
  <si>
    <t>オークション &gt; おもちゃ、ゲーム &gt; ぬいぐるみ &gt; キャラクター &gt; ファーファ</t>
  </si>
  <si>
    <t>プリモプエル</t>
  </si>
  <si>
    <t>オークション &gt; おもちゃ、ゲーム &gt; ぬいぐるみ &gt; キャラクター &gt; プリモプエル</t>
  </si>
  <si>
    <t>ペコちゃん</t>
  </si>
  <si>
    <t>オークション &gt; おもちゃ、ゲーム &gt; ぬいぐるみ &gt; キャラクター &gt; ペコちゃん</t>
  </si>
  <si>
    <t>オークション &gt; おもちゃ、ゲーム &gt; ぬいぐるみ &gt; キャラクター &gt; ポケットモンスター</t>
  </si>
  <si>
    <t>チキンラーメンのひよこ</t>
  </si>
  <si>
    <t>オークション &gt; おもちゃ、ゲーム &gt; ぬいぐるみ &gt; キャラクター &gt; チキンラーメンのひよこ</t>
  </si>
  <si>
    <t>オークション &gt; おもちゃ、ゲーム &gt; ぬいぐるみ &gt; キャラクター &gt; ミッフィー</t>
  </si>
  <si>
    <t>オークション &gt; おもちゃ、ゲーム &gt; ぬいぐるみ &gt; キャラクター &gt; ムーミン</t>
  </si>
  <si>
    <t>リラックマ</t>
  </si>
  <si>
    <t>オークション &gt; おもちゃ、ゲーム &gt; ぬいぐるみ &gt; キャラクター &gt; リラックマ</t>
  </si>
  <si>
    <t>オークション &gt; おもちゃ、ゲーム &gt; ぬいぐるみ &gt; キャラクター &gt; その他</t>
  </si>
  <si>
    <t>アルパカ</t>
  </si>
  <si>
    <t>オークション &gt; おもちゃ、ゲーム &gt; ぬいぐるみ &gt; 動物 &gt; アルパカ</t>
  </si>
  <si>
    <t>イヌ</t>
  </si>
  <si>
    <t>オークション &gt; おもちゃ、ゲーム &gt; ぬいぐるみ &gt; 動物 &gt; イヌ</t>
  </si>
  <si>
    <t>ウサギ</t>
  </si>
  <si>
    <t>オークション &gt; おもちゃ、ゲーム &gt; ぬいぐるみ &gt; 動物 &gt; ウサギ</t>
  </si>
  <si>
    <t>オークション &gt; アンティーク、コレクション &gt; 蓄音機 &gt; SP盤 &gt; クラシック</t>
  </si>
  <si>
    <t>ウシ</t>
  </si>
  <si>
    <t>オークション &gt; おもちゃ、ゲーム &gt; ぬいぐるみ &gt; 動物 &gt; ウシ</t>
  </si>
  <si>
    <t>ウマ</t>
  </si>
  <si>
    <t>オークション &gt; おもちゃ、ゲーム &gt; ぬいぐるみ &gt; 動物 &gt; ウマ</t>
  </si>
  <si>
    <t>オークション &gt; アンティーク、コレクション &gt; 蓄音機 &gt; SP盤 &gt; ジャズ</t>
  </si>
  <si>
    <t>カエル</t>
  </si>
  <si>
    <t>オークション &gt; おもちゃ、ゲーム &gt; ぬいぐるみ &gt; 動物 &gt; カエル</t>
  </si>
  <si>
    <t>オークション &gt; アンティーク、コレクション &gt; 蓄音機 &gt; SP盤 &gt; その他</t>
  </si>
  <si>
    <t>オークション &gt; おもちゃ、ゲーム &gt; ぬいぐるみ &gt; 動物 &gt; キリン</t>
  </si>
  <si>
    <t>クマ</t>
  </si>
  <si>
    <t>オークション &gt; おもちゃ、ゲーム &gt; ぬいぐるみ &gt; 動物 &gt; クマ</t>
  </si>
  <si>
    <t>コアラ</t>
  </si>
  <si>
    <t>オークション &gt; アンティーク、コレクション &gt; 乗り物 &gt; 自転車 &gt; アクセサリー</t>
  </si>
  <si>
    <t>オークション &gt; おもちゃ、ゲーム &gt; ぬいぐるみ &gt; 動物 &gt; コアラ</t>
  </si>
  <si>
    <t>サル</t>
  </si>
  <si>
    <t>ビンテージパーツ</t>
  </si>
  <si>
    <t>オークション &gt; おもちゃ、ゲーム &gt; ぬいぐるみ &gt; 動物 &gt; サル</t>
  </si>
  <si>
    <t>オークション &gt; アンティーク、コレクション &gt; 乗り物 &gt; 自転車 &gt; ビンテージパーツ</t>
  </si>
  <si>
    <t>ゾウ</t>
  </si>
  <si>
    <t>オークション &gt; おもちゃ、ゲーム &gt; ぬいぐるみ &gt; 動物 &gt; ゾウ</t>
  </si>
  <si>
    <t>車体</t>
  </si>
  <si>
    <t>オークション &gt; アンティーク、コレクション &gt; 乗り物 &gt; 自転車 &gt; 車体</t>
  </si>
  <si>
    <t>トラ</t>
  </si>
  <si>
    <t>オークション &gt; おもちゃ、ゲーム &gt; ぬいぐるみ &gt; 動物 &gt; トラ</t>
  </si>
  <si>
    <t>ネコ</t>
  </si>
  <si>
    <t>おしゃれキャット</t>
  </si>
  <si>
    <t>オークション &gt; おもちゃ、ゲーム &gt; ぬいぐるみ &gt; 動物 &gt; ネコ</t>
  </si>
  <si>
    <t>オークション &gt; おもちゃ、ゲーム &gt; ぬいぐるみ &gt; キャラクター &gt; ディズニー &gt; おしゃれキャット</t>
  </si>
  <si>
    <t>ネズミ</t>
  </si>
  <si>
    <t>オークション &gt; おもちゃ、ゲーム &gt; ぬいぐるみ &gt; 動物 &gt; ネズミ</t>
  </si>
  <si>
    <t>くまのプーさん</t>
  </si>
  <si>
    <t>ひよこ、小鳥</t>
  </si>
  <si>
    <t>オークション &gt; おもちゃ、ゲーム &gt; ぬいぐるみ &gt; 動物 &gt; ひよこ、小鳥</t>
  </si>
  <si>
    <t>オークション &gt; おもちゃ、ゲーム &gt; ぬいぐるみ &gt; キャラクター &gt; ディズニー &gt; くまのプーさん</t>
  </si>
  <si>
    <t>パンダ</t>
  </si>
  <si>
    <t>オークション &gt; おもちゃ、ゲーム &gt; ぬいぐるみ &gt; 動物 &gt; パンダ</t>
  </si>
  <si>
    <t>ヒツジ</t>
  </si>
  <si>
    <t>グーフィー</t>
  </si>
  <si>
    <t>オークション &gt; おもちゃ、ゲーム &gt; ぬいぐるみ &gt; 動物 &gt; ヒツジ</t>
  </si>
  <si>
    <t>オークション &gt; おもちゃ、ゲーム &gt; ぬいぐるみ &gt; キャラクター &gt; ディズニー &gt; グーフィー</t>
  </si>
  <si>
    <t>ブタ</t>
  </si>
  <si>
    <t>オークション &gt; おもちゃ、ゲーム &gt; ぬいぐるみ &gt; 動物 &gt; ブタ</t>
  </si>
  <si>
    <t>シェリーメイ</t>
  </si>
  <si>
    <t>ペンギン</t>
  </si>
  <si>
    <t>オークション &gt; おもちゃ、ゲーム &gt; ぬいぐるみ &gt; キャラクター &gt; ディズニー &gt; シェリーメイ</t>
  </si>
  <si>
    <t>オークション &gt; おもちゃ、ゲーム &gt; ぬいぐるみ &gt; 動物 &gt; ペンギン</t>
  </si>
  <si>
    <t>ライオン</t>
  </si>
  <si>
    <t>オークション &gt; おもちゃ、ゲーム &gt; ぬいぐるみ &gt; 動物 &gt; ライオン</t>
  </si>
  <si>
    <t>ダッフィー</t>
  </si>
  <si>
    <t>リス</t>
  </si>
  <si>
    <t>オークション &gt; おもちゃ、ゲーム &gt; ぬいぐるみ &gt; キャラクター &gt; ディズニー &gt; ダッフィー</t>
  </si>
  <si>
    <t>オークション &gt; おもちゃ、ゲーム &gt; ぬいぐるみ &gt; 動物 &gt; リス</t>
  </si>
  <si>
    <t>オークション &gt; おもちゃ、ゲーム &gt; ぬいぐるみ &gt; 動物 &gt; その他</t>
  </si>
  <si>
    <t>オークション &gt; コミック、アニメグッズ &gt; コスプレ衣装</t>
  </si>
  <si>
    <t>ダンボ</t>
  </si>
  <si>
    <t>オークション &gt; おもちゃ、ゲーム &gt; ぬいぐるみ &gt; キャラクター &gt; ディズニー &gt; ダンボ</t>
  </si>
  <si>
    <t>オークション &gt; コミック、アニメグッズ &gt; 作品別</t>
  </si>
  <si>
    <t>サイン、直筆画</t>
  </si>
  <si>
    <t>オークション &gt; コミック、アニメグッズ &gt; サイン、直筆画</t>
  </si>
  <si>
    <t>チップ＆デール</t>
  </si>
  <si>
    <t>オークション &gt; おもちゃ、ゲーム &gt; ぬいぐるみ &gt; キャラクター &gt; ディズニー &gt; チップ＆デール</t>
  </si>
  <si>
    <t>手描きイラスト</t>
  </si>
  <si>
    <t>オークション &gt; コミック、アニメグッズ &gt; 手描きイラスト</t>
  </si>
  <si>
    <t>クリアファイル</t>
  </si>
  <si>
    <t>オークション &gt; コミック、アニメグッズ &gt; クリアファイル</t>
  </si>
  <si>
    <t>バッジ</t>
  </si>
  <si>
    <t>オークション &gt; コミック、アニメグッズ &gt; バッジ</t>
  </si>
  <si>
    <t>オークション &gt; おもちゃ、ゲーム &gt; ぬいぐるみ &gt; キャラクター &gt; ディズニー &gt; トイ・ストーリー</t>
  </si>
  <si>
    <t>タペストリー</t>
  </si>
  <si>
    <t>オークション &gt; コミック、アニメグッズ &gt; タペストリー</t>
  </si>
  <si>
    <t>タオル</t>
  </si>
  <si>
    <t>オークション &gt; コミック、アニメグッズ &gt; タオル</t>
  </si>
  <si>
    <t>ドナルド・ダック</t>
  </si>
  <si>
    <t>オークション &gt; おもちゃ、ゲーム &gt; ぬいぐるみ &gt; キャラクター &gt; ディズニー &gt; ドナルド・ダック</t>
  </si>
  <si>
    <t>ステッカー</t>
  </si>
  <si>
    <t>オークション &gt; コミック、アニメグッズ &gt; ステッカー</t>
  </si>
  <si>
    <t>キーホルダー</t>
  </si>
  <si>
    <t>バンビ</t>
  </si>
  <si>
    <t>オークション &gt; コミック、アニメグッズ &gt; キーホルダー</t>
  </si>
  <si>
    <t>オークション &gt; おもちゃ、ゲーム &gt; ぬいぐるみ &gt; キャラクター &gt; ディズニー &gt; バンビ</t>
  </si>
  <si>
    <t>セル画</t>
  </si>
  <si>
    <t>オークション &gt; コミック、アニメグッズ &gt; セル画</t>
  </si>
  <si>
    <t>プルート</t>
  </si>
  <si>
    <t>抱き枕</t>
  </si>
  <si>
    <t>オークション &gt; おもちゃ、ゲーム &gt; ぬいぐるみ &gt; キャラクター &gt; ディズニー &gt; プルート</t>
  </si>
  <si>
    <t>オークション &gt; コミック、アニメグッズ &gt; 抱き枕</t>
  </si>
  <si>
    <t>オークション &gt; コミック、アニメグッズ &gt; フィギュア</t>
  </si>
  <si>
    <t>オークション &gt; おもちゃ、ゲーム &gt; ぬいぐるみ &gt; キャラクター &gt; ディズニー &gt; ミッキーマウス</t>
  </si>
  <si>
    <t>プラモデル</t>
  </si>
  <si>
    <t>オークション &gt; コミック、アニメグッズ &gt; プラモデル</t>
  </si>
  <si>
    <t>ミニーマウス</t>
  </si>
  <si>
    <t>コミック本</t>
  </si>
  <si>
    <t>オークション &gt; おもちゃ、ゲーム &gt; ぬいぐるみ &gt; キャラクター &gt; ディズニー &gt; ミニーマウス</t>
  </si>
  <si>
    <t>オークション &gt; コミック、アニメグッズ &gt; コミック本</t>
  </si>
  <si>
    <t>DVD</t>
  </si>
  <si>
    <t>オークション &gt; コミック、アニメグッズ &gt; DVD</t>
  </si>
  <si>
    <t>ユニベアシティ</t>
  </si>
  <si>
    <t>オークション &gt; おもちゃ、ゲーム &gt; ぬいぐるみ &gt; キャラクター &gt; ディズニー &gt; ユニベアシティ</t>
  </si>
  <si>
    <t>ビデオ</t>
  </si>
  <si>
    <t>オークション &gt; コミック、アニメグッズ &gt; ビデオ</t>
  </si>
  <si>
    <t>リロ＆スティッチ</t>
  </si>
  <si>
    <t>オークション &gt; おもちゃ、ゲーム &gt; ぬいぐるみ &gt; キャラクター &gt; ディズニー &gt; リロ＆スティッチ</t>
  </si>
  <si>
    <t>レーザーディスク</t>
  </si>
  <si>
    <t>オークション &gt; コミック、アニメグッズ &gt; レーザーディスク</t>
  </si>
  <si>
    <t>VCD</t>
  </si>
  <si>
    <t>白雪姫</t>
  </si>
  <si>
    <t>オークション &gt; コミック、アニメグッズ &gt; VCD</t>
  </si>
  <si>
    <t>オークション &gt; おもちゃ、ゲーム &gt; ぬいぐるみ &gt; キャラクター &gt; ディズニー &gt; 白雪姫</t>
  </si>
  <si>
    <t>音楽CD</t>
  </si>
  <si>
    <t>オークション &gt; コミック、アニメグッズ &gt; 音楽CD</t>
  </si>
  <si>
    <t>レコード</t>
  </si>
  <si>
    <t>オークション &gt; コミック、アニメグッズ &gt; レコード</t>
  </si>
  <si>
    <t>オークション &gt; おもちゃ、ゲーム &gt; ぬいぐるみ &gt; キャラクター &gt; ディズニー &gt; その他</t>
  </si>
  <si>
    <t>カセットテープ</t>
  </si>
  <si>
    <t>オークション &gt; コミック、アニメグッズ &gt; カセットテープ</t>
  </si>
  <si>
    <t>101匹わんちゃん</t>
  </si>
  <si>
    <t>カレンダー</t>
  </si>
  <si>
    <t>オークション &gt; おもちゃ、ゲーム &gt; 人形、キャラクタードール &gt; キャラクタードール &gt; ディズニー &gt; 101匹わんちゃん</t>
  </si>
  <si>
    <t>オークション &gt; コミック、アニメグッズ &gt; カレンダー</t>
  </si>
  <si>
    <t>オークション &gt; コミック、アニメグッズ &gt; トレーディングカード</t>
  </si>
  <si>
    <t>Mr.インクレディブル</t>
  </si>
  <si>
    <t>オークション &gt; おもちゃ、ゲーム &gt; 人形、キャラクタードール &gt; キャラクタードール &gt; ディズニー &gt; Mr.インクレディブル</t>
  </si>
  <si>
    <t>クオカード</t>
  </si>
  <si>
    <t>オークション &gt; コミック、アニメグッズ &gt; クオカード</t>
  </si>
  <si>
    <t>オークション &gt; コミック、アニメグッズ &gt; テレホンカード</t>
  </si>
  <si>
    <t>オークション &gt; おもちゃ、ゲーム &gt; 人形、キャラクタードール &gt; キャラクタードール &gt; ディズニー &gt; くまのプーさん</t>
  </si>
  <si>
    <t>オークション &gt; コミック、アニメグッズ &gt; ポスター</t>
  </si>
  <si>
    <t>カーズ</t>
  </si>
  <si>
    <t>切り抜き</t>
  </si>
  <si>
    <t>オークション &gt; おもちゃ、ゲーム &gt; 人形、キャラクタードール &gt; キャラクタードール &gt; ディズニー &gt; カーズ</t>
  </si>
  <si>
    <t>オークション &gt; コミック、アニメグッズ &gt; 切り抜き</t>
  </si>
  <si>
    <t>イラスト、アート制作</t>
  </si>
  <si>
    <t>オークション &gt; コミック、アニメグッズ &gt; イラスト、アート制作</t>
  </si>
  <si>
    <t>オークション &gt; おもちゃ、ゲーム &gt; 人形、キャラクタードール &gt; キャラクタードール &gt; ディズニー &gt; グーフィー</t>
  </si>
  <si>
    <t>制作（ナレーション、声優）</t>
  </si>
  <si>
    <t>オークション &gt; コミック、アニメグッズ &gt; 制作（ナレーション、声優）</t>
  </si>
  <si>
    <t>オークション &gt; おもちゃ、ゲーム &gt; 人形、キャラクタードール &gt; キャラクタードール &gt; ディズニー &gt; ダンボ</t>
  </si>
  <si>
    <t>オークション &gt; コミック、アニメグッズ &gt; その他</t>
  </si>
  <si>
    <t>オークション &gt; おもちゃ、ゲーム &gt; キャラクター玩具 &gt; きかんしゃトーマス &gt; テレホンカード</t>
  </si>
  <si>
    <t>チップ&amp;デール</t>
  </si>
  <si>
    <t>オークション &gt; おもちゃ、ゲーム &gt; 人形、キャラクタードール &gt; キャラクタードール &gt; ディズニー &gt; チップ&amp;デール</t>
  </si>
  <si>
    <t>携帯ストラップ</t>
  </si>
  <si>
    <t>オークション &gt; おもちゃ、ゲーム &gt; キャラクター玩具 &gt; きかんしゃトーマス &gt; 携帯ストラップ</t>
  </si>
  <si>
    <t>オークション &gt; おもちゃ、ゲーム &gt; キャラクター玩具 &gt; きかんしゃトーマス &gt; その他</t>
  </si>
  <si>
    <t>オークション &gt; おもちゃ、ゲーム &gt; 人形、キャラクタードール &gt; キャラクタードール &gt; ディズニー &gt; トイ・ストーリー</t>
  </si>
  <si>
    <t>オークション &gt; おもちゃ、ゲーム &gt; キャラクター玩具 &gt; たれぱんだ &gt; ぬいぐるみ</t>
  </si>
  <si>
    <t>オークション &gt; おもちゃ、ゲーム &gt; 人形、キャラクタードール &gt; キャラクタードール &gt; ディズニー &gt; ドナルド・ダック</t>
  </si>
  <si>
    <t>オークション &gt; おもちゃ、ゲーム &gt; キャラクター玩具 &gt; たれぱんだ &gt; 携帯ストラップ</t>
  </si>
  <si>
    <t>オークション &gt; おもちゃ、ゲーム &gt; キャラクター玩具 &gt; たれぱんだ &gt; その他</t>
  </si>
  <si>
    <t>バグズライフ</t>
  </si>
  <si>
    <t>オークション &gt; おもちゃ、ゲーム &gt; 人形、キャラクタードール &gt; キャラクタードール &gt; ディズニー &gt; バグズライフ</t>
  </si>
  <si>
    <t>オークション &gt; おもちゃ、ゲーム &gt; キャラクター玩具 &gt; ウルトラマン &gt; トレーディングカード</t>
  </si>
  <si>
    <t>オークション &gt; おもちゃ、ゲーム &gt; キャラクター玩具 &gt; ウルトラマン &gt; フィギュア</t>
  </si>
  <si>
    <t>オークション &gt; おもちゃ、ゲーム &gt; 人形、キャラクタードール &gt; キャラクタードール &gt; ディズニー &gt; バンビ</t>
  </si>
  <si>
    <t>オークション &gt; おもちゃ、ゲーム &gt; キャラクター玩具 &gt; ウルトラマン &gt; その他</t>
  </si>
  <si>
    <t>ピーターパン</t>
  </si>
  <si>
    <t>オークション &gt; おもちゃ、ゲーム &gt; 人形、キャラクタードール &gt; キャラクタードール &gt; ディズニー &gt; ピーターパン</t>
  </si>
  <si>
    <t>オークション &gt; おもちゃ、ゲーム &gt; キャラクター玩具 &gt; キューピー &gt; テレホンカード</t>
  </si>
  <si>
    <t>オークション &gt; おもちゃ、ゲーム &gt; キャラクター玩具 &gt; キューピー &gt; 携帯ストラップ</t>
  </si>
  <si>
    <t>ピノキオ</t>
  </si>
  <si>
    <t>オークション &gt; おもちゃ、ゲーム &gt; 人形、キャラクタードール &gt; キャラクタードール &gt; ディズニー &gt; ピノキオ</t>
  </si>
  <si>
    <t>オークション &gt; おもちゃ、ゲーム &gt; キャラクター玩具 &gt; キューピー &gt; 人形</t>
  </si>
  <si>
    <t>ファインディング・ニモ</t>
  </si>
  <si>
    <t>オークション &gt; おもちゃ、ゲーム &gt; キャラクター玩具 &gt; キューピー &gt; その他</t>
  </si>
  <si>
    <t>オークション &gt; おもちゃ、ゲーム &gt; 人形、キャラクタードール &gt; キャラクタードール &gt; ディズニー &gt; ファインディング・ニモ</t>
  </si>
  <si>
    <t>オークション &gt; おもちゃ、ゲーム &gt; キャラクター玩具 &gt; シナモロール &gt; ぬいぐるみ</t>
  </si>
  <si>
    <t>オークション &gt; おもちゃ、ゲーム &gt; キャラクター玩具 &gt; シナモロール &gt; その他</t>
  </si>
  <si>
    <t>オークション &gt; おもちゃ、ゲーム &gt; 人形、キャラクタードール &gt; キャラクタードール &gt; ディズニー &gt; プルート</t>
  </si>
  <si>
    <t>オークション &gt; おもちゃ、ゲーム &gt; キャラクター玩具 &gt; スヌーピー、ピーナッツ &gt; ぬいぐるみ</t>
  </si>
  <si>
    <t>オークション &gt; おもちゃ、ゲーム &gt; 人形、キャラクタードール &gt; キャラクタードール &gt; ディズニー &gt; ミッキーマウス</t>
  </si>
  <si>
    <t>オークション &gt; おもちゃ、ゲーム &gt; キャラクター玩具 &gt; スヌーピー、ピーナッツ &gt; キャラクタードール</t>
  </si>
  <si>
    <t>ファーストフードトイ</t>
  </si>
  <si>
    <t>オークション &gt; おもちゃ、ゲーム &gt; 人形、キャラクタードール &gt; キャラクタードール &gt; ディズニー &gt; ミニーマウス</t>
  </si>
  <si>
    <t>オークション &gt; おもちゃ、ゲーム &gt; キャラクター玩具 &gt; スヌーピー、ピーナッツ &gt; ファーストフードトイ</t>
  </si>
  <si>
    <t>オークション &gt; おもちゃ、ゲーム &gt; キャラクター玩具 &gt; スヌーピー、ピーナッツ &gt; その他</t>
  </si>
  <si>
    <t>モンスターズ・インク</t>
  </si>
  <si>
    <t>オークション &gt; おもちゃ、ゲーム &gt; 人形、キャラクタードール &gt; キャラクタードール &gt; ディズニー &gt; モンスターズ・インク</t>
  </si>
  <si>
    <t>オークション &gt; おもちゃ、ゲーム &gt; キャラクター玩具 &gt; セサミストリート &gt; ぬいぐるみ</t>
  </si>
  <si>
    <t>リトル・マーメイド</t>
  </si>
  <si>
    <t>オークション &gt; おもちゃ、ゲーム &gt; 人形、キャラクタードール &gt; キャラクタードール &gt; ディズニー &gt; リトル・マーメイド</t>
  </si>
  <si>
    <t>オークション &gt; おもちゃ、ゲーム &gt; キャラクター玩具 &gt; セサミストリート &gt; キャラクタードール</t>
  </si>
  <si>
    <t>オークション &gt; おもちゃ、ゲーム &gt; キャラクター玩具 &gt; セサミストリート &gt; テレホンカード</t>
  </si>
  <si>
    <t>オークション &gt; おもちゃ、ゲーム &gt; 人形、キャラクタードール &gt; キャラクタードール &gt; ディズニー &gt; リロ＆スティッチ</t>
  </si>
  <si>
    <t>オークション &gt; おもちゃ、ゲーム &gt; キャラクター玩具 &gt; セサミストリート &gt; 携帯ストラップ</t>
  </si>
  <si>
    <t>オークション &gt; おもちゃ、ゲーム &gt; 人形、キャラクタードール &gt; キャラクタードール &gt; ディズニー &gt; その他</t>
  </si>
  <si>
    <t>オークション &gt; おもちゃ、ゲーム &gt; キャラクター玩具 &gt; セサミストリート &gt; その他</t>
  </si>
  <si>
    <t>オークション &gt; アンティーク、コレクション &gt; ディズニー &gt; ぬいぐるみ</t>
  </si>
  <si>
    <t>オークション &gt; アンティーク、コレクション &gt; 雑貨 &gt; ピンバッジ &gt; ディズニー &gt; 101匹わんちゃん</t>
  </si>
  <si>
    <t>オークション &gt; アンティーク、コレクション &gt; ディズニー &gt; キャラクタードール</t>
  </si>
  <si>
    <t>オークション &gt; アンティーク、コレクション &gt; 雑貨 &gt; ピンバッジ &gt; ディズニー &gt; くまのプーさん</t>
  </si>
  <si>
    <t>オークション &gt; アンティーク、コレクション &gt; ディズニー &gt; ビデオ</t>
  </si>
  <si>
    <t>ピンバッジ</t>
  </si>
  <si>
    <t>アラジン</t>
  </si>
  <si>
    <t>オークション &gt; アンティーク、コレクション &gt; ディズニー &gt; ピンバッジ</t>
  </si>
  <si>
    <t>オークション &gt; アンティーク、コレクション &gt; 雑貨 &gt; ピンバッジ &gt; ディズニー &gt; アラジン</t>
  </si>
  <si>
    <t>オークション &gt; アンティーク、コレクション &gt; ディズニー &gt; ファーストフードトイ</t>
  </si>
  <si>
    <t>オークション &gt; アンティーク、コレクション &gt; 雑貨 &gt; ピンバッジ &gt; ディズニー &gt; グーフィー</t>
  </si>
  <si>
    <t>オークション &gt; アンティーク、コレクション &gt; ディズニー &gt; その他</t>
  </si>
  <si>
    <t>オークション &gt; おもちゃ、ゲーム &gt; キャラクター玩具 &gt; ハローキティ &gt; テレホンカード</t>
  </si>
  <si>
    <t>ターザン</t>
  </si>
  <si>
    <t>オークション &gt; アンティーク、コレクション &gt; 雑貨 &gt; ピンバッジ &gt; ディズニー &gt; ターザン</t>
  </si>
  <si>
    <t>オークション &gt; おもちゃ、ゲーム &gt; キャラクター玩具 &gt; ハローキティ &gt; ファーストフードトイ</t>
  </si>
  <si>
    <t>ダイナソー</t>
  </si>
  <si>
    <t>オークション &gt; アンティーク、コレクション &gt; 雑貨 &gt; ピンバッジ &gt; ディズニー &gt; ダイナソー</t>
  </si>
  <si>
    <t>オークション &gt; おもちゃ、ゲーム &gt; キャラクター玩具 &gt; ハローキティ &gt; 携帯ストラップ</t>
  </si>
  <si>
    <t>オークション &gt; おもちゃ、ゲーム &gt; キャラクター玩具 &gt; ハローキティ &gt; 腕時計</t>
  </si>
  <si>
    <t>オークション &gt; アンティーク、コレクション &gt; 雑貨 &gt; ピンバッジ &gt; ディズニー &gt; ダンボ</t>
  </si>
  <si>
    <t>ハローキティグッズ一般</t>
  </si>
  <si>
    <t>オークション &gt; おもちゃ、ゲーム &gt; キャラクター玩具 &gt; ハローキティ &gt; ハローキティグッズ一般</t>
  </si>
  <si>
    <t>オークション &gt; おもちゃ、ゲーム &gt; キャラクター玩具 &gt; ペコちゃん &gt; ぬいぐるみ</t>
  </si>
  <si>
    <t>オークション &gt; アンティーク、コレクション &gt; 雑貨 &gt; ピンバッジ &gt; ディズニー &gt; チップ&amp;デール</t>
  </si>
  <si>
    <t>オークション &gt; おもちゃ、ゲーム &gt; キャラクター玩具 &gt; ペコちゃん &gt; テレホンカード</t>
  </si>
  <si>
    <t>オークション &gt; アンティーク、コレクション &gt; 雑貨 &gt; ピンバッジ &gt; ディズニー &gt; トイ・ストーリー</t>
  </si>
  <si>
    <t>オークション &gt; おもちゃ、ゲーム &gt; キャラクター玩具 &gt; ペコちゃん &gt; 携帯ストラップ</t>
  </si>
  <si>
    <t>オークション &gt; おもちゃ、ゲーム &gt; キャラクター玩具 &gt; ペコちゃん &gt; その他</t>
  </si>
  <si>
    <t>オークション &gt; アンティーク、コレクション &gt; 雑貨 &gt; ピンバッジ &gt; ディズニー &gt; ドナルド・ダック</t>
  </si>
  <si>
    <t>オークション &gt; おもちゃ、ゲーム &gt; キャラクター玩具 &gt; ミッフィー &gt; ぬいぐるみ</t>
  </si>
  <si>
    <t>ノートルダムの鐘</t>
  </si>
  <si>
    <t>オークション &gt; アンティーク、コレクション &gt; 雑貨 &gt; ピンバッジ &gt; ディズニー &gt; ノートルダムの鐘</t>
  </si>
  <si>
    <t>オークション &gt; おもちゃ、ゲーム &gt; キャラクター玩具 &gt; ミッフィー &gt; キャラクタードール</t>
  </si>
  <si>
    <t>オークション &gt; おもちゃ、ゲーム &gt; キャラクター玩具 &gt; ミッフィー &gt; テレホンカード</t>
  </si>
  <si>
    <t>オークション &gt; アンティーク、コレクション &gt; 雑貨 &gt; ピンバッジ &gt; ディズニー &gt; バグズライフ</t>
  </si>
  <si>
    <t>オークション &gt; おもちゃ、ゲーム &gt; キャラクター玩具 &gt; ミッフィー &gt; 携帯ストラップ</t>
  </si>
  <si>
    <t>オークション &gt; アンティーク、コレクション &gt; 雑貨 &gt; ピンバッジ &gt; ディズニー &gt; バンビ</t>
  </si>
  <si>
    <t>オークション &gt; おもちゃ、ゲーム &gt; キャラクター玩具 &gt; ミッフィー &gt; その他</t>
  </si>
  <si>
    <t>オークション &gt; おもちゃ、ゲーム &gt; キャラクター玩具 &gt; リラックマ &gt; ぬいぐるみ</t>
  </si>
  <si>
    <t>オークション &gt; アンティーク、コレクション &gt; 雑貨 &gt; ピンバッジ &gt; ディズニー &gt; ピーターパン</t>
  </si>
  <si>
    <t>オークション &gt; おもちゃ、ゲーム &gt; キャラクター玩具 &gt; リラックマ &gt; その他</t>
  </si>
  <si>
    <t>オークション &gt; おもちゃ、ゲーム &gt; キャラクター玩具 &gt; 仮面ライダー &gt; フィギュア</t>
  </si>
  <si>
    <t>オークション &gt; アンティーク、コレクション &gt; 雑貨 &gt; ピンバッジ &gt; ディズニー &gt; ピノキオ</t>
  </si>
  <si>
    <t>オークション &gt; おもちゃ、ゲーム &gt; キャラクター玩具 &gt; 仮面ライダー &gt; その他</t>
  </si>
  <si>
    <t>ペット動物コレクション</t>
  </si>
  <si>
    <t>オークション &gt; アンティーク、コレクション &gt; 雑貨 &gt; ピンバッジ &gt; ディズニー &gt; プルート</t>
  </si>
  <si>
    <t>オークション &gt; おもちゃ、ゲーム &gt; 食玩、おまけ &gt; チョコエッグ &gt; ペット動物コレクション</t>
  </si>
  <si>
    <t>日本の動物コレクション</t>
  </si>
  <si>
    <t>オークション &gt; おもちゃ、ゲーム &gt; 食玩、おまけ &gt; チョコエッグ &gt; 日本の動物コレクション</t>
  </si>
  <si>
    <t>ヘラクレス</t>
  </si>
  <si>
    <t>オークション &gt; アンティーク、コレクション &gt; 雑貨 &gt; ピンバッジ &gt; ディズニー &gt; ヘラクレス</t>
  </si>
  <si>
    <t>ディズニー・キャラクターコレクション</t>
  </si>
  <si>
    <t>オークション &gt; おもちゃ、ゲーム &gt; 食玩、おまけ &gt; チョコエッグ &gt; ディズニー・キャラクターコレクション</t>
  </si>
  <si>
    <t>オークション &gt; おもちゃ、ゲーム &gt; 食玩、おまけ &gt; チョコエッグ &gt; スーパーマリオ</t>
  </si>
  <si>
    <t>オークション &gt; アンティーク、コレクション &gt; 雑貨 &gt; ピンバッジ &gt; ディズニー &gt; ミッキーマウス</t>
  </si>
  <si>
    <t>オークション &gt; おもちゃ、ゲーム &gt; 食玩、おまけ &gt; チョコエッグ &gt; その他</t>
  </si>
  <si>
    <t>ビックリマン2000</t>
  </si>
  <si>
    <t>オークション &gt; アンティーク、コレクション &gt; 雑貨 &gt; ピンバッジ &gt; ディズニー &gt; ミニーマウス</t>
  </si>
  <si>
    <t>オークション &gt; アンティーク、コレクション &gt; 雑貨 &gt; ステッカー &gt; ビックリマン &gt; ビックリマン2000</t>
  </si>
  <si>
    <t>旧ビックリマン</t>
  </si>
  <si>
    <t>オークション &gt; アンティーク、コレクション &gt; 雑貨 &gt; ステッカー &gt; ビックリマン &gt; 旧ビックリマン</t>
  </si>
  <si>
    <t>ムーラン</t>
  </si>
  <si>
    <t>オークション &gt; アンティーク、コレクション &gt; 雑貨 &gt; ステッカー &gt; ビックリマン &gt; その他</t>
  </si>
  <si>
    <t>オークション &gt; アンティーク、コレクション &gt; 雑貨 &gt; ピンバッジ &gt; ディズニー &gt; ムーラン</t>
  </si>
  <si>
    <t>マクドナルド</t>
  </si>
  <si>
    <t>オークション &gt; おもちゃ、ゲーム &gt; ファーストフードトイ &gt; マクドナルド</t>
  </si>
  <si>
    <t>ライオン・キング</t>
  </si>
  <si>
    <t>ケンタッキー・フライド・チキン</t>
  </si>
  <si>
    <t>オークション &gt; アンティーク、コレクション &gt; 雑貨 &gt; ピンバッジ &gt; ディズニー &gt; ライオン・キング</t>
  </si>
  <si>
    <t>オークション &gt; おもちゃ、ゲーム &gt; ファーストフードトイ &gt; ケンタッキー・フライド・チキン</t>
  </si>
  <si>
    <t>バーガーキング</t>
  </si>
  <si>
    <t>オークション &gt; おもちゃ、ゲーム &gt; ファーストフードトイ &gt; バーガーキング</t>
  </si>
  <si>
    <t>オークション &gt; アンティーク、コレクション &gt; 雑貨 &gt; ピンバッジ &gt; ディズニー &gt; リトル・マーメイド</t>
  </si>
  <si>
    <t>ミスタードーナツ</t>
  </si>
  <si>
    <t>オークション &gt; おもちゃ、ゲーム &gt; ファーストフードトイ &gt; ミスタードーナツ</t>
  </si>
  <si>
    <t>オークション &gt; アンティーク、コレクション &gt; 雑貨 &gt; ピンバッジ &gt; ディズニー &gt; 白雪姫</t>
  </si>
  <si>
    <t>オークション &gt; おもちゃ、ゲーム &gt; ファーストフードトイ &gt; その他</t>
  </si>
  <si>
    <t>美女と野獣</t>
  </si>
  <si>
    <t>オークション &gt; アンティーク、コレクション &gt; 雑貨 &gt; ピンバッジ &gt; ディズニー &gt; 美女と野獣</t>
  </si>
  <si>
    <t>オークション &gt; アンティーク、コレクション &gt; 雑貨 &gt; ピンバッジ &gt; ディズニー &gt; その他</t>
  </si>
  <si>
    <t>101（ワン・オー・ワン）</t>
  </si>
  <si>
    <t>オークション &gt; おもちゃ、ゲーム &gt; ファーストフードトイ &gt; マクドナルド &gt; ディズニー &gt; 101（ワン・オー・ワン）</t>
  </si>
  <si>
    <t>オークション &gt; おもちゃ、ゲーム &gt; ファーストフードトイ &gt; マクドナルド &gt; ディズニー &gt; くまのプーさん</t>
  </si>
  <si>
    <t>オークション &gt; おもちゃ、ゲーム &gt; ファーストフードトイ &gt; マクドナルド &gt; ディズニー &gt; アラジン</t>
  </si>
  <si>
    <t>オークション &gt; おもちゃ、ゲーム &gt; ファーストフードトイ &gt; マクドナルド &gt; ディズニー &gt; グーフィー</t>
  </si>
  <si>
    <t>オークション &gt; おもちゃ、ゲーム &gt; ファーストフードトイ &gt; マクドナルド &gt; ディズニー &gt; ターザン</t>
  </si>
  <si>
    <t>オークション &gt; おもちゃ、ゲーム &gt; ファーストフードトイ &gt; マクドナルド &gt; ディズニー &gt; ダイナソー</t>
  </si>
  <si>
    <t>オークション &gt; おもちゃ、ゲーム &gt; ファーストフードトイ &gt; マクドナルド &gt; ディズニー &gt; トイ・ストーリー</t>
  </si>
  <si>
    <t>ドナルドダック</t>
  </si>
  <si>
    <t>オークション &gt; おもちゃ、ゲーム &gt; ファーストフードトイ &gt; マクドナルド &gt; ディズニー &gt; ドナルドダック</t>
  </si>
  <si>
    <t>オークション &gt; おもちゃ、ゲーム &gt; ミニカー &gt; 自動車</t>
  </si>
  <si>
    <t>オークション &gt; おもちゃ、ゲーム &gt; ファーストフードトイ &gt; マクドナルド &gt; ディズニー &gt; ノートルダムの鐘</t>
  </si>
  <si>
    <t>オークション &gt; おもちゃ、ゲーム &gt; ミニカー &gt; オートバイ</t>
  </si>
  <si>
    <t>建設車両、作業車</t>
  </si>
  <si>
    <t>オークション &gt; おもちゃ、ゲーム &gt; ミニカー &gt; 建設車両、作業車</t>
  </si>
  <si>
    <t>オークション &gt; おもちゃ、ゲーム &gt; ファーストフードトイ &gt; マクドナルド &gt; ディズニー &gt; バグズライフ</t>
  </si>
  <si>
    <t>オークション &gt; おもちゃ、ゲーム &gt; ミニカー &gt; 航空機</t>
  </si>
  <si>
    <t>フラバー</t>
  </si>
  <si>
    <t>戦車、軍用車両</t>
  </si>
  <si>
    <t>オークション &gt; おもちゃ、ゲーム &gt; ファーストフードトイ &gt; マクドナルド &gt; ディズニー &gt; フラバー</t>
  </si>
  <si>
    <t>オークション &gt; おもちゃ、ゲーム &gt; ミニカー &gt; 戦車、軍用車両</t>
  </si>
  <si>
    <t>船、ボート</t>
  </si>
  <si>
    <t>オークション &gt; おもちゃ、ゲーム &gt; ミニカー &gt; 船、ボート</t>
  </si>
  <si>
    <t>オークション &gt; おもちゃ、ゲーム &gt; ファーストフードトイ &gt; マクドナルド &gt; ディズニー &gt; プルート</t>
  </si>
  <si>
    <t>ニンテンドースイッチ</t>
  </si>
  <si>
    <t>オークション &gt; おもちゃ、ゲーム &gt; ゲーム &gt; テレビゲーム &gt; ニンテンドースイッチ</t>
  </si>
  <si>
    <t>ニンテンドークラシックミニ</t>
  </si>
  <si>
    <t>オークション &gt; おもちゃ、ゲーム &gt; ファーストフードトイ &gt; マクドナルド &gt; ディズニー &gt; ヘラクレス</t>
  </si>
  <si>
    <t>オークション &gt; おもちゃ、ゲーム &gt; ゲーム &gt; テレビゲーム &gt; ニンテンドークラシックミニ</t>
  </si>
  <si>
    <t>ニンテンドー3DS</t>
  </si>
  <si>
    <t>オークション &gt; おもちゃ、ゲーム &gt; ゲーム &gt; テレビゲーム &gt; ニンテンドー3DS</t>
  </si>
  <si>
    <t>オークション &gt; おもちゃ、ゲーム &gt; ファーストフードトイ &gt; マクドナルド &gt; ディズニー &gt; ミッキーマウス</t>
  </si>
  <si>
    <t>オークション &gt; おもちゃ、ゲーム &gt; ゲーム &gt; テレビゲーム &gt; ニンテンドーDS</t>
  </si>
  <si>
    <t>Wii U</t>
  </si>
  <si>
    <t>オークション &gt; おもちゃ、ゲーム &gt; ファーストフードトイ &gt; マクドナルド &gt; ディズニー &gt; ミニーマウス</t>
  </si>
  <si>
    <t>オークション &gt; おもちゃ、ゲーム &gt; ゲーム &gt; テレビゲーム &gt; Wii U</t>
  </si>
  <si>
    <t>Wii</t>
  </si>
  <si>
    <t>オークション &gt; おもちゃ、ゲーム &gt; ゲーム &gt; テレビゲーム &gt; Wii</t>
  </si>
  <si>
    <t>オークション &gt; おもちゃ、ゲーム &gt; ファーストフードトイ &gt; マクドナルド &gt; ディズニー &gt; ムーラン</t>
  </si>
  <si>
    <t>PS Vita</t>
  </si>
  <si>
    <t>オークション &gt; おもちゃ、ゲーム &gt; ゲーム &gt; テレビゲーム &gt; PS Vita</t>
  </si>
  <si>
    <t>オークション &gt; おもちゃ、ゲーム &gt; ゲーム &gt; テレビゲーム &gt; PSP（プレイステーション・ポータブル）</t>
  </si>
  <si>
    <t>オークション &gt; おもちゃ、ゲーム &gt; ファーストフードトイ &gt; マクドナルド &gt; ディズニー &gt; ライオン・キング</t>
  </si>
  <si>
    <t>プレイステーション4</t>
  </si>
  <si>
    <t>オークション &gt; おもちゃ、ゲーム &gt; ゲーム &gt; テレビゲーム &gt; プレイステーション4</t>
  </si>
  <si>
    <t>プレイステーション 3</t>
  </si>
  <si>
    <t>オークション &gt; おもちゃ、ゲーム &gt; ファーストフードトイ &gt; マクドナルド &gt; ディズニー &gt; リトル・マーメイド</t>
  </si>
  <si>
    <t>オークション &gt; おもちゃ、ゲーム &gt; ゲーム &gt; テレビゲーム &gt; プレイステーション 3</t>
  </si>
  <si>
    <t>プレイステーション2</t>
  </si>
  <si>
    <t>オークション &gt; おもちゃ、ゲーム &gt; ゲーム &gt; テレビゲーム &gt; プレイステーション2</t>
  </si>
  <si>
    <t>オークション &gt; おもちゃ、ゲーム &gt; ファーストフードトイ &gt; マクドナルド &gt; ディズニー &gt; 美女と野獣</t>
  </si>
  <si>
    <t>Xbox One</t>
  </si>
  <si>
    <t>オークション &gt; おもちゃ、ゲーム &gt; ゲーム &gt; テレビゲーム &gt; Xbox One</t>
  </si>
  <si>
    <t>Xbox 360</t>
  </si>
  <si>
    <t>オークション &gt; おもちゃ、ゲーム &gt; ゲーム &gt; テレビゲーム &gt; Xbox 360</t>
  </si>
  <si>
    <t>オークション &gt; おもちゃ、ゲーム &gt; ファーストフードトイ &gt; マクドナルド &gt; ディズニー &gt; その他</t>
  </si>
  <si>
    <t>プレイステーション</t>
  </si>
  <si>
    <t>オークション &gt; おもちゃ、ゲーム &gt; ゲーム &gt; テレビゲーム &gt; プレイステーション</t>
  </si>
  <si>
    <t>オークション &gt; おもちゃ、ゲーム &gt; ゲーム &gt; テレビゲーム &gt; ゲームボーイアドバンス</t>
  </si>
  <si>
    <t>ゲームボーイミクロ</t>
  </si>
  <si>
    <t>オークション &gt; おもちゃ、ゲーム &gt; ゲーム &gt; テレビゲーム &gt; ゲームボーイミクロ</t>
  </si>
  <si>
    <t>オークション &gt; おもちゃ、ゲーム &gt; ゲーム &gt; テレビゲーム &gt; ゲームボーイ</t>
  </si>
  <si>
    <t>ゲームキューブ</t>
  </si>
  <si>
    <t>オークション &gt; おもちゃ、ゲーム &gt; ゲーム &gt; テレビゲーム &gt; ゲームキューブ</t>
  </si>
  <si>
    <t>NINTENDO 64</t>
  </si>
  <si>
    <t>オークション &gt; おもちゃ、ゲーム &gt; ゲーム &gt; テレビゲーム &gt; NINTENDO 64</t>
  </si>
  <si>
    <t>スーパーファミコン</t>
  </si>
  <si>
    <t>オークション &gt; おもちゃ、ゲーム &gt; ゲーム &gt; テレビゲーム &gt; スーパーファミコン</t>
  </si>
  <si>
    <t>ファミコン</t>
  </si>
  <si>
    <t>オークション &gt; おもちゃ、ゲーム &gt; ゲーム &gt; テレビゲーム &gt; ファミコン</t>
  </si>
  <si>
    <t>Xbox</t>
  </si>
  <si>
    <t>オークション &gt; おもちゃ、ゲーム &gt; ゲーム &gt; テレビゲーム &gt; Xbox</t>
  </si>
  <si>
    <t>セガ</t>
  </si>
  <si>
    <t>オークション &gt; おもちゃ、ゲーム &gt; ゲーム &gt; テレビゲーム &gt; セガ</t>
  </si>
  <si>
    <t>ネオジオ</t>
  </si>
  <si>
    <t>オークション &gt; おもちゃ、ゲーム &gt; ゲーム &gt; テレビゲーム &gt; ネオジオ</t>
  </si>
  <si>
    <t>3DO</t>
  </si>
  <si>
    <t>オークション &gt; おもちゃ、ゲーム &gt; ゲーム &gt; テレビゲーム &gt; 3DO</t>
  </si>
  <si>
    <t>オークション &gt; おもちゃ、ゲーム &gt; ゲーム &gt; テレビゲーム &gt; NEC</t>
  </si>
  <si>
    <t>携帯型</t>
  </si>
  <si>
    <t>オークション &gt; おもちゃ、ゲーム &gt; ゲーム &gt; テレビゲーム &gt; 携帯型</t>
  </si>
  <si>
    <t>アーケードゲーム</t>
  </si>
  <si>
    <t>オークション &gt; おもちゃ、ゲーム &gt; ゲーム &gt; テレビゲーム &gt; アーケードゲーム</t>
  </si>
  <si>
    <t>ゲーム音楽CD</t>
  </si>
  <si>
    <t>オークション &gt; おもちゃ、ゲーム &gt; ゲーム &gt; テレビゲーム &gt; ゲーム音楽CD</t>
  </si>
  <si>
    <t>ゲーム攻略本</t>
  </si>
  <si>
    <t>オークション &gt; おもちゃ、ゲーム &gt; ゲーム &gt; テレビゲーム &gt; ゲーム攻略本</t>
  </si>
  <si>
    <t>オークション &gt; おもちゃ、ゲーム &gt; SF &gt; スター・ウォーズシリーズ</t>
  </si>
  <si>
    <t>オークション &gt; おもちゃ、ゲーム &gt; ゲーム &gt; テレビゲーム &gt; ゲーム雑誌</t>
  </si>
  <si>
    <t>オークション &gt; おもちゃ、ゲーム &gt; ゲーム &gt; テレビゲーム &gt; テレホンカード</t>
  </si>
  <si>
    <t>オークション &gt; おもちゃ、ゲーム &gt; SF &gt; その他</t>
  </si>
  <si>
    <t>オークション &gt; おもちゃ、ゲーム &gt; ゲーム &gt; テレビゲーム &gt; その他</t>
  </si>
  <si>
    <t>オークション &gt; アンティーク、コレクション &gt; 雑貨 &gt; キーホルダー &gt; 一般</t>
  </si>
  <si>
    <t>オークション &gt; アンティーク、コレクション &gt; 雑貨 &gt; キーホルダー &gt; キャラクター</t>
  </si>
  <si>
    <t>オークション &gt; アンティーク、コレクション &gt; 雑貨 &gt; キーホルダー &gt; コミック、アニメーション</t>
  </si>
  <si>
    <t>タレント、ミュージシャン</t>
  </si>
  <si>
    <t>オークション &gt; アンティーク、コレクション &gt; 雑貨 &gt; キーホルダー &gt; タレント、ミュージシャン</t>
  </si>
  <si>
    <t>ブランド</t>
  </si>
  <si>
    <t>オークション &gt; アンティーク、コレクション &gt; 雑貨 &gt; キーホルダー &gt; ブランド</t>
  </si>
  <si>
    <t>ハンドメイド</t>
  </si>
  <si>
    <t>オークション &gt; アンティーク、コレクション &gt; 雑貨 &gt; キーホルダー &gt; ハンドメイド</t>
  </si>
  <si>
    <t>オークション &gt; アンティーク、コレクション &gt; 雑貨 &gt; キーホルダー &gt; オートバイ</t>
  </si>
  <si>
    <t>オークション &gt; アンティーク、コレクション &gt; 雑貨 &gt; キーホルダー &gt; 自動車</t>
  </si>
  <si>
    <t>オークション &gt; アンティーク、コレクション &gt; 雑貨 &gt; ステッカー &gt; コミック、アニメーション</t>
  </si>
  <si>
    <t>オークション &gt; アンティーク、コレクション &gt; 雑貨 &gt; ステッカー &gt; タレント</t>
  </si>
  <si>
    <t>ビックリマン</t>
  </si>
  <si>
    <t>オークション &gt; アンティーク、コレクション &gt; 雑貨 &gt; ステッカー &gt; ビックリマン</t>
  </si>
  <si>
    <t>オークション &gt; アンティーク、コレクション &gt; 雑貨 &gt; ステッカー &gt; ミュージシャン</t>
  </si>
  <si>
    <t>オークション &gt; アンティーク、コレクション &gt; 雑貨 &gt; ステッカー &gt; その他</t>
  </si>
  <si>
    <t>オークション &gt; アンティーク、コレクション &gt; 雑貨 &gt; ピンバッジ &gt; ディズニー</t>
  </si>
  <si>
    <t>オークション &gt; アンティーク、コレクション &gt; 雑貨 &gt; ピンバッジ &gt; サッカー</t>
  </si>
  <si>
    <t>オークション &gt; アンティーク、コレクション &gt; 雑貨 &gt; ピンバッジ &gt; その他</t>
  </si>
  <si>
    <t>マグカップ</t>
  </si>
  <si>
    <t>オークション &gt; アンティーク、コレクション &gt; 雑貨 &gt; ファイヤーキング &gt; マグカップ</t>
  </si>
  <si>
    <t>カップ＆ソーサー</t>
  </si>
  <si>
    <t>オークション &gt; アンティーク、コレクション &gt; 雑貨 &gt; ファイヤーキング &gt; カップ＆ソーサー</t>
  </si>
  <si>
    <t>UNO</t>
  </si>
  <si>
    <t>オークション &gt; おもちゃ、ゲーム &gt; ゲーム &gt; カードゲーム &gt; UNO</t>
  </si>
  <si>
    <t>プレート、皿</t>
  </si>
  <si>
    <t>オークション &gt; アンティーク、コレクション &gt; 雑貨 &gt; ファイヤーキング &gt; プレート、皿</t>
  </si>
  <si>
    <t>カルタ</t>
  </si>
  <si>
    <t>オークション &gt; おもちゃ、ゲーム &gt; ゲーム &gt; カードゲーム &gt; カルタ</t>
  </si>
  <si>
    <t>ボウル</t>
  </si>
  <si>
    <t>オークション &gt; アンティーク、コレクション &gt; 雑貨 &gt; ファイヤーキング &gt; ボウル</t>
  </si>
  <si>
    <t>タロットカード</t>
  </si>
  <si>
    <t>オークション &gt; おもちゃ、ゲーム &gt; ゲーム &gt; カードゲーム &gt; タロットカード</t>
  </si>
  <si>
    <t>トランプ</t>
  </si>
  <si>
    <t>オークション &gt; アンティーク、コレクション &gt; 雑貨 &gt; ファイヤーキング &gt; その他</t>
  </si>
  <si>
    <t>オークション &gt; おもちゃ、ゲーム &gt; ゲーム &gt; カードゲーム &gt; トランプ</t>
  </si>
  <si>
    <t>花札</t>
  </si>
  <si>
    <t>オークション &gt; おもちゃ、ゲーム &gt; ゲーム &gt; カードゲーム &gt; 花札</t>
  </si>
  <si>
    <t>オークション &gt; アンティーク、コレクション &gt; 家具 &gt; 日本</t>
  </si>
  <si>
    <t>百人一首</t>
  </si>
  <si>
    <t>オークション &gt; おもちゃ、ゲーム &gt; ゲーム &gt; カードゲーム &gt; 百人一首</t>
  </si>
  <si>
    <t>オークション &gt; おもちゃ、ゲーム &gt; ゲーム &gt; カードゲーム &gt; その他</t>
  </si>
  <si>
    <t>アジア</t>
  </si>
  <si>
    <t>オークション &gt; アンティーク、コレクション &gt; 家具 &gt; アジア</t>
  </si>
  <si>
    <t>すごろく</t>
  </si>
  <si>
    <t>オークション &gt; おもちゃ、ゲーム &gt; ゲーム &gt; ボードゲーム &gt; すごろく</t>
  </si>
  <si>
    <t>ウォーゲーム</t>
  </si>
  <si>
    <t>西洋</t>
  </si>
  <si>
    <t>オークション &gt; おもちゃ、ゲーム &gt; ゲーム &gt; ボードゲーム &gt; ウォーゲーム</t>
  </si>
  <si>
    <t>オークション &gt; アンティーク、コレクション &gt; 家具 &gt; 西洋</t>
  </si>
  <si>
    <t>オセロ、リバーシ</t>
  </si>
  <si>
    <t>オークション &gt; おもちゃ、ゲーム &gt; ゲーム &gt; ボードゲーム &gt; オセロ、リバーシ</t>
  </si>
  <si>
    <t>サッカーゲーム</t>
  </si>
  <si>
    <t>オークション &gt; おもちゃ、ゲーム &gt; ゲーム &gt; ボードゲーム &gt; サッカーゲーム</t>
  </si>
  <si>
    <t>店舗什器</t>
  </si>
  <si>
    <t>オークション &gt; アンティーク、コレクション &gt; 家具 &gt; 店舗什器</t>
  </si>
  <si>
    <t>チェス</t>
  </si>
  <si>
    <t>オークション &gt; おもちゃ、ゲーム &gt; ゲーム &gt; ボードゲーム &gt; チェス</t>
  </si>
  <si>
    <t>モノポリー</t>
  </si>
  <si>
    <t>たばこポーチ</t>
  </si>
  <si>
    <t>オークション &gt; おもちゃ、ゲーム &gt; ゲーム &gt; ボードゲーム &gt; モノポリー</t>
  </si>
  <si>
    <t>オークション &gt; アンティーク、コレクション &gt; 雑貨 &gt; 喫煙グッズ &gt; たばこポーチ</t>
  </si>
  <si>
    <t>オークション &gt; おもちゃ、ゲーム &gt; ゲーム &gt; ボードゲーム &gt; 囲碁</t>
  </si>
  <si>
    <t>パイプ</t>
  </si>
  <si>
    <t>オークション &gt; おもちゃ、ゲーム &gt; ゲーム &gt; ボードゲーム &gt; 将棋</t>
  </si>
  <si>
    <t>オークション &gt; アンティーク、コレクション &gt; 雑貨 &gt; 喫煙グッズ &gt; パイプ</t>
  </si>
  <si>
    <t>人生ゲーム</t>
  </si>
  <si>
    <t>オークション &gt; おもちゃ、ゲーム &gt; ゲーム &gt; ボードゲーム &gt; 人生ゲーム</t>
  </si>
  <si>
    <t>野球ゲーム</t>
  </si>
  <si>
    <t>オークション &gt; おもちゃ、ゲーム &gt; ゲーム &gt; ボードゲーム &gt; 野球ゲーム</t>
  </si>
  <si>
    <t>オークション &gt; アンティーク、コレクション &gt; 雑貨 &gt; 喫煙グッズ &gt; ライター</t>
  </si>
  <si>
    <t>オークション &gt; おもちゃ、ゲーム &gt; ゲーム &gt; ボードゲーム &gt; その他</t>
  </si>
  <si>
    <t>ダーツ、矢</t>
  </si>
  <si>
    <t>灰皿</t>
  </si>
  <si>
    <t>オークション &gt; おもちゃ、ゲーム &gt; ゲーム &gt; ダーツ &gt; ダーツ、矢</t>
  </si>
  <si>
    <t>オークション &gt; アンティーク、コレクション &gt; 雑貨 &gt; 喫煙グッズ &gt; 灰皿</t>
  </si>
  <si>
    <t>ボード</t>
  </si>
  <si>
    <t>オークション &gt; おもちゃ、ゲーム &gt; ゲーム &gt; ダーツ &gt; ボード</t>
  </si>
  <si>
    <t>葉巻用品</t>
  </si>
  <si>
    <t>オークション &gt; アンティーク、コレクション &gt; 雑貨 &gt; 喫煙グッズ &gt; 葉巻用品</t>
  </si>
  <si>
    <t>オークション &gt; おもちゃ、ゲーム &gt; ゲーム &gt; ダーツ &gt; アクセサリ</t>
  </si>
  <si>
    <t>オークション &gt; おもちゃ、ゲーム &gt; ゲーム &gt; ダーツ &gt; その他</t>
  </si>
  <si>
    <t>オークション &gt; アンティーク、コレクション &gt; 雑貨 &gt; 喫煙グッズ &gt; その他</t>
  </si>
  <si>
    <t>オークション &gt; おもちゃ、ゲーム &gt; 手品、パーティグッズ &gt; 手品 &gt; カード</t>
  </si>
  <si>
    <t>ブリキ</t>
  </si>
  <si>
    <t>オークション &gt; おもちゃ、ゲーム &gt; ビンテージ &gt; ブリキ</t>
  </si>
  <si>
    <t>コイン</t>
  </si>
  <si>
    <t>オークション &gt; おもちゃ、ゲーム &gt; 手品、パーティグッズ &gt; 手品 &gt; コイン</t>
  </si>
  <si>
    <t>マニュアル</t>
  </si>
  <si>
    <t>ソフビ</t>
  </si>
  <si>
    <t>オークション &gt; おもちゃ、ゲーム &gt; 手品、パーティグッズ &gt; 手品 &gt; マニュアル</t>
  </si>
  <si>
    <t>オークション &gt; おもちゃ、ゲーム &gt; ビンテージ &gt; ソフビ</t>
  </si>
  <si>
    <t>オークション &gt; おもちゃ、ゲーム &gt; 手品、パーティグッズ &gt; 手品 &gt; その他</t>
  </si>
  <si>
    <t>超合金</t>
  </si>
  <si>
    <t>かつら</t>
  </si>
  <si>
    <t>オークション &gt; おもちゃ、ゲーム &gt; ビンテージ &gt; 超合金</t>
  </si>
  <si>
    <t>オークション &gt; おもちゃ、ゲーム &gt; 手品、パーティグッズ &gt; パーティグッズ &gt; かつら</t>
  </si>
  <si>
    <t>クラッカー</t>
  </si>
  <si>
    <t>オークション &gt; おもちゃ、ゲーム &gt; 手品、パーティグッズ &gt; パーティグッズ &gt; クラッカー</t>
  </si>
  <si>
    <t>オークション &gt; おもちゃ、ゲーム &gt; ビンテージ &gt; 乗り物</t>
  </si>
  <si>
    <t>オークション &gt; おもちゃ、ゲーム &gt; 手品、パーティグッズ &gt; パーティグッズ &gt; コスプレ衣装</t>
  </si>
  <si>
    <t>マスク</t>
  </si>
  <si>
    <t>電気仕掛け</t>
  </si>
  <si>
    <t>オークション &gt; おもちゃ、ゲーム &gt; 手品、パーティグッズ &gt; パーティグッズ &gt; マスク</t>
  </si>
  <si>
    <t>オークション &gt; おもちゃ、ゲーム &gt; ビンテージ &gt; 電気仕掛け</t>
  </si>
  <si>
    <t>着ぐるみ</t>
  </si>
  <si>
    <t>オークション &gt; おもちゃ、ゲーム &gt; 手品、パーティグッズ &gt; パーティグッズ &gt; 着ぐるみ</t>
  </si>
  <si>
    <t>衣装</t>
  </si>
  <si>
    <t>オークション &gt; おもちゃ、ゲーム &gt; 手品、パーティグッズ &gt; パーティグッズ &gt; 衣装</t>
  </si>
  <si>
    <t>オークション &gt; おもちゃ、ゲーム &gt; ビンテージ &gt; その他</t>
  </si>
  <si>
    <t>オークション &gt; おもちゃ、ゲーム &gt; 手品、パーティグッズ &gt; パーティグッズ &gt; ゲーム</t>
  </si>
  <si>
    <t>オークション &gt; おもちゃ、ゲーム &gt; 手品、パーティグッズ &gt; パーティグッズ &gt; その他</t>
  </si>
  <si>
    <t>レゴ ベビー</t>
  </si>
  <si>
    <t>オークション &gt; おもちゃ、ゲーム &gt; ブロック、積木 &gt; LEGO &gt; レゴ ベビー</t>
  </si>
  <si>
    <t>レゴ デュプロ</t>
  </si>
  <si>
    <t>オークション &gt; おもちゃ、ゲーム &gt; ブロック、積木 &gt; LEGO &gt; レゴ デュプロ</t>
  </si>
  <si>
    <t>レゴ ディズニー</t>
  </si>
  <si>
    <t>オークション &gt; おもちゃ、ゲーム &gt; ブロック、積木 &gt; LEGO &gt; レゴ ディズニー</t>
  </si>
  <si>
    <t>基本セット</t>
  </si>
  <si>
    <t>オークション &gt; おもちゃ、ゲーム &gt; ブロック、積木 &gt; LEGO &gt; 基本セット</t>
  </si>
  <si>
    <t>お城シリーズ</t>
  </si>
  <si>
    <t>オークション &gt; おもちゃ、ゲーム &gt; ブロック、積木 &gt; LEGO &gt; お城シリーズ</t>
  </si>
  <si>
    <t>スペースポート</t>
  </si>
  <si>
    <t>オークション &gt; おもちゃ、ゲーム &gt; ブロック、積木 &gt; LEGO &gt; スペースポート</t>
  </si>
  <si>
    <t>レゴ スター・ウォーズ</t>
  </si>
  <si>
    <t>オークション &gt; おもちゃ、ゲーム &gt; ブロック、積木 &gt; LEGO &gt; レゴ スター・ウォーズ</t>
  </si>
  <si>
    <t>レゴ スポーツ</t>
  </si>
  <si>
    <t>オークション &gt; おもちゃ、ゲーム &gt; ブロック、積木 &gt; LEGO &gt; レゴ スポーツ</t>
  </si>
  <si>
    <t>Postpet</t>
  </si>
  <si>
    <t>オークション &gt; チケット、金券、宿泊予約 &gt; プリペイドカード &gt; テレホンカード &gt; キャラクター &gt; Postpet</t>
  </si>
  <si>
    <t>レゴ レーシング</t>
  </si>
  <si>
    <t>オークション &gt; おもちゃ、ゲーム &gt; ブロック、積木 &gt; LEGO &gt; レゴ レーシング</t>
  </si>
  <si>
    <t>街シリーズ</t>
  </si>
  <si>
    <t>きかんしゃトーマス</t>
  </si>
  <si>
    <t>オークション &gt; おもちゃ、ゲーム &gt; ブロック、積木 &gt; LEGO &gt; 街シリーズ</t>
  </si>
  <si>
    <t>オークション &gt; チケット、金券、宿泊予約 &gt; プリペイドカード &gt; テレホンカード &gt; キャラクター &gt; きかんしゃトーマス</t>
  </si>
  <si>
    <t>世界の冒険シリーズ</t>
  </si>
  <si>
    <t>オークション &gt; おもちゃ、ゲーム &gt; ブロック、積木 &gt; LEGO &gt; 世界の冒険シリーズ</t>
  </si>
  <si>
    <t>レゴ テクニック</t>
  </si>
  <si>
    <t>オークション &gt; おもちゃ、ゲーム &gt; ブロック、積木 &gt; LEGO &gt; レゴ テクニック</t>
  </si>
  <si>
    <t>オークション &gt; チケット、金券、宿泊予約 &gt; プリペイドカード &gt; テレホンカード &gt; キャラクター &gt; くまのパディントン</t>
  </si>
  <si>
    <t>レゴ ハリー・ポッター</t>
  </si>
  <si>
    <t>オークション &gt; おもちゃ、ゲーム &gt; ブロック、積木 &gt; LEGO &gt; レゴ ハリー・ポッター</t>
  </si>
  <si>
    <t>けろけろけろっぴ</t>
  </si>
  <si>
    <t>レゴ バイオニクル</t>
  </si>
  <si>
    <t>オークション &gt; チケット、金券、宿泊予約 &gt; プリペイドカード &gt; テレホンカード &gt; キャラクター &gt; けろけろけろっぴ</t>
  </si>
  <si>
    <t>オークション &gt; おもちゃ、ゲーム &gt; ブロック、積木 &gt; LEGO &gt; レゴ バイオニクル</t>
  </si>
  <si>
    <t>パーツ、部品</t>
  </si>
  <si>
    <t>オークション &gt; おもちゃ、ゲーム &gt; ブロック、積木 &gt; LEGO &gt; パーツ、部品</t>
  </si>
  <si>
    <t>ごはんがススムくん(味の素 )</t>
  </si>
  <si>
    <t>オークション &gt; チケット、金券、宿泊予約 &gt; プリペイドカード &gt; テレホンカード &gt; キャラクター &gt; ごはんがススムくん(味の素 )</t>
  </si>
  <si>
    <t>関連グッズ</t>
  </si>
  <si>
    <t>オークション &gt; おもちゃ、ゲーム &gt; ブロック、積木 &gt; LEGO &gt; 関連グッズ</t>
  </si>
  <si>
    <t>コカ・コーラコレクション</t>
  </si>
  <si>
    <t>むじんくん(アコム)</t>
  </si>
  <si>
    <t>オークション &gt; おもちゃ、ゲーム &gt; ブロック、積木 &gt; LEGO &gt; コカ・コーラコレクション</t>
  </si>
  <si>
    <t>オークション &gt; チケット、金券、宿泊予約 &gt; プリペイドカード &gt; テレホンカード &gt; キャラクター &gt; むじんくん(アコム)</t>
  </si>
  <si>
    <t>オークション &gt; おもちゃ、ゲーム &gt; ブロック、積木 &gt; LEGO &gt; その他</t>
  </si>
  <si>
    <t>ウォレス＆グルミット</t>
  </si>
  <si>
    <t>メタルファイトベイブレード</t>
  </si>
  <si>
    <t>オークション &gt; おもちゃ、ゲーム &gt; こま &gt; ベイブレード &gt; メタルファイトベイブレード</t>
  </si>
  <si>
    <t>オークション &gt; チケット、金券、宿泊予約 &gt; プリペイドカード &gt; テレホンカード &gt; キャラクター &gt; ウォレス＆グルミット</t>
  </si>
  <si>
    <t>オークション &gt; おもちゃ、ゲーム &gt; こま &gt; ベイブレード &gt; その他</t>
  </si>
  <si>
    <t>カールおじさん(カール)</t>
  </si>
  <si>
    <t>オークション &gt; チケット、金券、宿泊予約 &gt; プリペイドカード &gt; テレホンカード &gt; キャラクター &gt; カールおじさん(カール)</t>
  </si>
  <si>
    <t>文字、ことば</t>
  </si>
  <si>
    <t>オークション &gt; おもちゃ、ゲーム &gt; 知育玩具 &gt; 文字、ことば</t>
  </si>
  <si>
    <t>かず、計算</t>
  </si>
  <si>
    <t>オークション &gt; チケット、金券、宿泊予約 &gt; プリペイドカード &gt; テレホンカード &gt; キャラクター &gt; ガチャピン、ムック</t>
  </si>
  <si>
    <t>オークション &gt; おもちゃ、ゲーム &gt; 知育玩具 &gt; かず、計算</t>
  </si>
  <si>
    <t>リズム、音楽</t>
  </si>
  <si>
    <t>オークション &gt; おもちゃ、ゲーム &gt; 知育玩具 &gt; リズム、音楽</t>
  </si>
  <si>
    <t>オークション &gt; チケット、金券、宿泊予約 &gt; プリペイドカード &gt; テレホンカード &gt; キャラクター &gt; キューピー</t>
  </si>
  <si>
    <t>オークション &gt; おもちゃ、ゲーム &gt; 知育玩具 &gt; 英語</t>
  </si>
  <si>
    <t>キョロちゃん(チョコボール)</t>
  </si>
  <si>
    <t>オークション &gt; おもちゃ、ゲーム &gt; 知育玩具 &gt; カルタ</t>
  </si>
  <si>
    <t>オークション &gt; チケット、金券、宿泊予約 &gt; プリペイドカード &gt; テレホンカード &gt; キャラクター &gt; キョロちゃん(チョコボール)</t>
  </si>
  <si>
    <t>オークション &gt; おもちゃ、ゲーム &gt; 知育玩具 &gt; パズル</t>
  </si>
  <si>
    <t>ブロック、積木</t>
  </si>
  <si>
    <t>オークション &gt; おもちゃ、ゲーム &gt; 知育玩具 &gt; ブロック、積木</t>
  </si>
  <si>
    <t>オークション &gt; チケット、金券、宿泊予約 &gt; プリペイドカード &gt; テレホンカード &gt; キャラクター &gt; ケンケン</t>
  </si>
  <si>
    <t>学習参考書</t>
  </si>
  <si>
    <t>オークション &gt; おもちゃ、ゲーム &gt; 知育玩具 &gt; 学習参考書</t>
  </si>
  <si>
    <t>コニーちゃん</t>
  </si>
  <si>
    <t>オークション &gt; チケット、金券、宿泊予約 &gt; プリペイドカード &gt; テレホンカード &gt; キャラクター &gt; コニーちゃん</t>
  </si>
  <si>
    <t>オークション &gt; おもちゃ、ゲーム &gt; 知育玩具 &gt; 知育絵本、学習絵本</t>
  </si>
  <si>
    <t>オークション &gt; おもちゃ、ゲーム &gt; 知育玩具 &gt; その他</t>
  </si>
  <si>
    <t>サンダーバニー</t>
  </si>
  <si>
    <t>オークション &gt; チケット、金券、宿泊予約 &gt; プリペイドカード &gt; テレホンカード &gt; キャラクター &gt; サンダーバニー</t>
  </si>
  <si>
    <t>オークション &gt; ホビー、カルチャー &gt; 楽器、器材 &gt; ギター</t>
  </si>
  <si>
    <t>オークション &gt; ホビー、カルチャー &gt; 楽器、器材 &gt; ベース</t>
  </si>
  <si>
    <t>スチュアートリトル</t>
  </si>
  <si>
    <t>オークション &gt; チケット、金券、宿泊予約 &gt; プリペイドカード &gt; テレホンカード &gt; キャラクター &gt; スチュアートリトル</t>
  </si>
  <si>
    <t>オークション &gt; ホビー、カルチャー &gt; 楽器、器材 &gt; 弦楽器</t>
  </si>
  <si>
    <t>オークション &gt; チケット、金券、宿泊予約 &gt; プリペイドカード &gt; テレホンカード &gt; キャラクター &gt; セサミストリート</t>
  </si>
  <si>
    <t>オークション &gt; ホビー、カルチャー &gt; 楽器、器材 &gt; 管楽器</t>
  </si>
  <si>
    <t>オークション &gt; ホビー、カルチャー &gt; 楽器、器材 &gt; 鍵盤楽器</t>
  </si>
  <si>
    <t>タッチおじさん(富士通 )</t>
  </si>
  <si>
    <t>オークション &gt; チケット、金券、宿泊予約 &gt; プリペイドカード &gt; テレホンカード &gt; キャラクター &gt; タッチおじさん(富士通 )</t>
  </si>
  <si>
    <t>オークション &gt; ホビー、カルチャー &gt; 楽器、器材 &gt; 打楽器</t>
  </si>
  <si>
    <t>和楽器</t>
  </si>
  <si>
    <t>タンタン</t>
  </si>
  <si>
    <t>オークション &gt; ホビー、カルチャー &gt; 楽器、器材 &gt; 和楽器</t>
  </si>
  <si>
    <t>オークション &gt; チケット、金券、宿泊予約 &gt; プリペイドカード &gt; テレホンカード &gt; キャラクター &gt; タンタン</t>
  </si>
  <si>
    <t>レコーディング、PA機器</t>
  </si>
  <si>
    <t>オークション &gt; ホビー、カルチャー &gt; 楽器、器材 &gt; レコーディング、PA機器</t>
  </si>
  <si>
    <t>オークション &gt; ホビー、カルチャー &gt; 楽器、器材 &gt; DJ機器</t>
  </si>
  <si>
    <t>オークション &gt; チケット、金券、宿泊予約 &gt; プリペイドカード &gt; テレホンカード &gt; キャラクター &gt; ディズニー</t>
  </si>
  <si>
    <t>DTM、DAW</t>
  </si>
  <si>
    <t>オークション &gt; ホビー、カルチャー &gt; 楽器、器材 &gt; DTM、DAW</t>
  </si>
  <si>
    <t>ニッパー(ビクター)</t>
  </si>
  <si>
    <t>オークション &gt; チケット、金券、宿泊予約 &gt; プリペイドカード &gt; テレホンカード &gt; キャラクター &gt; ニッパー(ビクター)</t>
  </si>
  <si>
    <t>オークション &gt; ホビー、カルチャー &gt; 楽器、器材 &gt; アンプ</t>
  </si>
  <si>
    <t>メトロノーム</t>
  </si>
  <si>
    <t>オークション &gt; ホビー、カルチャー &gt; 楽器、器材 &gt; メトロノーム</t>
  </si>
  <si>
    <t>ハッチポッチステーション</t>
  </si>
  <si>
    <t>オークション &gt; チケット、金券、宿泊予約 &gt; プリペイドカード &gt; テレホンカード &gt; キャラクター &gt; ハッチポッチステーション</t>
  </si>
  <si>
    <t>譜面台</t>
  </si>
  <si>
    <t>オークション &gt; ホビー、カルチャー &gt; 楽器、器材 &gt; 譜面台</t>
  </si>
  <si>
    <t>防音用品</t>
  </si>
  <si>
    <t>オークション &gt; ホビー、カルチャー &gt; 楽器、器材 &gt; 防音用品</t>
  </si>
  <si>
    <t>オークション &gt; チケット、金券、宿泊予約 &gt; プリペイドカード &gt; テレホンカード &gt; キャラクター &gt; ハローキティ</t>
  </si>
  <si>
    <t>楽器玩具</t>
  </si>
  <si>
    <t>オークション &gt; ホビー、カルチャー &gt; 楽器、器材 &gt; 楽器玩具</t>
  </si>
  <si>
    <t>オークション &gt; チケット、金券、宿泊予約 &gt; プリペイドカード &gt; テレホンカード &gt; キャラクター &gt; ピーターラビット</t>
  </si>
  <si>
    <t>オークション &gt; ホビー、カルチャー &gt; 楽器、器材 &gt; 楽譜</t>
  </si>
  <si>
    <t>オークション &gt; ホビー、カルチャー &gt; 楽器、器材 &gt; レコーディング、音楽制作</t>
  </si>
  <si>
    <t>オークション &gt; チケット、金券、宿泊予約 &gt; プリペイドカード &gt; テレホンカード &gt; キャラクター &gt; ピングー</t>
  </si>
  <si>
    <t>楽器リペア、改造</t>
  </si>
  <si>
    <t>オークション &gt; ホビー、カルチャー &gt; 楽器、器材 &gt; 楽器リペア、改造</t>
  </si>
  <si>
    <t>楽器レッスン</t>
  </si>
  <si>
    <t>ペコちゃん(不二家)</t>
  </si>
  <si>
    <t>オークション &gt; ホビー、カルチャー &gt; 楽器、器材 &gt; 楽器レッスン</t>
  </si>
  <si>
    <t>オークション &gt; チケット、金券、宿泊予約 &gt; プリペイドカード &gt; テレホンカード &gt; キャラクター &gt; ペコちゃん(不二家)</t>
  </si>
  <si>
    <t>楽器レンタル</t>
  </si>
  <si>
    <t>オークション &gt; ホビー、カルチャー &gt; 楽器、器材 &gt; 楽器レンタル</t>
  </si>
  <si>
    <t>ペプシマン(ペプシ)</t>
  </si>
  <si>
    <t>オークション &gt; チケット、金券、宿泊予約 &gt; プリペイドカード &gt; テレホンカード &gt; キャラクター &gt; ペプシマン(ペプシ)</t>
  </si>
  <si>
    <t>オークション &gt; ホビー、カルチャー &gt; 楽器、器材 &gt; その他</t>
  </si>
  <si>
    <t>ジグソーパズル</t>
  </si>
  <si>
    <t>オークション &gt; おもちゃ、ゲーム &gt; パズル &gt; ジグソーパズル</t>
  </si>
  <si>
    <t>ポチャッコ</t>
  </si>
  <si>
    <t>オークション &gt; チケット、金券、宿泊予約 &gt; プリペイドカード &gt; テレホンカード &gt; キャラクター &gt; ポチャッコ</t>
  </si>
  <si>
    <t>ルービックキューブ</t>
  </si>
  <si>
    <t>オークション &gt; おもちゃ、ゲーム &gt; パズル &gt; ルービックキューブ</t>
  </si>
  <si>
    <t>知恵の輪</t>
  </si>
  <si>
    <t>オークション &gt; おもちゃ、ゲーム &gt; パズル &gt; 知恵の輪</t>
  </si>
  <si>
    <t>オークション &gt; チケット、金券、宿泊予約 &gt; プリペイドカード &gt; テレホンカード &gt; キャラクター &gt; ポパイ</t>
  </si>
  <si>
    <t>立体パズル</t>
  </si>
  <si>
    <t>オークション &gt; おもちゃ、ゲーム &gt; パズル &gt; 立体パズル</t>
  </si>
  <si>
    <t>マーブルわんちゃん(マーブルチョコレート)</t>
  </si>
  <si>
    <t>オークション &gt; おもちゃ、ゲーム &gt; パズル &gt; その他</t>
  </si>
  <si>
    <t>オークション &gt; チケット、金券、宿泊予約 &gt; プリペイドカード &gt; テレホンカード &gt; キャラクター &gt; マーブルわんちゃん(マーブルチョコレート)</t>
  </si>
  <si>
    <t>LEGO</t>
  </si>
  <si>
    <t>オークション &gt; おもちゃ、ゲーム &gt; ブロック、積木 &gt; LEGO</t>
  </si>
  <si>
    <t>マイメロディ</t>
  </si>
  <si>
    <t>オークション &gt; チケット、金券、宿泊予約 &gt; プリペイドカード &gt; テレホンカード &gt; キャラクター &gt; マイメロディ</t>
  </si>
  <si>
    <t>オークション &gt; おもちゃ、ゲーム &gt; ブロック、積木 &gt; キューブリック、ベアブリック</t>
  </si>
  <si>
    <t>ブロック</t>
  </si>
  <si>
    <t>オークション &gt; おもちゃ、ゲーム &gt; ブロック、積木 &gt; ブロック</t>
  </si>
  <si>
    <t>プレイモービル</t>
  </si>
  <si>
    <t>オークション &gt; チケット、金券、宿泊予約 &gt; プリペイドカード &gt; テレホンカード &gt; キャラクター &gt; ミッフィー</t>
  </si>
  <si>
    <t>オークション &gt; おもちゃ、ゲーム &gt; ブロック、積木 &gt; プレイモービル</t>
  </si>
  <si>
    <t>積木</t>
  </si>
  <si>
    <t>オークション &gt; おもちゃ、ゲーム &gt; ブロック、積木 &gt; 積木</t>
  </si>
  <si>
    <t>ヤン坊、マー坊</t>
  </si>
  <si>
    <t>オークション &gt; チケット、金券、宿泊予約 &gt; プリペイドカード &gt; テレホンカード &gt; キャラクター &gt; ヤン坊、マー坊</t>
  </si>
  <si>
    <t>オークション &gt; おもちゃ、ゲーム &gt; ブロック、積木 &gt; その他</t>
  </si>
  <si>
    <t>オークション &gt; チケット、金券、宿泊予約 &gt; プリペイドカード &gt; テレホンカード &gt; キャラクター &gt; その他</t>
  </si>
  <si>
    <t>オークション &gt; チケット、金券、宿泊予約 &gt; プリペイドカード &gt; テレホンカード &gt; コミック、アニメーション &gt; あ行</t>
  </si>
  <si>
    <t>オークション &gt; チケット、金券、宿泊予約 &gt; プリペイドカード &gt; テレホンカード &gt; コミック、アニメーション &gt; か行</t>
  </si>
  <si>
    <t>オークション &gt; チケット、金券、宿泊予約 &gt; プリペイドカード &gt; テレホンカード &gt; コミック、アニメーション &gt; さ行</t>
  </si>
  <si>
    <t>オークション &gt; チケット、金券、宿泊予約 &gt; プリペイドカード &gt; テレホンカード &gt; コミック、アニメーション &gt; た行</t>
  </si>
  <si>
    <t>オークション &gt; チケット、金券、宿泊予約 &gt; プリペイドカード &gt; テレホンカード &gt; コミック、アニメーション &gt; な行</t>
  </si>
  <si>
    <t>オークション &gt; チケット、金券、宿泊予約 &gt; プリペイドカード &gt; テレホンカード &gt; コミック、アニメーション &gt; は行</t>
  </si>
  <si>
    <t>オークション &gt; チケット、金券、宿泊予約 &gt; プリペイドカード &gt; テレホンカード &gt; コミック、アニメーション &gt; ま行</t>
  </si>
  <si>
    <t>オークション &gt; チケット、金券、宿泊予約 &gt; プリペイドカード &gt; テレホンカード &gt; コミック、アニメーション &gt; や行</t>
  </si>
  <si>
    <t>オークション &gt; チケット、金券、宿泊予約 &gt; プリペイドカード &gt; テレホンカード &gt; コミック、アニメーション &gt; ら行</t>
  </si>
  <si>
    <t>オークション &gt; チケット、金券、宿泊予約 &gt; プリペイドカード &gt; テレホンカード &gt; コミック、アニメーション &gt; わ行</t>
  </si>
  <si>
    <t>オークション &gt; チケット、金券、宿泊予約 &gt; プリペイドカード &gt; テレホンカード &gt; スポーツ &gt; カーレース</t>
  </si>
  <si>
    <t>オークション &gt; チケット、金券、宿泊予約 &gt; プリペイドカード &gt; テレホンカード &gt; スポーツ &gt; サッカー</t>
  </si>
  <si>
    <t>オークション &gt; チケット、金券、宿泊予約 &gt; プリペイドカード &gt; テレホンカード &gt; スポーツ &gt; バスケットボール</t>
  </si>
  <si>
    <t>オークション &gt; チケット、金券、宿泊予約 &gt; プリペイドカード &gt; テレホンカード &gt; スポーツ &gt; 競艇</t>
  </si>
  <si>
    <t>オークション &gt; チケット、金券、宿泊予約 &gt; プリペイドカード &gt; テレホンカード &gt; スポーツ &gt; 競馬</t>
  </si>
  <si>
    <t>競輪</t>
  </si>
  <si>
    <t>オークション &gt; チケット、金券、宿泊予約 &gt; プリペイドカード &gt; テレホンカード &gt; スポーツ &gt; 競輪</t>
  </si>
  <si>
    <t>オークション &gt; チケット、金券、宿泊予約 &gt; プリペイドカード &gt; テレホンカード &gt; スポーツ &gt; 野球</t>
  </si>
  <si>
    <t>オークション &gt; チケット、金券、宿泊予約 &gt; プリペイドカード &gt; テレホンカード &gt; スポーツ &gt; その他</t>
  </si>
  <si>
    <t>AIBO</t>
  </si>
  <si>
    <t>オークション &gt; おもちゃ、ゲーム &gt; 電子玩具 &gt; バーチャルペット &gt; AIBO</t>
  </si>
  <si>
    <t>たまごっち</t>
  </si>
  <si>
    <t>オークション &gt; おもちゃ、ゲーム &gt; 電子玩具 &gt; バーチャルペット &gt; たまごっち</t>
  </si>
  <si>
    <t>オークション &gt; おもちゃ、ゲーム &gt; 電子玩具 &gt; バーチャルペット &gt; ファービー</t>
  </si>
  <si>
    <t>プーチ</t>
  </si>
  <si>
    <t>オークション &gt; おもちゃ、ゲーム &gt; 電子玩具 &gt; バーチャルペット &gt; プーチ</t>
  </si>
  <si>
    <t>オークション &gt; おもちゃ、ゲーム &gt; 電子玩具 &gt; バーチャルペット &gt; プリモプエル</t>
  </si>
  <si>
    <t>ワンタメ アイドルパピー</t>
  </si>
  <si>
    <t>オークション &gt; おもちゃ、ゲーム &gt; 電子玩具 &gt; バーチャルペット &gt; ワンタメ アイドルパピー</t>
  </si>
  <si>
    <t>オークション &gt; おもちゃ、ゲーム &gt; 電子玩具 &gt; バーチャルペット &gt; その他</t>
  </si>
  <si>
    <t>エピソード4:新たなる希望</t>
  </si>
  <si>
    <t>オークション &gt; おもちゃ、ゲーム &gt; SF &gt; スター・ウォーズシリーズ &gt; エピソード4:新たなる希望</t>
  </si>
  <si>
    <t>エピソード5:帝国の逆襲</t>
  </si>
  <si>
    <t>オークション &gt; おもちゃ、ゲーム &gt; SF &gt; スター・ウォーズシリーズ &gt; エピソード5:帝国の逆襲</t>
  </si>
  <si>
    <t>エピソード6:ジェダイの復讐</t>
  </si>
  <si>
    <t>オークション &gt; おもちゃ、ゲーム &gt; SF &gt; スター・ウォーズシリーズ &gt; エピソード6:ジェダイの復讐</t>
  </si>
  <si>
    <t>エピソード1:ファントム・メナス</t>
  </si>
  <si>
    <t>オークション &gt; おもちゃ、ゲーム &gt; SF &gt; スター・ウォーズシリーズ &gt; エピソード1:ファントム・メナス</t>
  </si>
  <si>
    <t>オークション &gt; おもちゃ、ゲーム &gt; SF &gt; スター・ウォーズシリーズ &gt; LEGO</t>
  </si>
  <si>
    <t>コレクション全般</t>
  </si>
  <si>
    <t>オークション &gt; チケット、金券、宿泊予約 &gt; プリペイドカード &gt; テレホンカード &gt; 芸能人、タレント &gt; グループ</t>
  </si>
  <si>
    <t>オークション &gt; おもちゃ、ゲーム &gt; SF &gt; スター・ウォーズシリーズ &gt; コレクション全般</t>
  </si>
  <si>
    <t>オークション &gt; おもちゃ、ゲーム &gt; SF &gt; スター・ウォーズシリーズ &gt; フィギュア</t>
  </si>
  <si>
    <t>オークション &gt; チケット、金券、宿泊予約 &gt; プリペイドカード &gt; テレホンカード &gt; 芸能人、タレント &gt; 女性タレント</t>
  </si>
  <si>
    <t>オークション &gt; おもちゃ、ゲーム &gt; SF &gt; スター・ウォーズシリーズ &gt; その他</t>
  </si>
  <si>
    <t>マクドナルドキャラクター</t>
  </si>
  <si>
    <t>オークション &gt; おもちゃ、ゲーム &gt; ファーストフードトイ &gt; マクドナルド &gt; マクドナルドキャラクター</t>
  </si>
  <si>
    <t>オークション &gt; チケット、金券、宿泊予約 &gt; プリペイドカード &gt; テレホンカード &gt; 芸能人、タレント &gt; 男性タレント</t>
  </si>
  <si>
    <t>オリンピック</t>
  </si>
  <si>
    <t>オークション &gt; おもちゃ、ゲーム &gt; ファーストフードトイ &gt; マクドナルド &gt; オリンピック</t>
  </si>
  <si>
    <t>スヌーピー、ピーナッツ</t>
  </si>
  <si>
    <t>オークション &gt; おもちゃ、ゲーム &gt; ファーストフードトイ &gt; マクドナルド &gt; スヌーピー、ピーナッツ</t>
  </si>
  <si>
    <t>テディ・ベア</t>
  </si>
  <si>
    <t>オークション &gt; おもちゃ、ゲーム &gt; ファーストフードトイ &gt; マクドナルド &gt; テディ・ベア</t>
  </si>
  <si>
    <t>オークション &gt; おもちゃ、ゲーム &gt; ファーストフードトイ &gt; マクドナルド &gt; ディズニー</t>
  </si>
  <si>
    <t>オークション &gt; おもちゃ、ゲーム &gt; ファーストフードトイ &gt; マクドナルド &gt; ハローキティ</t>
  </si>
  <si>
    <t>オークション &gt; おもちゃ、ゲーム &gt; ファーストフードトイ &gt; マクドナルド &gt; バービー</t>
  </si>
  <si>
    <t>プレステキャラクター</t>
  </si>
  <si>
    <t>オークション &gt; おもちゃ、ゲーム &gt; ファーストフードトイ &gt; マクドナルド &gt; プレステキャラクター</t>
  </si>
  <si>
    <t>ミニカー</t>
  </si>
  <si>
    <t>オークション &gt; おもちゃ、ゲーム &gt; ファーストフードトイ &gt; マクドナルド &gt; ミニカー</t>
  </si>
  <si>
    <t>オークション &gt; おもちゃ、ゲーム &gt; ファーストフードトイ &gt; マクドナルド &gt; その他</t>
  </si>
  <si>
    <t>トートバッグ</t>
  </si>
  <si>
    <t>オークション &gt; おもちゃ、ゲーム &gt; ファーストフードトイ &gt; ミスタードーナツ &gt; トートバッグ</t>
  </si>
  <si>
    <t>ノート、手帳</t>
  </si>
  <si>
    <t>オークション &gt; おもちゃ、ゲーム &gt; ファーストフードトイ &gt; ミスタードーナツ &gt; ノート、手帳</t>
  </si>
  <si>
    <t>ポーチ</t>
  </si>
  <si>
    <t>オークション &gt; おもちゃ、ゲーム &gt; ファーストフードトイ &gt; ミスタードーナツ &gt; ポーチ</t>
  </si>
  <si>
    <t>リュックサック</t>
  </si>
  <si>
    <t>オークション &gt; おもちゃ、ゲーム &gt; ファーストフードトイ &gt; ミスタードーナツ &gt; リュックサック</t>
  </si>
  <si>
    <t>食器</t>
  </si>
  <si>
    <t>オークション &gt; おもちゃ、ゲーム &gt; ファーストフードトイ &gt; ミスタードーナツ &gt; 食器</t>
  </si>
  <si>
    <t>弁当箱</t>
  </si>
  <si>
    <t>オークション &gt; おもちゃ、ゲーム &gt; ファーストフードトイ &gt; ミスタードーナツ &gt; 弁当箱</t>
  </si>
  <si>
    <t>オークション &gt; おもちゃ、ゲーム &gt; ファーストフードトイ &gt; ミスタードーナツ &gt; その他</t>
  </si>
  <si>
    <t>1人～</t>
  </si>
  <si>
    <t>オークション &gt; スポーツ、レジャー &gt; キャンプ、アウトドア用品 &gt; レジャーシート &gt; 1人～</t>
  </si>
  <si>
    <t>4人～</t>
  </si>
  <si>
    <t>オークション &gt; スポーツ、レジャー &gt; キャンプ、アウトドア用品 &gt; レジャーシート &gt; 4人～</t>
  </si>
  <si>
    <t>8人～</t>
  </si>
  <si>
    <t>オークション &gt; スポーツ、レジャー &gt; キャンプ、アウトドア用品 &gt; レジャーシート &gt; 8人～</t>
  </si>
  <si>
    <t>タープ</t>
  </si>
  <si>
    <t>オークション &gt; スポーツ、レジャー &gt; キャンプ、アウトドア用品 &gt; レジャーシート &gt; タープ</t>
  </si>
  <si>
    <t>ビーチパラソル</t>
  </si>
  <si>
    <t>オークション &gt; スポーツ、レジャー &gt; キャンプ、アウトドア用品 &gt; レジャーシート &gt; ビーチパラソル</t>
  </si>
  <si>
    <t>寝袋、ベッド、寝具</t>
  </si>
  <si>
    <t>オークション &gt; スポーツ、レジャー &gt; キャンプ、アウトドア用品 &gt; レジャーシート &gt; 寝袋、ベッド、寝具</t>
  </si>
  <si>
    <t>チェア</t>
  </si>
  <si>
    <t>オークション &gt; スポーツ、レジャー &gt; キャンプ、アウトドア用品 &gt; レジャーシート &gt; チェア</t>
  </si>
  <si>
    <t>テーブル</t>
  </si>
  <si>
    <t>オークション &gt; スポーツ、レジャー &gt; キャンプ、アウトドア用品 &gt; レジャーシート &gt; テーブル</t>
  </si>
  <si>
    <t>ウエア</t>
  </si>
  <si>
    <t>オークション &gt; スポーツ、レジャー &gt; スポーツ別 &gt; アメリカンフットボール &gt; ウエア</t>
  </si>
  <si>
    <t>グローブ</t>
  </si>
  <si>
    <t>オークション &gt; スポーツ、レジャー &gt; スポーツ別 &gt; アメリカンフットボール &gt; グローブ</t>
  </si>
  <si>
    <t>オークション &gt; スポーツ、レジャー &gt; スポーツ別 &gt; アメリカンフットボール &gt; ヘルメット</t>
  </si>
  <si>
    <t>記念グッズ</t>
  </si>
  <si>
    <t>オークション &gt; スポーツ、レジャー &gt; スポーツ別 &gt; アメリカンフットボール &gt; 記念グッズ</t>
  </si>
  <si>
    <t>オークション &gt; スポーツ、レジャー &gt; スポーツ別 &gt; アメリカンフットボール &gt; その他</t>
  </si>
  <si>
    <t>インラインスケート</t>
  </si>
  <si>
    <t>オークション &gt; スポーツ、レジャー &gt; スポーツ別 &gt; インラインスケート &gt; インラインスケート</t>
  </si>
  <si>
    <t>プロテクター</t>
  </si>
  <si>
    <t>オークション &gt; スポーツ、レジャー &gt; スポーツ別 &gt; インラインスケート &gt; プロテクター</t>
  </si>
  <si>
    <t>オークション &gt; スポーツ、レジャー &gt; スポーツ別 &gt; インラインスケート &gt; ヘルメット</t>
  </si>
  <si>
    <t>ウィール</t>
  </si>
  <si>
    <t>オークション &gt; スポーツ、レジャー &gt; スポーツ別 &gt; インラインスケート &gt; ウィール</t>
  </si>
  <si>
    <t>ローラーシューズ</t>
  </si>
  <si>
    <t>オークション &gt; スポーツ、レジャー &gt; スポーツ別 &gt; インラインスケート &gt; ローラーシューズ</t>
  </si>
  <si>
    <t>オークション &gt; スポーツ、レジャー &gt; スポーツ別 &gt; インラインスケート &gt; その他</t>
  </si>
  <si>
    <t>オークション &gt; スポーツ、レジャー &gt; スポーツ別 &gt; ウインドサーフィン &gt; ボード</t>
  </si>
  <si>
    <t>セイル</t>
  </si>
  <si>
    <t>オークション &gt; スポーツ、レジャー &gt; スポーツ別 &gt; ウインドサーフィン &gt; セイル</t>
  </si>
  <si>
    <t>ブーム</t>
  </si>
  <si>
    <t>オークション &gt; スポーツ、レジャー &gt; スポーツ別 &gt; ウインドサーフィン &gt; ブーム</t>
  </si>
  <si>
    <t>マスト</t>
  </si>
  <si>
    <t>オークション &gt; スポーツ、レジャー &gt; スポーツ別 &gt; ウインドサーフィン &gt; マスト</t>
  </si>
  <si>
    <t>オークション &gt; スポーツ、レジャー &gt; スポーツ別 &gt; ウインドサーフィン &gt; ウエア</t>
  </si>
  <si>
    <t>オークション &gt; スポーツ、レジャー &gt; スポーツ別 &gt; ウインドサーフィン &gt; アクセサリー</t>
  </si>
  <si>
    <t>オークション &gt; スポーツ、レジャー &gt; スポーツ別 &gt; ウインドサーフィン &gt; その他</t>
  </si>
  <si>
    <t>オークション &gt; スポーツ、レジャー &gt; スポーツ別 &gt; ウェイクボード &gt; ボード</t>
  </si>
  <si>
    <t>オークション &gt; スポーツ、レジャー &gt; スポーツ別 &gt; ウェイクボード &gt; アクセサリー</t>
  </si>
  <si>
    <t>オークション &gt; スポーツ、レジャー &gt; スポーツ別 &gt; ウェイクボード &gt; ウエア</t>
  </si>
  <si>
    <t>オークション &gt; スポーツ、レジャー &gt; スポーツ別 &gt; ウェイクボード &gt; その他</t>
  </si>
  <si>
    <t>ウォーキングシューズ</t>
  </si>
  <si>
    <t>オークション &gt; スポーツ、レジャー &gt; スポーツ別 &gt; ウォーキング &gt; ウォーキングシューズ</t>
  </si>
  <si>
    <t>スニーカー</t>
  </si>
  <si>
    <t>オークション &gt; スポーツ、レジャー &gt; スポーツ別 &gt; ウォーキング &gt; スニーカー</t>
  </si>
  <si>
    <t>万歩計</t>
  </si>
  <si>
    <t>オークション &gt; スポーツ、レジャー &gt; スポーツ別 &gt; ウォーキング &gt; 万歩計</t>
  </si>
  <si>
    <t>バックパック、かばん</t>
  </si>
  <si>
    <t>オークション &gt; スポーツ、レジャー &gt; スポーツ別 &gt; ウォーキング &gt; バックパック、かばん</t>
  </si>
  <si>
    <t>スポーツウエア</t>
  </si>
  <si>
    <t>オークション &gt; スポーツ、レジャー &gt; スポーツ別 &gt; ウォーキング &gt; スポーツウエア</t>
  </si>
  <si>
    <t>スポーツ心拍計</t>
  </si>
  <si>
    <t>オークション &gt; スポーツ、レジャー &gt; スポーツ別 &gt; ウォーキング &gt; スポーツ心拍計</t>
  </si>
  <si>
    <t>ランニングマシン、ウォーキングマシン</t>
  </si>
  <si>
    <t>オークション &gt; スポーツ、レジャー &gt; スポーツ別 &gt; ウォーキング &gt; ランニングマシン、ウォーキングマシン</t>
  </si>
  <si>
    <t>フィットネスクラブ利用券</t>
  </si>
  <si>
    <t>オークション &gt; スポーツ、レジャー &gt; スポーツ別 &gt; ウォーキング &gt; フィットネスクラブ利用券</t>
  </si>
  <si>
    <t>オークション &gt; スポーツ、レジャー &gt; スポーツ別 &gt; エクササイズ用品 &gt; ウエア</t>
  </si>
  <si>
    <t>ギア</t>
  </si>
  <si>
    <t>オークション &gt; スポーツ、レジャー &gt; スポーツ別 &gt; エクササイズ用品 &gt; ギア</t>
  </si>
  <si>
    <t>オークション &gt; スポーツ、レジャー &gt; スポーツ別 &gt; エクササイズ用品 &gt; スポーツ心拍計</t>
  </si>
  <si>
    <t>マシン</t>
  </si>
  <si>
    <t>オークション &gt; スポーツ、レジャー &gt; スポーツ別 &gt; エクササイズ用品 &gt; マシン</t>
  </si>
  <si>
    <t>DVD（エクササイズ、ヨガ）</t>
  </si>
  <si>
    <t>オークション &gt; スポーツ、レジャー &gt; スポーツ別 &gt; エクササイズ用品 &gt; DVD（エクササイズ、ヨガ）</t>
  </si>
  <si>
    <t>ウォーキング</t>
  </si>
  <si>
    <t>オークション &gt; スポーツ、レジャー &gt; スポーツ別 &gt; エクササイズ用品 &gt; ウォーキング</t>
  </si>
  <si>
    <t>ヨガ、ピラティス</t>
  </si>
  <si>
    <t>オークション &gt; スポーツ、レジャー &gt; スポーツ別 &gt; エクササイズ用品 &gt; ヨガ、ピラティス</t>
  </si>
  <si>
    <t>オークション &gt; スポーツ、レジャー &gt; スポーツ別 &gt; エクササイズ用品 &gt; 自転車、サイクリング</t>
  </si>
  <si>
    <t>サプリメント</t>
  </si>
  <si>
    <t>オークション &gt; スポーツ、レジャー &gt; スポーツ別 &gt; エクササイズ用品 &gt; サプリメント</t>
  </si>
  <si>
    <t>オークション &gt; スポーツ、レジャー &gt; スポーツ別 &gt; エクササイズ用品 &gt; その他</t>
  </si>
  <si>
    <t>F1</t>
  </si>
  <si>
    <t>オークション &gt; スポーツ、レジャー &gt; スポーツ別 &gt; カーレース &gt; F1</t>
  </si>
  <si>
    <t>ポケットバイク</t>
  </si>
  <si>
    <t>オークション &gt; スポーツ、レジャー &gt; スポーツ別 &gt; カーレース &gt; ポケットバイク</t>
  </si>
  <si>
    <t>レーシングカート</t>
  </si>
  <si>
    <t>オークション &gt; スポーツ、レジャー &gt; スポーツ別 &gt; カーレース &gt; レーシングカート</t>
  </si>
  <si>
    <t>四輪バギー</t>
  </si>
  <si>
    <t>オークション &gt; スポーツ、レジャー &gt; スポーツ別 &gt; カーレース &gt; 四輪バギー</t>
  </si>
  <si>
    <t>オークション &gt; スポーツ、レジャー &gt; スポーツ別 &gt; カーレース &gt; その他</t>
  </si>
  <si>
    <t>クラブ</t>
  </si>
  <si>
    <t>オークション &gt; スポーツ、レジャー &gt; スポーツ別 &gt; ゴルフ &gt; クラブ</t>
  </si>
  <si>
    <t>ウエア（男性用）</t>
  </si>
  <si>
    <t>オークション &gt; スポーツ、レジャー &gt; スポーツ別 &gt; ゴルフ &gt; ウエア（男性用）</t>
  </si>
  <si>
    <t>ウエア（女性用）</t>
  </si>
  <si>
    <t>オークション &gt; スポーツ、レジャー &gt; スポーツ別 &gt; ゴルフ &gt; ウエア（女性用）</t>
  </si>
  <si>
    <t>シューズ（男性用）</t>
  </si>
  <si>
    <t>オークション &gt; スポーツ、レジャー &gt; スポーツ別 &gt; ゴルフ &gt; シューズ（男性用）</t>
  </si>
  <si>
    <t>シューズ（女性用）</t>
  </si>
  <si>
    <t>オークション &gt; スポーツ、レジャー &gt; スポーツ別 &gt; ゴルフ &gt; シューズ（女性用）</t>
  </si>
  <si>
    <t>用具</t>
  </si>
  <si>
    <t>オークション &gt; スポーツ、レジャー &gt; スポーツ別 &gt; ゴルフ &gt; 用具</t>
  </si>
  <si>
    <t>練習器具</t>
  </si>
  <si>
    <t>オークション &gt; スポーツ、レジャー &gt; スポーツ別 &gt; ゴルフ &gt; 練習器具</t>
  </si>
  <si>
    <t>オークション &gt; スポーツ、レジャー &gt; スポーツ別 &gt; ゴルフ &gt; アクセサリー</t>
  </si>
  <si>
    <t>オークション &gt; スポーツ、レジャー &gt; スポーツ別 &gt; ゴルフ &gt; ビデオ</t>
  </si>
  <si>
    <t>オークション &gt; スポーツ、レジャー &gt; スポーツ別 &gt; ゴルフ &gt; 雑誌</t>
  </si>
  <si>
    <t>オークション &gt; スポーツ、レジャー &gt; スポーツ別 &gt; ゴルフ &gt; 本</t>
  </si>
  <si>
    <t>オークション &gt; スポーツ、レジャー &gt; スポーツ別 &gt; ゴルフ &gt; その他</t>
  </si>
  <si>
    <t>サイン</t>
  </si>
  <si>
    <t>オークション &gt; スポーツ、レジャー &gt; スポーツ別 &gt; 格闘技、プロレス &gt; サイン</t>
  </si>
  <si>
    <t>オークション &gt; ホビー、カルチャー &gt; 模型製作用品 &gt; 塗装用品 &gt; エアブラシ</t>
  </si>
  <si>
    <t>筆、刷毛</t>
  </si>
  <si>
    <t>オークション &gt; ホビー、カルチャー &gt; 模型製作用品 &gt; 塗装用品 &gt; 筆、刷毛</t>
  </si>
  <si>
    <t>オークション &gt; スポーツ、レジャー &gt; スポーツ別 &gt; 格闘技、プロレス &gt; トレーディングカード</t>
  </si>
  <si>
    <t>塗料</t>
  </si>
  <si>
    <t>オークション &gt; ホビー、カルチャー &gt; 模型製作用品 &gt; 塗装用品 &gt; 塗料</t>
  </si>
  <si>
    <t>オークション &gt; スポーツ、レジャー &gt; スポーツ別 &gt; 格闘技、プロレス &gt; ビデオ</t>
  </si>
  <si>
    <t>オークション &gt; ホビー、カルチャー &gt; 模型製作用品 &gt; 塗装用品 &gt; その他</t>
  </si>
  <si>
    <t>接着剤</t>
  </si>
  <si>
    <t>オークション &gt; ホビー、カルチャー &gt; 模型製作用品 &gt; 接着用品 &gt; 接着剤</t>
  </si>
  <si>
    <t>オークション &gt; スポーツ、レジャー &gt; スポーツ別 &gt; 格闘技、プロレス &gt; フィギュア</t>
  </si>
  <si>
    <t>オークション &gt; ホビー、カルチャー &gt; 模型製作用品 &gt; 接着用品 &gt; その他</t>
  </si>
  <si>
    <t>オークション &gt; スポーツ、レジャー &gt; スポーツ別 &gt; 格闘技、プロレス &gt; マスク</t>
  </si>
  <si>
    <t>コレクション用</t>
  </si>
  <si>
    <t>オークション &gt; ホビー、カルチャー &gt; 鉄道 &gt; 切符 &gt; コレクション用</t>
  </si>
  <si>
    <t>オークション &gt; スポーツ、レジャー &gt; スポーツ別 &gt; 格闘技、プロレス &gt; 雑誌</t>
  </si>
  <si>
    <t>一般用</t>
  </si>
  <si>
    <t>オークション &gt; ホビー、カルチャー &gt; 鉄道 &gt; 切符 &gt; 一般用</t>
  </si>
  <si>
    <t>オークション &gt; スポーツ、レジャー &gt; スポーツ別 &gt; 格闘技、プロレス &gt; 本</t>
  </si>
  <si>
    <t>PASMO</t>
  </si>
  <si>
    <t>オークション &gt; チケット、金券、宿泊予約 &gt; プリペイドカード &gt; 鉄道 &gt; PASMO</t>
  </si>
  <si>
    <t>オークション &gt; スポーツ、レジャー &gt; スポーツ別 &gt; 格闘技、プロレス &gt; その他</t>
  </si>
  <si>
    <t>オレンジカード</t>
  </si>
  <si>
    <t>オークション &gt; チケット、金券、宿泊予約 &gt; プリペイドカード &gt; 鉄道 &gt; オレンジカード</t>
  </si>
  <si>
    <t>空手着</t>
  </si>
  <si>
    <t>オークション &gt; スポーツ、レジャー &gt; スポーツ別 &gt; 空手 &gt; 空手着</t>
  </si>
  <si>
    <t>帯</t>
  </si>
  <si>
    <t>Suica</t>
  </si>
  <si>
    <t>オークション &gt; スポーツ、レジャー &gt; スポーツ別 &gt; 空手 &gt; 帯</t>
  </si>
  <si>
    <t>オークション &gt; チケット、金券、宿泊予約 &gt; プリペイドカード &gt; 鉄道 &gt; Suica</t>
  </si>
  <si>
    <t>パスネットカード</t>
  </si>
  <si>
    <t>オークション &gt; スポーツ、レジャー &gt; スポーツ別 &gt; 空手 &gt; その他</t>
  </si>
  <si>
    <t>オークション &gt; チケット、金券、宿泊予約 &gt; プリペイドカード &gt; 鉄道 &gt; パスネットカード</t>
  </si>
  <si>
    <t>防具セット</t>
  </si>
  <si>
    <t>オークション &gt; スポーツ、レジャー &gt; スポーツ別 &gt; 剣道 &gt; 防具セット</t>
  </si>
  <si>
    <t>ICOCA</t>
  </si>
  <si>
    <t>オークション &gt; チケット、金券、宿泊予約 &gt; プリペイドカード &gt; 鉄道 &gt; ICOCA</t>
  </si>
  <si>
    <t>防具単品</t>
  </si>
  <si>
    <t>オークション &gt; スポーツ、レジャー &gt; スポーツ別 &gt; 剣道 &gt; 防具単品</t>
  </si>
  <si>
    <t>Jスルーカード</t>
  </si>
  <si>
    <t>オークション &gt; チケット、金券、宿泊予約 &gt; プリペイドカード &gt; 鉄道 &gt; Jスルーカード</t>
  </si>
  <si>
    <t>竹刀</t>
  </si>
  <si>
    <t>オークション &gt; スポーツ、レジャー &gt; スポーツ別 &gt; 剣道 &gt; 竹刀</t>
  </si>
  <si>
    <t>イオカード</t>
  </si>
  <si>
    <t>オークション &gt; チケット、金券、宿泊予約 &gt; プリペイドカード &gt; 鉄道 &gt; イオカード</t>
  </si>
  <si>
    <t>木刀</t>
  </si>
  <si>
    <t>オークション &gt; スポーツ、レジャー &gt; スポーツ別 &gt; 剣道 &gt; 木刀</t>
  </si>
  <si>
    <t>スルッとKANSAI</t>
  </si>
  <si>
    <t>オークション &gt; チケット、金券、宿泊予約 &gt; プリペイドカード &gt; 鉄道 &gt; スルッとKANSAI</t>
  </si>
  <si>
    <t>竹刀袋</t>
  </si>
  <si>
    <t>オークション &gt; スポーツ、レジャー &gt; スポーツ別 &gt; 剣道 &gt; 竹刀袋</t>
  </si>
  <si>
    <t>オークション &gt; チケット、金券、宿泊予約 &gt; プリペイドカード &gt; 鉄道 &gt; その他</t>
  </si>
  <si>
    <t>剣道着、袴</t>
  </si>
  <si>
    <t>オークション &gt; スポーツ、レジャー &gt; スポーツ別 &gt; 剣道 &gt; 剣道着、袴</t>
  </si>
  <si>
    <t>行先板、サボ</t>
  </si>
  <si>
    <t>オークション &gt; ホビー、カルチャー &gt; 鉄道 &gt; 廃品、放出品 &gt; 行先板、サボ</t>
  </si>
  <si>
    <t>オークション &gt; スポーツ、レジャー &gt; スポーツ別 &gt; 剣道 &gt; その他</t>
  </si>
  <si>
    <t>方向幕</t>
  </si>
  <si>
    <t>オークション &gt; ホビー、カルチャー &gt; 鉄道 &gt; 廃品、放出品 &gt; 方向幕</t>
  </si>
  <si>
    <t>オークション &gt; スポーツ、レジャー &gt; スポーツ別 &gt; サーフィン &gt; ボード</t>
  </si>
  <si>
    <t>オークション &gt; ホビー、カルチャー &gt; 鉄道 &gt; 廃品、放出品 &gt; その他</t>
  </si>
  <si>
    <t>オークション &gt; スポーツ、レジャー &gt; スポーツ別 &gt; サーフィン &gt; ウエア</t>
  </si>
  <si>
    <t>オークション &gt; スポーツ、レジャー &gt; スポーツ別 &gt; サーフィン &gt; アクセサリー</t>
  </si>
  <si>
    <t>オークション &gt; スポーツ、レジャー &gt; スポーツ別 &gt; サーフィン &gt; ビデオ</t>
  </si>
  <si>
    <t>ボディーボード</t>
  </si>
  <si>
    <t>オークション &gt; スポーツ、レジャー &gt; スポーツ別 &gt; サーフィン &gt; ボディーボード</t>
  </si>
  <si>
    <t>アパレル</t>
  </si>
  <si>
    <t>オークション &gt; ホビー、カルチャー &gt; 鉄道 &gt; 鉄道関連グッズ &gt; アパレル</t>
  </si>
  <si>
    <t>記念品、関連グッズ</t>
  </si>
  <si>
    <t>オークション &gt; スポーツ、レジャー &gt; スポーツ別 &gt; サーフィン &gt; 記念品、関連グッズ</t>
  </si>
  <si>
    <t>オークション &gt; ホビー、カルチャー &gt; 鉄道 &gt; 鉄道関連グッズ &gt; カレンダー</t>
  </si>
  <si>
    <t>オークション &gt; スポーツ、レジャー &gt; スポーツ別 &gt; サーフィン &gt; 雑誌</t>
  </si>
  <si>
    <t>オークション &gt; ホビー、カルチャー &gt; 鉄道 &gt; 鉄道関連グッズ &gt; テレホンカード</t>
  </si>
  <si>
    <t>絵はがき、ポストカード</t>
  </si>
  <si>
    <t>オークション &gt; スポーツ、レジャー &gt; スポーツ別 &gt; サーフィン &gt; 本</t>
  </si>
  <si>
    <t>オークション &gt; ホビー、カルチャー &gt; 鉄道 &gt; 鉄道関連グッズ &gt; 絵はがき、ポストカード</t>
  </si>
  <si>
    <t>オークション &gt; スポーツ、レジャー &gt; スポーツ別 &gt; サーフィン &gt; その他</t>
  </si>
  <si>
    <t>文房具</t>
  </si>
  <si>
    <t>オークション &gt; ホビー、カルチャー &gt; 鉄道 &gt; 鉄道関連グッズ &gt; 文房具</t>
  </si>
  <si>
    <t>オークション &gt; スポーツ、レジャー &gt; スポーツ別 &gt; サッカー &gt; ウエア</t>
  </si>
  <si>
    <t>鉄道会社別</t>
  </si>
  <si>
    <t>ボール</t>
  </si>
  <si>
    <t>オークション &gt; ホビー、カルチャー &gt; 鉄道 &gt; 鉄道関連グッズ &gt; 鉄道会社別</t>
  </si>
  <si>
    <t>オークション &gt; スポーツ、レジャー &gt; スポーツ別 &gt; サッカー &gt; ボール</t>
  </si>
  <si>
    <t>応援グッズ</t>
  </si>
  <si>
    <t>オークション &gt; ホビー、カルチャー &gt; 鉄道 &gt; 鉄道関連グッズ &gt; その他</t>
  </si>
  <si>
    <t>オークション &gt; スポーツ、レジャー &gt; スポーツ別 &gt; サッカー &gt; 応援グッズ</t>
  </si>
  <si>
    <t>オークション &gt; チケット、金券、宿泊予約 &gt; 乗車券、交通券 &gt; 航空券 &gt; 海外</t>
  </si>
  <si>
    <t>オークション &gt; スポーツ、レジャー &gt; スポーツ別 &gt; サッカー &gt; 記念品、関連グッズ</t>
  </si>
  <si>
    <t>チケット</t>
  </si>
  <si>
    <t>国内</t>
  </si>
  <si>
    <t>オークション &gt; スポーツ、レジャー &gt; スポーツ別 &gt; サッカー &gt; チケット</t>
  </si>
  <si>
    <t>オークション &gt; チケット、金券、宿泊予約 &gt; 乗車券、交通券 &gt; 航空券 &gt; 国内</t>
  </si>
  <si>
    <t>優待券、割引券</t>
  </si>
  <si>
    <t>オークション &gt; スポーツ、レジャー &gt; スポーツ別 &gt; サッカー &gt; ビデオ</t>
  </si>
  <si>
    <t>オークション &gt; チケット、金券、</t>
  </si>
  <si>
    <t>オークション &gt; スポーツ、レジャー &gt; スポーツ別 &gt; サッカー &gt; 雑誌</t>
  </si>
  <si>
    <t>オークション &gt; スポーツ、レジャー &gt; スポーツ別 &gt; サッカー &gt; 本</t>
  </si>
  <si>
    <t>板</t>
  </si>
  <si>
    <t>オークション &gt; スポーツ、レジャー &gt; スポーツ別 &gt; スキー &gt; 板</t>
  </si>
  <si>
    <t>ブーツ</t>
  </si>
  <si>
    <t>オークション &gt; ホビー、カルチャー &gt; 航空機 &gt; 航空関連グッズ &gt; アパレル</t>
  </si>
  <si>
    <t>オークション &gt; スポーツ、レジャー &gt; スポーツ別 &gt; スキー &gt; ブーツ</t>
  </si>
  <si>
    <t>オークション &gt; ホビー、カルチャー &gt; 航空機 &gt; 航空関連グッズ &gt; カレンダー</t>
  </si>
  <si>
    <t>板、ブーツセット</t>
  </si>
  <si>
    <t>オークション &gt; スポーツ、レジャー &gt; スポーツ別 &gt; スキー &gt; 板、ブーツセット</t>
  </si>
  <si>
    <t>ビンディング</t>
  </si>
  <si>
    <t>オークション &gt; ホビー、カルチャー &gt; 航空機 &gt; 航空関連グッズ &gt; テレホンカード</t>
  </si>
  <si>
    <t>オークション &gt; スポーツ、レジャー &gt; スポーツ別 &gt; スキー &gt; ビンディング</t>
  </si>
  <si>
    <t>ストック</t>
  </si>
  <si>
    <t>オークション &gt; スポーツ、レジャー &gt; スポーツ別 &gt; スキー &gt; ストック</t>
  </si>
  <si>
    <t>オークション &gt; ホビー、カルチャー &gt; 航空機 &gt; 航空関連グッズ &gt; 絵はがき、ポストカード</t>
  </si>
  <si>
    <t>オークション &gt; スポーツ、レジャー &gt; スポーツ別 &gt; スキー &gt; アクセサリー</t>
  </si>
  <si>
    <t>オークション &gt; ホビー、カルチャー &gt; 航空機 &gt; 航空関連グッズ &gt; 文房具</t>
  </si>
  <si>
    <t>オークション &gt; スポーツ、レジャー &gt; スポーツ別 &gt; スキー &gt; ウエア</t>
  </si>
  <si>
    <t>クロスカントリー、テレマーク</t>
  </si>
  <si>
    <t>航空会社別</t>
  </si>
  <si>
    <t>オークション &gt; スポーツ、レジャー &gt; スポーツ別 &gt; スキー &gt; クロスカントリー、テレマーク</t>
  </si>
  <si>
    <t>オークション &gt; ホビー、カルチャー &gt; 航空機 &gt; 航空関連グッズ &gt; 航空会社別</t>
  </si>
  <si>
    <t>オークション &gt; スポーツ、レジャー &gt; スポーツ別 &gt; スキー &gt; ビデオ</t>
  </si>
  <si>
    <t>オークション &gt; ホビー、カルチャー &gt; 航空機 &gt; 航空関連グッズ &gt; その他</t>
  </si>
  <si>
    <t>スキーメンテナンス</t>
  </si>
  <si>
    <t>オークション &gt; スポーツ、レジャー &gt; スポーツ別 &gt; スキー &gt; スキーメンテナンス</t>
  </si>
  <si>
    <t>スキーレンタル</t>
  </si>
  <si>
    <t>オークション &gt; スポーツ、レジャー &gt; スポーツ別 &gt; スキー &gt; スキーレンタル</t>
  </si>
  <si>
    <t>オークション &gt; スポーツ、レジャー &gt; スポーツ別 &gt; スキー &gt; その他</t>
  </si>
  <si>
    <t>軽器材</t>
  </si>
  <si>
    <t>オークション &gt; スポーツ、レジャー &gt; スポーツ別 &gt; スキューバダイビング &gt; 軽器材</t>
  </si>
  <si>
    <t>重器材</t>
  </si>
  <si>
    <t>オークション &gt; スポーツ、レジャー &gt; スポーツ別 &gt; スキューバダイビング &gt; 重器材</t>
  </si>
  <si>
    <t>ウエットスーツ</t>
  </si>
  <si>
    <t>オークション &gt; スポーツ、レジャー &gt; スポーツ別 &gt; スキューバダイビング &gt; ウエットスーツ</t>
  </si>
  <si>
    <t>ドライスーツ</t>
  </si>
  <si>
    <t>オークション &gt; スポーツ、レジャー &gt; スポーツ別 &gt; スキューバダイビング &gt; ドライスーツ</t>
  </si>
  <si>
    <t>オークション &gt; スポーツ、レジャー &gt; スポーツ別 &gt; スキューバダイビング &gt; アクセサリー</t>
  </si>
  <si>
    <t>オークション &gt; スポーツ、レジャー &gt; スポーツ別 &gt; スキューバダイビング &gt; その他</t>
  </si>
  <si>
    <t>オークション &gt; スポーツ、レジャー &gt; スポーツ別 &gt; スケートボード &gt; アクセサリー</t>
  </si>
  <si>
    <t>オークション &gt; スポーツ、レジャー &gt; スポーツ別 &gt; スケートボード &gt; ウィール</t>
  </si>
  <si>
    <t>オークション &gt; スポーツ、レジャー &gt; スポーツ別 &gt; スケートボード &gt; ウエア</t>
  </si>
  <si>
    <t>シューズ</t>
  </si>
  <si>
    <t>オークション &gt; スポーツ、レジャー &gt; スポーツ別 &gt; スケートボード &gt; シューズ</t>
  </si>
  <si>
    <t>オークション &gt; スポーツ、レジャー &gt; スポーツ別 &gt; スケートボード &gt; ステッカー</t>
  </si>
  <si>
    <t>デッキ</t>
  </si>
  <si>
    <t>オークション &gt; スポーツ、レジャー &gt; スポーツ別 &gt; スケートボード &gt; デッキ</t>
  </si>
  <si>
    <t>トラック</t>
  </si>
  <si>
    <t>オークション &gt; スポーツ、レジャー &gt; スポーツ別 &gt; スケートボード &gt; トラック</t>
  </si>
  <si>
    <t>ベアリング</t>
  </si>
  <si>
    <t>オークション &gt; スポーツ、レジャー &gt; スポーツ別 &gt; スケートボード &gt; ベアリング</t>
  </si>
  <si>
    <t>完成品、コンプリートセット</t>
  </si>
  <si>
    <t>オークション &gt; スポーツ、レジャー &gt; スポーツ別 &gt; スケートボード &gt; 完成品、コンプリートセット</t>
  </si>
  <si>
    <t>オークション &gt; スポーツ、レジャー &gt; スポーツ別 &gt; スケートボード &gt; その他</t>
  </si>
  <si>
    <t>オークション &gt; スポーツ、レジャー &gt; スポーツ別 &gt; スノーボード &gt; ボード</t>
  </si>
  <si>
    <t>バインディング</t>
  </si>
  <si>
    <t>オークション &gt; スポーツ、レジャー &gt; スポーツ別 &gt; スノーボード &gt; バインディング</t>
  </si>
  <si>
    <t>オークション &gt; スポーツ、レジャー &gt; スポーツ別 &gt; スノーボード &gt; ブーツ</t>
  </si>
  <si>
    <t>ウエア、装備（男性用）</t>
  </si>
  <si>
    <t>オークション &gt; スポーツ、レジャー &gt; スポーツ別 &gt; スノーボード &gt; ウエア、装備（男性用）</t>
  </si>
  <si>
    <t>ウエア、装備（女性用）</t>
  </si>
  <si>
    <t>オークション &gt; スポーツ、レジャー &gt; スポーツ別 &gt; スノーボード &gt; ウエア、装備（女性用）</t>
  </si>
  <si>
    <t>ウエア、装備（子ども用）</t>
  </si>
  <si>
    <t>オークション &gt; スポーツ、レジャー &gt; スポーツ別 &gt; スノーボード &gt; ウエア、装備（子ども用）</t>
  </si>
  <si>
    <t>オークション &gt; スポーツ、レジャー &gt; スポーツ別 &gt; スノーボード &gt; アクセサリー</t>
  </si>
  <si>
    <t>バッグ</t>
  </si>
  <si>
    <t>オークション &gt; スポーツ、レジャー &gt; スポーツ別 &gt; スノーボード &gt; バッグ</t>
  </si>
  <si>
    <t>オークション &gt; スポーツ、レジャー &gt; スポーツ別 &gt; スノーボード &gt; 記念品、関連グッズ</t>
  </si>
  <si>
    <t>Windows用</t>
  </si>
  <si>
    <t>オークション &gt; ホビー、カルチャー &gt; パチンコ、パチスロ &gt; ゲーム &gt; Windows用</t>
  </si>
  <si>
    <t>オークション &gt; スポーツ、レジャー &gt; スポーツ別 &gt; スノーボード &gt; ビデオ</t>
  </si>
  <si>
    <t>スーパーファミコン用</t>
  </si>
  <si>
    <t>オークション &gt; ホビー、カルチャー &gt; パチンコ、パチスロ &gt; ゲーム &gt; スーパーファミコン用</t>
  </si>
  <si>
    <t>スノーボードメンテナンス</t>
  </si>
  <si>
    <t>オークション &gt; スポーツ、レジャー &gt; スポーツ別 &gt; スノーボード &gt; スノーボードメンテナンス</t>
  </si>
  <si>
    <t>スノーボードレンタル</t>
  </si>
  <si>
    <t>プレイステーション2用</t>
  </si>
  <si>
    <t>オークション &gt; スポーツ、レジャー &gt; スポーツ別 &gt; スノーボード &gt; スノーボードレンタル</t>
  </si>
  <si>
    <t>オークション &gt; ホビー、カルチャー &gt; パチンコ、パチスロ &gt; ゲーム &gt; プレイステーション2用</t>
  </si>
  <si>
    <t>オークション &gt; スポーツ、レジャー &gt; スポーツ別 &gt; スノーボード &gt; その他</t>
  </si>
  <si>
    <t>プレイステーション用</t>
  </si>
  <si>
    <t>オークション &gt; ホビー、カルチャー &gt; パチンコ、パチスロ &gt; ゲーム &gt; プレイステーション用</t>
  </si>
  <si>
    <t>オークション &gt; スポーツ、レジャー &gt; スポーツ別 &gt; ソフトボール &gt; ウエア</t>
  </si>
  <si>
    <t>オークション &gt; スポーツ、レジャー &gt; スポーツ別 &gt; ソフトボール &gt; グローブ</t>
  </si>
  <si>
    <t>バット</t>
  </si>
  <si>
    <t>オークション &gt; スポーツ、レジャー &gt; スポーツ別 &gt; ソフトボール &gt; バット</t>
  </si>
  <si>
    <t>オークション &gt; スポーツ、レジャー &gt; スポーツ別 &gt; ソフトボール &gt; ボール</t>
  </si>
  <si>
    <t>オークション &gt; スポーツ、レジャー &gt; スポーツ別 &gt; ソフトボール &gt; その他</t>
  </si>
  <si>
    <t>オークション &gt; スポーツ、レジャー &gt; 自転車、サイクリング &gt; 車体</t>
  </si>
  <si>
    <t>オークション &gt; スポーツ、レジャー &gt; 自転車、サイクリング &gt; パーツ</t>
  </si>
  <si>
    <t>オークション &gt; スポーツ、レジャー &gt; 自転車、サイクリング &gt; ウエア</t>
  </si>
  <si>
    <t>オークション &gt; スポーツ、レジャー &gt; 自転車、サイクリング &gt; バッグ</t>
  </si>
  <si>
    <t>オークション &gt; スポーツ、レジャー &gt; 自転車、サイクリング &gt; アクセサリー</t>
  </si>
  <si>
    <t>工具、メンテナンス</t>
  </si>
  <si>
    <t>オークション &gt; スポーツ、レジャー &gt; 自転車、サイクリング &gt; 工具、メンテナンス</t>
  </si>
  <si>
    <t>オークション &gt; スポーツ、レジャー &gt; 自転車、サイクリング &gt; スポーツ心拍計</t>
  </si>
  <si>
    <t>トレーニング機器</t>
  </si>
  <si>
    <t>オークション &gt; スポーツ、レジャー &gt; 自転車、サイクリング &gt; トレーニング機器</t>
  </si>
  <si>
    <t>ハンディGPS</t>
  </si>
  <si>
    <t>オークション &gt; スポーツ、レジャー &gt; 自転車、サイクリング &gt; ハンディGPS</t>
  </si>
  <si>
    <t>2000GT</t>
  </si>
  <si>
    <t>オークション &gt; 自動車、オートバイ &gt; 中古車・新車 &gt; トヨタ &gt; 2000GT</t>
  </si>
  <si>
    <t>オークション &gt; スポーツ、レジャー &gt; 自転車、サイクリング &gt; DVD</t>
  </si>
  <si>
    <t>競輪グッズ</t>
  </si>
  <si>
    <t>オークション &gt; スポーツ、レジャー &gt; 自転車、サイクリング &gt; 競輪グッズ</t>
  </si>
  <si>
    <t>オークション &gt; 自動車、オートバイ &gt; 中古車・新車 &gt; トヨタ &gt; 86</t>
  </si>
  <si>
    <t>FJクルーザー</t>
  </si>
  <si>
    <t>オークション &gt; 自動車、オートバイ &gt; 中古車・新車 &gt; トヨタ &gt; FJクルーザー</t>
  </si>
  <si>
    <t>オークション &gt; スポーツ、レジャー &gt; 自転車、サイクリング &gt; 本</t>
  </si>
  <si>
    <t>MR-S</t>
  </si>
  <si>
    <t>オークション &gt; 自動車、オートバイ &gt; 中古車・新車 &gt; トヨタ &gt; MR-S</t>
  </si>
  <si>
    <t>自転車レンタル</t>
  </si>
  <si>
    <t>オークション &gt; スポーツ、レジャー &gt; 自転車、サイクリング &gt; 自転車レンタル</t>
  </si>
  <si>
    <t>MR2</t>
  </si>
  <si>
    <t>オークション &gt; 自動車、オートバイ &gt; 中古車・新車 &gt; トヨタ &gt; MR2</t>
  </si>
  <si>
    <t>オークション &gt; スポーツ、レジャー &gt; 自転車、サイクリング &gt; その他</t>
  </si>
  <si>
    <t>柔道着</t>
  </si>
  <si>
    <t>RAV4</t>
  </si>
  <si>
    <t>オークション &gt; スポーツ、レジャー &gt; スポーツ別 &gt; 柔道 &gt; 柔道着</t>
  </si>
  <si>
    <t>オークション &gt; 自動車、オートバイ &gt; 中古車・新車 &gt; トヨタ &gt; RAV4</t>
  </si>
  <si>
    <t>SAI</t>
  </si>
  <si>
    <t>オークション &gt; 自動車、オートバイ &gt; 中古車・新車 &gt; トヨタ &gt; SAI</t>
  </si>
  <si>
    <t>オークション &gt; スポーツ、レジャー &gt; スポーツ別 &gt; 柔道 &gt; その他</t>
  </si>
  <si>
    <t>WiLLVS</t>
  </si>
  <si>
    <t>スイムウエア</t>
  </si>
  <si>
    <t>オークション &gt; 自動車、オートバイ &gt; 中古車・新車 &gt; トヨタ &gt; WiLLVS</t>
  </si>
  <si>
    <t>オークション &gt; スポーツ、レジャー &gt; スポーツ別 &gt; 水泳 &gt; スイムウエア</t>
  </si>
  <si>
    <t>WiLLサイファ</t>
  </si>
  <si>
    <t>オークション &gt; 自動車、オートバイ &gt; 中古車・新車 &gt; トヨタ &gt; WiLLサイファ</t>
  </si>
  <si>
    <t>オークション &gt; スポーツ、レジャー &gt; スポーツ別 &gt; 水泳 &gt; アクセサリー</t>
  </si>
  <si>
    <t>WillVi</t>
  </si>
  <si>
    <t>iCB</t>
  </si>
  <si>
    <t>オークション &gt; 自動車、オートバイ &gt; 中古車・新車 &gt; トヨタ &gt; WillVi</t>
  </si>
  <si>
    <t>オークション &gt; ファッション &gt; ブランド別 &gt; あ &gt; iCB</t>
  </si>
  <si>
    <t>bB</t>
  </si>
  <si>
    <t>オークション &gt; 自動車、オートバイ &gt; 中古車・新車 &gt; トヨタ &gt; bB</t>
  </si>
  <si>
    <t>iiMK</t>
  </si>
  <si>
    <t>オークション &gt; ファッション &gt; ブランド別 &gt; あ &gt; iiMK</t>
  </si>
  <si>
    <t>iQ</t>
  </si>
  <si>
    <t>オークション &gt; 自動車、オートバイ &gt; 中古車・新車 &gt; トヨタ &gt; iQ</t>
  </si>
  <si>
    <t>アイスバーグ</t>
  </si>
  <si>
    <t>オークション &gt; ファッション &gt; ブランド別 &gt; あ &gt; アイスバーグ</t>
  </si>
  <si>
    <t>ist</t>
  </si>
  <si>
    <t>オークション &gt; 自動車、オートバイ &gt; 中古車・新車 &gt; トヨタ &gt; ist</t>
  </si>
  <si>
    <t>アウトドアプロダクツ</t>
  </si>
  <si>
    <t>オークション &gt; ファッション &gt; ブランド別 &gt; あ &gt; アウトドアプロダクツ</t>
  </si>
  <si>
    <t>アイシス</t>
  </si>
  <si>
    <t>オークション &gt; 自動車、オートバイ &gt; 中古車・新車 &gt; トヨタ &gt; アイシス</t>
  </si>
  <si>
    <t>ダンス</t>
  </si>
  <si>
    <t>オークション &gt; スポーツ、レジャー &gt; スポーツ別 &gt; ダンス、バレエ &gt; ダンス</t>
  </si>
  <si>
    <t>UGG オーストラリア</t>
  </si>
  <si>
    <t>アクア</t>
  </si>
  <si>
    <t>オークション &gt; ファッション &gt; ブランド別 &gt; あ &gt; UGG オーストラリア</t>
  </si>
  <si>
    <t>オークション &gt; 自動車、オートバイ &gt; 中古車・新車 &gt; トヨタ &gt; アクア</t>
  </si>
  <si>
    <t>バレエ</t>
  </si>
  <si>
    <t>オークション &gt; スポーツ、レジャー &gt; スポーツ別 &gt; ダンス、バレエ &gt; バレエ</t>
  </si>
  <si>
    <t>アバロン</t>
  </si>
  <si>
    <t>axes femme</t>
  </si>
  <si>
    <t>オークション &gt; 自動車、オートバイ &gt; 中古車・新車 &gt; トヨタ &gt; アバロン</t>
  </si>
  <si>
    <t>オークション &gt; ファッション &gt; ブランド別 &gt; あ &gt; axes femme</t>
  </si>
  <si>
    <t>硬式用ラケット</t>
  </si>
  <si>
    <t>オークション &gt; スポーツ、レジャー &gt; スポーツ別 &gt; テニス &gt; 硬式用ラケット</t>
  </si>
  <si>
    <t>アベンシス</t>
  </si>
  <si>
    <t>アーキ</t>
  </si>
  <si>
    <t>オークション &gt; 自動車、オートバイ &gt; 中古車・新車 &gt; トヨタ &gt; アベンシス</t>
  </si>
  <si>
    <t>オークション &gt; ファッション &gt; ブランド別 &gt; あ &gt; アーキ</t>
  </si>
  <si>
    <t>軟式用ラケット</t>
  </si>
  <si>
    <t>オークション &gt; スポーツ、レジャー &gt; スポーツ別 &gt; テニス &gt; 軟式用ラケット</t>
  </si>
  <si>
    <t>アークテリクス</t>
  </si>
  <si>
    <t>アリオン</t>
  </si>
  <si>
    <t>オークション &gt; ファッション &gt; ブランド別 &gt; あ &gt; アークテリクス</t>
  </si>
  <si>
    <t>オークション &gt; 自動車、オートバイ &gt; 中古車・新車 &gt; トヨタ &gt; アリオン</t>
  </si>
  <si>
    <t>オークション &gt; スポーツ、レジャー &gt; スポーツ別 &gt; テニス &gt; ウエア（男性用）</t>
  </si>
  <si>
    <t>アクアガール</t>
  </si>
  <si>
    <t>アリスト</t>
  </si>
  <si>
    <t>オークション &gt; ファッション &gt; ブランド別 &gt; あ &gt; アクアガール</t>
  </si>
  <si>
    <t>オークション &gt; 自動車、オートバイ &gt; 中古車・新車 &gt; トヨタ &gt; アリスト</t>
  </si>
  <si>
    <t>オークション &gt; スポーツ、レジャー &gt; スポーツ別 &gt; テニス &gt; ウエア（女性用）</t>
  </si>
  <si>
    <t>アクアスキュータム</t>
  </si>
  <si>
    <t>ウエア（子ども用）</t>
  </si>
  <si>
    <t>アルテッツァ</t>
  </si>
  <si>
    <t>オークション &gt; スポーツ、レジャー &gt; スポーツ別 &gt; テニス &gt; ウエア（子ども用）</t>
  </si>
  <si>
    <t>オークション &gt; ファッション &gt; ブランド別 &gt; あ &gt; アクアスキュータム</t>
  </si>
  <si>
    <t>オークション &gt; 自動車、オートバイ &gt; 中古車・新車 &gt; トヨタ &gt; アルテッツァ</t>
  </si>
  <si>
    <t>アルテッツァジータ</t>
  </si>
  <si>
    <t>オークション &gt; スポーツ、レジャー &gt; スポーツ別 &gt; テニス &gt; シューズ</t>
  </si>
  <si>
    <t>アクネ</t>
  </si>
  <si>
    <t>オークション &gt; 自動車、オートバイ &gt; 中古車・新車 &gt; トヨタ &gt; アルテッツァジータ</t>
  </si>
  <si>
    <t>オークション &gt; ファッション &gt; ブランド別 &gt; あ &gt; アクネ</t>
  </si>
  <si>
    <t>アゴスト</t>
  </si>
  <si>
    <t>アルファード</t>
  </si>
  <si>
    <t>オークション &gt; スポーツ、レジャー &gt; スポーツ別 &gt; テニス &gt; バッグ</t>
  </si>
  <si>
    <t>オークション &gt; ファッション &gt; ブランド別 &gt; あ &gt; アゴスト</t>
  </si>
  <si>
    <t>オークション &gt; 自動車、オートバイ &gt; 中古車・新車 &gt; トヨタ &gt; アルファード</t>
  </si>
  <si>
    <t>アースマジック</t>
  </si>
  <si>
    <t>オークション &gt; ファッション &gt; ブランド別 &gt; あ &gt; アースマジック</t>
  </si>
  <si>
    <t>オークション &gt; スポーツ、レジャー &gt; スポーツ別 &gt; テニス &gt; アクセサリー</t>
  </si>
  <si>
    <t>アルファードハイブリッド</t>
  </si>
  <si>
    <t>オークション &gt; 自動車、オートバイ &gt; 中古車・新車 &gt; トヨタ &gt; アルファードハイブリッド</t>
  </si>
  <si>
    <t>アースミュージック＆エコロジー</t>
  </si>
  <si>
    <t>オークション &gt; ファッション &gt; ブランド別 &gt; あ &gt; アースミュージック＆エコロジー</t>
  </si>
  <si>
    <t>アレックス</t>
  </si>
  <si>
    <t>オークション &gt; スポーツ、レジャー &gt; スポーツ別 &gt; テニス &gt; ボール</t>
  </si>
  <si>
    <t>オークション &gt; 自動車、オートバイ &gt; 中古車・新車 &gt; トヨタ &gt; アレックス</t>
  </si>
  <si>
    <t>アズノウアズ</t>
  </si>
  <si>
    <t>オークション &gt; ファッション &gt; ブランド別 &gt; あ &gt; アズノウアズ</t>
  </si>
  <si>
    <t>イプサム</t>
  </si>
  <si>
    <t>オークション &gt; スポーツ、レジャー &gt; スポーツ別 &gt; テニス &gt; その他</t>
  </si>
  <si>
    <t>オークション &gt; 自動車、オートバイ &gt; 中古車・新車 &gt; トヨタ &gt; イプサム</t>
  </si>
  <si>
    <t>アタッチメント</t>
  </si>
  <si>
    <t>スイム</t>
  </si>
  <si>
    <t>ウィッシュ</t>
  </si>
  <si>
    <t>オークション &gt; ファッション &gt; ブランド別 &gt; あ &gt; アタッチメント</t>
  </si>
  <si>
    <t>オークション &gt; スポーツ、レジャー &gt; スポーツ別 &gt; トライアスロン &gt; スイム</t>
  </si>
  <si>
    <t>オークション &gt; 自動車、オートバイ &gt; 中古車・新車 &gt; トヨタ &gt; ウィッシュ</t>
  </si>
  <si>
    <t>アダム エ ロペ</t>
  </si>
  <si>
    <t>バイク（自転車）</t>
  </si>
  <si>
    <t>ウィンダム</t>
  </si>
  <si>
    <t>オークション &gt; ファッション &gt; ブランド別 &gt; あ &gt; アダム エ ロペ</t>
  </si>
  <si>
    <t>オークション &gt; スポーツ、レジャー &gt; スポーツ別 &gt; トライアスロン &gt; バイク（自転車）</t>
  </si>
  <si>
    <t>オークション &gt; 自動車、オートバイ &gt; 中古車・新車 &gt; トヨタ &gt; ウィンダム</t>
  </si>
  <si>
    <t>アディダス</t>
  </si>
  <si>
    <t>オークション &gt; ファッション &gt; ブランド別 &gt; あ &gt; アディダス</t>
  </si>
  <si>
    <t>ラン（ランニング）</t>
  </si>
  <si>
    <t>エスクァイア</t>
  </si>
  <si>
    <t>オークション &gt; スポーツ、レジャー &gt; スポーツ別 &gt; トライアスロン &gt; ラン（ランニング）</t>
  </si>
  <si>
    <t>オークション &gt; 自動車、オートバイ &gt; 中古車・新車 &gt; トヨタ &gt; エスクァイア</t>
  </si>
  <si>
    <t>アデュー トリステス</t>
  </si>
  <si>
    <t>エスクァイア ハイブリッド</t>
  </si>
  <si>
    <t>オークション &gt; ファッション &gt; ブランド別 &gt; あ &gt; アデュー トリステス</t>
  </si>
  <si>
    <t>オークション &gt; 自動車、オートバイ &gt; 中古車・新車 &gt; トヨタ &gt; エスクァイア ハイブリッド</t>
  </si>
  <si>
    <t>オークション &gt; スポーツ、レジャー &gt; スポーツ別 &gt; トライアスロン &gt; サプリメント</t>
  </si>
  <si>
    <t>アトウ</t>
  </si>
  <si>
    <t>オークション &gt; ファッション &gt; ブランド別 &gt; あ &gt; アトウ</t>
  </si>
  <si>
    <t>エスティマ</t>
  </si>
  <si>
    <t>オークション &gt; 自動車、オートバイ &gt; 中古車・新車 &gt; トヨタ &gt; エスティマ</t>
  </si>
  <si>
    <t>ラケット</t>
  </si>
  <si>
    <t>アトリエ サブ</t>
  </si>
  <si>
    <t>オークション &gt; ファッション &gt; ブランド別 &gt; あ &gt; アトリエ サブ</t>
  </si>
  <si>
    <t>オークション &gt; スポーツ、レジャー &gt; スポーツ別 &gt; 卓球 &gt; ラケット</t>
  </si>
  <si>
    <t>エスティマエミーナ</t>
  </si>
  <si>
    <t>オークション &gt; 自動車、オートバイ &gt; 中古車・新車 &gt; トヨタ &gt; エスティマエミーナ</t>
  </si>
  <si>
    <t>アドーア</t>
  </si>
  <si>
    <t>オークション &gt; ファッション &gt; ブランド別 &gt; あ &gt; アドーア</t>
  </si>
  <si>
    <t>ラバー</t>
  </si>
  <si>
    <t>オークション &gt; スポーツ、レジャー &gt; スポーツ別 &gt; 卓球 &gt; ラバー</t>
  </si>
  <si>
    <t>エスティマハイブリッド</t>
  </si>
  <si>
    <t>アーノルドパーマー</t>
  </si>
  <si>
    <t>オークション &gt; 自動車、オートバイ &gt; 中古車・新車 &gt; トヨタ &gt; エスティマハイブリッド</t>
  </si>
  <si>
    <t>オークション &gt; ファッション &gt; ブランド別 &gt; あ &gt; アーノルドパーマー</t>
  </si>
  <si>
    <t>バッグ、ケース</t>
  </si>
  <si>
    <t>エスティマルシーダ</t>
  </si>
  <si>
    <t>アナイ</t>
  </si>
  <si>
    <t>オークション &gt; スポーツ、レジャー &gt; スポーツ別 &gt; 卓球 &gt; バッグ、ケース</t>
  </si>
  <si>
    <t>オークション &gt; 自動車、オートバイ &gt; 中古車・新車 &gt; トヨタ &gt; エスティマルシーダ</t>
  </si>
  <si>
    <t>オークション &gt; ファッション &gt; ブランド別 &gt; あ &gt; アナイ</t>
  </si>
  <si>
    <t>アナザーエディション</t>
  </si>
  <si>
    <t>オークション &gt; スポーツ、レジャー &gt; スポーツ別 &gt; 卓球 &gt; ウエア</t>
  </si>
  <si>
    <t>オークション &gt; ファッション &gt; ブランド別 &gt; あ &gt; アナザーエディション</t>
  </si>
  <si>
    <t>オーパ</t>
  </si>
  <si>
    <t>オークション &gt; 自動車、オートバイ &gt; 中古車・新車 &gt; トヨタ &gt; オーパ</t>
  </si>
  <si>
    <t>アナスイ</t>
  </si>
  <si>
    <t>オークション &gt; スポーツ、レジャー &gt; スポーツ別 &gt; 卓球 &gt; シューズ</t>
  </si>
  <si>
    <t>オークション &gt; ファッション &gt; ブランド別 &gt; あ &gt; アナスイ</t>
  </si>
  <si>
    <t>オーリス</t>
  </si>
  <si>
    <t>オークション &gt; 自動車、オートバイ &gt; 中古車・新車 &gt; トヨタ &gt; オーリス</t>
  </si>
  <si>
    <t>アナップ</t>
  </si>
  <si>
    <t>オークション &gt; スポーツ、レジャー &gt; スポーツ別 &gt; 卓球 &gt; ボール</t>
  </si>
  <si>
    <t>オークション &gt; ファッション &gt; ブランド別 &gt; あ &gt; アナップ</t>
  </si>
  <si>
    <t>卓球台</t>
  </si>
  <si>
    <t>カムリ</t>
  </si>
  <si>
    <t>アナトリエ</t>
  </si>
  <si>
    <t>オークション &gt; スポーツ、レジャー &gt; スポーツ別 &gt; 卓球 &gt; 卓球台</t>
  </si>
  <si>
    <t>オークション &gt; ファッション &gt; ブランド別 &gt; あ &gt; アナトリエ</t>
  </si>
  <si>
    <t>オークション &gt; 自動車、オートバイ &gt; 中古車・新車 &gt; トヨタ &gt; カムリ</t>
  </si>
  <si>
    <t>アニエスベー</t>
  </si>
  <si>
    <t>オークション &gt; スポーツ、レジャー &gt; スポーツ別 &gt; 卓球 &gt; その他</t>
  </si>
  <si>
    <t>カムリグラシア</t>
  </si>
  <si>
    <t>オークション &gt; ファッション &gt; ブランド別 &gt; あ &gt; アニエスベー</t>
  </si>
  <si>
    <t>オークション &gt; 自動車、オートバイ &gt; 中古車・新車 &gt; トヨタ &gt; カムリグラシア</t>
  </si>
  <si>
    <t>トレッキングシューズ</t>
  </si>
  <si>
    <t>オークション &gt; スポーツ、レジャー &gt; キャンプ、アウトドア用品 &gt; 登山用品 &gt; トレッキングシューズ</t>
  </si>
  <si>
    <t>アニヤ・ハインドマーチ</t>
  </si>
  <si>
    <t>カリーナ</t>
  </si>
  <si>
    <t>オークション &gt; ファッション &gt; ブランド別 &gt; あ &gt; アニヤ・ハインドマーチ</t>
  </si>
  <si>
    <t>オークション &gt; 自動車、オートバイ &gt; 中古車・新車 &gt; トヨタ &gt; カリーナ</t>
  </si>
  <si>
    <t>トレッキングステッキ</t>
  </si>
  <si>
    <t>オークション &gt; スポーツ、レジャー &gt; キャンプ、アウトドア用品 &gt; 登山用品 &gt; トレッキングステッキ</t>
  </si>
  <si>
    <t>カリーナED</t>
  </si>
  <si>
    <t>a.v.v</t>
  </si>
  <si>
    <t>オークション &gt; 自動車、オートバイ &gt; 中古車・新車 &gt; トヨタ &gt; カリーナED</t>
  </si>
  <si>
    <t>オークション &gt; ファッション &gt; ブランド別 &gt; あ &gt; a.v.v</t>
  </si>
  <si>
    <t>ナイフ</t>
  </si>
  <si>
    <t>オークション &gt; スポーツ、レジャー &gt; キャンプ、アウトドア用品 &gt; 登山用品 &gt; ナイフ</t>
  </si>
  <si>
    <t>カルディナ</t>
  </si>
  <si>
    <t>オークション &gt; 自動車、オートバイ &gt; 中古車・新車 &gt; トヨタ &gt; カルディナ</t>
  </si>
  <si>
    <t>ア ベイシング エイプ</t>
  </si>
  <si>
    <t>オークション &gt; ファッション &gt; ブランド別 &gt; あ &gt; ア ベイシング エイプ</t>
  </si>
  <si>
    <t>ハンディライト、懐中電灯</t>
  </si>
  <si>
    <t>カレン</t>
  </si>
  <si>
    <t>アーバンリサーチ</t>
  </si>
  <si>
    <t>オークション &gt; スポーツ、レジャー &gt; キャンプ、アウトドア用品 &gt; 登山用品 &gt; ハンディライト、懐中電灯</t>
  </si>
  <si>
    <t>オークション &gt; 自動車、オートバイ &gt; 中古車・新車 &gt; トヨタ &gt; カレン</t>
  </si>
  <si>
    <t>オークション &gt; ファッション &gt; ブランド別 &gt; あ &gt; アーバンリサーチ</t>
  </si>
  <si>
    <t>カローラ</t>
  </si>
  <si>
    <t>ホイッスル</t>
  </si>
  <si>
    <t>アーペーセー</t>
  </si>
  <si>
    <t>オークション &gt; 自動車、オートバイ &gt; 中古車・新車 &gt; トヨタ &gt; カローラ</t>
  </si>
  <si>
    <t>オークション &gt; スポーツ、レジャー &gt; キャンプ、アウトドア用品 &gt; 登山用品 &gt; ホイッスル</t>
  </si>
  <si>
    <t>オークション &gt; ファッション &gt; ブランド別 &gt; あ &gt; アーペーセー</t>
  </si>
  <si>
    <t>カローラFX</t>
  </si>
  <si>
    <t>ロッククライミング</t>
  </si>
  <si>
    <t>オークション &gt; 自動車、オートバイ &gt; 中古車・新車 &gt; トヨタ &gt; カローラFX</t>
  </si>
  <si>
    <t>オークション &gt; スポーツ、レジャー &gt; キャンプ、アウトドア用品 &gt; 登山用品 &gt; ロッククライミング</t>
  </si>
  <si>
    <t>アバクロンビー＆フィッチ</t>
  </si>
  <si>
    <t>オークション &gt; ファッション &gt; ブランド別 &gt; あ &gt; アバクロンビー＆フィッチ</t>
  </si>
  <si>
    <t>カローラII</t>
  </si>
  <si>
    <t>シャツ</t>
  </si>
  <si>
    <t>オークション &gt; 自動車、オートバイ &gt; 中古車・新車 &gt; トヨタ &gt; カローラII</t>
  </si>
  <si>
    <t>アバハウス</t>
  </si>
  <si>
    <t>オークション &gt; スポーツ、レジャー &gt; スポーツ別 &gt; ハンドボール &gt; シャツ</t>
  </si>
  <si>
    <t>オークション &gt; ファッション &gt; ブランド別 &gt; あ &gt; アバハウス</t>
  </si>
  <si>
    <t>アプワイザー・リッシェ</t>
  </si>
  <si>
    <t>カローラアクシオ</t>
  </si>
  <si>
    <t>オークション &gt; ファッション &gt; ブランド別 &gt; あ &gt; アプワイザー・リッシェ</t>
  </si>
  <si>
    <t>ハーフパンツ</t>
  </si>
  <si>
    <t>オークション &gt; 自動車、オートバイ &gt; 中古車・新車 &gt; トヨタ &gt; カローラアクシオ</t>
  </si>
  <si>
    <t>オークション &gt; スポーツ、レジャー &gt; スポーツ別 &gt; ハンドボール &gt; ハーフパンツ</t>
  </si>
  <si>
    <t>アヴィレックス</t>
  </si>
  <si>
    <t>カローラスパシオ</t>
  </si>
  <si>
    <t>オークション &gt; ファッション &gt; ブランド別 &gt; あ &gt; アヴィレックス</t>
  </si>
  <si>
    <t>オークション &gt; 自動車、オートバイ &gt; 中古車・新車 &gt; トヨタ &gt; カローラスパシオ</t>
  </si>
  <si>
    <t>オークション &gt; スポーツ、レジャー &gt; スポーツ別 &gt; ハンドボール &gt; シューズ</t>
  </si>
  <si>
    <t>アメリカンアパレル</t>
  </si>
  <si>
    <t>カローラセレス</t>
  </si>
  <si>
    <t>オークション &gt; ファッション &gt; ブランド別 &gt; あ &gt; アメリカンアパレル</t>
  </si>
  <si>
    <t>オークション &gt; 自動車、オートバイ &gt; 中古車・新車 &gt; トヨタ &gt; カローラセレス</t>
  </si>
  <si>
    <t>オークション &gt; スポーツ、レジャー &gt; スポーツ別 &gt; ハンドボール &gt; ボール</t>
  </si>
  <si>
    <t>アメリカンイーグル アウトフィッターズ</t>
  </si>
  <si>
    <t>オークション &gt; ファッション &gt; ブランド別 &gt; あ &gt; アメリカンイーグル アウトフィッターズ</t>
  </si>
  <si>
    <t>オークション &gt; スポーツ、レジャー &gt; スポーツ別 &gt; ハンドボール &gt; その他</t>
  </si>
  <si>
    <t>カローラツーリングワゴン</t>
  </si>
  <si>
    <t>アメリカンラグ シー</t>
  </si>
  <si>
    <t>オークション &gt; 自動車、オートバイ &gt; 中古車・新車 &gt; トヨタ &gt; カローラツーリングワゴン</t>
  </si>
  <si>
    <t>オークション &gt; ファッション &gt; ブランド別 &gt; あ &gt; アメリカンラグ シー</t>
  </si>
  <si>
    <t>オークション &gt; スポーツ、レジャー &gt; スポーツ別 &gt; バスケットボール &gt; ウエア</t>
  </si>
  <si>
    <t>RNA</t>
  </si>
  <si>
    <t>オークション &gt; ファッション &gt; ブランド別 &gt; あ &gt; RNA</t>
  </si>
  <si>
    <t>カローラバン</t>
  </si>
  <si>
    <t>アリスバーリー</t>
  </si>
  <si>
    <t>オークション &gt; ファッション &gt; ブランド別 &gt; あ &gt; アリスバーリー</t>
  </si>
  <si>
    <t>オークション &gt; スポーツ、レジャー &gt; スポーツ別 &gt; バスケットボール &gt; シューズ</t>
  </si>
  <si>
    <t>オークション &gt; 自動車、オートバイ &gt; 中古車・新車 &gt; トヨタ &gt; カローラバン</t>
  </si>
  <si>
    <t>アルカリ</t>
  </si>
  <si>
    <t>サポーター</t>
  </si>
  <si>
    <t>オークション &gt; ファッション &gt; ブランド別 &gt; あ &gt; アルカリ</t>
  </si>
  <si>
    <t>オークション &gt; スポーツ、レジャー &gt; スポーツ別 &gt; バスケットボール &gt; サポーター</t>
  </si>
  <si>
    <t>カローラフィールダー</t>
  </si>
  <si>
    <t>オークション &gt; 自動車、オートバイ &gt; 中古車・新車 &gt; トヨタ &gt; カローラフィールダー</t>
  </si>
  <si>
    <t>アルゴンキン</t>
  </si>
  <si>
    <t>オークション &gt; ファッション &gt; ブランド別 &gt; あ &gt; アルゴンキン</t>
  </si>
  <si>
    <t>オークション &gt; スポーツ、レジャー &gt; スポーツ別 &gt; バスケットボール &gt; バッグ</t>
  </si>
  <si>
    <t>アルバローザ</t>
  </si>
  <si>
    <t>カローラランクス</t>
  </si>
  <si>
    <t>オークション &gt; ファッション &gt; ブランド別 &gt; あ &gt; アルバローザ</t>
  </si>
  <si>
    <t>オークション &gt; スポーツ、レジャー &gt; スポーツ別 &gt; バスケットボール &gt; ボール</t>
  </si>
  <si>
    <t>オークション &gt; 自動車、オートバイ &gt; 中古車・新車 &gt; トヨタ &gt; カローラランクス</t>
  </si>
  <si>
    <t>ゴール</t>
  </si>
  <si>
    <t>アルファ</t>
  </si>
  <si>
    <t>オークション &gt; スポーツ、レジャー &gt; スポーツ別 &gt; バスケットボール &gt; ゴール</t>
  </si>
  <si>
    <t>オークション &gt; ファッション &gt; ブランド別 &gt; あ &gt; アルファ</t>
  </si>
  <si>
    <t>カローラルミオン</t>
  </si>
  <si>
    <t>オークション &gt; 自動車、オートバイ &gt; 中古車・新車 &gt; トヨタ &gt; カローラルミオン</t>
  </si>
  <si>
    <t>アルファキュービック</t>
  </si>
  <si>
    <t>オークション &gt; スポーツ、レジャー &gt; スポーツ別 &gt; バスケットボール &gt; 記念品、関連グッズ</t>
  </si>
  <si>
    <t>オークション &gt; ファッション &gt; ブランド別 &gt; あ &gt; アルファキュービック</t>
  </si>
  <si>
    <t>バスケットボールチケット</t>
  </si>
  <si>
    <t>カローラレビン</t>
  </si>
  <si>
    <t>アルベルタ・フェレッティ</t>
  </si>
  <si>
    <t>オークション &gt; スポーツ、レジャー &gt; スポーツ別 &gt; バスケットボール &gt; バスケットボールチケット</t>
  </si>
  <si>
    <t>オークション &gt; ファッション &gt; ブランド別 &gt; あ &gt; アルベルタ・フェレッティ</t>
  </si>
  <si>
    <t>オークション &gt; 自動車、オートバイ &gt; 中古車・新車 &gt; トヨタ &gt; カローラレビン</t>
  </si>
  <si>
    <t>アルマーニ</t>
  </si>
  <si>
    <t>オークション &gt; スポーツ、レジャー &gt; スポーツ別 &gt; バスケットボール &gt; 雑誌</t>
  </si>
  <si>
    <t>オークション &gt; ファッション &gt; ブランド別 &gt; あ &gt; アルマーニ</t>
  </si>
  <si>
    <t>ガイア</t>
  </si>
  <si>
    <t>オークション &gt; 自動車、オートバイ &gt; 中古車・新車 &gt; トヨタ &gt; ガイア</t>
  </si>
  <si>
    <t>アルマーニ エクスチェンジ</t>
  </si>
  <si>
    <t>オークション &gt; スポーツ、レジャー &gt; スポーツ別 &gt; バスケットボール &gt; 本</t>
  </si>
  <si>
    <t>オークション &gt; ファッション &gt; ブランド別 &gt; あ &gt; アルマーニ エクスチェンジ</t>
  </si>
  <si>
    <t>キャバリエ</t>
  </si>
  <si>
    <t>アルマーニ ジーンズ</t>
  </si>
  <si>
    <t>オークション &gt; スポーツ、レジャー &gt; スポーツ別 &gt; バスケットボール &gt; その他</t>
  </si>
  <si>
    <t>オークション &gt; 自動車、オートバイ &gt; 中古車・新車 &gt; トヨタ &gt; キャバリエ</t>
  </si>
  <si>
    <t>オークション &gt; ファッション &gt; ブランド別 &gt; あ &gt; アルマーニ ジーンズ</t>
  </si>
  <si>
    <t>アレキサンダー・マックイーン</t>
  </si>
  <si>
    <t>オークション &gt; スポーツ、レジャー &gt; スポーツ別 &gt; バドミントン &gt; ラケット</t>
  </si>
  <si>
    <t>オークション &gt; ファッション &gt; ブランド別 &gt; あ &gt; アレキサンダー・マックイーン</t>
  </si>
  <si>
    <t>キャミ</t>
  </si>
  <si>
    <t>オークション &gt; 自動車、オートバイ &gt; 中古車・新車 &gt; トヨタ &gt; キャミ</t>
  </si>
  <si>
    <t>Alexander Wang</t>
  </si>
  <si>
    <t>オークション &gt; ファッション &gt; ブランド別 &gt; あ &gt; Alexander Wang</t>
  </si>
  <si>
    <t>オークション &gt; スポーツ、レジャー &gt; スポーツ別 &gt; バドミントン &gt; ウエア</t>
  </si>
  <si>
    <t>クイックデリバリー</t>
  </si>
  <si>
    <t>アレッサンドロ・デラクア</t>
  </si>
  <si>
    <t>オークション &gt; ファッション &gt; ブランド別 &gt; あ &gt; アレッサンドロ・デラクア</t>
  </si>
  <si>
    <t>オークション &gt; 自動車、オートバイ &gt; 中古車・新車 &gt; トヨタ &gt; クイックデリバリー</t>
  </si>
  <si>
    <t>オークション &gt; スポーツ、レジャー &gt; スポーツ別 &gt; バドミントン &gt; シューズ</t>
  </si>
  <si>
    <t>アロー</t>
  </si>
  <si>
    <t>オークション &gt; ファッション &gt; ブランド別 &gt; あ &gt; アロー</t>
  </si>
  <si>
    <t>ガット</t>
  </si>
  <si>
    <t>クラウン</t>
  </si>
  <si>
    <t>オークション &gt; スポーツ、レジャー &gt; スポーツ別 &gt; バドミントン &gt; ガット</t>
  </si>
  <si>
    <t>オークション &gt; 自動車、オートバイ &gt; 中古車・新車 &gt; トヨタ &gt; クラウン</t>
  </si>
  <si>
    <t>＆by P＆D</t>
  </si>
  <si>
    <t>グリップテープ</t>
  </si>
  <si>
    <t>オークション &gt; ファッション &gt; ブランド別 &gt; あ &gt; ＆by P＆D</t>
  </si>
  <si>
    <t>オークション &gt; スポーツ、レジャー &gt; スポーツ別 &gt; バドミントン &gt; グリップテープ</t>
  </si>
  <si>
    <t>クラウン・ステーションワゴン</t>
  </si>
  <si>
    <t>アンクライン</t>
  </si>
  <si>
    <t>オークション &gt; 自動車、オートバイ &gt; 中古車・新車 &gt; トヨタ &gt; クラウン・ステーションワゴン</t>
  </si>
  <si>
    <t>オークション &gt; ファッション &gt; ブランド別 &gt; あ &gt; アンクライン</t>
  </si>
  <si>
    <t>シャトル</t>
  </si>
  <si>
    <t>オークション &gt; スポーツ、レジャー &gt; スポーツ別 &gt; バドミントン &gt; シャトル</t>
  </si>
  <si>
    <t>アングリッド</t>
  </si>
  <si>
    <t>オークション &gt; ファッション &gt; ブランド別 &gt; あ &gt; アングリッド</t>
  </si>
  <si>
    <t>クラウンアスリート</t>
  </si>
  <si>
    <t>オークション &gt; スポーツ、レジャー &gt; スポーツ別 &gt; バドミントン &gt; その他</t>
  </si>
  <si>
    <t>オークション &gt; 自動車、オートバイ &gt; 中古車・新車 &gt; トヨタ &gt; クラウンアスリート</t>
  </si>
  <si>
    <t>アンシャントマン</t>
  </si>
  <si>
    <t>オークション &gt; ファッション &gt; ブランド別 &gt; あ &gt; アンシャントマン</t>
  </si>
  <si>
    <t>オークション &gt; スポーツ、レジャー &gt; スポーツ別 &gt; バレーボール &gt; ウエア</t>
  </si>
  <si>
    <t>アンジェリック プリティ</t>
  </si>
  <si>
    <t>クラウンコンフォート</t>
  </si>
  <si>
    <t>オークション &gt; ファッション &gt; ブランド別 &gt; あ &gt; アンジェリック プリティ</t>
  </si>
  <si>
    <t>オークション &gt; 自動車、オートバイ &gt; 中古車・新車 &gt; トヨタ &gt; クラウンコンフォート</t>
  </si>
  <si>
    <t>オークション &gt; スポーツ、レジャー &gt; スポーツ別 &gt; バレーボール &gt; シューズ</t>
  </si>
  <si>
    <t>アンスクウィーキー</t>
  </si>
  <si>
    <t>オークション &gt; ファッション &gt; ブランド別 &gt; あ &gt; アンスクウィーキー</t>
  </si>
  <si>
    <t>クラウンハイブリッド</t>
  </si>
  <si>
    <t>オークション &gt; 自動車、オートバイ &gt; 中古車・新車 &gt; トヨタ &gt; クラウンハイブリッド</t>
  </si>
  <si>
    <t>オークション &gt; スポーツ、レジャー &gt; スポーツ別 &gt; バレーボール &gt; アクセサリー</t>
  </si>
  <si>
    <t>アンタイトル</t>
  </si>
  <si>
    <t>オークション &gt; ファッション &gt; ブランド別 &gt; あ &gt; アンタイトル</t>
  </si>
  <si>
    <t>クラウンマジェスタ</t>
  </si>
  <si>
    <t>オークション &gt; スポーツ、レジャー &gt; スポーツ別 &gt; バレーボール &gt; ボール</t>
  </si>
  <si>
    <t>オークション &gt; 自動車、オートバイ &gt; 中古車・新車 &gt; トヨタ &gt; クラウンマジェスタ</t>
  </si>
  <si>
    <t>アンダーカバー</t>
  </si>
  <si>
    <t>オークション &gt; ファッション &gt; ブランド別 &gt; あ &gt; アンダーカバー</t>
  </si>
  <si>
    <t>アンテプリマ</t>
  </si>
  <si>
    <t>クラウンロイヤル</t>
  </si>
  <si>
    <t>オークション &gt; スポーツ、レジャー &gt; スポーツ別 &gt; バレーボール &gt; その他</t>
  </si>
  <si>
    <t>オークション &gt; ファッション &gt; ブランド別 &gt; あ &gt; アンテプリマ</t>
  </si>
  <si>
    <t>オークション &gt; 自動車、オートバイ &gt; 中古車・新車 &gt; トヨタ &gt; クラウンロイヤル</t>
  </si>
  <si>
    <t>アンドゥムルメステール</t>
  </si>
  <si>
    <t>クルーガー</t>
  </si>
  <si>
    <t>オークション &gt; スポーツ、レジャー &gt; スポーツ別 &gt; フットサル &gt; ウエア</t>
  </si>
  <si>
    <t>オークション &gt; ファッション &gt; ブランド別 &gt; あ &gt; アンドゥムルメステール</t>
  </si>
  <si>
    <t>オークション &gt; 自動車、オートバイ &gt; 中古車・新車 &gt; トヨタ &gt; クルーガー</t>
  </si>
  <si>
    <t>アンドエー</t>
  </si>
  <si>
    <t>クルーガーハイブリッド</t>
  </si>
  <si>
    <t>オークション &gt; ファッション &gt; ブランド別 &gt; あ &gt; アンドエー</t>
  </si>
  <si>
    <t>オークション &gt; 自動車、オートバイ &gt; 中古車・新車 &gt; トヨタ &gt; クルーガーハイブリッド</t>
  </si>
  <si>
    <t>オークション &gt; スポーツ、レジャー &gt; スポーツ別 &gt; フットサル &gt; シューズ</t>
  </si>
  <si>
    <t>アンドレルチアーノ</t>
  </si>
  <si>
    <t>オークション &gt; ファッション &gt; ブランド別 &gt; あ &gt; アンドレルチアーノ</t>
  </si>
  <si>
    <t>オークション &gt; スポーツ、レジャー &gt; スポーツ別 &gt; フットサル &gt; ボール</t>
  </si>
  <si>
    <t>クレスタ</t>
  </si>
  <si>
    <t>オークション &gt; 自動車、オートバイ &gt; 中古車・新車 &gt; トヨタ &gt; クレスタ</t>
  </si>
  <si>
    <t>アンナモリナーリ</t>
  </si>
  <si>
    <t>オークション &gt; ファッション &gt; ブランド別 &gt; あ &gt; アンナモリナーリ</t>
  </si>
  <si>
    <t>グランドハイエース</t>
  </si>
  <si>
    <t>オークション &gt; スポーツ、レジャー &gt; スポーツ別 &gt; フットサル &gt; その他</t>
  </si>
  <si>
    <t>オークション &gt; 自動車、オートバイ &gt; 中古車・新車 &gt; トヨタ &gt; グランドハイエース</t>
  </si>
  <si>
    <t>オークション &gt; ファッション &gt; ブランド別 &gt; あ &gt; その他</t>
  </si>
  <si>
    <t>グランビア</t>
  </si>
  <si>
    <t>オークション &gt; スポーツ、レジャー &gt; スポーツ別 &gt; ボウリング &gt; ウエア</t>
  </si>
  <si>
    <t>オークション &gt; 自動車、オートバイ &gt; 中古車・新車 &gt; トヨタ &gt; グランビア</t>
  </si>
  <si>
    <t>イエナ</t>
  </si>
  <si>
    <t>オークション &gt; ファッション &gt; ブランド別 &gt; い &gt; イエナ</t>
  </si>
  <si>
    <t>コースター</t>
  </si>
  <si>
    <t>オークション &gt; スポーツ、レジャー &gt; スポーツ別 &gt; ボウリング &gt; シューズ</t>
  </si>
  <si>
    <t>オークション &gt; 自動車、オートバイ &gt; 中古車・新車 &gt; トヨタ &gt; コースター</t>
  </si>
  <si>
    <t>イーストボーイ</t>
  </si>
  <si>
    <t>オークション &gt; ファッション &gt; ブランド別 &gt; い &gt; イーストボーイ</t>
  </si>
  <si>
    <t>コルサ</t>
  </si>
  <si>
    <t>オークション &gt; 自動車、オートバイ &gt; 中古車・新車 &gt; トヨタ &gt; コルサ</t>
  </si>
  <si>
    <t>オークション &gt; スポーツ、レジャー &gt; スポーツ別 &gt; ボウリング &gt; ボール</t>
  </si>
  <si>
    <t>イーハイフンワールドギャラリー</t>
  </si>
  <si>
    <t>オークション &gt; ファッション &gt; ブランド別 &gt; い &gt; イーハイフンワールドギャラリー</t>
  </si>
  <si>
    <t>コロナ</t>
  </si>
  <si>
    <t>リスタイ</t>
  </si>
  <si>
    <t>オークション &gt; 自動車、オートバイ &gt; 中古車・新車 &gt; トヨタ &gt; コロナ</t>
  </si>
  <si>
    <t>オークション &gt; スポーツ、レジャー &gt; スポーツ別 &gt; ボウリング &gt; リスタイ</t>
  </si>
  <si>
    <t>イッセイ ミヤケ</t>
  </si>
  <si>
    <t>オークション &gt; ファッション &gt; ブランド別 &gt; い &gt; イッセイ ミヤケ</t>
  </si>
  <si>
    <t>コロナエクシヴ</t>
  </si>
  <si>
    <t>オークション &gt; スポーツ、レジャー &gt; スポーツ別 &gt; ボウリング &gt; その他</t>
  </si>
  <si>
    <t>オークション &gt; 自動車、オートバイ &gt; 中古車・新車 &gt; トヨタ &gt; コロナエクシヴ</t>
  </si>
  <si>
    <t>伊太利屋</t>
  </si>
  <si>
    <t>オークション &gt; ファッション &gt; ブランド別 &gt; い &gt; 伊太利屋</t>
  </si>
  <si>
    <t>オークション &gt; スポーツ、レジャー &gt; スポーツ別 &gt; ボクシング &gt; グローブ</t>
  </si>
  <si>
    <t>コロナプレミオ</t>
  </si>
  <si>
    <t>オークション &gt; 自動車、オートバイ &gt; 中古車・新車 &gt; トヨタ &gt; コロナプレミオ</t>
  </si>
  <si>
    <t>一澤帆布</t>
  </si>
  <si>
    <t>グローブセット</t>
  </si>
  <si>
    <t>オークション &gt; ファッション &gt; ブランド別 &gt; い &gt; 一澤帆布</t>
  </si>
  <si>
    <t>オークション &gt; スポーツ、レジャー &gt; スポーツ別 &gt; ボクシング &gt; グローブセット</t>
  </si>
  <si>
    <t>サイノス</t>
  </si>
  <si>
    <t>オークション &gt; 自動車、オートバイ &gt; 中古車・新車 &gt; トヨタ &gt; サイノス</t>
  </si>
  <si>
    <t>イネド</t>
  </si>
  <si>
    <t>オークション &gt; ファッション &gt; ブランド別 &gt; い &gt; イネド</t>
  </si>
  <si>
    <t>サクシード</t>
  </si>
  <si>
    <t>サンドバッグ</t>
  </si>
  <si>
    <t>オークション &gt; 自動車、オートバイ &gt; 中古車・新車 &gt; トヨタ &gt; サクシード</t>
  </si>
  <si>
    <t>オークション &gt; スポーツ、レジャー &gt; スポーツ別 &gt; ボクシング &gt; サンドバッグ</t>
  </si>
  <si>
    <t>イヴ・サンローラン</t>
  </si>
  <si>
    <t>オークション &gt; ファッション &gt; ブランド別 &gt; い &gt; イヴ・サンローラン</t>
  </si>
  <si>
    <t>シエンタ</t>
  </si>
  <si>
    <t>オークション &gt; 自動車、オートバイ &gt; 中古車・新車 &gt; トヨタ &gt; シエンタ</t>
  </si>
  <si>
    <t>オークション &gt; スポーツ、レジャー &gt; スポーツ別 &gt; ボクシング &gt; シューズ</t>
  </si>
  <si>
    <t>イマージュ</t>
  </si>
  <si>
    <t>オークション &gt; ファッション &gt; ブランド別 &gt; い &gt; イマージュ</t>
  </si>
  <si>
    <t>スープラ</t>
  </si>
  <si>
    <t>オークション &gt; 自動車、オートバイ &gt; 中古車・新車 &gt; トヨタ &gt; スープラ</t>
  </si>
  <si>
    <t>ミット</t>
  </si>
  <si>
    <t>イルビゾンテ</t>
  </si>
  <si>
    <t>オークション &gt; スポーツ、レジャー &gt; スポーツ別 &gt; ボクシング &gt; ミット</t>
  </si>
  <si>
    <t>オークション &gt; ファッション &gt; ブランド別 &gt; い &gt; イルビゾンテ</t>
  </si>
  <si>
    <t>スターレット</t>
  </si>
  <si>
    <t>オークション &gt; 自動車、オートバイ &gt; 中古車・新車 &gt; トヨタ &gt; スターレット</t>
  </si>
  <si>
    <t>インエ</t>
  </si>
  <si>
    <t>オークション &gt; スポーツ、レジャー &gt; スポーツ別 &gt; ボクシング &gt; その他</t>
  </si>
  <si>
    <t>オークション &gt; ファッション &gt; ブランド別 &gt; い &gt; インエ</t>
  </si>
  <si>
    <t>スパーキー</t>
  </si>
  <si>
    <t>オークション &gt; 自動車、オートバイ &gt; 中古車・新車 &gt; トヨタ &gt; スパーキー</t>
  </si>
  <si>
    <t>イング</t>
  </si>
  <si>
    <t>オークション &gt; ファッション &gt; ブランド別 &gt; い &gt; イング</t>
  </si>
  <si>
    <t>オークション &gt; スポーツ、レジャー &gt; スポーツ別 &gt; ボディーボード &gt; ボード</t>
  </si>
  <si>
    <t>スプリンター</t>
  </si>
  <si>
    <t>オークション &gt; 自動車、オートバイ &gt; 中古車・新車 &gt; トヨタ &gt; スプリンター</t>
  </si>
  <si>
    <t>インゲボルグ</t>
  </si>
  <si>
    <t>オークション &gt; ファッション &gt; ブランド別 &gt; い &gt; インゲボルグ</t>
  </si>
  <si>
    <t>オークション &gt; スポーツ、レジャー &gt; スポーツ別 &gt; ボディーボード &gt; アクセサリー</t>
  </si>
  <si>
    <t>スプリンターカリブ</t>
  </si>
  <si>
    <t>オークション &gt; 自動車、オートバイ &gt; 中古車・新車 &gt; トヨタ &gt; スプリンターカリブ</t>
  </si>
  <si>
    <t>インコテックス</t>
  </si>
  <si>
    <t>オークション &gt; ファッション &gt; ブランド別 &gt; い &gt; インコテックス</t>
  </si>
  <si>
    <t>オークション &gt; スポーツ、レジャー &gt; スポーツ別 &gt; ボディーボード &gt; ウエア</t>
  </si>
  <si>
    <t>スプリンタートレノ</t>
  </si>
  <si>
    <t>オークション &gt; 自動車、オートバイ &gt; 中古車・新車 &gt; トヨタ &gt; スプリンタートレノ</t>
  </si>
  <si>
    <t>フィン</t>
  </si>
  <si>
    <t>インタープラネット</t>
  </si>
  <si>
    <t>スプリンターマリノ</t>
  </si>
  <si>
    <t>オークション &gt; スポーツ、レジャー &gt; スポーツ別 &gt; ボディーボード &gt; フィン</t>
  </si>
  <si>
    <t>オークション &gt; ファッション &gt; ブランド別 &gt; い &gt; インタープラネット</t>
  </si>
  <si>
    <t>オークション &gt; 自動車、オートバイ &gt; 中古車・新車 &gt; トヨタ &gt; スプリンターマリノ</t>
  </si>
  <si>
    <t>インディアンモーターサイクル</t>
  </si>
  <si>
    <t>スペイド</t>
  </si>
  <si>
    <t>オークション &gt; スポーツ、レジャー &gt; スポーツ別 &gt; ボディーボード &gt; その他</t>
  </si>
  <si>
    <t>オークション &gt; ファッション &gt; ブランド別 &gt; い &gt; インディアンモーターサイクル</t>
  </si>
  <si>
    <t>オークション &gt; 自動車、オートバイ &gt; 中古車・新車 &gt; トヨタ &gt; スペイド</t>
  </si>
  <si>
    <t>インディヴィ</t>
  </si>
  <si>
    <t>オークション &gt; スポーツ、レジャー &gt; スポーツ別 &gt; ヨガ、ピラティス &gt; ウエア</t>
  </si>
  <si>
    <t>オークション &gt; ファッション &gt; ブランド別 &gt; い &gt; インディヴィ</t>
  </si>
  <si>
    <t>セプター</t>
  </si>
  <si>
    <t>オークション &gt; 自動車、オートバイ &gt; 中古車・新車 &gt; トヨタ &gt; セプター</t>
  </si>
  <si>
    <t>マット</t>
  </si>
  <si>
    <t>オークション &gt; スポーツ、レジャー &gt; スポーツ別 &gt; ヨガ、ピラティス &gt; マット</t>
  </si>
  <si>
    <t>インハビタント</t>
  </si>
  <si>
    <t>セラ</t>
  </si>
  <si>
    <t>オークション &gt; ファッション &gt; ブランド別 &gt; い &gt; インハビタント</t>
  </si>
  <si>
    <t>オークション &gt; 自動車、オートバイ &gt; 中古車・新車 &gt; トヨタ &gt; セラ</t>
  </si>
  <si>
    <t>ヨガボール</t>
  </si>
  <si>
    <t>オークション &gt; スポーツ、レジャー &gt; スポーツ別 &gt; ヨガ、ピラティス &gt; ヨガボール</t>
  </si>
  <si>
    <t>セリカ</t>
  </si>
  <si>
    <t>オークション &gt; 自動車、オートバイ &gt; 中古車・新車 &gt; トヨタ &gt; セリカ</t>
  </si>
  <si>
    <t>インバーアラン</t>
  </si>
  <si>
    <t>オークション &gt; スポーツ、レジャー &gt; スポーツ別 &gt; ヨガ、ピラティス &gt; フィットネスクラブ利用券</t>
  </si>
  <si>
    <t>オークション &gt; ファッション &gt; ブランド別 &gt; い &gt; インバーアラン</t>
  </si>
  <si>
    <t>セルシオ</t>
  </si>
  <si>
    <t>オークション &gt; 自動車、オートバイ &gt; 中古車・新車 &gt; トヨタ &gt; セルシオ</t>
  </si>
  <si>
    <t>オークション &gt; スポーツ、レジャー &gt; スポーツ別 &gt; ヨガ、ピラティス &gt; その他</t>
  </si>
  <si>
    <t>インパクティスケリー</t>
  </si>
  <si>
    <t>オークション &gt; ファッション &gt; ブランド別 &gt; い &gt; インパクティスケリー</t>
  </si>
  <si>
    <t>センチュリー</t>
  </si>
  <si>
    <t>オークション &gt; 自動車、オートバイ &gt; 中古車・新車 &gt; トヨタ &gt; センチュリー</t>
  </si>
  <si>
    <t>オークション &gt; スポーツ、レジャー &gt; スポーツ別 &gt; 野球 &gt; バット</t>
  </si>
  <si>
    <t>ソアラ</t>
  </si>
  <si>
    <t>オークション &gt; ファッション &gt; ブランド別 &gt; い &gt; その他</t>
  </si>
  <si>
    <t>オークション &gt; 自動車、オートバイ &gt; 中古車・新車 &gt; トヨタ &gt; ソアラ</t>
  </si>
  <si>
    <t>オークション &gt; スポーツ、レジャー &gt; スポーツ別 &gt; 野球 &gt; グローブ</t>
  </si>
  <si>
    <t>22 OCTOBRE</t>
  </si>
  <si>
    <t>オークション &gt; ファッション &gt; ブランド別 &gt; う &gt; 22 OCTOBRE</t>
  </si>
  <si>
    <t>ターセル</t>
  </si>
  <si>
    <t>オークション &gt; 自動車、オートバイ &gt; 中古車・新車 &gt; トヨタ &gt; ターセル</t>
  </si>
  <si>
    <t>オークション &gt; スポーツ、レジャー &gt; スポーツ別 &gt; 野球 &gt; ボール</t>
  </si>
  <si>
    <t>WASTE TWICE</t>
  </si>
  <si>
    <t>タウンエース</t>
  </si>
  <si>
    <t>オークション &gt; 自動車、オートバイ &gt; 中古車・新車 &gt; トヨタ &gt; タウンエース</t>
  </si>
  <si>
    <t>オークション &gt; ファッション &gt; ブランド別 &gt; う &gt; WASTE TWICE</t>
  </si>
  <si>
    <t>オークション &gt; スポーツ、レジャー &gt; スポーツ別 &gt; 野球 &gt; ウエア</t>
  </si>
  <si>
    <t>WEGO</t>
  </si>
  <si>
    <t>タウンエースノア</t>
  </si>
  <si>
    <t>オークション &gt; ファッション &gt; ブランド別 &gt; う &gt; WEGO</t>
  </si>
  <si>
    <t>オークション &gt; 自動車、オートバイ &gt; 中古車・新車 &gt; トヨタ &gt; タウンエースノア</t>
  </si>
  <si>
    <t>オークション &gt; スポーツ、レジャー &gt; スポーツ別 &gt; 野球 &gt; シューズ</t>
  </si>
  <si>
    <t>WeSC</t>
  </si>
  <si>
    <t>オークション &gt; ファッション &gt; ブランド別 &gt; う &gt; WeSC</t>
  </si>
  <si>
    <t>タンドラ</t>
  </si>
  <si>
    <t>オークション &gt; 自動車、オートバイ &gt; 中古車・新車 &gt; トヨタ &gt; タンドラ</t>
  </si>
  <si>
    <t>オークション &gt; スポーツ、レジャー &gt; スポーツ別 &gt; 野球 &gt; アクセサリー</t>
  </si>
  <si>
    <t>ウエアハウス</t>
  </si>
  <si>
    <t>オークション &gt; ファッション &gt; ブランド別 &gt; う &gt; ウエアハウス</t>
  </si>
  <si>
    <t>防具</t>
  </si>
  <si>
    <t>ダイナ</t>
  </si>
  <si>
    <t>オークション &gt; スポーツ、レジャー &gt; スポーツ別 &gt; 野球 &gt; 防具</t>
  </si>
  <si>
    <t>ウエスコ</t>
  </si>
  <si>
    <t>オークション &gt; 自動車、オートバイ &gt; 中古車・新車 &gt; トヨタ &gt; ダイナ</t>
  </si>
  <si>
    <t>オークション &gt; ファッション &gt; ブランド別 &gt; う &gt; ウエスコ</t>
  </si>
  <si>
    <t>練習機器</t>
  </si>
  <si>
    <t>オークション &gt; スポーツ、レジャー &gt; スポーツ別 &gt; 野球 &gt; 練習機器</t>
  </si>
  <si>
    <t>ヴァネッサ・ブリューノ</t>
  </si>
  <si>
    <t>オークション &gt; ファッション &gt; ブランド別 &gt; う &gt; ヴァネッサ・ブリューノ</t>
  </si>
  <si>
    <t>チェイサー</t>
  </si>
  <si>
    <t>オークション &gt; スポーツ、レジャー &gt; スポーツ別 &gt; 野球 &gt; 応援グッズ</t>
  </si>
  <si>
    <t>ヴァレンティノ</t>
  </si>
  <si>
    <t>オークション &gt; 自動車、オートバイ &gt; 中古車・新車 &gt; トヨタ &gt; チェイサー</t>
  </si>
  <si>
    <t>オークション &gt; ファッション &gt; ブランド別 &gt; う &gt; ヴァレンティノ</t>
  </si>
  <si>
    <t>ヴィクター＆ロルフ</t>
  </si>
  <si>
    <t>オークション &gt; スポーツ、レジャー &gt; スポーツ別 &gt; 野球 &gt; 記念品、関連グッズ</t>
  </si>
  <si>
    <t>オークション &gt; ファッション &gt; ブランド別 &gt; う &gt; ヴィクター＆ロルフ</t>
  </si>
  <si>
    <t>ツーリングハイエース</t>
  </si>
  <si>
    <t>オークション &gt; 自動車、オートバイ &gt; 中古車・新車 &gt; トヨタ &gt; ツーリングハイエース</t>
  </si>
  <si>
    <t>ヴィクトリアシークレット</t>
  </si>
  <si>
    <t>オークション &gt; スポーツ、レジャー &gt; スポーツ別 &gt; 野球 &gt; ビデオ</t>
  </si>
  <si>
    <t>オークション &gt; ファッション &gt; ブランド別 &gt; う &gt; ヴィクトリアシークレット</t>
  </si>
  <si>
    <t>デュエット</t>
  </si>
  <si>
    <t>ヴィジョン</t>
  </si>
  <si>
    <t>オークション &gt; ファッション &gt; ブランド別 &gt; う &gt; ヴィジョン</t>
  </si>
  <si>
    <t>オークション &gt; 自動車、オートバイ &gt; 中古車・新車 &gt; トヨタ &gt; デュエット</t>
  </si>
  <si>
    <t>オークション &gt; スポーツ、レジャー &gt; スポーツ別 &gt; 野球 &gt; 雑誌</t>
  </si>
  <si>
    <t>ヴィヴィアンウエストウッド</t>
  </si>
  <si>
    <t>オークション &gt; ファッション &gt; ブランド別 &gt; う &gt; ヴィヴィアンウエストウッド</t>
  </si>
  <si>
    <t>審判用品</t>
  </si>
  <si>
    <t>デリボーイ</t>
  </si>
  <si>
    <t>オークション &gt; スポーツ、レジャー &gt; スポーツ別 &gt; 野球 &gt; 審判用品</t>
  </si>
  <si>
    <t>オークション &gt; 自動車、オートバイ &gt; 中古車・新車 &gt; トヨタ &gt; デリボーイ</t>
  </si>
  <si>
    <t>ヴィヴィアンタム</t>
  </si>
  <si>
    <t>オークション &gt; ファッション &gt; ブランド別 &gt; う &gt; ヴィヴィアンタム</t>
  </si>
  <si>
    <t>オークション &gt; スポーツ、レジャー &gt; スポーツ別 &gt; 野球 &gt; 本</t>
  </si>
  <si>
    <t>ヴェールダンス</t>
  </si>
  <si>
    <t>トヨエース</t>
  </si>
  <si>
    <t>オークション &gt; ファッション &gt; ブランド別 &gt; う &gt; ヴェールダンス</t>
  </si>
  <si>
    <t>オークション &gt; 自動車、オートバイ &gt; 中古車・新車 &gt; トヨタ &gt; トヨエース</t>
  </si>
  <si>
    <t>野球チケット</t>
  </si>
  <si>
    <t>オークション &gt; スポーツ、レジャー &gt; スポーツ別 &gt; 野球 &gt; 野球チケット</t>
  </si>
  <si>
    <t>ヴェルサーチ</t>
  </si>
  <si>
    <t>オークション &gt; ファッション &gt; ブランド別 &gt; う &gt; ヴェルサーチ</t>
  </si>
  <si>
    <t>ナディア</t>
  </si>
  <si>
    <t>オークション &gt; スポーツ、レジャー &gt; スポーツ別 &gt; ラグビー &gt; ウエア</t>
  </si>
  <si>
    <t>オークション &gt; 自動車、オートバイ &gt; 中古車・新車 &gt; トヨタ &gt; ナディア</t>
  </si>
  <si>
    <t>ヴェロニクブランキーノ</t>
  </si>
  <si>
    <t>オークション &gt; ファッション &gt; ブランド別 &gt; う &gt; ヴェロニクブランキーノ</t>
  </si>
  <si>
    <t>オークション &gt; スポーツ、レジャー &gt; スポーツ別 &gt; ラグビー &gt; シューズ</t>
  </si>
  <si>
    <t>ノア</t>
  </si>
  <si>
    <t>オークション &gt; 自動車、オートバイ &gt; 中古車・新車 &gt; トヨタ &gt; ノア</t>
  </si>
  <si>
    <t>ウンガロ</t>
  </si>
  <si>
    <t>オークション &gt; ファッション &gt; ブランド別 &gt; う &gt; ウンガロ</t>
  </si>
  <si>
    <t>ヘッドギア</t>
  </si>
  <si>
    <t>オークション &gt; スポーツ、レジャー &gt; スポーツ別 &gt; ラグビー &gt; ヘッドギア</t>
  </si>
  <si>
    <t>オークション &gt; ファッション &gt; ブランド別 &gt; う &gt; その他</t>
  </si>
  <si>
    <t>ハイエースバン</t>
  </si>
  <si>
    <t>オークション &gt; スポーツ、レジャー &gt; スポーツ別 &gt; ラグビー &gt; ボール</t>
  </si>
  <si>
    <t>オークション &gt; 自動車、オートバイ &gt; 中古車・新車 &gt; トヨタ &gt; ハイエースバン</t>
  </si>
  <si>
    <t>AFFA</t>
  </si>
  <si>
    <t>オークション &gt; ファッション &gt; ブランド別 &gt; え &gt; AFFA</t>
  </si>
  <si>
    <t>オークション &gt; スポーツ、レジャー &gt; スポーツ別 &gt; ラグビー &gt; その他</t>
  </si>
  <si>
    <t>ハイエースレジアス</t>
  </si>
  <si>
    <t>オークション &gt; 自動車、オートバイ &gt; 中古車・新車 &gt; トヨタ &gt; ハイエースレジアス</t>
  </si>
  <si>
    <t>A＆G</t>
  </si>
  <si>
    <t>オークション &gt; ファッション &gt; ブランド別 &gt; え &gt; A＆G</t>
  </si>
  <si>
    <t>オークション &gt; スポーツ、レジャー &gt; スポーツ別 &gt; ランニング、ジョギング &gt; ウエア（男性用）</t>
  </si>
  <si>
    <t>ハイエースワゴン</t>
  </si>
  <si>
    <t>H&amp;M</t>
  </si>
  <si>
    <t>オークション &gt; 自動車、オートバイ &gt; 中古車・新車 &gt; トヨタ &gt; ハイエースワゴン</t>
  </si>
  <si>
    <t>オークション &gt; ファッション &gt; ブランド別 &gt; え &gt; H&amp;M</t>
  </si>
  <si>
    <t>オークション &gt; スポーツ、レジャー &gt; スポーツ別 &gt; ランニング、ジョギング &gt; ウエア（女性用）</t>
  </si>
  <si>
    <t>オークション &gt; ファッション &gt; ブランド別 &gt; え &gt; HTC</t>
  </si>
  <si>
    <t>ハイラックス</t>
  </si>
  <si>
    <t>オークション &gt; 自動車、オートバイ &gt; 中古車・新車 &gt; トヨタ &gt; ハイラックス</t>
  </si>
  <si>
    <t>オークション &gt; スポーツ、レジャー &gt; スポーツ別 &gt; ランニング、ジョギング &gt; ウエア（子ども用）</t>
  </si>
  <si>
    <t>HbG</t>
  </si>
  <si>
    <t>オークション &gt; ファッション &gt; ブランド別 &gt; え &gt; HbG</t>
  </si>
  <si>
    <t>ハイラックスサーフ</t>
  </si>
  <si>
    <t>オークション &gt; 自動車、オートバイ &gt; 中古車・新車 &gt; トヨタ &gt; ハイラックスサーフ</t>
  </si>
  <si>
    <t>エアロポステール</t>
  </si>
  <si>
    <t>オークション &gt; スポーツ、レジャー &gt; スポーツ別 &gt; ランニング、ジョギング &gt; シューズ（男性用）</t>
  </si>
  <si>
    <t>オークション &gt; ファッション &gt; ブランド別 &gt; え &gt; エアロポステール</t>
  </si>
  <si>
    <t>ハリアー</t>
  </si>
  <si>
    <t>オークション &gt; 自動車、オートバイ &gt; 中古車・新車 &gt; トヨタ &gt; ハリアー</t>
  </si>
  <si>
    <t>エアロレザー</t>
  </si>
  <si>
    <t>オークション &gt; スポーツ、レジャー &gt; スポーツ別 &gt; ランニング、ジョギング &gt; シューズ（女性用）</t>
  </si>
  <si>
    <t>オークション &gt; ファッション &gt; ブランド別 &gt; え &gt; エアロレザー</t>
  </si>
  <si>
    <t>ハリアーハイブリッド</t>
  </si>
  <si>
    <t>オークション &gt; 自動車、オートバイ &gt; 中古車・新車 &gt; トヨタ &gt; ハリアーハイブリッド</t>
  </si>
  <si>
    <t>エイチ・ナオト</t>
  </si>
  <si>
    <t>オークション &gt; ファッション &gt; ブランド別 &gt; え &gt; エイチ・ナオト</t>
  </si>
  <si>
    <t>オークション &gt; スポーツ、レジャー &gt; スポーツ別 &gt; ランニング、ジョギング &gt; アクセサリー</t>
  </si>
  <si>
    <t>パッソ</t>
  </si>
  <si>
    <t>エイプ</t>
  </si>
  <si>
    <t>オークション &gt; 自動車、オートバイ &gt; 中古車・新車 &gt; トヨタ &gt; パッソ</t>
  </si>
  <si>
    <t>その他陸上競技</t>
  </si>
  <si>
    <t>オークション &gt; ファッション &gt; ブランド別 &gt; え &gt; エイプ</t>
  </si>
  <si>
    <t>オークション &gt; スポーツ、レジャー &gt; スポーツ別 &gt; ランニング、ジョギング &gt; その他陸上競技</t>
  </si>
  <si>
    <t>パッソセッテ</t>
  </si>
  <si>
    <t>エーグル</t>
  </si>
  <si>
    <t>オークション &gt; 自動車、オートバイ &gt; 中古車・新車 &gt; トヨタ &gt; パッソセッテ</t>
  </si>
  <si>
    <t>オークション &gt; ファッション &gt; ブランド別 &gt; え &gt; エーグル</t>
  </si>
  <si>
    <t>オークション &gt; スポーツ、レジャー &gt; スポーツ別 &gt; 陸上競技 &gt; ウエア</t>
  </si>
  <si>
    <t>ビスタ</t>
  </si>
  <si>
    <t>エクストラ ラージ</t>
  </si>
  <si>
    <t>スパイクシューズ</t>
  </si>
  <si>
    <t>オークション &gt; 自動車、オートバイ &gt; 中古車・新車 &gt; トヨタ &gt; ビスタ</t>
  </si>
  <si>
    <t>オークション &gt; ファッション &gt; ブランド別 &gt; え &gt; エクストラ ラージ</t>
  </si>
  <si>
    <t>オークション &gt; スポーツ、レジャー &gt; スポーツ別 &gt; 陸上競技 &gt; スパイクシューズ</t>
  </si>
  <si>
    <t>ビスタアルデオ</t>
  </si>
  <si>
    <t>エゴイスト</t>
  </si>
  <si>
    <t>オークション &gt; 自動車、オートバイ &gt; 中古車・新車 &gt; トヨタ &gt; ビスタアルデオ</t>
  </si>
  <si>
    <t>オークション &gt; ファッション &gt; ブランド別 &gt; え &gt; エゴイスト</t>
  </si>
  <si>
    <t>オークション &gt; スポーツ、レジャー &gt; スポーツ別 &gt; 陸上競技 &gt; スポーツ心拍計</t>
  </si>
  <si>
    <t>ピクシススペース</t>
  </si>
  <si>
    <t>S2W8</t>
  </si>
  <si>
    <t>オークション &gt; 自動車、オートバイ &gt; 中古車・新車 &gt; トヨタ &gt; ピクシススペース</t>
  </si>
  <si>
    <t>ランニング、ジョギング</t>
  </si>
  <si>
    <t>オークション &gt; ファッション &gt; ブランド別 &gt; え &gt; S2W8</t>
  </si>
  <si>
    <t>オークション &gt; スポーツ、レジャー &gt; スポーツ別 &gt; 陸上競技 &gt; ランニング、ジョギング</t>
  </si>
  <si>
    <t>ファンカーゴ</t>
  </si>
  <si>
    <t>SPB</t>
  </si>
  <si>
    <t>オークション &gt; 自動車、オートバイ &gt; 中古車・新車 &gt; トヨタ &gt; ファンカーゴ</t>
  </si>
  <si>
    <t>オークション &gt; ファッション &gt; ブランド別 &gt; え &gt; SPB</t>
  </si>
  <si>
    <t>オークション &gt; スポーツ、レジャー &gt; スポーツ別 &gt; 陸上競技 &gt; その他</t>
  </si>
  <si>
    <t>ブレイド</t>
  </si>
  <si>
    <t>エスカーダ</t>
  </si>
  <si>
    <t>オークション &gt; 自動車、オートバイ &gt; 中古車・新車 &gt; トヨタ &gt; ブレイド</t>
  </si>
  <si>
    <t>オークション &gt; ファッション &gt; ブランド別 &gt; え &gt; エスカーダ</t>
  </si>
  <si>
    <t>男性用</t>
  </si>
  <si>
    <t>オークション &gt; スポーツ、レジャー &gt; スポーツウエア &gt; 男性用</t>
  </si>
  <si>
    <t>ブレビス</t>
  </si>
  <si>
    <t>エスペランサ</t>
  </si>
  <si>
    <t>オークション &gt; 自動車、オートバイ &gt; 中古車・新車 &gt; トヨタ &gt; ブレビス</t>
  </si>
  <si>
    <t>オークション &gt; ファッション &gt; ブランド別 &gt; え &gt; エスペランサ</t>
  </si>
  <si>
    <t>女性用</t>
  </si>
  <si>
    <t>オークション &gt; スポーツ、レジャー &gt; スポーツウエア &gt; 女性用</t>
  </si>
  <si>
    <t>A/T</t>
  </si>
  <si>
    <t>プラッツ</t>
  </si>
  <si>
    <t>オークション &gt; ファッション &gt; ブランド別 &gt; え &gt; A/T</t>
  </si>
  <si>
    <t>オークション &gt; 自動車、オートバイ &gt; 中古車・新車 &gt; トヨタ &gt; プラッツ</t>
  </si>
  <si>
    <t>男女兼用</t>
  </si>
  <si>
    <t>オークション &gt; スポーツ、レジャー &gt; スポーツウエア &gt; 男女兼用</t>
  </si>
  <si>
    <t>エターナル</t>
  </si>
  <si>
    <t>プリウス</t>
  </si>
  <si>
    <t>オークション &gt; ファッション &gt; ブランド別 &gt; え &gt; エターナル</t>
  </si>
  <si>
    <t>オークション &gt; 自動車、オートバイ &gt; 中古車・新車 &gt; トヨタ &gt; プリウス</t>
  </si>
  <si>
    <t>子ども用</t>
  </si>
  <si>
    <t>オークション &gt; スポーツ、レジャー &gt; スポーツウエア &gt; 子ども用</t>
  </si>
  <si>
    <t>エックスガール</t>
  </si>
  <si>
    <t>プリウスα</t>
  </si>
  <si>
    <t>オークション &gt; ファッション &gt; ブランド別 &gt; え &gt; エックスガール</t>
  </si>
  <si>
    <t>オークション &gt; 自動車、オートバイ &gt; 中古車・新車 &gt; トヨタ &gt; プリウスα</t>
  </si>
  <si>
    <t>スポーツ別</t>
  </si>
  <si>
    <t>エディー・バウアー</t>
  </si>
  <si>
    <t>オークション &gt; スポーツ、レジャー &gt; スポーツウエア &gt; スポーツ別</t>
  </si>
  <si>
    <t>オークション &gt; ファッション &gt; ブランド別 &gt; え &gt; エディー・バウアー</t>
  </si>
  <si>
    <t>プレミオ</t>
  </si>
  <si>
    <t>オークション &gt; 自動車、オートバイ &gt; 中古車・新車 &gt; トヨタ &gt; プレミオ</t>
  </si>
  <si>
    <t>エディフィス</t>
  </si>
  <si>
    <t>プログレ</t>
  </si>
  <si>
    <t>オークション &gt; 自動車、オートバイ &gt; 中古車・新車 &gt; トヨタ &gt; プログレ</t>
  </si>
  <si>
    <t>オークション &gt; ファッション &gt; ブランド別 &gt; え &gt; エディフィス</t>
  </si>
  <si>
    <t>サングラス</t>
  </si>
  <si>
    <t>オークション &gt; スポーツ、レジャー &gt; スポーツウエア &gt; サングラス</t>
  </si>
  <si>
    <t>プロナード</t>
  </si>
  <si>
    <t>エトロ</t>
  </si>
  <si>
    <t>オークション &gt; 自動車、オートバイ &gt; 中古車・新車 &gt; トヨタ &gt; プロナード</t>
  </si>
  <si>
    <t>アウトドアウエア</t>
  </si>
  <si>
    <t>オークション &gt; ファッション &gt; ブランド別 &gt; え &gt; エトロ</t>
  </si>
  <si>
    <t>オークション &gt; スポーツ、レジャー &gt; スポーツウエア &gt; アウトドアウエア</t>
  </si>
  <si>
    <t>プロボックス</t>
  </si>
  <si>
    <t>オークション &gt; 自動車、オートバイ &gt; 中古車・新車 &gt; トヨタ &gt; プロボックス</t>
  </si>
  <si>
    <t>エクササイズウエア</t>
  </si>
  <si>
    <t>エド・ハーディー</t>
  </si>
  <si>
    <t>オークション &gt; スポーツ、レジャー &gt; スポーツウエア &gt; エクササイズウエア</t>
  </si>
  <si>
    <t>オークション &gt; ファッション &gt; ブランド別 &gt; え &gt; エド・ハーディー</t>
  </si>
  <si>
    <t>ベルタ</t>
  </si>
  <si>
    <t>オークション &gt; 自動車、オートバイ &gt; 中古車・新車 &gt; トヨタ &gt; ベルタ</t>
  </si>
  <si>
    <t>オークション &gt; スポーツ、レジャー &gt; スポーツウエア &gt; スイムウエア</t>
  </si>
  <si>
    <t>エドウィン</t>
  </si>
  <si>
    <t>オークション &gt; ファッション &gt; ブランド別 &gt; え &gt; エドウィン</t>
  </si>
  <si>
    <t>ポルテ</t>
  </si>
  <si>
    <t>オークション &gt; 自動車、オートバイ &gt; 中古車・新車 &gt; トヨタ &gt; ポルテ</t>
  </si>
  <si>
    <t>オークション &gt; スポーツ、レジャー &gt; スポーツ別 &gt; 記念品、関連グッズ &gt; F1</t>
  </si>
  <si>
    <t>エドワードグリーン</t>
  </si>
  <si>
    <t>マークII</t>
  </si>
  <si>
    <t>オークション &gt; ファッション &gt; ブランド別 &gt; え &gt; エドワードグリーン</t>
  </si>
  <si>
    <t>オークション &gt; 自動車、オートバイ &gt; 中古車・新車 &gt; トヨタ &gt; マークII</t>
  </si>
  <si>
    <t>オークション &gt; スポーツ、レジャー &gt; スポーツ別 &gt; 記念品、関連グッズ &gt; アメリカンフットボール</t>
  </si>
  <si>
    <t>マークIIクオリス</t>
  </si>
  <si>
    <t>N.ハリウッド</t>
  </si>
  <si>
    <t>オークション &gt; 自動車、オートバイ &gt; 中古車・新車 &gt; トヨタ &gt; マークIIクオリス</t>
  </si>
  <si>
    <t>オークション &gt; ファッション &gt; ブランド別 &gt; え &gt; N.ハリウッド</t>
  </si>
  <si>
    <t>オークション &gt; スポーツ、レジャー &gt; スポーツ別 &gt; 記念品、関連グッズ &gt; オリンピック</t>
  </si>
  <si>
    <t>any SiS</t>
  </si>
  <si>
    <t>マークIIバン</t>
  </si>
  <si>
    <t>オークション &gt; ファッション &gt; ブランド別 &gt; え &gt; any SiS</t>
  </si>
  <si>
    <t>オークション &gt; 自動車、オートバイ &gt; 中古車・新車 &gt; トヨタ &gt; マークIIバン</t>
  </si>
  <si>
    <t>オークション &gt; スポーツ、レジャー &gt; スポーツ別 &gt; 記念品、関連グッズ &gt; ゴルフ</t>
  </si>
  <si>
    <t>マークIIブリット</t>
  </si>
  <si>
    <t>サーフィン</t>
  </si>
  <si>
    <t>オークション &gt; 自動車、オートバイ &gt; 中古車・新車 &gt; トヨタ &gt; マークIIブリット</t>
  </si>
  <si>
    <t>FAT</t>
  </si>
  <si>
    <t>オークション &gt; スポーツ、レジャー &gt; スポーツ別 &gt; 記念品、関連グッズ &gt; サーフィン</t>
  </si>
  <si>
    <t>オークション &gt; ファッション &gt; ブランド別 &gt; え &gt; FAT</t>
  </si>
  <si>
    <t>マークIIワゴン</t>
  </si>
  <si>
    <t>オークション &gt; 自動車、オートバイ &gt; 中古車・新車 &gt; トヨタ &gt; マークIIワゴン</t>
  </si>
  <si>
    <t>abx</t>
  </si>
  <si>
    <t>オークション &gt; スポーツ、レジャー &gt; スポーツ別 &gt; 記念品、関連グッズ &gt; サッカー</t>
  </si>
  <si>
    <t>オークション &gt; ファッション &gt; ブランド別 &gt; え &gt; abx</t>
  </si>
  <si>
    <t>マークX</t>
  </si>
  <si>
    <t>オークション &gt; 自動車、オートバイ &gt; 中古車・新車 &gt; トヨタ &gt; マークX</t>
  </si>
  <si>
    <t>スノーボード</t>
  </si>
  <si>
    <t>オークション &gt; スポーツ、レジャー &gt; スポーツ別 &gt; 記念品、関連グッズ &gt; スノーボード</t>
  </si>
  <si>
    <t>エフデ</t>
  </si>
  <si>
    <t>マークXジオ</t>
  </si>
  <si>
    <t>オークション &gt; 自動車、オートバイ &gt; 中古車・新車 &gt; トヨタ &gt; マークXジオ</t>
  </si>
  <si>
    <t>オークション &gt; ファッション &gt; ブランド別 &gt; え &gt; エフデ</t>
  </si>
  <si>
    <t>オークション &gt; スポーツ、レジャー &gt; スポーツ別 &gt; 記念品、関連グッズ &gt; バスケットボール</t>
  </si>
  <si>
    <t>マスターエースサーフ</t>
  </si>
  <si>
    <t>オークション &gt; 自動車、オートバイ &gt; 中古車・新車 &gt; トヨタ &gt; マスターエースサーフ</t>
  </si>
  <si>
    <t>エポカ</t>
  </si>
  <si>
    <t>オークション &gt; スポーツ、レジャー &gt; スポーツ別 &gt; 記念品、関連グッズ &gt; モーターレース</t>
  </si>
  <si>
    <t>オークション &gt; ファッション &gt; ブランド別 &gt; え &gt; エポカ</t>
  </si>
  <si>
    <t>ライトエース</t>
  </si>
  <si>
    <t>オークション &gt; 自動車、オートバイ &gt; 中古車・新車 &gt; トヨタ &gt; ライトエース</t>
  </si>
  <si>
    <t>エヴー</t>
  </si>
  <si>
    <t>オークション &gt; スポーツ、レジャー &gt; スポーツ別 &gt; 記念品、関連グッズ &gt; 野球</t>
  </si>
  <si>
    <t>オークション &gt; ファッション &gt; ブランド別 &gt; え &gt; エヴー</t>
  </si>
  <si>
    <t>ライトエースノア</t>
  </si>
  <si>
    <t>オークション &gt; 自動車、オートバイ &gt; 中古車・新車 &gt; トヨタ &gt; ライトエースノア</t>
  </si>
  <si>
    <t>エヴィス</t>
  </si>
  <si>
    <t>オークション &gt; スポーツ、レジャー &gt; スポーツ別 &gt; 記念品、関連グッズ &gt; その他</t>
  </si>
  <si>
    <t>オークション &gt; ファッション &gt; ブランド別 &gt; え &gt; エヴィス</t>
  </si>
  <si>
    <t>ラウム</t>
  </si>
  <si>
    <t>ブランド別</t>
  </si>
  <si>
    <t>オークション &gt; 自動車、オートバイ &gt; 中古車・新車 &gt; トヨタ &gt; ラウム</t>
  </si>
  <si>
    <t>オークション &gt; スポーツ、レジャー &gt; アウトドアウエア &gt; ブランド別</t>
  </si>
  <si>
    <t>EMODA</t>
  </si>
  <si>
    <t>オークション &gt; ファッション &gt; ブランド別 &gt; え &gt; EMODA</t>
  </si>
  <si>
    <t>ラクティス</t>
  </si>
  <si>
    <t>オークション &gt; 自動車、オートバイ &gt; 中古車・新車 &gt; トヨタ &gt; ラクティス</t>
  </si>
  <si>
    <t>オークション &gt; スポーツ、レジャー &gt; アウトドアウエア &gt; 男性用</t>
  </si>
  <si>
    <t>Emanuel Ungaro</t>
  </si>
  <si>
    <t>オークション &gt; ファッション &gt; ブランド別 &gt; え &gt; Emanuel Ungaro</t>
  </si>
  <si>
    <t>ラッシュ</t>
  </si>
  <si>
    <t>オークション &gt; 自動車、オートバイ &gt; 中古車・新車 &gt; トヨタ &gt; ラッシュ</t>
  </si>
  <si>
    <t>MCM</t>
  </si>
  <si>
    <t>オークション &gt; スポーツ、レジャー &gt; アウトドアウエア &gt; 女性用</t>
  </si>
  <si>
    <t>オークション &gt; ファッション &gt; ブランド別 &gt; え &gt; MCM</t>
  </si>
  <si>
    <t>ランドクルーザー</t>
  </si>
  <si>
    <t>オークション &gt; 自動車、オートバイ &gt; 中古車・新車 &gt; トヨタ &gt; ランドクルーザー</t>
  </si>
  <si>
    <t>MK ミッシェルクラン</t>
  </si>
  <si>
    <t>オークション &gt; スポーツ、レジャー &gt; アウトドアウエア &gt; 子ども用</t>
  </si>
  <si>
    <t>オークション &gt; ファッション &gt; ブランド別 &gt; え &gt; MK ミッシェルクラン</t>
  </si>
  <si>
    <t>ランドクルーザー200</t>
  </si>
  <si>
    <t>スポーツサングラス</t>
  </si>
  <si>
    <t>オークション &gt; 自動車、オートバイ &gt; 中古車・新車 &gt; トヨタ &gt; ランドクルーザー200</t>
  </si>
  <si>
    <t>オークション &gt; スポーツ、レジャー &gt; アウトドアウエア &gt; スポーツサングラス</t>
  </si>
  <si>
    <t>Mプルミエ</t>
  </si>
  <si>
    <t>オークション &gt; ファッション &gt; ブランド別 &gt; え &gt; Mプルミエ</t>
  </si>
  <si>
    <t>ランドクルーザープラド</t>
  </si>
  <si>
    <t>雨具、レインウェア</t>
  </si>
  <si>
    <t>オークション &gt; スポーツ、レジャー &gt; アウトドアウエア &gt; 雨具、レインウェア</t>
  </si>
  <si>
    <t>エミュー オーストラリア</t>
  </si>
  <si>
    <t>オークション &gt; 自動車、オートバイ &gt; 中古車・新車 &gt; トヨタ &gt; ランドクルーザープラド</t>
  </si>
  <si>
    <t>オークション &gt; ファッション &gt; ブランド別 &gt; え &gt; エミュー オーストラリア</t>
  </si>
  <si>
    <t>靴、シューズ</t>
  </si>
  <si>
    <t>レジアス</t>
  </si>
  <si>
    <t>エミリーテンプルキュート</t>
  </si>
  <si>
    <t>オークション &gt; スポーツ、レジャー &gt; アウトドアウエア &gt; 靴、シューズ</t>
  </si>
  <si>
    <t>オークション &gt; 自動車、オートバイ &gt; 中古車・新車 &gt; トヨタ &gt; レジアス</t>
  </si>
  <si>
    <t>オークション &gt; ファッション &gt; ブランド別 &gt; え &gt; エミリーテンプルキュート</t>
  </si>
  <si>
    <t>服飾小物</t>
  </si>
  <si>
    <t>レジアスエース</t>
  </si>
  <si>
    <t>エミリオ・プッチ</t>
  </si>
  <si>
    <t>オークション &gt; 自動車、オートバイ &gt; 中古車・新車 &gt; トヨタ &gt; レジアスエース</t>
  </si>
  <si>
    <t>オークション &gt; ファッション &gt; ブランド別 &gt; え &gt; エミリオ・プッチ</t>
  </si>
  <si>
    <t>オークション &gt; スポーツ、レジャー &gt; アウトドアウエア &gt; 服飾小物</t>
  </si>
  <si>
    <t>ヴァンガード</t>
  </si>
  <si>
    <t>エムズグレイシー</t>
  </si>
  <si>
    <t>オンヨネ</t>
  </si>
  <si>
    <t>オークション &gt; ファッション &gt; ブランド別 &gt; え &gt; エムズグレイシー</t>
  </si>
  <si>
    <t>オークション &gt; スポーツ、レジャー &gt; キャンプ、アウトドア用品 &gt; 雨具、レインウエア &gt; オンヨネ</t>
  </si>
  <si>
    <t>L.L.Bean</t>
  </si>
  <si>
    <t>コロンビア</t>
  </si>
  <si>
    <t>オークション &gt; ファッション &gt; ブランド別 &gt; え &gt; L.L.Bean</t>
  </si>
  <si>
    <t>オークション &gt; 自動車、オートバイ &gt; 中古車・新車 &gt; トヨタ &gt; ヴァンガード</t>
  </si>
  <si>
    <t>オークション &gt; スポーツ、レジャー &gt; キャンプ、アウトドア用品 &gt; 雨具、レインウエア &gt; コロンビア</t>
  </si>
  <si>
    <t>ヴィッツ</t>
  </si>
  <si>
    <t>オークション &gt; 自動車、オートバイ &gt; 中古車・新車 &gt; トヨタ &gt; ヴィッツ</t>
  </si>
  <si>
    <t>ザ・ノース・フェイス</t>
  </si>
  <si>
    <t>LB-03</t>
  </si>
  <si>
    <t>オークション &gt; スポーツ、レジャー &gt; キャンプ、アウトドア用品 &gt; 雨具、レインウエア &gt; ザ・ノース・フェイス</t>
  </si>
  <si>
    <t>オークション &gt; ファッション &gt; ブランド別 &gt; え &gt; LB-03</t>
  </si>
  <si>
    <t>ヴェルファイア</t>
  </si>
  <si>
    <t>オークション &gt; 自動車、オートバイ &gt; 中古車・新車 &gt; トヨタ &gt; ヴェルファイア</t>
  </si>
  <si>
    <t>ミズノ</t>
  </si>
  <si>
    <t>オークション &gt; スポーツ、レジャー &gt; キャンプ、アウトドア用品 &gt; 雨具、レインウエア &gt; ミズノ</t>
  </si>
  <si>
    <t>LRG</t>
  </si>
  <si>
    <t>オークション &gt; ファッション &gt; ブランド別 &gt; え &gt; LRG</t>
  </si>
  <si>
    <t>ヴェルファイアハイブリッド</t>
  </si>
  <si>
    <t>オークション &gt; 自動車、オートバイ &gt; 中古車・新車 &gt; トヨタ &gt; ヴェルファイアハイブリッド</t>
  </si>
  <si>
    <t>モンベル</t>
  </si>
  <si>
    <t>オークション &gt; スポーツ、レジャー &gt; キャンプ、アウトドア用品 &gt; 雨具、レインウエア &gt; モンベル</t>
  </si>
  <si>
    <t>エリオポール</t>
  </si>
  <si>
    <t>ヴェロッサ</t>
  </si>
  <si>
    <t>オークション &gt; ファッション &gt; ブランド別 &gt; え &gt; エリオポール</t>
  </si>
  <si>
    <t>オークション &gt; 自動車、オートバイ &gt; 中古車・新車 &gt; トヨタ &gt; ヴェロッサ</t>
  </si>
  <si>
    <t>ロゴス</t>
  </si>
  <si>
    <t>オークション &gt; スポーツ、レジャー &gt; キャンプ、アウトドア用品 &gt; 雨具、レインウエア &gt; ロゴス</t>
  </si>
  <si>
    <t>エル</t>
  </si>
  <si>
    <t>ヴォクシー</t>
  </si>
  <si>
    <t>オークション &gt; ファッション &gt; ブランド別 &gt; え &gt; エル</t>
  </si>
  <si>
    <t>オークション &gt; 自動車、オートバイ &gt; 中古車・新車 &gt; トヨタ &gt; ヴォクシー</t>
  </si>
  <si>
    <t>オークション &gt; スポーツ、レジャー &gt; キャンプ、アウトドア用品 &gt; 雨具、レインウエア &gt; その他</t>
  </si>
  <si>
    <t>ヴォルツ</t>
  </si>
  <si>
    <t>エルベシャプリエ</t>
  </si>
  <si>
    <t>オークション &gt; 自動車、オートバイ &gt; 中古車・新車 &gt; トヨタ &gt; ヴォルツ</t>
  </si>
  <si>
    <t>オークション &gt; ファッション &gt; ブランド別 &gt; え &gt; エルベシャプリエ</t>
  </si>
  <si>
    <t>オークション &gt; スポーツ、レジャー &gt; キャンプ、アウトドア用品 &gt; 靴 &gt; トレッキングシューズ</t>
  </si>
  <si>
    <t>米国トヨタ</t>
  </si>
  <si>
    <t>オークション &gt; 自動車、オートバイ &gt; 中古車・新車 &gt; トヨタ &gt; 米国トヨタ</t>
  </si>
  <si>
    <t>エルメス</t>
  </si>
  <si>
    <t>アウトドアサンダル</t>
  </si>
  <si>
    <t>オークション &gt; ファッション &gt; ブランド別 &gt; え &gt; エルメス</t>
  </si>
  <si>
    <t>オークション &gt; スポーツ、レジャー &gt; キャンプ、アウトドア用品 &gt; 靴 &gt; アウトドアサンダル</t>
  </si>
  <si>
    <t>オークション &gt; 自動車、オートバイ &gt; 中古車・新車 &gt; トヨタ &gt; その他</t>
  </si>
  <si>
    <t>エルメネジルド ゼニア</t>
  </si>
  <si>
    <t>オークション &gt; ファッション &gt; ブランド別 &gt; え &gt; エルメネジルド ゼニア</t>
  </si>
  <si>
    <t>オークション &gt; スポーツ、レジャー &gt; キャンプ、アウトドア用品 &gt; 靴 &gt; ウォーキングシューズ</t>
  </si>
  <si>
    <t>CT</t>
  </si>
  <si>
    <t>エンジェルブルー</t>
  </si>
  <si>
    <t>オークション &gt; 自動車、オートバイ &gt; 中古車・新車 &gt; レクサス &gt; CT</t>
  </si>
  <si>
    <t>オークション &gt; ファッション &gt; ブランド別 &gt; え &gt; エンジェルブルー</t>
  </si>
  <si>
    <t>アイゼン</t>
  </si>
  <si>
    <t>オークション &gt; スポーツ、レジャー &gt; キャンプ、アウトドア用品 &gt; 靴 &gt; アイゼン</t>
  </si>
  <si>
    <t>エンジニアド ガーメンツ</t>
  </si>
  <si>
    <t>GS</t>
  </si>
  <si>
    <t>オークション &gt; ファッション &gt; ブランド別 &gt; え &gt; エンジニアド ガーメンツ</t>
  </si>
  <si>
    <t>オークション &gt; 自動車、オートバイ &gt; 中古車・新車 &gt; レクサス &gt; GS</t>
  </si>
  <si>
    <t>スノーシュー、かんじき</t>
  </si>
  <si>
    <t>オークション &gt; スポーツ、レジャー &gt; キャンプ、アウトドア用品 &gt; 靴 &gt; スノーシュー、かんじき</t>
  </si>
  <si>
    <t>エンポリオ アルマーニ</t>
  </si>
  <si>
    <t>オークション &gt; ファッション &gt; ブランド別 &gt; え &gt; エンポリオ アルマーニ</t>
  </si>
  <si>
    <t>HS</t>
  </si>
  <si>
    <t>オークション &gt; 自動車、オートバイ &gt; 中古車・新車 &gt; レクサス &gt; HS</t>
  </si>
  <si>
    <t>スノーブーツ</t>
  </si>
  <si>
    <t>エンリーベグリン</t>
  </si>
  <si>
    <t>オークション &gt; スポーツ、レジャー &gt; キャンプ、アウトドア用品 &gt; 靴 &gt; スノーブーツ</t>
  </si>
  <si>
    <t>オークション &gt; ファッション &gt; ブランド別 &gt; え &gt; エンリーベグリン</t>
  </si>
  <si>
    <t>IS</t>
  </si>
  <si>
    <t>オークション &gt; 自動車、オートバイ &gt; 中古車・新車 &gt; レクサス &gt; IS</t>
  </si>
  <si>
    <t>オークション &gt; ファッション &gt; ブランド別 &gt; え &gt; その他</t>
  </si>
  <si>
    <t>IS F</t>
  </si>
  <si>
    <t>オークション &gt; スポーツ、レジャー &gt; キャンプ、アウトドア用品 &gt; 靴 &gt; その他</t>
  </si>
  <si>
    <t>オークション &gt; 自動車、オートバイ &gt; 中古車・新車 &gt; レクサス &gt; IS F</t>
  </si>
  <si>
    <t>オークション &gt; スポーツ、レジャー &gt; キャンプ、アウトドア用品 &gt; バックパック、かばん &gt; ブランド別</t>
  </si>
  <si>
    <t>ISコンバーチブル</t>
  </si>
  <si>
    <t>オークリー</t>
  </si>
  <si>
    <t>オークション &gt; 自動車、オートバイ &gt; 中古車・新車 &gt; レクサス &gt; ISコンバーチブル</t>
  </si>
  <si>
    <t>オークション &gt; ファッション &gt; ブランド別 &gt; お &gt; オークリー</t>
  </si>
  <si>
    <t>LFA</t>
  </si>
  <si>
    <t>オークション &gt; 自動車、オートバイ &gt; 中古車・新車 &gt; レクサス &gt; LFA</t>
  </si>
  <si>
    <t>オークション &gt; スポーツ、レジャー &gt; キャンプ、アウトドア用品 &gt; バックパック、かばん &gt; リュックサック</t>
  </si>
  <si>
    <t>LS</t>
  </si>
  <si>
    <t>オークション &gt; 自動車、オートバイ &gt; 中古車・新車 &gt; レクサス &gt; LS</t>
  </si>
  <si>
    <t>オシュコシュ</t>
  </si>
  <si>
    <t>オークション &gt; ファッション &gt; ブランド別 &gt; お &gt; オシュコシュ</t>
  </si>
  <si>
    <t>ウエストバッグ</t>
  </si>
  <si>
    <t>RX</t>
  </si>
  <si>
    <t>オークション &gt; スポーツ、レジャー &gt; キャンプ、アウトドア用品 &gt; バックパック、かばん &gt; ウエストバッグ</t>
  </si>
  <si>
    <t>オークション &gt; 自動車、オートバイ &gt; 中古車・新車 &gt; レクサス &gt; RX</t>
  </si>
  <si>
    <t>オズモーシス</t>
  </si>
  <si>
    <t>オークション &gt; ファッション &gt; ブランド別 &gt; お &gt; オズモーシス</t>
  </si>
  <si>
    <t>RXハイブリッド</t>
  </si>
  <si>
    <t>ショルダーバッグ</t>
  </si>
  <si>
    <t>オークション &gt; 自動車、オートバイ &gt; 中古車・新車 &gt; レクサス &gt; RXハイブリッド</t>
  </si>
  <si>
    <t>オークション &gt; スポーツ、レジャー &gt; キャンプ、アウトドア用品 &gt; バックパック、かばん &gt; ショルダーバッグ</t>
  </si>
  <si>
    <t>オゾック</t>
  </si>
  <si>
    <t>SC</t>
  </si>
  <si>
    <t>オークション &gt; ファッション &gt; ブランド別 &gt; お &gt; オゾック</t>
  </si>
  <si>
    <t>オークション &gt; 自動車、オートバイ &gt; 中古車・新車 &gt; レクサス &gt; SC</t>
  </si>
  <si>
    <t>メッセンジャーバッグ</t>
  </si>
  <si>
    <t>オークション &gt; スポーツ、レジャー &gt; キャンプ、アウトドア用品 &gt; バックパック、かばん &gt; メッセンジャーバッグ</t>
  </si>
  <si>
    <t>オゾンコミュニティー</t>
  </si>
  <si>
    <t>オークション &gt; ファッション &gt; ブランド別 &gt; お &gt; オゾンコミュニティー</t>
  </si>
  <si>
    <t>オークション &gt; 自動車、オートバイ &gt; 中古車・新車 &gt; レクサス &gt; その他</t>
  </si>
  <si>
    <t>ダッフルバッグ、ボストンバッグ</t>
  </si>
  <si>
    <t>オークション &gt; スポーツ、レジャー &gt; キャンプ、アウトドア用品 &gt; バックパック、かばん &gt; ダッフルバッグ、ボストンバッグ</t>
  </si>
  <si>
    <t>オーバーランド</t>
  </si>
  <si>
    <t>オークション &gt; ファッション &gt; ブランド別 &gt; お &gt; オーバーランド</t>
  </si>
  <si>
    <t>117クーペ</t>
  </si>
  <si>
    <t>キャリーバッグ</t>
  </si>
  <si>
    <t>オークション &gt; 自動車、オートバイ &gt; 中古車・新車 &gt; いすゞ &gt; 117クーペ</t>
  </si>
  <si>
    <t>オークション &gt; スポーツ、レジャー &gt; キャンプ、アウトドア用品 &gt; バックパック、かばん &gt; キャリーバッグ</t>
  </si>
  <si>
    <t>オールデン</t>
  </si>
  <si>
    <t>オークション &gt; ファッション &gt; ブランド別 &gt; お &gt; オールデン</t>
  </si>
  <si>
    <t>ウイザード</t>
  </si>
  <si>
    <t>オークション &gt; 自動車、オートバイ &gt; 中古車・新車 &gt; いすゞ &gt; ウイザード</t>
  </si>
  <si>
    <t>背負子</t>
  </si>
  <si>
    <t>オークション &gt; スポーツ、レジャー &gt; キャンプ、アウトドア用品 &gt; バックパック、かばん &gt; 背負子</t>
  </si>
  <si>
    <t>オールドイングランド</t>
  </si>
  <si>
    <t>オークション &gt; ファッション &gt; ブランド別 &gt; お &gt; オールドイングランド</t>
  </si>
  <si>
    <t>エルフ</t>
  </si>
  <si>
    <t>オークション &gt; 自動車、オートバイ &gt; 中古車・新車 &gt; いすゞ &gt; エルフ</t>
  </si>
  <si>
    <t>オークション &gt; スポーツ、レジャー &gt; キャンプ、アウトドア用品 &gt; バックパック、かばん &gt; トートバッグ</t>
  </si>
  <si>
    <t>オールドネイビー</t>
  </si>
  <si>
    <t>オークション &gt; ファッション &gt; ブランド別 &gt; お &gt; オールドネイビー</t>
  </si>
  <si>
    <t>ジェミニ</t>
  </si>
  <si>
    <t>オークション &gt; 自動車、オートバイ &gt; 中古車・新車 &gt; いすゞ &gt; ジェミニ</t>
  </si>
  <si>
    <t>オークション &gt; スポーツ、レジャー &gt; キャンプ、アウトドア用品 &gt; バックパック、かばん &gt; バスケット</t>
  </si>
  <si>
    <t>オリーブ デ オリーブ</t>
  </si>
  <si>
    <t>オークション &gt; ファッション &gt; ブランド別 &gt; お &gt; オリーブ デ オリーブ</t>
  </si>
  <si>
    <t>ビークロス</t>
  </si>
  <si>
    <t>オークション &gt; スポーツ、レジャー &gt; キャンプ、アウトドア用品 &gt; バックパック、かばん &gt; その他</t>
  </si>
  <si>
    <t>オークション &gt; 自動車、オートバイ &gt; 中古車・新車 &gt; いすゞ &gt; ビークロス</t>
  </si>
  <si>
    <t>オロビアンコ</t>
  </si>
  <si>
    <t>オークション &gt; ファッション &gt; ブランド別 &gt; お &gt; オロビアンコ</t>
  </si>
  <si>
    <t>オークション &gt; スポーツ、レジャー &gt; キャンプ、アウトドア用品 &gt; テント、タープ &gt; タープ</t>
  </si>
  <si>
    <t>ビッグホーン</t>
  </si>
  <si>
    <t>オークション &gt; 自動車、オートバイ &gt; 中古車・新車 &gt; いすゞ &gt; ビッグホーン</t>
  </si>
  <si>
    <t>オークション &gt; ファッション &gt; ブランド別 &gt; お &gt; その他</t>
  </si>
  <si>
    <t>テント</t>
  </si>
  <si>
    <t>オークション &gt; スポーツ、レジャー &gt; キャンプ、アウトドア用品 &gt; テント、タープ &gt; テント</t>
  </si>
  <si>
    <t>ピアッツァ</t>
  </si>
  <si>
    <t>オークション &gt; 自動車、オートバイ &gt; 中古車・新車 &gt; いすゞ &gt; ピアッツァ</t>
  </si>
  <si>
    <t>Kaon</t>
  </si>
  <si>
    <t>オークション &gt; ファッション &gt; ブランド別 &gt; か &gt; Kaon</t>
  </si>
  <si>
    <t>ペグ</t>
  </si>
  <si>
    <t>フォワード</t>
  </si>
  <si>
    <t>オークション &gt; スポーツ、レジャー &gt; キャンプ、アウトドア用品 &gt; テント、タープ &gt; ペグ</t>
  </si>
  <si>
    <t>オークション &gt; 自動車、オートバイ &gt; 中古車・新車 &gt; いすゞ &gt; フォワード</t>
  </si>
  <si>
    <t>CA4LA</t>
  </si>
  <si>
    <t>オークション &gt; ファッション &gt; ブランド別 &gt; か &gt; CA4LA</t>
  </si>
  <si>
    <t>ペグハンマー</t>
  </si>
  <si>
    <t>オークション &gt; スポーツ、レジャー &gt; キャンプ、アウトドア用品 &gt; テント、タープ &gt; ペグハンマー</t>
  </si>
  <si>
    <t>ミュー</t>
  </si>
  <si>
    <t>カステルバジャック</t>
  </si>
  <si>
    <t>オークション &gt; 自動車、オートバイ &gt; 中古車・新車 &gt; いすゞ &gt; ミュー</t>
  </si>
  <si>
    <t>オークション &gt; ファッション &gt; ブランド別 &gt; か &gt; カステルバジャック</t>
  </si>
  <si>
    <t>ポール</t>
  </si>
  <si>
    <t>KATO`</t>
  </si>
  <si>
    <t>オークション &gt; スポーツ、レジャー &gt; キャンプ、アウトドア用品 &gt; テント、タープ &gt; ポール</t>
  </si>
  <si>
    <t>オークション &gt; 自動車、オートバイ &gt; 中古車・新車 &gt; いすゞ &gt; その他</t>
  </si>
  <si>
    <t>オークション &gt; ファッション &gt; ブランド別 &gt; か &gt; KATO`</t>
  </si>
  <si>
    <t>ロープ</t>
  </si>
  <si>
    <t>ガッチャ</t>
  </si>
  <si>
    <t>オークション &gt; スポーツ、レジャー &gt; キャンプ、アウトドア用品 &gt; テント、タープ &gt; ロープ</t>
  </si>
  <si>
    <t>Kei</t>
  </si>
  <si>
    <t>オークション &gt; ファッション &gt; ブランド別 &gt; か &gt; ガッチャ</t>
  </si>
  <si>
    <t>オークション &gt; 自動車、オートバイ &gt; 中古車・新車 &gt; スズキ &gt; Kei</t>
  </si>
  <si>
    <t>カナダグース</t>
  </si>
  <si>
    <t>オークション &gt; スポーツ、レジャー &gt; キャンプ、アウトドア用品 &gt; テント、タープ &gt; その他</t>
  </si>
  <si>
    <t>MRワゴン</t>
  </si>
  <si>
    <t>オークション &gt; ファッション &gt; ブランド別 &gt; か &gt; カナダグース</t>
  </si>
  <si>
    <t>オークション &gt; 自動車、オートバイ &gt; 中古車・新車 &gt; スズキ &gt; MRワゴン</t>
  </si>
  <si>
    <t>カネコイサオ</t>
  </si>
  <si>
    <t>SX4</t>
  </si>
  <si>
    <t>オークション &gt; ファッション &gt; ブランド別 &gt; か &gt; カネコイサオ</t>
  </si>
  <si>
    <t>オークション &gt; スポーツ、レジャー &gt; キャンプ、アウトドア用品 &gt; ライト、ランタン &gt; ハンディライト、懐中電灯</t>
  </si>
  <si>
    <t>オークション &gt; 自動車、オートバイ &gt; 中古車・新車 &gt; スズキ &gt; SX4</t>
  </si>
  <si>
    <t>KAVU</t>
  </si>
  <si>
    <t>X-90</t>
  </si>
  <si>
    <t>ヘッドランプ</t>
  </si>
  <si>
    <t>オークション &gt; ファッション &gt; ブランド別 &gt; か &gt; KAVU</t>
  </si>
  <si>
    <t>オークション &gt; 自動車、オートバイ &gt; 中古車・新車 &gt; スズキ &gt; X-90</t>
  </si>
  <si>
    <t>オークション &gt; スポーツ、レジャー &gt; キャンプ、アウトドア用品 &gt; ライト、ランタン &gt; ヘッドランプ</t>
  </si>
  <si>
    <t>ランタン</t>
  </si>
  <si>
    <t>アルト</t>
  </si>
  <si>
    <t>カーハート</t>
  </si>
  <si>
    <t>オークション &gt; スポーツ、レジャー &gt; キャンプ、アウトドア用品 &gt; ライト、ランタン &gt; ランタン</t>
  </si>
  <si>
    <t>オークション &gt; 自動車、オートバイ &gt; 中古車・新車 &gt; スズキ &gt; アルト</t>
  </si>
  <si>
    <t>オークション &gt; ファッション &gt; ブランド別 &gt; か &gt; カーハート</t>
  </si>
  <si>
    <t>アルトラパン</t>
  </si>
  <si>
    <t>カバン･ド･ズッカ</t>
  </si>
  <si>
    <t>オークション &gt; スポーツ、レジャー &gt; キャンプ、アウトドア用品 &gt; ライト、ランタン &gt; その他</t>
  </si>
  <si>
    <t>オークション &gt; ファッション &gt; ブランド別 &gt; か &gt; カバン･ド･ズッカ</t>
  </si>
  <si>
    <t>オークション &gt; 自動車、オートバイ &gt; 中古車・新車 &gt; スズキ &gt; アルトラパン</t>
  </si>
  <si>
    <t>コット</t>
  </si>
  <si>
    <t>アルトワークス</t>
  </si>
  <si>
    <t>カパルア</t>
  </si>
  <si>
    <t>オークション &gt; スポーツ、レジャー &gt; キャンプ、アウトドア用品 &gt; 寝袋、寝具 &gt; コット</t>
  </si>
  <si>
    <t>オークション &gt; 自動車、オートバイ &gt; 中古車・新車 &gt; スズキ &gt; アルトワークス</t>
  </si>
  <si>
    <t>オークション &gt; ファッション &gt; ブランド別 &gt; か &gt; カパルア</t>
  </si>
  <si>
    <t>ハンモック</t>
  </si>
  <si>
    <t>kolor</t>
  </si>
  <si>
    <t>オークション &gt; スポーツ、レジャー &gt; キャンプ、アウトドア用品 &gt; 寝袋、寝具 &gt; ハンモック</t>
  </si>
  <si>
    <t>エスクード</t>
  </si>
  <si>
    <t>オークション &gt; ファッション &gt; ブランド別 &gt; か &gt; kolor</t>
  </si>
  <si>
    <t>オークション &gt; 自動車、オートバイ &gt; 中古車・新車 &gt; スズキ &gt; エスクード</t>
  </si>
  <si>
    <t>ブランケット</t>
  </si>
  <si>
    <t>カールヘルム</t>
  </si>
  <si>
    <t>オークション &gt; スポーツ、レジャー &gt; キャンプ、アウトドア用品 &gt; 寝袋、寝具 &gt; ブランケット</t>
  </si>
  <si>
    <t>オークション &gt; ファッション &gt; ブランド別 &gt; か &gt; カールヘルム</t>
  </si>
  <si>
    <t>エブリィ＋(プラス)</t>
  </si>
  <si>
    <t>ベッド</t>
  </si>
  <si>
    <t>カリアング</t>
  </si>
  <si>
    <t>オークション &gt; 自動車、オートバイ &gt; 中古車・新車 &gt; スズキ &gt; エブリィ＋(プラス)</t>
  </si>
  <si>
    <t>オークション &gt; ファッション &gt; ブランド別 &gt; か &gt; カリアング</t>
  </si>
  <si>
    <t>オークション &gt; スポーツ、レジャー &gt; キャンプ、アウトドア用品 &gt; 寝袋、寝具 &gt; ベッド</t>
  </si>
  <si>
    <t>カリマー</t>
  </si>
  <si>
    <t>オークション &gt; ファッション &gt; ブランド別 &gt; か &gt; カリマー</t>
  </si>
  <si>
    <t>エブリィランディ</t>
  </si>
  <si>
    <t>オークション &gt; 自動車、オートバイ &gt; 中古車・新車 &gt; スズキ &gt; エブリィランディ</t>
  </si>
  <si>
    <t>オークション &gt; スポーツ、レジャー &gt; キャンプ、アウトドア用品 &gt; 寝袋、寝具 &gt; マット</t>
  </si>
  <si>
    <t>カルティエ</t>
  </si>
  <si>
    <t>オークション &gt; ファッション &gt; ブランド別 &gt; か &gt; カルティエ</t>
  </si>
  <si>
    <t>エブリイ</t>
  </si>
  <si>
    <t>オークション &gt; 自動車、オートバイ &gt; 中古車・新車 &gt; スズキ &gt; エブリイ</t>
  </si>
  <si>
    <t>封筒型シュラフ</t>
  </si>
  <si>
    <t>カルバン･クライン</t>
  </si>
  <si>
    <t>オークション &gt; ファッション &gt; ブランド別 &gt; か &gt; カルバン･クライン</t>
  </si>
  <si>
    <t>オークション &gt; スポーツ、レジャー &gt; キャンプ、アウトドア用品 &gt; 寝袋、寝具 &gt; 封筒型シュラフ</t>
  </si>
  <si>
    <t>エブリイワゴン</t>
  </si>
  <si>
    <t>オークション &gt; 自動車、オートバイ &gt; 中古車・新車 &gt; スズキ &gt; エブリイワゴン</t>
  </si>
  <si>
    <t>カルペディエム</t>
  </si>
  <si>
    <t>オークション &gt; ファッション &gt; ブランド別 &gt; か &gt; カルペディエム</t>
  </si>
  <si>
    <t>マミー型シュラフ</t>
  </si>
  <si>
    <t>エリオ</t>
  </si>
  <si>
    <t>オークション &gt; 自動車、オートバイ &gt; 中古車・新車 &gt; スズキ &gt; エリオ</t>
  </si>
  <si>
    <t>ガルシアマルケス、クリスタルボール</t>
  </si>
  <si>
    <t>オークション &gt; スポーツ、レジャー &gt; キャンプ、アウトドア用品 &gt; 寝袋、寝具 &gt; マミー型シュラフ</t>
  </si>
  <si>
    <t>オークション &gt; ファッション &gt; ブランド別 &gt; か &gt; ガルシアマルケス、クリスタルボール</t>
  </si>
  <si>
    <t>カプチーノ</t>
  </si>
  <si>
    <t>オークション &gt; 自動車、オートバイ &gt; 中古車・新車 &gt; スズキ &gt; カプチーノ</t>
  </si>
  <si>
    <t>カーリーコレクション</t>
  </si>
  <si>
    <t>オークション &gt; ファッション &gt; ブランド別 &gt; か &gt; カーリーコレクション</t>
  </si>
  <si>
    <t>オークション &gt; スポーツ、レジャー &gt; キャンプ、アウトドア用品 &gt; 寝袋、寝具 &gt; その他</t>
  </si>
  <si>
    <t>カルタス</t>
  </si>
  <si>
    <t>カンゴール</t>
  </si>
  <si>
    <t>オークション &gt; 自動車、オートバイ &gt; 中古車・新車 &gt; スズキ &gt; カルタス</t>
  </si>
  <si>
    <t>オークション &gt; ファッション &gt; ブランド別 &gt; か &gt; カンゴール</t>
  </si>
  <si>
    <t>オークション &gt; スポーツ、レジャー &gt; キャンプ、アウトドア用品 &gt; テーブル、チェア &gt; チェア</t>
  </si>
  <si>
    <t>カンペール</t>
  </si>
  <si>
    <t>オークション &gt; ファッション &gt; ブランド別 &gt; か &gt; カンペール</t>
  </si>
  <si>
    <t>キザシ</t>
  </si>
  <si>
    <t>オークション &gt; 自動車、オートバイ &gt; 中古車・新車 &gt; スズキ &gt; キザシ</t>
  </si>
  <si>
    <t>オークション &gt; ファッション &gt; ブランド別 &gt; か &gt; その他</t>
  </si>
  <si>
    <t>キャリイ</t>
  </si>
  <si>
    <t>オークション &gt; スポーツ、レジャー &gt; キャンプ、アウトドア用品 &gt; テーブル、チェア &gt; テーブル</t>
  </si>
  <si>
    <t>オークション &gt; 自動車、オートバイ &gt; 中古車・新車 &gt; スズキ &gt; キャリイ</t>
  </si>
  <si>
    <t>キプリング</t>
  </si>
  <si>
    <t>テーブル・チェアセット</t>
  </si>
  <si>
    <t>オークション &gt; ファッション &gt; ブランド別 &gt; き &gt; キプリング</t>
  </si>
  <si>
    <t>グランドエスクード</t>
  </si>
  <si>
    <t>オークション &gt; スポーツ、レジャー &gt; キャンプ、アウトドア用品 &gt; テーブル、チェア &gt; テーブル・チェアセット</t>
  </si>
  <si>
    <t>オークション &gt; 自動車、オートバイ &gt; 中古車・新車 &gt; スズキ &gt; グランドエスクード</t>
  </si>
  <si>
    <t>XOXO</t>
  </si>
  <si>
    <t>オークション &gt; ファッション &gt; ブランド別 &gt; き &gt; XOXO</t>
  </si>
  <si>
    <t>BBQグリル</t>
  </si>
  <si>
    <t>オークション &gt; スポーツ、レジャー &gt; キャンプ、アウトドア用品 &gt; ストーブ、コンロ &gt; BBQグリル</t>
  </si>
  <si>
    <t>ジムニー</t>
  </si>
  <si>
    <t>オークション &gt; 自動車、オートバイ &gt; 中古車・新車 &gt; スズキ &gt; ジムニー</t>
  </si>
  <si>
    <t>キタムラ</t>
  </si>
  <si>
    <t>オークション &gt; ファッション &gt; ブランド別 &gt; き &gt; キタムラ</t>
  </si>
  <si>
    <t>シングルバーナー</t>
  </si>
  <si>
    <t>オークション &gt; スポーツ、レジャー &gt; キャンプ、アウトドア用品 &gt; ストーブ、コンロ &gt; シングルバーナー</t>
  </si>
  <si>
    <t>ジムニー1300</t>
  </si>
  <si>
    <t>キットソン</t>
  </si>
  <si>
    <t>オークション &gt; 自動車、オートバイ &gt; 中古車・新車 &gt; スズキ &gt; ジムニー1300</t>
  </si>
  <si>
    <t>オークション &gt; ファッション &gt; ブランド別 &gt; き &gt; キットソン</t>
  </si>
  <si>
    <t>スモーカー</t>
  </si>
  <si>
    <t>オークション &gt; スポーツ、レジャー &gt; キャンプ、アウトドア用品 &gt; ストーブ、コンロ &gt; スモーカー</t>
  </si>
  <si>
    <t>ジムニーシエラ</t>
  </si>
  <si>
    <t>オークション &gt; 自動車、オートバイ &gt; 中古車・新車 &gt; スズキ &gt; ジムニーシエラ</t>
  </si>
  <si>
    <t>cantwo</t>
  </si>
  <si>
    <t>オークション &gt; ファッション &gt; ブランド別 &gt; き &gt; cantwo</t>
  </si>
  <si>
    <t>ツーバーナー</t>
  </si>
  <si>
    <t>オークション &gt; スポーツ、レジャー &gt; キャンプ、アウトドア用品 &gt; ストーブ、コンロ &gt; ツーバーナー</t>
  </si>
  <si>
    <t>ジムニーワイド</t>
  </si>
  <si>
    <t>オークション &gt; 自動車、オートバイ &gt; 中古車・新車 &gt; スズキ &gt; ジムニーワイド</t>
  </si>
  <si>
    <t>キャサリン・ハムネット</t>
  </si>
  <si>
    <t>オークション &gt; ファッション &gt; ブランド別 &gt; き &gt; キャサリン・ハムネット</t>
  </si>
  <si>
    <t>トーチ</t>
  </si>
  <si>
    <t>オークション &gt; スポーツ、レジャー &gt; キャンプ、アウトドア用品 &gt; ストーブ、コンロ &gt; トーチ</t>
  </si>
  <si>
    <t>スイフト</t>
  </si>
  <si>
    <t>オークション &gt; 自動車、オートバイ &gt; 中古車・新車 &gt; スズキ &gt; スイフト</t>
  </si>
  <si>
    <t>キャシャレル</t>
  </si>
  <si>
    <t>オークション &gt; ファッション &gt; ブランド別 &gt; き &gt; キャシャレル</t>
  </si>
  <si>
    <t>七輪</t>
  </si>
  <si>
    <t>オークション &gt; スポーツ、レジャー &gt; キャンプ、アウトドア用品 &gt; ストーブ、コンロ &gt; 七輪</t>
  </si>
  <si>
    <t>スプラッシュ</t>
  </si>
  <si>
    <t>オークション &gt; 自動車、オートバイ &gt; 中古車・新車 &gt; スズキ &gt; スプラッシュ</t>
  </si>
  <si>
    <t>キャス・キッドソン</t>
  </si>
  <si>
    <t>オークション &gt; ファッション &gt; ブランド別 &gt; き &gt; キャス・キッドソン</t>
  </si>
  <si>
    <t>焚き火台</t>
  </si>
  <si>
    <t>スペーシア</t>
  </si>
  <si>
    <t>オークション &gt; スポーツ、レジャー &gt; キャンプ、アウトドア用品 &gt; ストーブ、コンロ &gt; 焚き火台</t>
  </si>
  <si>
    <t>オークション &gt; 自動車、オートバイ &gt; 中古車・新車 &gt; スズキ &gt; スペーシア</t>
  </si>
  <si>
    <t>キャピタル</t>
  </si>
  <si>
    <t>オークション &gt; ファッション &gt; ブランド別 &gt; き &gt; キャピタル</t>
  </si>
  <si>
    <t>スペーシアカスタム</t>
  </si>
  <si>
    <t>オークション &gt; 自動車、オートバイ &gt; 中古車・新車 &gt; スズキ &gt; スペーシアカスタム</t>
  </si>
  <si>
    <t>燃料</t>
  </si>
  <si>
    <t>キャプテンサンタ</t>
  </si>
  <si>
    <t>オークション &gt; スポーツ、レジャー &gt; キャンプ、アウトドア用品 &gt; ストーブ、コンロ &gt; 燃料</t>
  </si>
  <si>
    <t>オークション &gt; ファッション &gt; ブランド別 &gt; き &gt; キャプテンサンタ</t>
  </si>
  <si>
    <t>セルボ</t>
  </si>
  <si>
    <t>ギャップ</t>
  </si>
  <si>
    <t>オークション &gt; スポーツ、レジャー &gt; キャンプ、アウトドア用品 &gt; ストーブ、コンロ &gt; その他</t>
  </si>
  <si>
    <t>オークション &gt; 自動車、オートバイ &gt; 中古車・新車 &gt; スズキ &gt; セルボ</t>
  </si>
  <si>
    <t>オークション &gt; ファッション &gt; ブランド別 &gt; き &gt; ギャップ</t>
  </si>
  <si>
    <t>ギャミヌリィ</t>
  </si>
  <si>
    <t>オークション &gt; ファッション &gt; ブランド別 &gt; き &gt; ギャミヌリィ</t>
  </si>
  <si>
    <t>クッカー</t>
  </si>
  <si>
    <t>セルボモード</t>
  </si>
  <si>
    <t>オークション &gt; スポーツ、レジャー &gt; キャンプ、アウトドア用品 &gt; 調理器具 &gt; クッカー</t>
  </si>
  <si>
    <t>オークション &gt; 自動車、オートバイ &gt; 中古車・新車 &gt; スズキ &gt; セルボモード</t>
  </si>
  <si>
    <t>ギャルリーヴィー</t>
  </si>
  <si>
    <t>オークション &gt; ファッション &gt; ブランド別 &gt; き &gt; ギャルリーヴィー</t>
  </si>
  <si>
    <t>ソリオ</t>
  </si>
  <si>
    <t>オークション &gt; 自動車、オートバイ &gt; 中古車・新車 &gt; スズキ &gt; ソリオ</t>
  </si>
  <si>
    <t>オークション &gt; スポーツ、レジャー &gt; キャンプ、アウトドア用品 &gt; 調理器具 &gt; スモーカー</t>
  </si>
  <si>
    <t>ギルフィー</t>
  </si>
  <si>
    <t>オークション &gt; ファッション &gt; ブランド別 &gt; き &gt; ギルフィー</t>
  </si>
  <si>
    <t>ツイン</t>
  </si>
  <si>
    <t>ダッチオーブン</t>
  </si>
  <si>
    <t>オークション &gt; スポーツ、レジャー &gt; キャンプ、アウトドア用品 &gt; 調理器具 &gt; ダッチオーブン</t>
  </si>
  <si>
    <t>オークション &gt; 自動車、オートバイ &gt; 中古車・新車 &gt; スズキ &gt; ツイン</t>
  </si>
  <si>
    <t>KEEN</t>
  </si>
  <si>
    <t>トライポッド</t>
  </si>
  <si>
    <t>オークション &gt; ファッション &gt; ブランド別 &gt; き &gt; KEEN</t>
  </si>
  <si>
    <t>オークション &gt; スポーツ、レジャー &gt; キャンプ、アウトドア用品 &gt; 調理器具 &gt; トライポッド</t>
  </si>
  <si>
    <t>ハスラー</t>
  </si>
  <si>
    <t>オークション &gt; 自動車、オートバイ &gt; 中古車・新車 &gt; スズキ &gt; ハスラー</t>
  </si>
  <si>
    <t>キツネ</t>
  </si>
  <si>
    <t>オークション &gt; ファッション &gt; ブランド別 &gt; き &gt; キツネ</t>
  </si>
  <si>
    <t>焼き網、グリドル</t>
  </si>
  <si>
    <t>パレット</t>
  </si>
  <si>
    <t>オークション &gt; スポーツ、レジャー &gt; キャンプ、アウトドア用品 &gt; 調理器具 &gt; 焼き網、グリドル</t>
  </si>
  <si>
    <t>銀座かねまつ</t>
  </si>
  <si>
    <t>オークション &gt; 自動車、オートバイ &gt; 中古車・新車 &gt; スズキ &gt; パレット</t>
  </si>
  <si>
    <t>オークション &gt; ファッション &gt; ブランド別 &gt; き &gt; 銀座かねまつ</t>
  </si>
  <si>
    <t>鉄板</t>
  </si>
  <si>
    <t>パレットSW</t>
  </si>
  <si>
    <t>オークション &gt; スポーツ、レジャー &gt; キャンプ、アウトドア用品 &gt; 調理器具 &gt; 鉄板</t>
  </si>
  <si>
    <t>オークション &gt; 自動車、オートバイ &gt; 中古車・新車 &gt; スズキ &gt; パレットSW</t>
  </si>
  <si>
    <t>オークション &gt; ファッション &gt; ブランド別 &gt; き &gt; その他</t>
  </si>
  <si>
    <t>フロンテ</t>
  </si>
  <si>
    <t>オークション &gt; スポーツ、レジャー &gt; キャンプ、アウトドア用品 &gt; 調理器具 &gt; その他</t>
  </si>
  <si>
    <t>クイーンズコート</t>
  </si>
  <si>
    <t>オークション &gt; 自動車、オートバイ &gt; 中古車・新車 &gt; スズキ &gt; フロンテ</t>
  </si>
  <si>
    <t>オークション &gt; ファッション &gt; ブランド別 &gt; く &gt; クイーンズコート</t>
  </si>
  <si>
    <t>LPガス</t>
  </si>
  <si>
    <t>マイティボーイ</t>
  </si>
  <si>
    <t>オークション &gt; スポーツ、レジャー &gt; キャンプ、アウトドア用品 &gt; 燃料 &gt; LPガス</t>
  </si>
  <si>
    <t>クーカイ</t>
  </si>
  <si>
    <t>オークション &gt; 自動車、オートバイ &gt; 中古車・新車 &gt; スズキ &gt; マイティボーイ</t>
  </si>
  <si>
    <t>オークション &gt; ファッション &gt; ブランド別 &gt; く &gt; クーカイ</t>
  </si>
  <si>
    <t>カセットガス</t>
  </si>
  <si>
    <t>ランディ</t>
  </si>
  <si>
    <t>オークション &gt; スポーツ、レジャー &gt; キャンプ、アウトドア用品 &gt; 燃料 &gt; カセットガス</t>
  </si>
  <si>
    <t>クードシャンス</t>
  </si>
  <si>
    <t>オークション &gt; 自動車、オートバイ &gt; 中古車・新車 &gt; スズキ &gt; ランディ</t>
  </si>
  <si>
    <t>オークション &gt; ファッション &gt; ブランド別 &gt; く &gt; クードシャンス</t>
  </si>
  <si>
    <t>スモークウッド</t>
  </si>
  <si>
    <t>オークション &gt; スポーツ、レジャー &gt; キャンプ、アウトドア用品 &gt; 燃料 &gt; スモークウッド</t>
  </si>
  <si>
    <t>クッシュマン</t>
  </si>
  <si>
    <t>オークション &gt; ファッション &gt; ブランド別 &gt; く &gt; クッシュマン</t>
  </si>
  <si>
    <t>ワゴンR</t>
  </si>
  <si>
    <t>オークション &gt; 自動車、オートバイ &gt; 中古車・新車 &gt; スズキ &gt; ワゴンR</t>
  </si>
  <si>
    <t>スモークチップ</t>
  </si>
  <si>
    <t>グッチ</t>
  </si>
  <si>
    <t>オークション &gt; スポーツ、レジャー &gt; キャンプ、アウトドア用品 &gt; 燃料 &gt; スモークチップ</t>
  </si>
  <si>
    <t>オークション &gt; ファッション &gt; ブランド別 &gt; く &gt; グッチ</t>
  </si>
  <si>
    <t>ワゴンRスティングレー</t>
  </si>
  <si>
    <t>オークション &gt; 自動車、オートバイ &gt; 中古車・新車 &gt; スズキ &gt; ワゴンRスティングレー</t>
  </si>
  <si>
    <t>ホワイトガソリン</t>
  </si>
  <si>
    <t>グッドイナフ</t>
  </si>
  <si>
    <t>オークション &gt; スポーツ、レジャー &gt; キャンプ、アウトドア用品 &gt; 燃料 &gt; ホワイトガソリン</t>
  </si>
  <si>
    <t>オークション &gt; ファッション &gt; ブランド別 &gt; く &gt; グッドイナフ</t>
  </si>
  <si>
    <t>ワゴンRソリオ</t>
  </si>
  <si>
    <t>オークション &gt; 自動車、オートバイ &gt; 中古車・新車 &gt; スズキ &gt; ワゴンRソリオ</t>
  </si>
  <si>
    <t>組曲</t>
  </si>
  <si>
    <t>ワゴンRプラス</t>
  </si>
  <si>
    <t>オークション &gt; 自動車、オートバイ &gt; 中古車・新車 &gt; スズキ &gt; ワゴンRプラス</t>
  </si>
  <si>
    <t>オークション &gt; ファッション &gt; ブランド別 &gt; く &gt; 組曲</t>
  </si>
  <si>
    <t>固形燃料</t>
  </si>
  <si>
    <t>オークション &gt; スポーツ、レジャー &gt; キャンプ、アウトドア用品 &gt; 燃料 &gt; 固形燃料</t>
  </si>
  <si>
    <t>ワゴンRワイド</t>
  </si>
  <si>
    <t>オークション &gt; 自動車、オートバイ &gt; 中古車・新車 &gt; スズキ &gt; ワゴンRワイド</t>
  </si>
  <si>
    <t>クラークス</t>
  </si>
  <si>
    <t>薪（まき）</t>
  </si>
  <si>
    <t>オークション &gt; ファッション &gt; ブランド別 &gt; く &gt; クラークス</t>
  </si>
  <si>
    <t>オークション &gt; スポーツ、レジャー &gt; キャンプ、アウトドア用品 &gt; 燃料 &gt; 薪（まき）</t>
  </si>
  <si>
    <t>オークション &gt; 自動車、オートバイ &gt; 中古車・新車 &gt; スズキ &gt; その他</t>
  </si>
  <si>
    <t>クライミー</t>
  </si>
  <si>
    <t>炭</t>
  </si>
  <si>
    <t>オークション &gt; ファッション &gt; ブランド別 &gt; く &gt; クライミー</t>
  </si>
  <si>
    <t>オークション &gt; スポーツ、レジャー &gt; キャンプ、アウトドア用品 &gt; 燃料 &gt; 炭</t>
  </si>
  <si>
    <t>BRZ</t>
  </si>
  <si>
    <t>着火剤</t>
  </si>
  <si>
    <t>クラウドベイル</t>
  </si>
  <si>
    <t>オークション &gt; 自動車、オートバイ &gt; 中古車・新車 &gt; スバル &gt; BRZ</t>
  </si>
  <si>
    <t>オークション &gt; スポーツ、レジャー &gt; キャンプ、アウトドア用品 &gt; 燃料 &gt; 着火剤</t>
  </si>
  <si>
    <t>オークション &gt; ファッション &gt; ブランド別 &gt; く &gt; クラウドベイル</t>
  </si>
  <si>
    <t>R1</t>
  </si>
  <si>
    <t>オークション &gt; 自動車、オートバイ &gt; 中古車・新車 &gt; スバル &gt; R1</t>
  </si>
  <si>
    <t>オークション &gt; スポーツ、レジャー &gt; キャンプ、アウトドア用品 &gt; 燃料 &gt; その他</t>
  </si>
  <si>
    <t>クランプリュス</t>
  </si>
  <si>
    <t>オークション &gt; ファッション &gt; ブランド別 &gt; く &gt; クランプリュス</t>
  </si>
  <si>
    <t>R2</t>
  </si>
  <si>
    <t>クーラーバッグ</t>
  </si>
  <si>
    <t>オークション &gt; 自動車、オートバイ &gt; 中古車・新車 &gt; スバル &gt; R2</t>
  </si>
  <si>
    <t>オークション &gt; スポーツ、レジャー &gt; キャンプ、アウトドア用品 &gt; クーラー、保冷器具 &gt; クーラーバッグ</t>
  </si>
  <si>
    <t>クリスチャン・ディオール</t>
  </si>
  <si>
    <t>オークション &gt; ファッション &gt; ブランド別 &gt; く &gt; クリスチャン・ディオール</t>
  </si>
  <si>
    <t>アルシオーネSVX</t>
  </si>
  <si>
    <t>クーラーボックス</t>
  </si>
  <si>
    <t>オークション &gt; 自動車、オートバイ &gt; 中古車・新車 &gt; スバル &gt; アルシオーネSVX</t>
  </si>
  <si>
    <t>オークション &gt; スポーツ、レジャー &gt; キャンプ、アウトドア用品 &gt; クーラー、保冷器具 &gt; クーラーボックス</t>
  </si>
  <si>
    <t>グラッドニュース</t>
  </si>
  <si>
    <t>オークション &gt; ファッション &gt; ブランド別 &gt; く &gt; グラッドニュース</t>
  </si>
  <si>
    <t>インプレッサ</t>
  </si>
  <si>
    <t>オークション &gt; 自動車、オートバイ &gt; 中古車・新車 &gt; スバル &gt; インプレッサ</t>
  </si>
  <si>
    <t>グラミチ</t>
  </si>
  <si>
    <t>オークション &gt; ファッション &gt; ブランド別 &gt; く &gt; グラミチ</t>
  </si>
  <si>
    <t>ジャグ</t>
  </si>
  <si>
    <t>オークション &gt; スポーツ、レジャー &gt; キャンプ、アウトドア用品 &gt; クーラー、保冷器具 &gt; ジャグ</t>
  </si>
  <si>
    <t>インプレッサスポーツワゴン</t>
  </si>
  <si>
    <t>グラム</t>
  </si>
  <si>
    <t>オークション &gt; 自動車、オートバイ &gt; 中古車・新車 &gt; スバル &gt; インプレッサスポーツワゴン</t>
  </si>
  <si>
    <t>オークション &gt; ファッション &gt; ブランド別 &gt; く &gt; グラム</t>
  </si>
  <si>
    <t>ポータブル冷蔵庫</t>
  </si>
  <si>
    <t>オークション &gt; スポーツ、レジャー &gt; キャンプ、アウトドア用品 &gt; クーラー、保冷器具 &gt; ポータブル冷蔵庫</t>
  </si>
  <si>
    <t>グランドキャニオン</t>
  </si>
  <si>
    <t>オークション &gt; ファッション &gt; ブランド別 &gt; く &gt; グランドキャニオン</t>
  </si>
  <si>
    <t>インプレッサハッチバック</t>
  </si>
  <si>
    <t>オークション &gt; 自動車、オートバイ &gt; 中古車・新車 &gt; スバル &gt; インプレッサハッチバック</t>
  </si>
  <si>
    <t>保冷剤</t>
  </si>
  <si>
    <t>グリーンクラブ</t>
  </si>
  <si>
    <t>オークション &gt; スポーツ、レジャー &gt; キャンプ、アウトドア用品 &gt; クーラー、保冷器具 &gt; 保冷剤</t>
  </si>
  <si>
    <t>オークション &gt; ファッション &gt; ブランド別 &gt; く &gt; グリーンクラブ</t>
  </si>
  <si>
    <t>エクシーガ</t>
  </si>
  <si>
    <t>オークション &gt; 自動車、オートバイ &gt; 中古車・新車 &gt; スバル &gt; エクシーガ</t>
  </si>
  <si>
    <t>カップ</t>
  </si>
  <si>
    <t>クリアインプレッション</t>
  </si>
  <si>
    <t>オークション &gt; ファッション &gt; ブランド別 &gt; く &gt; クリアインプレッション</t>
  </si>
  <si>
    <t>オークション &gt; スポーツ、レジャー &gt; キャンプ、アウトドア用品 &gt; 食器 &gt; カップ</t>
  </si>
  <si>
    <t>サンバー</t>
  </si>
  <si>
    <t>オークション &gt; 自動車、オートバイ &gt; 中古車・新車 &gt; スバル &gt; サンバー</t>
  </si>
  <si>
    <t>クリス・ヴァン・アッシュ</t>
  </si>
  <si>
    <t>スプーン、フォーク</t>
  </si>
  <si>
    <t>オークション &gt; ファッション &gt; ブランド別 &gt; く &gt; クリス・ヴァン・アッシュ</t>
  </si>
  <si>
    <t>オークション &gt; スポーツ、レジャー &gt; キャンプ、アウトドア用品 &gt; 食器 &gt; スプーン、フォーク</t>
  </si>
  <si>
    <t>サンバートライ、ディアス</t>
  </si>
  <si>
    <t>オークション &gt; 自動車、オートバイ &gt; 中古車・新車 &gt; スバル &gt; サンバートライ、ディアス</t>
  </si>
  <si>
    <t>皿</t>
  </si>
  <si>
    <t>クリスタルボール</t>
  </si>
  <si>
    <t>オークション &gt; スポーツ、レジャー &gt; キャンプ、アウトドア用品 &gt; 食器 &gt; 皿</t>
  </si>
  <si>
    <t>オークション &gt; ファッション &gt; ブランド別 &gt; く &gt; クリスタルボール</t>
  </si>
  <si>
    <t>サンバートラック</t>
  </si>
  <si>
    <t>クリスチャン・ルブタン</t>
  </si>
  <si>
    <t>オークション &gt; 自動車、オートバイ &gt; 中古車・新車 &gt; スバル &gt; サンバートラック</t>
  </si>
  <si>
    <t>オークション &gt; ファッション &gt; ブランド別 &gt; く &gt; クリスチャン・ルブタン</t>
  </si>
  <si>
    <t>オークション &gt; スポーツ、レジャー &gt; キャンプ、アウトドア用品 &gt; 食器 &gt; その他</t>
  </si>
  <si>
    <t>サンバーバン</t>
  </si>
  <si>
    <t>クリスチャンラクロワ</t>
  </si>
  <si>
    <t>オークション &gt; 自動車、オートバイ &gt; 中古車・新車 &gt; スバル &gt; サンバーバン</t>
  </si>
  <si>
    <t>オークション &gt; ファッション &gt; ブランド別 &gt; く &gt; クリスチャンラクロワ</t>
  </si>
  <si>
    <t>ステラ</t>
  </si>
  <si>
    <t>クリッツィア</t>
  </si>
  <si>
    <t>オークション &gt; 自動車、オートバイ &gt; 中古車・新車 &gt; スバル &gt; ステラ</t>
  </si>
  <si>
    <t>オークション &gt; ファッション &gt; ブランド別 &gt; く &gt; クリッツィア</t>
  </si>
  <si>
    <t>スバル360</t>
  </si>
  <si>
    <t>グリーン</t>
  </si>
  <si>
    <t>オークション &gt; 自動車、オートバイ &gt; 中古車・新車 &gt; スバル &gt; スバル360</t>
  </si>
  <si>
    <t>オークション &gt; ファッション &gt; ブランド別 &gt; く &gt; グリーン</t>
  </si>
  <si>
    <t>クレージュ</t>
  </si>
  <si>
    <t>オークション &gt; ファッション &gt; ブランド別 &gt; く &gt; クレージュ</t>
  </si>
  <si>
    <t>スバルR-2</t>
  </si>
  <si>
    <t>オークション &gt; 自動車、オートバイ &gt; 中古車・新車 &gt; スバル &gt; スバルR-2</t>
  </si>
  <si>
    <t>クレイサス</t>
  </si>
  <si>
    <t>オークション &gt; ファッション &gt; ブランド別 &gt; く &gt; クレイサス</t>
  </si>
  <si>
    <t>デックス</t>
  </si>
  <si>
    <t>オークション &gt; 自動車、オートバイ &gt; 中古車・新車 &gt; スバル &gt; デックス</t>
  </si>
  <si>
    <t>グレース</t>
  </si>
  <si>
    <t>オークション &gt; ファッション &gt; ブランド別 &gt; く &gt; グレース</t>
  </si>
  <si>
    <t>グレゴリー</t>
  </si>
  <si>
    <t>トラヴィック</t>
  </si>
  <si>
    <t>オークション &gt; ファッション &gt; ブランド別 &gt; く &gt; グレゴリー</t>
  </si>
  <si>
    <t>オークション &gt; 自動車、オートバイ &gt; 中古車・新車 &gt; スバル &gt; トラヴィック</t>
  </si>
  <si>
    <t>クロエ</t>
  </si>
  <si>
    <t>オークション &gt; ファッション &gt; ブランド別 &gt; く &gt; クロエ</t>
  </si>
  <si>
    <t>トレジア</t>
  </si>
  <si>
    <t>オークション &gt; 自動車、オートバイ &gt; 中古車・新車 &gt; スバル &gt; トレジア</t>
  </si>
  <si>
    <t>クロケット＆ジョーンズ</t>
  </si>
  <si>
    <t>オークション &gt; ファッション &gt; ブランド別 &gt; く &gt; クロケット＆ジョーンズ</t>
  </si>
  <si>
    <t>ドミンゴ</t>
  </si>
  <si>
    <t>オークション &gt; 自動車、オートバイ &gt; 中古車・新車 &gt; スバル &gt; ドミンゴ</t>
  </si>
  <si>
    <t>クロックス</t>
  </si>
  <si>
    <t>オークション &gt; ファッション &gt; ブランド別 &gt; く &gt; クロックス</t>
  </si>
  <si>
    <t>フォレスター</t>
  </si>
  <si>
    <t>オークション &gt; 自動車、オートバイ &gt; 中古車・新車 &gt; スバル &gt; フォレスター</t>
  </si>
  <si>
    <t>クロムハーツ</t>
  </si>
  <si>
    <t>プレオ</t>
  </si>
  <si>
    <t>オークション &gt; ファッション &gt; ブランド別 &gt; く &gt; クロムハーツ</t>
  </si>
  <si>
    <t>オークション &gt; 自動車、オートバイ &gt; 中古車・新車 &gt; スバル &gt; プレオ</t>
  </si>
  <si>
    <t>オークション &gt; ファッション &gt; ブランド別 &gt; く &gt; その他</t>
  </si>
  <si>
    <t>プレオ・ネスタ</t>
  </si>
  <si>
    <t>オークション &gt; 自動車、オートバイ &gt; 中古車・新車 &gt; スバル &gt; プレオ・ネスタ</t>
  </si>
  <si>
    <t>K.L.C.</t>
  </si>
  <si>
    <t>オークション &gt; ファッション &gt; ブランド別 &gt; け &gt; K.L.C.</t>
  </si>
  <si>
    <t>ルクラ</t>
  </si>
  <si>
    <t>オークション &gt; 自動車、オートバイ &gt; 中古車・新車 &gt; スバル &gt; ルクラ</t>
  </si>
  <si>
    <t>ケイタマルヤマ</t>
  </si>
  <si>
    <t>オークション &gt; ファッション &gt; ブランド別 &gt; け &gt; ケイタマルヤマ</t>
  </si>
  <si>
    <t>レガシィ</t>
  </si>
  <si>
    <t>オークション &gt; 自動車、オートバイ &gt; 中古車・新車 &gt; スバル &gt; レガシィ</t>
  </si>
  <si>
    <t>ケイティ</t>
  </si>
  <si>
    <t>オークション &gt; ファッション &gt; ブランド別 &gt; け &gt; ケイティ</t>
  </si>
  <si>
    <t>レガシィB4</t>
  </si>
  <si>
    <t>オークション &gt; 自動車、オートバイ &gt; 中古車・新車 &gt; スバル &gt; レガシィB4</t>
  </si>
  <si>
    <t>ケイト・スペード</t>
  </si>
  <si>
    <t>オークション &gt; ファッション &gt; ブランド別 &gt; け &gt; ケイト・スペード</t>
  </si>
  <si>
    <t>レガシィアウトバック</t>
  </si>
  <si>
    <t>オークション &gt; 自動車、オートバイ &gt; 中古車・新車 &gt; スバル &gt; レガシィアウトバック</t>
  </si>
  <si>
    <t>ゲス</t>
  </si>
  <si>
    <t>オークション &gt; ファッション &gt; ブランド別 &gt; け &gt; ゲス</t>
  </si>
  <si>
    <t>レガシィツーリングワゴン</t>
  </si>
  <si>
    <t>オークション &gt; 自動車、オートバイ &gt; 中古車・新車 &gt; スバル &gt; レガシィツーリングワゴン</t>
  </si>
  <si>
    <t>オークション &gt; スポーツ、レジャー &gt; キャンプ、アウトドア用品 &gt; 水筒、ボトル &gt; 一般</t>
  </si>
  <si>
    <t>K.T.</t>
  </si>
  <si>
    <t>オークション &gt; ファッション &gt; ブランド別 &gt; け &gt; K.T.</t>
  </si>
  <si>
    <t>レックス</t>
  </si>
  <si>
    <t>オークション &gt; 自動車、オートバイ &gt; 中古車・新車 &gt; スバル &gt; レックス</t>
  </si>
  <si>
    <t>ウォータータンク</t>
  </si>
  <si>
    <t>オークション &gt; スポーツ、レジャー &gt; キャンプ、アウトドア用品 &gt; 水筒、ボトル &gt; ウォータータンク</t>
  </si>
  <si>
    <t>ケティ</t>
  </si>
  <si>
    <t>オークション &gt; ファッション &gt; ブランド別 &gt; け &gt; ケティ</t>
  </si>
  <si>
    <t>レヴォーグ</t>
  </si>
  <si>
    <t>オークション &gt; 自動車、オートバイ &gt; 中古車・新車 &gt; スバル &gt; レヴォーグ</t>
  </si>
  <si>
    <t>KBF</t>
  </si>
  <si>
    <t>オークション &gt; ファッション &gt; ブランド別 &gt; け &gt; KBF</t>
  </si>
  <si>
    <t>ヴィヴィオ</t>
  </si>
  <si>
    <t>オークション &gt; スポーツ、レジャー &gt; キャンプ、アウトドア用品 &gt; 水筒、ボトル &gt; ジャグ</t>
  </si>
  <si>
    <t>オークション &gt; 自動車、オートバイ &gt; 中古車・新車 &gt; スバル &gt; ヴィヴィオ</t>
  </si>
  <si>
    <t>KP</t>
  </si>
  <si>
    <t>ボトルホルダー</t>
  </si>
  <si>
    <t>オークション &gt; ファッション &gt; ブランド別 &gt; け &gt; KP</t>
  </si>
  <si>
    <t>オークション &gt; スポーツ、レジャー &gt; キャンプ、アウトドア用品 &gt; 水筒、ボトル &gt; ボトルホルダー</t>
  </si>
  <si>
    <t>ヴィヴィオビストロ</t>
  </si>
  <si>
    <t>オークション &gt; 自動車、オートバイ &gt; 中古車・新車 &gt; スバル &gt; ヴィヴィオビストロ</t>
  </si>
  <si>
    <t>コンパス</t>
  </si>
  <si>
    <t>ケルト＆コブラ</t>
  </si>
  <si>
    <t>オークション &gt; スポーツ、レジャー &gt; キャンプ、アウトドア用品 &gt; ナビゲーション &gt; コンパス</t>
  </si>
  <si>
    <t>オークション &gt; ファッション &gt; ブランド別 &gt; け &gt; ケルト＆コブラ</t>
  </si>
  <si>
    <t>オークション &gt; 自動車、オートバイ &gt; 中古車・新車 &gt; スバル &gt; その他</t>
  </si>
  <si>
    <t>ゲラルディーニ</t>
  </si>
  <si>
    <t>オークション &gt; ファッション &gt; ブランド別 &gt; け &gt; ゲラルディーニ</t>
  </si>
  <si>
    <t>オークション &gt; スポーツ、レジャー &gt; キャンプ、アウトドア用品 &gt; ナビゲーション &gt; ハンディGPS</t>
  </si>
  <si>
    <t>ケンゾー</t>
  </si>
  <si>
    <t>オークション &gt; ファッション &gt; ブランド別 &gt; け &gt; ケンゾー</t>
  </si>
  <si>
    <t>MAX</t>
  </si>
  <si>
    <t>高度計</t>
  </si>
  <si>
    <t>オークション &gt; 自動車、オートバイ &gt; 中古車・新車 &gt; ダイハツ &gt; MAX</t>
  </si>
  <si>
    <t>オークション &gt; スポーツ、レジャー &gt; キャンプ、アウトドア用品 &gt; ナビゲーション &gt; 高度計</t>
  </si>
  <si>
    <t>ゲンテン</t>
  </si>
  <si>
    <t>オークション &gt; ファッション &gt; ブランド別 &gt; け &gt; ゲンテン</t>
  </si>
  <si>
    <t>YRV</t>
  </si>
  <si>
    <t>オークション &gt; 自動車、オートバイ &gt; 中古車・新車 &gt; ダイハツ &gt; YRV</t>
  </si>
  <si>
    <t>オークション &gt; ファッション &gt; ブランド別 &gt; け &gt; その他</t>
  </si>
  <si>
    <t>オークション &gt; スポーツ、レジャー &gt; キャンプ、アウトドア用品 &gt; ナビゲーション &gt; 地図</t>
  </si>
  <si>
    <t>コキュ</t>
  </si>
  <si>
    <t>オークション &gt; ファッション &gt; ブランド別 &gt; こ &gt; コキュ</t>
  </si>
  <si>
    <t>アトレー</t>
  </si>
  <si>
    <t>オークション &gt; 自動車、オートバイ &gt; 中古車・新車 &gt; ダイハツ &gt; アトレー</t>
  </si>
  <si>
    <t>ココルル</t>
  </si>
  <si>
    <t>オークション &gt; スポーツ、レジャー &gt; キャンプ、アウトドア用品 &gt; ナビゲーション &gt; その他</t>
  </si>
  <si>
    <t>オークション &gt; ファッション &gt; ブランド別 &gt; こ &gt; ココルル</t>
  </si>
  <si>
    <t>アトレー7</t>
  </si>
  <si>
    <t>オークション &gt; 自動車、オートバイ &gt; 中古車・新車 &gt; ダイハツ &gt; アトレー7</t>
  </si>
  <si>
    <t>コスチュームナショナル</t>
  </si>
  <si>
    <t>シャープナー、砥石</t>
  </si>
  <si>
    <t>オークション &gt; ファッション &gt; ブランド別 &gt; こ &gt; コスチュームナショナル</t>
  </si>
  <si>
    <t>オークション &gt; スポーツ、レジャー &gt; キャンプ、アウトドア用品 &gt; ナイフ &gt; シャープナー、砥石</t>
  </si>
  <si>
    <t>アトレーワゴン</t>
  </si>
  <si>
    <t>オークション &gt; 自動車、オートバイ &gt; 中古車・新車 &gt; ダイハツ &gt; アトレーワゴン</t>
  </si>
  <si>
    <t>コズミックワンダー</t>
  </si>
  <si>
    <t>ハンティングナイフ、狩猟刀</t>
  </si>
  <si>
    <t>オークション &gt; ファッション &gt; ブランド別 &gt; こ &gt; コズミックワンダー</t>
  </si>
  <si>
    <t>オークション &gt; スポーツ、レジャー &gt; キャンプ、アウトドア用品 &gt; ナイフ &gt; ハンティングナイフ、狩猟刀</t>
  </si>
  <si>
    <t>ウェイク</t>
  </si>
  <si>
    <t>コーチ</t>
  </si>
  <si>
    <t>ビクトリノックス</t>
  </si>
  <si>
    <t>オークション &gt; ファッション &gt; ブランド別 &gt; こ &gt; コーチ</t>
  </si>
  <si>
    <t>オークション &gt; スポーツ、レジャー &gt; キャンプ、アウトドア用品 &gt; ナイフ &gt; ビクトリノックス</t>
  </si>
  <si>
    <t>オークション &gt; 自動車、オートバイ &gt; 中古車・新車 &gt; ダイハツ &gt; ウェイク</t>
  </si>
  <si>
    <t>コム サ デ モード</t>
  </si>
  <si>
    <t>オークション &gt; ファッション &gt; ブランド別 &gt; こ &gt; コム サ デ モード</t>
  </si>
  <si>
    <t>レザーマン</t>
  </si>
  <si>
    <t>コム デ ギャルソン</t>
  </si>
  <si>
    <t>オークション &gt; スポーツ、レジャー &gt; キャンプ、アウトドア用品 &gt; ナイフ &gt; レザーマン</t>
  </si>
  <si>
    <t>エッセ</t>
  </si>
  <si>
    <t>オークション &gt; ファッション &gt; ブランド別 &gt; こ &gt; コム デ ギャルソン</t>
  </si>
  <si>
    <t>オークション &gt; 自動車、オートバイ &gt; 中古車・新車 &gt; ダイハツ &gt; エッセ</t>
  </si>
  <si>
    <t>斧</t>
  </si>
  <si>
    <t>オプティ</t>
  </si>
  <si>
    <t>コムサイズム</t>
  </si>
  <si>
    <t>オークション &gt; スポーツ、レジャー &gt; キャンプ、アウトドア用品 &gt; ナイフ &gt; 斧</t>
  </si>
  <si>
    <t>オークション &gt; 自動車、オートバイ &gt; 中古車・新車 &gt; ダイハツ &gt; オプティ</t>
  </si>
  <si>
    <t>オークション &gt; ファッション &gt; ブランド別 &gt; こ &gt; コムサイズム</t>
  </si>
  <si>
    <t>ゴヤール</t>
  </si>
  <si>
    <t>オークション &gt; ファッション &gt; ブランド別 &gt; こ &gt; ゴヤール</t>
  </si>
  <si>
    <t>オークション &gt; スポーツ、レジャー &gt; キャンプ、アウトドア用品 &gt; ナイフ &gt; その他</t>
  </si>
  <si>
    <t>クー</t>
  </si>
  <si>
    <t>オークション &gt; 自動車、オートバイ &gt; 中古車・新車 &gt; ダイハツ &gt; クー</t>
  </si>
  <si>
    <t>コール・ハーン</t>
  </si>
  <si>
    <t>オークション &gt; ファッション &gt; ブランド別 &gt; こ &gt; コール・ハーン</t>
  </si>
  <si>
    <t>カヌー</t>
  </si>
  <si>
    <t>オークション &gt; スポーツ、レジャー &gt; キャンプ、アウトドア用品 &gt; カヌー、カヤック &gt; カヌー</t>
  </si>
  <si>
    <t>コペン</t>
  </si>
  <si>
    <t>オークション &gt; 自動車、オートバイ &gt; 中古車・新車 &gt; ダイハツ &gt; コペン</t>
  </si>
  <si>
    <t>オークション &gt; ファッション &gt; ブランド別 &gt; こ &gt; コロンビア</t>
  </si>
  <si>
    <t>シャレード</t>
  </si>
  <si>
    <t>カヤック</t>
  </si>
  <si>
    <t>オークション &gt; スポーツ、レジャー &gt; キャンプ、アウトドア用品 &gt; カヌー、カヤック &gt; カヤック</t>
  </si>
  <si>
    <t>オークション &gt; 自動車、オートバイ &gt; 中古車・新車 &gt; ダイハツ &gt; シャレード</t>
  </si>
  <si>
    <t>ゴールドファイル</t>
  </si>
  <si>
    <t>オークション &gt; ファッション &gt; ブランド別 &gt; こ &gt; ゴールドファイル</t>
  </si>
  <si>
    <t>パドル</t>
  </si>
  <si>
    <t>ストーリア</t>
  </si>
  <si>
    <t>オークション &gt; スポーツ、レジャー &gt; キャンプ、アウトドア用品 &gt; カヌー、カヤック &gt; パドル</t>
  </si>
  <si>
    <t>オークション &gt; 自動車、オートバイ &gt; 中古車・新車 &gt; ダイハツ &gt; ストーリア</t>
  </si>
  <si>
    <t>ゴルチエ</t>
  </si>
  <si>
    <t>オークション &gt; ファッション &gt; ブランド別 &gt; こ &gt; ゴルチエ</t>
  </si>
  <si>
    <t>ソニカ</t>
  </si>
  <si>
    <t>オークション &gt; 自動車、オートバイ &gt; 中古車・新車 &gt; ダイハツ &gt; ソニカ</t>
  </si>
  <si>
    <t>オークション &gt; スポーツ、レジャー &gt; キャンプ、アウトドア用品 &gt; カヌー、カヤック &gt; ウエットスーツ</t>
  </si>
  <si>
    <t>ゴローズ</t>
  </si>
  <si>
    <t>タント</t>
  </si>
  <si>
    <t>オークション &gt; ファッション &gt; ブランド別 &gt; こ &gt; ゴローズ</t>
  </si>
  <si>
    <t>ライフジャケット</t>
  </si>
  <si>
    <t>オークション &gt; 自動車、オートバイ &gt; 中古車・新車 &gt; ダイハツ &gt; タント</t>
  </si>
  <si>
    <t>オークション &gt; スポーツ、レジャー &gt; キャンプ、アウトドア用品 &gt; カヌー、カヤック &gt; ライフジャケット</t>
  </si>
  <si>
    <t>オークション &gt; ファッション &gt; ブランド別 &gt; こ &gt; その他</t>
  </si>
  <si>
    <t>タントエクゼ</t>
  </si>
  <si>
    <t>オークション &gt; 自動車、オートバイ &gt; 中古車・新車 &gt; ダイハツ &gt; タントエクゼ</t>
  </si>
  <si>
    <t>オークション &gt; スポーツ、レジャー &gt; キャンプ、アウトドア用品 &gt; カヌー、カヤック &gt; その他</t>
  </si>
  <si>
    <t>オークション &gt; ファッション &gt; ブランド別 &gt; さ &gt; S2W8</t>
  </si>
  <si>
    <t>テリオス</t>
  </si>
  <si>
    <t>パワーボート</t>
  </si>
  <si>
    <t>オークション &gt; 自動車、オートバイ &gt; 中古車・新車 &gt; ダイハツ &gt; テリオス</t>
  </si>
  <si>
    <t>オークション &gt; スポーツ、レジャー &gt; キャンプ、アウトドア用品 &gt; ゴムボート &gt; パワーボート</t>
  </si>
  <si>
    <t>サイ</t>
  </si>
  <si>
    <t>オークション &gt; ファッション &gt; ブランド別 &gt; さ &gt; サイ</t>
  </si>
  <si>
    <t>テリオスキッド</t>
  </si>
  <si>
    <t>ローボート</t>
  </si>
  <si>
    <t>オークション &gt; 自動車、オートバイ &gt; 中古車・新車 &gt; ダイハツ &gt; テリオスキッド</t>
  </si>
  <si>
    <t>サイラス</t>
  </si>
  <si>
    <t>オークション &gt; スポーツ、レジャー &gt; キャンプ、アウトドア用品 &gt; ゴムボート &gt; ローボート</t>
  </si>
  <si>
    <t>オークション &gt; ファッション &gt; ブランド別 &gt; さ &gt; サイラス</t>
  </si>
  <si>
    <t>デルタ</t>
  </si>
  <si>
    <t>オークション &gt; 自動車、オートバイ &gt; 中古車・新車 &gt; ダイハツ &gt; デルタ</t>
  </si>
  <si>
    <t>サカイ</t>
  </si>
  <si>
    <t>オークション &gt; スポーツ、レジャー &gt; キャンプ、アウトドア用品 &gt; ゴムボート &gt; その他</t>
  </si>
  <si>
    <t>オークション &gt; ファッション &gt; ブランド別 &gt; さ &gt; サカイ</t>
  </si>
  <si>
    <t>ネイキッド</t>
  </si>
  <si>
    <t>サザビー</t>
  </si>
  <si>
    <t>オークション &gt; 自動車、オートバイ &gt; 中古車・新車 &gt; ダイハツ &gt; ネイキッド</t>
  </si>
  <si>
    <t>オークション &gt; ファッション &gt; ブランド別 &gt; さ &gt; サザビー</t>
  </si>
  <si>
    <t>ウエットティッシュ</t>
  </si>
  <si>
    <t>オークション &gt; ビューティー、ヘルスケア &gt; 救急、衛生用品 &gt; ウエットティッシュ</t>
  </si>
  <si>
    <t>ザジ</t>
  </si>
  <si>
    <t>ハイゼット</t>
  </si>
  <si>
    <t>オークション &gt; ファッション &gt; ブランド別 &gt; さ &gt; ザジ</t>
  </si>
  <si>
    <t>コットン、ガーゼ</t>
  </si>
  <si>
    <t>オークション &gt; 自動車、オートバイ &gt; 中古車・新車 &gt; ダイハツ &gt; ハイゼット</t>
  </si>
  <si>
    <t>オークション &gt; ビューティー、ヘルスケア &gt; 救急、衛生用品 &gt; コットン、ガーゼ</t>
  </si>
  <si>
    <t>サボイ</t>
  </si>
  <si>
    <t>オークション &gt; ファッション &gt; ブランド別 &gt; さ &gt; サボイ</t>
  </si>
  <si>
    <t>ハイゼットグランカーゴ</t>
  </si>
  <si>
    <t>オークション &gt; 自動車、オートバイ &gt; 中古車・新車 &gt; ダイハツ &gt; ハイゼットグランカーゴ</t>
  </si>
  <si>
    <t>オークション &gt; ビューティー、ヘルスケア &gt; 救急、衛生用品 &gt; マスク</t>
  </si>
  <si>
    <t>SM2</t>
  </si>
  <si>
    <t>オークション &gt; ファッション &gt; ブランド別 &gt; さ &gt; SM2</t>
  </si>
  <si>
    <t>救急箱</t>
  </si>
  <si>
    <t>ハイゼットトラック</t>
  </si>
  <si>
    <t>オークション &gt; ビューティー、ヘルスケア &gt; 救急、衛生用品 &gt; 救急箱</t>
  </si>
  <si>
    <t>オークション &gt; 自動車、オートバイ &gt; 中古車・新車 &gt; ダイハツ &gt; ハイゼットトラック</t>
  </si>
  <si>
    <t>サマンサタバサ</t>
  </si>
  <si>
    <t>オークション &gt; ファッション &gt; ブランド別 &gt; さ &gt; サマンサタバサ</t>
  </si>
  <si>
    <t>ハイゼットバン</t>
  </si>
  <si>
    <t>オークション &gt; 自動車、オートバイ &gt; 中古車・新車 &gt; ダイハツ &gt; ハイゼットバン</t>
  </si>
  <si>
    <t>耳掃除用品</t>
  </si>
  <si>
    <t>サムソナイト</t>
  </si>
  <si>
    <t>オークション &gt; ビューティー、ヘルスケア &gt; 救急、衛生用品 &gt; 耳掃除用品</t>
  </si>
  <si>
    <t>オークション &gt; ファッション &gt; ブランド別 &gt; さ &gt; サムソナイト</t>
  </si>
  <si>
    <t>パイザー</t>
  </si>
  <si>
    <t>サルヴァトーレ・フェラガモ</t>
  </si>
  <si>
    <t>生理用ナプキン</t>
  </si>
  <si>
    <t>オークション &gt; 自動車、オートバイ &gt; 中古車・新車 &gt; ダイハツ &gt; パイザー</t>
  </si>
  <si>
    <t>オークション &gt; ファッション &gt; ブランド別 &gt; さ &gt; サルヴァトーレ・フェラガモ</t>
  </si>
  <si>
    <t>オークション &gt; ビューティー、ヘルスケア &gt; 救急、衛生用品 &gt; 生理用ナプキン</t>
  </si>
  <si>
    <t>ビーゴ</t>
  </si>
  <si>
    <t>オークション &gt; 自動車、オートバイ &gt; 中古車・新車 &gt; ダイハツ &gt; ビーゴ</t>
  </si>
  <si>
    <t>爪切り</t>
  </si>
  <si>
    <t>ザ リアル マッコイズ</t>
  </si>
  <si>
    <t>オークション &gt; ビューティー、ヘルスケア &gt; 救急、衛生用品 &gt; 爪切り</t>
  </si>
  <si>
    <t>オークション &gt; ファッション &gt; ブランド別 &gt; さ &gt; ザ リアル マッコイズ</t>
  </si>
  <si>
    <t>ブーン</t>
  </si>
  <si>
    <t>オークション &gt; 自動車、オートバイ &gt; 中古車・新車 &gt; ダイハツ &gt; ブーン</t>
  </si>
  <si>
    <t>ザラ</t>
  </si>
  <si>
    <t>オークション &gt; ファッション &gt; ブランド別 &gt; さ &gt; ザラ</t>
  </si>
  <si>
    <t>包帯</t>
  </si>
  <si>
    <t>ブーンルミナス</t>
  </si>
  <si>
    <t>オークション &gt; ビューティー、ヘルスケア &gt; 救急、衛生用品 &gt; 包帯</t>
  </si>
  <si>
    <t>オークション &gt; 自動車、オートバイ &gt; 中古車・新車 &gt; ダイハツ &gt; ブーンルミナス</t>
  </si>
  <si>
    <t>サンタフェ</t>
  </si>
  <si>
    <t>オークション &gt; ファッション &gt; ブランド別 &gt; さ &gt; サンタフェ</t>
  </si>
  <si>
    <t>冷感・温感シート</t>
  </si>
  <si>
    <t>ミゼットII</t>
  </si>
  <si>
    <t>オークション &gt; ビューティー、ヘルスケア &gt; 救急、衛生用品 &gt; 冷感・温感シート</t>
  </si>
  <si>
    <t>オークション &gt; 自動車、オートバイ &gt; 中古車・新車 &gt; ダイハツ &gt; ミゼットII</t>
  </si>
  <si>
    <t>オークション &gt; ファッション &gt; ブランド別 &gt; さ &gt; その他</t>
  </si>
  <si>
    <t>ミラ</t>
  </si>
  <si>
    <t>絆創膏</t>
  </si>
  <si>
    <t>オークション &gt; 自動車、オートバイ &gt; 中古車・新車 &gt; ダイハツ &gt; ミラ</t>
  </si>
  <si>
    <t>オークション &gt; ビューティー、ヘルスケア &gt; 救急、衛生用品 &gt; 絆創膏</t>
  </si>
  <si>
    <t>J.CREW</t>
  </si>
  <si>
    <t>オークション &gt; ファッション &gt; ブランド別 &gt; し &gt; J.CREW</t>
  </si>
  <si>
    <t>オークション &gt; ビューティー、ヘルスケア &gt; 救急、衛生用品 &gt; その他</t>
  </si>
  <si>
    <t>ミラTR-XX</t>
  </si>
  <si>
    <t>オークション &gt; 自動車、オートバイ &gt; 中古車・新車 &gt; ダイハツ &gt; ミラTR-XX</t>
  </si>
  <si>
    <t>J.プレス</t>
  </si>
  <si>
    <t>オークション &gt; ファッション &gt; ブランド別 &gt; し &gt; J.プレス</t>
  </si>
  <si>
    <t>蚊取線香</t>
  </si>
  <si>
    <t>ミラ・モデルノ</t>
  </si>
  <si>
    <t>オークション &gt; 自動車、オートバイ &gt; 中古車・新車 &gt; ダイハツ &gt; ミラ・モデルノ</t>
  </si>
  <si>
    <t>シェラック</t>
  </si>
  <si>
    <t>オークション &gt; 住まい、インテリア &gt; 害虫駆除、虫よけ &gt; 虫よけ &gt; 蚊取線香</t>
  </si>
  <si>
    <t>オークション &gt; ファッション &gt; ブランド別 &gt; し &gt; シェラック</t>
  </si>
  <si>
    <t>ミライース</t>
  </si>
  <si>
    <t>オークション &gt; 自動車、オートバイ &gt; 中古車・新車 &gt; ダイハツ &gt; ミライース</t>
  </si>
  <si>
    <t>蚊帳</t>
  </si>
  <si>
    <t>オークション &gt; 住まい、インテリア &gt; 害虫駆除、虫よけ &gt; 虫よけ &gt; 蚊帳</t>
  </si>
  <si>
    <t>シェル</t>
  </si>
  <si>
    <t>ミラココア</t>
  </si>
  <si>
    <t>オークション &gt; ファッション &gt; ブランド別 &gt; し &gt; シェル</t>
  </si>
  <si>
    <t>オークション &gt; 自動車、オートバイ &gt; 中古車・新車 &gt; ダイハツ &gt; ミラココア</t>
  </si>
  <si>
    <t>虫よけスプレー</t>
  </si>
  <si>
    <t>オークション &gt; 住まい、インテリア &gt; 害虫駆除、虫よけ &gt; 虫よけ &gt; 虫よけスプレー</t>
  </si>
  <si>
    <t>シエラデザイン</t>
  </si>
  <si>
    <t>ミラジーノ</t>
  </si>
  <si>
    <t>オークション &gt; ファッション &gt; ブランド別 &gt; し &gt; シエラデザイン</t>
  </si>
  <si>
    <t>オークション &gt; 自動車、オートバイ &gt; 中古車・新車 &gt; ダイハツ &gt; ミラジーノ</t>
  </si>
  <si>
    <t>超音波発生機</t>
  </si>
  <si>
    <t>オークション &gt; 住まい、インテリア &gt; 害虫駆除、虫よけ &gt; 虫よけ &gt; 超音波発生機</t>
  </si>
  <si>
    <t>ジェーン マープル</t>
  </si>
  <si>
    <t>ムーヴ</t>
  </si>
  <si>
    <t>オークション &gt; ファッション &gt; ブランド別 &gt; し &gt; ジェーン マープル</t>
  </si>
  <si>
    <t>オークション &gt; 自動車、オートバイ &gt; 中古車・新車 &gt; ダイハツ &gt; ムーヴ</t>
  </si>
  <si>
    <t>オークション &gt; 住まい、インテリア &gt; 害虫駆除、虫よけ &gt; 虫よけ &gt; その他</t>
  </si>
  <si>
    <t>ジェイアンドアール</t>
  </si>
  <si>
    <t>オークション &gt; ファッション &gt; ブランド別 &gt; し &gt; ジェイアンドアール</t>
  </si>
  <si>
    <t>ムーヴコンテ</t>
  </si>
  <si>
    <t>オークション &gt; 自動車、オートバイ &gt; 中古車・新車 &gt; ダイハツ &gt; ムーヴコンテ</t>
  </si>
  <si>
    <t>ジェニィ</t>
  </si>
  <si>
    <t>ムーヴラテ</t>
  </si>
  <si>
    <t>オークション &gt; ファッション &gt; ブランド別 &gt; し &gt; ジェニィ</t>
  </si>
  <si>
    <t>オークション &gt; 自動車、オートバイ &gt; 中古車・新車 &gt; ダイハツ &gt; ムーヴラテ</t>
  </si>
  <si>
    <t>ジェネラルリサーチ</t>
  </si>
  <si>
    <t>リーザ</t>
  </si>
  <si>
    <t>オークション &gt; ファッション &gt; ブランド別 &gt; し &gt; ジェネラルリサーチ</t>
  </si>
  <si>
    <t>オークション &gt; 自動車、オートバイ &gt; 中古車・新車 &gt; ダイハツ &gt; リーザ</t>
  </si>
  <si>
    <t>ジェラートピケ</t>
  </si>
  <si>
    <t>ロッキー</t>
  </si>
  <si>
    <t>オークション &gt; ファッション &gt; ブランド別 &gt; し &gt; ジェラートピケ</t>
  </si>
  <si>
    <t>オークション &gt; 自動車、オートバイ &gt; 中古車・新車 &gt; ダイハツ &gt; ロッキー</t>
  </si>
  <si>
    <t>ジェレミー・スコット</t>
  </si>
  <si>
    <t>オークション &gt; ファッション &gt; ブランド別 &gt; し &gt; ジェレミー・スコット</t>
  </si>
  <si>
    <t>オークション &gt; 自動車、オートバイ &gt; 中古車・新車 &gt; ダイハツ &gt; その他</t>
  </si>
  <si>
    <t>ジーザスディアマンテ</t>
  </si>
  <si>
    <t>オークション &gt; ファッション &gt; ブランド別 &gt; し &gt; ジーザスディアマンテ</t>
  </si>
  <si>
    <t>CR-V</t>
  </si>
  <si>
    <t>オークション &gt; 自動車、オートバイ &gt; 中古車・新車 &gt; ホンダ &gt; CR-V</t>
  </si>
  <si>
    <t>シップス</t>
  </si>
  <si>
    <t>オークション &gt; ファッション &gt; ブランド別 &gt; し &gt; シップス</t>
  </si>
  <si>
    <t>CR-X</t>
  </si>
  <si>
    <t>シトラスノーツ</t>
  </si>
  <si>
    <t>オークション &gt; 自動車、オートバイ &gt; 中古車・新車 &gt; ホンダ &gt; CR-X</t>
  </si>
  <si>
    <t>オークション &gt; ファッション &gt; ブランド別 &gt; し &gt; シトラスノーツ</t>
  </si>
  <si>
    <t>シナコバ</t>
  </si>
  <si>
    <t>オークション &gt; ファッション &gt; ブランド別 &gt; し &gt; シナコバ</t>
  </si>
  <si>
    <t>CR-Xデルソル</t>
  </si>
  <si>
    <t>オークション &gt; 自動車、オートバイ &gt; 中古車・新車 &gt; ホンダ &gt; CR-Xデルソル</t>
  </si>
  <si>
    <t>ジーナシス</t>
  </si>
  <si>
    <t>オークション &gt; ファッション &gt; ブランド別 &gt; し &gt; ジーナシス</t>
  </si>
  <si>
    <t>CR-Z</t>
  </si>
  <si>
    <t>オークション &gt; 自動車、オートバイ &gt; 中古車・新車 &gt; ホンダ &gt; CR-Z</t>
  </si>
  <si>
    <t>シーバイクロエ</t>
  </si>
  <si>
    <t>オークション &gt; ファッション &gt; ブランド別 &gt; し &gt; シーバイクロエ</t>
  </si>
  <si>
    <t>HR-V</t>
  </si>
  <si>
    <t>シビラ</t>
  </si>
  <si>
    <t>オークション &gt; 自動車、オートバイ &gt; 中古車・新車 &gt; ホンダ &gt; HR-V</t>
  </si>
  <si>
    <t>オークション &gt; ファッション &gt; ブランド別 &gt; し &gt; シビラ</t>
  </si>
  <si>
    <t>MDX</t>
  </si>
  <si>
    <t>ジバンシイ</t>
  </si>
  <si>
    <t>オークション &gt; ファッション &gt; ブランド別 &gt; し &gt; ジバンシイ</t>
  </si>
  <si>
    <t>オークション &gt; 自動車、オートバイ &gt; 中古車・新車 &gt; ホンダ &gt; MDX</t>
  </si>
  <si>
    <t>シマロン</t>
  </si>
  <si>
    <t>オークション &gt; ファッション &gt; ブランド別 &gt; し &gt; シマロン</t>
  </si>
  <si>
    <t>N BOX</t>
  </si>
  <si>
    <t>オークション &gt; 自動車、オートバイ &gt; 中古車・新車 &gt; ホンダ &gt; N BOX</t>
  </si>
  <si>
    <t>シモネッタ</t>
  </si>
  <si>
    <t>N-ONE</t>
  </si>
  <si>
    <t>オークション &gt; ファッション &gt; ブランド別 &gt; し &gt; シモネッタ</t>
  </si>
  <si>
    <t>オークション &gt; 自動車、オートバイ &gt; 中古車・新車 &gt; ホンダ &gt; N-ONE</t>
  </si>
  <si>
    <t>オークション &gt; スポーツ、レジャー &gt; 自転車、サイクリング &gt; 車体 &gt; 一般</t>
  </si>
  <si>
    <t>ジミーチュウ</t>
  </si>
  <si>
    <t>オークション &gt; ファッション &gt; ブランド別 &gt; し &gt; ジミーチュウ</t>
  </si>
  <si>
    <t>N-WGN</t>
  </si>
  <si>
    <t>ロードバイク</t>
  </si>
  <si>
    <t>オークション &gt; 自動車、オートバイ &gt; 中古車・新車 &gt; ホンダ &gt; N-WGN</t>
  </si>
  <si>
    <t>オークション &gt; スポーツ、レジャー &gt; 自転車、サイクリング &gt; 車体 &gt; ロードバイク</t>
  </si>
  <si>
    <t>ジムトンプソン</t>
  </si>
  <si>
    <t>オークション &gt; ファッション &gt; ブランド別 &gt; し &gt; ジムトンプソン</t>
  </si>
  <si>
    <t>トラックレーサー、ピスト</t>
  </si>
  <si>
    <t>N-WGN カスタム</t>
  </si>
  <si>
    <t>オークション &gt; スポーツ、レジャー &gt; 自転車、サイクリング &gt; 車体 &gt; トラックレーサー、ピスト</t>
  </si>
  <si>
    <t>GU（ジーユー）</t>
  </si>
  <si>
    <t>オークション &gt; 自動車、オートバイ &gt; 中古車・新車 &gt; ホンダ &gt; N-WGN カスタム</t>
  </si>
  <si>
    <t>オークション &gt; ファッション &gt; ブランド別 &gt; し &gt; GU（ジーユー）</t>
  </si>
  <si>
    <t>マウンテンバイク</t>
  </si>
  <si>
    <t>オークション &gt; スポーツ、レジャー &gt; 自転車、サイクリング &gt; 車体 &gt; マウンテンバイク</t>
  </si>
  <si>
    <t>JUNMEN</t>
  </si>
  <si>
    <t>オークション &gt; ファッション &gt; ブランド別 &gt; し &gt; JUNMEN</t>
  </si>
  <si>
    <t>折り畳み自転車</t>
  </si>
  <si>
    <t>オークション &gt; スポーツ、レジャー &gt; 自転車、サイクリング &gt; 車体 &gt; 折り畳み自転車</t>
  </si>
  <si>
    <t>シャーリーテンプル</t>
  </si>
  <si>
    <t>オークション &gt; ファッション &gt; ブランド別 &gt; し &gt; シャーリーテンプル</t>
  </si>
  <si>
    <t>N360</t>
  </si>
  <si>
    <t>オークション &gt; 自動車、オートバイ &gt; 中古車・新車 &gt; ホンダ &gt; N360</t>
  </si>
  <si>
    <t>小径車（折り畳み、分割機構なし）</t>
  </si>
  <si>
    <t>オークション &gt; スポーツ、レジャー &gt; 自転車、サイクリング &gt; 車体 &gt; 小径車（折り畳み、分割機構なし）</t>
  </si>
  <si>
    <t>シャネル</t>
  </si>
  <si>
    <t>オークション &gt; ファッション &gt; ブランド別 &gt; し &gt; シャネル</t>
  </si>
  <si>
    <t>シャルル ジョルダン</t>
  </si>
  <si>
    <t>オークション &gt; ファッション &gt; ブランド別 &gt; し &gt; シャルル ジョルダン</t>
  </si>
  <si>
    <t>NSX</t>
  </si>
  <si>
    <t>オークション &gt; スポーツ、レジャー &gt; 自転車、サイクリング &gt; 車体 &gt; 子ども用</t>
  </si>
  <si>
    <t>オークション &gt; 自動車、オートバイ &gt; 中古車・新車 &gt; ホンダ &gt; NSX</t>
  </si>
  <si>
    <t>シュープ</t>
  </si>
  <si>
    <t>オークション &gt; ファッション &gt; ブランド別 &gt; し &gt; シュープ</t>
  </si>
  <si>
    <t>電動アシスト自転車</t>
  </si>
  <si>
    <t>シュプリーム</t>
  </si>
  <si>
    <t>オークション &gt; スポーツ、レジャー &gt; 自転車、サイクリング &gt; 車体 &gt; 電動アシスト自転車</t>
  </si>
  <si>
    <t>S-MX</t>
  </si>
  <si>
    <t>オークション &gt; ファッション &gt; ブランド別 &gt; し &gt; シュプリーム</t>
  </si>
  <si>
    <t>オークション &gt; 自動車、オートバイ &gt; 中古車・新車 &gt; ホンダ &gt; S-MX</t>
  </si>
  <si>
    <t>ショーンジョン</t>
  </si>
  <si>
    <t>オークション &gt; ファッション &gt; ブランド別 &gt; し &gt; ショーンジョン</t>
  </si>
  <si>
    <t>クロスバイク</t>
  </si>
  <si>
    <t>オークション &gt; スポーツ、レジャー &gt; 自転車、サイクリング &gt; 車体 &gt; クロスバイク</t>
  </si>
  <si>
    <t>S2000</t>
  </si>
  <si>
    <t>オークション &gt; 自動車、オートバイ &gt; 中古車・新車 &gt; ホンダ &gt; S2000</t>
  </si>
  <si>
    <t>ショット</t>
  </si>
  <si>
    <t>オークション &gt; ファッション &gt; ブランド別 &gt; し &gt; ショット</t>
  </si>
  <si>
    <t>ビーチクルーザー</t>
  </si>
  <si>
    <t>オークション &gt; スポーツ、レジャー &gt; 自転車、サイクリング &gt; 車体 &gt; ビーチクルーザー</t>
  </si>
  <si>
    <t>ジャーナルスタンダード</t>
  </si>
  <si>
    <t>S660</t>
  </si>
  <si>
    <t>オークション &gt; ファッション &gt; ブランド別 &gt; し &gt; ジャーナルスタンダード</t>
  </si>
  <si>
    <t>オークション &gt; 自動車、オートバイ &gt; 中古車・新車 &gt; ホンダ &gt; S660</t>
  </si>
  <si>
    <t>BMX</t>
  </si>
  <si>
    <t>ジャイロ</t>
  </si>
  <si>
    <t>オークション &gt; スポーツ、レジャー &gt; 自転車、サイクリング &gt; 車体 &gt; BMX</t>
  </si>
  <si>
    <t>オークション &gt; ファッション &gt; ブランド別 &gt; し &gt; ジャイロ</t>
  </si>
  <si>
    <t>Z</t>
  </si>
  <si>
    <t>オークション &gt; 自動車、オートバイ &gt; 中古車・新車 &gt; ホンダ &gt; Z</t>
  </si>
  <si>
    <t>フレーム</t>
  </si>
  <si>
    <t>オークション &gt; スポーツ、レジャー &gt; 自転車、サイクリング &gt; 車体 &gt; フレーム</t>
  </si>
  <si>
    <t>ジャスグリッティー</t>
  </si>
  <si>
    <t>オークション &gt; ファッション &gt; ブランド別 &gt; し &gt; ジャスグリッティー</t>
  </si>
  <si>
    <t>アキュラ</t>
  </si>
  <si>
    <t>オークション &gt; 自動車、オートバイ &gt; 中古車・新車 &gt; ホンダ &gt; アキュラ</t>
  </si>
  <si>
    <t>三輪車</t>
  </si>
  <si>
    <t>オークション &gt; スポーツ、レジャー &gt; 自転車、サイクリング &gt; 車体 &gt; 三輪車</t>
  </si>
  <si>
    <t>ジャストカヴァッリ</t>
  </si>
  <si>
    <t>オークション &gt; ファッション &gt; ブランド別 &gt; し &gt; ジャストカヴァッリ</t>
  </si>
  <si>
    <t>アクティ</t>
  </si>
  <si>
    <t>オークション &gt; 自動車、オートバイ &gt; 中古車・新車 &gt; ホンダ &gt; アクティ</t>
  </si>
  <si>
    <t>一輪車</t>
  </si>
  <si>
    <t>ジャックウルフスキン</t>
  </si>
  <si>
    <t>オークション &gt; スポーツ、レジャー &gt; 自転車、サイクリング &gt; 車体 &gt; 一輪車</t>
  </si>
  <si>
    <t>オークション &gt; ファッション &gt; ブランド別 &gt; し &gt; ジャックウルフスキン</t>
  </si>
  <si>
    <t>アクティトラック</t>
  </si>
  <si>
    <t>オークション &gt; 自動車、オートバイ &gt; 中古車・新車 &gt; ホンダ &gt; アクティトラック</t>
  </si>
  <si>
    <t>キックボード</t>
  </si>
  <si>
    <t>ジャンクフード</t>
  </si>
  <si>
    <t>オークション &gt; スポーツ、レジャー &gt; 自転車、サイクリング &gt; 車体 &gt; キックボード</t>
  </si>
  <si>
    <t>オークション &gt; ファッション &gt; ブランド別 &gt; し &gt; ジャンクフード</t>
  </si>
  <si>
    <t>アコード</t>
  </si>
  <si>
    <t>オークション &gt; 自動車、オートバイ &gt; 中古車・新車 &gt; ホンダ &gt; アコード</t>
  </si>
  <si>
    <t>ジャンフランコフェレ</t>
  </si>
  <si>
    <t>オークション &gt; スポーツ、レジャー &gt; 自転車、サイクリング &gt; 車体 &gt; その他</t>
  </si>
  <si>
    <t>オークション &gt; ファッション &gt; ブランド別 &gt; し &gt; ジャンフランコフェレ</t>
  </si>
  <si>
    <t>アコードインスパイア</t>
  </si>
  <si>
    <t>オークション &gt; 自動車、オートバイ &gt; 中古車・新車 &gt; ホンダ &gt; アコードインスパイア</t>
  </si>
  <si>
    <t>パーツセット</t>
  </si>
  <si>
    <t>オークション &gt; スポーツ、レジャー &gt; 自転車、サイクリング &gt; パーツ &gt; パーツセット</t>
  </si>
  <si>
    <t>アコードクーペ</t>
  </si>
  <si>
    <t>ジャンポール・ゴルチエ</t>
  </si>
  <si>
    <t>オークション &gt; 自動車、オートバイ &gt; 中古車・新車 &gt; ホンダ &gt; アコードクーペ</t>
  </si>
  <si>
    <t>オークション &gt; ファッション &gt; ブランド別 &gt; し &gt; ジャンポール・ゴルチエ</t>
  </si>
  <si>
    <t>オークション &gt; スポーツ、レジャー &gt; 自転車、サイクリング &gt; パーツ &gt; ビンテージパーツ</t>
  </si>
  <si>
    <t>アコードツアラー</t>
  </si>
  <si>
    <t>オークション &gt; 自動車、オートバイ &gt; 中古車・新車 &gt; ホンダ &gt; アコードツアラー</t>
  </si>
  <si>
    <t>オークション &gt; スポーツ、レジャー &gt; 自転車、サイクリング &gt; パーツ &gt; フレーム</t>
  </si>
  <si>
    <t>ジューシークチュール</t>
  </si>
  <si>
    <t>アコードワゴン</t>
  </si>
  <si>
    <t>オークション &gt; ファッション &gt; ブランド別 &gt; し &gt; ジューシークチュール</t>
  </si>
  <si>
    <t>オークション &gt; 自動車、オートバイ &gt; 中古車・新車 &gt; ホンダ &gt; アコードワゴン</t>
  </si>
  <si>
    <t>フォーク</t>
  </si>
  <si>
    <t>オークション &gt; スポーツ、レジャー &gt; 自転車、サイクリング &gt; パーツ &gt; フォーク</t>
  </si>
  <si>
    <t>アスコット</t>
  </si>
  <si>
    <t>オークション &gt; 自動車、オートバイ &gt; 中古車・新車 &gt; ホンダ &gt; アスコット</t>
  </si>
  <si>
    <t>サスペンション</t>
  </si>
  <si>
    <t>ジュゼッペザノッティ</t>
  </si>
  <si>
    <t>オークション &gt; スポーツ、レジャー &gt; 自転車、サイクリング &gt; パーツ &gt; サスペンション</t>
  </si>
  <si>
    <t>オークション &gt; ファッション &gt; ブランド別 &gt; し &gt; ジュゼッペザノッティ</t>
  </si>
  <si>
    <t>アヴァンシア</t>
  </si>
  <si>
    <t>オークション &gt; 自動車、オートバイ &gt; 中古車・新車 &gt; ホンダ &gt; アヴァンシア</t>
  </si>
  <si>
    <t>ホイール</t>
  </si>
  <si>
    <t>ジュンコシマダ</t>
  </si>
  <si>
    <t>オークション &gt; ファッション &gt; ブランド別 &gt; し &gt; ジュンコシマダ</t>
  </si>
  <si>
    <t>オークション &gt; スポーツ、レジャー &gt; 自転車、サイクリング &gt; パーツ &gt; ホイール</t>
  </si>
  <si>
    <t>インサイト</t>
  </si>
  <si>
    <t>オークション &gt; 自動車、オートバイ &gt; 中古車・新車 &gt; ホンダ &gt; インサイト</t>
  </si>
  <si>
    <t>タイヤ</t>
  </si>
  <si>
    <t>ジョージコックス</t>
  </si>
  <si>
    <t>オークション &gt; スポーツ、レジャー &gt; 自転車、サイクリング &gt; パーツ &gt; タイヤ</t>
  </si>
  <si>
    <t>オークション &gt; ファッション &gt; ブランド別 &gt; し &gt; ジョージコックス</t>
  </si>
  <si>
    <t>サドル</t>
  </si>
  <si>
    <t>インスパイア</t>
  </si>
  <si>
    <t>ジョイアス</t>
  </si>
  <si>
    <t>オークション &gt; スポーツ、レジャー &gt; 自転車、サイクリング &gt; パーツ &gt; サドル</t>
  </si>
  <si>
    <t>オークション &gt; ファッション &gt; ブランド別 &gt; し &gt; ジョイアス</t>
  </si>
  <si>
    <t>オークション &gt; 自動車、オートバイ &gt; 中古車・新車 &gt; ホンダ &gt; インスパイア</t>
  </si>
  <si>
    <t>シートポスト</t>
  </si>
  <si>
    <t>ジョイリッチ</t>
  </si>
  <si>
    <t>オークション &gt; スポーツ、レジャー &gt; 自転車、サイクリング &gt; パーツ &gt; シートポスト</t>
  </si>
  <si>
    <t>インテグラ</t>
  </si>
  <si>
    <t>オークション &gt; ファッション &gt; ブランド別 &gt; し &gt; ジョイリッチ</t>
  </si>
  <si>
    <t>オークション &gt; 自動車、オートバイ &gt; 中古車・新車 &gt; ホンダ &gt; インテグラ</t>
  </si>
  <si>
    <t>シートクランプ</t>
  </si>
  <si>
    <t>インテグラタイプR</t>
  </si>
  <si>
    <t>オークション &gt; スポーツ、レジャー &gt; 自転車、サイクリング &gt; パーツ &gt; シートクランプ</t>
  </si>
  <si>
    <t>ジョセフ</t>
  </si>
  <si>
    <t>オークション &gt; 自動車、オートバイ &gt; 中古車・新車 &gt; ホンダ &gt; インテグラタイプR</t>
  </si>
  <si>
    <t>オークション &gt; ファッション &gt; ブランド別 &gt; し &gt; ジョセフ</t>
  </si>
  <si>
    <t>エアウェイブ</t>
  </si>
  <si>
    <t>ハンドル</t>
  </si>
  <si>
    <t>オークション &gt; 自動車、オートバイ &gt; 中古車・新車 &gt; ホンダ &gt; エアウェイブ</t>
  </si>
  <si>
    <t>オークション &gt; スポーツ、レジャー &gt; 自転車、サイクリング &gt; パーツ &gt; ハンドル</t>
  </si>
  <si>
    <t>ジョン スメドレー</t>
  </si>
  <si>
    <t>オークション &gt; ファッション &gt; ブランド別 &gt; し &gt; ジョン スメドレー</t>
  </si>
  <si>
    <t>エディックス</t>
  </si>
  <si>
    <t>オークション &gt; 自動車、オートバイ &gt; 中古車・新車 &gt; ホンダ &gt; エディックス</t>
  </si>
  <si>
    <t>ステム</t>
  </si>
  <si>
    <t>ジョン・ロブ</t>
  </si>
  <si>
    <t>オークション &gt; スポーツ、レジャー &gt; 自転車、サイクリング &gt; パーツ &gt; ステム</t>
  </si>
  <si>
    <t>オークション &gt; ファッション &gt; ブランド別 &gt; し &gt; ジョン・ロブ</t>
  </si>
  <si>
    <t>エリシオン</t>
  </si>
  <si>
    <t>オークション &gt; 自動車、オートバイ &gt; 中古車・新車 &gt; ホンダ &gt; エリシオン</t>
  </si>
  <si>
    <t>ペダル</t>
  </si>
  <si>
    <t>ジョンガリアーノ</t>
  </si>
  <si>
    <t>エリシオンプレステージ</t>
  </si>
  <si>
    <t>オークション &gt; スポーツ、レジャー &gt; 自転車、サイクリング &gt; パーツ &gt; ペダル</t>
  </si>
  <si>
    <t>オークション &gt; ファッション &gt; ブランド別 &gt; し &gt; ジョンガリアーノ</t>
  </si>
  <si>
    <t>オークション &gt; 自動車、オートバイ &gt; 中古車・新車 &gt; ホンダ &gt; エリシオンプレステージ</t>
  </si>
  <si>
    <t>ジョンブル</t>
  </si>
  <si>
    <t>ブレーキレバー、シフトレバー</t>
  </si>
  <si>
    <t>エレメント</t>
  </si>
  <si>
    <t>オークション &gt; ファッション &gt; ブランド別 &gt; し &gt; ジョンブル</t>
  </si>
  <si>
    <t>オークション &gt; スポーツ、レジャー &gt; 自転車、サイクリング &gt; パーツ &gt; ブレーキレバー、シフトレバー</t>
  </si>
  <si>
    <t>オークション &gt; 自動車、オートバイ &gt; 中古車・新車 &gt; ホンダ &gt; エレメント</t>
  </si>
  <si>
    <t>自由区</t>
  </si>
  <si>
    <t>オークション &gt; ファッション &gt; ブランド別 &gt; し &gt; 自由区</t>
  </si>
  <si>
    <t>ギア、チェーン</t>
  </si>
  <si>
    <t>オデッセイ</t>
  </si>
  <si>
    <t>オークション &gt; スポーツ、レジャー &gt; 自転車、サイクリング &gt; パーツ &gt; ギア、チェーン</t>
  </si>
  <si>
    <t>オークション &gt; 自動車、オートバイ &gt; 中古車・新車 &gt; ホンダ &gt; オデッセイ</t>
  </si>
  <si>
    <t>シルヴァノ・ラッタンジ</t>
  </si>
  <si>
    <t>オークション &gt; ファッション &gt; ブランド別 &gt; し &gt; シルヴァノ・ラッタンジ</t>
  </si>
  <si>
    <t>ブレーキ</t>
  </si>
  <si>
    <t>オルティア</t>
  </si>
  <si>
    <t>ジル・サンダー</t>
  </si>
  <si>
    <t>オークション &gt; 自動車、オートバイ &gt; 中古車・新車 &gt; ホンダ &gt; オルティア</t>
  </si>
  <si>
    <t>オークション &gt; スポーツ、レジャー &gt; 自転車、サイクリング &gt; パーツ &gt; ブレーキ</t>
  </si>
  <si>
    <t>オークション &gt; ファッション &gt; ブランド別 &gt; し &gt; ジル・サンダー</t>
  </si>
  <si>
    <t>キャパ</t>
  </si>
  <si>
    <t>クランク、チェーンリング、ボトムブラケット</t>
  </si>
  <si>
    <t>ジルスチュアート</t>
  </si>
  <si>
    <t>オークション &gt; 自動車、オートバイ &gt; 中古車・新車 &gt; ホンダ &gt; キャパ</t>
  </si>
  <si>
    <t>オークション &gt; スポーツ、レジャー &gt; 自転車、サイクリング &gt; パーツ &gt; クランク、チェーンリング、ボトムブラケット</t>
  </si>
  <si>
    <t>オークション &gt; ファッション &gt; ブランド別 &gt; し &gt; ジルスチュアート</t>
  </si>
  <si>
    <t>ヘッドパーツ</t>
  </si>
  <si>
    <t>クロスロード</t>
  </si>
  <si>
    <t>シンシア・ローリー</t>
  </si>
  <si>
    <t>オークション &gt; スポーツ、レジャー &gt; 自転車、サイクリング &gt; パーツ &gt; ヘッドパーツ</t>
  </si>
  <si>
    <t>オークション &gt; 自動車、オートバイ &gt; 中古車・新車 &gt; ホンダ &gt; クロスロード</t>
  </si>
  <si>
    <t>オークション &gt; ファッション &gt; ブランド別 &gt; し &gt; シンシア・ローリー</t>
  </si>
  <si>
    <t>電動アシスト自転車用バッテリー</t>
  </si>
  <si>
    <t>ジンボリー</t>
  </si>
  <si>
    <t>オークション &gt; スポーツ、レジャー &gt; 自転車、サイクリング &gt; パーツ &gt; 電動アシスト自転車用バッテリー</t>
  </si>
  <si>
    <t>オークション &gt; ファッション &gt; ブランド別 &gt; し &gt; ジンボリー</t>
  </si>
  <si>
    <t>ザッツ</t>
  </si>
  <si>
    <t>オークション &gt; 自動車、オートバイ &gt; 中古車・新車 &gt; ホンダ &gt; ザッツ</t>
  </si>
  <si>
    <t>オークション &gt; スポーツ、レジャー &gt; 自転車、サイクリング &gt; パーツ &gt; その他</t>
  </si>
  <si>
    <t>オークション &gt; ファッション &gt; ブランド別 &gt; し &gt; その他</t>
  </si>
  <si>
    <t>シティ</t>
  </si>
  <si>
    <t>オークション &gt; 自動車、オートバイ &gt; 中古車・新車 &gt; ホンダ &gt; シティ</t>
  </si>
  <si>
    <t>スカルフライト</t>
  </si>
  <si>
    <t>オークション &gt; スポーツ、レジャー &gt; 自転車、サイクリング &gt; ウエア &gt; ヘルメット</t>
  </si>
  <si>
    <t>オークション &gt; ファッション &gt; ブランド別 &gt; す &gt; スカルフライト</t>
  </si>
  <si>
    <t>シビック</t>
  </si>
  <si>
    <t>スキャパ</t>
  </si>
  <si>
    <t>オークション &gt; 自動車、オートバイ &gt; 中古車・新車 &gt; ホンダ &gt; シビック</t>
  </si>
  <si>
    <t>オークション &gt; スポーツ、レジャー &gt; 自転車、サイクリング &gt; ウエア &gt; スポーツサングラス</t>
  </si>
  <si>
    <t>オークション &gt; ファッション &gt; ブランド別 &gt; す &gt; スキャパ</t>
  </si>
  <si>
    <t>ジャージ</t>
  </si>
  <si>
    <t>シビックシャトル</t>
  </si>
  <si>
    <t>ズッカ</t>
  </si>
  <si>
    <t>オークション &gt; スポーツ、レジャー &gt; 自転車、サイクリング &gt; ウエア &gt; ジャージ</t>
  </si>
  <si>
    <t>オークション &gt; 自動車、オートバイ &gt; 中古車・新車 &gt; ホンダ &gt; シビックシャトル</t>
  </si>
  <si>
    <t>オークション &gt; ファッション &gt; ブランド別 &gt; す &gt; ズッカ</t>
  </si>
  <si>
    <t>スタジオクリップ</t>
  </si>
  <si>
    <t>ジャケット</t>
  </si>
  <si>
    <t>オークション &gt; ファッション &gt; ブランド別 &gt; す &gt; スタジオクリップ</t>
  </si>
  <si>
    <t>シビックタイプR</t>
  </si>
  <si>
    <t>オークション &gt; スポーツ、レジャー &gt; 自転車、サイクリング &gt; ウエア &gt; ジャケット</t>
  </si>
  <si>
    <t>オークション &gt; 自動車、オートバイ &gt; 中古車・新車 &gt; ホンダ &gt; シビックタイプR</t>
  </si>
  <si>
    <t>スタニングルアー</t>
  </si>
  <si>
    <t>レーサーパンツ</t>
  </si>
  <si>
    <t>シビックハイブリッド</t>
  </si>
  <si>
    <t>オークション &gt; ファッション &gt; ブランド別 &gt; す &gt; スタニングルアー</t>
  </si>
  <si>
    <t>オークション &gt; スポーツ、レジャー &gt; 自転車、サイクリング &gt; ウエア &gt; レーサーパンツ</t>
  </si>
  <si>
    <t>オークション &gt; 自動車、オートバイ &gt; 中古車・新車 &gt; ホンダ &gt; シビックハイブリッド</t>
  </si>
  <si>
    <t>ステューシー</t>
  </si>
  <si>
    <t>シビックフェリオ</t>
  </si>
  <si>
    <t>オークション &gt; ファッション &gt; ブランド別 &gt; す &gt; ステューシー</t>
  </si>
  <si>
    <t>オークション &gt; スポーツ、レジャー &gt; 自転車、サイクリング &gt; ウエア &gt; パンツ</t>
  </si>
  <si>
    <t>オークション &gt; 自動車、オートバイ &gt; 中古車・新車 &gt; ホンダ &gt; シビックフェリオ</t>
  </si>
  <si>
    <t>ステュディオ・ダ・ルチザン</t>
  </si>
  <si>
    <t>ソックス</t>
  </si>
  <si>
    <t>オークション &gt; ファッション &gt; ブランド別 &gt; す &gt; ステュディオ・ダ・ルチザン</t>
  </si>
  <si>
    <t>ジェイド</t>
  </si>
  <si>
    <t>オークション &gt; スポーツ、レジャー &gt; 自転車、サイクリング &gt; ウエア &gt; ソックス</t>
  </si>
  <si>
    <t>オークション &gt; 自動車、オートバイ &gt; 中古車・新車 &gt; ホンダ &gt; ジェイド</t>
  </si>
  <si>
    <t>ステラ・マッカートニー</t>
  </si>
  <si>
    <t>オークション &gt; ファッション &gt; ブランド別 &gt; す &gt; ステラ・マッカートニー</t>
  </si>
  <si>
    <t>オークション &gt; スポーツ、レジャー &gt; 自転車、サイクリング &gt; ウエア &gt; シューズ</t>
  </si>
  <si>
    <t>ステップバン</t>
  </si>
  <si>
    <t>ストロベリーフィールズ</t>
  </si>
  <si>
    <t>オークション &gt; 自動車、オートバイ &gt; 中古車・新車 &gt; ホンダ &gt; ステップバン</t>
  </si>
  <si>
    <t>オークション &gt; ファッション &gt; ブランド別 &gt; す &gt; ストロベリーフィールズ</t>
  </si>
  <si>
    <t>ウォーマー、カバー</t>
  </si>
  <si>
    <t>オークション &gt; スポーツ、レジャー &gt; 自転車、サイクリング &gt; ウエア &gt; ウォーマー、カバー</t>
  </si>
  <si>
    <t>ステップワゴン</t>
  </si>
  <si>
    <t>オークション &gt; 自動車、オートバイ &gt; 中古車・新車 &gt; ホンダ &gt; ステップワゴン</t>
  </si>
  <si>
    <t>スーナウーナ</t>
  </si>
  <si>
    <t>オークション &gt; ファッション &gt; ブランド別 &gt; す &gt; スーナウーナ</t>
  </si>
  <si>
    <t>オークション &gt; スポーツ、レジャー &gt; 自転車、サイクリング &gt; ウエア &gt; グローブ</t>
  </si>
  <si>
    <t>ストリート</t>
  </si>
  <si>
    <t>オークション &gt; 自動車、オートバイ &gt; 中古車・新車 &gt; ホンダ &gt; ストリート</t>
  </si>
  <si>
    <t>スナイデル</t>
  </si>
  <si>
    <t>オークション &gt; ファッション &gt; ブランド別 &gt; す &gt; スナイデル</t>
  </si>
  <si>
    <t>オークション &gt; スポーツ、レジャー &gt; 自転車、サイクリング &gt; ウエア &gt; プロテクター</t>
  </si>
  <si>
    <t>ストリーム</t>
  </si>
  <si>
    <t>オークション &gt; 自動車、オートバイ &gt; 中古車・新車 &gt; ホンダ &gt; ストリーム</t>
  </si>
  <si>
    <t>スナオクワハラ</t>
  </si>
  <si>
    <t>オークション &gt; ファッション &gt; ブランド別 &gt; す &gt; スナオクワハラ</t>
  </si>
  <si>
    <t>帽子、キャップ</t>
  </si>
  <si>
    <t>オークション &gt; スポーツ、レジャー &gt; 自転車、サイクリング &gt; ウエア &gt; 帽子、キャップ</t>
  </si>
  <si>
    <t>セイバー</t>
  </si>
  <si>
    <t>オークション &gt; 自動車、オートバイ &gt; 中古車・新車 &gt; ホンダ &gt; セイバー</t>
  </si>
  <si>
    <t>スーパーハッカ</t>
  </si>
  <si>
    <t>オークション &gt; スポーツ、レジャー &gt; 自転車、サイクリング &gt; ウエア &gt; アウトドアウエア</t>
  </si>
  <si>
    <t>オークション &gt; ファッション &gt; ブランド別 &gt; す &gt; スーパーハッカ</t>
  </si>
  <si>
    <t>ゼスト</t>
  </si>
  <si>
    <t>オークション &gt; 自動車、オートバイ &gt; 中古車・新車 &gt; ホンダ &gt; ゼスト</t>
  </si>
  <si>
    <t>スーパーラヴァーズ</t>
  </si>
  <si>
    <t>オークション &gt; ファッション &gt; ブランド別 &gt; す &gt; スーパーラヴァーズ</t>
  </si>
  <si>
    <t>オークション &gt; スポーツ、レジャー &gt; 自転車、サイクリング &gt; ウエア &gt; スポーツウエア</t>
  </si>
  <si>
    <t>ゼストスパーク</t>
  </si>
  <si>
    <t>オークション &gt; 自動車、オートバイ &gt; 中古車・新車 &gt; ホンダ &gt; ゼストスパーク</t>
  </si>
  <si>
    <t>スパイラルガール</t>
  </si>
  <si>
    <t>オークション &gt; ファッション &gt; ブランド別 &gt; す &gt; スパイラルガール</t>
  </si>
  <si>
    <t>オークション &gt; スポーツ、レジャー &gt; 自転車、サイクリング &gt; ウエア &gt; その他</t>
  </si>
  <si>
    <t>トゥデイ</t>
  </si>
  <si>
    <t>オークション &gt; 自動車、オートバイ &gt; 中古車・新車 &gt; ホンダ &gt; トゥデイ</t>
  </si>
  <si>
    <t>スピック＆スパン</t>
  </si>
  <si>
    <t>オークション &gt; スポーツ、レジャー &gt; 自転車、サイクリング &gt; バッグ &gt; メッセンジャーバッグ</t>
  </si>
  <si>
    <t>オークション &gt; ファッション &gt; ブランド別 &gt; す &gt; スピック＆スパン</t>
  </si>
  <si>
    <t>トルネオ</t>
  </si>
  <si>
    <t>オークション &gt; 自動車、オートバイ &gt; 中古車・新車 &gt; ホンダ &gt; トルネオ</t>
  </si>
  <si>
    <t>スピワック</t>
  </si>
  <si>
    <t>オークション &gt; ファッション &gt; ブランド別 &gt; す &gt; スピワック</t>
  </si>
  <si>
    <t>オークション &gt; スポーツ、レジャー &gt; 自転車、サイクリング &gt; バッグ &gt; リュックサック</t>
  </si>
  <si>
    <t>ドマーニ</t>
  </si>
  <si>
    <t>オークション &gt; 自動車、オートバイ &gt; 中古車・新車 &gt; ホンダ &gt; ドマーニ</t>
  </si>
  <si>
    <t>スマッキーグラム</t>
  </si>
  <si>
    <t>サドルバッグ</t>
  </si>
  <si>
    <t>オークション &gt; ファッション &gt; ブランド別 &gt; す &gt; スマッキーグラム</t>
  </si>
  <si>
    <t>オークション &gt; スポーツ、レジャー &gt; 自転車、サイクリング &gt; バッグ &gt; サドルバッグ</t>
  </si>
  <si>
    <t>バモス</t>
  </si>
  <si>
    <t>オークション &gt; 自動車、オートバイ &gt; 中古車・新車 &gt; ホンダ &gt; バモス</t>
  </si>
  <si>
    <t>スモーク</t>
  </si>
  <si>
    <t>フロントバッグ</t>
  </si>
  <si>
    <t>オークション &gt; ファッション &gt; ブランド別 &gt; す &gt; スモーク</t>
  </si>
  <si>
    <t>バモスホビオ</t>
  </si>
  <si>
    <t>オークション &gt; スポーツ、レジャー &gt; 自転車、サイクリング &gt; バッグ &gt; フロントバッグ</t>
  </si>
  <si>
    <t>オークション &gt; 自動車、オートバイ &gt; 中古車・新車 &gt; ホンダ &gt; バモスホビオ</t>
  </si>
  <si>
    <t>3.1 Phillip Lim</t>
  </si>
  <si>
    <t>リアバッグ</t>
  </si>
  <si>
    <t>パートナー</t>
  </si>
  <si>
    <t>オークション &gt; ファッション &gt; ブランド別 &gt; す &gt; 3.1 Phillip Lim</t>
  </si>
  <si>
    <t>オークション &gt; スポーツ、レジャー &gt; 自転車、サイクリング &gt; バッグ &gt; リアバッグ</t>
  </si>
  <si>
    <t>オークション &gt; 自動車、オートバイ &gt; 中古車・新車 &gt; ホンダ &gt; パートナー</t>
  </si>
  <si>
    <t>輪行バッグ</t>
  </si>
  <si>
    <t>ビート</t>
  </si>
  <si>
    <t>スライ</t>
  </si>
  <si>
    <t>オークション &gt; スポーツ、レジャー &gt; 自転車、サイクリング &gt; バッグ &gt; 輪行バッグ</t>
  </si>
  <si>
    <t>オークション &gt; 自動車、オートバイ &gt; 中古車・新車 &gt; ホンダ &gt; ビート</t>
  </si>
  <si>
    <t>オークション &gt; ファッション &gt; ブランド別 &gt; す &gt; スライ</t>
  </si>
  <si>
    <t>ビガー</t>
  </si>
  <si>
    <t>スリードッツ</t>
  </si>
  <si>
    <t>オークション &gt; スポーツ、レジャー &gt; 自転車、サイクリング &gt; バッグ &gt; その他</t>
  </si>
  <si>
    <t>オークション &gt; 自動車、オートバイ &gt; 中古車・新車 &gt; ホンダ &gt; ビガー</t>
  </si>
  <si>
    <t>オークション &gt; ファッション &gt; ブランド別 &gt; す &gt; スリードッツ</t>
  </si>
  <si>
    <t>ライト</t>
  </si>
  <si>
    <t>オークション &gt; スポーツ、レジャー &gt; 自転車、サイクリング &gt; アクセサリー &gt; ライト</t>
  </si>
  <si>
    <t>スワッガー</t>
  </si>
  <si>
    <t>フィット</t>
  </si>
  <si>
    <t>オークション &gt; ファッション &gt; ブランド別 &gt; す &gt; スワッガー</t>
  </si>
  <si>
    <t>オークション &gt; 自動車、オートバイ &gt; 中古車・新車 &gt; ホンダ &gt; フィット</t>
  </si>
  <si>
    <t>鍵、ロック</t>
  </si>
  <si>
    <t>オークション &gt; スポーツ、レジャー &gt; 自転車、サイクリング &gt; アクセサリー &gt; 鍵、ロック</t>
  </si>
  <si>
    <t>オークション &gt; ファッション &gt; ブランド別 &gt; す &gt; その他</t>
  </si>
  <si>
    <t>フィットアリア</t>
  </si>
  <si>
    <t>オークション &gt; 自動車、オートバイ &gt; 中古車・新車 &gt; ホンダ &gt; フィットアリア</t>
  </si>
  <si>
    <t>空気入れ</t>
  </si>
  <si>
    <t>セオリー</t>
  </si>
  <si>
    <t>オークション &gt; ファッション &gt; ブランド別 &gt; せ/そ &gt; セオリー</t>
  </si>
  <si>
    <t>オークション &gt; スポーツ、レジャー &gt; 自転車、サイクリング &gt; アクセサリー &gt; 空気入れ</t>
  </si>
  <si>
    <t>フィットシャトル</t>
  </si>
  <si>
    <t>オークション &gt; 自動車、オートバイ &gt; 中古車・新車 &gt; ホンダ &gt; フィットシャトル</t>
  </si>
  <si>
    <t>セシルマクビー</t>
  </si>
  <si>
    <t>オークション &gt; ファッション &gt; ブランド別 &gt; せ/そ &gt; セシルマクビー</t>
  </si>
  <si>
    <t>オークション &gt; スポーツ、レジャー &gt; 自転車、サイクリング &gt; アクセサリー &gt; スタンド</t>
  </si>
  <si>
    <t>フィットハイブリッド</t>
  </si>
  <si>
    <t>オークション &gt; 自動車、オートバイ &gt; 中古車・新車 &gt; ホンダ &gt; フィットハイブリッド</t>
  </si>
  <si>
    <t>ゼニア</t>
  </si>
  <si>
    <t>オークション &gt; ファッション &gt; ブランド別 &gt; せ/そ &gt; ゼニア</t>
  </si>
  <si>
    <t>サイクルコンピューター</t>
  </si>
  <si>
    <t>オークション &gt; スポーツ、レジャー &gt; 自転車、サイクリング &gt; アクセサリー &gt; サイクルコンピューター</t>
  </si>
  <si>
    <t>フリード</t>
  </si>
  <si>
    <t>セブントゥエルブサーティー</t>
  </si>
  <si>
    <t>オークション &gt; 自動車、オートバイ &gt; 中古車・新車 &gt; ホンダ &gt; フリード</t>
  </si>
  <si>
    <t>オークション &gt; ファッション &gt; ブランド別 &gt; せ/そ &gt; セブントゥエルブサーティー</t>
  </si>
  <si>
    <t>ボトル、ボトルケージ</t>
  </si>
  <si>
    <t>オークション &gt; スポーツ、レジャー &gt; 自転車、サイクリング &gt; アクセサリー &gt; ボトル、ボトルケージ</t>
  </si>
  <si>
    <t>フリードスパイク</t>
  </si>
  <si>
    <t>セブンフォーオールマンカインド</t>
  </si>
  <si>
    <t>オークション &gt; 自動車、オートバイ &gt; 中古車・新車 &gt; ホンダ &gt; フリードスパイク</t>
  </si>
  <si>
    <t>オークション &gt; ファッション &gt; ブランド別 &gt; せ/そ &gt; セブンフォーオールマンカインド</t>
  </si>
  <si>
    <t>フェンダー、泥除け</t>
  </si>
  <si>
    <t>オークション &gt; スポーツ、レジャー &gt; 自転車、サイクリング &gt; アクセサリー &gt; フェンダー、泥除け</t>
  </si>
  <si>
    <t>プレリュード</t>
  </si>
  <si>
    <t>セリーヌ</t>
  </si>
  <si>
    <t>オークション &gt; 自動車、オートバイ &gt; 中古車・新車 &gt; ホンダ &gt; プレリュード</t>
  </si>
  <si>
    <t>オークション &gt; ファッション &gt; ブランド別 &gt; せ/そ &gt; セリーヌ</t>
  </si>
  <si>
    <t>キャリア、荷台</t>
  </si>
  <si>
    <t>オークション &gt; スポーツ、レジャー &gt; 自転車、サイクリング &gt; アクセサリー &gt; キャリア、荷台</t>
  </si>
  <si>
    <t>ホンダS600</t>
  </si>
  <si>
    <t>セルジオ･ロッシ</t>
  </si>
  <si>
    <t>オークション &gt; 自動車、オートバイ &gt; 中古車・新車 &gt; ホンダ &gt; ホンダS600</t>
  </si>
  <si>
    <t>オークション &gt; ファッション &gt; ブランド別 &gt; せ/そ &gt; セルジオ･ロッシ</t>
  </si>
  <si>
    <t>チャイルドシート</t>
  </si>
  <si>
    <t>オークション &gt; スポーツ、レジャー &gt; 自転車、サイクリング &gt; アクセサリー &gt; チャイルドシート</t>
  </si>
  <si>
    <t>ホンダS800</t>
  </si>
  <si>
    <t>オークション &gt; 自動車、オートバイ &gt; 中古車・新車 &gt; ホンダ &gt; ホンダS800</t>
  </si>
  <si>
    <t>ゼロハリバートン</t>
  </si>
  <si>
    <t>オークション &gt; ファッション &gt; ブランド別 &gt; せ/そ &gt; ゼロハリバートン</t>
  </si>
  <si>
    <t>オークション &gt; スポーツ、レジャー &gt; 自転車、サイクリング &gt; アクセサリー &gt; フロントバッグ</t>
  </si>
  <si>
    <t>モビリオ</t>
  </si>
  <si>
    <t>オークション &gt; 自動車、オートバイ &gt; 中古車・新車 &gt; ホンダ &gt; モビリオ</t>
  </si>
  <si>
    <t>セントジェームス</t>
  </si>
  <si>
    <t>オークション &gt; ファッション &gt; ブランド別 &gt; せ/そ &gt; セントジェームス</t>
  </si>
  <si>
    <t>オークション &gt; スポーツ、レジャー &gt; 自転車、サイクリング &gt; アクセサリー &gt; リアバッグ</t>
  </si>
  <si>
    <t>モビリオスパイク</t>
  </si>
  <si>
    <t>オークション &gt; 自動車、オートバイ &gt; 中古車・新車 &gt; ホンダ &gt; モビリオスパイク</t>
  </si>
  <si>
    <t>ソーイ</t>
  </si>
  <si>
    <t>オークション &gt; ファッション &gt; ブランド別 &gt; せ/そ &gt; ソーイ</t>
  </si>
  <si>
    <t>ライフ</t>
  </si>
  <si>
    <t>オークション &gt; スポーツ、レジャー &gt; 自転車、サイクリング &gt; アクセサリー &gt; サドルバッグ</t>
  </si>
  <si>
    <t>オークション &gt; 自動車、オートバイ &gt; 中古車・新車 &gt; ホンダ &gt; ライフ</t>
  </si>
  <si>
    <t>ソードフィッシュ</t>
  </si>
  <si>
    <t>オークション &gt; ファッション &gt; ブランド別 &gt; せ/そ &gt; ソードフィッシュ</t>
  </si>
  <si>
    <t>前カゴ</t>
  </si>
  <si>
    <t>ライフダンク</t>
  </si>
  <si>
    <t>オークション &gt; スポーツ、レジャー &gt; 自転車、サイクリング &gt; アクセサリー &gt; 前カゴ</t>
  </si>
  <si>
    <t>オークション &gt; 自動車、オートバイ &gt; 中古車・新車 &gt; ホンダ &gt; ライフダンク</t>
  </si>
  <si>
    <t>ソニアリキエル</t>
  </si>
  <si>
    <t>オークション &gt; ファッション &gt; ブランド別 &gt; せ/そ &gt; ソニアリキエル</t>
  </si>
  <si>
    <t>後カゴ</t>
  </si>
  <si>
    <t>ライフティーバ</t>
  </si>
  <si>
    <t>オークション &gt; スポーツ、レジャー &gt; 自転車、サイクリング &gt; アクセサリー &gt; 後カゴ</t>
  </si>
  <si>
    <t>オークション &gt; 自動車、オートバイ &gt; 中古車・新車 &gt; ホンダ &gt; ライフティーバ</t>
  </si>
  <si>
    <t>ソフネット</t>
  </si>
  <si>
    <t>オークション &gt; ファッション &gt; ブランド別 &gt; せ/そ &gt; ソフネット</t>
  </si>
  <si>
    <t>ラグレイト</t>
  </si>
  <si>
    <t>オークション &gt; 自動車、オートバイ &gt; 中古車・新車 &gt; ホンダ &gt; ラグレイト</t>
  </si>
  <si>
    <t>輪行袋</t>
  </si>
  <si>
    <t>オークション &gt; スポーツ、レジャー &gt; 自転車、サイクリング &gt; アクセサリー &gt; 輪行袋</t>
  </si>
  <si>
    <t>オークション &gt; ファッション &gt; ブランド別 &gt; せ/そ &gt; その他</t>
  </si>
  <si>
    <t>レジェンド</t>
  </si>
  <si>
    <t>バーテープ</t>
  </si>
  <si>
    <t>オークション &gt; 自動車、オートバイ &gt; 中古車・新車 &gt; ホンダ &gt; レジェンド</t>
  </si>
  <si>
    <t>オークション &gt; スポーツ、レジャー &gt; 自転車、サイクリング &gt; アクセサリー &gt; バーテープ</t>
  </si>
  <si>
    <t>ダイアナ</t>
  </si>
  <si>
    <t>オークション &gt; ファッション &gt; ブランド別 &gt; た/ち/つ &gt; ダイアナ</t>
  </si>
  <si>
    <t>ロゴ</t>
  </si>
  <si>
    <t>グリップ</t>
  </si>
  <si>
    <t>オークション &gt; 自動車、オートバイ &gt; 中古車・新車 &gt; ホンダ &gt; ロゴ</t>
  </si>
  <si>
    <t>ダイアン・フォン・ファステンバーグ</t>
  </si>
  <si>
    <t>オークション &gt; スポーツ、レジャー &gt; 自転車、サイクリング &gt; アクセサリー &gt; グリップ</t>
  </si>
  <si>
    <t>オークション &gt; ファッション &gt; ブランド別 &gt; た/ち/つ &gt; ダイアン・フォン・ファステンバーグ</t>
  </si>
  <si>
    <t>バーエンド</t>
  </si>
  <si>
    <t>タケオキクチ</t>
  </si>
  <si>
    <t>オークション &gt; スポーツ、レジャー &gt; 自転車、サイクリング &gt; アクセサリー &gt; バーエンド</t>
  </si>
  <si>
    <t>ヴェゼル</t>
  </si>
  <si>
    <t>オークション &gt; ファッション &gt; ブランド別 &gt; た/ち/つ &gt; タケオキクチ</t>
  </si>
  <si>
    <t>オークション &gt; 自動車、オートバイ &gt; 中古車・新車 &gt; ホンダ &gt; ヴェゼル</t>
  </si>
  <si>
    <t>ダズリン</t>
  </si>
  <si>
    <t>オークション &gt; スポーツ、レジャー &gt; 自転車、サイクリング &gt; アクセサリー &gt; スポーツ心拍計</t>
  </si>
  <si>
    <t>ヴェゼルハイブリッド</t>
  </si>
  <si>
    <t>オークション &gt; 自動車、オートバイ &gt; 中古車・新車 &gt; ホンダ &gt; ヴェゼルハイブリッド</t>
  </si>
  <si>
    <t>オークション &gt; ファッション &gt; ブランド別 &gt; た/ち/つ &gt; ダズリン</t>
  </si>
  <si>
    <t>鍵、ロック（オートバイ用）</t>
  </si>
  <si>
    <t>オークション &gt; スポーツ、レジャー &gt; 自転車、サイクリング &gt; アクセサリー &gt; 鍵、ロック（オートバイ用）</t>
  </si>
  <si>
    <t>ダックス</t>
  </si>
  <si>
    <t>オークション &gt; ファッション &gt; ブランド別 &gt; た/ち/つ &gt; ダックス</t>
  </si>
  <si>
    <t>オークション &gt; 自動車、オートバイ &gt; 中古車・新車 &gt; ホンダ &gt; その他</t>
  </si>
  <si>
    <t>ツーリング用テント</t>
  </si>
  <si>
    <t>オークション &gt; スポーツ、レジャー &gt; 自転車、サイクリング &gt; アクセサリー &gt; ツーリング用テント</t>
  </si>
  <si>
    <t>ダナ･キャラン、DKNY</t>
  </si>
  <si>
    <t>オークション &gt; ファッション &gt; ブランド別 &gt; た/ち/つ &gt; ダナ･キャラン、DKNY</t>
  </si>
  <si>
    <t>AZ-1</t>
  </si>
  <si>
    <t>オークション &gt; 自動車、オートバイ &gt; 中古車・新車 &gt; マツダ &gt; AZ-1</t>
  </si>
  <si>
    <t>オークション &gt; スポーツ、レジャー &gt; 自転車、サイクリング &gt; アクセサリー &gt; その他</t>
  </si>
  <si>
    <t>ダナー</t>
  </si>
  <si>
    <t>オークション &gt; ファッション &gt; ブランド別 &gt; た/ち/つ &gt; ダナー</t>
  </si>
  <si>
    <t>マルチツール</t>
  </si>
  <si>
    <t>AZ-3</t>
  </si>
  <si>
    <t>オークション &gt; スポーツ、レジャー &gt; 自転車、サイクリング &gt; 工具、メンテナンス &gt; マルチツール</t>
  </si>
  <si>
    <t>オークション &gt; 自動車、オートバイ &gt; 中古車・新車 &gt; マツダ &gt; AZ-3</t>
  </si>
  <si>
    <t>タバサ</t>
  </si>
  <si>
    <t>オークション &gt; ファッション &gt; ブランド別 &gt; た/ち/つ &gt; タバサ</t>
  </si>
  <si>
    <t>AZ-オフロード</t>
  </si>
  <si>
    <t>オークション &gt; 自動車、オートバイ &gt; 中古車・新車 &gt; マツダ &gt; AZ-オフロード</t>
  </si>
  <si>
    <t>ダーバン</t>
  </si>
  <si>
    <t>工具（セット）</t>
  </si>
  <si>
    <t>オークション &gt; ファッション &gt; ブランド別 &gt; た/ち/つ &gt; ダーバン</t>
  </si>
  <si>
    <t>オークション &gt; スポーツ、レジャー &gt; 自転車、サイクリング &gt; 工具、メンテナンス &gt; 工具（セット）</t>
  </si>
  <si>
    <t>AZ-ワゴン</t>
  </si>
  <si>
    <t>オークション &gt; 自動車、オートバイ &gt; 中古車・新車 &gt; マツダ &gt; AZ-ワゴン</t>
  </si>
  <si>
    <t>ダブルアール</t>
  </si>
  <si>
    <t>オークション &gt; ファッション &gt; ブランド別 &gt; た/ち/つ &gt; ダブルアール</t>
  </si>
  <si>
    <t>工具（単品）</t>
  </si>
  <si>
    <t>オークション &gt; スポーツ、レジャー &gt; 自転車、サイクリング &gt; 工具、メンテナンス &gt; 工具（単品）</t>
  </si>
  <si>
    <t>CX-5</t>
  </si>
  <si>
    <t>オークション &gt; 自動車、オートバイ &gt; 中古車・新車 &gt; マツダ &gt; CX-5</t>
  </si>
  <si>
    <t>RRL</t>
  </si>
  <si>
    <t>潤滑剤</t>
  </si>
  <si>
    <t>オークション &gt; ファッション &gt; ブランド別 &gt; た/ち/つ &gt; RRL</t>
  </si>
  <si>
    <t>オークション &gt; スポーツ、レジャー &gt; 自転車、サイクリング &gt; 工具、メンテナンス &gt; 潤滑剤</t>
  </si>
  <si>
    <t>CX-7</t>
  </si>
  <si>
    <t>オークション &gt; 自動車、オートバイ &gt; 中古車・新車 &gt; マツダ &gt; CX-7</t>
  </si>
  <si>
    <t>洗浄剤</t>
  </si>
  <si>
    <t>オークション &gt; スポーツ、レジャー &gt; 自転車、サイクリング &gt; 工具、メンテナンス &gt; 洗浄剤</t>
  </si>
  <si>
    <t>MPV</t>
  </si>
  <si>
    <t>wjk</t>
  </si>
  <si>
    <t>オークション &gt; 自動車、オートバイ &gt; 中古車・新車 &gt; マツダ &gt; MPV</t>
  </si>
  <si>
    <t>オークション &gt; ファッション &gt; ブランド別 &gt; た/ち/つ &gt; wjk</t>
  </si>
  <si>
    <t>オークション &gt; スポーツ、レジャー &gt; 自転車、サイクリング &gt; 工具、メンテナンス &gt; スタンド</t>
  </si>
  <si>
    <t>WC</t>
  </si>
  <si>
    <t>MX-6</t>
  </si>
  <si>
    <t>オークション &gt; ファッション &gt; ブランド別 &gt; た/ち/つ &gt; WC</t>
  </si>
  <si>
    <t>オークション &gt; 自動車、オートバイ &gt; 中古車・新車 &gt; マツダ &gt; MX-6</t>
  </si>
  <si>
    <t>ダブルスタンダードクロージング</t>
  </si>
  <si>
    <t>RX-7</t>
  </si>
  <si>
    <t>オークション &gt; スポーツ、レジャー &gt; 自転車、サイクリング &gt; 工具、メンテナンス &gt; その他</t>
  </si>
  <si>
    <t>オークション &gt; ファッション &gt; ブランド別 &gt; た/ち/つ &gt; ダブルスタンダードクロージング</t>
  </si>
  <si>
    <t>オークション &gt; 自動車、オートバイ &gt; 中古車・新車 &gt; マツダ &gt; RX-7</t>
  </si>
  <si>
    <t>ユニフォーム</t>
  </si>
  <si>
    <t>RX-8</t>
  </si>
  <si>
    <t>ダブルタップス</t>
  </si>
  <si>
    <t>オークション &gt; 自動車、オートバイ &gt; 中古車・新車 &gt; マツダ &gt; RX-8</t>
  </si>
  <si>
    <t>オークション &gt; スポーツ、レジャー &gt; 競輪 &gt; ユニフォーム</t>
  </si>
  <si>
    <t>オークション &gt; ファッション &gt; ブランド別 &gt; た/ち/つ &gt; ダブルタップス</t>
  </si>
  <si>
    <t>アクセラスポーツ（ハッチバック）</t>
  </si>
  <si>
    <t>オークション &gt; 自動車、オートバイ &gt; 中古車・新車 &gt; マツダ &gt; アクセラスポーツ（ハッチバック）</t>
  </si>
  <si>
    <t>タルボット</t>
  </si>
  <si>
    <t>オークション &gt; ファッション &gt; ブランド別 &gt; た/ち/つ &gt; タルボット</t>
  </si>
  <si>
    <t>オークション &gt; スポーツ、レジャー &gt; 競輪 &gt; 車体</t>
  </si>
  <si>
    <t>アクセラセダン</t>
  </si>
  <si>
    <t>オークション &gt; 自動車、オートバイ &gt; 中古車・新車 &gt; マツダ &gt; アクセラセダン</t>
  </si>
  <si>
    <t>ダンヒル</t>
  </si>
  <si>
    <t>オークション &gt; ファッション &gt; ブランド別 &gt; た/ち/つ &gt; ダンヒル</t>
  </si>
  <si>
    <t>オークション &gt; スポーツ、レジャー &gt; 競輪 &gt; フレーム</t>
  </si>
  <si>
    <t>チェスティ</t>
  </si>
  <si>
    <t>オークション &gt; ファッション &gt; ブランド別 &gt; た/ち/つ &gt; チェスティ</t>
  </si>
  <si>
    <t>アクセラハイブリッド</t>
  </si>
  <si>
    <t>オークション &gt; スポーツ、レジャー &gt; 競輪 &gt; テレホンカード</t>
  </si>
  <si>
    <t>オークション &gt; 自動車、オートバイ &gt; 中古車・新車 &gt; マツダ &gt; アクセラハイブリッド</t>
  </si>
  <si>
    <t>チチカカ</t>
  </si>
  <si>
    <t>オークション &gt; ファッション &gt; ブランド別 &gt; た/ち/つ &gt; チチカカ</t>
  </si>
  <si>
    <t>オークション &gt; スポーツ、レジャー &gt; 競輪 &gt; その他</t>
  </si>
  <si>
    <t>アテンザ</t>
  </si>
  <si>
    <t>オークション &gt; 自動車、オートバイ &gt; 中古車・新車 &gt; マツダ &gt; アテンザ</t>
  </si>
  <si>
    <t>チペワ</t>
  </si>
  <si>
    <t>オークション &gt; ファッション &gt; ブランド別 &gt; た/ち/つ &gt; チペワ</t>
  </si>
  <si>
    <t>海水</t>
  </si>
  <si>
    <t>アテンザスポーツ</t>
  </si>
  <si>
    <t>オークション &gt; スポーツ、レジャー &gt; フィッシング &gt; ロッド &gt; 海水</t>
  </si>
  <si>
    <t>チャーチ</t>
  </si>
  <si>
    <t>オークション &gt; 自動車、オートバイ &gt; 中古車・新車 &gt; マツダ &gt; アテンザスポーツ</t>
  </si>
  <si>
    <t>オークション &gt; ファッション &gt; ブランド別 &gt; た/ち/つ &gt; チャーチ</t>
  </si>
  <si>
    <t>淡水</t>
  </si>
  <si>
    <t>オークション &gt; スポーツ、レジャー &gt; フィッシング &gt; ロッド &gt; 淡水</t>
  </si>
  <si>
    <t>アテンザスポーツワゴン</t>
  </si>
  <si>
    <t>オークション &gt; 自動車、オートバイ &gt; 中古車・新車 &gt; マツダ &gt; アテンザスポーツワゴン</t>
  </si>
  <si>
    <t>チャイルドウーマン</t>
  </si>
  <si>
    <t>オークション &gt; ファッション &gt; ブランド別 &gt; た/ち/つ &gt; チャイルドウーマン</t>
  </si>
  <si>
    <t>ロッドスタンド</t>
  </si>
  <si>
    <t>アンフィニMS-6</t>
  </si>
  <si>
    <t>オークション &gt; スポーツ、レジャー &gt; フィッシング &gt; ロッド &gt; ロッドスタンド</t>
  </si>
  <si>
    <t>オークション &gt; 自動車、オートバイ &gt; 中古車・新車 &gt; マツダ &gt; アンフィニMS-6</t>
  </si>
  <si>
    <t>チャオパニック</t>
  </si>
  <si>
    <t>スピニングリール</t>
  </si>
  <si>
    <t>オークション &gt; ファッション &gt; ブランド別 &gt; た/ち/つ &gt; チャオパニック</t>
  </si>
  <si>
    <t>オークション &gt; スポーツ、レジャー &gt; フィッシング &gt; リール &gt; スピニングリール</t>
  </si>
  <si>
    <t>アンフィニMS-8</t>
  </si>
  <si>
    <t>オークション &gt; 自動車、オートバイ &gt; 中古車・新車 &gt; マツダ &gt; アンフィニMS-8</t>
  </si>
  <si>
    <t>ベイトリール</t>
  </si>
  <si>
    <t>オークション &gt; スポーツ、レジャー &gt; フィッシング &gt; リール &gt; ベイトリール</t>
  </si>
  <si>
    <t>チャビーギャング</t>
  </si>
  <si>
    <t>オークション &gt; ファッション &gt; ブランド別 &gt; た/ち/つ &gt; チャビーギャング</t>
  </si>
  <si>
    <t>アンフィニMS-9</t>
  </si>
  <si>
    <t>フライリール</t>
  </si>
  <si>
    <t>オークション &gt; 自動車、オートバイ &gt; 中古車・新車 &gt; マツダ &gt; アンフィニMS-9</t>
  </si>
  <si>
    <t>オークション &gt; スポーツ、レジャー &gt; フィッシング &gt; リール &gt; フライリール</t>
  </si>
  <si>
    <t>チャムス</t>
  </si>
  <si>
    <t>カペラ</t>
  </si>
  <si>
    <t>オークション &gt; ファッション &gt; ブランド別 &gt; た/ち/つ &gt; チャムス</t>
  </si>
  <si>
    <t>オークション &gt; 自動車、オートバイ &gt; 中古車・新車 &gt; マツダ &gt; カペラ</t>
  </si>
  <si>
    <t>船用</t>
  </si>
  <si>
    <t>オークション &gt; スポーツ、レジャー &gt; フィッシング &gt; リール &gt; 船用</t>
  </si>
  <si>
    <t>チャンピオン</t>
  </si>
  <si>
    <t>カペラカーゴ、ワゴン</t>
  </si>
  <si>
    <t>オークション &gt; ファッション &gt; ブランド別 &gt; た/ち/つ &gt; チャンピオン</t>
  </si>
  <si>
    <t>オークション &gt; 自動車、オートバイ &gt; 中古車・新車 &gt; マツダ &gt; カペラカーゴ、ワゴン</t>
  </si>
  <si>
    <t>チヌ用</t>
  </si>
  <si>
    <t>オークション &gt; スポーツ、レジャー &gt; フィッシング &gt; リール &gt; チヌ用</t>
  </si>
  <si>
    <t>ツモリチサト</t>
  </si>
  <si>
    <t>オークション &gt; ファッション &gt; ブランド別 &gt; た/ち/つ &gt; ツモリチサト</t>
  </si>
  <si>
    <t>キャロル</t>
  </si>
  <si>
    <t>オークション &gt; 自動車、オートバイ &gt; 中古車・新車 &gt; マツダ &gt; キャロル</t>
  </si>
  <si>
    <t>オークション &gt; スポーツ、レジャー &gt; フィッシング &gt; リール &gt; その他</t>
  </si>
  <si>
    <t>オークション &gt; ファッション &gt; ブランド別 &gt; た/ち/つ &gt; その他</t>
  </si>
  <si>
    <t>クロノス</t>
  </si>
  <si>
    <t>ソフトルアー</t>
  </si>
  <si>
    <t>オークション &gt; 自動車、オートバイ &gt; 中古車・新車 &gt; マツダ &gt; クロノス</t>
  </si>
  <si>
    <t>オークション &gt; スポーツ、レジャー &gt; フィッシング &gt; ルアー用品 &gt; ソフトルアー</t>
  </si>
  <si>
    <t>D＆G</t>
  </si>
  <si>
    <t>オークション &gt; ファッション &gt; ブランド別 &gt; て &gt; D＆G</t>
  </si>
  <si>
    <t>ハードルアー</t>
  </si>
  <si>
    <t>オークション &gt; スポーツ、レジャー &gt; フィッシング &gt; ルアー用品 &gt; ハードルアー</t>
  </si>
  <si>
    <t>コスモスポーツ</t>
  </si>
  <si>
    <t>TMT</t>
  </si>
  <si>
    <t>オークション &gt; 自動車、オートバイ &gt; 中古車・新車 &gt; マツダ &gt; コスモスポーツ</t>
  </si>
  <si>
    <t>オークション &gt; ファッション &gt; ブランド別 &gt; て &gt; TMT</t>
  </si>
  <si>
    <t>ライン</t>
  </si>
  <si>
    <t>オークション &gt; スポーツ、レジャー &gt; フィッシング &gt; ルアー用品 &gt; ライン</t>
  </si>
  <si>
    <t>サバンナRX-7</t>
  </si>
  <si>
    <t>ティアラ</t>
  </si>
  <si>
    <t>オークション &gt; 自動車、オートバイ &gt; 中古車・新車 &gt; マツダ &gt; サバンナRX-7</t>
  </si>
  <si>
    <t>オークション &gt; ファッション &gt; ブランド別 &gt; て &gt; ティアラ</t>
  </si>
  <si>
    <t>海水用ロッド</t>
  </si>
  <si>
    <t>オークション &gt; スポーツ、レジャー &gt; フィッシング &gt; ルアー用品 &gt; 海水用ロッド</t>
  </si>
  <si>
    <t>シャンテ</t>
  </si>
  <si>
    <t>ティンカーベル</t>
  </si>
  <si>
    <t>オークション &gt; 自動車、オートバイ &gt; 中古車・新車 &gt; マツダ &gt; シャンテ</t>
  </si>
  <si>
    <t>オークション &gt; ファッション &gt; ブランド別 &gt; て &gt; ティンカーベル</t>
  </si>
  <si>
    <t>淡水用ロッド</t>
  </si>
  <si>
    <t>オークション &gt; スポーツ、レジャー &gt; フィッシング &gt; ルアー用品 &gt; 淡水用ロッド</t>
  </si>
  <si>
    <t>ディアプリンセス</t>
  </si>
  <si>
    <t>オークション &gt; ファッション &gt; ブランド別 &gt; て &gt; ディアプリンセス</t>
  </si>
  <si>
    <t>スクラム</t>
  </si>
  <si>
    <t>オークション &gt; 自動車、オートバイ &gt; 中古車・新車 &gt; マツダ &gt; スクラム</t>
  </si>
  <si>
    <t>オークション &gt; スポーツ、レジャー &gt; フィッシング &gt; ルアー用品 &gt; その他</t>
  </si>
  <si>
    <t>ディオール</t>
  </si>
  <si>
    <t>オークション &gt; ファッション &gt; ブランド別 &gt; て &gt; ディオール</t>
  </si>
  <si>
    <t>スピアーノ</t>
  </si>
  <si>
    <t>フィッシングスーツ</t>
  </si>
  <si>
    <t>オークション &gt; 自動車、オートバイ &gt; 中古車・新車 &gt; マツダ &gt; スピアーノ</t>
  </si>
  <si>
    <t>オークション &gt; スポーツ、レジャー &gt; フィッシング &gt; ウエア &gt; フィッシングスーツ</t>
  </si>
  <si>
    <t>デイジーラヴァーズ</t>
  </si>
  <si>
    <t>オークション &gt; ファッション &gt; ブランド別 &gt; て &gt; デイジーラヴァーズ</t>
  </si>
  <si>
    <t>センティア</t>
  </si>
  <si>
    <t>オークション &gt; スポーツ、レジャー &gt; フィッシング &gt; ウエア &gt; ジャケット</t>
  </si>
  <si>
    <t>オークション &gt; 自動車、オートバイ &gt; 中古車・新車 &gt; マツダ &gt; センティア</t>
  </si>
  <si>
    <t>DKNY</t>
  </si>
  <si>
    <t>オークション &gt; ファッション &gt; ブランド別 &gt; て &gt; DKNY</t>
  </si>
  <si>
    <t>ベスト</t>
  </si>
  <si>
    <t>タイタン</t>
  </si>
  <si>
    <t>ディグレース</t>
  </si>
  <si>
    <t>オークション &gt; 自動車、オートバイ &gt; 中古車・新車 &gt; マツダ &gt; タイタン</t>
  </si>
  <si>
    <t>オークション &gt; スポーツ、レジャー &gt; フィッシング &gt; ウエア &gt; ベスト</t>
  </si>
  <si>
    <t>オークション &gt; ファッション &gt; ブランド別 &gt; て &gt; ディグレース</t>
  </si>
  <si>
    <t>デミオ</t>
  </si>
  <si>
    <t>ディースクエアード</t>
  </si>
  <si>
    <t>オークション &gt; スポーツ、レジャー &gt; フィッシング &gt; ウエア &gt; ライフジャケット</t>
  </si>
  <si>
    <t>オークション &gt; 自動車、オートバイ &gt; 中古車・新車 &gt; マツダ &gt; デミオ</t>
  </si>
  <si>
    <t>オークション &gt; ファッション &gt; ブランド別 &gt; て &gt; ディースクエアード</t>
  </si>
  <si>
    <t>ウェーダー</t>
  </si>
  <si>
    <t>トリビュート</t>
  </si>
  <si>
    <t>オークション &gt; スポーツ、レジャー &gt; フィッシング &gt; ウエア &gt; ウェーダー</t>
  </si>
  <si>
    <t>ディーゼル</t>
  </si>
  <si>
    <t>オークション &gt; 自動車、オートバイ &gt; 中古車・新車 &gt; マツダ &gt; トリビュート</t>
  </si>
  <si>
    <t>オークション &gt; ファッション &gt; ブランド別 &gt; て &gt; ディーゼル</t>
  </si>
  <si>
    <t>グローブ、手袋</t>
  </si>
  <si>
    <t>オークション &gt; スポーツ、レジャー &gt; フィッシング &gt; ウエア &gt; グローブ、手袋</t>
  </si>
  <si>
    <t>デイシー</t>
  </si>
  <si>
    <t>ビアンテ</t>
  </si>
  <si>
    <t>オークション &gt; ファッション &gt; ブランド別 &gt; て &gt; デイシー</t>
  </si>
  <si>
    <t>オークション &gt; 自動車、オートバイ &gt; 中古車・新車 &gt; マツダ &gt; ビアンテ</t>
  </si>
  <si>
    <t>オークション &gt; スポーツ、レジャー &gt; フィッシング &gt; ウエア &gt; 帽子</t>
  </si>
  <si>
    <t>ディッキーズ</t>
  </si>
  <si>
    <t>オークション &gt; ファッション &gt; ブランド別 &gt; て &gt; ディッキーズ</t>
  </si>
  <si>
    <t>ファミリア</t>
  </si>
  <si>
    <t>オークション &gt; スポーツ、レジャー &gt; フィッシング &gt; ウエア &gt; スポーツサングラス</t>
  </si>
  <si>
    <t>オークション &gt; 自動車、オートバイ &gt; 中古車・新車 &gt; マツダ &gt; ファミリア</t>
  </si>
  <si>
    <t>ティファニー</t>
  </si>
  <si>
    <t>オークション &gt; ファッション &gt; ブランド別 &gt; て &gt; ティファニー</t>
  </si>
  <si>
    <t>オークション &gt; スポーツ、レジャー &gt; フィッシング &gt; ウエア &gt; その他</t>
  </si>
  <si>
    <t>ファミリアS-ワゴン</t>
  </si>
  <si>
    <t>DEAN＆DELUCA</t>
  </si>
  <si>
    <t>オークション &gt; 自動車、オートバイ &gt; 中古車・新車 &gt; マツダ &gt; ファミリアS-ワゴン</t>
  </si>
  <si>
    <t>ハリス</t>
  </si>
  <si>
    <t>オークション &gt; ファッション &gt; ブランド別 &gt; て &gt; DEAN＆DELUCA</t>
  </si>
  <si>
    <t>オークション &gt; スポーツ、レジャー &gt; フィッシング &gt; 釣り糸、ライン &gt; ハリス</t>
  </si>
  <si>
    <t>フレアクロスオーバー</t>
  </si>
  <si>
    <t>オークション &gt; 自動車、オートバイ &gt; 中古車・新車 &gt; マツダ &gt; フレアクロスオーバー</t>
  </si>
  <si>
    <t>アユ用</t>
  </si>
  <si>
    <t>ティンバーランド</t>
  </si>
  <si>
    <t>オークション &gt; スポーツ、レジャー &gt; フィッシング &gt; 釣り糸、ライン &gt; アユ用</t>
  </si>
  <si>
    <t>オークション &gt; ファッション &gt; ブランド別 &gt; て &gt; ティンバーランド</t>
  </si>
  <si>
    <t>テチチ</t>
  </si>
  <si>
    <t>フライ用</t>
  </si>
  <si>
    <t>オークション &gt; ファッション &gt; ブランド別 &gt; て &gt; テチチ</t>
  </si>
  <si>
    <t>プレマシー</t>
  </si>
  <si>
    <t>オークション &gt; スポーツ、レジャー &gt; フィッシング &gt; 釣り糸、ライン &gt; フライ用</t>
  </si>
  <si>
    <t>オークション &gt; 自動車、オートバイ &gt; 中古車・新車 &gt; マツダ &gt; プレマシー</t>
  </si>
  <si>
    <t>デニム＆ダンガリー</t>
  </si>
  <si>
    <t>オークション &gt; ファッション &gt; ブランド別 &gt; て &gt; デニム＆ダンガリー</t>
  </si>
  <si>
    <t>ヘラブナ用</t>
  </si>
  <si>
    <t>オークション &gt; スポーツ、レジャー &gt; フィッシング &gt; 釣り糸、ライン &gt; ヘラブナ用</t>
  </si>
  <si>
    <t>プロシード</t>
  </si>
  <si>
    <t>デビロック</t>
  </si>
  <si>
    <t>オークション &gt; 自動車、オートバイ &gt; 中古車・新車 &gt; マツダ &gt; プロシード</t>
  </si>
  <si>
    <t>オークション &gt; ファッション &gt; ブランド別 &gt; て &gt; デビロック</t>
  </si>
  <si>
    <t>ルアー用</t>
  </si>
  <si>
    <t>オークション &gt; スポーツ、レジャー &gt; フィッシング &gt; 釣り糸、ライン &gt; ルアー用</t>
  </si>
  <si>
    <t>デプレ</t>
  </si>
  <si>
    <t>プロシードレバンテ</t>
  </si>
  <si>
    <t>オークション &gt; ファッション &gt; ブランド別 &gt; て &gt; デプレ</t>
  </si>
  <si>
    <t>オークション &gt; 自動車、オートバイ &gt; 中古車・新車 &gt; マツダ &gt; プロシードレバンテ</t>
  </si>
  <si>
    <t>デュベティカ</t>
  </si>
  <si>
    <t>磯用</t>
  </si>
  <si>
    <t>オークション &gt; ファッション &gt; ブランド別 &gt; て &gt; デュベティカ</t>
  </si>
  <si>
    <t>オークション &gt; スポーツ、レジャー &gt; フィッシング &gt; 釣り糸、ライン &gt; 磯用</t>
  </si>
  <si>
    <t>ベリーサ</t>
  </si>
  <si>
    <t>オークション &gt; 自動車、オートバイ &gt; 中古車・新車 &gt; マツダ &gt; ベリーサ</t>
  </si>
  <si>
    <t>デュラス</t>
  </si>
  <si>
    <t>渓流用</t>
  </si>
  <si>
    <t>オークション &gt; ファッション &gt; ブランド別 &gt; て &gt; デュラス</t>
  </si>
  <si>
    <t>オークション &gt; スポーツ、レジャー &gt; フィッシング &gt; 釣り糸、ライン &gt; 渓流用</t>
  </si>
  <si>
    <t>ボンゴ</t>
  </si>
  <si>
    <t>オークション &gt; 自動車、オートバイ &gt; 中古車・新車 &gt; マツダ &gt; ボンゴ</t>
  </si>
  <si>
    <t>テンダーロイン</t>
  </si>
  <si>
    <t>オークション &gt; ファッション &gt; ブランド別 &gt; て &gt; テンダーロイン</t>
  </si>
  <si>
    <t>オークション &gt; スポーツ、レジャー &gt; フィッシング &gt; 釣り糸、ライン &gt; 船用</t>
  </si>
  <si>
    <t>ボンゴフレンディ</t>
  </si>
  <si>
    <t>オークション &gt; 自動車、オートバイ &gt; 中古車・新車 &gt; マツダ &gt; ボンゴフレンディ</t>
  </si>
  <si>
    <t>投げ用</t>
  </si>
  <si>
    <t>オークション &gt; ファッション &gt; ブランド別 &gt; て &gt; その他</t>
  </si>
  <si>
    <t>オークション &gt; スポーツ、レジャー &gt; フィッシング &gt; 釣り糸、ライン &gt; 投げ用</t>
  </si>
  <si>
    <t>ボンゴブローニイ</t>
  </si>
  <si>
    <t>オークション &gt; 自動車、オートバイ &gt; 中古車・新車 &gt; マツダ &gt; ボンゴブローニイ</t>
  </si>
  <si>
    <t>TO BE CHIC</t>
  </si>
  <si>
    <t>オークション &gt; ファッション &gt; ブランド別 &gt; と &gt; TO BE CHIC</t>
  </si>
  <si>
    <t>オークション &gt; スポーツ、レジャー &gt; フィッシング &gt; 釣り糸、ライン &gt; その他</t>
  </si>
  <si>
    <t>ポーター</t>
  </si>
  <si>
    <t>オークション &gt; 自動車、オートバイ &gt; 中古車・新車 &gt; マツダ &gt; ポーター</t>
  </si>
  <si>
    <t>トゥミ</t>
  </si>
  <si>
    <t>オークション &gt; ファッション &gt; ブランド別 &gt; と &gt; トゥミ</t>
  </si>
  <si>
    <t>オークション &gt; スポーツ、レジャー &gt; フィッシング &gt; 釣り針 &gt; 海水</t>
  </si>
  <si>
    <t>ミレーニア</t>
  </si>
  <si>
    <t>オークション &gt; 自動車、オートバイ &gt; 中古車・新車 &gt; マツダ &gt; ミレーニア</t>
  </si>
  <si>
    <t>トゥモローランド</t>
  </si>
  <si>
    <t>オークション &gt; ファッション &gt; ブランド別 &gt; と &gt; トゥモローランド</t>
  </si>
  <si>
    <t>オークション &gt; スポーツ、レジャー &gt; フィッシング &gt; 釣り針 &gt; 淡水</t>
  </si>
  <si>
    <t>ユーノス500</t>
  </si>
  <si>
    <t>オークション &gt; 自動車、オートバイ &gt; 中古車・新車 &gt; マツダ &gt; ユーノス500</t>
  </si>
  <si>
    <t>トゥララ</t>
  </si>
  <si>
    <t>オークション &gt; ファッション &gt; ブランド別 &gt; と &gt; トゥララ</t>
  </si>
  <si>
    <t>棒ウキ</t>
  </si>
  <si>
    <t>オークション &gt; スポーツ、レジャー &gt; フィッシング &gt; ウキ &gt; 棒ウキ</t>
  </si>
  <si>
    <t>ユーノス800</t>
  </si>
  <si>
    <t>オークション &gt; 自動車、オートバイ &gt; 中古車・新車 &gt; マツダ &gt; ユーノス800</t>
  </si>
  <si>
    <t>トゥルーレリジョン</t>
  </si>
  <si>
    <t>玉ウキ</t>
  </si>
  <si>
    <t>ユーノスコスモ</t>
  </si>
  <si>
    <t>オークション &gt; ファッション &gt; ブランド別 &gt; と &gt; トゥルーレリジョン</t>
  </si>
  <si>
    <t>オークション &gt; スポーツ、レジャー &gt; フィッシング &gt; ウキ &gt; 玉ウキ</t>
  </si>
  <si>
    <t>オークション &gt; 自動車、オートバイ &gt; 中古車・新車 &gt; マツダ &gt; ユーノスコスモ</t>
  </si>
  <si>
    <t>ユーノスプレッソ</t>
  </si>
  <si>
    <t>自立ウキ</t>
  </si>
  <si>
    <t>ドゥーズィエム クラス</t>
  </si>
  <si>
    <t>オークション &gt; 自動車、オートバイ &gt; 中古車・新車 &gt; マツダ &gt; ユーノスプレッソ</t>
  </si>
  <si>
    <t>オークション &gt; スポーツ、レジャー &gt; フィッシング &gt; ウキ &gt; 自立ウキ</t>
  </si>
  <si>
    <t>オークション &gt; ファッション &gt; ブランド別 &gt; と &gt; ドゥーズィエム クラス</t>
  </si>
  <si>
    <t>ユーノスロードスター</t>
  </si>
  <si>
    <t>円錐、どんぐりウキ</t>
  </si>
  <si>
    <t>ドゥニーム</t>
  </si>
  <si>
    <t>オークション &gt; 自動車、オートバイ &gt; 中古車・新車 &gt; マツダ &gt; ユーノスロードスター</t>
  </si>
  <si>
    <t>オークション &gt; スポーツ、レジャー &gt; フィッシング &gt; ウキ &gt; 円錐、どんぐりウキ</t>
  </si>
  <si>
    <t>オークション &gt; ファッション &gt; ブランド別 &gt; と &gt; ドゥニーム</t>
  </si>
  <si>
    <t>ラピュタ</t>
  </si>
  <si>
    <t>ドゥファミリィ</t>
  </si>
  <si>
    <t>電気ウキ</t>
  </si>
  <si>
    <t>オークション &gt; 自動車、オートバイ &gt; 中古車・新車 &gt; マツダ &gt; ラピュタ</t>
  </si>
  <si>
    <t>オークション &gt; ファッション &gt; ブランド別 &gt; と &gt; ドゥファミリィ</t>
  </si>
  <si>
    <t>オークション &gt; スポーツ、レジャー &gt; フィッシング &gt; ウキ &gt; 電気ウキ</t>
  </si>
  <si>
    <t>ランティス</t>
  </si>
  <si>
    <t>ドゥロワー</t>
  </si>
  <si>
    <t>水中ウキ</t>
  </si>
  <si>
    <t>オークション &gt; 自動車、オートバイ &gt; 中古車・新車 &gt; マツダ &gt; ランティス</t>
  </si>
  <si>
    <t>オークション &gt; ファッション &gt; ブランド別 &gt; と &gt; ドゥロワー</t>
  </si>
  <si>
    <t>オークション &gt; スポーツ、レジャー &gt; フィッシング &gt; ウキ &gt; 水中ウキ</t>
  </si>
  <si>
    <t>東洋エンタープライズ</t>
  </si>
  <si>
    <t>ルーチェ</t>
  </si>
  <si>
    <t>オークション &gt; ファッション &gt; ブランド別 &gt; と &gt; 東洋エンタープライズ</t>
  </si>
  <si>
    <t>オークション &gt; 自動車、オートバイ &gt; 中古車・新車 &gt; マツダ &gt; ルーチェ</t>
  </si>
  <si>
    <t>オークション &gt; スポーツ、レジャー &gt; フィッシング &gt; ウキ &gt; その他</t>
  </si>
  <si>
    <t>トーガ</t>
  </si>
  <si>
    <t>オークション &gt; ファッション &gt; ブランド別 &gt; と &gt; トーガ</t>
  </si>
  <si>
    <t>生き餌</t>
  </si>
  <si>
    <t>レビュー</t>
  </si>
  <si>
    <t>オークション &gt; スポーツ、レジャー &gt; フィッシング &gt; エサ &gt; 生き餌</t>
  </si>
  <si>
    <t>オークション &gt; 自動車、オートバイ &gt; 中古車・新車 &gt; マツダ &gt; レビュー</t>
  </si>
  <si>
    <t>配合餌</t>
  </si>
  <si>
    <t>オークション &gt; スポーツ、レジャー &gt; フィッシング &gt; エサ &gt; 配合餌</t>
  </si>
  <si>
    <t>ドクターマーチン</t>
  </si>
  <si>
    <t>オークション &gt; ファッション &gt; ブランド別 &gt; と &gt; ドクターマーチン</t>
  </si>
  <si>
    <t>ロードスター</t>
  </si>
  <si>
    <t>オークション &gt; 自動車、オートバイ &gt; 中古車・新車 &gt; マツダ &gt; ロードスター</t>
  </si>
  <si>
    <t>冷凍餌</t>
  </si>
  <si>
    <t>トッカ</t>
  </si>
  <si>
    <t>オークション &gt; スポーツ、レジャー &gt; フィッシング &gt; エサ &gt; 冷凍餌</t>
  </si>
  <si>
    <t>オークション &gt; ファッション &gt; ブランド別 &gt; と &gt; トッカ</t>
  </si>
  <si>
    <t>オークション &gt; 自動車、オートバイ &gt; 中古車・新車 &gt; マツダ &gt; その他</t>
  </si>
  <si>
    <t>練り餌</t>
  </si>
  <si>
    <t>トッズ</t>
  </si>
  <si>
    <t>オークション &gt; スポーツ、レジャー &gt; フィッシング &gt; エサ &gt; 練り餌</t>
  </si>
  <si>
    <t>オークション &gt; ファッション &gt; ブランド別 &gt; と &gt; トッズ</t>
  </si>
  <si>
    <t>ビュート</t>
  </si>
  <si>
    <t>オークション &gt; 自動車、オートバイ &gt; 中古車・新車 &gt; 光岡自動車 &gt; ビュート</t>
  </si>
  <si>
    <t>トップショップ</t>
  </si>
  <si>
    <t>オークション &gt; スポーツ、レジャー &gt; フィッシング &gt; エサ &gt; その他</t>
  </si>
  <si>
    <t>オークション &gt; ファッション &gt; ブランド別 &gt; と &gt; トップショップ</t>
  </si>
  <si>
    <t>オークション &gt; 自動車、オートバイ &gt; 中古車・新車 &gt; 光岡自動車 &gt; その他</t>
  </si>
  <si>
    <t>トニーラマ</t>
  </si>
  <si>
    <t>オークション &gt; スポーツ、レジャー &gt; フィッシング &gt; フライ用品 &gt; アクセサリー</t>
  </si>
  <si>
    <t>オークション &gt; ファッション &gt; ブランド別 &gt; と &gt; トニーラマ</t>
  </si>
  <si>
    <t>FTO</t>
  </si>
  <si>
    <t>オークション &gt; 自動車、オートバイ &gt; 中古車・新車 &gt; 三菱 &gt; FTO</t>
  </si>
  <si>
    <t>トミーガール</t>
  </si>
  <si>
    <t>フライマテリアル</t>
  </si>
  <si>
    <t>オークション &gt; ファッション &gt; ブランド別 &gt; と &gt; トミーガール</t>
  </si>
  <si>
    <t>GTO</t>
  </si>
  <si>
    <t>オークション &gt; スポーツ、レジャー &gt; フィッシング &gt; フライ用品 &gt; フライマテリアル</t>
  </si>
  <si>
    <t>オークション &gt; 自動車、オートバイ &gt; 中古車・新車 &gt; 三菱 &gt; GTO</t>
  </si>
  <si>
    <t>トミーヒルフィガー</t>
  </si>
  <si>
    <t>RVR</t>
  </si>
  <si>
    <t>オークション &gt; ファッション &gt; ブランド別 &gt; と &gt; トミーヒルフィガー</t>
  </si>
  <si>
    <t>オークション &gt; 自動車、オートバイ &gt; 中古車・新車 &gt; 三菱 &gt; RVR</t>
  </si>
  <si>
    <t>オークション &gt; スポーツ、レジャー &gt; フィッシング &gt; フライ用品 &gt; フライリール</t>
  </si>
  <si>
    <t>eKアクティブ</t>
  </si>
  <si>
    <t>フライロッド</t>
  </si>
  <si>
    <t>オークション &gt; 自動車、オートバイ &gt; 中古車・新車 &gt; 三菱 &gt; eKアクティブ</t>
  </si>
  <si>
    <t>トム・ブラウン</t>
  </si>
  <si>
    <t>オークション &gt; スポーツ、レジャー &gt; フィッシング &gt; フライ用品 &gt; フライロッド</t>
  </si>
  <si>
    <t>オークション &gt; ファッション &gt; ブランド別 &gt; と &gt; トム・ブラウン</t>
  </si>
  <si>
    <t>eKクラッシィ</t>
  </si>
  <si>
    <t>オークション &gt; 自動車、オートバイ &gt; 中古車・新車 &gt; 三菱 &gt; eKクラッシィ</t>
  </si>
  <si>
    <t>トムフォード</t>
  </si>
  <si>
    <t>オークション &gt; ファッション &gt; ブランド別 &gt; と &gt; トムフォード</t>
  </si>
  <si>
    <t>オークション &gt; スポーツ、レジャー &gt; フィッシング &gt; フライ用品 &gt; ライン</t>
  </si>
  <si>
    <t>eKスポーツ</t>
  </si>
  <si>
    <t>トラサルディ</t>
  </si>
  <si>
    <t>完成品フライ</t>
  </si>
  <si>
    <t>オークション &gt; 自動車、オートバイ &gt; 中古車・新車 &gt; 三菱 &gt; eKスポーツ</t>
  </si>
  <si>
    <t>オークション &gt; ファッション &gt; ブランド別 &gt; と &gt; トラサルディ</t>
  </si>
  <si>
    <t>オークション &gt; スポーツ、レジャー &gt; フィッシング &gt; フライ用品 &gt; 完成品フライ</t>
  </si>
  <si>
    <t>eKワゴン</t>
  </si>
  <si>
    <t>トランスコンチネンツ</t>
  </si>
  <si>
    <t>オークション &gt; 自動車、オートバイ &gt; 中古車・新車 &gt; 三菱 &gt; eKワゴン</t>
  </si>
  <si>
    <t>オークション &gt; ファッション &gt; ブランド別 &gt; と &gt; トランスコンチネンツ</t>
  </si>
  <si>
    <t>オークション &gt; スポーツ、レジャー &gt; フィッシング &gt; フライ用品 &gt; その他</t>
  </si>
  <si>
    <t>トリーバーチ</t>
  </si>
  <si>
    <t>i</t>
  </si>
  <si>
    <t>アユ竿</t>
  </si>
  <si>
    <t>オークション &gt; ファッション &gt; ブランド別 &gt; と &gt; トリーバーチ</t>
  </si>
  <si>
    <t>オークション &gt; 自動車、オートバイ &gt; 中古車・新車 &gt; 三菱 &gt; i</t>
  </si>
  <si>
    <t>オークション &gt; スポーツ、レジャー &gt; フィッシング &gt; アユ用品 &gt; アユ竿</t>
  </si>
  <si>
    <t>トリッカーズ</t>
  </si>
  <si>
    <t>アユ用衣料品</t>
  </si>
  <si>
    <t>オークション &gt; ファッション &gt; ブランド別 &gt; と &gt; トリッカーズ</t>
  </si>
  <si>
    <t>i-MIEV</t>
  </si>
  <si>
    <t>オークション &gt; スポーツ、レジャー &gt; フィッシング &gt; アユ用品 &gt; アユ用衣料品</t>
  </si>
  <si>
    <t>オークション &gt; 自動車、オートバイ &gt; 中古車・新車 &gt; 三菱 &gt; i-MIEV</t>
  </si>
  <si>
    <t>トリッペン</t>
  </si>
  <si>
    <t>オークション &gt; ファッション &gt; ブランド別 &gt; と &gt; トリッペン</t>
  </si>
  <si>
    <t>オトリ缶</t>
  </si>
  <si>
    <t>アウトランダー</t>
  </si>
  <si>
    <t>オークション &gt; スポーツ、レジャー &gt; フィッシング &gt; アユ用品 &gt; オトリ缶</t>
  </si>
  <si>
    <t>オークション &gt; 自動車、オートバイ &gt; 中古車・新車 &gt; 三菱 &gt; アウトランダー</t>
  </si>
  <si>
    <t>トルネードマート</t>
  </si>
  <si>
    <t>オークション &gt; ファッション &gt; ブランド別 &gt; と &gt; トルネードマート</t>
  </si>
  <si>
    <t>タモ</t>
  </si>
  <si>
    <t>オークション &gt; スポーツ、レジャー &gt; フィッシング &gt; アユ用品 &gt; タモ</t>
  </si>
  <si>
    <t>エアトレック</t>
  </si>
  <si>
    <t>オークション &gt; 自動車、オートバイ &gt; 中古車・新車 &gt; 三菱 &gt; エアトレック</t>
  </si>
  <si>
    <t>ドラッグストアーズ</t>
  </si>
  <si>
    <t>オークション &gt; ファッション &gt; ブランド別 &gt; と &gt; ドラッグストアーズ</t>
  </si>
  <si>
    <t>オークション &gt; スポーツ、レジャー &gt; フィッシング &gt; アユ用品 &gt; ライン</t>
  </si>
  <si>
    <t>エクリプス</t>
  </si>
  <si>
    <t>オークション &gt; 自動車、オートバイ &gt; 中古車・新車 &gt; 三菱 &gt; エクリプス</t>
  </si>
  <si>
    <t>ドリス ヴァン ノッテン</t>
  </si>
  <si>
    <t>オークション &gt; ファッション &gt; ブランド別 &gt; と &gt; ドリス ヴァン ノッテン</t>
  </si>
  <si>
    <t>引舟</t>
  </si>
  <si>
    <t>オークション &gt; スポーツ、レジャー &gt; フィッシング &gt; アユ用品 &gt; 引舟</t>
  </si>
  <si>
    <t>キャンター</t>
  </si>
  <si>
    <t>オークション &gt; 自動車、オートバイ &gt; 中古車・新車 &gt; 三菱 &gt; キャンター</t>
  </si>
  <si>
    <t>ドルチェ＆ガッバーナ</t>
  </si>
  <si>
    <t>オークション &gt; ファッション &gt; ブランド別 &gt; と &gt; ドルチェ＆ガッバーナ</t>
  </si>
  <si>
    <t>オークション &gt; スポーツ、レジャー &gt; フィッシング &gt; アユ用品 &gt; その他</t>
  </si>
  <si>
    <t>ギャラン</t>
  </si>
  <si>
    <t>ドレスキャンプ</t>
  </si>
  <si>
    <t>オークション &gt; 自動車、オートバイ &gt; 中古車・新車 &gt; 三菱 &gt; ギャラン</t>
  </si>
  <si>
    <t>オークション &gt; ファッション &gt; ブランド別 &gt; と &gt; ドレスキャンプ</t>
  </si>
  <si>
    <t>船体</t>
  </si>
  <si>
    <t>オークション &gt; スポーツ、レジャー &gt; 船、ボート &gt; 船体</t>
  </si>
  <si>
    <t>ドレステリア</t>
  </si>
  <si>
    <t>ギャランスポーツ</t>
  </si>
  <si>
    <t>オークション &gt; ファッション &gt; ブランド別 &gt; と &gt; ドレステリア</t>
  </si>
  <si>
    <t>オークション &gt; 自動車、オートバイ &gt; 中古車・新車 &gt; 三菱 &gt; ギャランスポーツ</t>
  </si>
  <si>
    <t>オークション &gt; スポーツ、レジャー &gt; 船、ボート &gt; アクセサリー</t>
  </si>
  <si>
    <t>オークション &gt; ファッション &gt; ブランド別 &gt; と &gt; その他</t>
  </si>
  <si>
    <t>アンカー、係船用具</t>
  </si>
  <si>
    <t>ギャランフォルティス</t>
  </si>
  <si>
    <t>オークション &gt; スポーツ、レジャー &gt; 船、ボート &gt; アンカー、係船用具</t>
  </si>
  <si>
    <t>オークション &gt; 自動車、オートバイ &gt; 中古車・新車 &gt; 三菱 &gt; ギャランフォルティス</t>
  </si>
  <si>
    <t>NINE</t>
  </si>
  <si>
    <t>オークション &gt; ファッション &gt; ブランド別 &gt; な～の &gt; NINE</t>
  </si>
  <si>
    <t>オークション &gt; スポーツ、レジャー &gt; 船、ボート &gt; ウエア</t>
  </si>
  <si>
    <t>グランディス</t>
  </si>
  <si>
    <t>n°44</t>
  </si>
  <si>
    <t>オークション &gt; ファッション &gt; ブランド別 &gt; な～の &gt; n°44</t>
  </si>
  <si>
    <t>オークション &gt; 自動車、オートバイ &gt; 中古車・新車 &gt; 三菱 &gt; グランディス</t>
  </si>
  <si>
    <t>エンジン</t>
  </si>
  <si>
    <t>オークション &gt; スポーツ、レジャー &gt; 船、ボート &gt; エンジン</t>
  </si>
  <si>
    <t>ナーコティック</t>
  </si>
  <si>
    <t>オークション &gt; ファッション &gt; ブランド別 &gt; な～の &gt; ナーコティック</t>
  </si>
  <si>
    <t>トレーラー</t>
  </si>
  <si>
    <t>コルト</t>
  </si>
  <si>
    <t>オークション &gt; スポーツ、レジャー &gt; 船、ボート &gt; トレーラー</t>
  </si>
  <si>
    <t>オークション &gt; 自動車、オートバイ &gt; 中古車・新車 &gt; 三菱 &gt; コルト</t>
  </si>
  <si>
    <t>ナイキ</t>
  </si>
  <si>
    <t>オークション &gt; ファッション &gt; ブランド別 &gt; な～の &gt; ナイキ</t>
  </si>
  <si>
    <t>コルトプラス</t>
  </si>
  <si>
    <t>オークション &gt; スポーツ、レジャー &gt; 船、ボート &gt; パーツ</t>
  </si>
  <si>
    <t>オークション &gt; 自動車、オートバイ &gt; 中古車・新車 &gt; 三菱 &gt; コルトプラス</t>
  </si>
  <si>
    <t>ナイスクラップ</t>
  </si>
  <si>
    <t>オークション &gt; ファッション &gt; ブランド別 &gt; な～の &gt; ナイスクラップ</t>
  </si>
  <si>
    <t>シャリオ</t>
  </si>
  <si>
    <t>オークション &gt; スポーツ、レジャー &gt; 船、ボート &gt; メンテナンス</t>
  </si>
  <si>
    <t>ナイトレイド</t>
  </si>
  <si>
    <t>オークション &gt; 自動車、オートバイ &gt; 中古車・新車 &gt; 三菱 &gt; シャリオ</t>
  </si>
  <si>
    <t>オークション &gt; ファッション &gt; ブランド別 &gt; な～の &gt; ナイトレイド</t>
  </si>
  <si>
    <t>救命器具</t>
  </si>
  <si>
    <t>オークション &gt; スポーツ、レジャー &gt; 船、ボート &gt; 救命器具</t>
  </si>
  <si>
    <t>ナインウエスト</t>
  </si>
  <si>
    <t>シャリオグランディス</t>
  </si>
  <si>
    <t>オークション &gt; ファッション &gt; ブランド別 &gt; な～の &gt; ナインウエスト</t>
  </si>
  <si>
    <t>オークション &gt; 自動車、オートバイ &gt; 中古車・新車 &gt; 三菱 &gt; シャリオグランディス</t>
  </si>
  <si>
    <t>魚群探知機</t>
  </si>
  <si>
    <t>オークション &gt; スポーツ、レジャー &gt; 船、ボート &gt; 魚群探知機</t>
  </si>
  <si>
    <t>ナショナルスタンダード</t>
  </si>
  <si>
    <t>オークション &gt; ファッション &gt; ブランド別 &gt; な～の &gt; ナショナルスタンダード</t>
  </si>
  <si>
    <t>ジープ</t>
  </si>
  <si>
    <t>オークション &gt; 自動車、オートバイ &gt; 中古車・新車 &gt; 三菱 &gt; ジープ</t>
  </si>
  <si>
    <t>水上オートバイ</t>
  </si>
  <si>
    <t>オークション &gt; スポーツ、レジャー &gt; 船、ボート &gt; 水上オートバイ</t>
  </si>
  <si>
    <t>スタリオン</t>
  </si>
  <si>
    <t>ナチュラルビューティー</t>
  </si>
  <si>
    <t>オークション &gt; 自動車、オートバイ &gt; 中古車・新車 &gt; 三菱 &gt; スタリオン</t>
  </si>
  <si>
    <t>オークション &gt; ファッション &gt; ブランド別 &gt; な～の &gt; ナチュラルビューティー</t>
  </si>
  <si>
    <t>燃料タンク</t>
  </si>
  <si>
    <t>オークション &gt; スポーツ、レジャー &gt; 船、ボート &gt; 燃料タンク</t>
  </si>
  <si>
    <t>タウンボックス</t>
  </si>
  <si>
    <t>ナチュラルビューティーベーシック</t>
  </si>
  <si>
    <t>アンティーク、コレクション</t>
  </si>
  <si>
    <t>オークション &gt; 自動車、オートバイ &gt; 中古車・新車 &gt; 三菱 &gt; タウンボックス</t>
  </si>
  <si>
    <t>オークション &gt; ファッション &gt; ブランド別 &gt; な～の &gt; ナチュラルビューティーベーシック</t>
  </si>
  <si>
    <t>オークション &gt; スポーツ、レジャー &gt; 船、ボート &gt; アンティーク、コレクション</t>
  </si>
  <si>
    <t>タウンボックスワイド</t>
  </si>
  <si>
    <t>モニター5型未満</t>
  </si>
  <si>
    <t>ナチュラルランドリー</t>
  </si>
  <si>
    <t>オークション &gt; 自動車、オートバイ &gt; 中古車・新車 &gt; 三菱 &gt; タウンボックスワイド</t>
  </si>
  <si>
    <t>オークション &gt; ファッション &gt; ブランド別 &gt; な～の &gt; ナチュラルランドリー</t>
  </si>
  <si>
    <t>オークション &gt; スポーツ、レジャー &gt; 船、ボート &gt; パーツ &gt; 航行計器 &gt; 魚群探知機 &gt; モニター5型未満</t>
  </si>
  <si>
    <t>ナノユニバース</t>
  </si>
  <si>
    <t>チャレンジャー</t>
  </si>
  <si>
    <t>モニター5型～</t>
  </si>
  <si>
    <t>オークション &gt; 自動車、オートバイ &gt; 中古車・新車 &gt; 三菱 &gt; チャレンジャー</t>
  </si>
  <si>
    <t>オークション &gt; ファッション &gt; ブランド別 &gt; な～の &gt; ナノユニバース</t>
  </si>
  <si>
    <t>オークション &gt; スポーツ、レジャー &gt; 船、ボート &gt; パーツ &gt; 航行計器 &gt; 魚群探知機 &gt; モニター5型～</t>
  </si>
  <si>
    <t>ディアマンテ</t>
  </si>
  <si>
    <t>ナラ カミーチェ</t>
  </si>
  <si>
    <t>オークション &gt; 自動車、オートバイ &gt; 中古車・新車 &gt; 三菱 &gt; ディアマンテ</t>
  </si>
  <si>
    <t>モニター10型</t>
  </si>
  <si>
    <t>オークション &gt; ファッション &gt; ブランド別 &gt; な～の &gt; ナラ カミーチェ</t>
  </si>
  <si>
    <t>オークション &gt; スポーツ、レジャー &gt; 船、ボート &gt; パーツ &gt; 航行計器 &gt; 魚群探知機 &gt; モニター10型～</t>
  </si>
  <si>
    <t>ディオン</t>
  </si>
  <si>
    <t>オークション &gt; 自動車、オートバイ &gt; 中古車・新車 &gt; 三菱 &gt; ディオン</t>
  </si>
  <si>
    <t>ナンバーナイン</t>
  </si>
  <si>
    <t>オークション &gt; ファッション &gt; ブランド別 &gt; な～の &gt; ナンバーナイン</t>
  </si>
  <si>
    <t>デボネア</t>
  </si>
  <si>
    <t>オークション &gt; 自動車、オートバイ &gt; 中古車・新車 &gt; 三菱 &gt; デボネア</t>
  </si>
  <si>
    <t>23区</t>
  </si>
  <si>
    <t>オークション &gt; ファッション &gt; ブランド別 &gt; な～の &gt; 23区</t>
  </si>
  <si>
    <t>デリカD：2</t>
  </si>
  <si>
    <t>オークション &gt; 自動車、オートバイ &gt; 中古車・新車 &gt; 三菱 &gt; デリカD：2</t>
  </si>
  <si>
    <t>上下セット</t>
  </si>
  <si>
    <t>オークション &gt; スポーツ、レジャー &gt; スポーツウエア &gt; 男性用 &gt; 上下セット</t>
  </si>
  <si>
    <t>ニードルス</t>
  </si>
  <si>
    <t>オークション &gt; ファッション &gt; ブランド別 &gt; な～の &gt; ニードルス</t>
  </si>
  <si>
    <t>デリカD：3</t>
  </si>
  <si>
    <t>オークション &gt; 自動車、オートバイ &gt; 中古車・新車 &gt; 三菱 &gt; デリカD：3</t>
  </si>
  <si>
    <t>コート</t>
  </si>
  <si>
    <t>ニーム</t>
  </si>
  <si>
    <t>オークション &gt; スポーツ、レジャー &gt; スポーツウエア &gt; 男性用 &gt; コート</t>
  </si>
  <si>
    <t>オークション &gt; ファッション &gt; ブランド別 &gt; な～の &gt; ニーム</t>
  </si>
  <si>
    <t>デリカD：5</t>
  </si>
  <si>
    <t>オークション &gt; 自動車、オートバイ &gt; 中古車・新車 &gt; 三菱 &gt; デリカD：5</t>
  </si>
  <si>
    <t>ジャケット、上着</t>
  </si>
  <si>
    <t>オークション &gt; スポーツ、レジャー &gt; スポーツウエア &gt; 男性用 &gt; ジャケット、上着</t>
  </si>
  <si>
    <t>ニールバレット</t>
  </si>
  <si>
    <t>オークション &gt; ファッション &gt; ブランド別 &gt; な～の &gt; ニールバレット</t>
  </si>
  <si>
    <t>デリカカーゴ</t>
  </si>
  <si>
    <t>オークション &gt; 自動車、オートバイ &gt; 中古車・新車 &gt; 三菱 &gt; デリカカーゴ</t>
  </si>
  <si>
    <t>パーカー</t>
  </si>
  <si>
    <t>オークション &gt; スポーツ、レジャー &gt; スポーツウエア &gt; 男性用 &gt; パーカー</t>
  </si>
  <si>
    <t>ニクソン</t>
  </si>
  <si>
    <t>オークション &gt; ファッション &gt; ブランド別 &gt; な～の &gt; ニクソン</t>
  </si>
  <si>
    <t>デリカスターワゴン</t>
  </si>
  <si>
    <t>オークション &gt; 自動車、オートバイ &gt; 中古車・新車 &gt; 三菱 &gt; デリカスターワゴン</t>
  </si>
  <si>
    <t>トップス</t>
  </si>
  <si>
    <t>オークション &gt; スポーツ、レジャー &gt; スポーツウエア &gt; 男性用 &gt; トップス</t>
  </si>
  <si>
    <t>ニコル</t>
  </si>
  <si>
    <t>オークション &gt; ファッション &gt; ブランド別 &gt; な～の &gt; ニコル</t>
  </si>
  <si>
    <t>デリカスペースギア</t>
  </si>
  <si>
    <t>オークション &gt; 自動車、オートバイ &gt; 中古車・新車 &gt; 三菱 &gt; デリカスペースギア</t>
  </si>
  <si>
    <t>ニコルミラー</t>
  </si>
  <si>
    <t>ボトムス</t>
  </si>
  <si>
    <t>オークション &gt; ファッション &gt; ブランド別 &gt; な～の &gt; ニコルミラー</t>
  </si>
  <si>
    <t>オークション &gt; スポーツ、レジャー &gt; スポーツウエア &gt; 男性用 &gt; ボトムス</t>
  </si>
  <si>
    <t>トッポ</t>
  </si>
  <si>
    <t>オークション &gt; 自動車、オートバイ &gt; 中古車・新車 &gt; 三菱 &gt; トッポ</t>
  </si>
  <si>
    <t>ニトカ</t>
  </si>
  <si>
    <t>インナーウエア</t>
  </si>
  <si>
    <t>オークション &gt; ファッション &gt; ブランド別 &gt; な～の &gt; ニトカ</t>
  </si>
  <si>
    <t>オークション &gt; スポーツ、レジャー &gt; スポーツウエア &gt; 男性用 &gt; インナーウエア</t>
  </si>
  <si>
    <t>トッポBJ</t>
  </si>
  <si>
    <t>ニナリッチ</t>
  </si>
  <si>
    <t>オークション &gt; 自動車、オートバイ &gt; 中古車・新車 &gt; 三菱 &gt; トッポBJ</t>
  </si>
  <si>
    <t>オークション &gt; ファッション &gt; ブランド別 &gt; な～の &gt; ニナリッチ</t>
  </si>
  <si>
    <t>ジャージ、スウェット</t>
  </si>
  <si>
    <t>オークション &gt; スポーツ、レジャー &gt; スポーツウエア &gt; 男性用 &gt; ジャージ、スウェット</t>
  </si>
  <si>
    <t>トッポBJワイド</t>
  </si>
  <si>
    <t>オークション &gt; 自動車、オートバイ &gt; 中古車・新車 &gt; 三菱 &gt; トッポBJワイド</t>
  </si>
  <si>
    <t>ニューエラ</t>
  </si>
  <si>
    <t>オークション &gt; ファッション &gt; ブランド別 &gt; な～の &gt; ニューエラ</t>
  </si>
  <si>
    <t>オークション &gt; スポーツ、レジャー &gt; スポーツウエア &gt; 男性用 &gt; サポーター</t>
  </si>
  <si>
    <t>パジェロ</t>
  </si>
  <si>
    <t>オークション &gt; 自動車、オートバイ &gt; 中古車・新車 &gt; 三菱 &gt; パジェロ</t>
  </si>
  <si>
    <t>リストバンド</t>
  </si>
  <si>
    <t>オークション &gt; スポーツ、レジャー &gt; スポーツウエア &gt; 男性用 &gt; リストバンド</t>
  </si>
  <si>
    <t>ニューヨーカー</t>
  </si>
  <si>
    <t>オークション &gt; ファッション &gt; ブランド別 &gt; な～の &gt; ニューヨーカー</t>
  </si>
  <si>
    <t>パジェロイオ</t>
  </si>
  <si>
    <t>オークション &gt; 自動車、オートバイ &gt; 中古車・新車 &gt; 三菱 &gt; パジェロイオ</t>
  </si>
  <si>
    <t>オークション &gt; スポーツ、レジャー &gt; スポーツウエア &gt; 男性用 &gt; その他</t>
  </si>
  <si>
    <t>ニューヨークハット</t>
  </si>
  <si>
    <t>パジェロジュニア</t>
  </si>
  <si>
    <t>オークション &gt; ファッション &gt; ブランド別 &gt; な～の &gt; ニューヨークハット</t>
  </si>
  <si>
    <t>オークション &gt; スポーツ、レジャー &gt; スポーツウエア &gt; 女性用 &gt; 上下セット</t>
  </si>
  <si>
    <t>オークション &gt; 自動車、オートバイ &gt; 中古車・新車 &gt; 三菱 &gt; パジェロジュニア</t>
  </si>
  <si>
    <t>ヌーディージーンズ</t>
  </si>
  <si>
    <t>パジェロミニ</t>
  </si>
  <si>
    <t>オークション &gt; ファッション &gt; ブランド別 &gt; な～の &gt; ヌーディージーンズ</t>
  </si>
  <si>
    <t>オークション &gt; 自動車、オートバイ &gt; 中古車・新車 &gt; 三菱 &gt; パジェロミニ</t>
  </si>
  <si>
    <t>オークション &gt; スポーツ、レジャー &gt; スポーツウエア &gt; 女性用 &gt; コート</t>
  </si>
  <si>
    <t>ネイバーフッド</t>
  </si>
  <si>
    <t>オークション &gt; ファッション &gt; ブランド別 &gt; な～の &gt; ネイバーフッド</t>
  </si>
  <si>
    <t>オークション &gt; スポーツ、レジャー &gt; スポーツウエア &gt; 女性用 &gt; ジャケット、上着</t>
  </si>
  <si>
    <t>ファイター</t>
  </si>
  <si>
    <t>オークション &gt; 自動車、オートバイ &gt; 中古車・新車 &gt; 三菱 &gt; ファイター</t>
  </si>
  <si>
    <t>ネクスト</t>
  </si>
  <si>
    <t>オークション &gt; スポーツ、レジャー &gt; スポーツウエア &gt; 女性用 &gt; パーカー</t>
  </si>
  <si>
    <t>ブラボー</t>
  </si>
  <si>
    <t>オークション &gt; ファッション &gt; ブランド別 &gt; な～の &gt; ネクスト</t>
  </si>
  <si>
    <t>オークション &gt; 自動車、オートバイ &gt; 中古車・新車 &gt; 三菱 &gt; ブラボー</t>
  </si>
  <si>
    <t>ネスタブランド</t>
  </si>
  <si>
    <t>オークション &gt; スポーツ、レジャー &gt; スポーツウエア &gt; 女性用 &gt; トップス</t>
  </si>
  <si>
    <t>オークション &gt; ファッション &gt; ブランド別 &gt; な～の &gt; ネスタブランド</t>
  </si>
  <si>
    <t>プラウディア</t>
  </si>
  <si>
    <t>オークション &gt; 自動車、オートバイ &gt; 中古車・新車 &gt; 三菱 &gt; プラウディア</t>
  </si>
  <si>
    <t>ネネット</t>
  </si>
  <si>
    <t>オークション &gt; スポーツ、レジャー &gt; スポーツウエア &gt; 女性用 &gt; ボトムス</t>
  </si>
  <si>
    <t>オークション &gt; ファッション &gt; ブランド別 &gt; な～の &gt; ネネット</t>
  </si>
  <si>
    <t>ミニカ</t>
  </si>
  <si>
    <t>オークション &gt; 自動車、オートバイ &gt; 中古車・新車 &gt; 三菱 &gt; ミニカ</t>
  </si>
  <si>
    <t>ネペンテス</t>
  </si>
  <si>
    <t>オークション &gt; スポーツ、レジャー &gt; スポーツウエア &gt; 女性用 &gt; インナーウエア</t>
  </si>
  <si>
    <t>オークション &gt; ファッション &gt; ブランド別 &gt; な～の &gt; ネペンテス</t>
  </si>
  <si>
    <t>ミニカトッポ</t>
  </si>
  <si>
    <t>オークション &gt; 自動車、オートバイ &gt; 中古車・新車 &gt; 三菱 &gt; ミニカトッポ</t>
  </si>
  <si>
    <t>ノーアイディー</t>
  </si>
  <si>
    <t>オークション &gt; ファッション &gt; ブランド別 &gt; な～の &gt; ノーアイディー</t>
  </si>
  <si>
    <t>オークション &gt; スポーツ、レジャー &gt; スポーツウエア &gt; 女性用 &gt; ジャージ、スウェット</t>
  </si>
  <si>
    <t>ミニキャブ</t>
  </si>
  <si>
    <t>オークション &gt; 自動車、オートバイ &gt; 中古車・新車 &gt; 三菱 &gt; ミニキャブ</t>
  </si>
  <si>
    <t>ノース・フェイス</t>
  </si>
  <si>
    <t>オークション &gt; ファッション &gt; ブランド別 &gt; な～の &gt; ノース・フェイス</t>
  </si>
  <si>
    <t>オークション &gt; スポーツ、レジャー &gt; スポーツウエア &gt; 女性用 &gt; サポーター</t>
  </si>
  <si>
    <t>ミニキャブトラック</t>
  </si>
  <si>
    <t>オークション &gt; 自動車、オートバイ &gt; 中古車・新車 &gt; 三菱 &gt; ミニキャブトラック</t>
  </si>
  <si>
    <t>ノーティカ</t>
  </si>
  <si>
    <t>オークション &gt; ファッション &gt; ブランド別 &gt; な～の &gt; ノーティカ</t>
  </si>
  <si>
    <t>オークション &gt; スポーツ、レジャー &gt; スポーツウエア &gt; 女性用 &gt; リストバンド</t>
  </si>
  <si>
    <t>ミニキャブバン</t>
  </si>
  <si>
    <t>ノーネーム</t>
  </si>
  <si>
    <t>オークション &gt; 自動車、オートバイ &gt; 中古車・新車 &gt; 三菱 &gt; ミニキャブバン</t>
  </si>
  <si>
    <t>オークション &gt; ファッション &gt; ブランド別 &gt; な～の &gt; ノーネーム</t>
  </si>
  <si>
    <t>オークション &gt; スポーツ、レジャー &gt; スポーツウエア &gt; 女性用 &gt; その他</t>
  </si>
  <si>
    <t>ミラージュ</t>
  </si>
  <si>
    <t>ノーベスパジオ</t>
  </si>
  <si>
    <t>オークション &gt; 自動車、オートバイ &gt; 中古車・新車 &gt; 三菱 &gt; ミラージュ</t>
  </si>
  <si>
    <t>オークション &gt; ファッション &gt; ブランド別 &gt; な～の &gt; ノーベスパジオ</t>
  </si>
  <si>
    <t>ミラージュディンゴ</t>
  </si>
  <si>
    <t>ノーリーズ</t>
  </si>
  <si>
    <t>オークション &gt; 自動車、オートバイ &gt; 中古車・新車 &gt; 三菱 &gt; ミラージュディンゴ</t>
  </si>
  <si>
    <t>オークション &gt; ファッション &gt; ブランド別 &gt; な～の &gt; ノーリーズ</t>
  </si>
  <si>
    <t>オークション &gt; スポーツ、レジャー &gt; スポーツウエア &gt; 男女兼用 &gt; 上下セット</t>
  </si>
  <si>
    <t>ランサー</t>
  </si>
  <si>
    <t>ノゾミイシグロ</t>
  </si>
  <si>
    <t>オークション &gt; 自動車、オートバイ &gt; 中古車・新車 &gt; 三菱 &gt; ランサー</t>
  </si>
  <si>
    <t>オークション &gt; スポーツ、レジャー &gt; スポーツウエア &gt; 男女兼用 &gt; コート</t>
  </si>
  <si>
    <t>オークション &gt; ファッション &gt; ブランド別 &gt; な～の &gt; ノゾミイシグロ</t>
  </si>
  <si>
    <t>ランサーエボリューション</t>
  </si>
  <si>
    <t>オークション &gt; 自動車、オートバイ &gt; 中古車・新車 &gt; 三菱 &gt; ランサーエボリューション</t>
  </si>
  <si>
    <t>ノティファイ</t>
  </si>
  <si>
    <t>オークション &gt; ファッション &gt; ブランド別 &gt; な～の &gt; ノティファイ</t>
  </si>
  <si>
    <t>オークション &gt; スポーツ、レジャー &gt; スポーツウエア &gt; 男女兼用 &gt; ジャケット、上着</t>
  </si>
  <si>
    <t>ノンネイティブ</t>
  </si>
  <si>
    <t>オークション &gt; ファッション &gt; ブランド別 &gt; な～の &gt; ノンネイティブ</t>
  </si>
  <si>
    <t>ランサーセディア</t>
  </si>
  <si>
    <t>オークション &gt; スポーツ、レジャー &gt; スポーツウエア &gt; 男女兼用 &gt; トップス</t>
  </si>
  <si>
    <t>オークション &gt; 自動車、オートバイ &gt; 中古車・新車 &gt; 三菱 &gt; ランサーセディア</t>
  </si>
  <si>
    <t>オークション &gt; ファッション &gt; ブランド別 &gt; な～の &gt; その他</t>
  </si>
  <si>
    <t>ランサーセディアワゴン</t>
  </si>
  <si>
    <t>オークション &gt; スポーツ、レジャー &gt; スポーツウエア &gt; 男女兼用 &gt; ボトムス</t>
  </si>
  <si>
    <t>オークション &gt; 自動車、オートバイ &gt; 中古車・新車 &gt; 三菱 &gt; ランサーセディアワゴン</t>
  </si>
  <si>
    <t>ハイドロゲン</t>
  </si>
  <si>
    <t>オークション &gt; ファッション &gt; ブランド別 &gt; は &gt; ハイドロゲン</t>
  </si>
  <si>
    <t>リベロ</t>
  </si>
  <si>
    <t>オークション &gt; スポーツ、レジャー &gt; スポーツウエア &gt; 男女兼用 &gt; ジャージ、スウェット</t>
  </si>
  <si>
    <t>バウンティーハンター</t>
  </si>
  <si>
    <t>オークション &gt; 自動車、オートバイ &gt; 中古車・新車 &gt; 三菱 &gt; リベロ</t>
  </si>
  <si>
    <t>オークション &gt; ファッション &gt; ブランド別 &gt; は &gt; バウンティーハンター</t>
  </si>
  <si>
    <t>オークション &gt; スポーツ、レジャー &gt; スポーツウエア &gt; 男女兼用 &gt; その他</t>
  </si>
  <si>
    <t>パオラ フラーニ</t>
  </si>
  <si>
    <t>レグナム</t>
  </si>
  <si>
    <t>オークション &gt; ファッション &gt; ブランド別 &gt; は &gt; パオラ フラーニ</t>
  </si>
  <si>
    <t>オークション &gt; 自動車、オートバイ &gt; 中古車・新車 &gt; 三菱 &gt; レグナム</t>
  </si>
  <si>
    <t>オークション &gt; スポーツ、レジャー &gt; スポーツウエア &gt; 子ども用 &gt; 上下セット</t>
  </si>
  <si>
    <t>ハグオーワー</t>
  </si>
  <si>
    <t>オークション &gt; ファッション &gt; ブランド別 &gt; は &gt; ハグオーワー</t>
  </si>
  <si>
    <t>オークション &gt; スポーツ、レジャー &gt; スポーツウエア &gt; 子ども用 &gt; コート</t>
  </si>
  <si>
    <t>ローザ</t>
  </si>
  <si>
    <t>オークション &gt; 自動車、オートバイ &gt; 中古車・新車 &gt; 三菱 &gt; ローザ</t>
  </si>
  <si>
    <t>パーソンズ</t>
  </si>
  <si>
    <t>オークション &gt; ファッション &gt; ブランド別 &gt; は &gt; パーソンズ</t>
  </si>
  <si>
    <t>オークション &gt; スポーツ、レジャー &gt; スポーツウエア &gt; 子ども用 &gt; ジャケット、上着</t>
  </si>
  <si>
    <t>ハーディ・エイミス</t>
  </si>
  <si>
    <t>オークション &gt; ファッション &gt; ブランド別 &gt; は &gt; ハーディ・エイミス</t>
  </si>
  <si>
    <t>オークション &gt; 自動車、オートバイ &gt; 中古車・新車 &gt; 三菱 &gt; その他</t>
  </si>
  <si>
    <t>オークション &gt; スポーツ、レジャー &gt; スポーツウエア &gt; 子ども用 &gt; トップス</t>
  </si>
  <si>
    <t>ハッシュアッシュ</t>
  </si>
  <si>
    <t>180SX</t>
  </si>
  <si>
    <t>オークション &gt; ファッション &gt; ブランド別 &gt; は &gt; ハッシュアッシュ</t>
  </si>
  <si>
    <t>オークション &gt; 自動車、オートバイ &gt; 中古車・新車 &gt; 日産 &gt; 180SX</t>
  </si>
  <si>
    <t>オークション &gt; スポーツ、レジャー &gt; スポーツウエア &gt; 子ども用 &gt; ボトムス</t>
  </si>
  <si>
    <t>ADバン</t>
  </si>
  <si>
    <t>バックボーン</t>
  </si>
  <si>
    <t>オークション &gt; 自動車、オートバイ &gt; 中古車・新車 &gt; 日産 &gt; ADバン</t>
  </si>
  <si>
    <t>オークション &gt; ファッション &gt; ブランド別 &gt; は &gt; バックボーン</t>
  </si>
  <si>
    <t>オークション &gt; スポーツ、レジャー &gt; スポーツウエア &gt; 子ども用 &gt; その他</t>
  </si>
  <si>
    <t>Be-1</t>
  </si>
  <si>
    <t>オークション &gt; 自動車、オートバイ &gt; 中古車・新車 &gt; 日産 &gt; Be-1</t>
  </si>
  <si>
    <t>アーチェリー</t>
  </si>
  <si>
    <t>バツ</t>
  </si>
  <si>
    <t>オークション &gt; スポーツ、レジャー &gt; スポーツ別 &gt; アーチェリー</t>
  </si>
  <si>
    <t>オークション &gt; ファッション &gt; ブランド別 &gt; は &gt; バツ</t>
  </si>
  <si>
    <t>GT-R</t>
  </si>
  <si>
    <t>アイススケート</t>
  </si>
  <si>
    <t>オークション &gt; 自動車、オートバイ &gt; 中古車・新車 &gt; 日産 &gt; GT-R</t>
  </si>
  <si>
    <t>パタゴニア</t>
  </si>
  <si>
    <t>オークション &gt; スポーツ、レジャー &gt; スポーツ別 &gt; アイススケート</t>
  </si>
  <si>
    <t>オークション &gt; ファッション &gt; ブランド別 &gt; は &gt; パタゴニア</t>
  </si>
  <si>
    <t>NV200バネット</t>
  </si>
  <si>
    <t>オークション &gt; 自動車、オートバイ &gt; 中古車・新車 &gt; 日産 &gt; NV200バネット</t>
  </si>
  <si>
    <t>アイスホッケー</t>
  </si>
  <si>
    <t>パトリックコックス</t>
  </si>
  <si>
    <t>オークション &gt; スポーツ、レジャー &gt; スポーツ別 &gt; アイスホッケー</t>
  </si>
  <si>
    <t>オークション &gt; ファッション &gt; ブランド別 &gt; は &gt; パトリックコックス</t>
  </si>
  <si>
    <t>NV200バネットバン</t>
  </si>
  <si>
    <t>パドカレ</t>
  </si>
  <si>
    <t>オークション &gt; 自動車、オートバイ &gt; 中古車・新車 &gt; 日産 &gt; NV200バネットバン</t>
  </si>
  <si>
    <t>オークション &gt; スポーツ、レジャー &gt; スポーツ別 &gt; アメリカンフットボール</t>
  </si>
  <si>
    <t>オークション &gt; ファッション &gt; ブランド別 &gt; は &gt; パドカレ</t>
  </si>
  <si>
    <t>バーニーズ ニューヨーク</t>
  </si>
  <si>
    <t>オークション &gt; ファッション &gt; ブランド別 &gt; は &gt; バーニーズ ニューヨーク</t>
  </si>
  <si>
    <t>オークション &gt; スポーツ、レジャー &gt; スポーツ別 &gt; インラインスケート</t>
  </si>
  <si>
    <t>NXクーペ</t>
  </si>
  <si>
    <t>オークション &gt; 自動車、オートバイ &gt; 中古車・新車 &gt; 日産 &gt; NXクーペ</t>
  </si>
  <si>
    <t>バナーバレット</t>
  </si>
  <si>
    <t>ウインドサーフィン</t>
  </si>
  <si>
    <t>オークション &gt; ファッション &gt; ブランド別 &gt; は &gt; バナーバレット</t>
  </si>
  <si>
    <t>アトラス</t>
  </si>
  <si>
    <t>オークション &gt; スポーツ、レジャー &gt; スポーツ別 &gt; ウインドサーフィン</t>
  </si>
  <si>
    <t>オークション &gt; 自動車、オートバイ &gt; 中古車・新車 &gt; 日産 &gt; アトラス</t>
  </si>
  <si>
    <t>バナナチップス</t>
  </si>
  <si>
    <t>オークション &gt; ファッション &gt; ブランド別 &gt; は &gt; バナナチップス</t>
  </si>
  <si>
    <t>アベニール</t>
  </si>
  <si>
    <t>ウェイクボード</t>
  </si>
  <si>
    <t>オークション &gt; 自動車、オートバイ &gt; 中古車・新車 &gt; 日産 &gt; アベニール</t>
  </si>
  <si>
    <t>オークション &gt; スポーツ、レジャー &gt; スポーツ別 &gt; ウェイクボード</t>
  </si>
  <si>
    <t>バナナリパブリック</t>
  </si>
  <si>
    <t>オークション &gt; ファッション &gt; ブランド別 &gt; は &gt; バナナリパブリック</t>
  </si>
  <si>
    <t>アベニールサリュー</t>
  </si>
  <si>
    <t>オークション &gt; 自動車、オートバイ &gt; 中古車・新車 &gt; 日産 &gt; アベニールサリュー</t>
  </si>
  <si>
    <t>オークション &gt; スポーツ、レジャー &gt; スポーツ別 &gt; ウォーキング</t>
  </si>
  <si>
    <t>バネッサ・ブリューノ</t>
  </si>
  <si>
    <t>オークション &gt; ファッション &gt; ブランド別 &gt; は &gt; バネッサ・ブリューノ</t>
  </si>
  <si>
    <t>インフィニティ</t>
  </si>
  <si>
    <t>エクササイズ用品</t>
  </si>
  <si>
    <t>オークション &gt; 自動車、オートバイ &gt; 中古車・新車 &gt; 日産 &gt; インフィニティ</t>
  </si>
  <si>
    <t>オークション &gt; スポーツ、レジャー &gt; スポーツ別 &gt; エクササイズ用品</t>
  </si>
  <si>
    <t>ハバーサック</t>
  </si>
  <si>
    <t>オークション &gt; ファッション &gt; ブランド別 &gt; は &gt; ハバーサック</t>
  </si>
  <si>
    <t>インフィニティQ45</t>
  </si>
  <si>
    <t>オークション &gt; 自動車、オートバイ &gt; 中古車・新車 &gt; 日産 &gt; インフィニティQ45</t>
  </si>
  <si>
    <t>オークション &gt; スポーツ、レジャー &gt; スポーツ別 &gt; カーレース</t>
  </si>
  <si>
    <t>バーバリー</t>
  </si>
  <si>
    <t>オークション &gt; ファッション &gt; ブランド別 &gt; は &gt; バーバリー</t>
  </si>
  <si>
    <t>ウイングロード</t>
  </si>
  <si>
    <t>オークション &gt; 自動車、オートバイ &gt; 中古車・新車 &gt; 日産 &gt; ウイングロード</t>
  </si>
  <si>
    <t>オークション &gt; スポーツ、レジャー &gt; スポーツ別 &gt; ゴルフ</t>
  </si>
  <si>
    <t>バーバリー ブラックレーベル</t>
  </si>
  <si>
    <t>オークション &gt; ファッション &gt; ブランド別 &gt; は &gt; バーバリー ブラックレーベル</t>
  </si>
  <si>
    <t>エキスパート</t>
  </si>
  <si>
    <t>オークション &gt; 自動車、オートバイ &gt; 中古車・新車 &gt; 日産 &gt; エキスパート</t>
  </si>
  <si>
    <t>オークション &gt; スポーツ、レジャー &gt; スポーツ別 &gt; 格闘技、プロレス</t>
  </si>
  <si>
    <t>バーバリー ブルーレーベル</t>
  </si>
  <si>
    <t>エクサ</t>
  </si>
  <si>
    <t>弓道</t>
  </si>
  <si>
    <t>オークション &gt; ファッション &gt; ブランド別 &gt; は &gt; バーバリー ブルーレーベル</t>
  </si>
  <si>
    <t>オークション &gt; 自動車、オートバイ &gt; 中古車・新車 &gt; 日産 &gt; エクサ</t>
  </si>
  <si>
    <t>オークション &gt; スポーツ、レジャー &gt; スポーツ別 &gt; 弓道</t>
  </si>
  <si>
    <t>オークション &gt; ファッション &gt; ブランド別 &gt; は &gt; バービー</t>
  </si>
  <si>
    <t>エクストレイル</t>
  </si>
  <si>
    <t>空手</t>
  </si>
  <si>
    <t>オークション &gt; 自動車、オートバイ &gt; 中古車・新車 &gt; 日産 &gt; エクストレイル</t>
  </si>
  <si>
    <t>オークション &gt; スポーツ、レジャー &gt; スポーツ別 &gt; 空手</t>
  </si>
  <si>
    <t>バーブァー</t>
  </si>
  <si>
    <t>オークション &gt; ファッション &gt; ブランド別 &gt; は &gt; バーブァー</t>
  </si>
  <si>
    <t>剣道</t>
  </si>
  <si>
    <t>エスカルゴ</t>
  </si>
  <si>
    <t>オークション &gt; スポーツ、レジャー &gt; スポーツ別 &gt; 剣道</t>
  </si>
  <si>
    <t>パパス</t>
  </si>
  <si>
    <t>オークション &gt; ファッション &gt; ブランド別 &gt; は &gt; パパス</t>
  </si>
  <si>
    <t>オークション &gt; 自動車、オートバイ &gt; 中古車・新車 &gt; 日産 &gt; エスカルゴ</t>
  </si>
  <si>
    <t>オークション &gt; スポーツ、レジャー &gt; スポーツ別 &gt; サーフィン</t>
  </si>
  <si>
    <t>パプ</t>
  </si>
  <si>
    <t>エルグランド</t>
  </si>
  <si>
    <t>オークション &gt; ファッション &gt; ブランド別 &gt; は &gt; パプ</t>
  </si>
  <si>
    <t>オークション &gt; 自動車、オートバイ &gt; 中古車・新車 &gt; 日産 &gt; エルグランド</t>
  </si>
  <si>
    <t>オークション &gt; スポーツ、レジャー &gt; スポーツ別 &gt; サッカー</t>
  </si>
  <si>
    <t>オッティ</t>
  </si>
  <si>
    <t>オークション &gt; ファッション &gt; ブランド別 &gt; は &gt; HTC</t>
  </si>
  <si>
    <t>オークション &gt; 自動車、オートバイ &gt; 中古車・新車 &gt; 日産 &gt; オッティ</t>
  </si>
  <si>
    <t>スカイスポーツ</t>
  </si>
  <si>
    <t>Hurley</t>
  </si>
  <si>
    <t>キックス</t>
  </si>
  <si>
    <t>オークション &gt; スポーツ、レジャー &gt; スポーツ別 &gt; スカイスポーツ</t>
  </si>
  <si>
    <t>オークション &gt; ファッション &gt; ブランド別 &gt; は &gt; Hurley</t>
  </si>
  <si>
    <t>オークション &gt; 自動車、オートバイ &gt; 中古車・新車 &gt; 日産 &gt; キックス</t>
  </si>
  <si>
    <t>スカッシュ</t>
  </si>
  <si>
    <t>オークション &gt; スポーツ、レジャー &gt; スポーツ別 &gt; スカッシュ</t>
  </si>
  <si>
    <t>ハリウッド ランチ マーケット</t>
  </si>
  <si>
    <t>キャラバンエルグランド</t>
  </si>
  <si>
    <t>オークション &gt; ファッション &gt; ブランド別 &gt; は &gt; ハリウッド ランチ マーケット</t>
  </si>
  <si>
    <t>オークション &gt; 自動車、オートバイ &gt; 中古車・新車 &gt; 日産 &gt; キャラバンエルグランド</t>
  </si>
  <si>
    <t>スキー</t>
  </si>
  <si>
    <t>オークション &gt; スポーツ、レジャー &gt; スポーツ別 &gt; スキー</t>
  </si>
  <si>
    <t>オークション &gt; ファッション &gt; ブランド別 &gt; は &gt; ハリス</t>
  </si>
  <si>
    <t>キャラバンコーチ</t>
  </si>
  <si>
    <t>オークション &gt; 自動車、オートバイ &gt; 中古車・新車 &gt; 日産 &gt; キャラバンコーチ</t>
  </si>
  <si>
    <t>ハレ</t>
  </si>
  <si>
    <t>オークション &gt; ファッション &gt; ブランド別 &gt; は &gt; ハレ</t>
  </si>
  <si>
    <t>スキューバダイビング</t>
  </si>
  <si>
    <t>キャラバンシルクロード</t>
  </si>
  <si>
    <t>オークション &gt; 自動車、オートバイ &gt; 中古車・新車 &gt; 日産 &gt; キャラバンシルクロード</t>
  </si>
  <si>
    <t>オークション &gt; スポーツ、レジャー &gt; スポーツ別 &gt; スキューバダイビング</t>
  </si>
  <si>
    <t>ハロッズ</t>
  </si>
  <si>
    <t>オークション &gt; ファッション &gt; ブランド別 &gt; は &gt; ハロッズ</t>
  </si>
  <si>
    <t>スケートボード</t>
  </si>
  <si>
    <t>キューブ</t>
  </si>
  <si>
    <t>バリー</t>
  </si>
  <si>
    <t>オークション &gt; 自動車、オートバイ &gt; 中古車・新車 &gt; 日産 &gt; キューブ</t>
  </si>
  <si>
    <t>オークション &gt; スポーツ、レジャー &gt; スポーツ別 &gt; スケートボード</t>
  </si>
  <si>
    <t>オークション &gt; ファッション &gt; ブランド別 &gt; は &gt; バリー</t>
  </si>
  <si>
    <t>バル</t>
  </si>
  <si>
    <t>キューブキュービック</t>
  </si>
  <si>
    <t>オークション &gt; ファッション &gt; ブランド別 &gt; は &gt; バル</t>
  </si>
  <si>
    <t>オークション &gt; スポーツ、レジャー &gt; スポーツ別 &gt; スノーボード</t>
  </si>
  <si>
    <t>オークション &gt; 自動車、オートバイ &gt; 中古車・新車 &gt; 日産 &gt; キューブキュービック</t>
  </si>
  <si>
    <t>バルマン</t>
  </si>
  <si>
    <t>スノーモービル</t>
  </si>
  <si>
    <t>クリッパー</t>
  </si>
  <si>
    <t>オークション &gt; ファッション &gt; ブランド別 &gt; は &gt; バルマン</t>
  </si>
  <si>
    <t>オークション &gt; スポーツ、レジャー &gt; スポーツ別 &gt; スノーモービル</t>
  </si>
  <si>
    <t>オークション &gt; 自動車、オートバイ &gt; 中古車・新車 &gt; 日産 &gt; クリッパー</t>
  </si>
  <si>
    <t>バレンシアガ</t>
  </si>
  <si>
    <t>オークション &gt; ファッション &gt; ブランド別 &gt; は &gt; バレンシアガ</t>
  </si>
  <si>
    <t>クルー</t>
  </si>
  <si>
    <t>オークション &gt; スポーツ、レジャー &gt; スポーツ別 &gt; ソフトボール</t>
  </si>
  <si>
    <t>オークション &gt; 自動車、オートバイ &gt; 中古車・新車 &gt; 日産 &gt; クルー</t>
  </si>
  <si>
    <t>グロリア</t>
  </si>
  <si>
    <t>バレンチノ</t>
  </si>
  <si>
    <t>オークション &gt; 自動車、オートバイ &gt; 中古車・新車 &gt; 日産 &gt; グロリア</t>
  </si>
  <si>
    <t>オークション &gt; スポーツ、レジャー &gt; スポーツ別 &gt; 自転車、サイクリング</t>
  </si>
  <si>
    <t>オークション &gt; ファッション &gt; ブランド別 &gt; は &gt; バレンチノ</t>
  </si>
  <si>
    <t>グロリアシーマ</t>
  </si>
  <si>
    <t>オークション &gt; 自動車、オートバイ &gt; 中古車・新車 &gt; 日産 &gt; グロリアシーマ</t>
  </si>
  <si>
    <t>柔道</t>
  </si>
  <si>
    <t>オークション &gt; スポーツ、レジャー &gt; スポーツ別 &gt; 柔道</t>
  </si>
  <si>
    <t>パラビオン</t>
  </si>
  <si>
    <t>オークション &gt; ファッション &gt; ブランド別 &gt; は &gt; パラビオン</t>
  </si>
  <si>
    <t>グロリアワゴン</t>
  </si>
  <si>
    <t>オークション &gt; 自動車、オートバイ &gt; 中古車・新車 &gt; 日産 &gt; グロリアワゴン</t>
  </si>
  <si>
    <t>障害者スポーツ</t>
  </si>
  <si>
    <t>オークション &gt; スポーツ、レジャー &gt; スポーツ別 &gt; 障害者スポーツ</t>
  </si>
  <si>
    <t>コンドル</t>
  </si>
  <si>
    <t>オークション &gt; 自動車、オートバイ &gt; 中古車・新車 &gt; 日産 &gt; コンドル</t>
  </si>
  <si>
    <t>乗馬、馬術</t>
  </si>
  <si>
    <t>オークション &gt; スポーツ、レジャー &gt; スポーツ別 &gt; 乗馬、馬術</t>
  </si>
  <si>
    <t>パラブーツ</t>
  </si>
  <si>
    <t>オークション &gt; ファッション &gt; ブランド別 &gt; は &gt; パラブーツ</t>
  </si>
  <si>
    <t>VANS</t>
  </si>
  <si>
    <t>新体操</t>
  </si>
  <si>
    <t>オークション &gt; ファッション &gt; ブランド別 &gt; は &gt; VANS</t>
  </si>
  <si>
    <t>オークション &gt; スポーツ、レジャー &gt; スポーツ別 &gt; 新体操</t>
  </si>
  <si>
    <t>サニー</t>
  </si>
  <si>
    <t>オークション &gt; 自動車、オートバイ &gt; 中古車・新車 &gt; 日産 &gt; サニー</t>
  </si>
  <si>
    <t>ハンター</t>
  </si>
  <si>
    <t>水泳</t>
  </si>
  <si>
    <t>オークション &gt; ファッション &gt; ブランド別 &gt; は &gt; ハンター</t>
  </si>
  <si>
    <t>オークション &gt; スポーツ、レジャー &gt; スポーツ別 &gt; 水泳</t>
  </si>
  <si>
    <t>サニーカリフォルニア</t>
  </si>
  <si>
    <t>オークション &gt; 自動車、オートバイ &gt; 中古車・新車 &gt; 日産 &gt; サニーカリフォルニア</t>
  </si>
  <si>
    <t>ハンティングワールド</t>
  </si>
  <si>
    <t>水上スキー</t>
  </si>
  <si>
    <t>オークション &gt; ファッション &gt; ブランド別 &gt; は &gt; ハンティングワールド</t>
  </si>
  <si>
    <t>オークション &gt; スポーツ、レジャー &gt; スポーツ別 &gt; 水上スキー</t>
  </si>
  <si>
    <t>バンソン</t>
  </si>
  <si>
    <t>サファリ</t>
  </si>
  <si>
    <t>相撲</t>
  </si>
  <si>
    <t>オークション &gt; ファッション &gt; ブランド別 &gt; は &gt; バンソン</t>
  </si>
  <si>
    <t>オークション &gt; 自動車、オートバイ &gt; 中古車・新車 &gt; 日産 &gt; サファリ</t>
  </si>
  <si>
    <t>オークション &gt; スポーツ、レジャー &gt; スポーツ別 &gt; 相撲</t>
  </si>
  <si>
    <t>オークション &gt; ファッション &gt; ブランド別 &gt; は &gt; その他</t>
  </si>
  <si>
    <t>シーマ</t>
  </si>
  <si>
    <t>ダーツ</t>
  </si>
  <si>
    <t>オークション &gt; 自動車、オートバイ &gt; 中古車・新車 &gt; 日産 &gt; シーマ</t>
  </si>
  <si>
    <t>オークション &gt; スポーツ、レジャー &gt; スポーツ別 &gt; ダーツ</t>
  </si>
  <si>
    <t>ビアッジョブルー</t>
  </si>
  <si>
    <t>オークション &gt; ファッション &gt; ブランド別 &gt; ひ &gt; ビアッジョブルー</t>
  </si>
  <si>
    <t>シビリアン</t>
  </si>
  <si>
    <t>ダンス、バレエ</t>
  </si>
  <si>
    <t>オークション &gt; 自動車、オートバイ &gt; 中古車・新車 &gt; 日産 &gt; シビリアン</t>
  </si>
  <si>
    <t>オークション &gt; スポーツ、レジャー &gt; スポーツ別 &gt; ダンス、バレエ</t>
  </si>
  <si>
    <t>ピアスポーツ</t>
  </si>
  <si>
    <t>オークション &gt; ファッション &gt; ブランド別 &gt; ひ &gt; ピアスポーツ</t>
  </si>
  <si>
    <t>シルビア</t>
  </si>
  <si>
    <t>オークション &gt; スポーツ、レジャー &gt; スポーツ別 &gt; テニス</t>
  </si>
  <si>
    <t>オークション &gt; 自動車、オートバイ &gt; 中古車・新車 &gt; 日産 &gt; シルビア</t>
  </si>
  <si>
    <t>ビクター＆ロルフ</t>
  </si>
  <si>
    <t>オークション &gt; ファッション &gt; ブランド別 &gt; ひ &gt; ビクター＆ロルフ</t>
  </si>
  <si>
    <t>ジューク</t>
  </si>
  <si>
    <t>トライアスロン</t>
  </si>
  <si>
    <t>オークション &gt; 自動車、オートバイ &gt; 中古車・新車 &gt; 日産 &gt; ジューク</t>
  </si>
  <si>
    <t>オークション &gt; スポーツ、レジャー &gt; スポーツ別 &gt; トライアスロン</t>
  </si>
  <si>
    <t>ビクトリアシークレット</t>
  </si>
  <si>
    <t>オークション &gt; ファッション &gt; ブランド別 &gt; ひ &gt; ビクトリアシークレット</t>
  </si>
  <si>
    <t>スカイライン</t>
  </si>
  <si>
    <t>卓球</t>
  </si>
  <si>
    <t>オークション &gt; 自動車、オートバイ &gt; 中古車・新車 &gt; 日産 &gt; スカイライン</t>
  </si>
  <si>
    <t>オークション &gt; スポーツ、レジャー &gt; スポーツ別 &gt; 卓球</t>
  </si>
  <si>
    <t>BCBGマックスアズリア</t>
  </si>
  <si>
    <t>オークション &gt; ファッション &gt; ブランド別 &gt; ひ &gt; BCBGマックスアズリア</t>
  </si>
  <si>
    <t>スカイラインGT-R</t>
  </si>
  <si>
    <t>登山</t>
  </si>
  <si>
    <t>オークション &gt; 自動車、オートバイ &gt; 中古車・新車 &gt; 日産 &gt; スカイラインGT-R</t>
  </si>
  <si>
    <t>オークション &gt; スポーツ、レジャー &gt; スポーツ別 &gt; 登山</t>
  </si>
  <si>
    <t>visvim</t>
  </si>
  <si>
    <t>スカイラインクーペ</t>
  </si>
  <si>
    <t>オークション &gt; ファッション &gt; ブランド別 &gt; ひ &gt; visvim</t>
  </si>
  <si>
    <t>ハンドボール</t>
  </si>
  <si>
    <t>オークション &gt; 自動車、オートバイ &gt; 中古車・新車 &gt; 日産 &gt; スカイラインクーペ</t>
  </si>
  <si>
    <t>オークション &gt; スポーツ、レジャー &gt; スポーツ別 &gt; ハンドボール</t>
  </si>
  <si>
    <t>ヒステリックグラマー</t>
  </si>
  <si>
    <t>スカイラインクロスオーバー</t>
  </si>
  <si>
    <t>オークション &gt; ファッション &gt; ブランド別 &gt; ひ &gt; ヒステリックグラマー</t>
  </si>
  <si>
    <t>オークション &gt; 自動車、オートバイ &gt; 中古車・新車 &gt; 日産 &gt; スカイラインクロスオーバー</t>
  </si>
  <si>
    <t>オークション &gt; スポーツ、レジャー &gt; スポーツ別 &gt; バスケットボール</t>
  </si>
  <si>
    <t>ヒステリックミニ</t>
  </si>
  <si>
    <t>ステージア</t>
  </si>
  <si>
    <t>オークション &gt; ファッション &gt; ブランド別 &gt; ひ &gt; ヒステリックミニ</t>
  </si>
  <si>
    <t>バドミントン</t>
  </si>
  <si>
    <t>オークション &gt; 自動車、オートバイ &gt; 中古車・新車 &gt; 日産 &gt; ステージア</t>
  </si>
  <si>
    <t>オークション &gt; スポーツ、レジャー &gt; スポーツ別 &gt; バドミントン</t>
  </si>
  <si>
    <t>ビジョン</t>
  </si>
  <si>
    <t>セドリック</t>
  </si>
  <si>
    <t>オークション &gt; ファッション &gt; ブランド別 &gt; ひ &gt; ビジョン</t>
  </si>
  <si>
    <t>オークション &gt; 自動車、オートバイ &gt; 中古車・新車 &gt; 日産 &gt; セドリック</t>
  </si>
  <si>
    <t>オークション &gt; スポーツ、レジャー &gt; スポーツ別 &gt; バレーボール</t>
  </si>
  <si>
    <t>ピースナウ</t>
  </si>
  <si>
    <t>セドリックワゴン</t>
  </si>
  <si>
    <t>オークション &gt; ファッション &gt; ブランド別 &gt; ひ &gt; ピースナウ</t>
  </si>
  <si>
    <t>オークション &gt; 自動車、オートバイ &gt; 中古車・新車 &gt; 日産 &gt; セドリックワゴン</t>
  </si>
  <si>
    <t>パラグライダー</t>
  </si>
  <si>
    <t>オークション &gt; スポーツ、レジャー &gt; スポーツ別 &gt; パラグライダー</t>
  </si>
  <si>
    <t>ピースメーカー</t>
  </si>
  <si>
    <t>セフィーロ</t>
  </si>
  <si>
    <t>オークション &gt; ファッション &gt; ブランド別 &gt; ひ &gt; ピースメーカー</t>
  </si>
  <si>
    <t>オークション &gt; 自動車、オートバイ &gt; 中古車・新車 &gt; 日産 &gt; セフィーロ</t>
  </si>
  <si>
    <t>ビリヤード</t>
  </si>
  <si>
    <t>オークション &gt; スポーツ、レジャー &gt; スポーツ別 &gt; ビリヤード</t>
  </si>
  <si>
    <t>Pippi</t>
  </si>
  <si>
    <t>セレナ</t>
  </si>
  <si>
    <t>オークション &gt; ファッション &gt; ブランド別 &gt; ひ &gt; Pippi</t>
  </si>
  <si>
    <t>オークション &gt; 自動車、オートバイ &gt; 中古車・新車 &gt; 日産 &gt; セレナ</t>
  </si>
  <si>
    <t>フィールドホッケー</t>
  </si>
  <si>
    <t>オークション &gt; スポーツ、レジャー &gt; スポーツ別 &gt; フィールドホッケー</t>
  </si>
  <si>
    <t>ビッキー</t>
  </si>
  <si>
    <t>オークション &gt; ファッション &gt; ブランド別 &gt; ひ &gt; ビッキー</t>
  </si>
  <si>
    <t>ダットサン</t>
  </si>
  <si>
    <t>オークション &gt; 自動車、オートバイ &gt; 中古車・新車 &gt; 日産 &gt; ダットサン</t>
  </si>
  <si>
    <t>フットサル</t>
  </si>
  <si>
    <t>オークション &gt; スポーツ、レジャー &gt; スポーツ別 &gt; フットサル</t>
  </si>
  <si>
    <t>ピーチジョン</t>
  </si>
  <si>
    <t>ダットサントラック</t>
  </si>
  <si>
    <t>オークション &gt; ファッション &gt; ブランド別 &gt; ひ &gt; ピーチジョン</t>
  </si>
  <si>
    <t>オークション &gt; 自動車、オートバイ &gt; 中古車・新車 &gt; 日産 &gt; ダットサントラック</t>
  </si>
  <si>
    <t>ボウリング</t>
  </si>
  <si>
    <t>オークション &gt; スポーツ、レジャー &gt; スポーツ別 &gt; ボウリング</t>
  </si>
  <si>
    <t>PPFM</t>
  </si>
  <si>
    <t>ティーダ</t>
  </si>
  <si>
    <t>オークション &gt; ファッション &gt; ブランド別 &gt; ひ &gt; PPFM</t>
  </si>
  <si>
    <t>オークション &gt; 自動車、オートバイ &gt; 中古車・新車 &gt; 日産 &gt; ティーダ</t>
  </si>
  <si>
    <t>ボクシング</t>
  </si>
  <si>
    <t>オークション &gt; スポーツ、レジャー &gt; スポーツ別 &gt; ボクシング</t>
  </si>
  <si>
    <t>ビギ</t>
  </si>
  <si>
    <t>オークション &gt; ファッション &gt; ブランド別 &gt; ひ &gt; ビギ</t>
  </si>
  <si>
    <t>ティーダラティオ</t>
  </si>
  <si>
    <t>オークション &gt; 自動車、オートバイ &gt; 中古車・新車 &gt; 日産 &gt; ティーダラティオ</t>
  </si>
  <si>
    <t>オークション &gt; スポーツ、レジャー &gt; スポーツ別 &gt; ボディーボード</t>
  </si>
  <si>
    <t>ビバユー</t>
  </si>
  <si>
    <t>ティーノ</t>
  </si>
  <si>
    <t>オークション &gt; ファッション &gt; ブランド別 &gt; ひ &gt; ビバユー</t>
  </si>
  <si>
    <t>オークション &gt; 自動車、オートバイ &gt; 中古車・新車 &gt; 日産 &gt; ティーノ</t>
  </si>
  <si>
    <t>オークション &gt; スポーツ、レジャー &gt; スポーツ別 &gt; ヨガ、ピラティス</t>
  </si>
  <si>
    <t>ビビアンウエストウッド</t>
  </si>
  <si>
    <t>オークション &gt; ファッション &gt; ブランド別 &gt; ひ &gt; ビビアンウエストウッド</t>
  </si>
  <si>
    <t>ティアナ</t>
  </si>
  <si>
    <t>オークション &gt; スポーツ、レジャー &gt; スポーツ別 &gt; 野球</t>
  </si>
  <si>
    <t>オークション &gt; 自動車、オートバイ &gt; 中古車・新車 &gt; 日産 &gt; ティアナ</t>
  </si>
  <si>
    <t>ビビアンタム</t>
  </si>
  <si>
    <t>オークション &gt; ファッション &gt; ブランド別 &gt; ひ &gt; ビビアンタム</t>
  </si>
  <si>
    <t>ラクロス</t>
  </si>
  <si>
    <t>オークション &gt; スポーツ、レジャー &gt; スポーツ別 &gt; ラクロス</t>
  </si>
  <si>
    <t>テラノ</t>
  </si>
  <si>
    <t>ビームス</t>
  </si>
  <si>
    <t>オークション &gt; ファッション &gt; ブランド別 &gt; ひ &gt; ビームス</t>
  </si>
  <si>
    <t>オークション &gt; 自動車、オートバイ &gt; 中古車・新車 &gt; 日産 &gt; テラノ</t>
  </si>
  <si>
    <t>ラグビー</t>
  </si>
  <si>
    <t>オークション &gt; スポーツ、レジャー &gt; スポーツ別 &gt; ラグビー</t>
  </si>
  <si>
    <t>卑弥呼</t>
  </si>
  <si>
    <t>テラノレグラス</t>
  </si>
  <si>
    <t>オークション &gt; ファッション &gt; ブランド別 &gt; ひ &gt; 卑弥呼</t>
  </si>
  <si>
    <t>オークション &gt; 自動車、オートバイ &gt; 中古車・新車 &gt; 日産 &gt; テラノレグラス</t>
  </si>
  <si>
    <t>オークション &gt; スポーツ、レジャー &gt; スポーツ別 &gt; ランニング、ジョギング</t>
  </si>
  <si>
    <t>ヒューゴ･ボス</t>
  </si>
  <si>
    <t>デイズ</t>
  </si>
  <si>
    <t>オークション &gt; ファッション &gt; ブランド別 &gt; ひ &gt; ヒューゴ･ボス</t>
  </si>
  <si>
    <t>オークション &gt; 自動車、オートバイ &gt; 中古車・新車 &gt; 日産 &gt; デイズ</t>
  </si>
  <si>
    <t>オークション &gt; スポーツ、レジャー &gt; スポーツ別 &gt; ロッククライミング</t>
  </si>
  <si>
    <t>ヒューマンウーマン</t>
  </si>
  <si>
    <t>オークション &gt; ファッション &gt; ブランド別 &gt; ひ &gt; ヒューマンウーマン</t>
  </si>
  <si>
    <t>デイズルークス</t>
  </si>
  <si>
    <t>オークション &gt; 自動車、オートバイ &gt; 中古車・新車 &gt; 日産 &gt; デイズルークス</t>
  </si>
  <si>
    <t>陸上競技</t>
  </si>
  <si>
    <t>オークション &gt; スポーツ、レジャー &gt; スポーツ別 &gt; 陸上競技</t>
  </si>
  <si>
    <t>ビューティビースト</t>
  </si>
  <si>
    <t>オークション &gt; ファッション &gt; ブランド別 &gt; ひ &gt; ビューティビースト</t>
  </si>
  <si>
    <t>デュアリス</t>
  </si>
  <si>
    <t>オークション &gt; 自動車、オートバイ &gt; 中古車・新車 &gt; 日産 &gt; デュアリス</t>
  </si>
  <si>
    <t>オークション &gt; スポーツ、レジャー &gt; スポーツ別 &gt; スポーツウエア</t>
  </si>
  <si>
    <t>ビュルデサボン</t>
  </si>
  <si>
    <t>オークション &gt; ファッション &gt; ブランド別 &gt; ひ &gt; ビュルデサボン</t>
  </si>
  <si>
    <t>ノート</t>
  </si>
  <si>
    <t>オークション &gt; 自動車、オートバイ &gt; 中古車・新車 &gt; 日産 &gt; ノート</t>
  </si>
  <si>
    <t>オークション &gt; スポーツ、レジャー &gt; スポーツ別 &gt; 記念品、関連グッズ</t>
  </si>
  <si>
    <t>ピュアルセシン</t>
  </si>
  <si>
    <t>バサラ</t>
  </si>
  <si>
    <t>オークション &gt; スポーツ、レジャー &gt; スポーツ別 &gt; その他</t>
  </si>
  <si>
    <t>オークション &gt; ファッション &gt; ブランド別 &gt; ひ &gt; ピュアルセシン</t>
  </si>
  <si>
    <t>オークション &gt; 自動車、オートバイ &gt; 中古車・新車 &gt; 日産 &gt; バサラ</t>
  </si>
  <si>
    <t>ヒロココシノ</t>
  </si>
  <si>
    <t>バネット</t>
  </si>
  <si>
    <t>オークション &gt; ファッション &gt; ブランド別 &gt; ひ &gt; ヒロココシノ</t>
  </si>
  <si>
    <t>オークション &gt; 自動車、オートバイ &gt; 中古車・新車 &gt; 日産 &gt; バネット</t>
  </si>
  <si>
    <t>OGK</t>
  </si>
  <si>
    <t>オークション &gt; スポーツ、レジャー &gt; スポーツサングラス &gt; OGK</t>
  </si>
  <si>
    <t>ヒロフ</t>
  </si>
  <si>
    <t>オークション &gt; ファッション &gt; ブランド別 &gt; ひ &gt; ヒロフ</t>
  </si>
  <si>
    <t>バネットバン</t>
  </si>
  <si>
    <t>オークション &gt; 自動車、オートバイ &gt; 中古車・新車 &gt; 日産 &gt; バネットバン</t>
  </si>
  <si>
    <t>zerorh+</t>
  </si>
  <si>
    <t>オークション &gt; スポーツ、レジャー &gt; スポーツサングラス &gt; zerorh+</t>
  </si>
  <si>
    <t>ビラボン</t>
  </si>
  <si>
    <t>オークション &gt; ファッション &gt; ブランド別 &gt; ひ &gt; ビラボン</t>
  </si>
  <si>
    <t>パオ</t>
  </si>
  <si>
    <t>アーネット</t>
  </si>
  <si>
    <t>オークション &gt; 自動車、オートバイ &gt; 中古車・新車 &gt; 日産 &gt; パオ</t>
  </si>
  <si>
    <t>オークション &gt; スポーツ、レジャー &gt; スポーツサングラス &gt; アーネット</t>
  </si>
  <si>
    <t>ビリオネアボーイズクラブ</t>
  </si>
  <si>
    <t>オークション &gt; ファッション &gt; ブランド別 &gt; ひ &gt; ビリオネアボーイズクラブ</t>
  </si>
  <si>
    <t>パルサー</t>
  </si>
  <si>
    <t>アックス</t>
  </si>
  <si>
    <t>オークション &gt; 自動車、オートバイ &gt; 中古車・新車 &gt; 日産 &gt; パルサー</t>
  </si>
  <si>
    <t>オークション &gt; スポーツ、レジャー &gt; スポーツサングラス &gt; アックス</t>
  </si>
  <si>
    <t>ビルケンシュトック</t>
  </si>
  <si>
    <t>オークション &gt; ファッション &gt; ブランド別 &gt; ひ &gt; ビルケンシュトック</t>
  </si>
  <si>
    <t>ピノ</t>
  </si>
  <si>
    <t>オークション &gt; 自動車、オートバイ &gt; 中古車・新車 &gt; 日産 &gt; ピノ</t>
  </si>
  <si>
    <t>オークション &gt; スポーツ、レジャー &gt; スポーツサングラス &gt; アディダス</t>
  </si>
  <si>
    <t>ピンキー＆ダイアン</t>
  </si>
  <si>
    <t>フーガ</t>
  </si>
  <si>
    <t>オークション &gt; 自動車、オートバイ &gt; 中古車・新車 &gt; 日産 &gt; フーガ</t>
  </si>
  <si>
    <t>オークション &gt; スポーツ、レジャー &gt; スポーツサングラス &gt; オークリー</t>
  </si>
  <si>
    <t>オークション &gt; ファッション &gt; ブランド別 &gt; ひ &gt; ピンキー＆ダイアン</t>
  </si>
  <si>
    <t>フーガハイブリッド</t>
  </si>
  <si>
    <t>オークション &gt; 自動車、オートバイ &gt; 中古車・新車 &gt; 日産 &gt; フーガハイブリッド</t>
  </si>
  <si>
    <t>ピンキーガールズ</t>
  </si>
  <si>
    <t>コールマン</t>
  </si>
  <si>
    <t>オークション &gt; ファッション &gt; ブランド別 &gt; ひ &gt; ピンキーガールズ</t>
  </si>
  <si>
    <t>オークション &gt; スポーツ、レジャー &gt; スポーツサングラス &gt; コールマン</t>
  </si>
  <si>
    <t>フィガロ</t>
  </si>
  <si>
    <t>オークション &gt; 自動車、オートバイ &gt; 中古車・新車 &gt; 日産 &gt; フィガロ</t>
  </si>
  <si>
    <t>スパイ</t>
  </si>
  <si>
    <t>ピンクハウス</t>
  </si>
  <si>
    <t>オークション &gt; スポーツ、レジャー &gt; スポーツサングラス &gt; スパイ</t>
  </si>
  <si>
    <t>オークション &gt; ファッション &gt; ブランド別 &gt; ひ &gt; ピンクハウス</t>
  </si>
  <si>
    <t>フェアレディZ</t>
  </si>
  <si>
    <t>オークション &gt; 自動車、オートバイ &gt; 中古車・新車 &gt; 日産 &gt; フェアレディZ</t>
  </si>
  <si>
    <t>スポルディング</t>
  </si>
  <si>
    <t>オークション &gt; スポーツ、レジャー &gt; スポーツサングラス &gt; スポルディング</t>
  </si>
  <si>
    <t>オークション &gt; ファッション &gt; ブランド別 &gt; ひ &gt; その他</t>
  </si>
  <si>
    <t>ブルーバード</t>
  </si>
  <si>
    <t>オークション &gt; 自動車、オートバイ &gt; 中古車・新車 &gt; 日産 &gt; ブルーバード</t>
  </si>
  <si>
    <t>スワンズ</t>
  </si>
  <si>
    <t>45rpm</t>
  </si>
  <si>
    <t>オークション &gt; スポーツ、レジャー &gt; スポーツサングラス &gt; スワンズ</t>
  </si>
  <si>
    <t>オークション &gt; ファッション &gt; ブランド別 &gt; ふ &gt; 45rpm</t>
  </si>
  <si>
    <t>ブルーバードシルフィ</t>
  </si>
  <si>
    <t>オークション &gt; 自動車、オートバイ &gt; 中古車・新車 &gt; 日産 &gt; ブルーバードシルフィ</t>
  </si>
  <si>
    <t>55DSL</t>
  </si>
  <si>
    <t>オークション &gt; スポーツ、レジャー &gt; スポーツサングラス &gt; ナイキ</t>
  </si>
  <si>
    <t>オークション &gt; ファッション &gt; ブランド別 &gt; ふ &gt; 55DSL</t>
  </si>
  <si>
    <t>プリメーラ</t>
  </si>
  <si>
    <t>オークション &gt; 自動車、オートバイ &gt; 中古車・新車 &gt; 日産 &gt; プリメーラ</t>
  </si>
  <si>
    <t>ブラックフライ</t>
  </si>
  <si>
    <t>FAD3</t>
  </si>
  <si>
    <t>オークション &gt; スポーツ、レジャー &gt; スポーツサングラス &gt; ブラックフライ</t>
  </si>
  <si>
    <t>オークション &gt; ファッション &gt; ブランド別 &gt; ふ &gt; FAD3</t>
  </si>
  <si>
    <t>プリメーラカミノ</t>
  </si>
  <si>
    <t>ブリコ</t>
  </si>
  <si>
    <t>FOREVER21</t>
  </si>
  <si>
    <t>オークション &gt; 自動車、オートバイ &gt; 中古車・新車 &gt; 日産 &gt; プリメーラカミノ</t>
  </si>
  <si>
    <t>オークション &gt; スポーツ、レジャー &gt; スポーツサングラス &gt; ブリコ</t>
  </si>
  <si>
    <t>オークション &gt; ファッション &gt; ブランド別 &gt; ふ &gt; FOREVER21</t>
  </si>
  <si>
    <t>ルディプロジェクト</t>
  </si>
  <si>
    <t>Fin</t>
  </si>
  <si>
    <t>オークション &gt; スポーツ、レジャー &gt; スポーツサングラス &gt; ルディプロジェクト</t>
  </si>
  <si>
    <t>プリメーラワゴン</t>
  </si>
  <si>
    <t>オークション &gt; ファッション &gt; ブランド別 &gt; ふ &gt; Fin</t>
  </si>
  <si>
    <t>オークション &gt; 自動車、オートバイ &gt; 中古車・新車 &gt; 日産 &gt; プリメーラワゴン</t>
  </si>
  <si>
    <t>レイバン</t>
  </si>
  <si>
    <t>PHENOMENON</t>
  </si>
  <si>
    <t>オークション &gt; スポーツ、レジャー &gt; スポーツサングラス &gt; レイバン</t>
  </si>
  <si>
    <t>プレーリー</t>
  </si>
  <si>
    <t>オークション &gt; ファッション &gt; ブランド別 &gt; ふ &gt; PHENOMENON</t>
  </si>
  <si>
    <t>オークション &gt; 自動車、オートバイ &gt; 中古車・新車 &gt; 日産 &gt; プレーリー</t>
  </si>
  <si>
    <t>ファクトタム</t>
  </si>
  <si>
    <t>オークション &gt; スポーツ、レジャー &gt; スポーツサングラス &gt; その他</t>
  </si>
  <si>
    <t>オークション &gt; ファッション &gt; ブランド別 &gt; ふ &gt; ファクトタム</t>
  </si>
  <si>
    <t>プレーリージョイ</t>
  </si>
  <si>
    <t>オークション &gt; 自動車、オートバイ &gt; 中古車・新車 &gt; 日産 &gt; プレーリージョイ</t>
  </si>
  <si>
    <t>オークション &gt; ファッション &gt; ブランド別 &gt; ふ &gt; ファミリア</t>
  </si>
  <si>
    <t>プレーリーリバティ</t>
  </si>
  <si>
    <t>オークション &gt; 自動車、オートバイ &gt; 中古車・新車 &gt; 日産 &gt; プレーリーリバティ</t>
  </si>
  <si>
    <t>フィラ</t>
  </si>
  <si>
    <t>オークション &gt; ファッション &gt; ブランド別 &gt; ふ &gt; フィラ</t>
  </si>
  <si>
    <t>プレサージュ</t>
  </si>
  <si>
    <t>オークション &gt; 自動車、オートバイ &gt; 中古車・新車 &gt; 日産 &gt; プレサージュ</t>
  </si>
  <si>
    <t>フィルソン</t>
  </si>
  <si>
    <t>オークション &gt; ファッション &gt; ブランド別 &gt; ふ &gt; フィルソン</t>
  </si>
  <si>
    <t>プレジデント</t>
  </si>
  <si>
    <t>オークション &gt; 自動車、オートバイ &gt; 中古車・新車 &gt; 日産 &gt; プレジデント</t>
  </si>
  <si>
    <t>フェイラー</t>
  </si>
  <si>
    <t>オークション &gt; ファッション &gt; ブランド別 &gt; ふ &gt; フェイラー</t>
  </si>
  <si>
    <t>プレセア</t>
  </si>
  <si>
    <t>オークション &gt; 自動車、オートバイ &gt; 中古車・新車 &gt; 日産 &gt; プレセア</t>
  </si>
  <si>
    <t>フェニックス</t>
  </si>
  <si>
    <t>オークション &gt; ファッション &gt; ブランド別 &gt; ふ &gt; フェニックス</t>
  </si>
  <si>
    <t>ホーミー</t>
  </si>
  <si>
    <t>オークション &gt; 自動車、オートバイ &gt; 中古車・新車 &gt; 日産 &gt; ホーミー</t>
  </si>
  <si>
    <t>フェラガモ</t>
  </si>
  <si>
    <t>オークション &gt; ファッション &gt; ブランド別 &gt; ふ &gt; フェラガモ</t>
  </si>
  <si>
    <t>マーチ</t>
  </si>
  <si>
    <t>オークション &gt; 自動車、オートバイ &gt; 中古車・新車 &gt; 日産 &gt; マーチ</t>
  </si>
  <si>
    <t>フェリージ</t>
  </si>
  <si>
    <t>オークション &gt; ファッション &gt; ブランド別 &gt; ふ &gt; フェリージ</t>
  </si>
  <si>
    <t>フェルゥ</t>
  </si>
  <si>
    <t>オークション &gt; ファッション &gt; ブランド別 &gt; ふ &gt; フェルゥ</t>
  </si>
  <si>
    <t>ミストラル</t>
  </si>
  <si>
    <t>オークション &gt; 自動車、オートバイ &gt; 中古車・新車 &gt; 日産 &gt; ミストラル</t>
  </si>
  <si>
    <t>フェローズ</t>
  </si>
  <si>
    <t>オークション &gt; ファッション &gt; ブランド別 &gt; ふ &gt; フェローズ</t>
  </si>
  <si>
    <t>オークション &gt; スポーツ、レジャー &gt; スポーツ別 &gt; エクササイズ用品 &gt; ウエア &gt; 女性用</t>
  </si>
  <si>
    <t>ムラーノ</t>
  </si>
  <si>
    <t>フェンディ</t>
  </si>
  <si>
    <t>オークション &gt; 自動車、オートバイ &gt; 中古車・新車 &gt; 日産 &gt; ムラーノ</t>
  </si>
  <si>
    <t>オークション &gt; ファッション &gt; ブランド別 &gt; ふ &gt; フェンディ</t>
  </si>
  <si>
    <t>モコ</t>
  </si>
  <si>
    <t>オークション &gt; スポーツ、レジャー &gt; スポーツ別 &gt; エクササイズ用品 &gt; ウエア &gt; 男性用</t>
  </si>
  <si>
    <t>フォクシー</t>
  </si>
  <si>
    <t>オークション &gt; 自動車、オートバイ &gt; 中古車・新車 &gt; 日産 &gt; モコ</t>
  </si>
  <si>
    <t>オークション &gt; ファッション &gt; ブランド別 &gt; ふ &gt; フォクシー</t>
  </si>
  <si>
    <t>ラシーン</t>
  </si>
  <si>
    <t>フォックスファイヤー</t>
  </si>
  <si>
    <t>オークション &gt; スポーツ、レジャー &gt; スポーツ別 &gt; 水泳 &gt; スイムウエア &gt; 女性用</t>
  </si>
  <si>
    <t>オークション &gt; 自動車、オートバイ &gt; 中古車・新車 &gt; 日産 &gt; ラシーン</t>
  </si>
  <si>
    <t>オークション &gt; ファッション &gt; ブランド別 &gt; ふ &gt; フォックスファイヤー</t>
  </si>
  <si>
    <t>ラフェスタ</t>
  </si>
  <si>
    <t>オークション &gt; スポーツ、レジャー &gt; スポーツ別 &gt; 水泳 &gt; スイムウエア &gt; 男性用</t>
  </si>
  <si>
    <t>フセインチャラヤン</t>
  </si>
  <si>
    <t>オークション &gt; 自動車、オートバイ &gt; 中古車・新車 &gt; 日産 &gt; ラフェスタ</t>
  </si>
  <si>
    <t>オークション &gt; ファッション &gt; ブランド別 &gt; ふ &gt; フセインチャラヤン</t>
  </si>
  <si>
    <t>ラルゴ</t>
  </si>
  <si>
    <t>オークション &gt; スポーツ、レジャー &gt; スポーツ別 &gt; 水泳 &gt; スイムウエア &gt; 子ども用</t>
  </si>
  <si>
    <t>オークション &gt; 自動車、オートバイ &gt; 中古車・新車 &gt; 日産 &gt; ラルゴ</t>
  </si>
  <si>
    <t>ブッテロ</t>
  </si>
  <si>
    <t>オークション &gt; ファッション &gt; ブランド別 &gt; ふ &gt; ブッテロ</t>
  </si>
  <si>
    <t>セーリングボート</t>
  </si>
  <si>
    <t>リーフ</t>
  </si>
  <si>
    <t>オークション &gt; スポーツ、レジャー &gt; 船、ボート &gt; 船体 &gt; セーリングボート</t>
  </si>
  <si>
    <t>オークション &gt; 自動車、オートバイ &gt; 中古車・新車 &gt; 日産 &gt; リーフ</t>
  </si>
  <si>
    <t>プチジュンコ</t>
  </si>
  <si>
    <t>オークション &gt; ファッション &gt; ブランド別 &gt; ふ &gt; プチジュンコ</t>
  </si>
  <si>
    <t>バスフィッシング用ボート</t>
  </si>
  <si>
    <t>リバティ</t>
  </si>
  <si>
    <t>オークション &gt; スポーツ、レジャー &gt; 船、ボート &gt; 船体 &gt; バスフィッシング用ボート</t>
  </si>
  <si>
    <t>オークション &gt; 自動車、オートバイ &gt; 中古車・新車 &gt; 日産 &gt; リバティ</t>
  </si>
  <si>
    <t>プチバトー</t>
  </si>
  <si>
    <t>オークション &gt; ファッション &gt; ブランド別 &gt; ふ &gt; プチバトー</t>
  </si>
  <si>
    <t>ルークス</t>
  </si>
  <si>
    <t>モーターボート</t>
  </si>
  <si>
    <t>オークション &gt; 自動車、オートバイ &gt; 中古車・新車 &gt; 日産 &gt; ルークス</t>
  </si>
  <si>
    <t>オークション &gt; スポーツ、レジャー &gt; 船、ボート &gt; 船体 &gt; モーターボート</t>
  </si>
  <si>
    <t>ブーフーウー</t>
  </si>
  <si>
    <t>オークション &gt; ファッション &gt; ブランド別 &gt; ふ &gt; ブーフーウー</t>
  </si>
  <si>
    <t>ルキノ</t>
  </si>
  <si>
    <t>オークション &gt; スポーツ、レジャー &gt; 船、ボート &gt; 船体 &gt; 水上オートバイ</t>
  </si>
  <si>
    <t>オークション &gt; 自動車、オートバイ &gt; 中古車・新車 &gt; 日産 &gt; ルキノ</t>
  </si>
  <si>
    <t>プーマ</t>
  </si>
  <si>
    <t>カヌー、カヤック</t>
  </si>
  <si>
    <t>オークション &gt; ファッション &gt; ブランド別 &gt; ふ &gt; プーマ</t>
  </si>
  <si>
    <t>ルネッサ</t>
  </si>
  <si>
    <t>オークション &gt; スポーツ、レジャー &gt; 船、ボート &gt; 船体 &gt; カヌー、カヤック</t>
  </si>
  <si>
    <t>オークション &gt; 自動車、オートバイ &gt; 中古車・新車 &gt; 日産 &gt; ルネッサ</t>
  </si>
  <si>
    <t>フライ</t>
  </si>
  <si>
    <t>オークション &gt; ファッション &gt; ブランド別 &gt; ふ &gt; フライ</t>
  </si>
  <si>
    <t>レパード</t>
  </si>
  <si>
    <t>ゴムボート</t>
  </si>
  <si>
    <t>オークション &gt; スポーツ、レジャー &gt; 船、ボート &gt; 船体 &gt; ゴムボート</t>
  </si>
  <si>
    <t>オークション &gt; 自動車、オートバイ &gt; 中古車・新車 &gt; 日産 &gt; レパード</t>
  </si>
  <si>
    <t>フラジール</t>
  </si>
  <si>
    <t>オークション &gt; ファッション &gt; ブランド別 &gt; ふ &gt; フラジール</t>
  </si>
  <si>
    <t>アンカー</t>
  </si>
  <si>
    <t>オークション &gt; スポーツ、レジャー &gt; 船、ボート &gt; アンカー、係船用具 &gt; アンカー</t>
  </si>
  <si>
    <t>レパードJ．フェリー</t>
  </si>
  <si>
    <t>フラットヘッド</t>
  </si>
  <si>
    <t>オークション &gt; 自動車、オートバイ &gt; 中古車・新車 &gt; 日産 &gt; レパードJ．フェリー</t>
  </si>
  <si>
    <t>オークション &gt; ファッション &gt; ブランド別 &gt; ふ &gt; フラットヘッド</t>
  </si>
  <si>
    <t>シーアンカー</t>
  </si>
  <si>
    <t>オークション &gt; スポーツ、レジャー &gt; 船、ボート &gt; アンカー、係船用具 &gt; シーアンカー</t>
  </si>
  <si>
    <t>フラボア</t>
  </si>
  <si>
    <t>オークション &gt; ファッション &gt; ブランド別 &gt; ふ &gt; フラボア</t>
  </si>
  <si>
    <t>ローレル</t>
  </si>
  <si>
    <t>オークション &gt; 自動車、オートバイ &gt; 中古車・新車 &gt; 日産 &gt; ローレル</t>
  </si>
  <si>
    <t>オークション &gt; スポーツ、レジャー &gt; 船、ボート &gt; アンカー、係船用具 &gt; その他</t>
  </si>
  <si>
    <t>フランクリン＆マーシャル</t>
  </si>
  <si>
    <t>オークション &gt; ファッション &gt; ブランド別 &gt; ふ &gt; フランクリン＆マーシャル</t>
  </si>
  <si>
    <t>10馬力未満</t>
  </si>
  <si>
    <t>オークション &gt; スポーツ、レジャー &gt; 船、ボート &gt; パーツ &gt; エンジン &gt; 10馬力未満</t>
  </si>
  <si>
    <t>オークション &gt; 自動車、オートバイ &gt; 中古車・新車 &gt; 日産 &gt; その他</t>
  </si>
  <si>
    <t>フランシュリッペ</t>
  </si>
  <si>
    <t>オークション &gt; ファッション &gt; ブランド別 &gt; ふ &gt; フランシュリッペ</t>
  </si>
  <si>
    <t>AMG C</t>
  </si>
  <si>
    <t>オークション &gt; 自動車、オートバイ &gt; 中古車・新車 &gt; AMG &gt; AMG C</t>
  </si>
  <si>
    <t>10馬力～</t>
  </si>
  <si>
    <t>オークション &gt; スポーツ、レジャー &gt; 船、ボート &gt; パーツ &gt; エンジン &gt; 10馬力～</t>
  </si>
  <si>
    <t>フリーズショップ</t>
  </si>
  <si>
    <t>オークション &gt; ファッション &gt; ブランド別 &gt; ふ &gt; フリーズショップ</t>
  </si>
  <si>
    <t>AMG CL</t>
  </si>
  <si>
    <t>30馬力～</t>
  </si>
  <si>
    <t>オークション &gt; 自動車、オートバイ &gt; 中古車・新車 &gt; AMG &gt; AMG CL</t>
  </si>
  <si>
    <t>フルカウント</t>
  </si>
  <si>
    <t>オークション &gt; スポーツ、レジャー &gt; 船、ボート &gt; パーツ &gt; エンジン &gt; 30馬力～</t>
  </si>
  <si>
    <t>オークション &gt; ファッション &gt; ブランド別 &gt; ふ &gt; フルカウント</t>
  </si>
  <si>
    <t>AMG CLK</t>
  </si>
  <si>
    <t>50馬力～</t>
  </si>
  <si>
    <t>フルラ</t>
  </si>
  <si>
    <t>オークション &gt; 自動車、オートバイ &gt; 中古車・新車 &gt; AMG &gt; AMG CLK</t>
  </si>
  <si>
    <t>オークション &gt; スポーツ、レジャー &gt; 船、ボート &gt; パーツ &gt; エンジン &gt; 50馬力～</t>
  </si>
  <si>
    <t>オークション &gt; ファッション &gt; ブランド別 &gt; ふ &gt; フルラ</t>
  </si>
  <si>
    <t>AMG CLS</t>
  </si>
  <si>
    <t>フレームワーク</t>
  </si>
  <si>
    <t>100馬力～</t>
  </si>
  <si>
    <t>オークション &gt; 自動車、オートバイ &gt; 中古車・新車 &gt; AMG &gt; AMG CLS</t>
  </si>
  <si>
    <t>オークション &gt; ファッション &gt; ブランド別 &gt; ふ &gt; フレームワーク</t>
  </si>
  <si>
    <t>オークション &gt; スポーツ、レジャー &gt; 船、ボート &gt; パーツ &gt; エンジン &gt; 100馬力～</t>
  </si>
  <si>
    <t>AMG E</t>
  </si>
  <si>
    <t>フレッドペリー</t>
  </si>
  <si>
    <t>オークション &gt; 自動車、オートバイ &gt; 中古車・新車 &gt; AMG &gt; AMG E</t>
  </si>
  <si>
    <t>オークション &gt; ファッション &gt; ブランド別 &gt; ふ &gt; フレッドペリー</t>
  </si>
  <si>
    <t>GPS</t>
  </si>
  <si>
    <t>オークション &gt; スポーツ、レジャー &gt; 船、ボート &gt; パーツ &gt; GPS</t>
  </si>
  <si>
    <t>AMG G</t>
  </si>
  <si>
    <t>フローレント</t>
  </si>
  <si>
    <t>オークション &gt; 自動車、オートバイ &gt; 中古車・新車 &gt; AMG &gt; AMG G</t>
  </si>
  <si>
    <t>オークション &gt; ファッション &gt; ブランド別 &gt; ふ &gt; フローレント</t>
  </si>
  <si>
    <t>AMG M</t>
  </si>
  <si>
    <t>オークション &gt; 自動車、オートバイ &gt; 中古車・新車 &gt; AMG &gt; AMG M</t>
  </si>
  <si>
    <t>オークション &gt; スポーツ、レジャー &gt; 船、ボート &gt; パーツ &gt; エンジン</t>
  </si>
  <si>
    <t>ブリーフィング</t>
  </si>
  <si>
    <t>オークション &gt; ファッション &gt; ブランド別 &gt; ふ &gt; ブリーフィング</t>
  </si>
  <si>
    <t>AMG S</t>
  </si>
  <si>
    <t>オークション &gt; 自動車、オートバイ &gt; 中古車・新車 &gt; AMG &gt; AMG S</t>
  </si>
  <si>
    <t>外装品</t>
  </si>
  <si>
    <t>ブリオーニ</t>
  </si>
  <si>
    <t>オークション &gt; スポーツ、レジャー &gt; 船、ボート &gt; パーツ &gt; 外装品</t>
  </si>
  <si>
    <t>AMG SL</t>
  </si>
  <si>
    <t>オークション &gt; ファッション &gt; ブランド別 &gt; ふ &gt; ブリオーニ</t>
  </si>
  <si>
    <t>オークション &gt; 自動車、オートバイ &gt; 中古車・新車 &gt; AMG &gt; AMG SL</t>
  </si>
  <si>
    <t>AMG SLK</t>
  </si>
  <si>
    <t>ブルークロス</t>
  </si>
  <si>
    <t>オークション &gt; 自動車、オートバイ &gt; 中古車・新車 &gt; AMG &gt; AMG SLK</t>
  </si>
  <si>
    <t>航行計器</t>
  </si>
  <si>
    <t>オークション &gt; ファッション &gt; ブランド別 &gt; ふ &gt; ブルークロス</t>
  </si>
  <si>
    <t>オークション &gt; スポーツ、レジャー &gt; 船、ボート &gt; パーツ &gt; 航行計器</t>
  </si>
  <si>
    <t>ブルーノマリ</t>
  </si>
  <si>
    <t>オークション &gt; ファッション &gt; ブランド別 &gt; ふ &gt; ブルーノマリ</t>
  </si>
  <si>
    <t>オークション &gt; 自動車、オートバイ &gt; 中古車・新車 &gt; AMG &gt; その他</t>
  </si>
  <si>
    <t>水上オートバイ用</t>
  </si>
  <si>
    <t>ブルームーンブルー</t>
  </si>
  <si>
    <t>オークション &gt; スポーツ、レジャー &gt; 船、ボート &gt; パーツ &gt; 水上オートバイ用</t>
  </si>
  <si>
    <t>1シリーズ カブリオレ</t>
  </si>
  <si>
    <t>オークション &gt; ファッション &gt; ブランド別 &gt; ふ &gt; ブルームーンブルー</t>
  </si>
  <si>
    <t>オークション &gt; 自動車、オートバイ &gt; 中古車・新車 &gt; BMW &gt; 1シリーズ カブリオレ</t>
  </si>
  <si>
    <t>操舵装置</t>
  </si>
  <si>
    <t>ブルガリ</t>
  </si>
  <si>
    <t>1シリーズ クーペ</t>
  </si>
  <si>
    <t>オークション &gt; スポーツ、レジャー &gt; 船、ボート &gt; パーツ &gt; 操舵装置</t>
  </si>
  <si>
    <t>オークション &gt; ファッション &gt; ブランド別 &gt; ふ &gt; ブルガリ</t>
  </si>
  <si>
    <t>オークション &gt; 自動車、オートバイ &gt; 中古車・新車 &gt; BMW &gt; 1シリーズ クーペ</t>
  </si>
  <si>
    <t>1シリーズ ハッチバック</t>
  </si>
  <si>
    <t>電装品</t>
  </si>
  <si>
    <t>オークション &gt; 自動車、オートバイ &gt; 中古車・新車 &gt; BMW &gt; 1シリーズ ハッチバック</t>
  </si>
  <si>
    <t>ブルックスブラザーズ</t>
  </si>
  <si>
    <t>オークション &gt; スポーツ、レジャー &gt; 船、ボート &gt; パーツ &gt; 電装品</t>
  </si>
  <si>
    <t>オークション &gt; ファッション &gt; ブランド別 &gt; ふ &gt; ブルックスブラザーズ</t>
  </si>
  <si>
    <t>3シリーズ クーペ</t>
  </si>
  <si>
    <t>内装品</t>
  </si>
  <si>
    <t>ブルネロクチネリ</t>
  </si>
  <si>
    <t>オークション &gt; 自動車、オートバイ &gt; 中古車・新車 &gt; BMW &gt; 3シリーズ クーペ</t>
  </si>
  <si>
    <t>オークション &gt; スポーツ、レジャー &gt; 船、ボート &gt; パーツ &gt; 内装品</t>
  </si>
  <si>
    <t>オークション &gt; ファッション &gt; ブランド別 &gt; ふ &gt; ブルネロクチネリ</t>
  </si>
  <si>
    <t>3シリーズ セダン</t>
  </si>
  <si>
    <t>無線機</t>
  </si>
  <si>
    <t>ブルマリン</t>
  </si>
  <si>
    <t>オークション &gt; 自動車、オートバイ &gt; 中古車・新車 &gt; BMW &gt; 3シリーズ セダン</t>
  </si>
  <si>
    <t>オークション &gt; スポーツ、レジャー &gt; 船、ボート &gt; パーツ &gt; 無線機</t>
  </si>
  <si>
    <t>オークション &gt; ファッション &gt; ブランド別 &gt; ふ &gt; ブルマリン</t>
  </si>
  <si>
    <t>3シリーズ ツーリング</t>
  </si>
  <si>
    <t>ブロンディ</t>
  </si>
  <si>
    <t>オークション &gt; 自動車、オートバイ &gt; 中古車・新車 &gt; BMW &gt; 3シリーズ ツーリング</t>
  </si>
  <si>
    <t>オークション &gt; スポーツ、レジャー &gt; 船、ボート &gt; パーツ &gt; その他</t>
  </si>
  <si>
    <t>オークション &gt; ファッション &gt; ブランド別 &gt; ふ &gt; ブロンディ</t>
  </si>
  <si>
    <t>プーラフリーム</t>
  </si>
  <si>
    <t>3シリーズ ハッチバック</t>
  </si>
  <si>
    <t>オークション &gt; ファッション &gt; ブランド別 &gt; ふ &gt; プーラフリーム</t>
  </si>
  <si>
    <t>オークション &gt; 自動車、オートバイ &gt; 中古車・新車 &gt; BMW &gt; 3シリーズ ハッチバック</t>
  </si>
  <si>
    <t>プールサイド</t>
  </si>
  <si>
    <t>3シリーズカブリオレ</t>
  </si>
  <si>
    <t>オークション &gt; ファッション &gt; ブランド別 &gt; ふ &gt; プールサイド</t>
  </si>
  <si>
    <t>オークション &gt; 自動車、オートバイ &gt; 中古車・新車 &gt; BMW &gt; 3シリーズカブリオレ</t>
  </si>
  <si>
    <t>3シリーズグランツーリスモ</t>
  </si>
  <si>
    <t>モニター10型～</t>
  </si>
  <si>
    <t>オークション &gt; 自動車、オートバイ &gt; 中古車・新車 &gt; BMW &gt; 3シリーズグランツーリスモ</t>
  </si>
  <si>
    <t>プライドグライド</t>
  </si>
  <si>
    <t>オークション &gt; ファッション &gt; ブランド別 &gt; ふ &gt; プライドグライド</t>
  </si>
  <si>
    <t>プライベートレーベル</t>
  </si>
  <si>
    <t>5シリーズ セダン</t>
  </si>
  <si>
    <t>オークション &gt; ファッション &gt; ブランド別 &gt; ふ &gt; プライベートレーベル</t>
  </si>
  <si>
    <t>オークション &gt; 自動車、オートバイ &gt; 中古車・新車 &gt; BMW &gt; 5シリーズ セダン</t>
  </si>
  <si>
    <t>オークション &gt; スポーツ、レジャー &gt; 船、ボート &gt; 船体 &gt; 水上オートバイ &gt; 本体</t>
  </si>
  <si>
    <t>プラステ</t>
  </si>
  <si>
    <t>オークション &gt; ファッション &gt; ブランド別 &gt; ふ &gt; プラステ</t>
  </si>
  <si>
    <t>5シリーズ ツーリング</t>
  </si>
  <si>
    <t>オークション &gt; スポーツ、レジャー &gt; 船、ボート &gt; 船体 &gt; 水上オートバイ &gt; パーツ</t>
  </si>
  <si>
    <t>オークション &gt; 自動車、オートバイ &gt; 中古車・新車 &gt; BMW &gt; 5シリーズ ツーリング</t>
  </si>
  <si>
    <t>プラダ</t>
  </si>
  <si>
    <t>オークション &gt; ファッション &gt; ブランド別 &gt; ふ &gt; プラダ</t>
  </si>
  <si>
    <t>セル、プラスチックフレーム</t>
  </si>
  <si>
    <t>5シリーズグランツーリスモ</t>
  </si>
  <si>
    <t>オークション &gt; スポーツ、レジャー &gt; スポーツサングラス &gt; オークリー &gt; セル、プラスチックフレーム</t>
  </si>
  <si>
    <t>オークション &gt; 自動車、オートバイ &gt; 中古車・新車 &gt; BMW &gt; 5シリーズグランツーリスモ</t>
  </si>
  <si>
    <t>プリマクラッセ</t>
  </si>
  <si>
    <t>オークション &gt; ファッション &gt; ブランド別 &gt; ふ &gt; プリマクラッセ</t>
  </si>
  <si>
    <t>金属フレーム</t>
  </si>
  <si>
    <t>オークション &gt; スポーツ、レジャー &gt; スポーツサングラス &gt; オークリー &gt; 金属フレーム</t>
  </si>
  <si>
    <t>6シリーズ</t>
  </si>
  <si>
    <t>オークション &gt; 自動車、オートバイ &gt; 中古車・新車 &gt; BMW &gt; 6シリーズ</t>
  </si>
  <si>
    <t>プリングル</t>
  </si>
  <si>
    <t>7シリーズ</t>
  </si>
  <si>
    <t>オークション &gt; ファッション &gt; ブランド別 &gt; ふ &gt; プリングル</t>
  </si>
  <si>
    <t>オークション &gt; 自動車、オートバイ &gt; 中古車・新車 &gt; BMW &gt; 7シリーズ</t>
  </si>
  <si>
    <t>プレイボーイ</t>
  </si>
  <si>
    <t>8シリーズ</t>
  </si>
  <si>
    <t>オークション &gt; ファッション &gt; ブランド別 &gt; ふ &gt; プレイボーイ</t>
  </si>
  <si>
    <t>オークション &gt; 自動車、オートバイ &gt; 中古車・新車 &gt; BMW &gt; 8シリーズ</t>
  </si>
  <si>
    <t>プレッジ</t>
  </si>
  <si>
    <t>Mモデル</t>
  </si>
  <si>
    <t>オークション &gt; ファッション &gt; ブランド別 &gt; ふ &gt; プレッジ</t>
  </si>
  <si>
    <t>オークション &gt; 自動車、オートバイ &gt; 中古車・新車 &gt; BMW &gt; Mモデル</t>
  </si>
  <si>
    <t>プレミアータ</t>
  </si>
  <si>
    <t>オークション &gt; ファッション &gt; ブランド別 &gt; ふ &gt; プレミアータ</t>
  </si>
  <si>
    <t>X1</t>
  </si>
  <si>
    <t>オークション &gt; 自動車、オートバイ &gt; 中古車・新車 &gt; BMW &gt; X1</t>
  </si>
  <si>
    <t>プロフィール</t>
  </si>
  <si>
    <t>X3</t>
  </si>
  <si>
    <t>オークション &gt; 自動車、オートバイ &gt; 中古車・新車 &gt; BMW &gt; X3</t>
  </si>
  <si>
    <t>オークション &gt; ファッション &gt; ブランド別 &gt; ふ &gt; プロフィール</t>
  </si>
  <si>
    <t>X5</t>
  </si>
  <si>
    <t>オークション &gt; 自動車、オートバイ &gt; 中古車・新車 &gt; BMW &gt; X5</t>
  </si>
  <si>
    <t>プロポーションボディドレッシング</t>
  </si>
  <si>
    <t>オークション &gt; ファッション &gt; ブランド別 &gt; ふ &gt; プロポーションボディドレッシング</t>
  </si>
  <si>
    <t>X6</t>
  </si>
  <si>
    <t>オークション &gt; 自動車、オートバイ &gt; 中古車・新車 &gt; BMW &gt; X6</t>
  </si>
  <si>
    <t>オークション &gt; ファッション &gt; ブランド別 &gt; ふ &gt; その他</t>
  </si>
  <si>
    <t>Z3モデル</t>
  </si>
  <si>
    <t>オークション &gt; 自動車、オートバイ &gt; 中古車・新車 &gt; BMW &gt; Z3モデル</t>
  </si>
  <si>
    <t>ベイピー</t>
  </si>
  <si>
    <t>オークション &gt; ファッション &gt; ブランド別 &gt; へ &gt; ベイピー</t>
  </si>
  <si>
    <t>Z4</t>
  </si>
  <si>
    <t>オークション &gt; 自動車、オートバイ &gt; 中古車・新車 &gt; BMW &gt; Z4</t>
  </si>
  <si>
    <t>ペイトンプレイス</t>
  </si>
  <si>
    <t>宿泊券</t>
  </si>
  <si>
    <t>オークション &gt; ファッション &gt; ブランド別 &gt; へ &gt; ペイトンプレイス</t>
  </si>
  <si>
    <t>オークション &gt; チケット、金券、宿泊予約 &gt; 宿泊予約 &gt; 宿泊券</t>
  </si>
  <si>
    <t>mini</t>
  </si>
  <si>
    <t>オークション &gt; 自動車、オートバイ &gt; 中古車・新車 &gt; BMW &gt; mini</t>
  </si>
  <si>
    <t>ヘクティク</t>
  </si>
  <si>
    <t>北海道、東北</t>
  </si>
  <si>
    <t>オークション &gt; ファッション &gt; ブランド別 &gt; へ &gt; ヘクティク</t>
  </si>
  <si>
    <t>オークション &gt; チケット、金券、宿泊予約 &gt; 宿泊予約 &gt; 北海道、東北</t>
  </si>
  <si>
    <t>オークション &gt; 自動車、オートバイ &gt; 中古車・新車 &gt; BMW &gt; その他</t>
  </si>
  <si>
    <t>ヘザー</t>
  </si>
  <si>
    <t>オークション &gt; ファッション &gt; ブランド別 &gt; へ &gt; ヘザー</t>
  </si>
  <si>
    <t>オークション &gt; チケット、金券、宿泊予約 &gt; 宿泊予約 &gt; 関東</t>
  </si>
  <si>
    <t>オークション &gt; 自動車、オートバイ &gt; 中古車・新車 &gt; アウディ &gt; 100</t>
  </si>
  <si>
    <t>信越、北陸</t>
  </si>
  <si>
    <t>オークション &gt; チケット、金券、宿泊予約 &gt; 宿泊予約 &gt; 信越、北陸</t>
  </si>
  <si>
    <t>オークション &gt; 自動車、オートバイ &gt; 中古車・新車 &gt; アウディ &gt; 80</t>
  </si>
  <si>
    <t>ページボーイ</t>
  </si>
  <si>
    <t>オークション &gt; ファッション &gt; ブランド別 &gt; へ &gt; ページボーイ</t>
  </si>
  <si>
    <t>A1</t>
  </si>
  <si>
    <t>オークション &gt; チケット、金券、宿泊予約 &gt; 宿泊予約 &gt; 東海</t>
  </si>
  <si>
    <t>オークション &gt; 自動車、オートバイ &gt; 中古車・新車 &gt; アウディ &gt; A1</t>
  </si>
  <si>
    <t>BEDWIN</t>
  </si>
  <si>
    <t>オークション &gt; ファッション &gt; ブランド別 &gt; へ &gt; BEDWIN</t>
  </si>
  <si>
    <t>A3</t>
  </si>
  <si>
    <t>オークション &gt; 自動車、オートバイ &gt; 中古車・新車 &gt; アウディ &gt; A3</t>
  </si>
  <si>
    <t>ベッツィジョンソン</t>
  </si>
  <si>
    <t>オークション &gt; チケット、金券、宿泊予約 &gt; 宿泊予約 &gt; 近畿</t>
  </si>
  <si>
    <t>オークション &gt; ファッション &gt; ブランド別 &gt; へ &gt; ベッツィジョンソン</t>
  </si>
  <si>
    <t>A4</t>
  </si>
  <si>
    <t>オークション &gt; 自動車、オートバイ &gt; 中古車・新車 &gt; アウディ &gt; A4</t>
  </si>
  <si>
    <t>中国、四国、九州、沖縄</t>
  </si>
  <si>
    <t>オークション &gt; チケット、金券、宿泊予約 &gt; 宿泊予約 &gt; 中国、四国、九州、沖縄</t>
  </si>
  <si>
    <t>ベネトン</t>
  </si>
  <si>
    <t>オークション &gt; ファッション &gt; ブランド別 &gt; へ &gt; ベネトン</t>
  </si>
  <si>
    <t>A4アバント</t>
  </si>
  <si>
    <t>オークション &gt; 自動車、オートバイ &gt; 中古車・新車 &gt; アウディ &gt; A4アバント</t>
  </si>
  <si>
    <t>マンスリーマンション</t>
  </si>
  <si>
    <t>ベビーディオール</t>
  </si>
  <si>
    <t>オークション &gt; チケット、金券、宿泊予約 &gt; 宿泊予約 &gt; マンスリーマンション</t>
  </si>
  <si>
    <t>オークション &gt; ファッション &gt; ブランド別 &gt; へ &gt; ベビーディオール</t>
  </si>
  <si>
    <t>A5</t>
  </si>
  <si>
    <t>オークション &gt; 自動車、オートバイ &gt; 中古車・新車 &gt; アウディ &gt; A5</t>
  </si>
  <si>
    <t>スーツケース、トランク一般</t>
  </si>
  <si>
    <t>ベベ</t>
  </si>
  <si>
    <t>オークション &gt; 事務、店舗用品 &gt; バッグ、スーツケース &gt; スーツケース、トランク &gt; スーツケース、トランク一般</t>
  </si>
  <si>
    <t>オークション &gt; ファッション &gt; ブランド別 &gt; へ &gt; ベベ</t>
  </si>
  <si>
    <t>A5カブリオレ</t>
  </si>
  <si>
    <t>オークション &gt; 自動車、オートバイ &gt; 中古車・新車 &gt; アウディ &gt; A5カブリオレ</t>
  </si>
  <si>
    <t>ペーパーデニム＆クロス</t>
  </si>
  <si>
    <t>オークション &gt; ファッション &gt; ブランド別 &gt; へ &gt; ペーパーデニム＆クロス</t>
  </si>
  <si>
    <t>オークション &gt; 事務、店舗用品 &gt; バッグ、スーツケース &gt; スーツケース、トランク &gt; サムソナイト</t>
  </si>
  <si>
    <t>A5スポーツバック</t>
  </si>
  <si>
    <t>オークション &gt; 自動車、オートバイ &gt; 中古車・新車 &gt; アウディ &gt; A5スポーツバック</t>
  </si>
  <si>
    <t>ヘム</t>
  </si>
  <si>
    <t>オークション &gt; ファッション &gt; ブランド別 &gt; へ &gt; ヘム</t>
  </si>
  <si>
    <t>オークション &gt; 事務、店舗用品 &gt; バッグ、スーツケース &gt; スーツケース、トランク &gt; ゼロハリバートン</t>
  </si>
  <si>
    <t>A6</t>
  </si>
  <si>
    <t>オークション &gt; 自動車、オートバイ &gt; 中古車・新車 &gt; アウディ &gt; A6</t>
  </si>
  <si>
    <t>ヘリーハンセン</t>
  </si>
  <si>
    <t>オークション &gt; 事務、店舗用品 &gt; バッグ、スーツケース &gt; スーツケース、トランク &gt; トゥミ</t>
  </si>
  <si>
    <t>オークション &gt; ファッション &gt; ブランド別 &gt; へ &gt; ヘリーハンセン</t>
  </si>
  <si>
    <t>A6アバント</t>
  </si>
  <si>
    <t>オークション &gt; 自動車、オートバイ &gt; 中古車・新車 &gt; アウディ &gt; A6アバント</t>
  </si>
  <si>
    <t>リモワ</t>
  </si>
  <si>
    <t>ヘルムート・ラング</t>
  </si>
  <si>
    <t>オークション &gt; 事務、店舗用品 &gt; バッグ、スーツケース &gt; スーツケース、トランク &gt; リモワ</t>
  </si>
  <si>
    <t>オークション &gt; ファッション &gt; ブランド別 &gt; へ &gt; ヘルムート・ラング</t>
  </si>
  <si>
    <t>A7スポーツバック</t>
  </si>
  <si>
    <t>オークション &gt; 自動車、オートバイ &gt; 中古車・新車 &gt; アウディ &gt; A7スポーツバック</t>
  </si>
  <si>
    <t>交通、旅行（Macintosh用）</t>
  </si>
  <si>
    <t>ベールダンス</t>
  </si>
  <si>
    <t>オークション &gt; スポーツ、レジャー &gt; 旅行 &gt; ソフトウェア &gt; 交通、旅行（Macintosh用）</t>
  </si>
  <si>
    <t>オークション &gt; ファッション &gt; ブランド別 &gt; へ &gt; ベールダンス</t>
  </si>
  <si>
    <t>A8</t>
  </si>
  <si>
    <t>オークション &gt; 自動車、オートバイ &gt; 中古車・新車 &gt; アウディ &gt; A8</t>
  </si>
  <si>
    <t>ベルサーチ</t>
  </si>
  <si>
    <t>オークション &gt; ファッション &gt; ブランド別 &gt; へ &gt; ベルサーチ</t>
  </si>
  <si>
    <t>交通、旅行（Windows用）</t>
  </si>
  <si>
    <t>オークション &gt; スポーツ、レジャー &gt; 旅行 &gt; ソフトウェア &gt; 交通、旅行（Windows用）</t>
  </si>
  <si>
    <t>A8L</t>
  </si>
  <si>
    <t>ベルスタッフ</t>
  </si>
  <si>
    <t>オークション &gt; 自動車、オートバイ &gt; 中古車・新車 &gt; アウディ &gt; A8L</t>
  </si>
  <si>
    <t>オークション &gt; ファッション &gt; ブランド別 &gt; へ &gt; ベルスタッフ</t>
  </si>
  <si>
    <t>地図、路線、山岳データ（Macintosh用）</t>
  </si>
  <si>
    <t>オークション &gt; スポーツ、レジャー &gt; 旅行 &gt; ソフトウェア &gt; 地図、路線、山岳データ（Macintosh用）</t>
  </si>
  <si>
    <t>Q5</t>
  </si>
  <si>
    <t>オークション &gt; 自動車、オートバイ &gt; 中古車・新車 &gt; アウディ &gt; Q5</t>
  </si>
  <si>
    <t>ベルンハルトウィルヘルム</t>
  </si>
  <si>
    <t>オークション &gt; ファッション &gt; ブランド別 &gt; へ &gt; ベルンハルトウィルヘルム</t>
  </si>
  <si>
    <t>地図、路線、山岳データ（Windows用）</t>
  </si>
  <si>
    <t>オークション &gt; スポーツ、レジャー &gt; 旅行 &gt; ソフトウェア &gt; 地図、路線、山岳データ（Windows用）</t>
  </si>
  <si>
    <t>ベロニクブランキーノ</t>
  </si>
  <si>
    <t>オークション &gt; ファッション &gt; ブランド別 &gt; へ &gt; ベロニクブランキーノ</t>
  </si>
  <si>
    <t>Q7</t>
  </si>
  <si>
    <t>オークション &gt; 自動車、オートバイ &gt; 中古車・新車 &gt; アウディ &gt; Q7</t>
  </si>
  <si>
    <t>ハイウェイカード</t>
  </si>
  <si>
    <t>オークション &gt; チケット、金券、宿泊予約 &gt; ジャンル別 &gt; 旅行、交通 &gt; ハイウェイカード</t>
  </si>
  <si>
    <t>R8</t>
  </si>
  <si>
    <t>オークション &gt; ファッション &gt; ブランド別 &gt; へ &gt; その他</t>
  </si>
  <si>
    <t>バスカード</t>
  </si>
  <si>
    <t>オークション &gt; 自動車、オートバイ &gt; 中古車・新車 &gt; アウディ &gt; R8</t>
  </si>
  <si>
    <t>オークション &gt; チケット、金券、宿泊予約 &gt; ジャンル別 &gt; 旅行、交通 &gt; バスカード</t>
  </si>
  <si>
    <t>ボイコット</t>
  </si>
  <si>
    <t>オークション &gt; ファッション &gt; ブランド別 &gt; ほ &gt; ボイコット</t>
  </si>
  <si>
    <t>R8スパイダー</t>
  </si>
  <si>
    <t>航空券</t>
  </si>
  <si>
    <t>オークション &gt; 自動車、オートバイ &gt; 中古車・新車 &gt; アウディ &gt; R8スパイダー</t>
  </si>
  <si>
    <t>オークション &gt; チケット、金券、宿泊予約 &gt; ジャンル別 &gt; 旅行、交通 &gt; 航空券</t>
  </si>
  <si>
    <t>ホグロフス</t>
  </si>
  <si>
    <t>RS4</t>
  </si>
  <si>
    <t>オークション &gt; ファッション &gt; ブランド別 &gt; ほ &gt; ホグロフス</t>
  </si>
  <si>
    <t>オークション &gt; チケット、金券、宿泊予約 &gt; ジャンル別 &gt; 旅行、交通 &gt; 宿泊券</t>
  </si>
  <si>
    <t>オークション &gt; 自動車、オートバイ &gt; 中古車・新車 &gt; アウディ &gt; RS4</t>
  </si>
  <si>
    <t>宿泊予約</t>
  </si>
  <si>
    <t>ホコモモラ</t>
  </si>
  <si>
    <t>オークション &gt; チケット、金券、宿泊予約 &gt; ジャンル別 &gt; 旅行、交通 &gt; 宿泊予約</t>
  </si>
  <si>
    <t>オークション &gt; ファッション &gt; ブランド別 &gt; ほ &gt; ホコモモラ</t>
  </si>
  <si>
    <t>RS5</t>
  </si>
  <si>
    <t>オークション &gt; 自動車、オートバイ &gt; 中古車・新車 &gt; アウディ &gt; RS5</t>
  </si>
  <si>
    <t>ポストオーバーオールズ</t>
  </si>
  <si>
    <t>鉄道乗車券</t>
  </si>
  <si>
    <t>オークション &gt; ファッション &gt; ブランド別 &gt; ほ &gt; ポストオーバーオールズ</t>
  </si>
  <si>
    <t>オークション &gt; チケット、金券、宿泊予約 &gt; ジャンル別 &gt; 旅行、交通 &gt; 鉄道乗車券</t>
  </si>
  <si>
    <t>RS6</t>
  </si>
  <si>
    <t>オークション &gt; 自動車、オートバイ &gt; 中古車・新車 &gt; アウディ &gt; RS6</t>
  </si>
  <si>
    <t>ボッシュ</t>
  </si>
  <si>
    <t>オークション &gt; ファッション &gt; ブランド別 &gt; ほ &gt; ボッシュ</t>
  </si>
  <si>
    <t>鉄道用カード</t>
  </si>
  <si>
    <t>オークション &gt; チケット、金券、宿泊予約 &gt; ジャンル別 &gt; 旅行、交通 &gt; 鉄道用カード</t>
  </si>
  <si>
    <t>ボッテガ・ヴェネタ</t>
  </si>
  <si>
    <t>S3</t>
  </si>
  <si>
    <t>オークション &gt; ファッション &gt; ブランド別 &gt; ほ &gt; ボッテガ・ヴェネタ</t>
  </si>
  <si>
    <t>オークション &gt; 自動車、オートバイ &gt; 中古車・新車 &gt; アウディ &gt; S3</t>
  </si>
  <si>
    <t>ボディ ドレッシングデラックス</t>
  </si>
  <si>
    <t>オークション &gt; ファッション &gt; ブランド別 &gt; ほ &gt; ボディ ドレッシングデラックス</t>
  </si>
  <si>
    <t>旅行券</t>
  </si>
  <si>
    <t>オークション &gt; チケット、金券、宿泊予約 &gt; ジャンル別 &gt; 旅行、交通 &gt; 旅行券</t>
  </si>
  <si>
    <t>S4</t>
  </si>
  <si>
    <t>オークション &gt; 自動車、オートバイ &gt; 中古車・新車 &gt; アウディ &gt; S4</t>
  </si>
  <si>
    <t>オークション &gt; ファッション &gt; ブランド別 &gt; ほ &gt; ポーター</t>
  </si>
  <si>
    <t>オークション &gt; チケット、金券、宿泊予約 &gt; ジャンル別 &gt; 旅行、交通 &gt; その他</t>
  </si>
  <si>
    <t>S5</t>
  </si>
  <si>
    <t>オークション &gt; 自動車、オートバイ &gt; 中古車・新車 &gt; アウディ &gt; S5</t>
  </si>
  <si>
    <t>ボナジョルナータ</t>
  </si>
  <si>
    <t>オークション &gt; ファッション &gt; ブランド別 &gt; ほ &gt; ボナジョルナータ</t>
  </si>
  <si>
    <t>オークション &gt; スポーツ、レジャー &gt; 旅行 &gt; 本、雑誌 &gt; 地図</t>
  </si>
  <si>
    <t>S6</t>
  </si>
  <si>
    <t>ホリスター</t>
  </si>
  <si>
    <t>オークション &gt; ファッション &gt; ブランド別 &gt; ほ &gt; ホリスター</t>
  </si>
  <si>
    <t>オークション &gt; 自動車、オートバイ &gt; 中古車・新車 &gt; アウディ &gt; S6</t>
  </si>
  <si>
    <t>ボールジー</t>
  </si>
  <si>
    <t>オークション &gt; ファッション &gt; ブランド別 &gt; ほ &gt; ボールジー</t>
  </si>
  <si>
    <t>旅行、レジャーガイド</t>
  </si>
  <si>
    <t>S8</t>
  </si>
  <si>
    <t>オークション &gt; スポーツ、レジャー &gt; 旅行 &gt; 本、雑誌 &gt; 旅行、レジャーガイド</t>
  </si>
  <si>
    <t>オークション &gt; 自動車、オートバイ &gt; 中古車・新車 &gt; アウディ &gt; S8</t>
  </si>
  <si>
    <t>ボルコム</t>
  </si>
  <si>
    <t>オークション &gt; ファッション &gt; ブランド別 &gt; ほ &gt; ボルコム</t>
  </si>
  <si>
    <t>TT</t>
  </si>
  <si>
    <t>オークション &gt; スポーツ、レジャー &gt; 旅行 &gt; 本、雑誌 &gt; 旅行取扱主任者</t>
  </si>
  <si>
    <t>ポール･スミス</t>
  </si>
  <si>
    <t>オークション &gt; 自動車、オートバイ &gt; 中古車・新車 &gt; アウディ &gt; TT</t>
  </si>
  <si>
    <t>オークション &gt; ファッション &gt; ブランド別 &gt; ほ &gt; ポール･スミス</t>
  </si>
  <si>
    <t>TT RSクーペ</t>
  </si>
  <si>
    <t>オークション &gt; 自動車、オートバイ &gt; 中古車・新車 &gt; アウディ &gt; TT RSクーペ</t>
  </si>
  <si>
    <t>ポール・スチュアート</t>
  </si>
  <si>
    <t>オークション &gt; ファッション &gt; ブランド別 &gt; ほ &gt; ポール・スチュアート</t>
  </si>
  <si>
    <t>Jリーグ</t>
  </si>
  <si>
    <t>オークション &gt; チケット、金券、宿泊予約 &gt; 興行チケット &gt; スポーツ &gt; サッカー &gt; Jリーグ</t>
  </si>
  <si>
    <t>TTSクーペ</t>
  </si>
  <si>
    <t>オークション &gt; 自動車、オートバイ &gt; 中古車・新車 &gt; アウディ &gt; TTSクーペ</t>
  </si>
  <si>
    <t>ポール＆ジョー</t>
  </si>
  <si>
    <t>オークション &gt; ファッション &gt; ブランド別 &gt; ほ &gt; ポール＆ジョー</t>
  </si>
  <si>
    <t>オークション &gt; チケット、金券、宿泊予約 &gt; 興行チケット &gt; スポーツ &gt; サッカー &gt; その他</t>
  </si>
  <si>
    <t>オールロードクワトロ</t>
  </si>
  <si>
    <t>オークション &gt; 自動車、オートバイ &gt; 中古車・新車 &gt; アウディ &gt; オールロードクワトロ</t>
  </si>
  <si>
    <t>ポールカ</t>
  </si>
  <si>
    <t>オークション &gt; ファッション &gt; ブランド別 &gt; ほ &gt; ポールカ</t>
  </si>
  <si>
    <t>プロレス</t>
  </si>
  <si>
    <t>オークション &gt; チケット、金券、宿泊予約 &gt; 興行チケット &gt; スポーツ &gt; 格闘技、プロレス &gt; プロレス</t>
  </si>
  <si>
    <t>オークション &gt; 自動車、オートバイ &gt; 中古車・新車 &gt; アウディ &gt; その他</t>
  </si>
  <si>
    <t>ポリス</t>
  </si>
  <si>
    <t>オークション &gt; ファッション &gt; ブランド別 &gt; ほ &gt; ポリス</t>
  </si>
  <si>
    <t>ボクシング、キックボクシング</t>
  </si>
  <si>
    <t>オークション &gt; チケット、金券、宿泊予約 &gt; 興行チケット &gt; スポーツ &gt; 格闘技、プロレス &gt; ボクシング、キックボクシング</t>
  </si>
  <si>
    <t>ホワイツブーツ</t>
  </si>
  <si>
    <t>アストラ</t>
  </si>
  <si>
    <t>オークション &gt; ファッション &gt; ブランド別 &gt; ほ &gt; ホワイツブーツ</t>
  </si>
  <si>
    <t>オークション &gt; 自動車、オートバイ &gt; 中古車・新車 &gt; オペル &gt; アストラ</t>
  </si>
  <si>
    <t>オークション &gt; チケット、金券、宿泊予約 &gt; 興行チケット &gt; スポーツ &gt; 格闘技、プロレス &gt; 相撲</t>
  </si>
  <si>
    <t>ホワイトハウスコックス</t>
  </si>
  <si>
    <t>オークション &gt; ファッション &gt; ブランド別 &gt; ほ &gt; ホワイトハウスコックス</t>
  </si>
  <si>
    <t>オメガ</t>
  </si>
  <si>
    <t>総合格闘技</t>
  </si>
  <si>
    <t>オークション &gt; 自動車、オートバイ &gt; 中古車・新車 &gt; オペル &gt; オメガ</t>
  </si>
  <si>
    <t>オークション &gt; チケット、金券、宿泊予約 &gt; 興行チケット &gt; スポーツ &gt; 格闘技、プロレス &gt; 総合格闘技</t>
  </si>
  <si>
    <t>ホワイトマウンテニアリング</t>
  </si>
  <si>
    <t>オークション &gt; ファッション &gt; ブランド別 &gt; ほ &gt; ホワイトマウンテニアリング</t>
  </si>
  <si>
    <t>カリブラ</t>
  </si>
  <si>
    <t>オークション &gt; 自動車、オートバイ &gt; 中古車・新車 &gt; オペル &gt; カリブラ</t>
  </si>
  <si>
    <t>オークション &gt; チケット、金券、宿泊予約 &gt; 興行チケット &gt; スポーツ &gt; 格闘技、プロレス &gt; その他</t>
  </si>
  <si>
    <t>ボリオリ</t>
  </si>
  <si>
    <t>オークション &gt; ファッション &gt; ブランド別 &gt; ほ &gt; ボリオリ</t>
  </si>
  <si>
    <t>セントラルリーグ</t>
  </si>
  <si>
    <t>シグナム</t>
  </si>
  <si>
    <t>オークション &gt; チケット、金券、宿泊予約 &gt; 興行チケット &gt; スポーツ &gt; 野球 &gt; セントラルリーグ</t>
  </si>
  <si>
    <t>オークション &gt; 自動車、オートバイ &gt; 中古車・新車 &gt; オペル &gt; シグナム</t>
  </si>
  <si>
    <t>パシフィックリーグ</t>
  </si>
  <si>
    <t>ボンダッチ</t>
  </si>
  <si>
    <t>オークション &gt; チケット、金券、宿泊予約 &gt; 興行チケット &gt; スポーツ &gt; 野球 &gt; パシフィックリーグ</t>
  </si>
  <si>
    <t>オークション &gt; ファッション &gt; ブランド別 &gt; ほ &gt; ボンダッチ</t>
  </si>
  <si>
    <t>ティグラ</t>
  </si>
  <si>
    <t>オークション &gt; 自動車、オートバイ &gt; 中古車・新車 &gt; オペル &gt; ティグラ</t>
  </si>
  <si>
    <t>ソフトバンク（興行主出品）</t>
  </si>
  <si>
    <t>オークション &gt; チケット、金券、宿泊予約 &gt; 興行チケット &gt; スポーツ &gt; 野球 &gt; ソフトバンク（興行主出品）</t>
  </si>
  <si>
    <t>ボンポワン</t>
  </si>
  <si>
    <t>ベクトラ</t>
  </si>
  <si>
    <t>オークション &gt; ファッション &gt; ブランド別 &gt; ほ &gt; ボンポワン</t>
  </si>
  <si>
    <t>オークション &gt; 自動車、オートバイ &gt; 中古車・新車 &gt; オペル &gt; ベクトラ</t>
  </si>
  <si>
    <t>ポンポネット</t>
  </si>
  <si>
    <t>オークション &gt; ファッション &gt; ブランド別 &gt; ほ &gt; ポンポネット</t>
  </si>
  <si>
    <t>オークション &gt; チケット、金券、宿泊予約 &gt; 興行チケット &gt; スポーツ &gt; 野球 &gt; その他</t>
  </si>
  <si>
    <t>メリーバ</t>
  </si>
  <si>
    <t>オークション &gt; 自動車、オートバイ &gt; 中古車・新車 &gt; オペル &gt; メリーバ</t>
  </si>
  <si>
    <t>オークション &gt; ファッション &gt; ブランド別 &gt; ほ &gt; その他</t>
  </si>
  <si>
    <t>ヴィータ</t>
  </si>
  <si>
    <t>オークション &gt; 自動車、オートバイ &gt; 中古車・新車 &gt; オペル &gt; ヴィータ</t>
  </si>
  <si>
    <t>マイケルコース</t>
  </si>
  <si>
    <t>オークション &gt; ファッション &gt; ブランド別 &gt; ま &gt; マイケルコース</t>
  </si>
  <si>
    <t>オークション &gt; 自動車、オートバイ &gt; 中古車・新車 &gt; オペル &gt; その他</t>
  </si>
  <si>
    <t>マウジー</t>
  </si>
  <si>
    <t>オークション &gt; ファッション &gt; ブランド別 &gt; ま &gt; マウジー</t>
  </si>
  <si>
    <t>スマートフォーツーK、スマートK</t>
  </si>
  <si>
    <t>オークション &gt; 自動車、オートバイ &gt; 中古車・新車 &gt; スマート &gt; スマートフォーツーK、スマートK</t>
  </si>
  <si>
    <t>marka</t>
  </si>
  <si>
    <t>スマートフォーツー、スマート</t>
  </si>
  <si>
    <t>オークション &gt; ファッション &gt; ブランド別 &gt; ま &gt; marka</t>
  </si>
  <si>
    <t>オークション &gt; 自動車、オートバイ &gt; 中古車・新車 &gt; スマート &gt; スマートフォーツー、スマート</t>
  </si>
  <si>
    <t>マーガレット・ハウエル</t>
  </si>
  <si>
    <t>オークション &gt; ファッション &gt; ブランド別 &gt; ま &gt; マーガレット・ハウエル</t>
  </si>
  <si>
    <t>スマートフォーフォー</t>
  </si>
  <si>
    <t>オークション &gt; 自動車、オートバイ &gt; 中古車・新車 &gt; スマート &gt; スマートフォーフォー</t>
  </si>
  <si>
    <t>マーキュリーデュオ</t>
  </si>
  <si>
    <t>オークション &gt; ファッション &gt; ブランド別 &gt; ま &gt; マーキュリーデュオ</t>
  </si>
  <si>
    <t>スマートロードスター</t>
  </si>
  <si>
    <t>オークション &gt; 自動車、オートバイ &gt; 中古車・新車 &gt; スマート &gt; スマートロードスター</t>
  </si>
  <si>
    <t>マーク ジェイコブス</t>
  </si>
  <si>
    <t>オークション &gt; ファッション &gt; ブランド別 &gt; ま &gt; マーク ジェイコブス</t>
  </si>
  <si>
    <t>イオス</t>
  </si>
  <si>
    <t>オークション &gt; 自動車、オートバイ &gt; 中古車・新車 &gt; フォルクスワーゲン &gt; イオス</t>
  </si>
  <si>
    <t>マーク バイ マーク ジェイコブス</t>
  </si>
  <si>
    <t>オークション &gt; ファッション &gt; ブランド別 &gt; ま &gt; マーク バイ マーク ジェイコブス</t>
  </si>
  <si>
    <t>カルマンギア</t>
  </si>
  <si>
    <t>オークション &gt; 自動車、オートバイ &gt; 中古車・新車 &gt; フォルクスワーゲン &gt; カルマンギア</t>
  </si>
  <si>
    <t>マカフィー</t>
  </si>
  <si>
    <t>オークション &gt; ファッション &gt; ブランド別 &gt; ま &gt; マカフィー</t>
  </si>
  <si>
    <t>クロスゴルフ</t>
  </si>
  <si>
    <t>オークション &gt; チケット、金券、宿泊予約 &gt; 施設利用券 &gt; 遊園地、テーマパーク &gt; 北海道</t>
  </si>
  <si>
    <t>オークション &gt; 自動車、オートバイ &gt; 中古車・新車 &gt; フォルクスワーゲン &gt; クロスゴルフ</t>
  </si>
  <si>
    <t>Mars</t>
  </si>
  <si>
    <t>オークション &gt; ファッション &gt; ブランド別 &gt; ま &gt; Mars</t>
  </si>
  <si>
    <t>コラード</t>
  </si>
  <si>
    <t>オークション &gt; チケット、金券、宿泊予約 &gt; 施設利用券 &gt; 遊園地、テーマパーク &gt; 東北</t>
  </si>
  <si>
    <t>オークション &gt; 自動車、オートバイ &gt; 中古車・新車 &gt; フォルクスワーゲン &gt; コラード</t>
  </si>
  <si>
    <t>マジェスティックレゴン</t>
  </si>
  <si>
    <t>オークション &gt; ファッション &gt; ブランド別 &gt; ま &gt; マジェスティックレゴン</t>
  </si>
  <si>
    <t>ゴルフ（ハッチバック）</t>
  </si>
  <si>
    <t>オークション &gt; チケット、金券、宿泊予約 &gt; 施設利用券 &gt; 遊園地、テーマパーク &gt; 関東</t>
  </si>
  <si>
    <t>オークション &gt; 自動車、オートバイ &gt; 中古車・新車 &gt; フォルクスワーゲン &gt; ゴルフ（ハッチバック）</t>
  </si>
  <si>
    <t>マスターピース</t>
  </si>
  <si>
    <t>オークション &gt; ファッション &gt; ブランド別 &gt; ま &gt; マスターピース</t>
  </si>
  <si>
    <t>ゴルフカブリオ</t>
  </si>
  <si>
    <t>オークション &gt; チケット、金券、宿泊予約 &gt; 施設利用券 &gt; 遊園地、テーマパーク &gt; 北陸</t>
  </si>
  <si>
    <t>オークション &gt; 自動車、オートバイ &gt; 中古車・新車 &gt; フォルクスワーゲン &gt; ゴルフカブリオ</t>
  </si>
  <si>
    <t>マスターマインドジャパン</t>
  </si>
  <si>
    <t>オークション &gt; ファッション &gt; ブランド別 &gt; ま &gt; マスターマインドジャパン</t>
  </si>
  <si>
    <t>ゴルフカブリオレ</t>
  </si>
  <si>
    <t>オークション &gt; 自動車、オートバイ &gt; 中古車・新車 &gt; フォルクスワーゲン &gt; ゴルフカブリオレ</t>
  </si>
  <si>
    <t>マッキントッシュ</t>
  </si>
  <si>
    <t>オークション &gt; ファッション &gt; ブランド別 &gt; ま &gt; マッキントッシュ</t>
  </si>
  <si>
    <t>オークション &gt; チケット、金券、宿泊予約 &gt; 施設利用券 &gt; 遊園地、テーマパーク &gt; 信越</t>
  </si>
  <si>
    <t>ゴルフトゥーラン</t>
  </si>
  <si>
    <t>オークション &gt; 自動車、オートバイ &gt; 中古車・新車 &gt; フォルクスワーゲン &gt; ゴルフトゥーラン</t>
  </si>
  <si>
    <t>マックスマーラ</t>
  </si>
  <si>
    <t>オークション &gt; ファッション &gt; ブランド別 &gt; ま &gt; マックスマーラ</t>
  </si>
  <si>
    <t>ゴルフプラス</t>
  </si>
  <si>
    <t>オークション &gt; チケット、金券、宿泊予約 &gt; 施設利用券 &gt; 遊園地、テーマパーク &gt; 東海</t>
  </si>
  <si>
    <t>マックダディー</t>
  </si>
  <si>
    <t>オークション &gt; 自動車、オートバイ &gt; 中古車・新車 &gt; フォルクスワーゲン &gt; ゴルフプラス</t>
  </si>
  <si>
    <t>オークション &gt; ファッション &gt; ブランド別 &gt; ま &gt; マックダディー</t>
  </si>
  <si>
    <t>オークション &gt; チケット、金券、宿泊予約 &gt; 施設利用券 &gt; 遊園地、テーマパーク &gt; 近畿</t>
  </si>
  <si>
    <t>マッコイズ</t>
  </si>
  <si>
    <t>ゴルフワゴン</t>
  </si>
  <si>
    <t>オークション &gt; チケット、金券、宿泊予約 &gt; 施設利用券 &gt; 遊園地、テーマパーク &gt; 中国</t>
  </si>
  <si>
    <t>オークション &gt; ファッション &gt; ブランド別 &gt; ま &gt; マッコイズ</t>
  </si>
  <si>
    <t>オークション &gt; 自動車、オートバイ &gt; 中古車・新車 &gt; フォルクスワーゲン &gt; ゴルフワゴン</t>
  </si>
  <si>
    <t>オークション &gt; チケット、金券、宿泊予約 &gt; 施設利用券 &gt; 遊園地、テーマパーク &gt; 四国</t>
  </si>
  <si>
    <t>ゴルフヴァリアント</t>
  </si>
  <si>
    <t>マテリア</t>
  </si>
  <si>
    <t>オークション &gt; 自動車、オートバイ &gt; 中古車・新車 &gt; フォルクスワーゲン &gt; ゴルフヴァリアント</t>
  </si>
  <si>
    <t>オークション &gt; ファッション &gt; ブランド別 &gt; ま &gt; マテリア</t>
  </si>
  <si>
    <t>オークション &gt; チケット、金券、宿泊予約 &gt; 施設利用券 &gt; 遊園地、テーマパーク &gt; 九州</t>
  </si>
  <si>
    <t>シャラン</t>
  </si>
  <si>
    <t>オークション &gt; 自動車、オートバイ &gt; 中古車・新車 &gt; フォルクスワーゲン &gt; シャラン</t>
  </si>
  <si>
    <t>マニックス</t>
  </si>
  <si>
    <t>オークション &gt; ファッション &gt; ブランド別 &gt; ま &gt; マニックス</t>
  </si>
  <si>
    <t>オークション &gt; チケット、金券、宿泊予約 &gt; 施設利用券 &gt; 遊園地、テーマパーク &gt; 沖縄</t>
  </si>
  <si>
    <t>シロッコ</t>
  </si>
  <si>
    <t>オークション &gt; 自動車、オートバイ &gt; 中古車・新車 &gt; フォルクスワーゲン &gt; シロッコ</t>
  </si>
  <si>
    <t>マノロ・ブラニク</t>
  </si>
  <si>
    <t>オークション &gt; ファッション &gt; ブランド別 &gt; ま &gt; マノロ・ブラニク</t>
  </si>
  <si>
    <t>プール</t>
  </si>
  <si>
    <t>オークション &gt; チケット、金券、宿泊予約 &gt; 施設利用券 &gt; 遊園地、テーマパーク &gt; プール</t>
  </si>
  <si>
    <t>マーモット</t>
  </si>
  <si>
    <t>ジェッタ</t>
  </si>
  <si>
    <t>オークション &gt; ファッション &gt; ブランド別 &gt; ま &gt; マーモット</t>
  </si>
  <si>
    <t>オークション &gt; 自動車、オートバイ &gt; 中古車・新車 &gt; フォルクスワーゲン &gt; ジェッタ</t>
  </si>
  <si>
    <t>オークション &gt; チケット、金券、宿泊予約 &gt; 施設利用券 &gt; 遊園地、テーマパーク &gt; その他</t>
  </si>
  <si>
    <t>マムート</t>
  </si>
  <si>
    <t>オークション &gt; ファッション &gt; ブランド別 &gt; ま &gt; マムート</t>
  </si>
  <si>
    <t>タイプII</t>
  </si>
  <si>
    <t>マリークワント</t>
  </si>
  <si>
    <t>オークション &gt; ファッション &gt; ブランド別 &gt; ま &gt; マリークワント</t>
  </si>
  <si>
    <t>オークション &gt; 自動車、オートバイ &gt; 中古車・新車 &gt; フォルクスワーゲン &gt; タイプII</t>
  </si>
  <si>
    <t>マリクレール</t>
  </si>
  <si>
    <t>オークション &gt; ファッション &gt; ブランド別 &gt; ま &gt; マリクレール</t>
  </si>
  <si>
    <t>タイプIII</t>
  </si>
  <si>
    <t>マリテフランソワジルボー</t>
  </si>
  <si>
    <t>オークション &gt; 自動車、オートバイ &gt; 中古車・新車 &gt; フォルクスワーゲン &gt; タイプIII</t>
  </si>
  <si>
    <t>オークション &gt; ファッション &gt; ブランド別 &gt; ま &gt; マリテフランソワジルボー</t>
  </si>
  <si>
    <t>ティグアン</t>
  </si>
  <si>
    <t>マリメッコ</t>
  </si>
  <si>
    <t>オークション &gt; ファッション &gt; ブランド別 &gt; ま &gt; マリメッコ</t>
  </si>
  <si>
    <t>オークション &gt; 自動車、オートバイ &gt; 中古車・新車 &gt; フォルクスワーゲン &gt; ティグアン</t>
  </si>
  <si>
    <t>マリンフランセーズ</t>
  </si>
  <si>
    <t>オークション &gt; ファッション &gt; ブランド別 &gt; ま &gt; マリンフランセーズ</t>
  </si>
  <si>
    <t>トゥアレグ</t>
  </si>
  <si>
    <t>オークション &gt; 自動車、オートバイ &gt; 中古車・新車 &gt; フォルクスワーゲン &gt; トゥアレグ</t>
  </si>
  <si>
    <t>オークション &gt; 住まい、インテリア &gt; ペット用品 &gt; 犬 &gt; おもちゃ</t>
  </si>
  <si>
    <t>マルタン・マルジェラ</t>
  </si>
  <si>
    <t>オークション &gt; ファッション &gt; ブランド別 &gt; ま &gt; マルタン・マルジェラ</t>
  </si>
  <si>
    <t>ニュービートル カブリオレ</t>
  </si>
  <si>
    <t>オークション &gt; 自動車、オートバイ &gt; 中古車・新車 &gt; フォルクスワーゲン &gt; ニュービートル カブリオレ</t>
  </si>
  <si>
    <t>しつけ用品</t>
  </si>
  <si>
    <t>オークション &gt; 住まい、インテリア &gt; ペット用品 &gt; 犬 &gt; しつけ用品</t>
  </si>
  <si>
    <t>マルニ</t>
  </si>
  <si>
    <t>オークション &gt; ファッション &gt; ブランド別 &gt; ま &gt; マルニ</t>
  </si>
  <si>
    <t>キャリア</t>
  </si>
  <si>
    <t>ニュービートル（ハッチバック）</t>
  </si>
  <si>
    <t>オークション &gt; 住まい、インテリア &gt; ペット用品 &gt; 犬 &gt; キャリア</t>
  </si>
  <si>
    <t>オークション &gt; 自動車、オートバイ &gt; 中古車・新車 &gt; フォルクスワーゲン &gt; ニュービートル（ハッチバック）</t>
  </si>
  <si>
    <t>オークション &gt; ファッション &gt; ブランド別 &gt; ま &gt; その他</t>
  </si>
  <si>
    <t>ケージ</t>
  </si>
  <si>
    <t>オークション &gt; 住まい、インテリア &gt; ペット用品 &gt; 犬 &gt; ケージ</t>
  </si>
  <si>
    <t>ミキハウス</t>
  </si>
  <si>
    <t>パサート</t>
  </si>
  <si>
    <t>オークション &gt; ファッション &gt; ブランド別 &gt; み &gt; ミキハウス</t>
  </si>
  <si>
    <t>オークション &gt; 自動車、オートバイ &gt; 中古車・新車 &gt; フォルクスワーゲン &gt; パサート</t>
  </si>
  <si>
    <t>トイレ</t>
  </si>
  <si>
    <t>オークション &gt; 住まい、インテリア &gt; ペット用品 &gt; 犬 &gt; トイレ</t>
  </si>
  <si>
    <t>ミジェーン</t>
  </si>
  <si>
    <t>オークション &gt; ファッション &gt; ブランド別 &gt; み &gt; ミジェーン</t>
  </si>
  <si>
    <t>パサートCC</t>
  </si>
  <si>
    <t>オークション &gt; 自動車、オートバイ &gt; 中古車・新車 &gt; フォルクスワーゲン &gt; パサートCC</t>
  </si>
  <si>
    <t>ドッグフード</t>
  </si>
  <si>
    <t>オークション &gt; 住まい、インテリア &gt; ペット用品 &gt; 犬 &gt; ドッグフード</t>
  </si>
  <si>
    <t>ミスターハリウッド</t>
  </si>
  <si>
    <t>オークション &gt; ファッション &gt; ブランド別 &gt; み &gt; ミスターハリウッド</t>
  </si>
  <si>
    <t>パサートヴァリアント</t>
  </si>
  <si>
    <t>オークション &gt; 自動車、オートバイ &gt; 中古車・新車 &gt; フォルクスワーゲン &gt; パサートヴァリアント</t>
  </si>
  <si>
    <t>オークション &gt; 住まい、インテリア &gt; ペット用品 &gt; 犬 &gt; ベッド</t>
  </si>
  <si>
    <t>ミスティック</t>
  </si>
  <si>
    <t>オークション &gt; ファッション &gt; ブランド別 &gt; み &gt; ミスティック</t>
  </si>
  <si>
    <t>ビートル</t>
  </si>
  <si>
    <t>犬小屋</t>
  </si>
  <si>
    <t>オークション &gt; 自動車、オートバイ &gt; 中古車・新車 &gt; フォルクスワーゲン &gt; ビートル</t>
  </si>
  <si>
    <t>オークション &gt; 住まい、インテリア &gt; ペット用品 &gt; 犬 &gt; 犬小屋</t>
  </si>
  <si>
    <t>ボーラ</t>
  </si>
  <si>
    <t>ミステリーランチ</t>
  </si>
  <si>
    <t>オークション &gt; ファッション &gt; ブランド別 &gt; み &gt; ミステリーランチ</t>
  </si>
  <si>
    <t>オークション &gt; 自動車、オートバイ &gt; 中古車・新車 &gt; フォルクスワーゲン &gt; ボーラ</t>
  </si>
  <si>
    <t>手入れ用品</t>
  </si>
  <si>
    <t>オークション &gt; 住まい、インテリア &gt; ペット用品 &gt; 犬 &gt; 手入れ用品</t>
  </si>
  <si>
    <t>ミッシェルクラン</t>
  </si>
  <si>
    <t>ポロ</t>
  </si>
  <si>
    <t>オークション &gt; ファッション &gt; ブランド別 &gt; み &gt; ミッシェルクラン</t>
  </si>
  <si>
    <t>オークション &gt; 自動車、オートバイ &gt; 中古車・新車 &gt; フォルクスワーゲン &gt; ポロ</t>
  </si>
  <si>
    <t>首輪、リード</t>
  </si>
  <si>
    <t>オークション &gt; 住まい、インテリア &gt; ペット用品 &gt; 犬 &gt; 首輪、リード</t>
  </si>
  <si>
    <t>ミッシュマッシュ</t>
  </si>
  <si>
    <t>オークション &gt; ファッション &gt; ブランド別 &gt; み &gt; ミッシュマッシュ</t>
  </si>
  <si>
    <t>ルポ</t>
  </si>
  <si>
    <t>オークション &gt; 自動車、オートバイ &gt; 中古車・新車 &gt; フォルクスワーゲン &gt; ルポ</t>
  </si>
  <si>
    <t>ミッソーニ</t>
  </si>
  <si>
    <t>オークション &gt; 住まい、インテリア &gt; ペット用品 &gt; 犬 &gt; 食器</t>
  </si>
  <si>
    <t>オークション &gt; ファッション &gt; ブランド別 &gt; み &gt; ミッソーニ</t>
  </si>
  <si>
    <t>ヴァナゴン</t>
  </si>
  <si>
    <t>オークション &gt; 自動車、オートバイ &gt; 中古車・新車 &gt; フォルクスワーゲン &gt; ヴァナゴン</t>
  </si>
  <si>
    <t>ミナ ペルホネン</t>
  </si>
  <si>
    <t>服</t>
  </si>
  <si>
    <t>オークション &gt; ファッション &gt; ブランド別 &gt; み &gt; ミナ ペルホネン</t>
  </si>
  <si>
    <t>オークション &gt; 住まい、インテリア &gt; ペット用品 &gt; 犬 &gt; 服</t>
  </si>
  <si>
    <t>ヴェント</t>
  </si>
  <si>
    <t>オークション &gt; 自動車、オートバイ &gt; 中古車・新車 &gt; フォルクスワーゲン &gt; ヴェント</t>
  </si>
  <si>
    <t>ミニK</t>
  </si>
  <si>
    <t>オークション &gt; ファッション &gt; ブランド別 &gt; み &gt; ミニK</t>
  </si>
  <si>
    <t>オークション &gt; 自動車、オートバイ &gt; 中古車・新車 &gt; フォルクスワーゲン &gt; その他</t>
  </si>
  <si>
    <t>オークション &gt; 住まい、インテリア &gt; ペット用品 &gt; 犬 &gt; 本</t>
  </si>
  <si>
    <t>ミニマム</t>
  </si>
  <si>
    <t>オークション &gt; ファッション &gt; ブランド別 &gt; み &gt; ミニマム</t>
  </si>
  <si>
    <t>911 カブリオレ</t>
  </si>
  <si>
    <t>オークション &gt; 自動車、オートバイ &gt; 中古車・新車 &gt; ポルシェ &gt; 911 カブリオレ</t>
  </si>
  <si>
    <t>ミネトンカ</t>
  </si>
  <si>
    <t>オークション &gt; ファッション &gt; ブランド別 &gt; み &gt; ミネトンカ</t>
  </si>
  <si>
    <t>オークション &gt; 住まい、インテリア &gt; ペット用品 &gt; 犬 &gt; その他</t>
  </si>
  <si>
    <t>ミハラヤスヒロ</t>
  </si>
  <si>
    <t>911（クーペ）</t>
  </si>
  <si>
    <t>オークション &gt; ファッション &gt; ブランド別 &gt; み &gt; ミハラヤスヒロ</t>
  </si>
  <si>
    <t>オークション &gt; 自動車、オートバイ &gt; 中古車・新車 &gt; ポルシェ &gt; 911（クーペ）</t>
  </si>
  <si>
    <t>オークション &gt; 住まい、インテリア &gt; ペット用品 &gt; 猫 &gt; おもちゃ</t>
  </si>
  <si>
    <t>ミミアンドロジャー</t>
  </si>
  <si>
    <t>オークション &gt; ファッション &gt; ブランド別 &gt; み &gt; ミミアンドロジャー</t>
  </si>
  <si>
    <t>オークション &gt; 自動車、オートバイ &gt; 中古車・新車 &gt; ポルシェ &gt; 928</t>
  </si>
  <si>
    <t>キャットタワー</t>
  </si>
  <si>
    <t>オークション &gt; 住まい、インテリア &gt; ペット用品 &gt; 猫 &gt; キャットタワー</t>
  </si>
  <si>
    <t>ミュウミュウ</t>
  </si>
  <si>
    <t>オークション &gt; ファッション &gt; ブランド別 &gt; み &gt; ミュウミュウ</t>
  </si>
  <si>
    <t>オークション &gt; 自動車、オートバイ &gt; 中古車・新車 &gt; ポルシェ &gt; 944</t>
  </si>
  <si>
    <t>キャットフード</t>
  </si>
  <si>
    <t>ミラショーン</t>
  </si>
  <si>
    <t>オークション &gt; ファッション &gt; ブランド別 &gt; み &gt; ミラショーン</t>
  </si>
  <si>
    <t>オークション &gt; 住まい、インテリア &gt; ペット用品 &gt; 猫 &gt; キャットフード</t>
  </si>
  <si>
    <t>オークション &gt; 自動車、オートバイ &gt; 中古車・新車 &gt; ポルシェ &gt; 968</t>
  </si>
  <si>
    <t>ミルク</t>
  </si>
  <si>
    <t>オークション &gt; ファッション &gt; ブランド別 &gt; み &gt; ミルク</t>
  </si>
  <si>
    <t>オークション &gt; 住まい、インテリア &gt; ペット用品 &gt; 猫 &gt; キャリア</t>
  </si>
  <si>
    <t>カイエン</t>
  </si>
  <si>
    <t>オークション &gt; 自動車、オートバイ &gt; 中古車・新車 &gt; ポルシェ &gt; カイエン</t>
  </si>
  <si>
    <t>ミルクフェド</t>
  </si>
  <si>
    <t>オークション &gt; ファッション &gt; ブランド別 &gt; み &gt; ミルクフェド</t>
  </si>
  <si>
    <t>オークション &gt; 住まい、インテリア &gt; ペット用品 &gt; 猫 &gt; トイレ</t>
  </si>
  <si>
    <t>ケイマン</t>
  </si>
  <si>
    <t>オークション &gt; 自動車、オートバイ &gt; 中古車・新車 &gt; ポルシェ &gt; ケイマン</t>
  </si>
  <si>
    <t>ハウス、ベッド</t>
  </si>
  <si>
    <t>ミルクボーイ</t>
  </si>
  <si>
    <t>オークション &gt; 住まい、インテリア &gt; ペット用品 &gt; 猫 &gt; ハウス、ベッド</t>
  </si>
  <si>
    <t>オークション &gt; ファッション &gt; ブランド別 &gt; み &gt; ミルクボーイ</t>
  </si>
  <si>
    <t>パナメーラ</t>
  </si>
  <si>
    <t>オークション &gt; 自動車、オートバイ &gt; 中古車・新車 &gt; ポルシェ &gt; パナメーラ</t>
  </si>
  <si>
    <t>ミレー</t>
  </si>
  <si>
    <t>オークション &gt; 住まい、インテリア &gt; ペット用品 &gt; 猫 &gt; 手入れ用品</t>
  </si>
  <si>
    <t>オークション &gt; ファッション &gt; ブランド別 &gt; み &gt; ミレー</t>
  </si>
  <si>
    <t>ボクスター</t>
  </si>
  <si>
    <t>首輪</t>
  </si>
  <si>
    <t>オークション &gt; 自動車、オートバイ &gt; 中古車・新車 &gt; ポルシェ &gt; ボクスター</t>
  </si>
  <si>
    <t>オークション &gt; 住まい、インテリア &gt; ペット用品 &gt; 猫 &gt; 首輪</t>
  </si>
  <si>
    <t>オークション &gt; ファッション &gt; ブランド別 &gt; み &gt; その他</t>
  </si>
  <si>
    <t>オークション &gt; 自動車、オートバイ &gt; 中古車・新車 &gt; ポルシェ &gt; その他</t>
  </si>
  <si>
    <t>オークション &gt; 住まい、インテリア &gt; ペット用品 &gt; 猫 &gt; 食器</t>
  </si>
  <si>
    <t>無印良品</t>
  </si>
  <si>
    <t>190クラス</t>
  </si>
  <si>
    <t>オークション &gt; ファッション &gt; ブランド別 &gt; む/め/も &gt; 無印良品</t>
  </si>
  <si>
    <t>オークション &gt; 自動車、オートバイ &gt; 中古車・新車 &gt; メルセデス・ベンツ &gt; 190クラス</t>
  </si>
  <si>
    <t>爪とぎ用品</t>
  </si>
  <si>
    <t>オークション &gt; 住まい、インテリア &gt; ペット用品 &gt; 猫 &gt; 爪とぎ用品</t>
  </si>
  <si>
    <t>MURUA</t>
  </si>
  <si>
    <t>オークション &gt; ファッション &gt; ブランド別 &gt; む/め/も &gt; MURUA</t>
  </si>
  <si>
    <t>Aクラス</t>
  </si>
  <si>
    <t>オークション &gt; 自動車、オートバイ &gt; 中古車・新車 &gt; メルセデス・ベンツ &gt; Aクラス</t>
  </si>
  <si>
    <t>オークション &gt; 住まい、インテリア &gt; ペット用品 &gt; 猫 &gt; 服</t>
  </si>
  <si>
    <t>ムージョンジョン</t>
  </si>
  <si>
    <t>オークション &gt; ファッション &gt; ブランド別 &gt; む/め/も &gt; ムージョンジョン</t>
  </si>
  <si>
    <t>Bクラス</t>
  </si>
  <si>
    <t>オークション &gt; 自動車、オートバイ &gt; 中古車・新車 &gt; メルセデス・ベンツ &gt; Bクラス</t>
  </si>
  <si>
    <t>オークション &gt; 住まい、インテリア &gt; ペット用品 &gt; 猫 &gt; 本</t>
  </si>
  <si>
    <t>ムーンストーン</t>
  </si>
  <si>
    <t>オークション &gt; ファッション &gt; ブランド別 &gt; む/め/も &gt; ムーンストーン</t>
  </si>
  <si>
    <t>オークション &gt; 住まい、インテリア &gt; ペット用品 &gt; 猫 &gt; その他</t>
  </si>
  <si>
    <t>ムチャチャ</t>
  </si>
  <si>
    <t>CL</t>
  </si>
  <si>
    <t>オークション &gt; ファッション &gt; ブランド別 &gt; む/め/も &gt; ムチャチャ</t>
  </si>
  <si>
    <t>オークション &gt; 自動車、オートバイ &gt; 中古車・新車 &gt; メルセデス・ベンツ &gt; CL</t>
  </si>
  <si>
    <t>メイソングレイ</t>
  </si>
  <si>
    <t>オークション &gt; ファッション &gt; ブランド別 &gt; む/め/も &gt; メイソングレイ</t>
  </si>
  <si>
    <t>オークション &gt; 住まい、インテリア &gt; ペット用品 &gt; 小動物 &gt; おもちゃ</t>
  </si>
  <si>
    <t>CLK</t>
  </si>
  <si>
    <t>オークション &gt; 自動車、オートバイ &gt; 中古車・新車 &gt; メルセデス・ベンツ &gt; CLK</t>
  </si>
  <si>
    <t>メゾピアノ</t>
  </si>
  <si>
    <t>かご、ケージ</t>
  </si>
  <si>
    <t>オークション &gt; ファッション &gt; ブランド別 &gt; む/め/も &gt; メゾピアノ</t>
  </si>
  <si>
    <t>オークション &gt; 住まい、インテリア &gt; ペット用品 &gt; 小動物 &gt; かご、ケージ</t>
  </si>
  <si>
    <t>CLSクラス</t>
  </si>
  <si>
    <t>オークション &gt; 自動車、オートバイ &gt; 中古車・新車 &gt; メルセデス・ベンツ &gt; CLSクラス</t>
  </si>
  <si>
    <t>メリッサ</t>
  </si>
  <si>
    <t>オークション &gt; ファッション &gt; ブランド別 &gt; む/め/も &gt; メリッサ</t>
  </si>
  <si>
    <t>エサ</t>
  </si>
  <si>
    <t>オークション &gt; 住まい、インテリア &gt; ペット用品 &gt; 小動物 &gt; エサ</t>
  </si>
  <si>
    <t>Cクラス</t>
  </si>
  <si>
    <t>オークション &gt; 自動車、オートバイ &gt; 中古車・新車 &gt; メルセデス・ベンツ &gt; Cクラス</t>
  </si>
  <si>
    <t>メルシーボークー</t>
  </si>
  <si>
    <t>オークション &gt; ファッション &gt; ブランド別 &gt; む/め/も &gt; メルシーボークー</t>
  </si>
  <si>
    <t>オークション &gt; 住まい、インテリア &gt; ペット用品 &gt; 小動物 &gt; キャリア</t>
  </si>
  <si>
    <t>Cクラスステーションワゴン</t>
  </si>
  <si>
    <t>メルローズ</t>
  </si>
  <si>
    <t>オークション &gt; 自動車、オートバイ &gt; 中古車・新車 &gt; メルセデス・ベンツ &gt; Cクラスステーションワゴン</t>
  </si>
  <si>
    <t>オークション &gt; ファッション &gt; ブランド別 &gt; む/め/も &gt; メルローズ</t>
  </si>
  <si>
    <t>オークション &gt; 住まい、インテリア &gt; ペット用品 &gt; 小動物 &gt; トイレ</t>
  </si>
  <si>
    <t>モガ</t>
  </si>
  <si>
    <t>Cクラススポーツクーペ</t>
  </si>
  <si>
    <t>オークション &gt; ファッション &gt; ブランド別 &gt; む/め/も &gt; モガ</t>
  </si>
  <si>
    <t>オークション &gt; 自動車、オートバイ &gt; 中古車・新車 &gt; メルセデス・ベンツ &gt; Cクラススポーツクーペ</t>
  </si>
  <si>
    <t>モスキーノ</t>
  </si>
  <si>
    <t>オークション &gt; 住まい、インテリア &gt; ペット用品 &gt; 小動物 &gt; 本</t>
  </si>
  <si>
    <t>Eクラス</t>
  </si>
  <si>
    <t>オークション &gt; ファッション &gt; ブランド別 &gt; む/め/も &gt; モスキーノ</t>
  </si>
  <si>
    <t>オークション &gt; 自動車、オートバイ &gt; 中古車・新車 &gt; メルセデス・ベンツ &gt; Eクラス</t>
  </si>
  <si>
    <t>モルガン</t>
  </si>
  <si>
    <t>Eクラスカブリオレ</t>
  </si>
  <si>
    <t>オークション &gt; ファッション &gt; ブランド別 &gt; む/め/も &gt; モルガン</t>
  </si>
  <si>
    <t>オークション &gt; 自動車、オートバイ &gt; 中古車・新車 &gt; メルセデス・ベンツ &gt; Eクラスカブリオレ</t>
  </si>
  <si>
    <t>オークション &gt; 住まい、インテリア &gt; ペット用品 &gt; 小動物 &gt; その他</t>
  </si>
  <si>
    <t>モンクレール</t>
  </si>
  <si>
    <t>Eクラスステーションワゴン</t>
  </si>
  <si>
    <t>オークション &gt; 自動車、オートバイ &gt; 中古車・新車 &gt; メルセデス・ベンツ &gt; Eクラスステーションワゴン</t>
  </si>
  <si>
    <t>オークション &gt; 住まい、インテリア &gt; ペット用品 &gt; 鳥 &gt; おもちゃ</t>
  </si>
  <si>
    <t>オークション &gt; ファッション &gt; ブランド別 &gt; む/め/も &gt; モンクレール</t>
  </si>
  <si>
    <t>GLKクラス</t>
  </si>
  <si>
    <t>オークション &gt; 自動車、オートバイ &gt; 中古車・新車 &gt; メルセデス・ベンツ &gt; GLKクラス</t>
  </si>
  <si>
    <t>オークション &gt; ファッション &gt; ブランド別 &gt; む/め/も &gt; モンベル</t>
  </si>
  <si>
    <t>オークション &gt; 住まい、インテリア &gt; ペット用品 &gt; 鳥 &gt; エサ</t>
  </si>
  <si>
    <t>GLクラス</t>
  </si>
  <si>
    <t>オークション &gt; 自動車、オートバイ &gt; 中古車・新車 &gt; メルセデス・ベンツ &gt; GLクラス</t>
  </si>
  <si>
    <t>鳥かご</t>
  </si>
  <si>
    <t>オークション &gt; ファッション &gt; ブランド別 &gt; む/め/も &gt; その他</t>
  </si>
  <si>
    <t>Gクラス/ゲレンデヴァーゲン</t>
  </si>
  <si>
    <t>オークション &gt; 住まい、インテリア &gt; ペット用品 &gt; 鳥 &gt; 鳥かご</t>
  </si>
  <si>
    <t>オークション &gt; 自動車、オートバイ &gt; 中古車・新車 &gt; メルセデス・ベンツ &gt; Gクラス/ゲレンデヴァーゲン</t>
  </si>
  <si>
    <t>ヤエカ</t>
  </si>
  <si>
    <t>オークション &gt; ファッション &gt; ブランド別 &gt; や/ゆ/よ &gt; ヤエカ</t>
  </si>
  <si>
    <t>Mクラス</t>
  </si>
  <si>
    <t>オークション &gt; 自動車、オートバイ &gt; 中古車・新車 &gt; メルセデス・ベンツ &gt; Mクラス</t>
  </si>
  <si>
    <t>ヤックパック</t>
  </si>
  <si>
    <t>オークション &gt; 住まい、インテリア &gt; ペット用品 &gt; 鳥 &gt; 本</t>
  </si>
  <si>
    <t>オークション &gt; ファッション &gt; ブランド別 &gt; や/ゆ/よ &gt; ヤックパック</t>
  </si>
  <si>
    <t>Rクラス</t>
  </si>
  <si>
    <t>オークション &gt; 自動車、オートバイ &gt; 中古車・新車 &gt; メルセデス・ベンツ &gt; Rクラス</t>
  </si>
  <si>
    <t>ヤヌーク</t>
  </si>
  <si>
    <t>オークション &gt; 住まい、インテリア &gt; ペット用品 &gt; 鳥 &gt; その他</t>
  </si>
  <si>
    <t>オークション &gt; ファッション &gt; ブランド別 &gt; や/ゆ/よ &gt; ヤヌーク</t>
  </si>
  <si>
    <t>SL</t>
  </si>
  <si>
    <t>オークション &gt; 自動車、オートバイ &gt; 中古車・新車 &gt; メルセデス・ベンツ &gt; SL</t>
  </si>
  <si>
    <t>ユキコハナイ</t>
  </si>
  <si>
    <t>オークション &gt; ファッション &gt; ブランド別 &gt; や/ゆ/よ &gt; ユキコハナイ</t>
  </si>
  <si>
    <t>オークション &gt; 住まい、インテリア &gt; ペット用品 &gt; 魚、水草 &gt; セット</t>
  </si>
  <si>
    <t>SLK</t>
  </si>
  <si>
    <t>オークション &gt; 自動車、オートバイ &gt; 中古車・新車 &gt; メルセデス・ベンツ &gt; SLK</t>
  </si>
  <si>
    <t>ユキトリイ</t>
  </si>
  <si>
    <t>オークション &gt; ファッション &gt; ブランド別 &gt; や/ゆ/よ &gt; ユキトリイ</t>
  </si>
  <si>
    <t>ろ材</t>
  </si>
  <si>
    <t>SLRマクラーレン</t>
  </si>
  <si>
    <t>オークション &gt; 住まい、インテリア &gt; ペット用品 &gt; 魚、水草 &gt; ろ材</t>
  </si>
  <si>
    <t>オークション &gt; 自動車、オートバイ &gt; 中古車・新車 &gt; メルセデス・ベンツ &gt; SLRマクラーレン</t>
  </si>
  <si>
    <t>ユナイテッドアローズ</t>
  </si>
  <si>
    <t>オークション &gt; ファッション &gt; ブランド別 &gt; や/ゆ/よ &gt; ユナイテッドアローズ</t>
  </si>
  <si>
    <t>エアポンプ</t>
  </si>
  <si>
    <t>SLRマクラーレンロードスター</t>
  </si>
  <si>
    <t>オークション &gt; 住まい、インテリア &gt; ペット用品 &gt; 魚、水草 &gt; エアポンプ</t>
  </si>
  <si>
    <t>オークション &gt; 自動車、オートバイ &gt; 中古車・新車 &gt; メルセデス・ベンツ &gt; SLRマクラーレンロードスター</t>
  </si>
  <si>
    <t>ユナイテッドバンブー</t>
  </si>
  <si>
    <t>オークション &gt; ファッション &gt; ブランド別 &gt; や/ゆ/よ &gt; ユナイテッドバンブー</t>
  </si>
  <si>
    <t>Sクラス</t>
  </si>
  <si>
    <t>オークション &gt; 住まい、インテリア &gt; ペット用品 &gt; 魚、水草 &gt; エサ</t>
  </si>
  <si>
    <t>オークション &gt; 自動車、オートバイ &gt; 中古車・新車 &gt; メルセデス・ベンツ &gt; Sクラス</t>
  </si>
  <si>
    <t>ユニクロ</t>
  </si>
  <si>
    <t>オークション &gt; ファッション &gt; ブランド別 &gt; や/ゆ/よ &gt; ユニクロ</t>
  </si>
  <si>
    <t>Tシリーズ</t>
  </si>
  <si>
    <t>オークション &gt; 自動車、オートバイ &gt; 中古車・新車 &gt; メルセデス・ベンツ &gt; Tシリーズ</t>
  </si>
  <si>
    <t>クーラー</t>
  </si>
  <si>
    <t>オークション &gt; 住まい、インテリア &gt; ペット用品 &gt; 魚、水草 &gt; クーラー</t>
  </si>
  <si>
    <t>ユリウス</t>
  </si>
  <si>
    <t>オークション &gt; ファッション &gt; ブランド別 &gt; や/ゆ/よ &gt; ユリウス</t>
  </si>
  <si>
    <t>サーモスタット</t>
  </si>
  <si>
    <t>オークション &gt; 住まい、インテリア &gt; ペット用品 &gt; 魚、水草 &gt; サーモスタット</t>
  </si>
  <si>
    <t>Vクラス</t>
  </si>
  <si>
    <t>オークション &gt; 自動車、オートバイ &gt; 中古車・新車 &gt; メルセデス・ベンツ &gt; Vクラス</t>
  </si>
  <si>
    <t>ヨーガンレール</t>
  </si>
  <si>
    <t>オークション &gt; ファッション &gt; ブランド別 &gt; や/ゆ/よ &gt; ヨーガンレール</t>
  </si>
  <si>
    <t>サンゴ</t>
  </si>
  <si>
    <t>オークション &gt; 住まい、インテリア &gt; ペット用品 &gt; 魚、水草 &gt; サンゴ</t>
  </si>
  <si>
    <t>ヨウジヤマモト、Y's</t>
  </si>
  <si>
    <t>Vシュトラール</t>
  </si>
  <si>
    <t>タイマー</t>
  </si>
  <si>
    <t>オークション &gt; 自動車、オートバイ &gt; 中古車・新車 &gt; メルセデス・ベンツ &gt; Vシュトラール</t>
  </si>
  <si>
    <t>オークション &gt; ファッション &gt; ブランド別 &gt; や/ゆ/よ &gt; ヨウジヤマモト、Y's</t>
  </si>
  <si>
    <t>オークション &gt; 住まい、インテリア &gt; ペット用品 &gt; 魚、水草 &gt; タイマー</t>
  </si>
  <si>
    <t>バネオ</t>
  </si>
  <si>
    <t>ヒーター</t>
  </si>
  <si>
    <t>オークション &gt; 自動車、オートバイ &gt; 中古車・新車 &gt; メルセデス・ベンツ &gt; バネオ</t>
  </si>
  <si>
    <t>ヨシエイナバ</t>
  </si>
  <si>
    <t>オークション &gt; 住まい、インテリア &gt; ペット用品 &gt; 魚、水草 &gt; ヒーター</t>
  </si>
  <si>
    <t>オークション &gt; ファッション &gt; ブランド別 &gt; や/ゆ/よ &gt; ヨシエイナバ</t>
  </si>
  <si>
    <t>ビアノ</t>
  </si>
  <si>
    <t>オークション &gt; 自動車、オートバイ &gt; 中古車・新車 &gt; メルセデス・ベンツ &gt; ビアノ</t>
  </si>
  <si>
    <t>ヨシユキコニシ</t>
  </si>
  <si>
    <t>オークション &gt; ファッション &gt; ブランド別 &gt; や/ゆ/よ &gt; ヨシユキコニシ</t>
  </si>
  <si>
    <t>オークション &gt; 住まい、インテリア &gt; ペット用品 &gt; 魚、水草 &gt; フィルター</t>
  </si>
  <si>
    <t>ミディアムクラス</t>
  </si>
  <si>
    <t>吉田カバン、ヘッドポーター</t>
  </si>
  <si>
    <t>オークション &gt; 自動車、オートバイ &gt; 中古車・新車 &gt; メルセデス・ベンツ &gt; ミディアムクラス</t>
  </si>
  <si>
    <t>オークション &gt; ファッション &gt; ブランド別 &gt; や/ゆ/よ &gt; 吉田カバン、ヘッドポーター</t>
  </si>
  <si>
    <t>砂利、床材</t>
  </si>
  <si>
    <t>オークション &gt; 住まい、インテリア &gt; ペット用品 &gt; 魚、水草 &gt; 砂利、床材</t>
  </si>
  <si>
    <t>4℃</t>
  </si>
  <si>
    <t>オークション &gt; ファッション &gt; ブランド別 &gt; や/ゆ/よ &gt; 4℃</t>
  </si>
  <si>
    <t>オークション &gt; 自動車、オートバイ &gt; 中古車・新車 &gt; メルセデス・ベンツ &gt; その他</t>
  </si>
  <si>
    <t>照明</t>
  </si>
  <si>
    <t>オークション &gt; 住まい、インテリア &gt; ペット用品 &gt; 魚、水草 &gt; 照明</t>
  </si>
  <si>
    <t>MG B</t>
  </si>
  <si>
    <t>水温計</t>
  </si>
  <si>
    <t>オークション &gt; 自動車、オートバイ &gt; 中古車・新車 &gt; MG &gt; MG B</t>
  </si>
  <si>
    <t>オークション &gt; ファッション &gt; ブランド別 &gt; や/ゆ/よ &gt; その他</t>
  </si>
  <si>
    <t>オークション &gt; 住まい、インテリア &gt; ペット用品 &gt; 魚、水草 &gt; 水温計</t>
  </si>
  <si>
    <t>MG F</t>
  </si>
  <si>
    <t>水質測定器</t>
  </si>
  <si>
    <t>オークション &gt; 自動車、オートバイ &gt; 中古車・新車 &gt; MG &gt; MG F</t>
  </si>
  <si>
    <t>ラウンジリザード</t>
  </si>
  <si>
    <t>オークション &gt; 住まい、インテリア &gt; ペット用品 &gt; 魚、水草 &gt; 水質測定器</t>
  </si>
  <si>
    <t>オークション &gt; ファッション &gt; ブランド別 &gt; ら &gt; ラウンジリザード</t>
  </si>
  <si>
    <t>MG TF</t>
  </si>
  <si>
    <t>オークション &gt; 自動車、オートバイ &gt; 中古車・新車 &gt; MG &gt; MG TF</t>
  </si>
  <si>
    <t>水質調整</t>
  </si>
  <si>
    <t>オークション &gt; 住まい、インテリア &gt; ペット用品 &gt; 魚、水草 &gt; 水質調整</t>
  </si>
  <si>
    <t>ラグナムーン</t>
  </si>
  <si>
    <t>MG ZT</t>
  </si>
  <si>
    <t>オークション &gt; ファッション &gt; ブランド別 &gt; ら &gt; ラグナムーン</t>
  </si>
  <si>
    <t>オークション &gt; 自動車、オートバイ &gt; 中古車・新車 &gt; MG &gt; MG ZT</t>
  </si>
  <si>
    <t>水槽</t>
  </si>
  <si>
    <t>オークション &gt; 住まい、インテリア &gt; ペット用品 &gt; 魚、水草 &gt; 水槽</t>
  </si>
  <si>
    <t>MG ZT-T</t>
  </si>
  <si>
    <t>オークション &gt; 自動車、オートバイ &gt; 中古車・新車 &gt; MG &gt; MG ZT-T</t>
  </si>
  <si>
    <t>水槽装飾品</t>
  </si>
  <si>
    <t>オークション &gt; 住まい、インテリア &gt; ペット用品 &gt; 魚、水草 &gt; 水槽装飾品</t>
  </si>
  <si>
    <t>ラコステ</t>
  </si>
  <si>
    <t>オークション &gt; ファッション &gt; ブランド別 &gt; ら &gt; ラコステ</t>
  </si>
  <si>
    <t>オークション &gt; 自動車、オートバイ &gt; 中古車・新車 &gt; MG &gt; その他</t>
  </si>
  <si>
    <t>水槽台</t>
  </si>
  <si>
    <t>オークション &gt; 住まい、インテリア &gt; ペット用品 &gt; 魚、水草 &gt; 水槽台</t>
  </si>
  <si>
    <t>Sタイプ</t>
  </si>
  <si>
    <t>オークション &gt; 自動車、オートバイ &gt; 中古車・新車 &gt; ジャガー &gt; Sタイプ</t>
  </si>
  <si>
    <t>ラシット</t>
  </si>
  <si>
    <t>水草</t>
  </si>
  <si>
    <t>オークション &gt; ファッション &gt; ブランド別 &gt; ら &gt; ラシット</t>
  </si>
  <si>
    <t>オークション &gt; 住まい、インテリア &gt; ペット用品 &gt; 魚、水草 &gt; 水草</t>
  </si>
  <si>
    <t>XFシリーズ</t>
  </si>
  <si>
    <t>オークション &gt; 自動車、オートバイ &gt; 中古車・新車 &gt; ジャガー &gt; XFシリーズ</t>
  </si>
  <si>
    <t>水草用品</t>
  </si>
  <si>
    <t>オークション &gt; 住まい、インテリア &gt; ペット用品 &gt; 魚、水草 &gt; 水草用品</t>
  </si>
  <si>
    <t>ラ トータリテ</t>
  </si>
  <si>
    <t>XJシリーズ</t>
  </si>
  <si>
    <t>オークション &gt; 自動車、オートバイ &gt; 中古車・新車 &gt; ジャガー &gt; XJシリーズ</t>
  </si>
  <si>
    <t>オークション &gt; ファッション &gt; ブランド別 &gt; ら &gt; ラ トータリテ</t>
  </si>
  <si>
    <t>清掃用具</t>
  </si>
  <si>
    <t>オークション &gt; 住まい、インテリア &gt; ペット用品 &gt; 魚、水草 &gt; 清掃用具</t>
  </si>
  <si>
    <t>XKシリーズ</t>
  </si>
  <si>
    <t>ラッセルモカシン</t>
  </si>
  <si>
    <t>オークション &gt; 自動車、オートバイ &gt; 中古車・新車 &gt; ジャガー &gt; XKシリーズ</t>
  </si>
  <si>
    <t>オークション &gt; ファッション &gt; ブランド別 &gt; ら &gt; ラッセルモカシン</t>
  </si>
  <si>
    <t>オークション &gt; 住まい、インテリア &gt; ペット用品 &gt; 魚、水草 &gt; 本</t>
  </si>
  <si>
    <t>Xタイプ</t>
  </si>
  <si>
    <t>オークション &gt; 自動車、オートバイ &gt; 中古車・新車 &gt; ジャガー &gt; Xタイプ</t>
  </si>
  <si>
    <t>ラッドミュージシャン</t>
  </si>
  <si>
    <t>オークション &gt; ファッション &gt; ブランド別 &gt; ら &gt; ラッドミュージシャン</t>
  </si>
  <si>
    <t>オークション &gt; 住まい、インテリア &gt; ペット用品 &gt; 魚、水草 &gt; その他</t>
  </si>
  <si>
    <t>ソブリン</t>
  </si>
  <si>
    <t>オークション &gt; 自動車、オートバイ &gt; 中古車・新車 &gt; ジャガー &gt; ソブリン</t>
  </si>
  <si>
    <t>オークション &gt; 住まい、インテリア &gt; ペット用品 &gt; 爬虫類、両生類用品 &gt; セット</t>
  </si>
  <si>
    <t>ラフシモンズ</t>
  </si>
  <si>
    <t>オークション &gt; ファッション &gt; ブランド別 &gt; ら &gt; ラフシモンズ</t>
  </si>
  <si>
    <t>オークション &gt; 住まい、インテリア &gt; ペット用品 &gt; 爬虫類、両生類用品 &gt; エサ</t>
  </si>
  <si>
    <t>オークション &gt; 自動車、オートバイ &gt; 中古車・新車 &gt; ジャガー &gt; その他</t>
  </si>
  <si>
    <t>ダブルシックス</t>
  </si>
  <si>
    <t>ラブボート</t>
  </si>
  <si>
    <t>オークション &gt; 住まい、インテリア &gt; ペット用品 &gt; 爬虫類、両生類用品 &gt; サーモスタット</t>
  </si>
  <si>
    <t>オークション &gt; 自動車、オートバイ &gt; 中古車・新車 &gt; デイムラー &gt; ダブルシックス</t>
  </si>
  <si>
    <t>オークション &gt; ファッション &gt; ブランド別 &gt; ら &gt; ラブボート</t>
  </si>
  <si>
    <t>オークション &gt; 住まい、インテリア &gt; ペット用品 &gt; 爬虫類、両生類用品 &gt; ヒーター</t>
  </si>
  <si>
    <t>オークション &gt; 自動車、オートバイ &gt; 中古車・新車 &gt; デイムラー &gt; その他</t>
  </si>
  <si>
    <t>ラブレス</t>
  </si>
  <si>
    <t>オークション &gt; ファッション &gt; ブランド別 &gt; ら &gt; ラブレス</t>
  </si>
  <si>
    <t>飼育ケース</t>
  </si>
  <si>
    <t>ディスカバリー</t>
  </si>
  <si>
    <t>オークション &gt; 住まい、インテリア &gt; ペット用品 &gt; 爬虫類、両生類用品 &gt; 飼育ケース</t>
  </si>
  <si>
    <t>オークション &gt; 自動車、オートバイ &gt; 中古車・新車 &gt; ランドローバー &gt; ディスカバリー</t>
  </si>
  <si>
    <t>ラベンハム</t>
  </si>
  <si>
    <t>オークション &gt; ファッション &gt; ブランド別 &gt; ら &gt; ラベンハム</t>
  </si>
  <si>
    <t>床材</t>
  </si>
  <si>
    <t>ディフェンダー</t>
  </si>
  <si>
    <t>オークション &gt; 自動車、オートバイ &gt; 中古車・新車 &gt; ランドローバー &gt; ディフェンダー</t>
  </si>
  <si>
    <t>オークション &gt; 住まい、インテリア &gt; ペット用品 &gt; 爬虫類、両生類用品 &gt; 床材</t>
  </si>
  <si>
    <t>ラルトラモーダ</t>
  </si>
  <si>
    <t>フリーランダー</t>
  </si>
  <si>
    <t>オークション &gt; ファッション &gt; ブランド別 &gt; ら &gt; ラルトラモーダ</t>
  </si>
  <si>
    <t>オークション &gt; 自動車、オートバイ &gt; 中古車・新車 &gt; ランドローバー &gt; フリーランダー</t>
  </si>
  <si>
    <t>オークション &gt; 住まい、インテリア &gt; ペット用品 &gt; 爬虫類、両生類用品 &gt; 照明</t>
  </si>
  <si>
    <t>ラルフローレン</t>
  </si>
  <si>
    <t>レンジローバー</t>
  </si>
  <si>
    <t>オークション &gt; ファッション &gt; ブランド別 &gt; ら &gt; ラルフローレン</t>
  </si>
  <si>
    <t>オークション &gt; 自動車、オートバイ &gt; 中古車・新車 &gt; ランドローバー &gt; レンジローバー</t>
  </si>
  <si>
    <t>装飾品</t>
  </si>
  <si>
    <t>オークション &gt; 住まい、インテリア &gt; ペット用品 &gt; 爬虫類、両生類用品 &gt; 装飾品</t>
  </si>
  <si>
    <t>オークション &gt; 自動車、オートバイ &gt; 中古車・新車 &gt; ランドローバー &gt; その他</t>
  </si>
  <si>
    <t>ラングラー</t>
  </si>
  <si>
    <t>オークション &gt; ファッション &gt; ブランド別 &gt; ら &gt; ラングラー</t>
  </si>
  <si>
    <t>オークション &gt; 住まい、インテリア &gt; ペット用品 &gt; 爬虫類、両生類用品 &gt; 本</t>
  </si>
  <si>
    <t>ラングリッツレザー</t>
  </si>
  <si>
    <t>オークション &gt; 自動車、オートバイ &gt; 中古車・新車 &gt; ローバー &gt; 114</t>
  </si>
  <si>
    <t>オークション &gt; ファッション &gt; ブランド別 &gt; ら &gt; ラングリッツレザー</t>
  </si>
  <si>
    <t>オークション &gt; 住まい、インテリア &gt; ペット用品 &gt; 爬虫類、両生類用品 &gt; その他</t>
  </si>
  <si>
    <t>オークション &gt; 自動車、オートバイ &gt; 中古車・新車 &gt; ローバー &gt; 200</t>
  </si>
  <si>
    <t>ランゲージ</t>
  </si>
  <si>
    <t>オークション &gt; ファッション &gt; ブランド別 &gt; ら &gt; ランゲージ</t>
  </si>
  <si>
    <t>オークション &gt; 住まい、インテリア &gt; ペット用品 &gt; 虫類 &gt; エサ</t>
  </si>
  <si>
    <t>ランセル</t>
  </si>
  <si>
    <t>オークション &gt; ファッション &gt; ブランド別 &gt; ら &gt; ランセル</t>
  </si>
  <si>
    <t>オークション &gt; 自動車、オートバイ &gt; 中古車・新車 &gt; ローバー &gt; 400</t>
  </si>
  <si>
    <t>オークション &gt; 住まい、インテリア &gt; ペット用品 &gt; 虫類 &gt; セット</t>
  </si>
  <si>
    <t>ランバン</t>
  </si>
  <si>
    <t>オークション &gt; ファッション &gt; ブランド別 &gt; ら &gt; ランバン</t>
  </si>
  <si>
    <t>マット、床材</t>
  </si>
  <si>
    <t>オークション &gt; 住まい、インテリア &gt; ペット用品 &gt; 虫類 &gt; マット、床材</t>
  </si>
  <si>
    <t>オークション &gt; 自動車、オートバイ &gt; 中古車・新車 &gt; ローバー &gt; 600</t>
  </si>
  <si>
    <t>オークション &gt; ファッション &gt; ブランド別 &gt; ら &gt; その他</t>
  </si>
  <si>
    <t>止まり木、ほだ木</t>
  </si>
  <si>
    <t>オークション &gt; 住まい、インテリア &gt; ペット用品 &gt; 虫類 &gt; 止まり木、ほだ木</t>
  </si>
  <si>
    <t>リー</t>
  </si>
  <si>
    <t>オークション &gt; 自動車、オートバイ &gt; 中古車・新車 &gt; ローバー &gt; 75</t>
  </si>
  <si>
    <t>オークション &gt; ファッション &gt; ブランド別 &gt; り &gt; リー</t>
  </si>
  <si>
    <t>オークション &gt; 住まい、インテリア &gt; ペット用品 &gt; 虫類 &gt; 飼育ケース</t>
  </si>
  <si>
    <t>リアル マッコイズ</t>
  </si>
  <si>
    <t>オークション &gt; 自動車、オートバイ &gt; 中古車・新車 &gt; ローバー &gt; 800</t>
  </si>
  <si>
    <t>オークション &gt; ファッション &gt; ブランド別 &gt; り &gt; リアル マッコイズ</t>
  </si>
  <si>
    <t>オークション &gt; 住まい、インテリア &gt; ペット用品 &gt; 虫類 &gt; 本</t>
  </si>
  <si>
    <t>トゥアラー</t>
  </si>
  <si>
    <t>オークション &gt; 自動車、オートバイ &gt; 中古車・新車 &gt; ローバー &gt; トゥアラー</t>
  </si>
  <si>
    <t>リエンダ</t>
  </si>
  <si>
    <t>オークション &gt; 住まい、インテリア &gt; ペット用品 &gt; 虫類 &gt; その他</t>
  </si>
  <si>
    <t>オークション &gt; ファッション &gt; ブランド別 &gt; り &gt; リエンダ</t>
  </si>
  <si>
    <t>ミニ</t>
  </si>
  <si>
    <t>オークション &gt; 自動車、オートバイ &gt; 中古車・新車 &gt; ローバー &gt; ミニ</t>
  </si>
  <si>
    <t>リーガル</t>
  </si>
  <si>
    <t>オークション &gt; 住まい、インテリア &gt; ペット用品 &gt; かご、おり &gt; 犬小屋</t>
  </si>
  <si>
    <t>オークション &gt; ファッション &gt; ブランド別 &gt; り &gt; リーガル</t>
  </si>
  <si>
    <t>オークション &gt; 自動車、オートバイ &gt; 中古車・新車 &gt; ローバー &gt; その他</t>
  </si>
  <si>
    <t>リコ</t>
  </si>
  <si>
    <t>犬用キャリア</t>
  </si>
  <si>
    <t>オークション &gt; ファッション &gt; ブランド別 &gt; り &gt; リコ</t>
  </si>
  <si>
    <t>オークション &gt; 住まい、インテリア &gt; ペット用品 &gt; かご、おり &gt; 犬用キャリア</t>
  </si>
  <si>
    <t>アルファ145</t>
  </si>
  <si>
    <t>オークション &gt; 自動車、オートバイ &gt; 中古車・新車 &gt; アルファロメオ &gt; アルファ145</t>
  </si>
  <si>
    <t>リズリサ</t>
  </si>
  <si>
    <t>小動物用かご、ケージ</t>
  </si>
  <si>
    <t>オークション &gt; ファッション &gt; ブランド別 &gt; り &gt; リズリサ</t>
  </si>
  <si>
    <t>オークション &gt; 住まい、インテリア &gt; ペット用品 &gt; かご、おり &gt; 小動物用かご、ケージ</t>
  </si>
  <si>
    <t>アルファ147</t>
  </si>
  <si>
    <t>オークション &gt; 自動車、オートバイ &gt; 中古車・新車 &gt; アルファロメオ &gt; アルファ147</t>
  </si>
  <si>
    <t>リックオウエンス</t>
  </si>
  <si>
    <t>小動物用キャリア</t>
  </si>
  <si>
    <t>オークション &gt; ファッション &gt; ブランド別 &gt; り &gt; リックオウエンス</t>
  </si>
  <si>
    <t>アルファ155</t>
  </si>
  <si>
    <t>オークション &gt; 住まい、インテリア &gt; ペット用品 &gt; かご、おり &gt; 小動物用キャリア</t>
  </si>
  <si>
    <t>オークション &gt; 自動車、オートバイ &gt; 中古車・新車 &gt; アルファロメオ &gt; アルファ155</t>
  </si>
  <si>
    <t>リッチ</t>
  </si>
  <si>
    <t>オークション &gt; ファッション &gt; ブランド別 &gt; り &gt; リッチ</t>
  </si>
  <si>
    <t>アルファ156</t>
  </si>
  <si>
    <t>虫かご</t>
  </si>
  <si>
    <t>オークション &gt; 自動車、オートバイ &gt; 中古車・新車 &gt; アルファロメオ &gt; アルファ156</t>
  </si>
  <si>
    <t>オークション &gt; 住まい、インテリア &gt; ペット用品 &gt; かご、おり &gt; 虫かご</t>
  </si>
  <si>
    <t>リップサービス</t>
  </si>
  <si>
    <t>オークション &gt; ファッション &gt; ブランド別 &gt; り &gt; リップサービス</t>
  </si>
  <si>
    <t>アルファ159</t>
  </si>
  <si>
    <t>リップヴァンウインクル</t>
  </si>
  <si>
    <t>オークション &gt; 自動車、オートバイ &gt; 中古車・新車 &gt; アルファロメオ &gt; アルファ159</t>
  </si>
  <si>
    <t>オークション &gt; 住まい、インテリア &gt; ペット用品 &gt; かご、おり &gt; 鳥かご</t>
  </si>
  <si>
    <t>オークション &gt; ファッション &gt; ブランド別 &gt; り &gt; リップヴァンウインクル</t>
  </si>
  <si>
    <t>リーバイス</t>
  </si>
  <si>
    <t>猫用キャリア</t>
  </si>
  <si>
    <t>アルファ164</t>
  </si>
  <si>
    <t>オークション &gt; ファッション &gt; ブランド別 &gt; り &gt; リーバイス</t>
  </si>
  <si>
    <t>オークション &gt; 住まい、インテリア &gt; ペット用品 &gt; かご、おり &gt; 猫用キャリア</t>
  </si>
  <si>
    <t>オークション &gt; 自動車、オートバイ &gt; 中古車・新車 &gt; アルファロメオ &gt; アルファ164</t>
  </si>
  <si>
    <t>リフレクト</t>
  </si>
  <si>
    <t>猫用ハウス、ベッド</t>
  </si>
  <si>
    <t>オークション &gt; ファッション &gt; ブランド別 &gt; り &gt; リフレクト</t>
  </si>
  <si>
    <t>オークション &gt; 住まい、インテリア &gt; ペット用品 &gt; かご、おり &gt; 猫用ハウス、ベッド</t>
  </si>
  <si>
    <t>アルファ166</t>
  </si>
  <si>
    <t>オークション &gt; 自動車、オートバイ &gt; 中古車・新車 &gt; アルファロメオ &gt; アルファ166</t>
  </si>
  <si>
    <t>リボルバー</t>
  </si>
  <si>
    <t>爬虫類、両生類用ケース</t>
  </si>
  <si>
    <t>オークション &gt; ファッション &gt; ブランド別 &gt; り &gt; リボルバー</t>
  </si>
  <si>
    <t>オークション &gt; 住まい、インテリア &gt; ペット用品 &gt; かご、おり &gt; 爬虫類、両生類用ケース</t>
  </si>
  <si>
    <t>アルファ75</t>
  </si>
  <si>
    <t>リミ フゥ</t>
  </si>
  <si>
    <t>オークション &gt; 自動車、オートバイ &gt; 中古車・新車 &gt; アルファロメオ &gt; アルファ75</t>
  </si>
  <si>
    <t>オークション &gt; ファッション &gt; ブランド別 &gt; り &gt; リミ フゥ</t>
  </si>
  <si>
    <t>オークション &gt; 住まい、インテリア &gt; ペット用品 &gt; ペットフード &gt; キャットフード</t>
  </si>
  <si>
    <t>アルファ8C</t>
  </si>
  <si>
    <t>オークション &gt; 自動車、オートバイ &gt; 中古車・新車 &gt; アルファロメオ &gt; アルファ8C</t>
  </si>
  <si>
    <t>オークション &gt; 住まい、インテリア &gt; ペット用品 &gt; ペットフード &gt; ドッグフード</t>
  </si>
  <si>
    <t>オークション &gt; ファッション &gt; ブランド別 &gt; り &gt; リモワ</t>
  </si>
  <si>
    <t>アルファGT</t>
  </si>
  <si>
    <t>鑑賞魚用エサ</t>
  </si>
  <si>
    <t>オークション &gt; 自動車、オートバイ &gt; 中古車・新車 &gt; アルファロメオ &gt; アルファGT</t>
  </si>
  <si>
    <t>オークション &gt; ファッション &gt; ブランド別 &gt; り &gt; その他</t>
  </si>
  <si>
    <t>オークション &gt; 住まい、インテリア &gt; ペット用品 &gt; ペットフード &gt; 鑑賞魚用エサ</t>
  </si>
  <si>
    <t>アルファGTV</t>
  </si>
  <si>
    <t>ルイ・ヴィトン</t>
  </si>
  <si>
    <t>オークション &gt; 自動車、オートバイ &gt; 中古車・新車 &gt; アルファロメオ &gt; アルファGTV</t>
  </si>
  <si>
    <t>小動物用エサ</t>
  </si>
  <si>
    <t>オークション &gt; ファッション &gt; ブランド別 &gt; る &gt; ルイ・ヴィトン</t>
  </si>
  <si>
    <t>オークション &gt; 住まい、インテリア &gt; ペット用品 &gt; ペットフード &gt; 小動物用エサ</t>
  </si>
  <si>
    <t>アルファMiTo</t>
  </si>
  <si>
    <t>ルイジ ボレッリ</t>
  </si>
  <si>
    <t>オークション &gt; ファッション &gt; ブランド別 &gt; る &gt; ルイジ ボレッリ</t>
  </si>
  <si>
    <t>オークション &gt; 自動車、オートバイ &gt; 中古車・新車 &gt; アルファロメオ &gt; アルファMiTo</t>
  </si>
  <si>
    <t>虫用エサ</t>
  </si>
  <si>
    <t>オークション &gt; 住まい、インテリア &gt; ペット用品 &gt; ペットフード &gt; 虫用エサ</t>
  </si>
  <si>
    <t>ルイスレザー</t>
  </si>
  <si>
    <t>オークション &gt; ファッション &gt; ブランド別 &gt; る &gt; ルイスレザー</t>
  </si>
  <si>
    <t>アルファスパイダー</t>
  </si>
  <si>
    <t>鳥用エサ</t>
  </si>
  <si>
    <t>オークション &gt; 自動車、オートバイ &gt; 中古車・新車 &gt; アルファロメオ &gt; アルファスパイダー</t>
  </si>
  <si>
    <t>オークション &gt; 住まい、インテリア &gt; ペット用品 &gt; ペットフード &gt; 鳥用エサ</t>
  </si>
  <si>
    <t>ルグランブルー</t>
  </si>
  <si>
    <t>オークション &gt; ファッション &gt; ブランド別 &gt; る &gt; ルグランブルー</t>
  </si>
  <si>
    <t>アルファブレラ</t>
  </si>
  <si>
    <t>爬虫類、両生類用エサ</t>
  </si>
  <si>
    <t>オークション &gt; 自動車、オートバイ &gt; 中古車・新車 &gt; アルファロメオ &gt; アルファブレラ</t>
  </si>
  <si>
    <t>オークション &gt; 住まい、インテリア &gt; ペット用品 &gt; ペットフード &gt; 爬虫類、両生類用エサ</t>
  </si>
  <si>
    <t>ルシアンペラフィネ</t>
  </si>
  <si>
    <t>オークション &gt; ファッション &gt; ブランド別 &gt; る &gt; ルシアンペラフィネ</t>
  </si>
  <si>
    <t>オークション &gt; 自動車、オートバイ &gt; 中古車・新車 &gt; アルファロメオ &gt; その他</t>
  </si>
  <si>
    <t>ルシェルブルー</t>
  </si>
  <si>
    <t>オークション &gt; ファッション &gt; ブランド別 &gt; る &gt; ルシェルブルー</t>
  </si>
  <si>
    <t>500（チンクェチェント）</t>
  </si>
  <si>
    <t>オークション &gt; 自動車、オートバイ &gt; 中古車・新車 &gt; フィアット &gt; 500（チンクェチェント）</t>
  </si>
  <si>
    <t>ルスーク</t>
  </si>
  <si>
    <t>オークション &gt; ファッション &gt; ブランド別 &gt; る &gt; ルスーク</t>
  </si>
  <si>
    <t>クーペフィアット</t>
  </si>
  <si>
    <t>オークション &gt; 自動車、オートバイ &gt; 中古車・新車 &gt; フィアット &gt; クーペフィアット</t>
  </si>
  <si>
    <t>ルードギャラリー</t>
  </si>
  <si>
    <t>オークション &gt; ファッション &gt; ブランド別 &gt; る &gt; ルードギャラリー</t>
  </si>
  <si>
    <t>ニューパンダ</t>
  </si>
  <si>
    <t>オークション &gt; 自動車、オートバイ &gt; 中古車・新車 &gt; フィアット &gt; ニューパンダ</t>
  </si>
  <si>
    <t>ルーニィ</t>
  </si>
  <si>
    <t>オークション &gt; ファッション &gt; ブランド別 &gt; る &gt; ルーニィ</t>
  </si>
  <si>
    <t>バルケッタ</t>
  </si>
  <si>
    <t>オークション &gt; 自動車、オートバイ &gt; 中古車・新車 &gt; フィアット &gt; バルケッタ</t>
  </si>
  <si>
    <t>ルネ</t>
  </si>
  <si>
    <t>オークション &gt; ファッション &gt; ブランド別 &gt; る &gt; ルネ</t>
  </si>
  <si>
    <t>オークション &gt; 自動車、オートバイ &gt; 中古車・新車 &gt; フィアット &gt; パンダ</t>
  </si>
  <si>
    <t>ルパート</t>
  </si>
  <si>
    <t>オークション &gt; ファッション &gt; ブランド別 &gt; る &gt; ルパート</t>
  </si>
  <si>
    <t>プント</t>
  </si>
  <si>
    <t>オークション &gt; 自動車、オートバイ &gt; 中古車・新車 &gt; フィアット &gt; プント</t>
  </si>
  <si>
    <t>ルブタン</t>
  </si>
  <si>
    <t>オークション &gt; ファッション &gt; ブランド別 &gt; る &gt; ルブタン</t>
  </si>
  <si>
    <t>ムルティプラ</t>
  </si>
  <si>
    <t>オークション &gt; 自動車、オートバイ &gt; 中古車・新車 &gt; フィアット &gt; ムルティプラ</t>
  </si>
  <si>
    <t>ルミノア</t>
  </si>
  <si>
    <t>オークション &gt; ファッション &gt; ブランド別 &gt; る &gt; ルミノア</t>
  </si>
  <si>
    <t>オークション &gt; 自動車、オートバイ &gt; 中古車・新車 &gt; フィアット &gt; その他</t>
  </si>
  <si>
    <t>ルージュフォンセ</t>
  </si>
  <si>
    <t>オークション &gt; ファッション &gt; ブランド別 &gt; る &gt; ルージュフォンセ</t>
  </si>
  <si>
    <t>オークション &gt; 自動車、オートバイ &gt; 中古車・新車 &gt; フェラーリ &gt; 308</t>
  </si>
  <si>
    <t>ルージュヴィフ</t>
  </si>
  <si>
    <t>農業機械</t>
  </si>
  <si>
    <t>オークション &gt; ファッション &gt; ブランド別 &gt; る &gt; ルージュヴィフ</t>
  </si>
  <si>
    <t>オークション &gt; 花、園芸 &gt; 農業 &gt; 農業機械</t>
  </si>
  <si>
    <t>ルールナンバー925</t>
  </si>
  <si>
    <t>オークション &gt; ファッション &gt; ブランド別 &gt; る &gt; ルールナンバー925</t>
  </si>
  <si>
    <t>オークション &gt; 自動車、オートバイ &gt; 中古車・新車 &gt; フェラーリ &gt; 328</t>
  </si>
  <si>
    <t>農業資材</t>
  </si>
  <si>
    <t>オークション &gt; 花、園芸 &gt; 農業 &gt; 農業資材</t>
  </si>
  <si>
    <t>ルル・ギネス</t>
  </si>
  <si>
    <t>オークション &gt; ファッション &gt; ブランド別 &gt; る &gt; ルル・ギネス</t>
  </si>
  <si>
    <t>オークション &gt; 自動車、オートバイ &gt; 中古車・新車 &gt; フェラーリ &gt; 348</t>
  </si>
  <si>
    <t>温室、ビニールハウス</t>
  </si>
  <si>
    <t>オークション &gt; ファッション &gt; ブランド別 &gt; る &gt; その他</t>
  </si>
  <si>
    <t>オークション &gt; 花、園芸 &gt; 農業 &gt; 温室、ビニールハウス</t>
  </si>
  <si>
    <t>レイジブルー</t>
  </si>
  <si>
    <t>オークション &gt; ファッション &gt; ブランド別 &gt; れ &gt; レイジブルー</t>
  </si>
  <si>
    <t>オークション &gt; 自動車、オートバイ &gt; 中古車・新車 &gt; フェラーリ &gt; 360</t>
  </si>
  <si>
    <t>園芸薬剤</t>
  </si>
  <si>
    <t>オークション &gt; 花、園芸 &gt; 農業 &gt; 園芸薬剤</t>
  </si>
  <si>
    <t>オークション &gt; ファッション &gt; ブランド別 &gt; れ &gt; レイバン</t>
  </si>
  <si>
    <t>高圧洗浄機</t>
  </si>
  <si>
    <t>オークション &gt; 自動車、オートバイ &gt; 中古車・新車 &gt; フェラーリ &gt; 456</t>
  </si>
  <si>
    <t>レインスプーナー</t>
  </si>
  <si>
    <t>オークション &gt; 花、園芸 &gt; 農業 &gt; 高圧洗浄機</t>
  </si>
  <si>
    <t>オークション &gt; ファッション &gt; ブランド別 &gt; れ &gt; レインスプーナー</t>
  </si>
  <si>
    <t>種</t>
  </si>
  <si>
    <t>レオナール</t>
  </si>
  <si>
    <t>オークション &gt; 花、園芸 &gt; 農業 &gt; 種</t>
  </si>
  <si>
    <t>オークション &gt; ファッション &gt; ブランド別 &gt; れ &gt; レオナール</t>
  </si>
  <si>
    <t>458イタリア</t>
  </si>
  <si>
    <t>オークション &gt; 自動車、オートバイ &gt; 中古車・新車 &gt; フェラーリ &gt; 458イタリア</t>
  </si>
  <si>
    <t>肥料、土</t>
  </si>
  <si>
    <t>オークション &gt; 花、園芸 &gt; 農業 &gt; 肥料、土</t>
  </si>
  <si>
    <t>レストローズ</t>
  </si>
  <si>
    <t>オークション &gt; ファッション &gt; ブランド別 &gt; れ &gt; レストローズ</t>
  </si>
  <si>
    <t>苗</t>
  </si>
  <si>
    <t>レスポートサック</t>
  </si>
  <si>
    <t>オークション &gt; 花、園芸 &gt; 農業 &gt; 苗</t>
  </si>
  <si>
    <t>オークション &gt; ファッション &gt; ブランド別 &gt; れ &gt; レスポートサック</t>
  </si>
  <si>
    <t>オークション &gt; 自動車、オートバイ &gt; 中古車・新車 &gt; フェラーリ &gt; 512</t>
  </si>
  <si>
    <t>レッセパッセ</t>
  </si>
  <si>
    <t>オークション &gt; ファッション &gt; ブランド別 &gt; れ &gt; レッセパッセ</t>
  </si>
  <si>
    <t>オークション &gt; 花、園芸 &gt; 農業 &gt; その他</t>
  </si>
  <si>
    <t>550マラネロ</t>
  </si>
  <si>
    <t>オークション &gt; 自動車、オートバイ &gt; 中古車・新車 &gt; フェラーリ &gt; 550マラネロ</t>
  </si>
  <si>
    <t>レッドウィング</t>
  </si>
  <si>
    <t>球根</t>
  </si>
  <si>
    <t>オークション &gt; ファッション &gt; ブランド別 &gt; れ &gt; レッドウィング</t>
  </si>
  <si>
    <t>オークション &gt; 花、園芸 &gt; ガーデニング &gt; 球根</t>
  </si>
  <si>
    <t>レッドペッパー</t>
  </si>
  <si>
    <t>オークション &gt; ファッション &gt; ブランド別 &gt; れ &gt; レッドペッパー</t>
  </si>
  <si>
    <t>575Mマラネロ</t>
  </si>
  <si>
    <t>オークション &gt; 花、園芸 &gt; ガーデニング &gt; 苗</t>
  </si>
  <si>
    <t>オークション &gt; 自動車、オートバイ &gt; 中古車・新車 &gt; フェラーリ &gt; 575Mマラネロ</t>
  </si>
  <si>
    <t>レッドムーン</t>
  </si>
  <si>
    <t>オークション &gt; ファッション &gt; ブランド別 &gt; れ &gt; レッドムーン</t>
  </si>
  <si>
    <t>オークション &gt; 花、園芸 &gt; ガーデニング &gt; 園芸薬剤</t>
  </si>
  <si>
    <t>レネ・カオヴィラ</t>
  </si>
  <si>
    <t>オークション &gt; 自動車、オートバイ &gt; 中古車・新車 &gt; フェラーリ &gt; 599</t>
  </si>
  <si>
    <t>オークション &gt; ファッション &gt; ブランド別 &gt; れ &gt; レネ・カオヴィラ</t>
  </si>
  <si>
    <t>オークション &gt; 花、園芸 &gt; ガーデニング &gt; 肥料、土</t>
  </si>
  <si>
    <t>レノマ</t>
  </si>
  <si>
    <t>612スカリエッティ</t>
  </si>
  <si>
    <t>オークション &gt; ファッション &gt; ブランド別 &gt; れ &gt; レノマ</t>
  </si>
  <si>
    <t>オークション &gt; 自動車、オートバイ &gt; 中古車・新車 &gt; フェラーリ &gt; 612スカリエッティ</t>
  </si>
  <si>
    <t>オークション &gt; 花、園芸 &gt; ガーデニング &gt; 種</t>
  </si>
  <si>
    <t>レベッカテイラー</t>
  </si>
  <si>
    <t>オークション &gt; ファッション &gt; ブランド別 &gt; れ &gt; レベッカテイラー</t>
  </si>
  <si>
    <t>F355</t>
  </si>
  <si>
    <t>オークション &gt; 自動車、オートバイ &gt; 中古車・新車 &gt; フェラーリ &gt; F355</t>
  </si>
  <si>
    <t>はさみ、のこぎり</t>
  </si>
  <si>
    <t>オークション &gt; 花、園芸 &gt; ガーデニング &gt; はさみ、のこぎり</t>
  </si>
  <si>
    <t>レペット</t>
  </si>
  <si>
    <t>オークション &gt; ファッション &gt; ブランド別 &gt; れ &gt; レペット</t>
  </si>
  <si>
    <t>F430</t>
  </si>
  <si>
    <t>スコップ、シャベル</t>
  </si>
  <si>
    <t>オークション &gt; 自動車、オートバイ &gt; 中古車・新車 &gt; フェラーリ &gt; F430</t>
  </si>
  <si>
    <t>オークション &gt; 花、園芸 &gt; ガーデニング &gt; スコップ、シャベル</t>
  </si>
  <si>
    <t>レリアン</t>
  </si>
  <si>
    <t>オークション &gt; ファッション &gt; ブランド別 &gt; れ &gt; レリアン</t>
  </si>
  <si>
    <t>オークション &gt; 花、園芸 &gt; ガーデニング &gt; その他</t>
  </si>
  <si>
    <t>オークション &gt; ファッション &gt; ブランド別 &gt; れ &gt; その他</t>
  </si>
  <si>
    <t>カリフォルニア</t>
  </si>
  <si>
    <t>オークション &gt; 自動車、オートバイ &gt; 中古車・新車 &gt; フェラーリ &gt; カリフォルニア</t>
  </si>
  <si>
    <t>ロアー</t>
  </si>
  <si>
    <t>オークション &gt; 花、園芸 &gt; アレンジメント &gt; ドライフラワー</t>
  </si>
  <si>
    <t>オークション &gt; ファッション &gt; ブランド別 &gt; ろ &gt; ロアー</t>
  </si>
  <si>
    <t>ロイスクレヨン</t>
  </si>
  <si>
    <t>生花</t>
  </si>
  <si>
    <t>オークション &gt; ファッション &gt; ブランド別 &gt; ろ &gt; ロイスクレヨン</t>
  </si>
  <si>
    <t>オークション &gt; 花、園芸 &gt; アレンジメント &gt; 生花</t>
  </si>
  <si>
    <t>ロエベ</t>
  </si>
  <si>
    <t>造花</t>
  </si>
  <si>
    <t>オークション &gt; ファッション &gt; ブランド別 &gt; ろ &gt; ロエベ</t>
  </si>
  <si>
    <t>オークション &gt; 花、園芸 &gt; アレンジメント &gt; 造花</t>
  </si>
  <si>
    <t>スーパーアメリカ</t>
  </si>
  <si>
    <t>オークション &gt; 自動車、オートバイ &gt; 中古車・新車 &gt; フェラーリ &gt; スーパーアメリカ</t>
  </si>
  <si>
    <t>ロエン</t>
  </si>
  <si>
    <t>オークション &gt; ファッション &gt; ブランド別 &gt; ろ &gt; ロエン</t>
  </si>
  <si>
    <t>オークション &gt; 花、園芸 &gt; 切り花、花束 &gt; 生花</t>
  </si>
  <si>
    <t>ローガン</t>
  </si>
  <si>
    <t>オークション &gt; ファッション &gt; ブランド別 &gt; ろ &gt; ローガン</t>
  </si>
  <si>
    <t>チャレンジストラダーレ</t>
  </si>
  <si>
    <t>オークション &gt; 自動車、オートバイ &gt; 中古車・新車 &gt; フェラーリ &gt; チャレンジストラダーレ</t>
  </si>
  <si>
    <t>オークション &gt; 花、園芸 &gt; 切り花、花束 &gt; ドライフラワー</t>
  </si>
  <si>
    <t>ロキシー</t>
  </si>
  <si>
    <t>オークション &gt; ファッション &gt; ブランド別 &gt; ろ &gt; ロキシー</t>
  </si>
  <si>
    <t>プリザーブドフラワー</t>
  </si>
  <si>
    <t>オークション &gt; 花、園芸 &gt; 切り花、花束 &gt; プリザーブドフラワー</t>
  </si>
  <si>
    <t>テスタロッサ</t>
  </si>
  <si>
    <t>ローズバッド</t>
  </si>
  <si>
    <t>オークション &gt; 自動車、オートバイ &gt; 中古車・新車 &gt; フェラーリ &gt; テスタロッサ</t>
  </si>
  <si>
    <t>オークション &gt; ファッション &gt; ブランド別 &gt; ろ &gt; ローズバッド</t>
  </si>
  <si>
    <t>ローズファンファン</t>
  </si>
  <si>
    <t>オークション &gt; 花、園芸 &gt; 切り花、花束 &gt; 造花</t>
  </si>
  <si>
    <t>オークション &gt; ファッション &gt; ブランド別 &gt; ろ &gt; ローズファンファン</t>
  </si>
  <si>
    <t>ディーノ</t>
  </si>
  <si>
    <t>オークション &gt; 自動車、オートバイ &gt; 中古車・新車 &gt; フェラーリ &gt; ディーノ</t>
  </si>
  <si>
    <t>ローズブリット</t>
  </si>
  <si>
    <t>オークション &gt; ファッション &gt; ブランド別 &gt; ろ &gt; ローズブリット</t>
  </si>
  <si>
    <t>オークション &gt; 自動車、オートバイ &gt; 中古車・新車 &gt; フェラーリ &gt; その他</t>
  </si>
  <si>
    <t>オークション &gt; 花、園芸 &gt; 盆栽 &gt; 盆栽</t>
  </si>
  <si>
    <t>盆栽用具</t>
  </si>
  <si>
    <t>ロジータ</t>
  </si>
  <si>
    <t>オークション &gt; 自動車、オートバイ &gt; 中古車・新車 &gt; マセラティ &gt; 222</t>
  </si>
  <si>
    <t>オークション &gt; 花、園芸 &gt; 盆栽 &gt; 盆栽用具</t>
  </si>
  <si>
    <t>オークション &gt; ファッション &gt; ブランド別 &gt; ろ &gt; ロジータ</t>
  </si>
  <si>
    <t>ギブリ</t>
  </si>
  <si>
    <t>オークション &gt; 花、園芸 &gt; 盆栽 &gt; その他</t>
  </si>
  <si>
    <t>オークション &gt; 自動車、オートバイ &gt; 中古車・新車 &gt; マセラティ &gt; ギブリ</t>
  </si>
  <si>
    <t>ロートレ・アモン</t>
  </si>
  <si>
    <t>オークション &gt; ファッション &gt; ブランド別 &gt; ろ &gt; ロートレ・アモン</t>
  </si>
  <si>
    <t>アガベ</t>
  </si>
  <si>
    <t>クーペ</t>
  </si>
  <si>
    <t>オークション &gt; 花、園芸 &gt; 観葉植物 &gt; アガベ</t>
  </si>
  <si>
    <t>オークション &gt; 自動車、オートバイ &gt; 中古車・新車 &gt; マセラティ &gt; クーペ</t>
  </si>
  <si>
    <t>ロデオクラウンズ</t>
  </si>
  <si>
    <t>アナナス</t>
  </si>
  <si>
    <t>オークション &gt; ファッション &gt; ブランド別 &gt; ろ &gt; ロデオクラウンズ</t>
  </si>
  <si>
    <t>クアトロポルテ</t>
  </si>
  <si>
    <t>オークション &gt; 花、園芸 &gt; 観葉植物 &gt; アナナス</t>
  </si>
  <si>
    <t>オークション &gt; 自動車、オートバイ &gt; 中古車・新車 &gt; マセラティ &gt; クアトロポルテ</t>
  </si>
  <si>
    <t>アロエ</t>
  </si>
  <si>
    <t>オークション &gt; 花、園芸 &gt; 観葉植物 &gt; アロエ</t>
  </si>
  <si>
    <t>グラントゥーリズモ</t>
  </si>
  <si>
    <t>RONI</t>
  </si>
  <si>
    <t>オークション &gt; 自動車、オートバイ &gt; 中古車・新車 &gt; マセラティ &gt; グラントゥーリズモ</t>
  </si>
  <si>
    <t>オークション &gt; ファッション &gt; ブランド別 &gt; ろ &gt; RONI</t>
  </si>
  <si>
    <t>ウンベラータ</t>
  </si>
  <si>
    <t>オークション &gt; 花、園芸 &gt; 観葉植物 &gt; ウンベラータ</t>
  </si>
  <si>
    <t>スパイダー</t>
  </si>
  <si>
    <t>ロベルタ ディ カメリーノ</t>
  </si>
  <si>
    <t>オークション &gt; 自動車、オートバイ &gt; 中古車・新車 &gt; マセラティ &gt; スパイダー</t>
  </si>
  <si>
    <t>オーガスタ</t>
  </si>
  <si>
    <t>オークション &gt; ファッション &gt; ブランド別 &gt; ろ &gt; ロベルタ ディ カメリーノ</t>
  </si>
  <si>
    <t>オークション &gt; 花、園芸 &gt; 観葉植物 &gt; オーガスタ</t>
  </si>
  <si>
    <t>オークション &gt; 自動車、オートバイ &gt; 中古車・新車 &gt; マセラティ &gt; その他</t>
  </si>
  <si>
    <t>クワズイモ</t>
  </si>
  <si>
    <t>オークション &gt; 花、園芸 &gt; 観葉植物 &gt; クワズイモ</t>
  </si>
  <si>
    <t>ロペ</t>
  </si>
  <si>
    <t>テーマ</t>
  </si>
  <si>
    <t>オークション &gt; ファッション &gt; ブランド別 &gt; ろ &gt; ロペ</t>
  </si>
  <si>
    <t>オークション &gt; 自動車、オートバイ &gt; 中古車・新車 &gt; ランチア &gt; テーマ</t>
  </si>
  <si>
    <t>サボテン</t>
  </si>
  <si>
    <t>オークション &gt; 花、園芸 &gt; 観葉植物 &gt; サボテン</t>
  </si>
  <si>
    <t>ロペピクニック</t>
  </si>
  <si>
    <t>オークション &gt; 自動車、オートバイ &gt; 中古車・新車 &gt; ランチア &gt; デルタ</t>
  </si>
  <si>
    <t>ジャスミン</t>
  </si>
  <si>
    <t>オークション &gt; ファッション &gt; ブランド別 &gt; ろ &gt; ロペピクニック</t>
  </si>
  <si>
    <t>オークション &gt; 花、園芸 &gt; 観葉植物 &gt; ジャスミン</t>
  </si>
  <si>
    <t>セローム</t>
  </si>
  <si>
    <t>オークション &gt; 花、園芸 &gt; 観葉植物 &gt; セローム</t>
  </si>
  <si>
    <t>ローラアシュレイ</t>
  </si>
  <si>
    <t>オークション &gt; 自動車、オートバイ &gt; 中古車・新車 &gt; ランチア &gt; その他</t>
  </si>
  <si>
    <t>オークション &gt; ファッション &gt; ブランド別 &gt; ろ &gt; ローラアシュレイ</t>
  </si>
  <si>
    <t>ドラセナ</t>
  </si>
  <si>
    <t>オークション &gt; 花、園芸 &gt; 観葉植物 &gt; ドラセナ</t>
  </si>
  <si>
    <t>2CV</t>
  </si>
  <si>
    <t>オークション &gt; 自動車、オートバイ &gt; 中古車・新車 &gt; シトロエン &gt; 2CV</t>
  </si>
  <si>
    <t>ローリーズファーム</t>
  </si>
  <si>
    <t>パキラ</t>
  </si>
  <si>
    <t>オークション &gt; ファッション &gt; ブランド別 &gt; ろ &gt; ローリーズファーム</t>
  </si>
  <si>
    <t>オークション &gt; 花、園芸 &gt; 観葉植物 &gt; パキラ</t>
  </si>
  <si>
    <t>BX</t>
  </si>
  <si>
    <t>オークション &gt; 自動車、オートバイ &gt; 中古車・新車 &gt; シトロエン &gt; BX</t>
  </si>
  <si>
    <t>ビカクシダ、コウモリラン</t>
  </si>
  <si>
    <t>C2</t>
  </si>
  <si>
    <t>オークション &gt; 花、園芸 &gt; 観葉植物 &gt; ビカクシダ、コウモリラン</t>
  </si>
  <si>
    <t>ロロピアーナ</t>
  </si>
  <si>
    <t>オークション &gt; 自動車、オートバイ &gt; 中古車・新車 &gt; シトロエン &gt; C2</t>
  </si>
  <si>
    <t>オークション &gt; ファッション &gt; ブランド別 &gt; ろ &gt; ロロピアーナ</t>
  </si>
  <si>
    <t>ベンジャミン</t>
  </si>
  <si>
    <t>C3</t>
  </si>
  <si>
    <t>オークション &gt; 花、園芸 &gt; 観葉植物 &gt; ベンジャミン</t>
  </si>
  <si>
    <t>オークション &gt; 自動車、オートバイ &gt; 中古車・新車 &gt; シトロエン &gt; C3</t>
  </si>
  <si>
    <t>ロンシャン</t>
  </si>
  <si>
    <t>オークション &gt; ファッション &gt; ブランド別 &gt; ろ &gt; ロンシャン</t>
  </si>
  <si>
    <t>ホンコンカポック</t>
  </si>
  <si>
    <t>C4</t>
  </si>
  <si>
    <t>オークション &gt; 花、園芸 &gt; 観葉植物 &gt; ホンコンカポック</t>
  </si>
  <si>
    <t>オークション &gt; 自動車、オートバイ &gt; 中古車・新車 &gt; シトロエン &gt; C4</t>
  </si>
  <si>
    <t>ロンハーマン</t>
  </si>
  <si>
    <t>ポトス</t>
  </si>
  <si>
    <t>C5セダン</t>
  </si>
  <si>
    <t>オークション &gt; 花、園芸 &gt; 観葉植物 &gt; ポトス</t>
  </si>
  <si>
    <t>オークション &gt; ファッション &gt; ブランド別 &gt; ろ &gt; ロンハーマン</t>
  </si>
  <si>
    <t>オークション &gt; 自動車、オートバイ &gt; 中古車・新車 &gt; シトロエン &gt; C5セダン</t>
  </si>
  <si>
    <t>ミリオンバンブー</t>
  </si>
  <si>
    <t>C5ツアラー</t>
  </si>
  <si>
    <t>オークション &gt; 花、園芸 &gt; 観葉植物 &gt; ミリオンバンブー</t>
  </si>
  <si>
    <t>オークション &gt; 自動車、オートバイ &gt; 中古車・新車 &gt; シトロエン &gt; C5ツアラー</t>
  </si>
  <si>
    <t>オークション &gt; ファッション &gt; ブランド別 &gt; ろ &gt; その他</t>
  </si>
  <si>
    <t>モンステラ</t>
  </si>
  <si>
    <t>C6</t>
  </si>
  <si>
    <t>オークション &gt; 花、園芸 &gt; 観葉植物 &gt; モンステラ</t>
  </si>
  <si>
    <t>オークション &gt; 自動車、オートバイ &gt; 中古車・新車 &gt; シトロエン &gt; C6</t>
  </si>
  <si>
    <t>Y's、ヨウジヤマモト</t>
  </si>
  <si>
    <t>オークション &gt; ファッション &gt; ブランド別 &gt; わ &gt; Y's、ヨウジヤマモト</t>
  </si>
  <si>
    <t>DS3</t>
  </si>
  <si>
    <t>オークション &gt; 自動車、オートバイ &gt; 中古車・新車 &gt; シトロエン &gt; DS3</t>
  </si>
  <si>
    <t>ヤシ</t>
  </si>
  <si>
    <t>オークション &gt; 花、園芸 &gt; 観葉植物 &gt; ヤシ</t>
  </si>
  <si>
    <t>ワールド ワイド ラブ！</t>
  </si>
  <si>
    <t>DS4</t>
  </si>
  <si>
    <t>オークション &gt; ファッション &gt; ブランド別 &gt; わ &gt; ワールド ワイド ラブ！</t>
  </si>
  <si>
    <t>オークション &gt; 自動車、オートバイ &gt; 中古車・新車 &gt; シトロエン &gt; DS4</t>
  </si>
  <si>
    <t>ユッカ</t>
  </si>
  <si>
    <t>オークション &gt; 花、園芸 &gt; 観葉植物 &gt; ユッカ</t>
  </si>
  <si>
    <t>XM</t>
  </si>
  <si>
    <t>オークション &gt; 自動車、オートバイ &gt; 中古車・新車 &gt; シトロエン &gt; XM</t>
  </si>
  <si>
    <t>ワイルドシングス</t>
  </si>
  <si>
    <t>オークション &gt; ファッション &gt; ブランド別 &gt; わ &gt; ワイルドシングス</t>
  </si>
  <si>
    <t>オークション &gt; 花、園芸 &gt; 観葉植物 &gt; 造花</t>
  </si>
  <si>
    <t>ZX</t>
  </si>
  <si>
    <t>オークション &gt; 自動車、オートバイ &gt; 中古車・新車 &gt; シトロエン &gt; ZX</t>
  </si>
  <si>
    <t>ワコマリア</t>
  </si>
  <si>
    <t>オークション &gt; 花、園芸 &gt; 観葉植物 &gt; その他</t>
  </si>
  <si>
    <t>エグザンティア</t>
  </si>
  <si>
    <t>オークション &gt; ファッション &gt; ブランド別 &gt; わ &gt; ワコマリア</t>
  </si>
  <si>
    <t>オークション &gt; 自動車、オートバイ &gt; 中古車・新車 &gt; シトロエン &gt; エグザンティア</t>
  </si>
  <si>
    <t>ハーブ</t>
  </si>
  <si>
    <t>クサラ</t>
  </si>
  <si>
    <t>オークション &gt; 花、園芸 &gt; 鉢植え &gt; ハーブ</t>
  </si>
  <si>
    <t>オークション &gt; 自動車、オートバイ &gt; 中古車・新車 &gt; シトロエン &gt; クサラ</t>
  </si>
  <si>
    <t>ワシントン</t>
  </si>
  <si>
    <t>オークション &gt; ファッション &gt; ブランド別 &gt; わ &gt; ワシントン</t>
  </si>
  <si>
    <t>花</t>
  </si>
  <si>
    <t>クサラピカソ</t>
  </si>
  <si>
    <t>オークション &gt; 花、園芸 &gt; 鉢植え &gt; 花</t>
  </si>
  <si>
    <t>オークション &gt; 自動車、オートバイ &gt; 中古車・新車 &gt; シトロエン &gt; クサラピカソ</t>
  </si>
  <si>
    <t>ワスク</t>
  </si>
  <si>
    <t>オークション &gt; ファッション &gt; ブランド別 &gt; わ &gt; ワスク</t>
  </si>
  <si>
    <t>観葉植物</t>
  </si>
  <si>
    <t>オークション &gt; 花、園芸 &gt; 鉢植え &gt; 観葉植物</t>
  </si>
  <si>
    <t>オークション &gt; 自動車、オートバイ &gt; 中古車・新車 &gt; シトロエン &gt; その他</t>
  </si>
  <si>
    <t>オークション &gt; 自動車、オートバイ &gt; 中古車・新車 &gt; プジョー &gt; 1007</t>
  </si>
  <si>
    <t>オークション &gt; 花、園芸 &gt; 鉢植え &gt; 造花</t>
  </si>
  <si>
    <t>ワッフリッシュワッフル</t>
  </si>
  <si>
    <t>オークション &gt; ファッション &gt; ブランド別 &gt; わ &gt; ワッフリッシュワッフル</t>
  </si>
  <si>
    <t>オークション &gt; 自動車、オートバイ &gt; 中古車・新車 &gt; プジョー &gt; 106</t>
  </si>
  <si>
    <t>オークション &gt; 花、園芸 &gt; 鉢植え &gt; 盆栽</t>
  </si>
  <si>
    <t>ワンウェイ</t>
  </si>
  <si>
    <t>オークション &gt; 自動車、オートバイ &gt; 中古車・新車 &gt; プジョー &gt; 205</t>
  </si>
  <si>
    <t>オークション &gt; ファッション &gt; ブランド別 &gt; わ &gt; ワンウェイ</t>
  </si>
  <si>
    <t>オークション &gt; 花、園芸 &gt; 鉢植え &gt; その他</t>
  </si>
  <si>
    <t>オークション &gt; 自動車、オートバイ &gt; 中古車・新車 &gt; プジョー &gt; 206</t>
  </si>
  <si>
    <t>鉢</t>
  </si>
  <si>
    <t>オークション &gt; 花、園芸 &gt; 造園用工具、資材 &gt; 鉢</t>
  </si>
  <si>
    <t>オークション &gt; 自動車、オートバイ &gt; 中古車・新車 &gt; プジョー &gt; 207</t>
  </si>
  <si>
    <t>オークション &gt; ファッション &gt; ブランド別 &gt; わ &gt; その他</t>
  </si>
  <si>
    <t>オークション &gt; 自動車、オートバイ &gt; 中古車・新車 &gt; プジョー &gt; 3008</t>
  </si>
  <si>
    <t>プランター</t>
  </si>
  <si>
    <t>オークション &gt; 花、園芸 &gt; 造園用工具、資材 &gt; プランター</t>
  </si>
  <si>
    <t>コート一般</t>
  </si>
  <si>
    <t>オークション &gt; ファッション &gt; レディースファッション &gt; コート &gt; コート一般</t>
  </si>
  <si>
    <t>オークション &gt; 自動車、オートバイ &gt; 中古車・新車 &gt; プジョー &gt; 306</t>
  </si>
  <si>
    <t>じょうろ、水やり</t>
  </si>
  <si>
    <t>オークション &gt; 花、園芸 &gt; 造園用工具、資材 &gt; じょうろ、水やり</t>
  </si>
  <si>
    <t>ステンカラーコート</t>
  </si>
  <si>
    <t>オークション &gt; ファッション &gt; レディースファッション &gt; コート &gt; ステンカラーコート</t>
  </si>
  <si>
    <t>オークション &gt; 自動車、オートバイ &gt; 中古車・新車 &gt; プジョー &gt; 307</t>
  </si>
  <si>
    <t>スプリングコート</t>
  </si>
  <si>
    <t>オークション &gt; 花、園芸 &gt; 造園用工具、資材 &gt; はさみ、のこぎり</t>
  </si>
  <si>
    <t>オークション &gt; ファッション &gt; レディースファッション &gt; コート &gt; スプリングコート</t>
  </si>
  <si>
    <t>オークション &gt; 自動車、オートバイ &gt; 中古車・新車 &gt; プジョー &gt; 308</t>
  </si>
  <si>
    <t>オークション &gt; 自動車、オートバイ &gt; 中古車・新車 &gt; プジョー &gt; 405</t>
  </si>
  <si>
    <t>アクセント、オーナメント</t>
  </si>
  <si>
    <t>ダウンコート</t>
  </si>
  <si>
    <t>オークション &gt; 花、園芸 &gt; 造園用工具、資材 &gt; アクセント、オーナメント</t>
  </si>
  <si>
    <t>オークション &gt; ファッション &gt; レディースファッション &gt; コート &gt; ダウンコート</t>
  </si>
  <si>
    <t>オークション &gt; 自動車、オートバイ &gt; 中古車・新車 &gt; プジョー &gt; 406</t>
  </si>
  <si>
    <t>ダッフルコート</t>
  </si>
  <si>
    <t>オークション &gt; ファッション &gt; レディースファッション &gt; コート &gt; ダッフルコート</t>
  </si>
  <si>
    <t>ガーデンファニチャー</t>
  </si>
  <si>
    <t>オークション &gt; 自動車、オートバイ &gt; 中古車・新車 &gt; プジョー &gt; 407</t>
  </si>
  <si>
    <t>オークション &gt; 花、園芸 &gt; 造園用工具、資材 &gt; ガーデンファニチャー</t>
  </si>
  <si>
    <t>オークション &gt; 自動車、オートバイ &gt; 中古車・新車 &gt; プジョー &gt; 508</t>
  </si>
  <si>
    <t>トレンチコート</t>
  </si>
  <si>
    <t>オークション &gt; ファッション &gt; レディースファッション &gt; コート &gt; トレンチコート</t>
  </si>
  <si>
    <t>オークション &gt; 花、園芸 &gt; 造園用工具、資材 &gt; ガーデンライト</t>
  </si>
  <si>
    <t>オークション &gt; 自動車、オートバイ &gt; 中古車・新車 &gt; プジョー &gt; 607</t>
  </si>
  <si>
    <t>ピーコート</t>
  </si>
  <si>
    <t>オークション &gt; ファッション &gt; レディースファッション &gt; コート &gt; ピーコート</t>
  </si>
  <si>
    <t>RCZ</t>
  </si>
  <si>
    <t>オークション &gt; 自動車、オートバイ &gt; 中古車・新車 &gt; プジョー &gt; RCZ</t>
  </si>
  <si>
    <t>オークション &gt; 花、園芸 &gt; 造園用工具、資材 &gt; スコップ、シャベル</t>
  </si>
  <si>
    <t>モッズコート</t>
  </si>
  <si>
    <t>オークション &gt; ファッション &gt; レディースファッション &gt; コート &gt; モッズコート</t>
  </si>
  <si>
    <t>オークション &gt; 自動車、オートバイ &gt; 中古車・新車 &gt; プジョー &gt; その他</t>
  </si>
  <si>
    <t>脚立、はしご、足場</t>
  </si>
  <si>
    <t>オークション &gt; 花、園芸 &gt; 造園用工具、資材 &gt; 脚立、はしご、足場</t>
  </si>
  <si>
    <t>オークション &gt; 自動車、オートバイ &gt; 中古車・新車 &gt; ルノー &gt; 4</t>
  </si>
  <si>
    <t>レインコート</t>
  </si>
  <si>
    <t>オークション &gt; ファッション &gt; レディースファッション &gt; コート &gt; レインコート</t>
  </si>
  <si>
    <t>アヴァンタイム</t>
  </si>
  <si>
    <t>オークション &gt; 自動車、オートバイ &gt; 中古車・新車 &gt; ルノー &gt; アヴァンタイム</t>
  </si>
  <si>
    <t>噴霧器</t>
  </si>
  <si>
    <t>オークション &gt; 花、園芸 &gt; 造園用工具、資材 &gt; 噴霧器</t>
  </si>
  <si>
    <t>ウインド</t>
  </si>
  <si>
    <t>オークション &gt; 自動車、オートバイ &gt; 中古車・新車 &gt; ルノー &gt; ウインド</t>
  </si>
  <si>
    <t>毛皮、ファー</t>
  </si>
  <si>
    <t>オークション &gt; ファッション &gt; レディースファッション &gt; コート &gt; 毛皮、ファー</t>
  </si>
  <si>
    <t>オークション &gt; 花、園芸 &gt; 造園用工具、資材 &gt; 農業資材</t>
  </si>
  <si>
    <t>ママコート</t>
  </si>
  <si>
    <t>オークション &gt; ファッション &gt; レディースファッション &gt; コート &gt; ママコート</t>
  </si>
  <si>
    <t>カングー</t>
  </si>
  <si>
    <t>オークション &gt; 自動車、オートバイ &gt; 中古車・新車 &gt; ルノー &gt; カングー</t>
  </si>
  <si>
    <t>オークション &gt; 花、園芸 &gt; 造園用工具、資材 &gt; その他</t>
  </si>
  <si>
    <t>コレオス</t>
  </si>
  <si>
    <t>オークション &gt; 自動車、オートバイ &gt; 中古車・新車 &gt; ルノー &gt; コレオス</t>
  </si>
  <si>
    <t>スタジアムジャンパー</t>
  </si>
  <si>
    <t>オークション &gt; ファッション &gt; レディースファッション &gt; コート &gt; スタジアムジャンパー</t>
  </si>
  <si>
    <t>オークション &gt; 花、園芸 &gt; ドライフラワー &gt; 一般</t>
  </si>
  <si>
    <t>サンク</t>
  </si>
  <si>
    <t>オークション &gt; 自動車、オートバイ &gt; 中古車・新車 &gt; ルノー &gt; サンク</t>
  </si>
  <si>
    <t>ダウンジャケット</t>
  </si>
  <si>
    <t>トゥインゴ</t>
  </si>
  <si>
    <t>オークション &gt; ファッション &gt; レディースファッション &gt; コート &gt; ダウンジャケット</t>
  </si>
  <si>
    <t>オークション &gt; 自動車、オートバイ &gt; 中古車・新車 &gt; ルノー &gt; トゥインゴ</t>
  </si>
  <si>
    <t>オークション &gt; 花、園芸 &gt; ドライフラワー &gt; アレンジメント</t>
  </si>
  <si>
    <t>メガーヌ</t>
  </si>
  <si>
    <t>オークション &gt; 自動車、オートバイ &gt; 中古車・新車 &gt; ルノー &gt; メガーヌ</t>
  </si>
  <si>
    <t>ポンチョ</t>
  </si>
  <si>
    <t>オークション &gt; ファッション &gt; レディースファッション &gt; コート &gt; ポンチョ</t>
  </si>
  <si>
    <t>ポプリ</t>
  </si>
  <si>
    <t>オークション &gt; 花、園芸 &gt; ドライフラワー &gt; ポプリ</t>
  </si>
  <si>
    <t>ルーテシア</t>
  </si>
  <si>
    <t>オークション &gt; 自動車、オートバイ &gt; 中古車・新車 &gt; ルノー &gt; ルーテシア</t>
  </si>
  <si>
    <t>ライダース</t>
  </si>
  <si>
    <t>オークション &gt; ファッション &gt; レディースファッション &gt; コート &gt; ライダース</t>
  </si>
  <si>
    <t>オークション &gt; 自動車、オートバイ &gt; 中古車・新車 &gt; ルノー &gt; その他</t>
  </si>
  <si>
    <t>オークション &gt; 花、園芸 &gt; ドライフラワー &gt; リース</t>
  </si>
  <si>
    <t>ジャケット、ブレザー</t>
  </si>
  <si>
    <t>花束</t>
  </si>
  <si>
    <t>オークション &gt; ファッション &gt; レディースファッション &gt; ジャケット、上着 &gt; ジャケット、ブレザー</t>
  </si>
  <si>
    <t>オークション &gt; 花、園芸 &gt; ドライフラワー &gt; 花束</t>
  </si>
  <si>
    <t>ジャンパー、ブルゾン</t>
  </si>
  <si>
    <t>クリスマスリース</t>
  </si>
  <si>
    <t>オークション &gt; ファッション &gt; レディースファッション &gt; ジャケット、上着 &gt; ジャンパー、ブルゾン</t>
  </si>
  <si>
    <t>オークション &gt; 花、園芸 &gt; リース &gt; クリスマスリース</t>
  </si>
  <si>
    <t>オークション &gt; ファッション &gt; レディースファッション &gt; ジャケット、上着 &gt; ダウンジャケット</t>
  </si>
  <si>
    <t>オークション &gt; 花、園芸 &gt; リース &gt; ドライフラワー</t>
  </si>
  <si>
    <t>オークション &gt; 自動車、オートバイ &gt; 中古車・新車 &gt; サーブ &gt; 9-3</t>
  </si>
  <si>
    <t>ダウンベスト</t>
  </si>
  <si>
    <t>オークション &gt; ファッション &gt; レディースファッション &gt; ジャケット、上着 &gt; ダウンベスト</t>
  </si>
  <si>
    <t>オークション &gt; 自動車、オートバイ &gt; 中古車・新車 &gt; サーブ &gt; 9-5</t>
  </si>
  <si>
    <t>オークション &gt; 花、園芸 &gt; リース &gt; 生花</t>
  </si>
  <si>
    <t>パーカ</t>
  </si>
  <si>
    <t>オークション &gt; 自動車、オートバイ &gt; 中古車・新車 &gt; サーブ &gt; 900</t>
  </si>
  <si>
    <t>オークション &gt; ファッション &gt; レディースファッション &gt; ジャケット、上着 &gt; パーカ</t>
  </si>
  <si>
    <t>オークション &gt; 花、園芸 &gt; リース &gt; 造花</t>
  </si>
  <si>
    <t>オークション &gt; 自動車、オートバイ &gt; 中古車・新車 &gt; サーブ &gt; その他</t>
  </si>
  <si>
    <t>オークション &gt; ファッション &gt; レディースファッション &gt; ジャケット、上着 &gt; ポンチョ</t>
  </si>
  <si>
    <t>オークション &gt; 自動車、オートバイ &gt; 中古車・新車 &gt; ボルボ &gt; 240</t>
  </si>
  <si>
    <t>オークション &gt; 自動車、オートバイ &gt; 中古車・新車 &gt; ボルボ &gt; 740</t>
  </si>
  <si>
    <t>オークション &gt; ファッション &gt; レディースファッション &gt; ジャケット、上着 &gt; ライダース</t>
  </si>
  <si>
    <t>オークション &gt; 自動車、オートバイ &gt; 中古車・新車 &gt; ボルボ &gt; 850</t>
  </si>
  <si>
    <t>スーツ</t>
  </si>
  <si>
    <t>オークション &gt; ファッション &gt; レディースファッション &gt; ジャケット、上着 &gt; スーツ</t>
  </si>
  <si>
    <t>オークション &gt; 自動車、オートバイ &gt; 中古車・新車 &gt; ボルボ &gt; 940</t>
  </si>
  <si>
    <t>オークション &gt; ファッション &gt; レディースファッション &gt; ジャケット、上着 &gt; その他</t>
  </si>
  <si>
    <t>オークション &gt; 自動車、オートバイ &gt; 中古車・新車 &gt; ボルボ &gt; 960</t>
  </si>
  <si>
    <t>C30</t>
  </si>
  <si>
    <t>オークション &gt; 自動車、オートバイ &gt; 中古車・新車 &gt; ボルボ &gt; C30</t>
  </si>
  <si>
    <t>XSサイズ以下</t>
  </si>
  <si>
    <t>オークション &gt; ファッション &gt; レディースファッション &gt; カーディガン &gt; XSサイズ以下</t>
  </si>
  <si>
    <t>C70</t>
  </si>
  <si>
    <t>オークション &gt; 自動車、オートバイ &gt; 中古車・新車 &gt; ボルボ &gt; C70</t>
  </si>
  <si>
    <t>Sサイズ</t>
  </si>
  <si>
    <t>S40</t>
  </si>
  <si>
    <t>オークション &gt; ファッション &gt; レディースファッション &gt; カーディガン &gt; Sサイズ</t>
  </si>
  <si>
    <t>オークション &gt; 自動車、オートバイ &gt; 中古車・新車 &gt; ボルボ &gt; S40</t>
  </si>
  <si>
    <t>S60</t>
  </si>
  <si>
    <t>オークション &gt; 自動車、オートバイ &gt; 中古車・新車 &gt; ボルボ &gt; S60</t>
  </si>
  <si>
    <t>Mサイズ</t>
  </si>
  <si>
    <t>オークション &gt; ファッション &gt; レディースファッション &gt; カーディガン &gt; Mサイズ</t>
  </si>
  <si>
    <t>S70</t>
  </si>
  <si>
    <t>オークション &gt; 自動車、オートバイ &gt; 中古車・新車 &gt; ボルボ &gt; S70</t>
  </si>
  <si>
    <t>Lサイズ</t>
  </si>
  <si>
    <t>オークション &gt; ファッション &gt; レディースファッション &gt; カーディガン &gt; Lサイズ</t>
  </si>
  <si>
    <t>S80</t>
  </si>
  <si>
    <t>オークション &gt; 自動車、オートバイ &gt; 中古車・新車 &gt; ボルボ &gt; S80</t>
  </si>
  <si>
    <t>V40</t>
  </si>
  <si>
    <t>XLサイズ以上</t>
  </si>
  <si>
    <t>オークション &gt; 自動車、オートバイ &gt; 中古車・新車 &gt; ボルボ &gt; V40</t>
  </si>
  <si>
    <t>オークション &gt; ファッション &gt; レディースファッション &gt; カーディガン &gt; XLサイズ以上</t>
  </si>
  <si>
    <t>V50</t>
  </si>
  <si>
    <t>オークション &gt; ファッション &gt; レディースファッション &gt; カーディガン &gt; アーペーセー</t>
  </si>
  <si>
    <t>オークション &gt; 自動車、オートバイ &gt; 中古車・新車 &gt; ボルボ &gt; V50</t>
  </si>
  <si>
    <t>V70</t>
  </si>
  <si>
    <t>アニエスb.</t>
  </si>
  <si>
    <t>オークション &gt; 自動車、オートバイ &gt; 中古車・新車 &gt; ボルボ &gt; V70</t>
  </si>
  <si>
    <t>オークション &gt; ファッション &gt; レディースファッション &gt; カーディガン &gt; アニエスb.</t>
  </si>
  <si>
    <t>XC60</t>
  </si>
  <si>
    <t>オークション &gt; 自動車、オートバイ &gt; 中古車・新車 &gt; ボルボ &gt; XC60</t>
  </si>
  <si>
    <t>オークション &gt; ファッション &gt; レディースファッション &gt; カーディガン &gt; アルバローザ</t>
  </si>
  <si>
    <t>XC70/V70XC/クロスカントリー</t>
  </si>
  <si>
    <t>オークション &gt; 自動車、オートバイ &gt; 中古車・新車 &gt; ボルボ &gt; XC70/V70XC/クロスカントリー</t>
  </si>
  <si>
    <t>オークション &gt; ファッション &gt; レディースファッション &gt; カーディガン &gt; アルマーニ</t>
  </si>
  <si>
    <t>XC90</t>
  </si>
  <si>
    <t>オークション &gt; 自動車、オートバイ &gt; 中古車・新車 &gt; ボルボ &gt; XC90</t>
  </si>
  <si>
    <t>アマゾン</t>
  </si>
  <si>
    <t>オークション &gt; 自動車、オートバイ &gt; 中古車・新車 &gt; ボルボ &gt; アマゾン</t>
  </si>
  <si>
    <t>オークション &gt; ファッション &gt; レディースファッション &gt; カーディガン &gt; アンタイトル</t>
  </si>
  <si>
    <t>オークション &gt; 自動車、オートバイ &gt; 中古車・新車 &gt; ボルボ &gt; その他</t>
  </si>
  <si>
    <t>サバーバン</t>
  </si>
  <si>
    <t>オークション &gt; 自動車、オートバイ &gt; 中古車・新車 &gt; GMC &gt; サバーバン</t>
  </si>
  <si>
    <t>オークション &gt; ファッション &gt; レディースファッション &gt; カーディガン &gt; イネド</t>
  </si>
  <si>
    <t>オークション &gt; 自動車、オートバイ &gt; 中古車・新車 &gt; GMC &gt; サファリ</t>
  </si>
  <si>
    <t>オークション &gt; ファッション &gt; レディースファッション &gt; カーディガン &gt; インエ</t>
  </si>
  <si>
    <t>タイフーン</t>
  </si>
  <si>
    <t>オークション &gt; 自動車、オートバイ &gt; 中古車・新車 &gt; GMC &gt; タイフーン</t>
  </si>
  <si>
    <t>ユーコン</t>
  </si>
  <si>
    <t>オークション &gt; 自動車、オートバイ &gt; 中古車・新車 &gt; GMC &gt; ユーコン</t>
  </si>
  <si>
    <t>オークション &gt; ファッション &gt; レディースファッション &gt; カーディガン &gt; インディヴィ</t>
  </si>
  <si>
    <t>オークション &gt; 自動車、オートバイ &gt; 中古車・新車 &gt; GMC &gt; その他</t>
  </si>
  <si>
    <t>オークション &gt; ファッション &gt; レディースファッション &gt; カーディガン &gt; エゴイスト</t>
  </si>
  <si>
    <t>CTS</t>
  </si>
  <si>
    <t>オークション &gt; 自動車、オートバイ &gt; 中古車・新車 &gt; キャデラック &gt; CTS</t>
  </si>
  <si>
    <t>紙おむつ</t>
  </si>
  <si>
    <t>オークション &gt; ベビー用品 &gt; おむつ、トイレ用品 &gt; おむつ &gt; 紙おむつ</t>
  </si>
  <si>
    <t>オークション &gt; ファッション &gt; レディースファッション &gt; カーディガン &gt; エックスガール</t>
  </si>
  <si>
    <t>0,24202,2084042546,2084008377,2084047644</t>
  </si>
  <si>
    <t>SRX</t>
  </si>
  <si>
    <t>オークション &gt; 自動車、オートバイ &gt; 中古車・新車 &gt; キャデラック &gt; SRX</t>
  </si>
  <si>
    <t>STS</t>
  </si>
  <si>
    <t>オークション &gt; 自動車、オートバイ &gt; 中古車・新車 &gt; キャデラック &gt; STS</t>
  </si>
  <si>
    <t>オークション &gt; ファッション &gt; レディースファッション &gt; カーディガン &gt; エル</t>
  </si>
  <si>
    <t>布おむつ</t>
  </si>
  <si>
    <t>オークション &gt; ベビー用品 &gt; おむつ、トイレ用品 &gt; おむつ &gt; 布おむつ</t>
  </si>
  <si>
    <t>XLR</t>
  </si>
  <si>
    <t>オークション &gt; 自動車、オートバイ &gt; 中古車・新車 &gt; キャデラック &gt; XLR</t>
  </si>
  <si>
    <t>0,24202,2084042546,2084008377,2084047645</t>
  </si>
  <si>
    <t>オークション &gt; ファッション &gt; レディースファッション &gt; カーディガン &gt; エルメス</t>
  </si>
  <si>
    <t>0,25464,2084024146,2084045577</t>
  </si>
  <si>
    <t>エスカレード</t>
  </si>
  <si>
    <t>オークション &gt; 自動車、オートバイ &gt; 中古車・新車 &gt; キャデラック &gt; エスカレード</t>
  </si>
  <si>
    <t>0,25464,2084024146,2084045578</t>
  </si>
  <si>
    <t>オークション &gt; ファッション &gt; レディースファッション &gt; カーディガン &gt; オゾンコミュニティー</t>
  </si>
  <si>
    <t>エルドラド</t>
  </si>
  <si>
    <t>オークション &gt; 自動車、オートバイ &gt; 中古車・新車 &gt; キャデラック &gt; エルドラド</t>
  </si>
  <si>
    <t>0,25464,2084024146,2084045579</t>
  </si>
  <si>
    <t>オークション &gt; ファッション &gt; レディースファッション &gt; カーディガン &gt; カパルア</t>
  </si>
  <si>
    <t>コンコース</t>
  </si>
  <si>
    <t>オークション &gt; 自動車、オートバイ &gt; 中古車・新車 &gt; キャデラック &gt; コンコース</t>
  </si>
  <si>
    <t>0,25464,2084024146,2084045580</t>
  </si>
  <si>
    <t>セビル</t>
  </si>
  <si>
    <t>オークション &gt; 自動車、オートバイ &gt; 中古車・新車 &gt; キャデラック &gt; セビル</t>
  </si>
  <si>
    <t>オークション &gt; ファッション &gt; レディースファッション &gt; カーディガン &gt; ギャップ</t>
  </si>
  <si>
    <t>0,25464,2084024146,2084044884</t>
  </si>
  <si>
    <t>デ・ビル</t>
  </si>
  <si>
    <t>オークション &gt; ファッション &gt; レディースファッション &gt; カーディガン &gt; クリスチャン・ディオール</t>
  </si>
  <si>
    <t>オークション &gt; 自動車、オートバイ &gt; 中古車・新車 &gt; キャデラック &gt; デ・ビル</t>
  </si>
  <si>
    <t>0,25464,2084024146,26018</t>
  </si>
  <si>
    <t>ドゥビル</t>
  </si>
  <si>
    <t>オークション &gt; ファッション &gt; レディースファッション &gt; カーディガン &gt; クレージュ</t>
  </si>
  <si>
    <t>オークション &gt; 自動車、オートバイ &gt; 中古車・新車 &gt; キャデラック &gt; ドゥビル</t>
  </si>
  <si>
    <t>0,25464,2084024146,40510</t>
  </si>
  <si>
    <t>フリートウッド</t>
  </si>
  <si>
    <t>オークション &gt; ファッション &gt; レディースファッション &gt; カーディガン &gt; グッチ</t>
  </si>
  <si>
    <t>オークション &gt; 自動車、オートバイ &gt; 中古車・新車 &gt; キャデラック &gt; フリートウッド</t>
  </si>
  <si>
    <t>0,25464,2084024146,2084008619</t>
  </si>
  <si>
    <t>ブロアム</t>
  </si>
  <si>
    <t>オークション &gt; ファッション &gt; レディースファッション &gt; カーディガン &gt; ココルル</t>
  </si>
  <si>
    <t>オークション &gt; 自動車、オートバイ &gt; 中古車・新車 &gt; キャデラック &gt; ブロアム</t>
  </si>
  <si>
    <t>0,25464,2084024146,2084008647</t>
  </si>
  <si>
    <t>オークション &gt; ファッション &gt; レディースファッション &gt; カーディガン &gt; コム サ デ モード</t>
  </si>
  <si>
    <t>オークション &gt; 自動車、オートバイ &gt; 中古車・新車 &gt; キャデラック &gt; その他</t>
  </si>
  <si>
    <t>0,25464,2084024146,2084045581</t>
  </si>
  <si>
    <t>アップリカ</t>
  </si>
  <si>
    <t>オークション &gt; 自動車、オートバイ &gt; セーフティ &gt; チャイルドシート &gt; アップリカ</t>
  </si>
  <si>
    <t>0,26318,2084005798,2084005814,2084242663</t>
  </si>
  <si>
    <t>オークション &gt; ファッション &gt; レディースファッション &gt; カーディガン &gt; コム デ ギャルソン</t>
  </si>
  <si>
    <t>300C</t>
  </si>
  <si>
    <t>オークション &gt; 自動車、オートバイ &gt; 中古車・新車 &gt; クライスラー &gt; 300C</t>
  </si>
  <si>
    <t>コンビ</t>
  </si>
  <si>
    <t>オークション &gt; 自動車、オートバイ &gt; セーフティ &gt; チャイルドシート &gt; コンビ</t>
  </si>
  <si>
    <t>0,26318,2084005798,2084005814,2084242664</t>
  </si>
  <si>
    <t>オークション &gt; ファッション &gt; レディースファッション &gt; カーディガン &gt; シップス</t>
  </si>
  <si>
    <t>300Cツーリング</t>
  </si>
  <si>
    <t>レカロ</t>
  </si>
  <si>
    <t>オークション &gt; 自動車、オートバイ &gt; 中古車・新車 &gt; クライスラー &gt; 300Cツーリング</t>
  </si>
  <si>
    <t>オークション &gt; 自動車、オートバイ &gt; セーフティ &gt; チャイルドシート &gt; レカロ</t>
  </si>
  <si>
    <t>0,26318,2084005798,2084005814,2084242665</t>
  </si>
  <si>
    <t>オークション &gt; ファッション &gt; レディースファッション &gt; カーディガン &gt; シャネル</t>
  </si>
  <si>
    <t>PTクルーザー</t>
  </si>
  <si>
    <t>オークション &gt; 自動車、オートバイ &gt; 中古車・新車 &gt; クライスラー &gt; PTクルーザー</t>
  </si>
  <si>
    <t>オークション &gt; ファッション &gt; レディースファッション &gt; カーディガン &gt; ジルスチュアート</t>
  </si>
  <si>
    <t>オークション &gt; 自動車、オートバイ &gt; セーフティ &gt; チャイルドシート &gt; その他</t>
  </si>
  <si>
    <t>クロスファイア</t>
  </si>
  <si>
    <t>0,26318,2084005798,2084005814,2084242666</t>
  </si>
  <si>
    <t>オークション &gt; 自動車、オートバイ &gt; 中古車・新車 &gt; クライスラー &gt; クロスファイア</t>
  </si>
  <si>
    <t>ハンドタオル</t>
  </si>
  <si>
    <t>オークション &gt; 住まい、インテリア &gt; 家庭用品 &gt; タオル &gt; ベビー用 &gt; ハンドタオル</t>
  </si>
  <si>
    <t>0,24198,42160,2084006324,2084006326,2084006332</t>
  </si>
  <si>
    <t>オークション &gt; ファッション &gt; レディースファッション &gt; カーディガン &gt; ズッカ</t>
  </si>
  <si>
    <t>グランドボイジャー</t>
  </si>
  <si>
    <t>バスタオル、浴用タオル</t>
  </si>
  <si>
    <t>オークション &gt; 自動車、オートバイ &gt; 中古車・新車 &gt; クライスラー &gt; グランドボイジャー</t>
  </si>
  <si>
    <t>オークション &gt; 住まい、インテリア &gt; 家庭用品 &gt; タオル &gt; ベビー用 &gt; バスタオル、浴用タオル</t>
  </si>
  <si>
    <t>0,24198,42160,2084006324,2084006326,2084006331</t>
  </si>
  <si>
    <t>ジープグランドチェロキー</t>
  </si>
  <si>
    <t>フェイスタオル</t>
  </si>
  <si>
    <t>オークション &gt; ファッション &gt; レディースファッション &gt; カーディガン &gt; セシルマクビー</t>
  </si>
  <si>
    <t>オークション &gt; 自動車、オートバイ &gt; 中古車・新車 &gt; クライスラー &gt; ジープグランドチェロキー</t>
  </si>
  <si>
    <t>オークション &gt; 住まい、インテリア &gt; 家庭用品 &gt; タオル &gt; ベビー用 &gt; フェイスタオル</t>
  </si>
  <si>
    <t>0,24198,42160,2084006324,2084006326,2084006333</t>
  </si>
  <si>
    <t>ジープチェロキー</t>
  </si>
  <si>
    <t>オークション &gt; 自動車、オートバイ &gt; 中古車・新車 &gt; クライスラー &gt; ジープチェロキー</t>
  </si>
  <si>
    <t>ダナ･キャラン,DKNY</t>
  </si>
  <si>
    <t>オークション &gt; 住まい、インテリア &gt; 家庭用品 &gt; タオル &gt; ベビー用 &gt; その他</t>
  </si>
  <si>
    <t>0,24198,42160,2084006324,2084006326,2084006337</t>
  </si>
  <si>
    <t>オークション &gt; ファッション &gt; レディースファッション &gt; カーディガン &gt; ダナ･キャラン,DKNY</t>
  </si>
  <si>
    <t>高さ固定</t>
  </si>
  <si>
    <t>オークション &gt; ベビー用品 &gt; ベビー家具 &gt; イス &gt; 高さ固定</t>
  </si>
  <si>
    <t>0,24202,2084008393,2084008395,2084202547</t>
  </si>
  <si>
    <t>ジープラングラー</t>
  </si>
  <si>
    <t>オークション &gt; 自動車、オートバイ &gt; 中古車・新車 &gt; クライスラー &gt; ジープラングラー</t>
  </si>
  <si>
    <t>高さ調節機能付き</t>
  </si>
  <si>
    <t>オークション &gt; ベビー用品 &gt; ベビー家具 &gt; イス &gt; 高さ調節機能付き</t>
  </si>
  <si>
    <t>0,24202,2084008393,2084008395,2084202546</t>
  </si>
  <si>
    <t>オークション &gt; ファッション &gt; レディースファッション &gt; カーディガン &gt; ツモリチサト</t>
  </si>
  <si>
    <t>ネオン</t>
  </si>
  <si>
    <t>オークション &gt; 自動車、オートバイ &gt; 中古車・新車 &gt; クライスラー &gt; ネオン</t>
  </si>
  <si>
    <t>コンビ肌着</t>
  </si>
  <si>
    <t>オークション &gt; ファッション &gt; キッズ、ベビーファッション &gt; ベビー服 &gt; インナーウエア &gt; コンビ肌着</t>
  </si>
  <si>
    <t>0,23000,2084293011,24210,2084007276,2084053188</t>
  </si>
  <si>
    <t>ラップアップ</t>
  </si>
  <si>
    <t>バイパー</t>
  </si>
  <si>
    <t>オークション &gt; ファッション &gt; キッズ、ベビーファッション &gt; ベビー服 &gt; インナーウエア &gt; ラップアップ</t>
  </si>
  <si>
    <t>オークション &gt; 自動車、オートバイ &gt; 中古車・新車 &gt; クライスラー &gt; バイパー</t>
  </si>
  <si>
    <t>オークション &gt; ファッション &gt; レディースファッション &gt; カーディガン &gt; ナイスクラップ</t>
  </si>
  <si>
    <t>0,23000,2084293011,24210,2084007276,2084053189</t>
  </si>
  <si>
    <t>ボイジャー</t>
  </si>
  <si>
    <t>オークション &gt; 自動車、オートバイ &gt; 中古車・新車 &gt; クライスラー &gt; ボイジャー</t>
  </si>
  <si>
    <t>短肌着</t>
  </si>
  <si>
    <t>オークション &gt; ファッション &gt; キッズ、ベビーファッション &gt; ベビー服 &gt; インナーウエア &gt; 短肌着</t>
  </si>
  <si>
    <t>オークション &gt; 自動車、オートバイ &gt; 中古車・新車 &gt; クライスラー &gt; その他</t>
  </si>
  <si>
    <t>0,23000,2084293011,24210,2084007276,2084053186</t>
  </si>
  <si>
    <t>オークション &gt; ファッション &gt; レディースファッション &gt; カーディガン &gt; バーバリー</t>
  </si>
  <si>
    <t>HHR</t>
  </si>
  <si>
    <t>長肌着</t>
  </si>
  <si>
    <t>オークション &gt; 自動車、オートバイ &gt; 中古車・新車 &gt; シボレー &gt; HHR</t>
  </si>
  <si>
    <t>オークション &gt; ファッション &gt; キッズ、ベビーファッション &gt; ベビー服 &gt; インナーウエア &gt; 長肌着</t>
  </si>
  <si>
    <t>0,23000,2084293011,24210,2084007276,2084053187</t>
  </si>
  <si>
    <t>オークション &gt; ファッション &gt; レディースファッション &gt; カーディガン &gt; ヒステリックグラマー</t>
  </si>
  <si>
    <t>MW</t>
  </si>
  <si>
    <t>オークション &gt; 自動車、オートバイ &gt; 中古車・新車 &gt; シボレー &gt; MW</t>
  </si>
  <si>
    <t>ボディスーツ</t>
  </si>
  <si>
    <t>オークション &gt; ファッション &gt; キッズ、ベビーファッション &gt; ベビー服 &gt; インナーウエア &gt; ボディスーツ</t>
  </si>
  <si>
    <t>0,23000,2084293011,24210,2084007276,2084053190</t>
  </si>
  <si>
    <t>オークション &gt; ファッション &gt; レディースファッション &gt; カーディガン &gt; ビームス</t>
  </si>
  <si>
    <t>アストロ</t>
  </si>
  <si>
    <t>オークション &gt; 自動車、オートバイ &gt; 中古車・新車 &gt; シボレー &gt; アストロ</t>
  </si>
  <si>
    <t>トレーニングパンツ</t>
  </si>
  <si>
    <t>オークション &gt; ファッション &gt; キッズ、ベビーファッション &gt; ベビー服 &gt; インナーウエア &gt; トレーニングパンツ</t>
  </si>
  <si>
    <t>オークション &gt; ファッション &gt; レディースファッション &gt; カーディガン &gt; ビバユー</t>
  </si>
  <si>
    <t>0,23000,2084293011,24210,2084007276,2084050472</t>
  </si>
  <si>
    <t>アバランチ</t>
  </si>
  <si>
    <t>オークション &gt; 自動車、オートバイ &gt; 中古車・新車 &gt; シボレー &gt; アバランチ</t>
  </si>
  <si>
    <t>アンダーシャツ</t>
  </si>
  <si>
    <t>オークション &gt; ファッション &gt; キッズ、ベビーファッション &gt; ベビー服 &gt; インナーウエア &gt; アンダーシャツ</t>
  </si>
  <si>
    <t>オークション &gt; ファッション &gt; レディースファッション &gt; カーディガン &gt; ピンキー＆ダイアン</t>
  </si>
  <si>
    <t>0,23000,2084293011,24210,2084007276,2084053185</t>
  </si>
  <si>
    <t>インパラ</t>
  </si>
  <si>
    <t>オークション &gt; 自動車、オートバイ &gt; 中古車・新車 &gt; シボレー &gt; インパラ</t>
  </si>
  <si>
    <t>ブリーフ、トランクス</t>
  </si>
  <si>
    <t>オークション &gt; ファッション &gt; レディースファッション &gt; カーディガン &gt; ピンクハウス</t>
  </si>
  <si>
    <t>オークション &gt; ファッション &gt; キッズ、ベビーファッション &gt; ベビー服 &gt; インナーウエア &gt; ブリーフ、トランクス</t>
  </si>
  <si>
    <t>0,23000,2084293011,24210,2084007276,2084053183</t>
  </si>
  <si>
    <t>オークション &gt; ファッション &gt; レディースファッション &gt; カーディガン &gt; フェンディ</t>
  </si>
  <si>
    <t>女の子用ショーツ</t>
  </si>
  <si>
    <t>エクスプレス</t>
  </si>
  <si>
    <t>オークション &gt; ファッション &gt; キッズ、ベビーファッション &gt; ベビー服 &gt; インナーウエア &gt; 女の子用ショーツ</t>
  </si>
  <si>
    <t>オークション &gt; 自動車、オートバイ &gt; 中古車・新車 &gt; シボレー &gt; エクスプレス</t>
  </si>
  <si>
    <t>0,23000,2084293011,24210,2084007276,2084053184</t>
  </si>
  <si>
    <t>オークション &gt; ファッション &gt; レディースファッション &gt; カーディガン &gt; プライベートレーベル</t>
  </si>
  <si>
    <t>オプトラ</t>
  </si>
  <si>
    <t>オークション &gt; 自動車、オートバイ &gt; 中古車・新車 &gt; シボレー &gt; オプトラ</t>
  </si>
  <si>
    <t>カバーオール</t>
  </si>
  <si>
    <t>オークション &gt; ファッション &gt; キッズ、ベビーファッション &gt; ベビー服 &gt; カバーオール、つなぎ &gt; カバーオール</t>
  </si>
  <si>
    <t>0,23000,2084293011,24210,2084007272,2084052794</t>
  </si>
  <si>
    <t>オークション &gt; ファッション &gt; レディースファッション &gt; カーディガン &gt; プラダ</t>
  </si>
  <si>
    <t>カプリス</t>
  </si>
  <si>
    <t>オークション &gt; 自動車、オートバイ &gt; 中古車・新車 &gt; シボレー &gt; カプリス</t>
  </si>
  <si>
    <t>つなぎ</t>
  </si>
  <si>
    <t>オークション &gt; ファッション &gt; レディースファッション &gt; カーディガン &gt; ベネトン</t>
  </si>
  <si>
    <t>カマロ</t>
  </si>
  <si>
    <t>オークション &gt; ファッション &gt; キッズ、ベビーファッション &gt; ベビー服 &gt; カバーオール、つなぎ &gt; つなぎ</t>
  </si>
  <si>
    <t>オークション &gt; 自動車、オートバイ &gt; 中古車・新車 &gt; シボレー &gt; カマロ</t>
  </si>
  <si>
    <t>0,23000,2084293011,24210,2084007272,2084052796</t>
  </si>
  <si>
    <t>オークション &gt; ファッション &gt; レディースファッション &gt; カーディガン &gt; マウジー</t>
  </si>
  <si>
    <t>キャプティバ</t>
  </si>
  <si>
    <t>オークション &gt; 自動車、オートバイ &gt; 中古車・新車 &gt; シボレー &gt; キャプティバ</t>
  </si>
  <si>
    <t>ショートオール</t>
  </si>
  <si>
    <t>オークション &gt; ファッション &gt; キッズ、ベビーファッション &gt; ベビー服 &gt; カバーオール、つなぎ &gt; ショートオール</t>
  </si>
  <si>
    <t>オークション &gt; ファッション &gt; レディースファッション &gt; カーディガン &gt; ミジェーン</t>
  </si>
  <si>
    <t>0,23000,2084293011,24210,2084007272,2084023881</t>
  </si>
  <si>
    <t>クルーズ</t>
  </si>
  <si>
    <t>オークション &gt; 自動車、オートバイ &gt; 中古車・新車 &gt; シボレー &gt; クルーズ</t>
  </si>
  <si>
    <t>ツーウェイオール、ドレスオール</t>
  </si>
  <si>
    <t>オークション &gt; ファッション &gt; キッズ、ベビーファッション &gt; ベビー服 &gt; カバーオール、つなぎ &gt; ツーウェイオール、ドレスオール</t>
  </si>
  <si>
    <t>オークション &gt; ファッション &gt; レディースファッション &gt; カーディガン &gt; ミッシェルクラン</t>
  </si>
  <si>
    <t>コルベット</t>
  </si>
  <si>
    <t>0,23000,2084293011,24210,2084007272,2084023880</t>
  </si>
  <si>
    <t>オークション &gt; 自動車、オートバイ &gt; 中古車・新車 &gt; シボレー &gt; コルベット</t>
  </si>
  <si>
    <t>オークション &gt; ファッション &gt; レディースファッション &gt; カーディガン &gt; ラブボート</t>
  </si>
  <si>
    <t>オークション &gt; ファッション &gt; キッズ、ベビーファッション &gt; ベビー服 &gt; コート、ジャンパー &gt; コート</t>
  </si>
  <si>
    <t>0,23000,2084293011,24210,2084007275,2084052626</t>
  </si>
  <si>
    <t>オークション &gt; 自動車、オートバイ &gt; 中古車・新車 &gt; シボレー &gt; サバーバン</t>
  </si>
  <si>
    <t>オークション &gt; ファッション &gt; レディースファッション &gt; カーディガン &gt; ラルフローレン</t>
  </si>
  <si>
    <t>シェビー</t>
  </si>
  <si>
    <t>オークション &gt; ファッション &gt; キッズ、ベビーファッション &gt; ベビー服 &gt; コート、ジャンパー &gt; ジャンパー、ブルゾン</t>
  </si>
  <si>
    <t>オークション &gt; 自動車、オートバイ &gt; 中古車・新車 &gt; シボレー &gt; シェビー</t>
  </si>
  <si>
    <t>0,23000,2084293011,24210,2084007275,2084052629</t>
  </si>
  <si>
    <t>オークション &gt; ファッション &gt; レディースファッション &gt; カーディガン &gt; ロペ</t>
  </si>
  <si>
    <t>シルバラード</t>
  </si>
  <si>
    <t>ヴィヴィアン ウエストウッド</t>
  </si>
  <si>
    <t>オークション &gt; 自動車、オートバイ &gt; 中古車・新車 &gt; シボレー &gt; シルバラード</t>
  </si>
  <si>
    <t>オークション &gt; ファッション &gt; キッズ、ベビーファッション &gt; ベビー服 &gt; コート、ジャンパー &gt; ダウンジャケット</t>
  </si>
  <si>
    <t>オークション &gt; ファッション &gt; レディースファッション &gt; カーディガン &gt; ヴィヴィアン ウエストウッド</t>
  </si>
  <si>
    <t>0,23000,2084293011,24210,2084007275,2084054849</t>
  </si>
  <si>
    <t>ソニック</t>
  </si>
  <si>
    <t>オークション &gt; 自動車、オートバイ &gt; 中古車・新車 &gt; シボレー &gt; ソニック</t>
  </si>
  <si>
    <t>オークション &gt; ファッション &gt; レディースファッション &gt; カーディガン &gt; 組曲</t>
  </si>
  <si>
    <t>オークション &gt; ファッション &gt; キッズ、ベビーファッション &gt; ベビー服 &gt; コート、ジャンパー &gt; レインコート</t>
  </si>
  <si>
    <t>タホ</t>
  </si>
  <si>
    <t>0,23000,2084293011,24210,2084007275,2084052829</t>
  </si>
  <si>
    <t>オークション &gt; 自動車、オートバイ &gt; 中古車・新車 &gt; シボレー &gt; タホ</t>
  </si>
  <si>
    <t>カジュアル</t>
  </si>
  <si>
    <t>オークション &gt; ファッション &gt; キッズ、ベビーファッション &gt; ベビー服 &gt; スーツ、セットアップ &gt; カジュアル</t>
  </si>
  <si>
    <t>0,23000,2084293011,24210,2084007274,2084052926</t>
  </si>
  <si>
    <t>ツインニット、アンサンブルニット一般</t>
  </si>
  <si>
    <t>オークション &gt; ファッション &gt; レディースファッション &gt; アンサンブルニット &gt; ツインニット、アンサンブルニット一般</t>
  </si>
  <si>
    <t>トラック系</t>
  </si>
  <si>
    <t>オークション &gt; 自動車、オートバイ &gt; 中古車・新車 &gt; シボレー &gt; トラック系</t>
  </si>
  <si>
    <t>フォーマル</t>
  </si>
  <si>
    <t>オークション &gt; ファッション &gt; キッズ、ベビーファッション &gt; ベビー服 &gt; スーツ、セットアップ &gt; フォーマル</t>
  </si>
  <si>
    <t>0,23000,2084293011,24210,2084007274,2084052927</t>
  </si>
  <si>
    <t>オークション &gt; ファッション &gt; レディースファッション &gt; アンサンブルニット &gt; アーペーセー</t>
  </si>
  <si>
    <t>トラバース</t>
  </si>
  <si>
    <t>オークション &gt; 自動車、オートバイ &gt; 中古車・新車 &gt; シボレー &gt; トラバース</t>
  </si>
  <si>
    <t>オークション &gt; ファッション &gt; キッズ、ベビーファッション &gt; ベビー服 &gt; トップス &gt; Tシャツ</t>
  </si>
  <si>
    <t>0,23000,2084293011,24210,2084007259,2084007260</t>
  </si>
  <si>
    <t>オークション &gt; ファッション &gt; キッズ、ベビーファッション &gt; ベビー服 &gt; トップス &gt; カーディガン</t>
  </si>
  <si>
    <t>トレイルブレイザー</t>
  </si>
  <si>
    <t>オークション &gt; ファッション &gt; レディースファッション &gt; アンサンブルニット &gt; アニエスb.</t>
  </si>
  <si>
    <t>オークション &gt; 自動車、オートバイ &gt; 中古車・新車 &gt; シボレー &gt; トレイルブレイザー</t>
  </si>
  <si>
    <t>0,23000,2084293011,24210,2084007259,2084007263</t>
  </si>
  <si>
    <t>ブレイザー</t>
  </si>
  <si>
    <t>オークション &gt; ファッション &gt; キッズ、ベビーファッション &gt; ベビー服 &gt; トップス &gt; カットソー</t>
  </si>
  <si>
    <t>オークション &gt; ファッション &gt; レディースファッション &gt; アンサンブルニット &gt; アルバローザ</t>
  </si>
  <si>
    <t>オークション &gt; 自動車、オートバイ &gt; 中古車・新車 &gt; シボレー &gt; ブレイザー</t>
  </si>
  <si>
    <t>0,23000,2084293011,24210,2084007259,2084052139</t>
  </si>
  <si>
    <t>オークション &gt; ファッション &gt; キッズ、ベビーファッション &gt; ベビー服 &gt; トップス &gt; シャツ、ブラウス</t>
  </si>
  <si>
    <t>オークション &gt; ファッション &gt; レディースファッション &gt; アンサンブルニット &gt; アルマーニ</t>
  </si>
  <si>
    <t>オークション &gt; 自動車、オートバイ &gt; 中古車・新車 &gt; シボレー &gt; その他</t>
  </si>
  <si>
    <t>0,23000,2084293011,24210,2084007259,2084005309</t>
  </si>
  <si>
    <t>デュランゴ</t>
  </si>
  <si>
    <t>オークション &gt; ファッション &gt; キッズ、ベビーファッション &gt; ベビー服 &gt; トップス &gt; セーター</t>
  </si>
  <si>
    <t>オークション &gt; ファッション &gt; レディースファッション &gt; アンサンブルニット &gt; アンタイトル</t>
  </si>
  <si>
    <t>オークション &gt; 自動車、オートバイ &gt; 中古車・新車 &gt; ダッジ &gt; デュランゴ</t>
  </si>
  <si>
    <t>0,23000,2084293011,24210,2084007259,2084007262</t>
  </si>
  <si>
    <t>オークション &gt; ファッション &gt; キッズ、ベビーファッション &gt; ベビー服 &gt; トップス &gt; タンクトップ、キャミソール</t>
  </si>
  <si>
    <t>オークション &gt; ファッション &gt; レディースファッション &gt; アンサンブルニット &gt; イネド</t>
  </si>
  <si>
    <t>0,23000,2084293011,24210,2084007259,2084048451</t>
  </si>
  <si>
    <t>バン</t>
  </si>
  <si>
    <t>オークション &gt; 自動車、オートバイ &gt; 中古車・新車 &gt; ダッジ &gt; バン</t>
  </si>
  <si>
    <t>オークション &gt; ファッション &gt; レディースファッション &gt; アンサンブルニット &gt; インエ</t>
  </si>
  <si>
    <t>オークション &gt; ファッション &gt; キッズ、ベビーファッション &gt; ベビー服 &gt; トップス &gt; トレーナー</t>
  </si>
  <si>
    <t>0,23000,2084293011,24210,2084007259,2084007261</t>
  </si>
  <si>
    <t>マグナム</t>
  </si>
  <si>
    <t>オークション &gt; 自動車、オートバイ &gt; 中古車・新車 &gt; ダッジ &gt; マグナム</t>
  </si>
  <si>
    <t>オークション &gt; ファッション &gt; キッズ、ベビーファッション &gt; ベビー服 &gt; トップス &gt; パーカ</t>
  </si>
  <si>
    <t>オークション &gt; ファッション &gt; レディースファッション &gt; アンサンブルニット &gt; インディヴィ</t>
  </si>
  <si>
    <t>0,23000,2084293011,24210,2084007259,2084052820</t>
  </si>
  <si>
    <t>ラム</t>
  </si>
  <si>
    <t>オークション &gt; 自動車、オートバイ &gt; 中古車・新車 &gt; ダッジ &gt; ラム</t>
  </si>
  <si>
    <t>オークション &gt; 自動車、オートバイ &gt; 中古車・新車 &gt; ダッジ &gt; その他</t>
  </si>
  <si>
    <t>オークション &gt; ファッション &gt; レディースファッション &gt; アンサンブルニット &gt; エゴイスト</t>
  </si>
  <si>
    <t>オークション &gt; ファッション &gt; キッズ、ベビーファッション &gt; ベビー服 &gt; トップス &gt; ベスト</t>
  </si>
  <si>
    <t>0,23000,2084293011,24210,2084007259,2084007264</t>
  </si>
  <si>
    <t>オークション &gt; 自動車、オートバイ &gt; 中古車・新車 &gt; ビュイック &gt; リーガル</t>
  </si>
  <si>
    <t>オークション &gt; ファッション &gt; レディースファッション &gt; アンサンブルニット &gt; エックスガール</t>
  </si>
  <si>
    <t>オークション &gt; ファッション &gt; キッズ、ベビーファッション &gt; ベビー服 &gt; トップス &gt; ポロシャツ</t>
  </si>
  <si>
    <t>ロードマスター</t>
  </si>
  <si>
    <t>オークション &gt; 自動車、オートバイ &gt; 中古車・新車 &gt; ビュイック &gt; ロードマスター</t>
  </si>
  <si>
    <t>0,23000,2084293011,24210,2084007259,2084052148</t>
  </si>
  <si>
    <t>オークション &gt; 自動車、オートバイ &gt; 中古車・新車 &gt; ビュイック &gt; その他</t>
  </si>
  <si>
    <t>オークション &gt; ファッション &gt; レディースファッション &gt; アンサンブルニット &gt; エル</t>
  </si>
  <si>
    <t>女の子用</t>
  </si>
  <si>
    <t>オークション &gt; ファッション &gt; キッズ、ベビーファッション &gt; ベビー服 &gt; パーカ &gt; 女の子用</t>
  </si>
  <si>
    <t>0,23000,2084293011,24210,2084052820,2084052821</t>
  </si>
  <si>
    <t>F150</t>
  </si>
  <si>
    <t>オークション &gt; 自動車、オートバイ &gt; 中古車・新車 &gt; フォード &gt; F150</t>
  </si>
  <si>
    <t>オークション &gt; ファッション &gt; レディースファッション &gt; アンサンブルニット &gt; エルメス</t>
  </si>
  <si>
    <t>男の子用</t>
  </si>
  <si>
    <t>オークション &gt; ファッション &gt; キッズ、ベビーファッション &gt; ベビー服 &gt; パーカ &gt; 男の子用</t>
  </si>
  <si>
    <t>Ka</t>
  </si>
  <si>
    <t>0,23000,2084293011,24210,2084052820,2084052822</t>
  </si>
  <si>
    <t>オークション &gt; 自動車、オートバイ &gt; 中古車・新車 &gt; フォード &gt; Ka</t>
  </si>
  <si>
    <t>オークション &gt; ファッション &gt; レディースファッション &gt; アンサンブルニット &gt; オゾンコミュニティー</t>
  </si>
  <si>
    <t>オークション &gt; ファッション &gt; キッズ、ベビーファッション &gt; ベビー服 &gt; パーカ &gt; 男女兼用</t>
  </si>
  <si>
    <t>エクスプローラー</t>
  </si>
  <si>
    <t>0,23000,2084293011,24210,2084052820,2084053400</t>
  </si>
  <si>
    <t>オークション &gt; 自動車、オートバイ &gt; 中古車・新車 &gt; フォード &gt; エクスプローラー</t>
  </si>
  <si>
    <t>オークション &gt; ファッション &gt; キッズ、ベビーファッション &gt; ベビー服 &gt; パジャマ &gt; 女の子用</t>
  </si>
  <si>
    <t>0,23000,2084293011,24210,2084007277,2084053638</t>
  </si>
  <si>
    <t>オークション &gt; ファッション &gt; レディースファッション &gt; アンサンブルニット &gt; カパルア</t>
  </si>
  <si>
    <t>エクスプローラースポーツトラック</t>
  </si>
  <si>
    <t>オークション &gt; 自動車、オートバイ &gt; 中古車・新車 &gt; フォード &gt; エクスプローラースポーツトラック</t>
  </si>
  <si>
    <t>オークション &gt; ファッション &gt; キッズ、ベビーファッション &gt; ベビー服 &gt; パジャマ &gt; 男の子用</t>
  </si>
  <si>
    <t>0,23000,2084293011,24210,2084007277,2084053639</t>
  </si>
  <si>
    <t>オークション &gt; ファッション &gt; レディースファッション &gt; アンサンブルニット &gt; ギャップ</t>
  </si>
  <si>
    <t>エクスペディション</t>
  </si>
  <si>
    <t>オークション &gt; 自動車、オートバイ &gt; 中古車・新車 &gt; フォード &gt; エクスペディション</t>
  </si>
  <si>
    <t>オークション &gt; ファッション &gt; キッズ、ベビーファッション &gt; ベビー服 &gt; パジャマ &gt; 男女兼用</t>
  </si>
  <si>
    <t>0,23000,2084293011,24210,2084007277,2084053640</t>
  </si>
  <si>
    <t>オークション &gt; ファッション &gt; レディースファッション &gt; アンサンブルニット &gt; クリスチャン・ディオール</t>
  </si>
  <si>
    <t>スーツ、セットアップ</t>
  </si>
  <si>
    <t>オークション &gt; ファッション &gt; キッズ、ベビーファッション &gt; ベビー服 &gt; フォーマル &gt; スーツ、セットアップ</t>
  </si>
  <si>
    <t>0,23000,2084293011,24210,2084007317,2084052927</t>
  </si>
  <si>
    <t>エコノライン</t>
  </si>
  <si>
    <t>オークション &gt; 自動車、オートバイ &gt; 中古車・新車 &gt; フォード &gt; エコノライン</t>
  </si>
  <si>
    <t>ベビードレス</t>
  </si>
  <si>
    <t>オークション &gt; ファッション &gt; レディースファッション &gt; アンサンブルニット &gt; クレージュ</t>
  </si>
  <si>
    <t>オークション &gt; ファッション &gt; キッズ、ベビーファッション &gt; ベビー服 &gt; フォーマル &gt; ベビードレス</t>
  </si>
  <si>
    <t>0,23000,2084293011,24210,2084007317,2084005305</t>
  </si>
  <si>
    <t>エスケープ</t>
  </si>
  <si>
    <t>オークション &gt; 自動車、オートバイ &gt; 中古車・新車 &gt; フォード &gt; エスケープ</t>
  </si>
  <si>
    <t>オークション &gt; ファッション &gt; レディースファッション &gt; アンサンブルニット &gt; グッチ</t>
  </si>
  <si>
    <t>和服、祝着</t>
  </si>
  <si>
    <t>オークション &gt; ファッション &gt; キッズ、ベビーファッション &gt; ベビー服 &gt; フォーマル &gt; 和服、祝着</t>
  </si>
  <si>
    <t>クーガ</t>
  </si>
  <si>
    <t>0,23000,2084293011,24210,2084007317,2084007319</t>
  </si>
  <si>
    <t>オークション &gt; 自動車、オートバイ &gt; 中古車・新車 &gt; フォード &gt; クーガ</t>
  </si>
  <si>
    <t>オークション &gt; ファッション &gt; レディースファッション &gt; アンサンブルニット &gt; ココルル</t>
  </si>
  <si>
    <t>フォーマルシューズ</t>
  </si>
  <si>
    <t>オークション &gt; ファッション &gt; キッズ、ベビーファッション &gt; ベビー服 &gt; フォーマル &gt; フォーマルシューズ</t>
  </si>
  <si>
    <t>オークション &gt; 自動車、オートバイ &gt; 中古車・新車 &gt; フォード &gt; サンダーバード</t>
  </si>
  <si>
    <t>0,23000,2084293011,24210,2084007317,2084053762</t>
  </si>
  <si>
    <t>パンツ、ズボン</t>
  </si>
  <si>
    <t>オークション &gt; ファッション &gt; キッズ、ベビーファッション &gt; ベビー服 &gt; ボトムス &gt; パンツ、ズボン</t>
  </si>
  <si>
    <t>0,23000,2084293011,24210,2084007265,2084007266</t>
  </si>
  <si>
    <t>オークション &gt; ファッション &gt; レディースファッション &gt; アンサンブルニット &gt; コム サ デ モード</t>
  </si>
  <si>
    <t>スペクトロン</t>
  </si>
  <si>
    <t>オーバーオール</t>
  </si>
  <si>
    <t>オークション &gt; 自動車、オートバイ &gt; 中古車・新車 &gt; フォード &gt; スペクトロン</t>
  </si>
  <si>
    <t>オークション &gt; ファッション &gt; キッズ、ベビーファッション &gt; ベビー服 &gt; ボトムス &gt; オーバーオール</t>
  </si>
  <si>
    <t>0,23000,2084293011,24210,2084007265,2084005307</t>
  </si>
  <si>
    <t>テルスター</t>
  </si>
  <si>
    <t>オークション &gt; ファッション &gt; レディースファッション &gt; アンサンブルニット &gt; コム デ ギャルソン</t>
  </si>
  <si>
    <t>キュロット</t>
  </si>
  <si>
    <t>オークション &gt; 自動車、オートバイ &gt; 中古車・新車 &gt; フォード &gt; テルスター</t>
  </si>
  <si>
    <t>オークション &gt; ファッション &gt; キッズ、ベビーファッション &gt; ベビー服 &gt; ボトムス &gt; キュロット</t>
  </si>
  <si>
    <t>0,23000,2084293011,24210,2084007265,2084052550</t>
  </si>
  <si>
    <t>トーラス</t>
  </si>
  <si>
    <t>ショートパンツ</t>
  </si>
  <si>
    <t>オークション &gt; 自動車、オートバイ &gt; 中古車・新車 &gt; フォード &gt; トーラス</t>
  </si>
  <si>
    <t>オークション &gt; ファッション &gt; キッズ、ベビーファッション &gt; ベビー服 &gt; ボトムス &gt; ショートパンツ</t>
  </si>
  <si>
    <t>オークション &gt; ファッション &gt; レディースファッション &gt; アンサンブルニット &gt; シップス</t>
  </si>
  <si>
    <t>0,23000,2084293011,24210,2084007265,2084007267</t>
  </si>
  <si>
    <t>フィエスタ</t>
  </si>
  <si>
    <t>ジーンズ</t>
  </si>
  <si>
    <t>オークション &gt; 自動車、オートバイ &gt; 中古車・新車 &gt; フォード &gt; フィエスタ</t>
  </si>
  <si>
    <t>オークション &gt; ファッション &gt; キッズ、ベビーファッション &gt; ベビー服 &gt; ボトムス &gt; ジーンズ</t>
  </si>
  <si>
    <t>オークション &gt; ファッション &gt; レディースファッション &gt; アンサンブルニット &gt; シャネル</t>
  </si>
  <si>
    <t>0,23000,2084293011,24210,2084007265,2084052391</t>
  </si>
  <si>
    <t>フェスティバ</t>
  </si>
  <si>
    <t>スカート</t>
  </si>
  <si>
    <t>オークション &gt; 自動車、オートバイ &gt; 中古車・新車 &gt; フォード &gt; フェスティバ</t>
  </si>
  <si>
    <t>オークション &gt; ファッション &gt; キッズ、ベビーファッション &gt; ベビー服 &gt; ボトムス &gt; スカート</t>
  </si>
  <si>
    <t>オークション &gt; ファッション &gt; レディースファッション &gt; アンサンブルニット &gt; ジルスチュアート</t>
  </si>
  <si>
    <t>0,23000,2084293011,24210,2084007265,2084005313</t>
  </si>
  <si>
    <t>フェスティバミニワゴン</t>
  </si>
  <si>
    <t>スパッツ、カルソン</t>
  </si>
  <si>
    <t>オークション &gt; 自動車、オートバイ &gt; 中古車・新車 &gt; フォード &gt; フェスティバミニワゴン</t>
  </si>
  <si>
    <t>オークション &gt; ファッション &gt; キッズ、ベビーファッション &gt; ベビー服 &gt; ボトムス &gt; スパッツ、カルソン</t>
  </si>
  <si>
    <t>オークション &gt; ファッション &gt; レディースファッション &gt; アンサンブルニット &gt; ズッカ</t>
  </si>
  <si>
    <t>0,23000,2084293011,24210,2084007265,2084007268</t>
  </si>
  <si>
    <t>フォーカス</t>
  </si>
  <si>
    <t>チノパン</t>
  </si>
  <si>
    <t>オークション &gt; 自動車、オートバイ &gt; 中古車・新車 &gt; フォード &gt; フォーカス</t>
  </si>
  <si>
    <t>オークション &gt; ファッション &gt; キッズ、ベビーファッション &gt; ベビー服 &gt; ボトムス &gt; チノパン</t>
  </si>
  <si>
    <t>0,23000,2084293011,24210,2084007265,2084052492</t>
  </si>
  <si>
    <t>オークション &gt; ファッション &gt; レディースファッション &gt; アンサンブルニット &gt; セシルマクビー</t>
  </si>
  <si>
    <t>フリーダ</t>
  </si>
  <si>
    <t>ロンパース</t>
  </si>
  <si>
    <t>オークション &gt; 自動車、オートバイ &gt; 中古車・新車 &gt; フォード &gt; フリーダ</t>
  </si>
  <si>
    <t>オークション &gt; ファッション &gt; キッズ、ベビーファッション &gt; ベビー服 &gt; ボトムス &gt; ロンパース</t>
  </si>
  <si>
    <t>0,23000,2084293011,24210,2084007265,2084007278</t>
  </si>
  <si>
    <t>オークション &gt; ファッション &gt; レディースファッション &gt; アンサンブルニット &gt; ダナ･キャラン,DKNY</t>
  </si>
  <si>
    <t>ブロンコ</t>
  </si>
  <si>
    <t>オークション &gt; 自動車、オートバイ &gt; 中古車・新車 &gt; フォード &gt; ブロンコ</t>
  </si>
  <si>
    <t>オークション &gt; ファッション &gt; キッズ、ベビーファッション &gt; ベビー服 &gt; ボトムス &gt; ワンピース</t>
  </si>
  <si>
    <t>0,23000,2084293011,24210,2084007265,2084007271</t>
  </si>
  <si>
    <t>オークション &gt; ファッション &gt; レディースファッション &gt; アンサンブルニット &gt; ツモリチサト</t>
  </si>
  <si>
    <t>カバーオール、つなぎ</t>
  </si>
  <si>
    <t>プローブ</t>
  </si>
  <si>
    <t>オークション &gt; ファッション &gt; キッズ、ベビーファッション &gt; ベビー服 &gt; ボトムス &gt; カバーオール、つなぎ</t>
  </si>
  <si>
    <t>オークション &gt; 自動車、オートバイ &gt; 中古車・新車 &gt; フォード &gt; プローブ</t>
  </si>
  <si>
    <t>オークション &gt; ファッション &gt; レディースファッション &gt; アンサンブルニット &gt; ナイスクラップ</t>
  </si>
  <si>
    <t>0,23000,2084293011,24210,2084007265,2084007272</t>
  </si>
  <si>
    <t>マスタング</t>
  </si>
  <si>
    <t>オークション &gt; 自動車、オートバイ &gt; 中古車・新車 &gt; フォード &gt; マスタング</t>
  </si>
  <si>
    <t>オークション &gt; ファッション &gt; キッズ、ベビーファッション &gt; ベビー服 &gt; ボトムス &gt; スーツ、セットアップ</t>
  </si>
  <si>
    <t>オークション &gt; ファッション &gt; レディースファッション &gt; アンサンブルニット &gt; バーバリー</t>
  </si>
  <si>
    <t>0,23000,2084293011,24210,2084007265,2084007274</t>
  </si>
  <si>
    <t>モンデオ</t>
  </si>
  <si>
    <t>オークション &gt; ファッション &gt; キッズ、ベビーファッション &gt; ベビー服 &gt; ボトムス &gt; その他</t>
  </si>
  <si>
    <t>オークション &gt; 自動車、オートバイ &gt; 中古車・新車 &gt; フォード &gt; モンデオ</t>
  </si>
  <si>
    <t>0,23000,2084293011,24210,2084007265,2084042011</t>
  </si>
  <si>
    <t>オークション &gt; ファッション &gt; レディースファッション &gt; アンサンブルニット &gt; ヒステリックグラマー</t>
  </si>
  <si>
    <t>70（～74cm）以下</t>
  </si>
  <si>
    <t>オークション &gt; ファッション &gt; キッズ、ベビーファッション &gt; ベビー服 &gt; ワンピース &gt; 70（～74cm）以下</t>
  </si>
  <si>
    <t>0,23000,2084293011,24210,2084007271,2084053619</t>
  </si>
  <si>
    <t>オークション &gt; 自動車、オートバイ &gt; 中古車・新車 &gt; フォード &gt; その他</t>
  </si>
  <si>
    <t>80（75～84cm）</t>
  </si>
  <si>
    <t>オークション &gt; ファッション &gt; キッズ、ベビーファッション &gt; ベビー服 &gt; ワンピース &gt; 80（75～84cm）</t>
  </si>
  <si>
    <t>オークション &gt; ファッション &gt; レディースファッション &gt; アンサンブルニット &gt; ビームス</t>
  </si>
  <si>
    <t>0,23000,2084293011,24210,2084007271,2084053620</t>
  </si>
  <si>
    <t>グランダム</t>
  </si>
  <si>
    <t>オークション &gt; 自動車、オートバイ &gt; 中古車・新車 &gt; ポンテアック &gt; グランダム</t>
  </si>
  <si>
    <t>90（85～94cm）</t>
  </si>
  <si>
    <t>オークション &gt; ファッション &gt; キッズ、ベビーファッション &gt; ベビー服 &gt; ワンピース &gt; 90（85～94cm）</t>
  </si>
  <si>
    <t>ファイアーバードトランザム</t>
  </si>
  <si>
    <t>0,23000,2084293011,24210,2084007271,2084053621</t>
  </si>
  <si>
    <t>オークション &gt; ファッション &gt; レディースファッション &gt; アンサンブルニット &gt; ビバユー</t>
  </si>
  <si>
    <t>オークション &gt; 自動車、オートバイ &gt; 中古車・新車 &gt; ポンテアック &gt; ファイアーバードトランザム</t>
  </si>
  <si>
    <t>オークション &gt; 自動車、オートバイ &gt; 中古車・新車 &gt; ポンテアック &gt; その他</t>
  </si>
  <si>
    <t>オークション &gt; ファッション &gt; レディースファッション &gt; アンサンブルニット &gt; ピンキー＆ダイアン</t>
  </si>
  <si>
    <t>MKX</t>
  </si>
  <si>
    <t>オークション &gt; 自動車、オートバイ &gt; 中古車・新車 &gt; リンカーン &gt; MKX</t>
  </si>
  <si>
    <t>オークション &gt; ファッション &gt; キッズ、ベビーファッション &gt; ベビー服 &gt; 甚平 &gt; 女の子用</t>
  </si>
  <si>
    <t>0,23000,2084293011,24210,2084051666,2084051685</t>
  </si>
  <si>
    <t>オークション &gt; ファッション &gt; レディースファッション &gt; アンサンブルニット &gt; ピンクハウス</t>
  </si>
  <si>
    <t>コンチネンタル</t>
  </si>
  <si>
    <t>オークション &gt; 自動車、オートバイ &gt; 中古車・新車 &gt; リンカーン &gt; コンチネンタル</t>
  </si>
  <si>
    <t>オークション &gt; ファッション &gt; レディースファッション &gt; アンサンブルニット &gt; フェンディ</t>
  </si>
  <si>
    <t>タウンカー</t>
  </si>
  <si>
    <t>オークション &gt; 自動車、オートバイ &gt; 中古車・新車 &gt; リンカーン &gt; タウンカー</t>
  </si>
  <si>
    <t>オークション &gt; ファッション &gt; レディースファッション &gt; アンサンブルニット &gt; プライベートレーベル</t>
  </si>
  <si>
    <t>オークション &gt; ファッション &gt; キッズ、ベビーファッション &gt; ベビー服 &gt; 甚平 &gt; 男の子用</t>
  </si>
  <si>
    <t>ナビゲーター</t>
  </si>
  <si>
    <t>オークション &gt; 自動車、オートバイ &gt; 中古車・新車 &gt; リンカーン &gt; ナビゲーター</t>
  </si>
  <si>
    <t>0,23000,2084293011,24210,2084051666,2084051684</t>
  </si>
  <si>
    <t>オークション &gt; ファッション &gt; キッズ、ベビーファッション &gt; ベビーシューズ &gt; スニーカー</t>
  </si>
  <si>
    <t>オークション &gt; ファッション &gt; レディースファッション &gt; アンサンブルニット &gt; プラダ</t>
  </si>
  <si>
    <t>0,23000,2084293011,2084005310,2084053760</t>
  </si>
  <si>
    <t>オークション &gt; 自動車、オートバイ &gt; 中古車・新車 &gt; リンカーン &gt; その他</t>
  </si>
  <si>
    <t>サンダル</t>
  </si>
  <si>
    <t>JM</t>
  </si>
  <si>
    <t>オークション &gt; ファッション &gt; キッズ、ベビーファッション &gt; ベビーシューズ &gt; サンダル</t>
  </si>
  <si>
    <t>オークション &gt; 自動車、オートバイ &gt; 中古車・新車 &gt; ヒュンダイ &gt; JM</t>
  </si>
  <si>
    <t>0,23000,2084293011,2084005310,2084053761</t>
  </si>
  <si>
    <t>オークション &gt; ファッション &gt; レディースファッション &gt; アンサンブルニット &gt; ベネトン</t>
  </si>
  <si>
    <t>ストラップシューズ</t>
  </si>
  <si>
    <t>TB</t>
  </si>
  <si>
    <t>オークション &gt; ファッション &gt; キッズ、ベビーファッション &gt; ベビーシューズ &gt; ストラップシューズ</t>
  </si>
  <si>
    <t>オークション &gt; 自動車、オートバイ &gt; 中古車・新車 &gt; ヒュンダイ &gt; TB</t>
  </si>
  <si>
    <t>0,23000,2084293011,2084005310,2084053769</t>
  </si>
  <si>
    <t>オークション &gt; ファッション &gt; レディースファッション &gt; アンサンブルニット &gt; マウジー</t>
  </si>
  <si>
    <t>スリップオン、キャンバスシューズ</t>
  </si>
  <si>
    <t>エラントラ</t>
  </si>
  <si>
    <t>オークション &gt; ファッション &gt; キッズ、ベビーファッション &gt; ベビーシューズ &gt; スリップオン、キャンバスシューズ</t>
  </si>
  <si>
    <t>オークション &gt; 自動車、オートバイ &gt; 中古車・新車 &gt; ヒュンダイ &gt; エラントラ</t>
  </si>
  <si>
    <t>0,23000,2084293011,2084005310,2084053790</t>
  </si>
  <si>
    <t>オークション &gt; ファッション &gt; レディースファッション &gt; アンサンブルニット &gt; ミジェーン</t>
  </si>
  <si>
    <t>オークション &gt; 自動車、オートバイ &gt; 中古車・新車 &gt; ヒュンダイ &gt; サンタフェ</t>
  </si>
  <si>
    <t>オークション &gt; ファッション &gt; キッズ、ベビーファッション &gt; ベビーシューズ &gt; フォーマルシューズ</t>
  </si>
  <si>
    <t>0,23000,2084293011,2084005310,2084053762</t>
  </si>
  <si>
    <t>オークション &gt; ファッション &gt; レディースファッション &gt; アンサンブルニット &gt; ミッシェルクラン</t>
  </si>
  <si>
    <t>トラジェ</t>
  </si>
  <si>
    <t>オークション &gt; 自動車、オートバイ &gt; 中古車・新車 &gt; ヒュンダイ &gt; トラジェ</t>
  </si>
  <si>
    <t>オークション &gt; ファッション &gt; キッズ、ベビーファッション &gt; ベビーシューズ &gt; ブーツ</t>
  </si>
  <si>
    <t>ヒュンダイクーペ</t>
  </si>
  <si>
    <t>オークション &gt; 自動車、オートバイ &gt; 中古車・新車 &gt; ヒュンダイ &gt; ヒュンダイクーペ</t>
  </si>
  <si>
    <t>0,23000,2084293011,2084005310,2084053764</t>
  </si>
  <si>
    <t>オークション &gt; ファッション &gt; レディースファッション &gt; アンサンブルニット &gt; ラブボート</t>
  </si>
  <si>
    <t>ローファー、モカシン</t>
  </si>
  <si>
    <t>オークション &gt; ファッション &gt; キッズ、ベビーファッション &gt; ベビーシューズ &gt; ローファー、モカシン</t>
  </si>
  <si>
    <t>オークション &gt; 自動車、オートバイ &gt; 中古車・新車 &gt; ヒュンダイ &gt; その他</t>
  </si>
  <si>
    <t>0,23000,2084293011,2084005310,2084053763</t>
  </si>
  <si>
    <t>オークション &gt; ファッション &gt; レディースファッション &gt; アンサンブルニット &gt; ラルフローレン</t>
  </si>
  <si>
    <t>トヨタ</t>
  </si>
  <si>
    <t>オークション &gt; 自動車、オートバイ &gt; 部品取り車 &gt; トヨタ</t>
  </si>
  <si>
    <t>長靴</t>
  </si>
  <si>
    <t>オークション &gt; ファッション &gt; キッズ、ベビーファッション &gt; ベビーシューズ &gt; 長靴</t>
  </si>
  <si>
    <t>0,23000,2084293011,2084005310,2084053765</t>
  </si>
  <si>
    <t>オークション &gt; ファッション &gt; レディースファッション &gt; アンサンブルニット &gt; ロペ</t>
  </si>
  <si>
    <t>オークション &gt; ファッション &gt; キッズ、ベビーファッション &gt; ベビー服 &gt; 水着 &gt; 女の子用</t>
  </si>
  <si>
    <t>0,23000,2084293011,24210,2084051832,2084051876</t>
  </si>
  <si>
    <t>オークション &gt; 自動車、オートバイ &gt; 部品取り車 &gt; スズキ</t>
  </si>
  <si>
    <t>オークション &gt; ファッション &gt; キッズ、ベビーファッション &gt; ベビー服 &gt; 水着 &gt; 男の子用</t>
  </si>
  <si>
    <t>オークション &gt; ファッション &gt; レディースファッション &gt; アンサンブルニット &gt; ヴィヴィアン ウエストウッド</t>
  </si>
  <si>
    <t>スバル</t>
  </si>
  <si>
    <t>0,23000,2084293011,24210,2084051832,2084051875</t>
  </si>
  <si>
    <t>オークション &gt; 自動車、オートバイ &gt; 部品取り車 &gt; スバル</t>
  </si>
  <si>
    <t>おむつ、トイレ用品</t>
  </si>
  <si>
    <t>オークション &gt; ベビー用品 &gt; おむつ、トイレ用品</t>
  </si>
  <si>
    <t>0,24202,2084042546</t>
  </si>
  <si>
    <t>オークション &gt; ファッション &gt; レディースファッション &gt; アンサンブルニット &gt; 組曲</t>
  </si>
  <si>
    <t>ダイハツ</t>
  </si>
  <si>
    <t>オークション &gt; 自動車、オートバイ &gt; 部品取り車 &gt; ダイハツ</t>
  </si>
  <si>
    <t>オークション &gt; ベビー用品 &gt; おもちゃ</t>
  </si>
  <si>
    <t>ツインニット、アンサンブルニット</t>
  </si>
  <si>
    <t>0,24202,2084007247</t>
  </si>
  <si>
    <t>オークション &gt; ファッション &gt; レディースファッション &gt; ニット、セーター &gt; ツインニット、アンサンブルニット</t>
  </si>
  <si>
    <t>オークション &gt; 自動車、オートバイ &gt; 部品取り車 &gt; ホンダ</t>
  </si>
  <si>
    <t>セーフティグッズ</t>
  </si>
  <si>
    <t>マツダ</t>
  </si>
  <si>
    <t>袖なし、ノースリーブ</t>
  </si>
  <si>
    <t>オークション &gt; ベビー用品 &gt; セーフティグッズ</t>
  </si>
  <si>
    <t>オークション &gt; 自動車、オートバイ &gt; 部品取り車 &gt; マツダ</t>
  </si>
  <si>
    <t>オークション &gt; ファッション &gt; レディースファッション &gt; ニット、セーター &gt; 袖なし、ノースリーブ</t>
  </si>
  <si>
    <t>0,24202,2084008387</t>
  </si>
  <si>
    <t>三菱</t>
  </si>
  <si>
    <t>バス、沐浴用品</t>
  </si>
  <si>
    <t>オークション &gt; 自動車、オートバイ &gt; 部品取り車 &gt; 三菱</t>
  </si>
  <si>
    <t>オークション &gt; ベビー用品 &gt; バス、沐浴用品</t>
  </si>
  <si>
    <t>長袖</t>
  </si>
  <si>
    <t>0,24202,2084008379</t>
  </si>
  <si>
    <t>オークション &gt; ファッション &gt; レディースファッション &gt; ニット、セーター &gt; 長袖</t>
  </si>
  <si>
    <t>日産</t>
  </si>
  <si>
    <t>オークション &gt; 自動車、オートバイ &gt; 部品取り車 &gt; 日産</t>
  </si>
  <si>
    <t>ベビー家具</t>
  </si>
  <si>
    <t>オークション &gt; ベビー用品 &gt; ベビー家具</t>
  </si>
  <si>
    <t>0,24202,2084008393</t>
  </si>
  <si>
    <t>半袖</t>
  </si>
  <si>
    <t>BMW</t>
  </si>
  <si>
    <t>オークション &gt; ファッション &gt; レディースファッション &gt; ニット、セーター &gt; 半袖</t>
  </si>
  <si>
    <t>オークション &gt; 自動車、オートバイ &gt; 部品取り車 &gt; BMW</t>
  </si>
  <si>
    <t>ベビー服、マタニティウエア</t>
  </si>
  <si>
    <t>オークション &gt; ベビー用品 &gt; ベビー服、マタニティウエア</t>
  </si>
  <si>
    <t>0,24202,24210</t>
  </si>
  <si>
    <t>その他の袖丈</t>
  </si>
  <si>
    <t>メルセデス・ベンツ</t>
  </si>
  <si>
    <t>オークション &gt; ファッション &gt; レディースファッション &gt; ニット、セーター &gt; その他の袖丈</t>
  </si>
  <si>
    <t>オークション &gt; 自動車、オートバイ &gt; 部品取り車 &gt; メルセデス・ベンツ</t>
  </si>
  <si>
    <t>ベビー用寝具</t>
  </si>
  <si>
    <t>オークション &gt; ベビー用品 &gt; ベビー用寝具</t>
  </si>
  <si>
    <t>0,24202,2084006356</t>
  </si>
  <si>
    <t>オークション &gt; ファッション &gt; レディースファッション &gt; ベスト &gt; XSサイズ以下</t>
  </si>
  <si>
    <t>オークション &gt; 自動車、オートバイ &gt; 部品取り車 &gt; その他</t>
  </si>
  <si>
    <t>外出、移動用品</t>
  </si>
  <si>
    <t>オークション &gt; ベビー用品 &gt; 外出、移動用品</t>
  </si>
  <si>
    <t>0,24202,2084042548</t>
  </si>
  <si>
    <t>ダンプ</t>
  </si>
  <si>
    <t>オークション &gt; ファッション &gt; レディースファッション &gt; ベスト &gt; Sサイズ</t>
  </si>
  <si>
    <t>オークション &gt; 自動車、オートバイ &gt; トラック、ダンプ、建設機械 &gt; 車体 &gt; ダンプ</t>
  </si>
  <si>
    <t>行事、記念品</t>
  </si>
  <si>
    <t>オークション &gt; ファッション &gt; レディースファッション &gt; ベスト &gt; Mサイズ</t>
  </si>
  <si>
    <t>オークション &gt; 自動車、オートバイ &gt; トラック、ダンプ、建設機械 &gt; 車体 &gt; トラック</t>
  </si>
  <si>
    <t>オークション &gt; ベビー用品 &gt; 行事、記念品</t>
  </si>
  <si>
    <t>0,24202,2084216344</t>
  </si>
  <si>
    <t>オークション &gt; ファッション &gt; レディースファッション &gt; ベスト &gt; Lサイズ</t>
  </si>
  <si>
    <t>建設機械、重機</t>
  </si>
  <si>
    <t>児童書、絵本</t>
  </si>
  <si>
    <t>オークション &gt; 自動車、オートバイ &gt; トラック、ダンプ、建設機械 &gt; 車体 &gt; 建設機械、重機</t>
  </si>
  <si>
    <t>オークション &gt; ベビー用品 &gt; 児童書、絵本</t>
  </si>
  <si>
    <t>0,24202,21624</t>
  </si>
  <si>
    <t>オークション &gt; ファッション &gt; レディースファッション &gt; ベスト &gt; XLサイズ以上</t>
  </si>
  <si>
    <t>授乳、食事用品</t>
  </si>
  <si>
    <t>オークション &gt; ベビー用品 &gt; 授乳、食事用品</t>
  </si>
  <si>
    <t>0,24202,2084042550</t>
  </si>
  <si>
    <t>オークション &gt; ファッション &gt; レディースファッション &gt; ベスト &gt; ダウンベスト</t>
  </si>
  <si>
    <t>オークション &gt; 自動車、オートバイ &gt; オートバイ &gt; オートバイ車体 &gt; ホンダ</t>
  </si>
  <si>
    <t>オークション &gt; ベビー用品 &gt; ハンドメイド</t>
  </si>
  <si>
    <t>0,24202,2084240631</t>
  </si>
  <si>
    <t>オークション &gt; ファッション &gt; レディースファッション &gt; ベスト &gt; アーペーセー</t>
  </si>
  <si>
    <t>オークション &gt; 自動車、オートバイ &gt; オートバイ &gt; オートバイ車体 &gt; ヤマハ</t>
  </si>
  <si>
    <t>ベビー用品レンタル</t>
  </si>
  <si>
    <t>オークション &gt; ベビー用品 &gt; ベビー用品レンタル</t>
  </si>
  <si>
    <t>0,24202,2084307799</t>
  </si>
  <si>
    <t>オークション &gt; ファッション &gt; レディースファッション &gt; ベスト &gt; アニエスb.</t>
  </si>
  <si>
    <t>オークション &gt; 自動車、オートバイ &gt; オートバイ &gt; オートバイ車体 &gt; スズキ</t>
  </si>
  <si>
    <t>オークション &gt; ベビー用品 &gt; その他</t>
  </si>
  <si>
    <t>0,24202,24226</t>
  </si>
  <si>
    <t>オークション &gt; ファッション &gt; レディースファッション &gt; ベスト &gt; アルバローザ</t>
  </si>
  <si>
    <t>オークション &gt; 自動車、オートバイ &gt; オートバイ &gt; オートバイ車体 &gt; カワサキ</t>
  </si>
  <si>
    <t>オークション &gt; ファッション &gt; レディースファッション &gt; ベスト &gt; アルマーニ</t>
  </si>
  <si>
    <t>オークション &gt; 自動車、オートバイ &gt; オートバイ &gt; オートバイ車体 &gt; ハーレーダビッドソン</t>
  </si>
  <si>
    <t>オークション &gt; ファッション &gt; レディースファッション &gt; ベスト &gt; アンタイトル</t>
  </si>
  <si>
    <t>ビューエル</t>
  </si>
  <si>
    <t>オークション &gt; 自動車、オートバイ &gt; オートバイ &gt; オートバイ車体 &gt; ビューエル</t>
  </si>
  <si>
    <t>オークション &gt; ファッション &gt; レディースファッション &gt; マタニティウエア &gt; インナーウエア</t>
  </si>
  <si>
    <t>オークション &gt; ファッション &gt; レディースファッション &gt; ベスト &gt; イネド</t>
  </si>
  <si>
    <t>オークション &gt; 自動車、オートバイ &gt; オートバイ &gt; オートバイ車体 &gt; BMW</t>
  </si>
  <si>
    <t>オークション &gt; ファッション &gt; レディースファッション &gt; マタニティウエア &gt; トップス</t>
  </si>
  <si>
    <t>オークション &gt; ファッション &gt; レディースファッション &gt; ベスト &gt; インエ</t>
  </si>
  <si>
    <t>オークション &gt; ファッション &gt; レディースファッション &gt; ベスト &gt; インディヴィ</t>
  </si>
  <si>
    <t>パジャマ</t>
  </si>
  <si>
    <t>ドゥカティ</t>
  </si>
  <si>
    <t>オークション &gt; ファッション &gt; レディースファッション &gt; マタニティウエア &gt; パジャマ</t>
  </si>
  <si>
    <t>オークション &gt; 自動車、オートバイ &gt; オートバイ &gt; オートバイ車体 &gt; ドゥカティ</t>
  </si>
  <si>
    <t>オークション &gt; ファッション &gt; レディースファッション &gt; ベスト &gt; エゴイスト</t>
  </si>
  <si>
    <t>モト・グッツィ</t>
  </si>
  <si>
    <t>オークション &gt; ファッション &gt; レディースファッション &gt; マタニティウエア &gt; ボトムス</t>
  </si>
  <si>
    <t>オークション &gt; 自動車、オートバイ &gt; オートバイ &gt; オートバイ車体 &gt; モト・グッツィ</t>
  </si>
  <si>
    <t>オークション &gt; ファッション &gt; レディースファッション &gt; ベスト &gt; エックスガール</t>
  </si>
  <si>
    <t>アプリリア</t>
  </si>
  <si>
    <t>オークション &gt; ファッション &gt; レディースファッション &gt; マタニティウエア &gt; ワンピース</t>
  </si>
  <si>
    <t>オークション &gt; 自動車、オートバイ &gt; オートバイ &gt; オートバイ車体 &gt; アプリリア</t>
  </si>
  <si>
    <t>オークション &gt; ファッション &gt; レディースファッション &gt; ベスト &gt; エル</t>
  </si>
  <si>
    <t>ベスパ</t>
  </si>
  <si>
    <t>オークション &gt; ファッション &gt; レディースファッション &gt; マタニティウエア &gt; その他</t>
  </si>
  <si>
    <t>オークション &gt; 自動車、オートバイ &gt; オートバイ &gt; オートバイ車体 &gt; ベスパ</t>
  </si>
  <si>
    <t>オークション &gt; ファッション &gt; レディースファッション &gt; ベスト &gt; エルメス</t>
  </si>
  <si>
    <t>防水シーツ</t>
  </si>
  <si>
    <t>オークション &gt; 住まい、インテリア &gt; 家庭用品 &gt; 寝具 &gt; ベビー用 &gt; シーツ、カバー &gt; 防水シーツ</t>
  </si>
  <si>
    <t>0,24198,42160,2084006343,2084006356,2084006368,2084006377</t>
  </si>
  <si>
    <t>ピアッジオ</t>
  </si>
  <si>
    <t>オークション &gt; 自動車、オートバイ &gt; オートバイ &gt; オートバイ車体 &gt; ピアッジオ</t>
  </si>
  <si>
    <t>オークション &gt; 住まい、インテリア &gt; 家庭用品 &gt; 寝具 &gt; ベビー用 &gt; シーツ、カバー &gt; その他</t>
  </si>
  <si>
    <t>オークション &gt; ファッション &gt; レディースファッション &gt; ベスト &gt; オゾンコミュニティー</t>
  </si>
  <si>
    <t>0,24198,42160,2084006343,2084006356,2084006368,2084006378</t>
  </si>
  <si>
    <t>掛け布団</t>
  </si>
  <si>
    <t>オークション &gt; 住まい、インテリア &gt; 家庭用品 &gt; 寝具 &gt; ベビー用 &gt; 布団 &gt; 掛け布団</t>
  </si>
  <si>
    <t>0,24198,42160,2084006343,2084006356,2084006367,2084006373</t>
  </si>
  <si>
    <t>ビモータ</t>
  </si>
  <si>
    <t>オークション &gt; 自動車、オートバイ &gt; オートバイ &gt; オートバイ車体 &gt; ビモータ</t>
  </si>
  <si>
    <t>オークション &gt; ファッション &gt; レディースファッション &gt; ベスト &gt; カパルア</t>
  </si>
  <si>
    <t>肌布団</t>
  </si>
  <si>
    <t>オークション &gt; 住まい、インテリア &gt; 家庭用品 &gt; 寝具 &gt; ベビー用 &gt; 布団 &gt; 肌布団</t>
  </si>
  <si>
    <t>MV アグスタ</t>
  </si>
  <si>
    <t>オークション &gt; 自動車、オートバイ &gt; オートバイ &gt; オートバイ車体 &gt; MV アグスタ</t>
  </si>
  <si>
    <t>0,24198,42160,2084006343,2084006356,2084006367,2084006376</t>
  </si>
  <si>
    <t>オークション &gt; ファッション &gt; レディースファッション &gt; ベスト &gt; ギャップ</t>
  </si>
  <si>
    <t>トライアンフ</t>
  </si>
  <si>
    <t>敷布団</t>
  </si>
  <si>
    <t>オークション &gt; 自動車、オートバイ &gt; オートバイ &gt; オートバイ車体 &gt; トライアンフ</t>
  </si>
  <si>
    <t>オークション &gt; 住まい、インテリア &gt; 家庭用品 &gt; 寝具 &gt; ベビー用 &gt; 布団 &gt; 敷布団</t>
  </si>
  <si>
    <t>0,24198,42160,2084006343,2084006356,2084006367,2084006374</t>
  </si>
  <si>
    <t>KTM</t>
  </si>
  <si>
    <t>オークション &gt; ファッション &gt; レディースファッション &gt; ベスト &gt; クリスチャン・ディオール</t>
  </si>
  <si>
    <t>オークション &gt; 自動車、オートバイ &gt; オートバイ &gt; オートバイ車体 &gt; KTM</t>
  </si>
  <si>
    <t>オークション &gt; 住まい、インテリア &gt; 家庭用品 &gt; 寝具 &gt; ベビー用 &gt; 布団 &gt; その他</t>
  </si>
  <si>
    <t>0,24198,42160,2084006343,2084006356,2084006367,2084006375</t>
  </si>
  <si>
    <t>おんぶひも</t>
  </si>
  <si>
    <t>オークション &gt; ベビー用品 &gt; 外出、移動用品 &gt; だっこひも、おんぶひも &gt; おんぶひも</t>
  </si>
  <si>
    <t>0,24202,2084042548,2084008378,2084193559</t>
  </si>
  <si>
    <t>ハスクバーナ</t>
  </si>
  <si>
    <t>オークション &gt; ファッション &gt; レディースファッション &gt; ベスト &gt; クレージュ</t>
  </si>
  <si>
    <t>オークション &gt; 自動車、オートバイ &gt; オートバイ &gt; オートバイ車体 &gt; ハスクバーナ</t>
  </si>
  <si>
    <t>だっこひも</t>
  </si>
  <si>
    <t>フサベル</t>
  </si>
  <si>
    <t>オークション &gt; ファッション &gt; レディースファッション &gt; ベスト &gt; グッチ</t>
  </si>
  <si>
    <t>オークション &gt; ベビー用品 &gt; 外出、移動用品 &gt; だっこひも、おんぶひも &gt; だっこひも</t>
  </si>
  <si>
    <t>オークション &gt; 自動車、オートバイ &gt; オートバイ &gt; オートバイ車体 &gt; フサベル</t>
  </si>
  <si>
    <t>0,24202,2084042548,2084008378,2084193558</t>
  </si>
  <si>
    <t>PGO</t>
  </si>
  <si>
    <t>オークション &gt; 自動車、オートバイ &gt; オートバイ &gt; オートバイ車体 &gt; PGO</t>
  </si>
  <si>
    <t>ベビースリング</t>
  </si>
  <si>
    <t>オークション &gt; ファッション &gt; レディースファッション &gt; ベスト &gt; ココルル</t>
  </si>
  <si>
    <t>オークション &gt; ベビー用品 &gt; 外出、移動用品 &gt; だっこひも、おんぶひも &gt; ベビースリング</t>
  </si>
  <si>
    <t>0,24202,2084042548,2084008378,2084193560</t>
  </si>
  <si>
    <t>SYM</t>
  </si>
  <si>
    <t>オークション &gt; 自動車、オートバイ &gt; オートバイ &gt; オートバイ車体 &gt; SYM</t>
  </si>
  <si>
    <t>オークション &gt; ファッション &gt; レディースファッション &gt; ベスト &gt; コム サ デ モード</t>
  </si>
  <si>
    <t>オークション &gt; ベビー用品 &gt; 外出、移動用品 &gt; だっこひも、おんぶひも &gt; その他</t>
  </si>
  <si>
    <t>0,24202,2084042548,2084008378,2084193561</t>
  </si>
  <si>
    <t>キムコ</t>
  </si>
  <si>
    <t>A型ベビーカー</t>
  </si>
  <si>
    <t>オークション &gt; ベビー用品 &gt; 外出、移動用品 &gt; ベビーカー &gt; A型ベビーカー</t>
  </si>
  <si>
    <t>オークション &gt; 自動車、オートバイ &gt; オートバイ &gt; オートバイ車体 &gt; キムコ</t>
  </si>
  <si>
    <t>0,24202,2084042548,24222,2084048389</t>
  </si>
  <si>
    <t>オークション &gt; ファッション &gt; レディースファッション &gt; ベスト &gt; コム デ ギャルソン</t>
  </si>
  <si>
    <t>B型ベビーカー</t>
  </si>
  <si>
    <t>オークション &gt; ベビー用品 &gt; 外出、移動用品 &gt; ベビーカー &gt; B型ベビーカー</t>
  </si>
  <si>
    <t>電動バイク</t>
  </si>
  <si>
    <t>オークション &gt; 自動車、オートバイ &gt; オートバイ &gt; オートバイ車体 &gt; 電動バイク</t>
  </si>
  <si>
    <t>0,24202,2084042548,24222,2084048390</t>
  </si>
  <si>
    <t>オークション &gt; ファッション &gt; レディースファッション &gt; ベスト &gt; シップス</t>
  </si>
  <si>
    <t>二人乗り用ベビーカー</t>
  </si>
  <si>
    <t>オークション &gt; ベビー用品 &gt; 外出、移動用品 &gt; ベビーカー &gt; 二人乗り用ベビーカー</t>
  </si>
  <si>
    <t>トライク</t>
  </si>
  <si>
    <t>0,24202,2084042548,24222,2084211413</t>
  </si>
  <si>
    <t>オークション &gt; ファッション &gt; レディースファッション &gt; ベスト &gt; シャネル</t>
  </si>
  <si>
    <t>オークション &gt; 自動車、オートバイ &gt; オートバイ &gt; オートバイ車体 &gt; トライク</t>
  </si>
  <si>
    <t>A型B型兼用ベビーカー</t>
  </si>
  <si>
    <t>オークション &gt; ベビー用品 &gt; 外出、移動用品 &gt; ベビーカー &gt; A型B型兼用ベビーカー</t>
  </si>
  <si>
    <t>0,24202,2084042548,24222,2084193566</t>
  </si>
  <si>
    <t>オークション &gt; ファッション &gt; レディースファッション &gt; ベスト &gt; ジルスチュアート</t>
  </si>
  <si>
    <t>オークション &gt; 自動車、オートバイ &gt; オートバイ &gt; オートバイ車体 &gt; 四輪バギー</t>
  </si>
  <si>
    <t>オークション &gt; ベビー用品 &gt; 外出、移動用品 &gt; ベビーカー &gt; その他</t>
  </si>
  <si>
    <t>オークション &gt; ファッション &gt; レディースファッション &gt; ベスト &gt; ズッカ</t>
  </si>
  <si>
    <t>0,24202,2084042548,24222,2084048391</t>
  </si>
  <si>
    <t>部品取り車</t>
  </si>
  <si>
    <t>手提げ</t>
  </si>
  <si>
    <t>オークション &gt; ベビー用品 &gt; 外出、移動用品 &gt; マザーズバッグ &gt; 手提げ</t>
  </si>
  <si>
    <t>オークション &gt; 自動車、オートバイ &gt; オートバイ &gt; オートバイ車体 &gt; 部品取り車</t>
  </si>
  <si>
    <t>0,24202,2084042548,2084047405,2084202555</t>
  </si>
  <si>
    <t>ショルダー</t>
  </si>
  <si>
    <t>オークション &gt; ファッション &gt; レディースファッション &gt; ベスト &gt; セシルマクビー</t>
  </si>
  <si>
    <t>オークション &gt; ベビー用品 &gt; 外出、移動用品 &gt; マザーズバッグ &gt; ショルダー</t>
  </si>
  <si>
    <t>0,24202,2084042548,2084047405,2084202556</t>
  </si>
  <si>
    <t>オークション &gt; 自動車、オートバイ &gt; オートバイ &gt; オートバイ車体 &gt; その他</t>
  </si>
  <si>
    <t>ボストン</t>
  </si>
  <si>
    <t>オークション &gt; ファッション &gt; レディースファッション &gt; ベスト &gt; ダナ･キャラン,DKNY</t>
  </si>
  <si>
    <t>オークション &gt; ベビー用品 &gt; 外出、移動用品 &gt; マザーズバッグ &gt; ボストン</t>
  </si>
  <si>
    <t>0,24202,2084042548,2084047405,2084202557</t>
  </si>
  <si>
    <t>イグニッション</t>
  </si>
  <si>
    <t>オークション &gt; 自動車、オートバイ &gt; オートバイ &gt; パーツ &gt; イグニッション</t>
  </si>
  <si>
    <t>オークション &gt; ファッション &gt; レディースファッション &gt; ベスト &gt; ツモリチサト</t>
  </si>
  <si>
    <t>オークション &gt; ベビー用品 &gt; 外出、移動用品 &gt; マザーズバッグ &gt; その他</t>
  </si>
  <si>
    <t>0,24202,2084042548,2084047405,2084202558</t>
  </si>
  <si>
    <t>エアフィルター、エアクリーナー</t>
  </si>
  <si>
    <t>オークション &gt; 自動車、オートバイ &gt; オートバイ &gt; パーツ &gt; エアフィルター、エアクリーナー</t>
  </si>
  <si>
    <t>オークション &gt; ファッション &gt; レディースファッション &gt; ベスト &gt; ナイスクラップ</t>
  </si>
  <si>
    <t>エンジン、冷却装置</t>
  </si>
  <si>
    <t>オークション &gt; 自動車、オートバイ &gt; オートバイ &gt; パーツ &gt; エンジン、冷却装置</t>
  </si>
  <si>
    <t>エンジンガード</t>
  </si>
  <si>
    <t>オークション &gt; ファッション &gt; レディースファッション &gt; ベスト &gt; バーバリー</t>
  </si>
  <si>
    <t>オークション &gt; 自動車、オートバイ &gt; オートバイ &gt; パーツ &gt; エンジンガード</t>
  </si>
  <si>
    <t>カウル、フェンダー</t>
  </si>
  <si>
    <t>オークション &gt; 自動車、オートバイ &gt; オートバイ &gt; パーツ &gt; カウル、フェンダー</t>
  </si>
  <si>
    <t>オークション &gt; ファッション &gt; レディースファッション &gt; ベスト &gt; ヒステリックグラマー</t>
  </si>
  <si>
    <t>キャブレター、インジェクション</t>
  </si>
  <si>
    <t>オークション &gt; 自動車、オートバイ &gt; オートバイ &gt; パーツ &gt; キャブレター、インジェクション</t>
  </si>
  <si>
    <t>オークション &gt; ベビー用品 &gt; 行事、記念品 &gt; お宮参り用品 &gt; 女の子用</t>
  </si>
  <si>
    <t>0,24202,2084216344,2084216348,2084216351</t>
  </si>
  <si>
    <t>オークション &gt; ファッション &gt; レディースファッション &gt; ベスト &gt; ビームス</t>
  </si>
  <si>
    <t>キャリア、グラブバー</t>
  </si>
  <si>
    <t>オークション &gt; 自動車、オートバイ &gt; オートバイ &gt; パーツ &gt; キャリア、グラブバー</t>
  </si>
  <si>
    <t>オークション &gt; ベビー用品 &gt; 行事、記念品 &gt; お宮参り用品 &gt; 男の子用</t>
  </si>
  <si>
    <t>オークション &gt; ファッション &gt; レディースファッション &gt; ベスト &gt; ビバユー</t>
  </si>
  <si>
    <t>0,24202,2084216344,2084216348,2084216350</t>
  </si>
  <si>
    <t>サイドカバー</t>
  </si>
  <si>
    <t>オークション &gt; 自動車、オートバイ &gt; オートバイ &gt; パーツ &gt; サイドカバー</t>
  </si>
  <si>
    <t>オークション &gt; ベビー用品 &gt; 行事、記念品 &gt; お宮参り用品 &gt; 男女兼用</t>
  </si>
  <si>
    <t>オークション &gt; ファッション &gt; レディースファッション &gt; ベスト &gt; ピンキー＆ダイアン</t>
  </si>
  <si>
    <t>0,24202,2084216344,2084216348,2084216352</t>
  </si>
  <si>
    <t>0,21600,21624,2084008642,2084008643</t>
  </si>
  <si>
    <t>オークション &gt; 自動車、オートバイ &gt; オートバイ &gt; パーツ &gt; サスペンション</t>
  </si>
  <si>
    <t>オークション &gt; ファッション &gt; レディースファッション &gt; ベスト &gt; ピンクハウス</t>
  </si>
  <si>
    <t>0,21600,21624,2084008642,2084008644</t>
  </si>
  <si>
    <t>シーシーバー、バックレスト</t>
  </si>
  <si>
    <t>オークション &gt; 自動車、オートバイ &gt; オートバイ &gt; パーツ &gt; シーシーバー、バックレスト</t>
  </si>
  <si>
    <t>オークション &gt; ファッション &gt; レディースファッション &gt; ベスト &gt; フェンディ</t>
  </si>
  <si>
    <t>0,21600,21624,2084008642,2084008645</t>
  </si>
  <si>
    <t>シート</t>
  </si>
  <si>
    <t>オークション &gt; ファッション &gt; レディースファッション &gt; ベスト &gt; プライベートレーベル</t>
  </si>
  <si>
    <t>オークション &gt; 自動車、オートバイ &gt; オートバイ &gt; パーツ &gt; シート</t>
  </si>
  <si>
    <t>オークション &gt; ファッション &gt; レディースファッション &gt; ベスト &gt; プラダ</t>
  </si>
  <si>
    <t>0,21600,21624,2084008642,2084008648</t>
  </si>
  <si>
    <t>スイングアーム</t>
  </si>
  <si>
    <t>オークション &gt; 自動車、オートバイ &gt; オートバイ &gt; パーツ &gt; スイングアーム</t>
  </si>
  <si>
    <t>オークション &gt; ファッション &gt; レディースファッション &gt; ベスト &gt; ベネトン</t>
  </si>
  <si>
    <t>0,21600,21624,2084008642,2084008646</t>
  </si>
  <si>
    <t>スタビライザー</t>
  </si>
  <si>
    <t>オークション &gt; 自動車、オートバイ &gt; オートバイ &gt; パーツ &gt; スタビライザー</t>
  </si>
  <si>
    <t>オークション &gt; ファッション &gt; レディースファッション &gt; ベスト &gt; マウジー</t>
  </si>
  <si>
    <t>0,21600,21624,2084008642,2084048888</t>
  </si>
  <si>
    <t>オークション &gt; 自動車、オートバイ &gt; オートバイ &gt; パーツ &gt; スタンド</t>
  </si>
  <si>
    <t>オークション &gt; ファッション &gt; レディースファッション &gt; ベスト &gt; ミジェーン</t>
  </si>
  <si>
    <t>ステアリングダンパー</t>
  </si>
  <si>
    <t>オークション &gt; 自動車、オートバイ &gt; オートバイ &gt; パーツ &gt; ステアリングダンパー</t>
  </si>
  <si>
    <t>0,21600,21624,2084008642,2084008647</t>
  </si>
  <si>
    <t>オークション &gt; ファッション &gt; レディースファッション &gt; ベスト &gt; ミッシェルクラン</t>
  </si>
  <si>
    <t>ステップ、ペダル</t>
  </si>
  <si>
    <t>オークション &gt; 自動車、オートバイ &gt; オートバイ &gt; パーツ &gt; ステップ、ペダル</t>
  </si>
  <si>
    <t>0,21600,21624,2084008642,2084008649</t>
  </si>
  <si>
    <t>オークション &gt; ファッション &gt; レディースファッション &gt; ベスト &gt; ラブボート</t>
  </si>
  <si>
    <t>0,21600,21624,2084008654,2084008655</t>
  </si>
  <si>
    <t>スパークプラグ</t>
  </si>
  <si>
    <t>オークション &gt; 自動車、オートバイ &gt; オートバイ &gt; パーツ &gt; スパークプラグ</t>
  </si>
  <si>
    <t>オークション &gt; ファッション &gt; レディースファッション &gt; ベスト &gt; ラルフローレン</t>
  </si>
  <si>
    <t>0,21600,21624,2084008654,2084008659</t>
  </si>
  <si>
    <t>スプロケット</t>
  </si>
  <si>
    <t>オークション &gt; 自動車、オートバイ &gt; オートバイ &gt; パーツ &gt; スプロケット</t>
  </si>
  <si>
    <t>オークション &gt; ファッション &gt; レディースファッション &gt; ベスト &gt; ロペ</t>
  </si>
  <si>
    <t>0,21600,21624,2084008654,2084008660</t>
  </si>
  <si>
    <t>オークション &gt; ファッション &gt; レディースファッション &gt; ベスト &gt; ヴィヴィアン ウエストウッド</t>
  </si>
  <si>
    <t>オークション &gt; 自動車、オートバイ &gt; オートバイ &gt; パーツ &gt; タイヤ</t>
  </si>
  <si>
    <t>0,21600,21624,2084008654,2084008658</t>
  </si>
  <si>
    <t>オークション &gt; ファッション &gt; レディースファッション &gt; ベスト &gt; 組曲</t>
  </si>
  <si>
    <t>タンク</t>
  </si>
  <si>
    <t>オークション &gt; 自動車、オートバイ &gt; オートバイ &gt; パーツ &gt; タンク</t>
  </si>
  <si>
    <t>0,21600,21624,2084008654,2084008657</t>
  </si>
  <si>
    <t>オークション &gt; ファッション &gt; レディースファッション &gt; トレーナー &gt; XSサイズ以下</t>
  </si>
  <si>
    <t>チェーン、ベルト</t>
  </si>
  <si>
    <t>オークション &gt; 自動車、オートバイ &gt; オートバイ &gt; パーツ &gt; チェーン、ベルト</t>
  </si>
  <si>
    <t>0,21600,21624,2084008654,2084008656</t>
  </si>
  <si>
    <t>オークション &gt; ファッション &gt; レディースファッション &gt; トレーナー &gt; Sサイズ</t>
  </si>
  <si>
    <t>チェーンカバー</t>
  </si>
  <si>
    <t>オークション &gt; 住まい、インテリア &gt; キッチン、食器 &gt; 食器 &gt; ベビー用 &gt; プレート、皿</t>
  </si>
  <si>
    <t>0,24198,42168,42173,2084005664,2084005722</t>
  </si>
  <si>
    <t>オークション &gt; 自動車、オートバイ &gt; オートバイ &gt; パーツ &gt; チェーンカバー</t>
  </si>
  <si>
    <t>哺乳ビン</t>
  </si>
  <si>
    <t>オークション &gt; 住まい、インテリア &gt; キッチン、食器 &gt; 食器 &gt; ベビー用 &gt; 哺乳ビン</t>
  </si>
  <si>
    <t>トランスミッション</t>
  </si>
  <si>
    <t>オークション &gt; 自動車、オートバイ &gt; オートバイ &gt; パーツ &gt; トランスミッション</t>
  </si>
  <si>
    <t>オークション &gt; ファッション &gt; レディースファッション &gt; トレーナー &gt; Mサイズ</t>
  </si>
  <si>
    <t>0,24198,42168,42173,2084005664,2084005721</t>
  </si>
  <si>
    <t>ナンバープレートホルダー</t>
  </si>
  <si>
    <t>ジュースボトル</t>
  </si>
  <si>
    <t>オークション &gt; ファッション &gt; レディースファッション &gt; トレーナー &gt; Lサイズ</t>
  </si>
  <si>
    <t>オークション &gt; 自動車、オートバイ &gt; オートバイ &gt; パーツ &gt; ナンバープレートホルダー</t>
  </si>
  <si>
    <t>オークション &gt; 住まい、インテリア &gt; キッチン、食器 &gt; 食器 &gt; ベビー用 &gt; ジュースボトル</t>
  </si>
  <si>
    <t>0,24198,42168,42173,2084005664,2084005723</t>
  </si>
  <si>
    <t>ハーネス、ワイヤー</t>
  </si>
  <si>
    <t>オークション &gt; ファッション &gt; レディースファッション &gt; トレーナー &gt; XLサイズ以上</t>
  </si>
  <si>
    <t>オークション &gt; 自動車、オートバイ &gt; オートバイ &gt; パーツ &gt; ハーネス、ワイヤー</t>
  </si>
  <si>
    <t>オークション &gt; 住まい、インテリア &gt; キッチン、食器 &gt; 食器 &gt; ベビー用 &gt; マグカップ</t>
  </si>
  <si>
    <t>0,24198,42168,42173,2084005664,2084005724</t>
  </si>
  <si>
    <t>オークション &gt; 自動車、オートバイ &gt; オートバイ &gt; パーツ &gt; ハンドル</t>
  </si>
  <si>
    <t>オークション &gt; ファッション &gt; レディースファッション &gt; トレーナー &gt; アーペーセー</t>
  </si>
  <si>
    <t>オークション &gt; 住まい、インテリア &gt; キッチン、食器 &gt; 食器 &gt; ベビー用 &gt; その他</t>
  </si>
  <si>
    <t>0,24198,42168,42173,2084005664,2084005725</t>
  </si>
  <si>
    <t>バッテリー</t>
  </si>
  <si>
    <t>オークション &gt; ファッション &gt; レディースファッション &gt; トレーナー &gt; アニエスb.</t>
  </si>
  <si>
    <t>オークション &gt; 自動車、オートバイ &gt; オートバイ &gt; パーツ &gt; バッテリー</t>
  </si>
  <si>
    <t>ベビーフード</t>
  </si>
  <si>
    <t>オークション &gt; ベビー用品 &gt; 授乳、食事用品 &gt; ミルク、ベビーフード &gt; ベビーフード</t>
  </si>
  <si>
    <t>0,24202,2084042550,2084008374,2084202516</t>
  </si>
  <si>
    <t>オークション &gt; ベビー用品 &gt; 授乳、食事用品 &gt; ミルク、ベビーフード &gt; ミルク</t>
  </si>
  <si>
    <t>オークション &gt; ファッション &gt; レディースファッション &gt; トレーナー &gt; アルバローザ</t>
  </si>
  <si>
    <t>オークション &gt; 自動車、オートバイ &gt; オートバイ &gt; パーツ &gt; フィルター</t>
  </si>
  <si>
    <t>0,24202,2084042550,2084008374,2084202515</t>
  </si>
  <si>
    <t>オークション &gt; 自動車、オートバイ &gt; オートバイ &gt; パーツ &gt; フレーム</t>
  </si>
  <si>
    <t>オークション &gt; ファッション &gt; レディースファッション &gt; トレーナー &gt; アルマーニ</t>
  </si>
  <si>
    <t>オークション &gt; ベビー用品 &gt; 授乳、食事用品 &gt; ミルク、ベビーフード &gt; その他</t>
  </si>
  <si>
    <t>0,24202,2084042550,2084008374,2084202521</t>
  </si>
  <si>
    <t>オークション &gt; 自動車、オートバイ &gt; オートバイ &gt; パーツ &gt; ブレーキ</t>
  </si>
  <si>
    <t>オークション &gt; ファッション &gt; レディースファッション &gt; トレーナー &gt; アンタイトル</t>
  </si>
  <si>
    <t>プーリー</t>
  </si>
  <si>
    <t>オークション &gt; 自動車、オートバイ &gt; オートバイ &gt; パーツ &gt; プーリー</t>
  </si>
  <si>
    <t>オークション &gt; ファッション &gt; レディースファッション &gt; トレーナー &gt; イネド</t>
  </si>
  <si>
    <t>ホーン</t>
  </si>
  <si>
    <t>オークション &gt; 自動車、オートバイ &gt; オートバイ &gt; パーツ &gt; ホーン</t>
  </si>
  <si>
    <t>オークション &gt; ファッション &gt; レディースファッション &gt; トレーナー &gt; インエ</t>
  </si>
  <si>
    <t>オークション &gt; 自動車、オートバイ &gt; オートバイ &gt; パーツ &gt; ホイール</t>
  </si>
  <si>
    <t>オークション &gt; ファッション &gt; レディースファッション &gt; トレーナー &gt; インディヴィ</t>
  </si>
  <si>
    <t>マフラー</t>
  </si>
  <si>
    <t>オークション &gt; 自動車、オートバイ &gt; オートバイ &gt; パーツ &gt; マフラー</t>
  </si>
  <si>
    <t>ミラー</t>
  </si>
  <si>
    <t>オークション &gt; ファッション &gt; レディースファッション &gt; トレーナー &gt; エゴイスト</t>
  </si>
  <si>
    <t>オークション &gt; 自動車、オートバイ &gt; オートバイ &gt; パーツ &gt; ミラー</t>
  </si>
  <si>
    <t>オークション &gt; 自動車、オートバイ &gt; オートバイ &gt; パーツ &gt; メーター</t>
  </si>
  <si>
    <t>オークション &gt; ファッション &gt; レディースファッション &gt; トレーナー &gt; エックスガール</t>
  </si>
  <si>
    <t>ライト、ウインカー</t>
  </si>
  <si>
    <t>オークション &gt; 自動車、オートバイ &gt; オートバイ &gt; パーツ &gt; ライト、ウインカー</t>
  </si>
  <si>
    <t>オークション &gt; ファッション &gt; レディースファッション &gt; トレーナー &gt; エル</t>
  </si>
  <si>
    <t>レバー</t>
  </si>
  <si>
    <t>オークション &gt; 自動車、オートバイ &gt; オートバイ &gt; パーツ &gt; レバー</t>
  </si>
  <si>
    <t>オークション &gt; ファッション &gt; レディースファッション &gt; トレーナー &gt; エルメス</t>
  </si>
  <si>
    <t>オートバイメーカー別</t>
  </si>
  <si>
    <t>オークション &gt; 自動車、オートバイ &gt; オートバイ &gt; パーツ &gt; オートバイメーカー別</t>
  </si>
  <si>
    <t>オークション &gt; ファッション &gt; レディースファッション &gt; トレーナー &gt; オゾンコミュニティー</t>
  </si>
  <si>
    <t>オークション &gt; 自動車、オートバイ &gt; オートバイ &gt; パーツ &gt; オーディオ</t>
  </si>
  <si>
    <t>オークション &gt; ファッション &gt; レディースファッション &gt; トレーナー &gt; カパルア</t>
  </si>
  <si>
    <t>オークション &gt; ファッション &gt; レディースファッション &gt; トレーナー &gt; ギャップ</t>
  </si>
  <si>
    <t>オークション &gt; 自動車、オートバイ &gt; オートバイ &gt; パーツ &gt; その他</t>
  </si>
  <si>
    <t>ヘルメット、シールド</t>
  </si>
  <si>
    <t>オークション &gt; 自動車、オートバイ &gt; オートバイ &gt; セキュリティ、セーフティ &gt; ヘルメット、シールド</t>
  </si>
  <si>
    <t>オークション &gt; ファッション &gt; レディースファッション &gt; トレーナー &gt; クリスチャン・ディオール</t>
  </si>
  <si>
    <t>オークション &gt; 自動車、オートバイ &gt; オートバイ &gt; セキュリティ、セーフティ &gt; プロテクター</t>
  </si>
  <si>
    <t>オークション &gt; ファッション &gt; レディースファッション &gt; トレーナー &gt; クレージュ</t>
  </si>
  <si>
    <t>オークション &gt; 自動車、オートバイ &gt; オートバイ &gt; セキュリティ、セーフティ &gt; 鍵、ロック</t>
  </si>
  <si>
    <t>オークション &gt; ファッション &gt; レディースファッション &gt; トレーナー &gt; グッチ</t>
  </si>
  <si>
    <t>アラーム</t>
  </si>
  <si>
    <t>オークション &gt; 自動車、オートバイ &gt; オートバイ &gt; セキュリティ、セーフティ &gt; アラーム</t>
  </si>
  <si>
    <t>オークション &gt; ファッション &gt; レディースファッション &gt; トレーナー &gt; ココルル</t>
  </si>
  <si>
    <t>オークション &gt; チケット、金券、宿泊予約 &gt; ジャンル別 &gt; グルメ、ドリンク &gt; クオカード</t>
  </si>
  <si>
    <t>エアバッグ</t>
  </si>
  <si>
    <t>オークション &gt; 自動車、オートバイ &gt; オートバイ &gt; セキュリティ、セーフティ &gt; エアバッグ</t>
  </si>
  <si>
    <t>オークション &gt; ファッション &gt; レディースファッション &gt; トレーナー &gt; コム サ デ モード</t>
  </si>
  <si>
    <t>0,2084043920,2084044330,2084044354,2084046717</t>
  </si>
  <si>
    <t>オークション &gt; 自動車、オートバイ &gt; オートバイ &gt; セキュリティ、セーフティ &gt; その他</t>
  </si>
  <si>
    <t>オークション &gt; ファッション &gt; レディースファッション &gt; トレーナー &gt; コム デ ギャルソン</t>
  </si>
  <si>
    <t>フード、ドリンク券</t>
  </si>
  <si>
    <t>オークション &gt; チケット、金券、宿泊予約 &gt; ジャンル別 &gt; グルメ、ドリンク &gt; フード、ドリンク券</t>
  </si>
  <si>
    <t>0,2084043920,2084044330,2084044354,2084044320</t>
  </si>
  <si>
    <t>オークション &gt; 自動車、オートバイ &gt; オートバイ &gt; バイクウエア、装備 &gt; ブランド別</t>
  </si>
  <si>
    <t>オークション &gt; ファッション &gt; レディースファッション &gt; トレーナー &gt; シップス</t>
  </si>
  <si>
    <t>レストラン、食事券</t>
  </si>
  <si>
    <t>オークション &gt; チケット、金券、宿泊予約 &gt; ジャンル別 &gt; グルメ、ドリンク &gt; レストラン、食事券</t>
  </si>
  <si>
    <t>オークション &gt; 自動車、オートバイ &gt; オートバイ &gt; バイクウエア、装備 &gt; ヘルメット</t>
  </si>
  <si>
    <t>オークション &gt; ファッション &gt; レディースファッション &gt; トレーナー &gt; シャネル</t>
  </si>
  <si>
    <t>0,2084043920,2084044330,2084044354,2084044319</t>
  </si>
  <si>
    <t>オークション &gt; ファッション &gt; レディースファッション &gt; トレーナー &gt; ジルスチュアート</t>
  </si>
  <si>
    <t>オークション &gt; 自動車、オートバイ &gt; オートバイ &gt; バイクウエア、装備 &gt; ジャケット</t>
  </si>
  <si>
    <t>オークション &gt; 自動車、オートバイ &gt; オートバイ &gt; バイクウエア、装備 &gt; プロテクター</t>
  </si>
  <si>
    <t>オークション &gt; ファッション &gt; レディースファッション &gt; トレーナー &gt; ズッカ</t>
  </si>
  <si>
    <t>オークション &gt; 自動車、オートバイ &gt; オートバイ &gt; バイクウエア、装備 &gt; ベスト</t>
  </si>
  <si>
    <t>オークション &gt; ファッション &gt; レディースファッション &gt; トレーナー &gt; セシルマクビー</t>
  </si>
  <si>
    <t>オークション &gt; 自動車、オートバイ &gt; オートバイ &gt; バイクウエア、装備 &gt; シャツ</t>
  </si>
  <si>
    <t>オークション &gt; ファッション &gt; レディースファッション &gt; トレーナー &gt; ダナ･キャラン,DKNY</t>
  </si>
  <si>
    <t>オークション &gt; 自動車、オートバイ &gt; オートバイ &gt; バイクウエア、装備 &gt; Tシャツ</t>
  </si>
  <si>
    <t>オークション &gt; ファッション &gt; レディースファッション &gt; トレーナー &gt; ツモリチサト</t>
  </si>
  <si>
    <t>オークション &gt; 自動車、オートバイ &gt; オートバイ &gt; バイクウエア、装備 &gt; パンツ</t>
  </si>
  <si>
    <t>オークション &gt; ファッション &gt; レディースファッション &gt; トレーナー &gt; ナイスクラップ</t>
  </si>
  <si>
    <t>チャップス</t>
  </si>
  <si>
    <t>オークション &gt; 自動車、オートバイ &gt; オートバイ &gt; バイクウエア、装備 &gt; チャップス</t>
  </si>
  <si>
    <t>オークション &gt; ファッション &gt; レディースファッション &gt; トレーナー &gt; バーバリー</t>
  </si>
  <si>
    <t>革ツナギ</t>
  </si>
  <si>
    <t>オークション &gt; 自動車、オートバイ &gt; オートバイ &gt; バイクウエア、装備 &gt; 革ツナギ</t>
  </si>
  <si>
    <t>オークション &gt; ファッション &gt; レディースファッション &gt; トレーナー &gt; ヒステリックグラマー</t>
  </si>
  <si>
    <t>オークション &gt; 自動車、オートバイ &gt; オートバイ &gt; バイクウエア、装備 &gt; 靴</t>
  </si>
  <si>
    <t>オークション &gt; 自動車、オートバイ &gt; オートバイ &gt; バイクウエア、装備 &gt; グローブ</t>
  </si>
  <si>
    <t>オークション &gt; ファッション &gt; レディースファッション &gt; トレーナー &gt; ビームス</t>
  </si>
  <si>
    <t>雨具</t>
  </si>
  <si>
    <t>オークション &gt; 自動車、オートバイ &gt; オートバイ &gt; バイクウエア、装備 &gt; 雨具</t>
  </si>
  <si>
    <t>オークション &gt; ファッション &gt; レディースファッション &gt; トレーナー &gt; ビバユー</t>
  </si>
  <si>
    <t>フェイスマスク、ネックウォーマー</t>
  </si>
  <si>
    <t>オークション &gt; 自動車、オートバイ &gt; オートバイ &gt; バイクウエア、装備 &gt; フェイスマスク、ネックウォーマー</t>
  </si>
  <si>
    <t>オークション &gt; ファッション &gt; レディースファッション &gt; トレーナー &gt; ピンキー＆ダイアン</t>
  </si>
  <si>
    <t>ゴーグル</t>
  </si>
  <si>
    <t>オークション &gt; ファッション &gt; レディースファッション &gt; トレーナー &gt; ピンクハウス</t>
  </si>
  <si>
    <t>オークション &gt; 自動車、オートバイ &gt; オートバイ &gt; バイクウエア、装備 &gt; ゴーグル</t>
  </si>
  <si>
    <t>オークション &gt; ファッション &gt; レディースファッション &gt; トレーナー &gt; フェンディ</t>
  </si>
  <si>
    <t>オークション &gt; 自動車、オートバイ &gt; オートバイ &gt; バイクウエア、装備 &gt; バッグ</t>
  </si>
  <si>
    <t>オークション &gt; ファッション &gt; レディースファッション &gt; トレーナー &gt; プライベートレーベル</t>
  </si>
  <si>
    <t>財布、ウォレット</t>
  </si>
  <si>
    <t>オークション &gt; 自動車、オートバイ &gt; オートバイ &gt; バイクウエア、装備 &gt; 財布、ウォレット</t>
  </si>
  <si>
    <t>オークション &gt; ファッション &gt; レディースファッション &gt; トレーナー &gt; プラダ</t>
  </si>
  <si>
    <t>オークション &gt; 自動車、オートバイ &gt; オートバイ &gt; バイクウエア、装備 &gt; エアバッグ</t>
  </si>
  <si>
    <t>オークション &gt; ファッション &gt; レディースファッション &gt; トレーナー &gt; ベネトン</t>
  </si>
  <si>
    <t>オークション &gt; ファッション &gt; レディースファッション &gt; トレーナー &gt; マウジー</t>
  </si>
  <si>
    <t>オークション &gt; 自動車、オートバイ &gt; オートバイ &gt; バイクウエア、装備 &gt; その他</t>
  </si>
  <si>
    <t>オークション &gt; ファッション &gt; レディースファッション &gt; トレーナー &gt; ミジェーン</t>
  </si>
  <si>
    <t>カバー</t>
  </si>
  <si>
    <t>オークション &gt; 自動車、オートバイ &gt; オートバイ &gt; アクセサリー &gt; カバー</t>
  </si>
  <si>
    <t>オークション &gt; ファッション &gt; レディースファッション &gt; トレーナー &gt; ミッシェルクラン</t>
  </si>
  <si>
    <t>オークション &gt; 自動車、オートバイ &gt; オートバイ &gt; アクセサリー &gt; キャリア、グラブバー</t>
  </si>
  <si>
    <t>オークション &gt; ファッション &gt; レディースファッション &gt; トレーナー &gt; ラブボート</t>
  </si>
  <si>
    <t>サドルバッグ、サイドバッグ</t>
  </si>
  <si>
    <t>オークション &gt; 自動車、オートバイ &gt; オートバイ &gt; アクセサリー &gt; サドルバッグ、サイドバッグ</t>
  </si>
  <si>
    <t>オークション &gt; ファッション &gt; レディースファッション &gt; トレーナー &gt; ラルフローレン</t>
  </si>
  <si>
    <t>シートバッグ</t>
  </si>
  <si>
    <t>オークション &gt; 自動車、オートバイ &gt; オートバイ &gt; アクセサリー &gt; シートバッグ</t>
  </si>
  <si>
    <t>オークション &gt; ファッション &gt; レディースファッション &gt; トレーナー &gt; ロペ</t>
  </si>
  <si>
    <t>タンクバッグ</t>
  </si>
  <si>
    <t>オークション &gt; 自動車、オートバイ &gt; オートバイ &gt; アクセサリー &gt; タンクバッグ</t>
  </si>
  <si>
    <t>オークション &gt; ファッション &gt; レディースファッション &gt; トレーナー &gt; ヴィヴィアン ウエストウッド</t>
  </si>
  <si>
    <t>トップケース</t>
  </si>
  <si>
    <t>オークション &gt; 自動車、オートバイ &gt; オートバイ &gt; アクセサリー &gt; トップケース</t>
  </si>
  <si>
    <t>オークション &gt; ファッション &gt; レディースファッション &gt; トレーナー &gt; 組曲</t>
  </si>
  <si>
    <t>ツイン、アンサンブル</t>
  </si>
  <si>
    <t>オークション &gt; ファッション &gt; レディースファッション &gt; カットソー &gt; ツイン、アンサンブル</t>
  </si>
  <si>
    <t>パニアケース</t>
  </si>
  <si>
    <t>図書カード</t>
  </si>
  <si>
    <t>オークション &gt; 自動車、オートバイ &gt; オートバイ &gt; アクセサリー &gt; パニアケース</t>
  </si>
  <si>
    <t>オークション &gt; チケット、金券、宿泊予約 &gt; ジャンル別 &gt; ホビー、カルチャー &gt; 図書カード</t>
  </si>
  <si>
    <t>0,2084043920,2084044330,2084046719,2084046718</t>
  </si>
  <si>
    <t>オークション &gt; ファッション &gt; レディースファッション &gt; カットソー &gt; 袖なし、ノースリーブ</t>
  </si>
  <si>
    <t>フロントバスケット</t>
  </si>
  <si>
    <t>図書券</t>
  </si>
  <si>
    <t>オークション &gt; ファッション &gt; レディースファッション &gt; カットソー &gt; 長袖</t>
  </si>
  <si>
    <t>オークション &gt; 自動車、オートバイ &gt; オートバイ &gt; アクセサリー &gt; フロントバスケット</t>
  </si>
  <si>
    <t>オークション &gt; チケット、金券、宿泊予約 &gt; ジャンル別 &gt; ホビー、カルチャー &gt; 図書券</t>
  </si>
  <si>
    <t>0,2084043920,2084044330,2084046719,2084044323</t>
  </si>
  <si>
    <t>文具券</t>
  </si>
  <si>
    <t>オークション &gt; ファッション &gt; レディースファッション &gt; カットソー &gt; 半袖</t>
  </si>
  <si>
    <t>オークション &gt; チケット、金券、宿泊予約 &gt; ジャンル別 &gt; ホビー、カルチャー &gt; 文具券</t>
  </si>
  <si>
    <t>ツーリングネット、ロープ</t>
  </si>
  <si>
    <t>0,2084043920,2084044330,2084046719,2084044326</t>
  </si>
  <si>
    <t>オークション &gt; 自動車、オートバイ &gt; オートバイ &gt; アクセサリー &gt; ツーリングネット、ロープ</t>
  </si>
  <si>
    <t>オークション &gt; ファッション &gt; レディースファッション &gt; カットソー &gt; その他の袖丈</t>
  </si>
  <si>
    <t>オークション &gt; チケット、金券、宿泊予約 &gt; ジャンル別 &gt; レジャー &gt; クオカード</t>
  </si>
  <si>
    <t>オークション &gt; 自動車、オートバイ &gt; オートバイ &gt; アクセサリー &gt; ツーリング用テント</t>
  </si>
  <si>
    <t>0,2084043920,2084044330,2084044344,2084046717</t>
  </si>
  <si>
    <t>オークション &gt; ファッション &gt; レディースファッション &gt; シャツ、ブラウス &gt; 袖なし、ノースリーブ</t>
  </si>
  <si>
    <t>ステッカー、デカール</t>
  </si>
  <si>
    <t>オークション &gt; 自動車、オートバイ &gt; オートバイ &gt; アクセサリー &gt; ステッカー、デカール</t>
  </si>
  <si>
    <t>ゴルフ場利用券</t>
  </si>
  <si>
    <t>オークション &gt; ファッション &gt; レディースファッション &gt; シャツ、ブラウス &gt; 長袖</t>
  </si>
  <si>
    <t>オークション &gt; チケット、金券、宿泊予約 &gt; ジャンル別 &gt; レジャー &gt; ゴルフ場利用券</t>
  </si>
  <si>
    <t>0,2084043920,2084044330,2084044344,2084044985</t>
  </si>
  <si>
    <t>オークション &gt; 自動車、オートバイ &gt; オートバイ &gt; アクセサリー &gt; オーディオ</t>
  </si>
  <si>
    <t>オークション &gt; ファッション &gt; レディースファッション &gt; シャツ、ブラウス &gt; 半袖</t>
  </si>
  <si>
    <t>プール券</t>
  </si>
  <si>
    <t>オークション &gt; チケット、金券、宿泊予約 &gt; ジャンル別 &gt; レジャー &gt; プール券</t>
  </si>
  <si>
    <t>0,2084043920,2084044330,2084044344,2084042176</t>
  </si>
  <si>
    <t>ナビ</t>
  </si>
  <si>
    <t>オークション &gt; 自動車、オートバイ &gt; オートバイ &gt; アクセサリー &gt; ナビ</t>
  </si>
  <si>
    <t>レジャーギフト券</t>
  </si>
  <si>
    <t>オークション &gt; ファッション &gt; レディースファッション &gt; シャツ、ブラウス &gt; その他の袖丈</t>
  </si>
  <si>
    <t>オークション &gt; チケット、金券、宿泊予約 &gt; ジャンル別 &gt; レジャー &gt; レジャーギフト券</t>
  </si>
  <si>
    <t>オークション &gt; 自動車、オートバイ &gt; オートバイ &gt; アクセサリー &gt; 鍵、ロック</t>
  </si>
  <si>
    <t>0,2084043920,2084044330,2084044344,2084044321</t>
  </si>
  <si>
    <t>オークション &gt; ファッション &gt; レディースファッション &gt; チュニック &gt; 袖なし、ノースリーブ</t>
  </si>
  <si>
    <t>オークション &gt; 自動車、オートバイ &gt; オートバイ &gt; アクセサリー &gt; アラーム</t>
  </si>
  <si>
    <t>オークション &gt; チケット、金券、宿泊予約 &gt; ジャンル別 &gt; レジャー &gt; 宿泊予約</t>
  </si>
  <si>
    <t>0,2084043920,2084044330,2084044344,2084062636</t>
  </si>
  <si>
    <t>オークション &gt; ファッション &gt; レディースファッション &gt; チュニック &gt; 長袖</t>
  </si>
  <si>
    <t>オークション &gt; 自動車、オートバイ &gt; オートバイ &gt; アクセサリー &gt; キーホルダー</t>
  </si>
  <si>
    <t>遊園地、テーマパーク</t>
  </si>
  <si>
    <t>オークション &gt; チケット、金券、宿泊予約 &gt; ジャンル別 &gt; レジャー &gt; 遊園地、テーマパーク</t>
  </si>
  <si>
    <t>オークション &gt; ファッション &gt; レディースファッション &gt; チュニック &gt; 半袖</t>
  </si>
  <si>
    <t>0,2084043920,2084044330,2084044344,25432</t>
  </si>
  <si>
    <t>オークション &gt; 自動車、オートバイ &gt; オートバイ &gt; アクセサリー &gt; グローブ</t>
  </si>
  <si>
    <t>オークション &gt; ファッション &gt; レディースファッション &gt; チュニック &gt; その他の袖丈</t>
  </si>
  <si>
    <t>オークション &gt; 自動車、オートバイ &gt; オートバイ &gt; アクセサリー &gt; ゴーグル</t>
  </si>
  <si>
    <t>オークション &gt; ファッション &gt; レディースファッション &gt; Tシャツ &gt; 長袖</t>
  </si>
  <si>
    <t>ツールバッグ</t>
  </si>
  <si>
    <t>オークション &gt; 自動車、オートバイ &gt; オートバイ &gt; アクセサリー &gt; ツールバッグ</t>
  </si>
  <si>
    <t>オークション &gt; ファッション &gt; レディースファッション &gt; Tシャツ &gt; 半袖</t>
  </si>
  <si>
    <t>オークション &gt; 自動車、オートバイ &gt; オートバイ &gt; アクセサリー &gt; バッグ</t>
  </si>
  <si>
    <t>オークション &gt; ファッション &gt; レディースファッション &gt; Tシャツ &gt; その他の袖丈</t>
  </si>
  <si>
    <t>オークション &gt; 自動車、オートバイ &gt; オートバイ &gt; アクセサリー &gt; プロテクター</t>
  </si>
  <si>
    <t>オークション &gt; チケット、金券、宿泊予約 &gt; ジャンル別 &gt; 音楽 &gt; オペラ</t>
  </si>
  <si>
    <t>オークション &gt; ファッション &gt; レディースファッション &gt; ポロシャツ &gt; 袖なし、ノースリーブ</t>
  </si>
  <si>
    <t>0,2084043920,2084044330,2084044331,22820</t>
  </si>
  <si>
    <t>オークション &gt; 自動車、オートバイ &gt; オートバイ &gt; アクセサリー &gt; 雨具</t>
  </si>
  <si>
    <t>オークション &gt; ファッション &gt; レディースファッション &gt; ポロシャツ &gt; 長袖</t>
  </si>
  <si>
    <t>オークション &gt; チケット、金券、宿泊予約 &gt; ジャンル別 &gt; 音楽 &gt; クラシック</t>
  </si>
  <si>
    <t>0,2084043920,2084044330,2084044331,2084039806</t>
  </si>
  <si>
    <t>オークション &gt; 自動車、オートバイ &gt; オートバイ &gt; アクセサリー &gt; 財布、ウォレット</t>
  </si>
  <si>
    <t>オークション &gt; ファッション &gt; レディースファッション &gt; ポロシャツ &gt; 半袖</t>
  </si>
  <si>
    <t>オークション &gt; 自動車、オートバイ &gt; オートバイ &gt; アクセサリー &gt; その他</t>
  </si>
  <si>
    <t>オークション &gt; ファッション &gt; レディースファッション &gt; ポロシャツ &gt; その他の袖丈</t>
  </si>
  <si>
    <t>オークション &gt; チケット、金券、宿泊予約 &gt; ジャンル別 &gt; 音楽 &gt; ジャズ</t>
  </si>
  <si>
    <t>オークション &gt; 自動車、オートバイ &gt; オートバイ &gt; メンテナンス &gt; バッテリー</t>
  </si>
  <si>
    <t>0,2084043920,2084044330,2084044331,2084039805</t>
  </si>
  <si>
    <t>ミニスカート</t>
  </si>
  <si>
    <t>オークション &gt; ファッション &gt; レディースファッション &gt; ワンピース &gt; ミニスカート</t>
  </si>
  <si>
    <t>オイル</t>
  </si>
  <si>
    <t>オークション &gt; 自動車、オートバイ &gt; オートバイ &gt; メンテナンス &gt; オイル</t>
  </si>
  <si>
    <t>オークション &gt; チケット、金券、宿泊予約 &gt; ジャンル別 &gt; 音楽 &gt; ジャパニーズポップス</t>
  </si>
  <si>
    <t>ひざ丈スカート</t>
  </si>
  <si>
    <t>0,2084043920,2084044330,2084044331,2084005269</t>
  </si>
  <si>
    <t>オークション &gt; ファッション &gt; レディースファッション &gt; ワンピース &gt; ひざ丈スカート</t>
  </si>
  <si>
    <t>オークション &gt; 自動車、オートバイ &gt; オートバイ &gt; メンテナンス &gt; フィルター</t>
  </si>
  <si>
    <t>ロングスカート</t>
  </si>
  <si>
    <t>オークション &gt; ファッション &gt; レディースファッション &gt; ワンピース &gt; ロングスカート</t>
  </si>
  <si>
    <t>オークション &gt; チケット、金券、宿泊予約 &gt; ジャンル別 &gt; 音楽 &gt; ミュージックフェスティバル</t>
  </si>
  <si>
    <t>0,2084043920,2084044330,2084044331,22776</t>
  </si>
  <si>
    <t>オークション &gt; 自動車、オートバイ &gt; オートバイ &gt; メンテナンス &gt; スタンド</t>
  </si>
  <si>
    <t>チュニック</t>
  </si>
  <si>
    <t>オークション &gt; ファッション &gt; レディースファッション &gt; ワンピース &gt; チュニック</t>
  </si>
  <si>
    <t>オークション &gt; チケット、金券、宿泊予約 &gt; ジャンル別 &gt; 音楽 &gt; 演歌</t>
  </si>
  <si>
    <t>オークション &gt; 自動車、オートバイ &gt; オートバイ &gt; メンテナンス &gt; 工具</t>
  </si>
  <si>
    <t>0,2084043920,2084044330,2084044331,2084059686</t>
  </si>
  <si>
    <t>オークション &gt; ファッション &gt; レディースファッション &gt; スカート &gt; ミニスカート</t>
  </si>
  <si>
    <t>音楽ギフト券</t>
  </si>
  <si>
    <t>オークション &gt; チケット、金券、宿泊予約 &gt; ジャンル別 &gt; 音楽 &gt; 音楽ギフト券</t>
  </si>
  <si>
    <t>オークション &gt; 自動車、オートバイ &gt; オートバイ &gt; メンテナンス &gt; その他</t>
  </si>
  <si>
    <t>オークション &gt; ファッション &gt; レディースファッション &gt; スカート &gt; ひざ丈スカート</t>
  </si>
  <si>
    <t>0,2084043920,2084044330,2084044331,2084044325</t>
  </si>
  <si>
    <t>エアーツール</t>
  </si>
  <si>
    <t>オークション &gt; ファッション &gt; レディースファッション &gt; スカート &gt; ロングスカート</t>
  </si>
  <si>
    <t>オークション &gt; 自動車、オートバイ &gt; オートバイ &gt; 工具 &gt; エアーツール</t>
  </si>
  <si>
    <t>オークション &gt; チケット、金券、宿泊予約 &gt; ジャンル別 &gt; 音楽 &gt; 洋楽</t>
  </si>
  <si>
    <t>0,2084043920,2084044330,2084044331,22788</t>
  </si>
  <si>
    <t>コンプレッションゲージ</t>
  </si>
  <si>
    <t>オークション &gt; 自動車、オートバイ &gt; オートバイ &gt; 工具 &gt; コンプレッションゲージ</t>
  </si>
  <si>
    <t>オークション &gt; ファッション &gt; レディースファッション &gt; パンツ、スラックス &gt; XSサイズ以下</t>
  </si>
  <si>
    <t>オークション &gt; チケット、金券、宿泊予約 &gt; ジャンル別 &gt; 音楽 &gt; その他</t>
  </si>
  <si>
    <t>0,2084043920,2084044330,2084044331,22796</t>
  </si>
  <si>
    <t>タイヤゲージ</t>
  </si>
  <si>
    <t>オークション &gt; 自動車、オートバイ &gt; オートバイ &gt; 工具 &gt; タイヤゲージ</t>
  </si>
  <si>
    <t>オークション &gt; ファッション &gt; レディースファッション &gt; パンツ、スラックス &gt; Sサイズ</t>
  </si>
  <si>
    <t>オークション &gt; チケット、金券、宿泊予約 &gt; ジャンル別 &gt; 住まい、インテリア &gt; クオカード</t>
  </si>
  <si>
    <t>0,2084043920,2084044330,2084044357,2084046717</t>
  </si>
  <si>
    <t>オークション &gt; 自動車、オートバイ &gt; オートバイ &gt; 工具 &gt; ツールバッグ</t>
  </si>
  <si>
    <t>オークション &gt; ファッション &gt; レディースファッション &gt; パンツ、スラックス &gt; Mサイズ</t>
  </si>
  <si>
    <t>ハンドツール</t>
  </si>
  <si>
    <t>フラワー券</t>
  </si>
  <si>
    <t>オークション &gt; 自動車、オートバイ &gt; オートバイ &gt; 工具 &gt; ハンドツール</t>
  </si>
  <si>
    <t>オークション &gt; チケット、金券、宿泊予約 &gt; ジャンル別 &gt; 住まい、インテリア &gt; フラワー券</t>
  </si>
  <si>
    <t>オークション &gt; ファッション &gt; レディースファッション &gt; パンツ、スラックス &gt; Lサイズ</t>
  </si>
  <si>
    <t>0,2084043920,2084044330,2084044357,2084044324</t>
  </si>
  <si>
    <t>バイクリフト</t>
  </si>
  <si>
    <t>オークション &gt; 自動車、オートバイ &gt; オートバイ &gt; 工具 &gt; バイクリフト</t>
  </si>
  <si>
    <t>ギフト券</t>
  </si>
  <si>
    <t>オークション &gt; ファッション &gt; レディースファッション &gt; パンツ、スラックス &gt; XLサイズ以上</t>
  </si>
  <si>
    <t>オークション &gt; チケット、金券、宿泊予約 &gt; ジャンル別 &gt; 美容、健康 &gt; ギフト券</t>
  </si>
  <si>
    <t>0,2084043920,2084044330,2084044352,2084044322</t>
  </si>
  <si>
    <t>バキュームゲージ</t>
  </si>
  <si>
    <t>オークション &gt; 自動車、オートバイ &gt; オートバイ &gt; 工具 &gt; バキュームゲージ</t>
  </si>
  <si>
    <t>オークション &gt; ファッション &gt; レディースファッション &gt; パンツ、スラックス &gt; アーペーセー</t>
  </si>
  <si>
    <t>オークション &gt; チケット、金券、宿泊予約 &gt; ジャンル別 &gt; 美容、健康 &gt; クオカード</t>
  </si>
  <si>
    <t>車載工具</t>
  </si>
  <si>
    <t>0,2084043920,2084044330,2084044352,2084046717</t>
  </si>
  <si>
    <t>オークション &gt; 自動車、オートバイ &gt; オートバイ &gt; 工具 &gt; 車載工具</t>
  </si>
  <si>
    <t>オークション &gt; ファッション &gt; レディースファッション &gt; パンツ、スラックス &gt; アニエスb.</t>
  </si>
  <si>
    <t>オークション &gt; ファッション &gt; レディースファッション &gt; パンツ、スラックス &gt; アルバローザ</t>
  </si>
  <si>
    <t>オークション &gt; 自動車、オートバイ &gt; オートバイ &gt; 工具 &gt; 照明</t>
  </si>
  <si>
    <t>0,2084043920,2084044330,2084044348,2084007699</t>
  </si>
  <si>
    <t>オークション &gt; ファッション &gt; レディースファッション &gt; パンツ、スラックス &gt; アルマーニ</t>
  </si>
  <si>
    <t>電動工具</t>
  </si>
  <si>
    <t>オークション &gt; 自動車、オートバイ &gt; オートバイ &gt; 工具 &gt; 電動工具</t>
  </si>
  <si>
    <t>オークション &gt; ファッション &gt; レディースファッション &gt; パンツ、スラックス &gt; アンタイトル</t>
  </si>
  <si>
    <t>0,2084043920,2084044330,2084044348,2084007698</t>
  </si>
  <si>
    <t>オークション &gt; 自動車、オートバイ &gt; オートバイ &gt; 工具 &gt; その他</t>
  </si>
  <si>
    <t>オークション &gt; ファッション &gt; レディースファッション &gt; パンツ、スラックス &gt; イネド</t>
  </si>
  <si>
    <t>0,2084043920,2084044330,2084044348,26180</t>
  </si>
  <si>
    <t>オークション &gt; 自動車、オートバイ &gt; オートバイ &gt; カタログ、パーツリスト、整備書 &gt; BMW</t>
  </si>
  <si>
    <t>オークション &gt; ファッション &gt; レディースファッション &gt; パンツ、スラックス &gt; インエ</t>
  </si>
  <si>
    <t>オークション &gt; 自動車、オートバイ &gt; オートバイ &gt; カタログ、パーツリスト、整備書 &gt; アプリリア</t>
  </si>
  <si>
    <t>0,2084043920,2084044330,2084044348,42441</t>
  </si>
  <si>
    <t>オークション &gt; ファッション &gt; レディースファッション &gt; パンツ、スラックス &gt; インディヴィ</t>
  </si>
  <si>
    <t>オークション &gt; 自動車、オートバイ &gt; オートバイ &gt; カタログ、パーツリスト、整備書 &gt; カワサキ</t>
  </si>
  <si>
    <t>0,2084043920,2084044330,2084044348,2084062636</t>
  </si>
  <si>
    <t>オークション &gt; ファッション &gt; レディースファッション &gt; パンツ、スラックス &gt; エゴイスト</t>
  </si>
  <si>
    <t>オークション &gt; 自動車、オートバイ &gt; オートバイ &gt; カタログ、パーツリスト、整備書 &gt; スズキ</t>
  </si>
  <si>
    <t>0,2084043920,2084044330,2084044348,2084007952</t>
  </si>
  <si>
    <t>オークション &gt; 自動車、オートバイ &gt; オートバイ &gt; カタログ、パーツリスト、整備書 &gt; トライアンフ</t>
  </si>
  <si>
    <t>オークション &gt; ファッション &gt; レディースファッション &gt; パンツ、スラックス &gt; エックスガール</t>
  </si>
  <si>
    <t>0,2084043920,2084044330,2084044348,2084007697</t>
  </si>
  <si>
    <t>オークション &gt; 自動車、オートバイ &gt; オートバイ &gt; カタログ、パーツリスト、整備書 &gt; ドゥカティ</t>
  </si>
  <si>
    <t>オークション &gt; ファッション &gt; レディースファッション &gt; パンツ、スラックス &gt; エル</t>
  </si>
  <si>
    <t>0,2084043920,2084044330,2084044348,2084048816</t>
  </si>
  <si>
    <t>オークション &gt; 自動車、オートバイ &gt; オートバイ &gt; カタログ、パーツリスト、整備書 &gt; ハーレーダビッドソン</t>
  </si>
  <si>
    <t>0,2084043920,2084044330,2084044348,2084005246</t>
  </si>
  <si>
    <t>オークション &gt; 自動車、オートバイ &gt; オートバイ &gt; カタログ、パーツリスト、整備書 &gt; ビモータ</t>
  </si>
  <si>
    <t>オークション &gt; ファッション &gt; レディースファッション &gt; パンツ、スラックス &gt; エルメス</t>
  </si>
  <si>
    <t>オークション &gt; 自動車、オートバイ &gt; オートバイ &gt; カタログ、パーツリスト、整備書 &gt; ビューエル</t>
  </si>
  <si>
    <t>オークション &gt; ファッション &gt; レディースファッション &gt; パンツ、スラックス &gt; オゾンコミュニティー</t>
  </si>
  <si>
    <t>ピアジオ</t>
  </si>
  <si>
    <t>オークション &gt; 自動車、オートバイ &gt; オートバイ &gt; カタログ、パーツリスト、整備書 &gt; ピアジオ</t>
  </si>
  <si>
    <t>オークション &gt; 自動車、オートバイ &gt; オートバイ &gt; カタログ、パーツリスト、整備書 &gt; ホンダ</t>
  </si>
  <si>
    <t>オークション &gt; ファッション &gt; レディースファッション &gt; パンツ、スラックス &gt; カパルア</t>
  </si>
  <si>
    <t>モトグッチ</t>
  </si>
  <si>
    <t>オークション &gt; 自動車、オートバイ &gt; オートバイ &gt; カタログ、パーツリスト、整備書 &gt; モトグッチ</t>
  </si>
  <si>
    <t>オークション &gt; 自動車、オートバイ &gt; オートバイ &gt; カタログ、パーツリスト、整備書 &gt; ヤマハ</t>
  </si>
  <si>
    <t>オークション &gt; ファッション &gt; レディースファッション &gt; パンツ、スラックス &gt; ギャップ</t>
  </si>
  <si>
    <t>オークション &gt; 自動車、オートバイ &gt; オートバイ &gt; カタログ、パーツリスト、整備書 &gt; その他</t>
  </si>
  <si>
    <t>オークション &gt; ファッション &gt; レディースファッション &gt; パンツ、スラックス &gt; クリスチャン・ディオール</t>
  </si>
  <si>
    <t>オークション &gt; ファッション &gt; レディースファッション &gt; パンツ、スラックス &gt; クレージュ</t>
  </si>
  <si>
    <t>オークション &gt; ファッション &gt; レディースファッション &gt; パンツ、スラックス &gt; グッチ</t>
  </si>
  <si>
    <t>オークション &gt; ファッション &gt; レディースファッション &gt; パンツ、スラックス &gt; ココルル</t>
  </si>
  <si>
    <t>オークション &gt; 自動車、オートバイ &gt; オートバイ &gt; オートバイ関連グッズ &gt; キーホルダー</t>
  </si>
  <si>
    <t>オークション &gt; ファッション &gt; レディースファッション &gt; パンツ、スラックス &gt; コム サ デ モード</t>
  </si>
  <si>
    <t>オークション &gt; 自動車、オートバイ &gt; オートバイ &gt; オートバイ関連グッズ &gt; ステッカー、デカール</t>
  </si>
  <si>
    <t>オークション &gt; ファッション &gt; レディースファッション &gt; パンツ、スラックス &gt; コム デ ギャルソン</t>
  </si>
  <si>
    <t>オークション &gt; 自動車、オートバイ &gt; オートバイ &gt; オートバイ関連グッズ &gt; 文房具</t>
  </si>
  <si>
    <t>オークション &gt; ファッション &gt; レディースファッション &gt; パンツ、スラックス &gt; シップス</t>
  </si>
  <si>
    <t>オークション &gt; 自動車、オートバイ &gt; オートバイ &gt; オートバイ関連グッズ &gt; オートバイメーカー別</t>
  </si>
  <si>
    <t>オークション &gt; ファッション &gt; レディースファッション &gt; パンツ、スラックス &gt; シャネル</t>
  </si>
  <si>
    <t>オークション &gt; 自動車、オートバイ &gt; オートバイ &gt; オートバイ関連グッズ &gt; その他</t>
  </si>
  <si>
    <t>オークション &gt; ファッション &gt; レディースファッション &gt; パンツ、スラックス &gt; ジルスチュアート</t>
  </si>
  <si>
    <t>オークション &gt; ファッション &gt; レディースファッション &gt; パンツ、スラックス &gt; ズッカ</t>
  </si>
  <si>
    <t>オークション &gt; ファッション &gt; レディースファッション &gt; パンツ、スラックス &gt; セシルマクビー</t>
  </si>
  <si>
    <t>オークション &gt; ファッション &gt; レディースファッション &gt; パンツ、スラックス &gt; ダナ･キャラン,DKNY</t>
  </si>
  <si>
    <t>オークション &gt; ファッション &gt; レディースファッション &gt; パンツ、スラックス &gt; ツモリチサト</t>
  </si>
  <si>
    <t>オークション &gt; ファッション &gt; レディースファッション &gt; パンツ、スラックス &gt; ナイスクラップ</t>
  </si>
  <si>
    <t>オークション &gt; ファッション &gt; レディースファッション &gt; パンツ、スラックス &gt; バーバリー</t>
  </si>
  <si>
    <t>オークション &gt; ファッション &gt; レディースファッション &gt; パンツ、スラックス &gt; ヒステリックグラマー</t>
  </si>
  <si>
    <t>オークション &gt; ファッション &gt; レディースファッション &gt; パンツ、スラックス &gt; ビームス</t>
  </si>
  <si>
    <t>オークション &gt; ファッション &gt; レディースファッション &gt; パンツ、スラックス &gt; ビバユー</t>
  </si>
  <si>
    <t>オークション &gt; ファッション &gt; レディースファッション &gt; パンツ、スラックス &gt; ピンキー＆ダイアン</t>
  </si>
  <si>
    <t>オークション &gt; ファッション &gt; レディースファッション &gt; パンツ、スラックス &gt; ピンクハウス</t>
  </si>
  <si>
    <t>オークション &gt; ファッション &gt; レディースファッション &gt; パンツ、スラックス &gt; フェンディ</t>
  </si>
  <si>
    <t>オークション &gt; ファッション &gt; レディースファッション &gt; パンツ、スラックス &gt; プライベートレーベル</t>
  </si>
  <si>
    <t>オークション &gt; ファッション &gt; レディースファッション &gt; パンツ、スラックス &gt; プラダ</t>
  </si>
  <si>
    <t>オークション &gt; ファッション &gt; レディースファッション &gt; パンツ、スラックス &gt; ベネトン</t>
  </si>
  <si>
    <t>オークション &gt; ファッション &gt; レディースファッション &gt; パンツ、スラックス &gt; マウジー</t>
  </si>
  <si>
    <t>オークション &gt; ファッション &gt; レディースファッション &gt; パンツ、スラックス &gt; ミジェーン</t>
  </si>
  <si>
    <t>オークション &gt; ファッション &gt; レディースファッション &gt; パンツ、スラックス &gt; ミッシェルクラン</t>
  </si>
  <si>
    <t>オークション &gt; ファッション &gt; レディースファッション &gt; パンツ、スラックス &gt; ラブボート</t>
  </si>
  <si>
    <t>オークション &gt; ファッション &gt; レディースファッション &gt; パンツ、スラックス &gt; ラルフローレン</t>
  </si>
  <si>
    <t>オークション &gt; ファッション &gt; レディースファッション &gt; パンツ、スラックス &gt; ロペ</t>
  </si>
  <si>
    <t>オークション &gt; ファッション &gt; レディースファッション &gt; パンツ、スラックス &gt; ヴィヴィアン ウエストウッド</t>
  </si>
  <si>
    <t>オークション &gt; ファッション &gt; レディースファッション &gt; パンツ、スラックス &gt; 組曲</t>
  </si>
  <si>
    <t>オークション &gt; ファッション &gt; レディースファッション &gt; デニム、ジーンズ &gt; 45rpm</t>
  </si>
  <si>
    <t>D&amp;G</t>
  </si>
  <si>
    <t>オークション &gt; ファッション &gt; レディースファッション &gt; デニム、ジーンズ &gt; D&amp;G</t>
  </si>
  <si>
    <t>航空</t>
  </si>
  <si>
    <t>X-ガール</t>
  </si>
  <si>
    <t>オークション &gt; チケット、金券、宿泊予約 &gt; 優待券、割引券 &gt; 交通 &gt; 航空</t>
  </si>
  <si>
    <t>オークション &gt; ファッション &gt; レディースファッション &gt; デニム、ジーンズ &gt; X-ガール</t>
  </si>
  <si>
    <t>0,2084043920,2084048817,2084208629,2084208631</t>
  </si>
  <si>
    <t>アールジーン</t>
  </si>
  <si>
    <t>オークション &gt; チケット、金券、宿泊予約 &gt; 優待券、割引券 &gt; 交通 &gt; 鉄道</t>
  </si>
  <si>
    <t>0,2084043920,2084048817,2084208629,2084221352</t>
  </si>
  <si>
    <t>オークション &gt; ファッション &gt; レディースファッション &gt; デニム、ジーンズ &gt; アールジーン</t>
  </si>
  <si>
    <t>オークション &gt; チケット、金券、宿泊予約 &gt; 優待券、割引券 &gt; 交通 &gt; その他</t>
  </si>
  <si>
    <t>0,2084043920,2084048817,2084208629,2084005246</t>
  </si>
  <si>
    <t>オークション &gt; ファッション &gt; レディースファッション &gt; デニム、ジーンズ &gt; アバクロンビー＆フィッチ</t>
  </si>
  <si>
    <t>オークション &gt; チケット、金券、宿泊予約 &gt; 施設利用券 &gt; 遊園地、テーマパーク</t>
  </si>
  <si>
    <t>0,2084043920,2084044317,25432</t>
  </si>
  <si>
    <t>オークション &gt; ファッション &gt; レディースファッション &gt; デニム、ジーンズ &gt; エドウィン</t>
  </si>
  <si>
    <t>ゴルフ場</t>
  </si>
  <si>
    <t>オークション &gt; チケット、金券、宿泊予約 &gt; 施設利用券 &gt; ゴルフ場</t>
  </si>
  <si>
    <t>0,2084043920,2084044317,2084044985</t>
  </si>
  <si>
    <t>スキー場</t>
  </si>
  <si>
    <t>オークション &gt; チケット、金券、宿泊予約 &gt; 施設利用券 &gt; スキー場</t>
  </si>
  <si>
    <t>オークション &gt; ファッション &gt; レディースファッション &gt; デニム、ジーンズ &gt; エヴィス</t>
  </si>
  <si>
    <t>0,2084043920,2084044317,25436</t>
  </si>
  <si>
    <t>オークション &gt; ファッション &gt; レディースファッション &gt; デニム、ジーンズ &gt; ギャップ</t>
  </si>
  <si>
    <t>フィットネスクラブ</t>
  </si>
  <si>
    <t>オークション &gt; チケット、金券、宿泊予約 &gt; 施設利用券 &gt; フィットネスクラブ</t>
  </si>
  <si>
    <t>0,2084043920,2084044317,2084211024</t>
  </si>
  <si>
    <t>サムシング</t>
  </si>
  <si>
    <t>オークション &gt; チケット、金券、宿泊予約 &gt; 施設利用券 &gt; プール</t>
  </si>
  <si>
    <t>オークション &gt; ファッション &gt; レディースファッション &gt; デニム、ジーンズ &gt; サムシング</t>
  </si>
  <si>
    <t>0,2084043920,2084044317,2084042176</t>
  </si>
  <si>
    <t>ボウリング場</t>
  </si>
  <si>
    <t>オークション &gt; チケット、金券、宿泊予約 &gt; 施設利用券 &gt; ボウリング場</t>
  </si>
  <si>
    <t>オークション &gt; ファッション &gt; レディースファッション &gt; デニム、ジーンズ &gt; シマロン</t>
  </si>
  <si>
    <t>0,2084043920,2084044317,2084047642</t>
  </si>
  <si>
    <t>宿泊</t>
  </si>
  <si>
    <t>オークション &gt; チケット、金券、宿泊予約 &gt; 施設利用券 &gt; 宿泊</t>
  </si>
  <si>
    <t>0,2084043920,2084044317,42441</t>
  </si>
  <si>
    <t>オークション &gt; ファッション &gt; レディースファッション &gt; デニム、ジーンズ &gt; セブンフォーオールマンカインド</t>
  </si>
  <si>
    <t>水族館</t>
  </si>
  <si>
    <t>オークション &gt; チケット、金券、宿泊予約 &gt; 施設利用券 &gt; 水族館</t>
  </si>
  <si>
    <t>0,2084043920,2084044317,2084064253</t>
  </si>
  <si>
    <t>オークション &gt; ファッション &gt; レディースファッション &gt; デニム、ジーンズ &gt; ディースクエアード</t>
  </si>
  <si>
    <t>動物園</t>
  </si>
  <si>
    <t>オークション &gt; チケット、金券、宿泊予約 &gt; 施設利用券 &gt; 動物園</t>
  </si>
  <si>
    <t>0,2084043920,2084044317,2084064250</t>
  </si>
  <si>
    <t>オークション &gt; ファッション &gt; レディースファッション &gt; デニム、ジーンズ &gt; ディーゼル</t>
  </si>
  <si>
    <t>美術館、博物館</t>
  </si>
  <si>
    <t>トラック、ダンプ</t>
  </si>
  <si>
    <t>オークション &gt; チケット、金券、宿泊予約 &gt; 施設利用券 &gt; 美術館、博物館</t>
  </si>
  <si>
    <t>オークション &gt; 自動車、オートバイ &gt; トラック、ダンプ、建設機械 &gt; パーツ &gt; トラック、ダンプ</t>
  </si>
  <si>
    <t>0,2084043920,2084044317,2084039803</t>
  </si>
  <si>
    <t>オークション &gt; ファッション &gt; レディースファッション &gt; デニム、ジーンズ &gt; トゥルーレリジョン</t>
  </si>
  <si>
    <t>オークション &gt; 自動車、オートバイ &gt; トラック、ダンプ、建設機械 &gt; パーツ &gt; 建設機械、重機</t>
  </si>
  <si>
    <t>オークション &gt; チケット、金券、宿泊予約 &gt; 施設利用券 &gt; その他</t>
  </si>
  <si>
    <t>0,2084043920,2084044317,2084044364</t>
  </si>
  <si>
    <t>オークション &gt; ファッション &gt; レディースファッション &gt; デニム、ジーンズ &gt; ドルチェ＆ガッバーナ</t>
  </si>
  <si>
    <t>タイヤ・ホイールセット</t>
  </si>
  <si>
    <t>オークション &gt; 自動車、オートバイ &gt; タイヤ、ホイール &gt; タイヤ・ホイールセット</t>
  </si>
  <si>
    <t>オークション &gt; チケット、金券、宿泊予約 &gt; ギフト券 &gt; 宿泊券 &gt; 北海道</t>
  </si>
  <si>
    <t>ピカデリー</t>
  </si>
  <si>
    <t>0,2084043920,2084006752,42441,2084007616</t>
  </si>
  <si>
    <t>オークション &gt; ファッション &gt; レディースファッション &gt; デニム、ジーンズ &gt; ピカデリー</t>
  </si>
  <si>
    <t>オークション &gt; 自動車、オートバイ &gt; タイヤ、ホイール &gt; タイヤ</t>
  </si>
  <si>
    <t>オークション &gt; チケット、金券、宿泊予約 &gt; ギフト券 &gt; 宿泊券 &gt; 東北</t>
  </si>
  <si>
    <t>0,2084043920,2084006752,42441,2084007617</t>
  </si>
  <si>
    <t>オークション &gt; 自動車、オートバイ &gt; タイヤ、ホイール &gt; ホイール</t>
  </si>
  <si>
    <t>オークション &gt; ファッション &gt; レディースファッション &gt; デニム、ジーンズ &gt; ペーパーデニム＆クロス</t>
  </si>
  <si>
    <t>チェーン、滑り止め</t>
  </si>
  <si>
    <t>ボブソン</t>
  </si>
  <si>
    <t>オークション &gt; チケット、金券、宿泊予約 &gt; ギフト券 &gt; 宿泊券 &gt; 関東</t>
  </si>
  <si>
    <t>オークション &gt; ファッション &gt; レディースファッション &gt; デニム、ジーンズ &gt; ボブソン</t>
  </si>
  <si>
    <t>オークション &gt; 自動車、オートバイ &gt; タイヤ、ホイール &gt; チェーン、滑り止め</t>
  </si>
  <si>
    <t>0,2084043920,2084006752,42441,2084007618</t>
  </si>
  <si>
    <t>スペーサー</t>
  </si>
  <si>
    <t>オークション &gt; ファッション &gt; レディースファッション &gt; デニム、ジーンズ &gt; ボンダッチ</t>
  </si>
  <si>
    <t>オークション &gt; 自動車、オートバイ &gt; タイヤ、ホイール &gt; スペーサー</t>
  </si>
  <si>
    <t>オークション &gt; チケット、金券、宿泊予約 &gt; ギフト券 &gt; 宿泊券 &gt; 信越</t>
  </si>
  <si>
    <t>0,2084043920,2084006752,42441,2084007620</t>
  </si>
  <si>
    <t>オークション &gt; ファッション &gt; レディースファッション &gt; デニム、ジーンズ &gt; ヤヌーク</t>
  </si>
  <si>
    <t>ホイールキャップ</t>
  </si>
  <si>
    <t>オークション &gt; 自動車、オートバイ &gt; タイヤ、ホイール &gt; ホイールキャップ</t>
  </si>
  <si>
    <t>オークション &gt; チケット、金券、宿泊予約 &gt; ギフト券 &gt; 宿泊券 &gt; 北陸</t>
  </si>
  <si>
    <t>0,2084043920,2084006752,42441,2084007619</t>
  </si>
  <si>
    <t>ホイールナット</t>
  </si>
  <si>
    <t>オークション &gt; 自動車、オートバイ &gt; タイヤ、ホイール &gt; ホイールナット</t>
  </si>
  <si>
    <t>オークション &gt; ファッション &gt; レディースファッション &gt; デニム、ジーンズ &gt; ラルトラモーダ</t>
  </si>
  <si>
    <t>オークション &gt; チケット、金券、宿泊予約 &gt; ギフト券 &gt; 宿泊券 &gt; 東海</t>
  </si>
  <si>
    <t>0,2084043920,2084006752,42441,2084007621</t>
  </si>
  <si>
    <t>オートバイ用</t>
  </si>
  <si>
    <t>オークション &gt; 自動車、オートバイ &gt; パーツ &gt; サスペンション &gt; オートバイ用</t>
  </si>
  <si>
    <t>オークション &gt; ファッション &gt; レディースファッション &gt; デニム、ジーンズ &gt; ラングラー</t>
  </si>
  <si>
    <t>オークション &gt; チケット、金券、宿泊予約 &gt; ギフト券 &gt; 宿泊券 &gt; 近畿</t>
  </si>
  <si>
    <t>BMW用</t>
  </si>
  <si>
    <t>0,2084043920,2084006752,42441,2084007622</t>
  </si>
  <si>
    <t>オークション &gt; 自動車、オートバイ &gt; パーツ &gt; サスペンション &gt; BMW用</t>
  </si>
  <si>
    <t>オークション &gt; ファッション &gt; レディースファッション &gt; デニム、ジーンズ &gt; リー</t>
  </si>
  <si>
    <t>オークション &gt; チケット、金券、宿泊予約 &gt; ギフト券 &gt; 宿泊券 &gt; 中国</t>
  </si>
  <si>
    <t>いすゞ用</t>
  </si>
  <si>
    <t>0,2084043920,2084006752,42441,2084007623</t>
  </si>
  <si>
    <t>オークション &gt; 自動車、オートバイ &gt; パーツ &gt; サスペンション &gt; いすゞ用</t>
  </si>
  <si>
    <t>オークション &gt; ファッション &gt; レディースファッション &gt; デニム、ジーンズ &gt; リーバイス</t>
  </si>
  <si>
    <t>オークション &gt; チケット、金券、宿泊予約 &gt; ギフト券 &gt; 宿泊券 &gt; 四国</t>
  </si>
  <si>
    <t>0,2084043920,2084006752,42441,2084007624</t>
  </si>
  <si>
    <t>オークション &gt; ファッション &gt; レディースファッション &gt; デニム、ジーンズ &gt; レッドペッパー</t>
  </si>
  <si>
    <t>アウディ用</t>
  </si>
  <si>
    <t>オークション &gt; 自動車、オートバイ &gt; パーツ &gt; サスペンション &gt; アウディ用</t>
  </si>
  <si>
    <t>オークション &gt; チケット、金券、宿泊予約 &gt; ギフト券 &gt; 宿泊券 &gt; 九州</t>
  </si>
  <si>
    <t>0,2084043920,2084006752,42441,2084007625</t>
  </si>
  <si>
    <t>アルファロメオ用</t>
  </si>
  <si>
    <t>オークション &gt; ファッション &gt; レディースファッション &gt; デニム、ジーンズ &gt; ローガン</t>
  </si>
  <si>
    <t>オークション &gt; 自動車、オートバイ &gt; パーツ &gt; サスペンション &gt; アルファロメオ用</t>
  </si>
  <si>
    <t>オークション &gt; チケット、金券、宿泊予約 &gt; ギフト券 &gt; 宿泊券 &gt; 沖縄</t>
  </si>
  <si>
    <t>0,2084043920,2084006752,42441,2084007626</t>
  </si>
  <si>
    <t>オペル用</t>
  </si>
  <si>
    <t>オークション &gt; 自動車、オートバイ &gt; パーツ &gt; サスペンション &gt; オペル用</t>
  </si>
  <si>
    <t>オークション &gt; ファッション &gt; レディースファッション &gt; デニム、ジーンズ &gt; その他</t>
  </si>
  <si>
    <t>オークション &gt; チケット、金券、宿泊予約 &gt; ギフト券 &gt; 宿泊券 &gt; 宿泊予約</t>
  </si>
  <si>
    <t>0,2084043920,2084006752,42441,2084062636</t>
  </si>
  <si>
    <t>クライスラー用</t>
  </si>
  <si>
    <t>オークション &gt; ファッション &gt; レディースファッション &gt; ワークパンツ、ペインターパンツ &gt; XSサイズ以下</t>
  </si>
  <si>
    <t>オークション &gt; 自動車、オートバイ &gt; パーツ &gt; サスペンション &gt; クライスラー用</t>
  </si>
  <si>
    <t>シトロエン用</t>
  </si>
  <si>
    <t>オークション &gt; ファッション &gt; レディースファッション &gt; ワークパンツ、ペインターパンツ &gt; Sサイズ</t>
  </si>
  <si>
    <t>オークション &gt; チケット、金券、宿泊予約 &gt; ギフト券 &gt; 宿泊券 &gt; その他</t>
  </si>
  <si>
    <t>オークション &gt; 自動車、オートバイ &gt; パーツ &gt; サスペンション &gt; シトロエン用</t>
  </si>
  <si>
    <t>0,2084043920,2084006752,42441,42443</t>
  </si>
  <si>
    <t>オークション &gt; ファッション &gt; レディースファッション &gt; ワークパンツ、ペインターパンツ &gt; Mサイズ</t>
  </si>
  <si>
    <t>シボレー用</t>
  </si>
  <si>
    <t>オークション &gt; 自動車、オートバイ &gt; パーツ &gt; サスペンション &gt; シボレー用</t>
  </si>
  <si>
    <t>0,2084043920,2084044317,25432,2084039899</t>
  </si>
  <si>
    <t>オークション &gt; ファッション &gt; レディースファッション &gt; ワークパンツ、ペインターパンツ &gt; Lサイズ</t>
  </si>
  <si>
    <t>ジャガー用</t>
  </si>
  <si>
    <t>オークション &gt; 自動車、オートバイ &gt; パーツ &gt; サスペンション &gt; ジャガー用</t>
  </si>
  <si>
    <t>オークション &gt; ファッション &gt; レディースファッション &gt; ワークパンツ、ペインターパンツ &gt; XLサイズ以上</t>
  </si>
  <si>
    <t>0,2084043920,2084044317,25432,2084039900</t>
  </si>
  <si>
    <t>スズキ用</t>
  </si>
  <si>
    <t>オークション &gt; 自動車、オートバイ &gt; パーツ &gt; サスペンション &gt; スズキ用</t>
  </si>
  <si>
    <t>スバル用</t>
  </si>
  <si>
    <t>0,2084043920,2084044317,25432,2084039901</t>
  </si>
  <si>
    <t>オークション &gt; ファッション &gt; レディースファッション &gt; ショートパンツ &gt; XSサイズ以下</t>
  </si>
  <si>
    <t>オークション &gt; 自動車、オートバイ &gt; パーツ &gt; サスペンション &gt; スバル用</t>
  </si>
  <si>
    <t>ダイハツ用</t>
  </si>
  <si>
    <t>オークション &gt; ファッション &gt; レディースファッション &gt; ショートパンツ &gt; Sサイズ</t>
  </si>
  <si>
    <t>0,2084043920,2084044317,25432,2084039902</t>
  </si>
  <si>
    <t>オークション &gt; 自動車、オートバイ &gt; パーツ &gt; サスペンション &gt; ダイハツ用</t>
  </si>
  <si>
    <t>オークション &gt; ファッション &gt; レディースファッション &gt; ショートパンツ &gt; Mサイズ</t>
  </si>
  <si>
    <t>トヨタ用</t>
  </si>
  <si>
    <t>オークション &gt; 自動車、オートバイ &gt; パーツ &gt; サスペンション &gt; トヨタ用</t>
  </si>
  <si>
    <t>0,2084043920,2084044317,25432,2084039903</t>
  </si>
  <si>
    <t>フィアット用</t>
  </si>
  <si>
    <t>オークション &gt; ファッション &gt; レディースファッション &gt; ショートパンツ &gt; Lサイズ</t>
  </si>
  <si>
    <t>オークション &gt; 自動車、オートバイ &gt; パーツ &gt; サスペンション &gt; フィアット用</t>
  </si>
  <si>
    <t>0,2084043920,2084044317,25432,2084039904</t>
  </si>
  <si>
    <t>オークション &gt; ファッション &gt; レディースファッション &gt; ショートパンツ &gt; XLサイズ以上</t>
  </si>
  <si>
    <t>フォード用</t>
  </si>
  <si>
    <t>オークション &gt; 自動車、オートバイ &gt; パーツ &gt; サスペンション &gt; フォード用</t>
  </si>
  <si>
    <t>オークション &gt; ファッション &gt; レディースファッション &gt; ショートパンツ &gt; アーペーセー</t>
  </si>
  <si>
    <t>0,2084043920,2084044317,25432,2084039905</t>
  </si>
  <si>
    <t>フォルクスワーゲン用</t>
  </si>
  <si>
    <t>オークション &gt; 自動車、オートバイ &gt; パーツ &gt; サスペンション &gt; フォルクスワーゲン用</t>
  </si>
  <si>
    <t>オークション &gt; ファッション &gt; レディースファッション &gt; ショートパンツ &gt; アニエスb.</t>
  </si>
  <si>
    <t>0,2084043920,2084044317,25432,2084039906</t>
  </si>
  <si>
    <t>プジョー用</t>
  </si>
  <si>
    <t>オークション &gt; 自動車、オートバイ &gt; パーツ &gt; サスペンション &gt; プジョー用</t>
  </si>
  <si>
    <t>オークション &gt; ファッション &gt; レディースファッション &gt; ショートパンツ &gt; アルバローザ</t>
  </si>
  <si>
    <t>ホンダ用</t>
  </si>
  <si>
    <t>0,2084043920,2084044317,25432,2084039907</t>
  </si>
  <si>
    <t>オークション &gt; 自動車、オートバイ &gt; パーツ &gt; サスペンション &gt; ホンダ用</t>
  </si>
  <si>
    <t>オークション &gt; ファッション &gt; レディースファッション &gt; ショートパンツ &gt; アルマーニ</t>
  </si>
  <si>
    <t>ボルボ用</t>
  </si>
  <si>
    <t>オークション &gt; 自動車、オートバイ &gt; パーツ &gt; サスペンション &gt; ボルボ用</t>
  </si>
  <si>
    <t>0,2084043920,2084044317,25432,2084039908</t>
  </si>
  <si>
    <t>オークション &gt; ファッション &gt; レディースファッション &gt; ショートパンツ &gt; アンタイトル</t>
  </si>
  <si>
    <t>ポルシェ用</t>
  </si>
  <si>
    <t>オークション &gt; 自動車、オートバイ &gt; パーツ &gt; サスペンション &gt; ポルシェ用</t>
  </si>
  <si>
    <t>0,2084043920,2084044317,25432,2084039909</t>
  </si>
  <si>
    <t>オークション &gt; ファッション &gt; レディースファッション &gt; ショートパンツ &gt; イネド</t>
  </si>
  <si>
    <t>マツダ用</t>
  </si>
  <si>
    <t>オークション &gt; 自動車、オートバイ &gt; パーツ &gt; サスペンション &gt; マツダ用</t>
  </si>
  <si>
    <t>オークション &gt; ファッション &gt; レディースファッション &gt; ショートパンツ &gt; インエ</t>
  </si>
  <si>
    <t>0,2084043920,2084044317,25432,2084042176</t>
  </si>
  <si>
    <t>ミニ用</t>
  </si>
  <si>
    <t>オークション &gt; 自動車、オートバイ &gt; パーツ &gt; サスペンション &gt; ミニ用</t>
  </si>
  <si>
    <t>オークション &gt; ファッション &gt; レディースファッション &gt; ショートパンツ &gt; インディヴィ</t>
  </si>
  <si>
    <t>メルセデス・ベンツ用</t>
  </si>
  <si>
    <t>0,2084043920,2084044317,25432,2084039910</t>
  </si>
  <si>
    <t>オークション &gt; 自動車、オートバイ &gt; パーツ &gt; サスペンション &gt; メルセデス・ベンツ用</t>
  </si>
  <si>
    <t>オークション &gt; ファッション &gt; レディースファッション &gt; ショートパンツ &gt; エゴイスト</t>
  </si>
  <si>
    <t>ルノー用</t>
  </si>
  <si>
    <t>オークション &gt; 自動車、オートバイ &gt; パーツ &gt; サスペンション &gt; ルノー用</t>
  </si>
  <si>
    <t>オークション &gt; チケット、金券、宿泊予約 &gt; 施設利用券 &gt; スキー場 &gt; 北海道</t>
  </si>
  <si>
    <t>0,2084043920,2084044317,25436,2084047541</t>
  </si>
  <si>
    <t>オークション &gt; ファッション &gt; レディースファッション &gt; ショートパンツ &gt; エックスガール</t>
  </si>
  <si>
    <t>レクサス用</t>
  </si>
  <si>
    <t>オークション &gt; 自動車、オートバイ &gt; パーツ &gt; サスペンション &gt; レクサス用</t>
  </si>
  <si>
    <t>オークション &gt; ファッション &gt; レディースファッション &gt; ショートパンツ &gt; エル</t>
  </si>
  <si>
    <t>オークション &gt; チケット、金券、宿泊予約 &gt; 施設利用券 &gt; スキー場 &gt; 東北</t>
  </si>
  <si>
    <t>0,2084043920,2084044317,25436,2084047542</t>
  </si>
  <si>
    <t>三菱用</t>
  </si>
  <si>
    <t>オークション &gt; 自動車、オートバイ &gt; パーツ &gt; サスペンション &gt; 三菱用</t>
  </si>
  <si>
    <t>オークション &gt; ファッション &gt; レディースファッション &gt; ショートパンツ &gt; エルメス</t>
  </si>
  <si>
    <t>日産用</t>
  </si>
  <si>
    <t>オークション &gt; 自動車、オートバイ &gt; パーツ &gt; サスペンション &gt; 日産用</t>
  </si>
  <si>
    <t>オークション &gt; チケット、金券、宿泊予約 &gt; 施設利用券 &gt; スキー場 &gt; 関東</t>
  </si>
  <si>
    <t>0,2084043920,2084044317,25436,2084047543</t>
  </si>
  <si>
    <t>オークション &gt; ファッション &gt; レディースファッション &gt; ショートパンツ &gt; オゾンコミュニティー</t>
  </si>
  <si>
    <t>オークション &gt; 自動車、オートバイ &gt; パーツ &gt; サスペンション &gt; その他</t>
  </si>
  <si>
    <t>オークション &gt; ファッション &gt; レディースファッション &gt; ショートパンツ &gt; カパルア</t>
  </si>
  <si>
    <t>オークション &gt; チケット、金券、宿泊予約 &gt; 施設利用券 &gt; スキー場 &gt; 信越</t>
  </si>
  <si>
    <t>0,2084043920,2084044317,25436,2084047545</t>
  </si>
  <si>
    <t>オークション &gt; 自動車、オートバイ &gt; パーツ &gt; タワーバー、ロールバー &gt; BMW用</t>
  </si>
  <si>
    <t>オークション &gt; ファッション &gt; レディースファッション &gt; ショートパンツ &gt; ギャップ</t>
  </si>
  <si>
    <t>オークション &gt; チケット、金券、宿泊予約 &gt; 施設利用券 &gt; スキー場 &gt; 東海</t>
  </si>
  <si>
    <t>オークション &gt; 自動車、オートバイ &gt; パーツ &gt; タワーバー、ロールバー &gt; いすゞ用</t>
  </si>
  <si>
    <t>0,2084043920,2084044317,25436,2084047546</t>
  </si>
  <si>
    <t>オークション &gt; ファッション &gt; レディースファッション &gt; ショートパンツ &gt; クリスチャン・ディオール</t>
  </si>
  <si>
    <t>オークション &gt; 自動車、オートバイ &gt; パーツ &gt; タワーバー、ロールバー &gt; アウディ用</t>
  </si>
  <si>
    <t>オークション &gt; チケット、金券、宿泊予約 &gt; 施設利用券 &gt; スキー場 &gt; 近畿</t>
  </si>
  <si>
    <t>0,2084043920,2084044317,25436,2084047547</t>
  </si>
  <si>
    <t>オークション &gt; ファッション &gt; レディースファッション &gt; ショートパンツ &gt; クレージュ</t>
  </si>
  <si>
    <t>オークション &gt; 自動車、オートバイ &gt; パーツ &gt; タワーバー、ロールバー &gt; アルファロメオ用</t>
  </si>
  <si>
    <t>オークション &gt; ファッション &gt; レディースファッション &gt; ショートパンツ &gt; グッチ</t>
  </si>
  <si>
    <t>オークション &gt; チケット、金券、宿泊予約 &gt; 施設利用券 &gt; スキー場 &gt; 中国</t>
  </si>
  <si>
    <t>オークション &gt; 自動車、オートバイ &gt; パーツ &gt; タワーバー、ロールバー &gt; オペル用</t>
  </si>
  <si>
    <t>0,2084043920,2084044317,25436,2084047548</t>
  </si>
  <si>
    <t>オークション &gt; ファッション &gt; レディースファッション &gt; ショートパンツ &gt; ココルル</t>
  </si>
  <si>
    <t>オークション &gt; 自動車、オートバイ &gt; パーツ &gt; タワーバー、ロールバー &gt; シトロエン用</t>
  </si>
  <si>
    <t>オークション &gt; チケット、金券、宿泊予約 &gt; 施設利用券 &gt; スキー場 &gt; 四国</t>
  </si>
  <si>
    <t>0,2084043920,2084044317,25436,2084047549</t>
  </si>
  <si>
    <t>オークション &gt; ファッション &gt; レディースファッション &gt; ショートパンツ &gt; コム サ デ モード</t>
  </si>
  <si>
    <t>オークション &gt; 自動車、オートバイ &gt; パーツ &gt; タワーバー、ロールバー &gt; シボレー用</t>
  </si>
  <si>
    <t>オークション &gt; ファッション &gt; レディースファッション &gt; ショートパンツ &gt; コム デ ギャルソン</t>
  </si>
  <si>
    <t>オークション &gt; チケット、金券、宿泊予約 &gt; 施設利用券 &gt; スキー場 &gt; 九州</t>
  </si>
  <si>
    <t>0,2084043920,2084044317,25436,2084047550</t>
  </si>
  <si>
    <t>オークション &gt; 自動車、オートバイ &gt; パーツ &gt; タワーバー、ロールバー &gt; スズキ用</t>
  </si>
  <si>
    <t>オークション &gt; ファッション &gt; レディースファッション &gt; ショートパンツ &gt; シップス</t>
  </si>
  <si>
    <t>オークション &gt; チケット、金券、宿泊予約 &gt; 施設利用券 &gt; スキー場 &gt; 北陸</t>
  </si>
  <si>
    <t>0,2084043920,2084044317,25436,2084047544</t>
  </si>
  <si>
    <t>オークション &gt; 自動車、オートバイ &gt; パーツ &gt; タワーバー、ロールバー &gt; スバル用</t>
  </si>
  <si>
    <t>オークション &gt; ファッション &gt; レディースファッション &gt; ショートパンツ &gt; シャネル</t>
  </si>
  <si>
    <t>オークション &gt; 自動車、オートバイ &gt; パーツ &gt; タワーバー、ロールバー &gt; ダイハツ用</t>
  </si>
  <si>
    <t>オークション &gt; チケット、金券、宿泊予約 &gt; 施設利用券 &gt; スキー場 &gt; その他</t>
  </si>
  <si>
    <t>0,2084043920,2084044317,25436,2084047551</t>
  </si>
  <si>
    <t>オークション &gt; ファッション &gt; レディースファッション &gt; ショートパンツ &gt; ジルスチュアート</t>
  </si>
  <si>
    <t>オークション &gt; 自動車、オートバイ &gt; パーツ &gt; タワーバー、ロールバー &gt; トヨタ用</t>
  </si>
  <si>
    <t>オークション &gt; ファッション &gt; レディースファッション &gt; ショートパンツ &gt; ズッカ</t>
  </si>
  <si>
    <t>オークション &gt; 自動車、オートバイ &gt; パーツ &gt; タワーバー、ロールバー &gt; フィアット用</t>
  </si>
  <si>
    <t>オークション &gt; ファッション &gt; レディースファッション &gt; ショートパンツ &gt; セシルマクビー</t>
  </si>
  <si>
    <t>オークション &gt; 自動車、オートバイ &gt; パーツ &gt; タワーバー、ロールバー &gt; フォード用</t>
  </si>
  <si>
    <t>オークション &gt; ファッション &gt; レディースファッション &gt; ショートパンツ &gt; ダナ･キャラン,DKNY</t>
  </si>
  <si>
    <t>オークション &gt; 自動車、オートバイ &gt; パーツ &gt; タワーバー、ロールバー &gt; フォルクスワーゲン用</t>
  </si>
  <si>
    <t>オークション &gt; ファッション &gt; レディースファッション &gt; ショートパンツ &gt; ツモリチサト</t>
  </si>
  <si>
    <t>オークション &gt; ファッション &gt; レディースファッション &gt; ショートパンツ &gt; ナイスクラップ</t>
  </si>
  <si>
    <t>オークション &gt; 自動車、オートバイ &gt; パーツ &gt; タワーバー、ロールバー &gt; プジョー用</t>
  </si>
  <si>
    <t>オークション &gt; ファッション &gt; レディースファッション &gt; ショートパンツ &gt; バーバリー</t>
  </si>
  <si>
    <t>オークション &gt; 自動車、オートバイ &gt; パーツ &gt; タワーバー、ロールバー &gt; ホンダ用</t>
  </si>
  <si>
    <t>オークション &gt; ファッション &gt; レディースファッション &gt; ショートパンツ &gt; ヒステリックグラマー</t>
  </si>
  <si>
    <t>オークション &gt; 自動車、オートバイ &gt; パーツ &gt; タワーバー、ロールバー &gt; ボルボ用</t>
  </si>
  <si>
    <t>オークション &gt; ファッション &gt; レディースファッション &gt; ショートパンツ &gt; ビームス</t>
  </si>
  <si>
    <t>オークション &gt; ファッション &gt; レディースファッション &gt; ショートパンツ &gt; ビバユー</t>
  </si>
  <si>
    <t>オークション &gt; 自動車、オートバイ &gt; パーツ &gt; タワーバー、ロールバー &gt; ポルシェ用</t>
  </si>
  <si>
    <t>オークション &gt; ファッション &gt; レディースファッション &gt; ショートパンツ &gt; ピンキー＆ダイアン</t>
  </si>
  <si>
    <t>オークション &gt; 自動車、オートバイ &gt; パーツ &gt; タワーバー、ロールバー &gt; マツダ用</t>
  </si>
  <si>
    <t>オークション &gt; ファッション &gt; レディースファッション &gt; ショートパンツ &gt; ピンクハウス</t>
  </si>
  <si>
    <t>オークション &gt; 自動車、オートバイ &gt; パーツ &gt; タワーバー、ロールバー &gt; ミニ用</t>
  </si>
  <si>
    <t>オークション &gt; ファッション &gt; レディースファッション &gt; ショートパンツ &gt; フェンディ</t>
  </si>
  <si>
    <t>オークション &gt; 自動車、オートバイ &gt; パーツ &gt; タワーバー、ロールバー &gt; メルセデス・ベンツ用</t>
  </si>
  <si>
    <t>オークション &gt; 自動車、オートバイ &gt; パーツ &gt; タワーバー、ロールバー &gt; ルノー用</t>
  </si>
  <si>
    <t>オークション &gt; ファッション &gt; レディースファッション &gt; ショートパンツ &gt; プライベートレーベル</t>
  </si>
  <si>
    <t>オークション &gt; 自動車、オートバイ &gt; パーツ &gt; タワーバー、ロールバー &gt; レクサス用</t>
  </si>
  <si>
    <t>オークション &gt; ファッション &gt; レディースファッション &gt; ショートパンツ &gt; プラダ</t>
  </si>
  <si>
    <t>オークション &gt; 自動車、オートバイ &gt; パーツ &gt; タワーバー、ロールバー &gt; 三菱用</t>
  </si>
  <si>
    <t>オークション &gt; 自動車、オートバイ &gt; パーツ &gt; タワーバー、ロールバー &gt; 日産用</t>
  </si>
  <si>
    <t>オークション &gt; ファッション &gt; レディースファッション &gt; ショートパンツ &gt; ベネトン</t>
  </si>
  <si>
    <t>オークション &gt; ファッション &gt; レディースファッション &gt; ショートパンツ &gt; マウジー</t>
  </si>
  <si>
    <t>オークション &gt; 自動車、オートバイ &gt; パーツ &gt; タワーバー、ロールバー &gt; その他</t>
  </si>
  <si>
    <t>オークション &gt; ファッション &gt; レディースファッション &gt; ショートパンツ &gt; ミジェーン</t>
  </si>
  <si>
    <t>オークション &gt; 自動車、オートバイ &gt; パーツ &gt; ブレーキ &gt; オートバイ用</t>
  </si>
  <si>
    <t>オークション &gt; ファッション &gt; レディースファッション &gt; ショートパンツ &gt; ミッシェルクラン</t>
  </si>
  <si>
    <t>オークション &gt; 自動車、オートバイ &gt; パーツ &gt; ブレーキ &gt; BMW用</t>
  </si>
  <si>
    <t>0,2084043920,26178,26180,2084045755</t>
  </si>
  <si>
    <t>オークション &gt; ファッション &gt; レディースファッション &gt; ショートパンツ &gt; ラブボート</t>
  </si>
  <si>
    <t>オークション &gt; 自動車、オートバイ &gt; パーツ &gt; ブレーキ &gt; いすゞ用</t>
  </si>
  <si>
    <t>オークション &gt; 自動車、オートバイ &gt; パーツ &gt; ブレーキ &gt; アウディ用</t>
  </si>
  <si>
    <t>オークション &gt; ファッション &gt; レディースファッション &gt; ショートパンツ &gt; ラルフローレン</t>
  </si>
  <si>
    <t>0,2084043920,26178,26180,2084045754</t>
  </si>
  <si>
    <t>オークション &gt; 自動車、オートバイ &gt; パーツ &gt; ブレーキ &gt; アルファロメオ用</t>
  </si>
  <si>
    <t>オークション &gt; ファッション &gt; レディースファッション &gt; ショートパンツ &gt; ロペ</t>
  </si>
  <si>
    <t>オークション &gt; チケット、金券、宿泊予約 &gt; 乗車券、交通券 &gt; 航空券 &gt; 優待券、割引券</t>
  </si>
  <si>
    <t>0,2084043920,26178,26180,2084208631</t>
  </si>
  <si>
    <t>オークション &gt; 自動車、オートバイ &gt; パーツ &gt; ブレーキ &gt; オペル用</t>
  </si>
  <si>
    <t>オークション &gt; ファッション &gt; レディースファッション &gt; ショートパンツ &gt; ヴィヴィアン ウエストウッド</t>
  </si>
  <si>
    <t>乗車券</t>
  </si>
  <si>
    <t>オークション &gt; 自動車、オートバイ &gt; パーツ &gt; ブレーキ &gt; クライスラー用</t>
  </si>
  <si>
    <t>オークション &gt; チケット、金券、宿泊予約 &gt; 乗車券、交通券 &gt; 鉄道乗車券 &gt; 乗車券</t>
  </si>
  <si>
    <t>オークション &gt; ファッション &gt; レディースファッション &gt; ショートパンツ &gt; 組曲</t>
  </si>
  <si>
    <t>0,2084043920,26178,2084007952,2084221351</t>
  </si>
  <si>
    <t>オークション &gt; 自動車、オートバイ &gt; パーツ &gt; ブレーキ &gt; シトロエン用</t>
  </si>
  <si>
    <t>キュロット一般</t>
  </si>
  <si>
    <t>オークション &gt; ファッション &gt; レディースファッション &gt; キュロット &gt; キュロット一般</t>
  </si>
  <si>
    <t>オークション &gt; チケット、金券、宿泊予約 &gt; 乗車券、交通券 &gt; 鉄道乗車券 &gt; 優待券、割引券</t>
  </si>
  <si>
    <t>オークション &gt; 自動車、オートバイ &gt; パーツ &gt; ブレーキ &gt; シボレー用</t>
  </si>
  <si>
    <t>0,2084043920,26178,2084007952,2084221352</t>
  </si>
  <si>
    <t>オークション &gt; ファッション &gt; レディースファッション &gt; キュロット &gt; アーペーセー</t>
  </si>
  <si>
    <t>オークション &gt; 自動車、オートバイ &gt; パーツ &gt; ブレーキ &gt; ジャガー用</t>
  </si>
  <si>
    <t>オークション &gt; ファッション &gt; レディースファッション &gt; キュロット &gt; アニエスb.</t>
  </si>
  <si>
    <t>オークション &gt; 自動車、オートバイ &gt; パーツ &gt; ブレーキ &gt; スズキ用</t>
  </si>
  <si>
    <t>オークション &gt; ファッション &gt; レディースファッション &gt; キュロット &gt; アルマーニ</t>
  </si>
  <si>
    <t>オークション &gt; 自動車、オートバイ &gt; パーツ &gt; ブレーキ &gt; スバル用</t>
  </si>
  <si>
    <t>オークション &gt; ファッション &gt; レディースファッション &gt; キュロット &gt; アンタイトル</t>
  </si>
  <si>
    <t>オークション &gt; 自動車、オートバイ &gt; パーツ &gt; ブレーキ &gt; ダイハツ用</t>
  </si>
  <si>
    <t>オークション &gt; ファッション &gt; レディースファッション &gt; キュロット &gt; イネド</t>
  </si>
  <si>
    <t>オークション &gt; 自動車、オートバイ &gt; パーツ &gt; ブレーキ &gt; トヨタ用</t>
  </si>
  <si>
    <t>オークション &gt; 自動車、オートバイ &gt; パーツ &gt; ブレーキ &gt; フィアット用</t>
  </si>
  <si>
    <t>オークション &gt; ファッション &gt; レディースファッション &gt; キュロット &gt; インエ</t>
  </si>
  <si>
    <t>オークション &gt; 自動車、オートバイ &gt; パーツ &gt; ブレーキ &gt; フォード用</t>
  </si>
  <si>
    <t>オークション &gt; ファッション &gt; レディースファッション &gt; キュロット &gt; インディヴィ</t>
  </si>
  <si>
    <t>オークション &gt; 自動車、オートバイ &gt; パーツ &gt; ブレーキ &gt; フォルクスワーゲン用</t>
  </si>
  <si>
    <t>オークション &gt; ファッション &gt; レディースファッション &gt; キュロット &gt; エル</t>
  </si>
  <si>
    <t>オークション &gt; ファッション &gt; レディースファッション &gt; キュロット &gt; オゾンコミュニティー</t>
  </si>
  <si>
    <t>オークション &gt; 自動車、オートバイ &gt; パーツ &gt; ブレーキ &gt; プジョー用</t>
  </si>
  <si>
    <t>オークション &gt; ファッション &gt; レディースファッション &gt; キュロット &gt; ギャップ</t>
  </si>
  <si>
    <t>オークション &gt; 自動車、オートバイ &gt; パーツ &gt; ブレーキ &gt; ホンダ用</t>
  </si>
  <si>
    <t>オークション &gt; ファッション &gt; レディースファッション &gt; キュロット &gt; クリスチャン・ディオール</t>
  </si>
  <si>
    <t>オークション &gt; 自動車、オートバイ &gt; パーツ &gt; ブレーキ &gt; ボルボ用</t>
  </si>
  <si>
    <t>オークション &gt; ファッション &gt; レディースファッション &gt; キュロット &gt; クレージュ</t>
  </si>
  <si>
    <t>オークション &gt; 自動車、オートバイ &gt; パーツ &gt; ブレーキ &gt; ポルシェ用</t>
  </si>
  <si>
    <t>オークション &gt; ファッション &gt; レディースファッション &gt; キュロット &gt; グッチ</t>
  </si>
  <si>
    <t>オークション &gt; 自動車、オートバイ &gt; パーツ &gt; ブレーキ &gt; マツダ用</t>
  </si>
  <si>
    <t>オークション &gt; ファッション &gt; レディースファッション &gt; キュロット &gt; コム サ デ モード</t>
  </si>
  <si>
    <t>オークション &gt; 自動車、オートバイ &gt; パーツ &gt; ブレーキ &gt; ミニ用</t>
  </si>
  <si>
    <t>オークション &gt; ファッション &gt; レディースファッション &gt; キュロット &gt; コム デ ギャルソン</t>
  </si>
  <si>
    <t>オークション &gt; 自動車、オートバイ &gt; パーツ &gt; ブレーキ &gt; メルセデス・ベンツ用</t>
  </si>
  <si>
    <t>オークション &gt; ファッション &gt; レディースファッション &gt; キュロット &gt; シップス</t>
  </si>
  <si>
    <t>ランチア用</t>
  </si>
  <si>
    <t>オークション &gt; 自動車、オートバイ &gt; パーツ &gt; ブレーキ &gt; ランチア用</t>
  </si>
  <si>
    <t>オークション &gt; ファッション &gt; レディースファッション &gt; キュロット &gt; シャネル</t>
  </si>
  <si>
    <t>オークション &gt; ファッション &gt; レディースファッション &gt; キュロット &gt; ズッカ</t>
  </si>
  <si>
    <t>オークション &gt; 自動車、オートバイ &gt; パーツ &gt; ブレーキ &gt; ルノー用</t>
  </si>
  <si>
    <t>オークション &gt; ファッション &gt; レディースファッション &gt; キュロット &gt; セシルマクビー</t>
  </si>
  <si>
    <t>オークション &gt; 自動車、オートバイ &gt; パーツ &gt; ブレーキ &gt; レクサス用</t>
  </si>
  <si>
    <t>0,2084043920,2084007688,23968,2084005121</t>
  </si>
  <si>
    <t>オークション &gt; 自動車、オートバイ &gt; パーツ &gt; ブレーキ &gt; 三菱用</t>
  </si>
  <si>
    <t>オークション &gt; ファッション &gt; レディースファッション &gt; キュロット &gt; ダナ･キャラン,DKNY</t>
  </si>
  <si>
    <t>0,2084043920,2084007688,23968,2084005120</t>
  </si>
  <si>
    <t>オークション &gt; ファッション &gt; レディースファッション &gt; キュロット &gt; ツモリチサト</t>
  </si>
  <si>
    <t>オークション &gt; 自動車、オートバイ &gt; パーツ &gt; ブレーキ &gt; 日産用</t>
  </si>
  <si>
    <t>0,2084043920,2084007688,23968,2084005113</t>
  </si>
  <si>
    <t>オークション &gt; 自動車、オートバイ &gt; パーツ &gt; ブレーキ &gt; その他</t>
  </si>
  <si>
    <t>オークション &gt; ファッション &gt; レディースファッション &gt; キュロット &gt; ナイスクラップ</t>
  </si>
  <si>
    <t>0,2084043920,2084007688,23968,2084005119</t>
  </si>
  <si>
    <t>オークション &gt; ファッション &gt; レディースファッション &gt; キュロット &gt; バーバリー</t>
  </si>
  <si>
    <t>トラック、ダンプ専用</t>
  </si>
  <si>
    <t>オークション &gt; 自動車、オートバイ &gt; パーツ &gt; 外装、エアロ &gt; トラック、ダンプ専用</t>
  </si>
  <si>
    <t>オークション &gt; ファッション &gt; レディースファッション &gt; キュロット &gt; ヒステリックグラマー</t>
  </si>
  <si>
    <t>自動車メーカー別</t>
  </si>
  <si>
    <t>オークション &gt; 自動車、オートバイ &gt; パーツ &gt; 外装、エアロ &gt; 自動車メーカー別</t>
  </si>
  <si>
    <t>0,2084043920,2084007688,23968,2084005123</t>
  </si>
  <si>
    <t>オークション &gt; ファッション &gt; レディースファッション &gt; キュロット &gt; ビームス</t>
  </si>
  <si>
    <t>エンブレム</t>
  </si>
  <si>
    <t>オークション &gt; 自動車、オートバイ &gt; パーツ &gt; 外装、エアロ &gt; エンブレム</t>
  </si>
  <si>
    <t>オークション &gt; ファッション &gt; レディースファッション &gt; キュロット &gt; ビバユー</t>
  </si>
  <si>
    <t>0,2084043920,2084007688,23968,2084005105</t>
  </si>
  <si>
    <t>キャリア、ラック</t>
  </si>
  <si>
    <t>オークション &gt; 自動車、オートバイ &gt; パーツ &gt; 外装、エアロ &gt; キャリア、ラック</t>
  </si>
  <si>
    <t>オークション &gt; ファッション &gt; レディースファッション &gt; キュロット &gt; ピンキー＆ダイアン</t>
  </si>
  <si>
    <t>0,2084043920,2084007688,23968,2084005124</t>
  </si>
  <si>
    <t>モール</t>
  </si>
  <si>
    <t>オークション &gt; 自動車、オートバイ &gt; パーツ &gt; 外装、エアロ &gt; モール</t>
  </si>
  <si>
    <t>オークション &gt; ファッション &gt; レディースファッション &gt; キュロット &gt; ピンクハウス</t>
  </si>
  <si>
    <t>0,2084043920,2084007688,23968,2084005122</t>
  </si>
  <si>
    <t>オークション &gt; 自動車、オートバイ &gt; パーツ &gt; 外装、エアロ &gt; その他</t>
  </si>
  <si>
    <t>オークション &gt; ファッション &gt; レディースファッション &gt; キュロット &gt; フェンディ</t>
  </si>
  <si>
    <t>オートバイ用ライト、ウインカー</t>
  </si>
  <si>
    <t>0,2084043920,2084007688,23968,2084048484</t>
  </si>
  <si>
    <t>オークション &gt; 自動車、オートバイ &gt; パーツ &gt; ライト &gt; オートバイ用ライト、ウインカー</t>
  </si>
  <si>
    <t>オークション &gt; ファッション &gt; レディースファッション &gt; キュロット &gt; プライベートレーベル</t>
  </si>
  <si>
    <t>0,2084043920,2084007688,23968,2084005109</t>
  </si>
  <si>
    <t>オークション &gt; 自動車、オートバイ &gt; パーツ &gt; ライト &gt; トラック、ダンプ専用</t>
  </si>
  <si>
    <t>オークション &gt; ファッション &gt; レディースファッション &gt; キュロット &gt; プラダ</t>
  </si>
  <si>
    <t>オークション &gt; 自動車、オートバイ &gt; パーツ &gt; ライト &gt; 自動車メーカー別</t>
  </si>
  <si>
    <t>0,2084043920,2084007688,23968,2084007949</t>
  </si>
  <si>
    <t>オークション &gt; ファッション &gt; レディースファッション &gt; キュロット &gt; ベネトン</t>
  </si>
  <si>
    <t>HIDキット</t>
  </si>
  <si>
    <t>オークション &gt; 自動車、オートバイ &gt; パーツ &gt; ライト &gt; HIDキット</t>
  </si>
  <si>
    <t>オークション &gt; ファッション &gt; レディースファッション &gt; キュロット &gt; マウジー</t>
  </si>
  <si>
    <t>0,2084043920,2084007688,23968,2084007950</t>
  </si>
  <si>
    <t>デイライト</t>
  </si>
  <si>
    <t>オークション &gt; 自動車、オートバイ &gt; パーツ &gt; ライト &gt; デイライト</t>
  </si>
  <si>
    <t>オークション &gt; ファッション &gt; レディースファッション &gt; キュロット &gt; ミッシェルクラン</t>
  </si>
  <si>
    <t>0,2084043920,2084007688,23968,2084048482</t>
  </si>
  <si>
    <t>バルブ</t>
  </si>
  <si>
    <t>オークション &gt; 自動車、オートバイ &gt; パーツ &gt; ライト &gt; バルブ</t>
  </si>
  <si>
    <t>オークション &gt; ファッション &gt; レディースファッション &gt; キュロット &gt; ラルフローレン</t>
  </si>
  <si>
    <t>0,2084043920,2084007688,23968,2084005104</t>
  </si>
  <si>
    <t>フォグランプ</t>
  </si>
  <si>
    <t>オークション &gt; 自動車、オートバイ &gt; パーツ &gt; ライト &gt; フォグランプ</t>
  </si>
  <si>
    <t>オークション &gt; ファッション &gt; レディースファッション &gt; キュロット &gt; ロペ</t>
  </si>
  <si>
    <t>オークション &gt; 自動車、オートバイ &gt; パーツ &gt; ライト &gt; その他</t>
  </si>
  <si>
    <t>オークション &gt; ファッション &gt; レディースファッション &gt; キュロット &gt; ヴィヴィアン ウエストウッド</t>
  </si>
  <si>
    <t>0,2084043920,2084007688,23968,2084007801</t>
  </si>
  <si>
    <t>オークション &gt; 自動車、オートバイ &gt; パーツ &gt; ドアミラー &gt; トラック、ダンプ専用</t>
  </si>
  <si>
    <t>オークション &gt; ファッション &gt; レディースファッション &gt; キュロット &gt; 組曲</t>
  </si>
  <si>
    <t>0,2084043920,2084007688,23968,2084048481</t>
  </si>
  <si>
    <t>オークション &gt; 自動車、オートバイ &gt; パーツ &gt; ドアミラー &gt; BMW用</t>
  </si>
  <si>
    <t>オークション &gt; ファッション &gt; レディースファッション &gt; チノパン &gt; XSサイズ以下</t>
  </si>
  <si>
    <t>0,2084043920,2084007688,23968,2084048483</t>
  </si>
  <si>
    <t>オークション &gt; 自動車、オートバイ &gt; パーツ &gt; ドアミラー &gt; いすゞ用</t>
  </si>
  <si>
    <t>オークション &gt; ファッション &gt; レディースファッション &gt; チノパン &gt; Sサイズ</t>
  </si>
  <si>
    <t>オークション &gt; 自動車、オートバイ &gt; パーツ &gt; ドアミラー &gt; アウディ用</t>
  </si>
  <si>
    <t>オークション &gt; ファッション &gt; レディースファッション &gt; チノパン &gt; Mサイズ</t>
  </si>
  <si>
    <t>0,2084043920,2084007688,23968,2084005125</t>
  </si>
  <si>
    <t>オークション &gt; ファッション &gt; レディースファッション &gt; チノパン &gt; Lサイズ</t>
  </si>
  <si>
    <t>オークション &gt; 自動車、オートバイ &gt; パーツ &gt; ドアミラー &gt; アルファロメオ用</t>
  </si>
  <si>
    <t>0,2084043920,2084007688,2084007697,2084222920</t>
  </si>
  <si>
    <t>オークション &gt; 自動車、オートバイ &gt; パーツ &gt; ドアミラー &gt; オペル用</t>
  </si>
  <si>
    <t>オークション &gt; ファッション &gt; レディースファッション &gt; チノパン &gt; XLサイズ以上</t>
  </si>
  <si>
    <t>0,2084043920,2084007688,2084007697,2084007694</t>
  </si>
  <si>
    <t>パンツスーツ</t>
  </si>
  <si>
    <t>オークション &gt; 自動車、オートバイ &gt; パーツ &gt; ドアミラー &gt; クライスラー用</t>
  </si>
  <si>
    <t>オークション &gt; ファッション &gt; レディースファッション &gt; スーツ &gt; パンツスーツ</t>
  </si>
  <si>
    <t>0,2084043920,2084007688,2084007697,2084048493</t>
  </si>
  <si>
    <t>オークション &gt; 自動車、オートバイ &gt; パーツ &gt; ドアミラー &gt; シトロエン用</t>
  </si>
  <si>
    <t>オークション &gt; ファッション &gt; レディースファッション &gt; スーツ &gt; ミニスカート</t>
  </si>
  <si>
    <t>オークション &gt; 自動車、オートバイ &gt; パーツ &gt; ドアミラー &gt; シボレー用</t>
  </si>
  <si>
    <t>0,2084043920,2084007688,2084007697,2084046715</t>
  </si>
  <si>
    <t>オークション &gt; ファッション &gt; レディースファッション &gt; スーツ &gt; ひざ丈スカート</t>
  </si>
  <si>
    <t>オークション &gt; 自動車、オートバイ &gt; パーツ &gt; ドアミラー &gt; ジャガー用</t>
  </si>
  <si>
    <t>オークション &gt; ファッション &gt; レディースファッション &gt; スーツ &gt; ロングスカート</t>
  </si>
  <si>
    <t>オークション &gt; 自動車、オートバイ &gt; パーツ &gt; ドアミラー &gt; スズキ用</t>
  </si>
  <si>
    <t>0,2084043920,2084007688,2084007697,2084051817</t>
  </si>
  <si>
    <t>キュロットスーツ</t>
  </si>
  <si>
    <t>オークション &gt; ファッション &gt; レディースファッション &gt; スーツ &gt; キュロットスーツ</t>
  </si>
  <si>
    <t>オークション &gt; 自動車、オートバイ &gt; パーツ &gt; ドアミラー &gt; スバル用</t>
  </si>
  <si>
    <t>ウエディングドレス</t>
  </si>
  <si>
    <t>0,2084043920,2084007688,2084007697,2084046716</t>
  </si>
  <si>
    <t>オークション &gt; ファッション &gt; レディースファッション &gt; フォーマル &gt; ウエディングドレス</t>
  </si>
  <si>
    <t>オークション &gt; 自動車、オートバイ &gt; パーツ &gt; ドアミラー &gt; ダイハツ用</t>
  </si>
  <si>
    <t>ウエディングベール</t>
  </si>
  <si>
    <t>オークション &gt; ファッション &gt; レディースファッション &gt; フォーマル &gt; ウエディングベール</t>
  </si>
  <si>
    <t>オークション &gt; 自動車、オートバイ &gt; パーツ &gt; ドアミラー &gt; トヨタ用</t>
  </si>
  <si>
    <t>0,2084043920,2084007688,2084007697,2084007695</t>
  </si>
  <si>
    <t>オークション &gt; ファッション &gt; レディースファッション &gt; フォーマル &gt; ティアラ</t>
  </si>
  <si>
    <t>オークション &gt; 自動車、オートバイ &gt; パーツ &gt; ドアミラー &gt; フィアット用</t>
  </si>
  <si>
    <t>パニエ</t>
  </si>
  <si>
    <t>0,2084043920,2084007688,2084007697,2084047643</t>
  </si>
  <si>
    <t>オークション &gt; ファッション &gt; レディースファッション &gt; フォーマル &gt; パニエ</t>
  </si>
  <si>
    <t>オークション &gt; 自動車、オートバイ &gt; パーツ &gt; ドアミラー &gt; フォード用</t>
  </si>
  <si>
    <t>ウエディンググローブ</t>
  </si>
  <si>
    <t>オークション &gt; ファッション &gt; レディースファッション &gt; フォーマル &gt; ウエディンググローブ</t>
  </si>
  <si>
    <t>オークション &gt; 自動車、オートバイ &gt; パーツ &gt; ドアミラー &gt; フォルクスワーゲン用</t>
  </si>
  <si>
    <t>0,2084043920,2084007688,2084007697,2084007700</t>
  </si>
  <si>
    <t>ウエディング用インナーウエア</t>
  </si>
  <si>
    <t>オークション &gt; ファッション &gt; レディースファッション &gt; フォーマル &gt; ウエディング用インナーウエア</t>
  </si>
  <si>
    <t>オークション &gt; 自動車、オートバイ &gt; パーツ &gt; ドアミラー &gt; プジョー用</t>
  </si>
  <si>
    <t>カラードレス</t>
  </si>
  <si>
    <t>オークション &gt; ファッション &gt; レディースファッション &gt; フォーマル &gt; カラードレス</t>
  </si>
  <si>
    <t>オークション &gt; 自動車、オートバイ &gt; パーツ &gt; ドアミラー &gt; ホンダ用</t>
  </si>
  <si>
    <t>ブラックフォーマル、喪服</t>
  </si>
  <si>
    <t>オークション &gt; ファッション &gt; レディースファッション &gt; フォーマル &gt; ブラックフォーマル、喪服</t>
  </si>
  <si>
    <t>オークション &gt; 自動車、オートバイ &gt; パーツ &gt; ドアミラー &gt; ボルボ用</t>
  </si>
  <si>
    <t>和服</t>
  </si>
  <si>
    <t>オークション &gt; ファッション &gt; レディースファッション &gt; フォーマル &gt; 和服</t>
  </si>
  <si>
    <t>シャツ、ブラウス</t>
  </si>
  <si>
    <t>オークション &gt; ファッション &gt; レディースファッション &gt; フォーマル &gt; シャツ、ブラウス</t>
  </si>
  <si>
    <t>オークション &gt; 自動車、オートバイ &gt; パーツ &gt; ドアミラー &gt; ポルシェ用</t>
  </si>
  <si>
    <t>オークション &gt; ファッション &gt; レディースファッション &gt; フォーマル &gt; ジャケット、上着</t>
  </si>
  <si>
    <t>オークション &gt; 自動車、オートバイ &gt; パーツ &gt; ドアミラー &gt; マツダ用</t>
  </si>
  <si>
    <t>オークション &gt; 自動車、オートバイ &gt; パーツ &gt; ドアミラー &gt; ミニ用</t>
  </si>
  <si>
    <t>スーツ、アンサンブル</t>
  </si>
  <si>
    <t>オークション &gt; ファッション &gt; レディースファッション &gt; フォーマル &gt; スーツ、アンサンブル</t>
  </si>
  <si>
    <t>オークション &gt; 自動車、オートバイ &gt; パーツ &gt; ドアミラー &gt; メルセデス・ベンツ用</t>
  </si>
  <si>
    <t>オークション &gt; ファッション &gt; レディースファッション &gt; フォーマル &gt; スカート</t>
  </si>
  <si>
    <t>オークション &gt; 自動車、オートバイ &gt; パーツ &gt; ドアミラー &gt; ルノー用</t>
  </si>
  <si>
    <t>オークション &gt; ファッション &gt; レディースファッション &gt; フォーマル &gt; パンツ</t>
  </si>
  <si>
    <t>オークション &gt; 自動車、オートバイ &gt; パーツ &gt; ドアミラー &gt; 三菱用</t>
  </si>
  <si>
    <t>オークション &gt; ファッション &gt; レディースファッション &gt; フォーマル &gt; ワンピース</t>
  </si>
  <si>
    <t>オークション &gt; 自動車、オートバイ &gt; パーツ &gt; ドアミラー &gt; 日産用</t>
  </si>
  <si>
    <t>パーティバッグ</t>
  </si>
  <si>
    <t>オークション &gt; ファッション &gt; レディースファッション &gt; フォーマル &gt; パーティバッグ</t>
  </si>
  <si>
    <t>オークション &gt; 自動車、オートバイ &gt; パーツ &gt; ドアミラー &gt; その他</t>
  </si>
  <si>
    <t>数珠</t>
  </si>
  <si>
    <t>オークション &gt; ファッション &gt; レディースファッション &gt; フォーマル &gt; 数珠</t>
  </si>
  <si>
    <t>オークション &gt; 自動車、オートバイ &gt; パーツ &gt; 内装品 &gt; トラック、ダンプ専用</t>
  </si>
  <si>
    <t>オークション &gt; ファッション &gt; レディースファッション &gt; フォーマル &gt; その他</t>
  </si>
  <si>
    <t>オークション &gt; 自動車、オートバイ &gt; パーツ &gt; 内装品 &gt; 自動車メーカー別</t>
  </si>
  <si>
    <t>オークション &gt; ファッション &gt; レディースファッション &gt; インナーウエア &gt; セット</t>
  </si>
  <si>
    <t>ウィンドウフィルム、カーフィルム</t>
  </si>
  <si>
    <t>オークション &gt; 自動車、オートバイ &gt; パーツ &gt; 内装品 &gt; ウィンドウフィルム、カーフィルム</t>
  </si>
  <si>
    <t>オークション &gt; ファッション &gt; レディースファッション &gt; インナーウエア &gt; アンダーシャツ</t>
  </si>
  <si>
    <t>ETC</t>
  </si>
  <si>
    <t>オークション &gt; 自動車、オートバイ &gt; パーツ &gt; 内装品 &gt; ETC</t>
  </si>
  <si>
    <t>キャミソール</t>
  </si>
  <si>
    <t>オークション &gt; ファッション &gt; レディースファッション &gt; インナーウエア &gt; キャミソール</t>
  </si>
  <si>
    <t>東京</t>
  </si>
  <si>
    <t>オークション &gt; 自動車、オートバイ &gt; パーツ &gt; 内装品 &gt; カーオーディオ</t>
  </si>
  <si>
    <t>オークション &gt; チケット、金券、宿泊予約 &gt; 宿泊予約 &gt; 関東 &gt; 東京</t>
  </si>
  <si>
    <t>ブラジャー</t>
  </si>
  <si>
    <t>0,2084043920,2084062636,2084221303,2084221304</t>
  </si>
  <si>
    <t>オークション &gt; ファッション &gt; レディースファッション &gt; インナーウエア &gt; ブラジャー</t>
  </si>
  <si>
    <t>カーナビゲーション</t>
  </si>
  <si>
    <t>オークション &gt; 自動車、オートバイ &gt; パーツ &gt; 内装品 &gt; カーナビゲーション</t>
  </si>
  <si>
    <t>神奈川</t>
  </si>
  <si>
    <t>スリップ</t>
  </si>
  <si>
    <t>オークション &gt; チケット、金券、宿泊予約 &gt; 宿泊予約 &gt; 関東 &gt; 神奈川</t>
  </si>
  <si>
    <t>オークション &gt; ファッション &gt; レディースファッション &gt; インナーウエア &gt; スリップ</t>
  </si>
  <si>
    <t>0,2084043920,2084062636,2084221303,2084221305</t>
  </si>
  <si>
    <t>オークション &gt; 自動車、オートバイ &gt; パーツ &gt; 内装品 &gt; シート</t>
  </si>
  <si>
    <t>ベビードール</t>
  </si>
  <si>
    <t>ステアリング</t>
  </si>
  <si>
    <t>千葉</t>
  </si>
  <si>
    <t>オークション &gt; ファッション &gt; レディースファッション &gt; インナーウエア &gt; ベビードール</t>
  </si>
  <si>
    <t>オークション &gt; 自動車、オートバイ &gt; パーツ &gt; 内装品 &gt; ステアリング</t>
  </si>
  <si>
    <t>オークション &gt; チケット、金券、宿泊予約 &gt; 宿泊予約 &gt; 関東 &gt; 千葉</t>
  </si>
  <si>
    <t>0,2084043920,2084062636,2084221303,2084221306</t>
  </si>
  <si>
    <t>ショーツ</t>
  </si>
  <si>
    <t>セキュリティ</t>
  </si>
  <si>
    <t>オークション &gt; ファッション &gt; レディースファッション &gt; インナーウエア &gt; ショーツ</t>
  </si>
  <si>
    <t>オークション &gt; 自動車、オートバイ &gt; パーツ &gt; 内装品 &gt; セキュリティ</t>
  </si>
  <si>
    <t>埼玉、茨城、栃木、群馬</t>
  </si>
  <si>
    <t>オークション &gt; チケット、金券、宿泊予約 &gt; 宿泊予約 &gt; 関東 &gt; 埼玉、茨城、栃木、群馬</t>
  </si>
  <si>
    <t>0,2084043920,2084062636,2084221303,2084221308</t>
  </si>
  <si>
    <t>計器</t>
  </si>
  <si>
    <t>ガーターベルト</t>
  </si>
  <si>
    <t>オークション &gt; 自動車、オートバイ &gt; パーツ &gt; 内装品 &gt; 計器</t>
  </si>
  <si>
    <t>オークション &gt; ファッション &gt; レディースファッション &gt; インナーウエア &gt; ガーターベルト</t>
  </si>
  <si>
    <t>山梨</t>
  </si>
  <si>
    <t>オークション &gt; チケット、金券、宿泊予約 &gt; 宿泊予約 &gt; 関東 &gt; 山梨</t>
  </si>
  <si>
    <t>タップパンツ、フレアパンツ</t>
  </si>
  <si>
    <t>0,2084043920,2084062636,2084221303,2084221307</t>
  </si>
  <si>
    <t>オークション &gt; ファッション &gt; レディースファッション &gt; インナーウエア &gt; タップパンツ、フレアパンツ</t>
  </si>
  <si>
    <t>オークション &gt; 自動車、オートバイ &gt; パーツ &gt; 内装品 &gt; アクセサリー</t>
  </si>
  <si>
    <t>ストッキング</t>
  </si>
  <si>
    <t>オークション &gt; ファッション &gt; レディースファッション &gt; インナーウエア &gt; ストッキング</t>
  </si>
  <si>
    <t>静岡</t>
  </si>
  <si>
    <t>オークション &gt; チケット、金券、宿泊予約 &gt; 宿泊予約 &gt; 東海 &gt; 静岡</t>
  </si>
  <si>
    <t>0,2084043920,2084062636,2084221310,2084221311</t>
  </si>
  <si>
    <t>補正下着</t>
  </si>
  <si>
    <t>オークション &gt; 自動車、オートバイ &gt; パーツ &gt; 内装品 &gt; その他</t>
  </si>
  <si>
    <t>オークション &gt; ファッション &gt; レディースファッション &gt; インナーウエア &gt; 補正下着</t>
  </si>
  <si>
    <t>愛知、岐阜、三重</t>
  </si>
  <si>
    <t>オークション &gt; チケット、金券、宿泊予約 &gt; 宿泊予約 &gt; 東海 &gt; 愛知、岐阜、三重</t>
  </si>
  <si>
    <t>スポーツ用</t>
  </si>
  <si>
    <t>0,2084043920,2084062636,2084221310,2084221312</t>
  </si>
  <si>
    <t>オークション &gt; ファッション &gt; レディースファッション &gt; インナーウエア &gt; スポーツ用</t>
  </si>
  <si>
    <t>オークション &gt; 自動車、オートバイ &gt; パーツ &gt; ステアリング &gt; 自動車メーカー別</t>
  </si>
  <si>
    <t>オークション &gt; チケット、金券、宿泊予約 &gt; 宿泊予約 &gt; 東海 &gt; 山梨</t>
  </si>
  <si>
    <t>イタルボランテ</t>
  </si>
  <si>
    <t>0,2084043920,2084062636,2084221310,2084221307</t>
  </si>
  <si>
    <t>オークション &gt; ファッション &gt; レディースファッション &gt; インナーウエア &gt; ウエディング用インナーウエア</t>
  </si>
  <si>
    <t>オークション &gt; 自動車、オートバイ &gt; パーツ &gt; ステアリング &gt; イタルボランテ</t>
  </si>
  <si>
    <t>和服用インナーウエア</t>
  </si>
  <si>
    <t>オークション &gt; ファッション &gt; レディースファッション &gt; インナーウエア &gt; 和服用インナーウエア</t>
  </si>
  <si>
    <t>ナルディ</t>
  </si>
  <si>
    <t>オークション &gt; 自動車、オートバイ &gt; パーツ &gt; ステアリング &gt; ナルディ</t>
  </si>
  <si>
    <t>タイツ</t>
  </si>
  <si>
    <t>オークション &gt; ファッション &gt; レディースファッション &gt; インナーウエア &gt; タイツ</t>
  </si>
  <si>
    <t>マタニティ用インナーウエア</t>
  </si>
  <si>
    <t>モモ</t>
  </si>
  <si>
    <t>オークション &gt; ファッション &gt; レディースファッション &gt; インナーウエア &gt; マタニティ用インナーウエア</t>
  </si>
  <si>
    <t>オークション &gt; 自動車、オートバイ &gt; パーツ &gt; ステアリング &gt; モモ</t>
  </si>
  <si>
    <t>オークション &gt; ファッション &gt; レディースファッション &gt; インナーウエア &gt; パジャマ</t>
  </si>
  <si>
    <t>オークション &gt; 自動車、オートバイ &gt; パーツ &gt; ステアリング &gt; その他</t>
  </si>
  <si>
    <t>靴下</t>
  </si>
  <si>
    <t>オークション &gt; ファッション &gt; レディースファッション &gt; インナーウエア &gt; 靴下</t>
  </si>
  <si>
    <t>オークション &gt; 自動車、オートバイ &gt; パーツ &gt; シート &gt; オートバイ用</t>
  </si>
  <si>
    <t>オークション &gt; ファッション &gt; レディースファッション &gt; インナーウエア &gt; その他</t>
  </si>
  <si>
    <t>オークション &gt; 自動車、オートバイ &gt; パーツ &gt; シート &gt; 自動車メーカー別</t>
  </si>
  <si>
    <t>スパルコ</t>
  </si>
  <si>
    <t>セパレート</t>
  </si>
  <si>
    <t>オークション &gt; 自動車、オートバイ &gt; パーツ &gt; シート &gt; スパルコ</t>
  </si>
  <si>
    <t>オークション &gt; ファッション &gt; レディースファッション &gt; 水着 &gt; セパレート</t>
  </si>
  <si>
    <t>ブリッド</t>
  </si>
  <si>
    <t>オークション &gt; 自動車、オートバイ &gt; パーツ &gt; シート &gt; ブリッド</t>
  </si>
  <si>
    <t>オークション &gt; ファッション &gt; レディースファッション &gt; 水着 &gt; ワンピース</t>
  </si>
  <si>
    <t>オークション &gt; ファッション &gt; レディースファッション &gt; 水着 &gt; スポーツ用</t>
  </si>
  <si>
    <t>オークション &gt; 自動車、オートバイ &gt; パーツ &gt; シート &gt; レカロ</t>
  </si>
  <si>
    <t>スイムショーツ</t>
  </si>
  <si>
    <t>オークション &gt; ファッション &gt; レディースファッション &gt; 水着 &gt; スイムショーツ</t>
  </si>
  <si>
    <t>シートカバー</t>
  </si>
  <si>
    <t>オークション &gt; 自動車、オートバイ &gt; パーツ &gt; シート &gt; シートカバー</t>
  </si>
  <si>
    <t>パッド</t>
  </si>
  <si>
    <t>オークション &gt; ファッション &gt; レディースファッション &gt; 水着 &gt; パッド</t>
  </si>
  <si>
    <t>シートベルト</t>
  </si>
  <si>
    <t>オークション &gt; 自動車、オートバイ &gt; パーツ &gt; シート &gt; シートベルト</t>
  </si>
  <si>
    <t>パレオ</t>
  </si>
  <si>
    <t>オークション &gt; ファッション &gt; レディースファッション &gt; 水着 &gt; パレオ</t>
  </si>
  <si>
    <t>オークション &gt; 自動車、オートバイ &gt; パーツ &gt; シート &gt; チャイルドシート</t>
  </si>
  <si>
    <t>オークション &gt; ファッション &gt; レディースファッション &gt; 水着 &gt; アクセサリー</t>
  </si>
  <si>
    <t>ベビーシート</t>
  </si>
  <si>
    <t>オークション &gt; 自動車、オートバイ &gt; パーツ &gt; シート &gt; ベビーシート</t>
  </si>
  <si>
    <t>水遊びグッズ</t>
  </si>
  <si>
    <t>オークション &gt; ファッション &gt; レディースファッション &gt; 水着 &gt; 水遊びグッズ</t>
  </si>
  <si>
    <t>コンバイン</t>
  </si>
  <si>
    <t>オークション &gt; 自動車、オートバイ &gt; パーツ &gt; シート &gt; その他</t>
  </si>
  <si>
    <t>オークション &gt; 花、園芸 &gt; 農業 &gt; 農業機械 &gt; コンバイン</t>
  </si>
  <si>
    <t>0,26086,2084200287,2084252938,2084230205</t>
  </si>
  <si>
    <t>オークション &gt; ファッション &gt; レディースファッション &gt; 水着 &gt; その他</t>
  </si>
  <si>
    <t>オークション &gt; 自動車、オートバイ &gt; パーツ &gt; 計器 &gt; 自動車メーカー別</t>
  </si>
  <si>
    <t>トラクター</t>
  </si>
  <si>
    <t>オークション &gt; 花、園芸 &gt; 農業 &gt; 農業機械 &gt; トラクター</t>
  </si>
  <si>
    <t>ターボタイマー</t>
  </si>
  <si>
    <t>0,26086,2084200287,2084252938,2084230204</t>
  </si>
  <si>
    <t>オークション &gt; 自動車、オートバイ &gt; パーツ &gt; 計器 &gt; ターボタイマー</t>
  </si>
  <si>
    <t>タコメーター</t>
  </si>
  <si>
    <t>オークション &gt; 自動車、オートバイ &gt; パーツ &gt; 計器 &gt; タコメーター</t>
  </si>
  <si>
    <t>耕うん機、管理機</t>
  </si>
  <si>
    <t>オークション &gt; 花、園芸 &gt; 農業 &gt; 農業機械 &gt; 耕うん機、管理機</t>
  </si>
  <si>
    <t>0,26086,2084200287,2084252938,2084230207</t>
  </si>
  <si>
    <t>追加メーター</t>
  </si>
  <si>
    <t>オークション &gt; 自動車、オートバイ &gt; パーツ &gt; 計器 &gt; 追加メーター</t>
  </si>
  <si>
    <t>草刈機、芝刈機、刈払機</t>
  </si>
  <si>
    <t>オークション &gt; 花、園芸 &gt; 農業 &gt; 農業機械 &gt; 草刈機、芝刈機、刈払機</t>
  </si>
  <si>
    <t>0,26086,2084200287,2084252938,2084244313</t>
  </si>
  <si>
    <t>オークション &gt; 自動車、オートバイ &gt; パーツ &gt; 計器 &gt; その他</t>
  </si>
  <si>
    <t>田植機</t>
  </si>
  <si>
    <t>オークション &gt; 花、園芸 &gt; 農業 &gt; 農業機械 &gt; 田植機</t>
  </si>
  <si>
    <t>0,26086,2084200287,2084252938,2084230206</t>
  </si>
  <si>
    <t>オートバイ用マフラー、チャンバー</t>
  </si>
  <si>
    <t>オークション &gt; 自動車、オートバイ &gt; パーツ &gt; マフラー、排気系パーツ &gt; オートバイ用マフラー、チャンバー</t>
  </si>
  <si>
    <t>エプロン</t>
  </si>
  <si>
    <t>発動機</t>
  </si>
  <si>
    <t>オークション &gt; ファッション &gt; レディースファッション &gt; ファッション小物 &gt; エプロン</t>
  </si>
  <si>
    <t>オークション &gt; 花、園芸 &gt; 農業 &gt; 農業機械 &gt; 発動機</t>
  </si>
  <si>
    <t>0,26086,2084200287,2084252938,2084252940</t>
  </si>
  <si>
    <t>オークション &gt; 自動車、オートバイ &gt; パーツ &gt; マフラー、排気系パーツ &gt; 自動車メーカー別</t>
  </si>
  <si>
    <t>コサージュ</t>
  </si>
  <si>
    <t>オークション &gt; ファッション &gt; レディースファッション &gt; ファッション小物 &gt; コサージュ</t>
  </si>
  <si>
    <t>アルミブリッジ</t>
  </si>
  <si>
    <t>マフラーカッター</t>
  </si>
  <si>
    <t>オークション &gt; 花、園芸 &gt; 農業 &gt; 農業機械 &gt; アルミブリッジ</t>
  </si>
  <si>
    <t>オークション &gt; 自動車、オートバイ &gt; パーツ &gt; マフラー、排気系パーツ &gt; マフラーカッター</t>
  </si>
  <si>
    <t>0,26086,2084200287,2084252938,2084263011</t>
  </si>
  <si>
    <t>サスペンダー</t>
  </si>
  <si>
    <t>オークション &gt; ファッション &gt; レディースファッション &gt; ファッション小物 &gt; サスペンダー</t>
  </si>
  <si>
    <t>オークション &gt; 自動車、オートバイ &gt; パーツ &gt; マフラー、排気系パーツ &gt; その他</t>
  </si>
  <si>
    <t>オークション &gt; ファッション &gt; レディースファッション &gt; ファッション小物 &gt; サングラス</t>
  </si>
  <si>
    <t>運搬車、トレーラー</t>
  </si>
  <si>
    <t>オークション &gt; 花、園芸 &gt; 農業 &gt; 農業機械 &gt; 運搬車、トレーラー</t>
  </si>
  <si>
    <t>エアコンフィルター</t>
  </si>
  <si>
    <t>0,26086,2084200287,2084252938,2084244321</t>
  </si>
  <si>
    <t>オークション &gt; 自動車、オートバイ &gt; パーツ &gt; フィルター &gt; エアコンフィルター</t>
  </si>
  <si>
    <t>スカーフ、ポケットチーフ</t>
  </si>
  <si>
    <t>オークション &gt; ファッション &gt; レディースファッション &gt; ファッション小物 &gt; スカーフ、ポケットチーフ</t>
  </si>
  <si>
    <t>業務用精米機</t>
  </si>
  <si>
    <t>オークション &gt; 自動車、オートバイ &gt; パーツ &gt; フィルター &gt; エアフィルター、エアクリーナー</t>
  </si>
  <si>
    <t>オークション &gt; 花、園芸 &gt; 農業 &gt; 農業機械 &gt; 業務用精米機</t>
  </si>
  <si>
    <t>0,26086,2084200287,2084252938,2084244715</t>
  </si>
  <si>
    <t>ストール</t>
  </si>
  <si>
    <t>オークション &gt; ファッション &gt; レディースファッション &gt; ファッション小物 &gt; ストール</t>
  </si>
  <si>
    <t>オイルフィルター</t>
  </si>
  <si>
    <t>オークション &gt; 自動車、オートバイ &gt; パーツ &gt; フィルター &gt; オイルフィルター</t>
  </si>
  <si>
    <t>チェーンソー</t>
  </si>
  <si>
    <t>オークション &gt; 花、園芸 &gt; 農業 &gt; 農業機械 &gt; チェーンソー</t>
  </si>
  <si>
    <t>0,26086,2084200287,2084252938,2084204606</t>
  </si>
  <si>
    <t>バンダナ</t>
  </si>
  <si>
    <t>オークション &gt; 自動車、オートバイ &gt; パーツ &gt; フィルター &gt; その他</t>
  </si>
  <si>
    <t>オークション &gt; ファッション &gt; レディースファッション &gt; ファッション小物 &gt; バンダナ</t>
  </si>
  <si>
    <t>除雪機</t>
  </si>
  <si>
    <t>オートバイ用エンジン、冷却装置</t>
  </si>
  <si>
    <t>オークション &gt; 花、園芸 &gt; 農業 &gt; 農業機械 &gt; 除雪機</t>
  </si>
  <si>
    <t>オークション &gt; 自動車、オートバイ &gt; パーツ &gt; エンジン、過給器、冷却装置 &gt; オートバイ用エンジン、冷却装置</t>
  </si>
  <si>
    <t>0,26086,2084200287,2084252938,2084215587</t>
  </si>
  <si>
    <t>ベルト</t>
  </si>
  <si>
    <t>オークション &gt; ファッション &gt; レディースファッション &gt; ファッション小物 &gt; ベルト</t>
  </si>
  <si>
    <t>オークション &gt; 自動車、オートバイ &gt; パーツ &gt; エンジン、過給器、冷却装置 &gt; 自動車メーカー別</t>
  </si>
  <si>
    <t>オークション &gt; 花、園芸 &gt; 農業 &gt; 農業機械 &gt; その他</t>
  </si>
  <si>
    <t>0,26086,2084200287,2084252938,2084230208</t>
  </si>
  <si>
    <t>オークション &gt; ファッション &gt; レディースファッション &gt; ファッション小物 &gt; マフラー</t>
  </si>
  <si>
    <t>エンジンオイル</t>
  </si>
  <si>
    <t>オークション &gt; 自動車、オートバイ &gt; パーツ &gt; エンジン、過給器、冷却装置 &gt; エンジンオイル</t>
  </si>
  <si>
    <t>雨傘</t>
  </si>
  <si>
    <t>農用シート</t>
  </si>
  <si>
    <t>オークション &gt; 花、園芸 &gt; 農業 &gt; 農業資材 &gt; 農用シート</t>
  </si>
  <si>
    <t>オークション &gt; ファッション &gt; レディースファッション &gt; ファッション小物 &gt; 雨傘</t>
  </si>
  <si>
    <t>0,26086,2084200287,2084252942,2084252943</t>
  </si>
  <si>
    <t>オークション &gt; 自動車、オートバイ &gt; パーツ &gt; エンジン、過給器、冷却装置 &gt; オイルフィルター</t>
  </si>
  <si>
    <t>防除ネット</t>
  </si>
  <si>
    <t>オークション &gt; ファッション &gt; レディースファッション &gt; ファッション小物 &gt; 靴下</t>
  </si>
  <si>
    <t>オークション &gt; 花、園芸 &gt; 農業 &gt; 農業資材 &gt; 防除ネット</t>
  </si>
  <si>
    <t>オークション &gt; 自動車、オートバイ &gt; パーツ &gt; エンジン、過給器、冷却装置 &gt; スパークプラグ</t>
  </si>
  <si>
    <t>0,26086,2084200287,2084252942,2084252944</t>
  </si>
  <si>
    <t>財布</t>
  </si>
  <si>
    <t>オークション &gt; ファッション &gt; レディースファッション &gt; ファッション小物 &gt; 財布</t>
  </si>
  <si>
    <t>オークション &gt; 自動車、オートバイ &gt; パーツ &gt; エンジン、過給器、冷却装置 &gt; その他</t>
  </si>
  <si>
    <t>オークション &gt; 花、園芸 &gt; 農業 &gt; 農業資材 &gt; その他</t>
  </si>
  <si>
    <t>0,26086,2084200287,2084252942,2084252947</t>
  </si>
  <si>
    <t>手袋</t>
  </si>
  <si>
    <t>オークション &gt; 自動車、オートバイ &gt; パーツ &gt; クラッチ、ミッション、デフ &gt; BMW用</t>
  </si>
  <si>
    <t>オークション &gt; ファッション &gt; レディースファッション &gt; ファッション小物 &gt; 手袋</t>
  </si>
  <si>
    <t>ひまわり</t>
  </si>
  <si>
    <t>オークション &gt; 花、園芸 &gt; ガーデニング &gt; 種 &gt; ひまわり</t>
  </si>
  <si>
    <t>0,26086,2084006704,2084206887,2084206893</t>
  </si>
  <si>
    <t>扇子</t>
  </si>
  <si>
    <t>オークション &gt; 自動車、オートバイ &gt; パーツ &gt; クラッチ、ミッション、デフ &gt; いすゞ用</t>
  </si>
  <si>
    <t>オークション &gt; ファッション &gt; レディースファッション &gt; ファッション小物 &gt; 扇子</t>
  </si>
  <si>
    <t>アサガオ</t>
  </si>
  <si>
    <t>オークション &gt; 花、園芸 &gt; ガーデニング &gt; 種 &gt; アサガオ</t>
  </si>
  <si>
    <t>定期入れ</t>
  </si>
  <si>
    <t>0,26086,2084006704,2084206887,2084216962</t>
  </si>
  <si>
    <t>オークション &gt; 自動車、オートバイ &gt; パーツ &gt; クラッチ、ミッション、デフ &gt; アウディ用</t>
  </si>
  <si>
    <t>オークション &gt; ファッション &gt; レディースファッション &gt; ファッション小物 &gt; 定期入れ</t>
  </si>
  <si>
    <t>日傘</t>
  </si>
  <si>
    <t>オークション &gt; ファッション &gt; レディースファッション &gt; ファッション小物 &gt; 日傘</t>
  </si>
  <si>
    <t>キキョウ</t>
  </si>
  <si>
    <t>オークション &gt; 自動車、オートバイ &gt; パーツ &gt; クラッチ、ミッション、デフ &gt; アルファロメオ用</t>
  </si>
  <si>
    <t>オークション &gt; 花、園芸 &gt; ガーデニング &gt; 種 &gt; キキョウ</t>
  </si>
  <si>
    <t>0,26086,2084006704,2084206887,2084216963</t>
  </si>
  <si>
    <t>オークション &gt; ファッション &gt; レディースファッション &gt; ファッション小物 &gt; 帽子</t>
  </si>
  <si>
    <t>オークション &gt; 自動車、オートバイ &gt; パーツ &gt; クラッチ、ミッション、デフ &gt; オペル用</t>
  </si>
  <si>
    <t>コスモス</t>
  </si>
  <si>
    <t>オークション &gt; 花、園芸 &gt; ガーデニング &gt; 種 &gt; コスモス</t>
  </si>
  <si>
    <t>作業用ヘルメット</t>
  </si>
  <si>
    <t>0,26086,2084006704,2084206887,2084206890</t>
  </si>
  <si>
    <t>オークション &gt; 住まい、インテリア &gt; 工具、DIY用品 &gt; 作業服 &gt; 作業用ヘルメット</t>
  </si>
  <si>
    <t>オークション &gt; 自動車、オートバイ &gt; パーツ &gt; クラッチ、ミッション、デフ &gt; クライスラー用</t>
  </si>
  <si>
    <t>スイートピー</t>
  </si>
  <si>
    <t>防寒服</t>
  </si>
  <si>
    <t>オークション &gt; 花、園芸 &gt; ガーデニング &gt; 種 &gt; スイートピー</t>
  </si>
  <si>
    <t>オークション &gt; 住まい、インテリア &gt; 工具、DIY用品 &gt; 作業服 &gt; 防寒服</t>
  </si>
  <si>
    <t>0,26086,2084006704,2084206887,2084216964</t>
  </si>
  <si>
    <t>オークション &gt; 自動車、オートバイ &gt; パーツ &gt; クラッチ、ミッション、デフ &gt; シトロエン用</t>
  </si>
  <si>
    <t>つなぎ、オーバーオール</t>
  </si>
  <si>
    <t>オークション &gt; 住まい、インテリア &gt; 工具、DIY用品 &gt; 作業服 &gt; つなぎ、オーバーオール</t>
  </si>
  <si>
    <t>ナデシコ</t>
  </si>
  <si>
    <t>オークション &gt; 自動車、オートバイ &gt; パーツ &gt; クラッチ、ミッション、デフ &gt; シボレー用</t>
  </si>
  <si>
    <t>オークション &gt; 花、園芸 &gt; ガーデニング &gt; 種 &gt; ナデシコ</t>
  </si>
  <si>
    <t>0,26086,2084006704,2084206887,2084216965</t>
  </si>
  <si>
    <t>オークション &gt; 住まい、インテリア &gt; 工具、DIY用品 &gt; 作業服 &gt; ジャンパー、ブルゾン</t>
  </si>
  <si>
    <t>オークション &gt; 自動車、オートバイ &gt; パーツ &gt; クラッチ、ミッション、デフ &gt; ジャガー用</t>
  </si>
  <si>
    <t>オークション &gt; 花、園芸 &gt; ガーデニング &gt; 種 &gt; ハーブ</t>
  </si>
  <si>
    <t>0,26086,2084006704,2084206887,2084206894</t>
  </si>
  <si>
    <t>オークション &gt; 住まい、インテリア &gt; 工具、DIY用品 &gt; 作業服 &gt; シャツ、ブラウス</t>
  </si>
  <si>
    <t>オークション &gt; 自動車、オートバイ &gt; パーツ &gt; クラッチ、ミッション、デフ &gt; スズキ用</t>
  </si>
  <si>
    <t>ハイビスカス</t>
  </si>
  <si>
    <t>オークション &gt; 花、園芸 &gt; ガーデニング &gt; 種 &gt; ハイビスカス</t>
  </si>
  <si>
    <t>オークション &gt; 住まい、インテリア &gt; 工具、DIY用品 &gt; 作業服 &gt; ボトムス</t>
  </si>
  <si>
    <t>0,26086,2084006704,2084206887,2084206891</t>
  </si>
  <si>
    <t>オークション &gt; 自動車、オートバイ &gt; パーツ &gt; クラッチ、ミッション、デフ &gt; スバル用</t>
  </si>
  <si>
    <t>パンジー</t>
  </si>
  <si>
    <t>小物、アクセサリー</t>
  </si>
  <si>
    <t>オークション &gt; 花、園芸 &gt; ガーデニング &gt; 種 &gt; パンジー</t>
  </si>
  <si>
    <t>オークション &gt; 住まい、インテリア &gt; 工具、DIY用品 &gt; 作業服 &gt; 小物、アクセサリー</t>
  </si>
  <si>
    <t>0,26086,2084006704,2084206887,2084206889</t>
  </si>
  <si>
    <t>オークション &gt; 自動車、オートバイ &gt; パーツ &gt; クラッチ、ミッション、デフ &gt; ダイハツ用</t>
  </si>
  <si>
    <t>作業靴</t>
  </si>
  <si>
    <t>オークション &gt; 花、園芸 &gt; ガーデニング &gt; 種 &gt; ビオラ</t>
  </si>
  <si>
    <t>オークション &gt; 住まい、インテリア &gt; 工具、DIY用品 &gt; 作業服 &gt; 作業靴</t>
  </si>
  <si>
    <t>0,26086,2084006704,2084206887,2084206888</t>
  </si>
  <si>
    <t>オークション &gt; 自動車、オートバイ &gt; パーツ &gt; クラッチ、ミッション、デフ &gt; トヨタ用</t>
  </si>
  <si>
    <t>プルメリア</t>
  </si>
  <si>
    <t>オークション &gt; 住まい、インテリア &gt; 工具、DIY用品 &gt; 作業服 &gt; その他</t>
  </si>
  <si>
    <t>オークション &gt; 花、園芸 &gt; ガーデニング &gt; 種 &gt; プルメリア</t>
  </si>
  <si>
    <t>オークション &gt; 自動車、オートバイ &gt; パーツ &gt; クラッチ、ミッション、デフ &gt; フィアット用</t>
  </si>
  <si>
    <t>0,26086,2084006704,2084206887,2084206892</t>
  </si>
  <si>
    <t>ナイロン製</t>
  </si>
  <si>
    <t>オークション &gt; ファッション &gt; レディースバッグ &gt; ショルダーバッグ &gt; ナイロン製</t>
  </si>
  <si>
    <t>オークション &gt; 自動車、オートバイ &gt; パーツ &gt; クラッチ、ミッション、デフ &gt; フォード用</t>
  </si>
  <si>
    <t>ポピー</t>
  </si>
  <si>
    <t>オークション &gt; 花、園芸 &gt; ガーデニング &gt; 種 &gt; ポピー</t>
  </si>
  <si>
    <t>0,26086,2084006704,2084206887,2084216966</t>
  </si>
  <si>
    <t>ビニール製</t>
  </si>
  <si>
    <t>オークション &gt; ファッション &gt; レディースバッグ &gt; ショルダーバッグ &gt; ビニール製</t>
  </si>
  <si>
    <t>オークション &gt; 自動車、オートバイ &gt; パーツ &gt; クラッチ、ミッション、デフ &gt; フォルクスワーゲン用</t>
  </si>
  <si>
    <t>野菜</t>
  </si>
  <si>
    <t>皮革製</t>
  </si>
  <si>
    <t>オークション &gt; 花、園芸 &gt; ガーデニング &gt; 種 &gt; 野菜</t>
  </si>
  <si>
    <t>オークション &gt; ファッション &gt; レディースバッグ &gt; ショルダーバッグ &gt; 皮革製</t>
  </si>
  <si>
    <t>オークション &gt; 自動車、オートバイ &gt; パーツ &gt; クラッチ、ミッション、デフ &gt; プジョー用</t>
  </si>
  <si>
    <t>0,26086,2084006704,2084206887,2084206895</t>
  </si>
  <si>
    <t>布製</t>
  </si>
  <si>
    <t>オークション &gt; 自動車、オートバイ &gt; パーツ &gt; クラッチ、ミッション、デフ &gt; ホンダ用</t>
  </si>
  <si>
    <t>オークション &gt; ファッション &gt; レディースバッグ &gt; ショルダーバッグ &gt; 布製</t>
  </si>
  <si>
    <t>オークション &gt; 花、園芸 &gt; ガーデニング &gt; 種 &gt; その他</t>
  </si>
  <si>
    <t>0,26086,2084006704,2084206887,2084206896</t>
  </si>
  <si>
    <t>オークション &gt; ファッション &gt; レディースバッグ &gt; ショルダーバッグ &gt; その他</t>
  </si>
  <si>
    <t>オークション &gt; 自動車、オートバイ &gt; パーツ &gt; クラッチ、ミッション、デフ &gt; ボルボ用</t>
  </si>
  <si>
    <t>アジサイ</t>
  </si>
  <si>
    <t>オークション &gt; 花、園芸 &gt; ガーデニング &gt; 苗 &gt; アジサイ</t>
  </si>
  <si>
    <t>0,26086,2084006704,2084206897,2084216967</t>
  </si>
  <si>
    <t>オークション &gt; ファッション &gt; レディースバッグ &gt; トートバッグ &gt; ナイロン製</t>
  </si>
  <si>
    <t>オークション &gt; 自動車、オートバイ &gt; パーツ &gt; クラッチ、ミッション、デフ &gt; ポルシェ用</t>
  </si>
  <si>
    <t>バラ</t>
  </si>
  <si>
    <t>オークション &gt; ファッション &gt; レディースバッグ &gt; トートバッグ &gt; ビニール製</t>
  </si>
  <si>
    <t>オークション &gt; 花、園芸 &gt; ガーデニング &gt; 苗 &gt; バラ</t>
  </si>
  <si>
    <t>オークション &gt; 自動車、オートバイ &gt; パーツ &gt; クラッチ、ミッション、デフ &gt; マツダ用</t>
  </si>
  <si>
    <t>0,26086,2084006704,2084206897,2084206898</t>
  </si>
  <si>
    <t>オークション &gt; 自動車、オートバイ &gt; パーツ &gt; クラッチ、ミッション、デフ &gt; ミニ用</t>
  </si>
  <si>
    <t>オークション &gt; ファッション &gt; レディースバッグ &gt; トートバッグ &gt; 皮革製</t>
  </si>
  <si>
    <t>オークション &gt; 花、園芸 &gt; ガーデニング &gt; 苗 &gt; パンジー</t>
  </si>
  <si>
    <t>0,26086,2084006704,2084206897,2084216968</t>
  </si>
  <si>
    <t>オークション &gt; 自動車、オートバイ &gt; パーツ &gt; クラッチ、ミッション、デフ &gt; メルセデス・ベンツ用</t>
  </si>
  <si>
    <t>オークション &gt; ファッション &gt; レディースバッグ &gt; トートバッグ &gt; 布製</t>
  </si>
  <si>
    <t>ラベンダー</t>
  </si>
  <si>
    <t>オークション &gt; 花、園芸 &gt; ガーデニング &gt; 苗 &gt; ラベンダー</t>
  </si>
  <si>
    <t>0,26086,2084006704,2084206897,2084216969</t>
  </si>
  <si>
    <t>オークション &gt; ファッション &gt; レディースバッグ &gt; トートバッグ &gt; その他</t>
  </si>
  <si>
    <t>オークション &gt; 自動車、オートバイ &gt; パーツ &gt; クラッチ、ミッション、デフ &gt; ランチア用</t>
  </si>
  <si>
    <t>ラン</t>
  </si>
  <si>
    <t>オークション &gt; 花、園芸 &gt; ガーデニング &gt; 苗 &gt; ラン</t>
  </si>
  <si>
    <t>オークション &gt; ファッション &gt; レディースバッグ &gt; ハンドバッグ &gt; ナイロン製</t>
  </si>
  <si>
    <t>0,26086,2084006704,2084206897,2084206900</t>
  </si>
  <si>
    <t>オークション &gt; 自動車、オートバイ &gt; パーツ &gt; クラッチ、ミッション、デフ &gt; ルノー用</t>
  </si>
  <si>
    <t>ワイルドストロベリー</t>
  </si>
  <si>
    <t>オークション &gt; ファッション &gt; レディースバッグ &gt; ハンドバッグ &gt; ビニール製</t>
  </si>
  <si>
    <t>オークション &gt; 花、園芸 &gt; ガーデニング &gt; 苗 &gt; ワイルドストロベリー</t>
  </si>
  <si>
    <t>0,26086,2084006704,2084206897,2084206899</t>
  </si>
  <si>
    <t>オークション &gt; 自動車、オートバイ &gt; パーツ &gt; クラッチ、ミッション、デフ &gt; レクサス用</t>
  </si>
  <si>
    <t>オークション &gt; ファッション &gt; レディースバッグ &gt; ハンドバッグ &gt; 皮革製</t>
  </si>
  <si>
    <t>果物</t>
  </si>
  <si>
    <t>オークション &gt; 自動車、オートバイ &gt; パーツ &gt; クラッチ、ミッション、デフ &gt; 三菱用</t>
  </si>
  <si>
    <t>オークション &gt; 花、園芸 &gt; ガーデニング &gt; 苗 &gt; 果物</t>
  </si>
  <si>
    <t>0,26086,2084006704,2084206897,2084216970</t>
  </si>
  <si>
    <t>オークション &gt; ファッション &gt; レディースバッグ &gt; ハンドバッグ &gt; 布製</t>
  </si>
  <si>
    <t>オークション &gt; ファッション &gt; レディースバッグ &gt; ハンドバッグ &gt; その他</t>
  </si>
  <si>
    <t>オークション &gt; 花、園芸 &gt; ガーデニング &gt; 苗 &gt; その他</t>
  </si>
  <si>
    <t>0,26086,2084006704,2084206897,2084206901</t>
  </si>
  <si>
    <t>オークション &gt; 自動車、オートバイ &gt; パーツ &gt; クラッチ、ミッション、デフ &gt; 日産用</t>
  </si>
  <si>
    <t>アタッシュケース一般</t>
  </si>
  <si>
    <t>オークション &gt; 事務、店舗用品 &gt; バッグ、スーツケース &gt; アタッシュケース &gt; アタッシュケース一般</t>
  </si>
  <si>
    <t>アリウム</t>
  </si>
  <si>
    <t>オークション &gt; 花、園芸 &gt; ガーデニング &gt; 球根 &gt; アリウム</t>
  </si>
  <si>
    <t>0,26086,2084006704,2084206882,2084216958</t>
  </si>
  <si>
    <t>オークション &gt; 自動車、オートバイ &gt; パーツ &gt; クラッチ、ミッション、デフ &gt; その他</t>
  </si>
  <si>
    <t>オークション &gt; 事務、店舗用品 &gt; バッグ、スーツケース &gt; アタッシュケース &gt; ゼロハリバートン</t>
  </si>
  <si>
    <t>オキザリス</t>
  </si>
  <si>
    <t>オークション &gt; 花、園芸 &gt; ガーデニング &gt; 球根 &gt; オキザリス</t>
  </si>
  <si>
    <t>0,26086,2084006704,2084206882,2084216955</t>
  </si>
  <si>
    <t>オークション &gt; 事務、店舗用品 &gt; バッグ、スーツケース &gt; アタッシュケース &gt; リモワ</t>
  </si>
  <si>
    <t>オークション &gt; 自動車、オートバイ &gt; パーツ &gt; コンピュータ &gt; BMW用</t>
  </si>
  <si>
    <t>カサブランカ</t>
  </si>
  <si>
    <t>オークション &gt; 花、園芸 &gt; ガーデニング &gt; 球根 &gt; カサブランカ</t>
  </si>
  <si>
    <t>0,26086,2084006704,2084206882,2084216959</t>
  </si>
  <si>
    <t>クロッカス</t>
  </si>
  <si>
    <t>オークション &gt; 自動車、オートバイ &gt; パーツ &gt; コンピュータ &gt; いすゞ用</t>
  </si>
  <si>
    <t>オークション &gt; 花、園芸 &gt; ガーデニング &gt; 球根 &gt; クロッカス</t>
  </si>
  <si>
    <t>0,26086,2084006704,2084206882,2084216960</t>
  </si>
  <si>
    <t>オークション &gt; 自動車、オートバイ &gt; パーツ &gt; コンピュータ &gt; アウディ用</t>
  </si>
  <si>
    <t>スイセン</t>
  </si>
  <si>
    <t>オークション &gt; 花、園芸 &gt; ガーデニング &gt; 球根 &gt; スイセン</t>
  </si>
  <si>
    <t>0,26086,2084006704,2084206882,2084216957</t>
  </si>
  <si>
    <t>オークション &gt; 自動車、オートバイ &gt; パーツ &gt; コンピュータ &gt; アルファロメオ用</t>
  </si>
  <si>
    <t>チューリップ</t>
  </si>
  <si>
    <t>オークション &gt; 花、園芸 &gt; ガーデニング &gt; 球根 &gt; チューリップ</t>
  </si>
  <si>
    <t>0,26086,2084006704,2084206882,2084206885</t>
  </si>
  <si>
    <t>オークション &gt; 自動車、オートバイ &gt; パーツ &gt; コンピュータ &gt; オペル用</t>
  </si>
  <si>
    <t>ヒヤシンス</t>
  </si>
  <si>
    <t>オークション &gt; 花、園芸 &gt; ガーデニング &gt; 球根 &gt; ヒヤシンス</t>
  </si>
  <si>
    <t>0,26086,2084006704,2084206882,2084216956</t>
  </si>
  <si>
    <t>オークション &gt; 自動車、オートバイ &gt; パーツ &gt; コンピュータ &gt; シトロエン用</t>
  </si>
  <si>
    <t>フリージア</t>
  </si>
  <si>
    <t>オークション &gt; 花、園芸 &gt; ガーデニング &gt; 球根 &gt; フリージア</t>
  </si>
  <si>
    <t>0,26086,2084006704,2084206882,2084216961</t>
  </si>
  <si>
    <t>オークション &gt; 自動車、オートバイ &gt; パーツ &gt; コンピュータ &gt; シボレー用</t>
  </si>
  <si>
    <t>ユリ</t>
  </si>
  <si>
    <t>オークション &gt; 花、園芸 &gt; ガーデニング &gt; 球根 &gt; ユリ</t>
  </si>
  <si>
    <t>オークション &gt; 自動車、オートバイ &gt; パーツ &gt; コンピュータ &gt; ジャガー用</t>
  </si>
  <si>
    <t>0,26086,2084006704,2084206882,2084206883</t>
  </si>
  <si>
    <t>オークション &gt; 花、園芸 &gt; ガーデニング &gt; 球根 &gt; ラン</t>
  </si>
  <si>
    <t>オークション &gt; 自動車、オートバイ &gt; パーツ &gt; コンピュータ &gt; スズキ用</t>
  </si>
  <si>
    <t>巾着</t>
  </si>
  <si>
    <t>0,26086,2084006704,2084206882,2084206884</t>
  </si>
  <si>
    <t>オークション &gt; ファッション &gt; 女性和服、着物 &gt; きんちゃく、バッグ &gt; 巾着</t>
  </si>
  <si>
    <t>オークション &gt; 自動車、オートバイ &gt; パーツ &gt; コンピュータ &gt; スバル用</t>
  </si>
  <si>
    <t>オークション &gt; 花、園芸 &gt; ガーデニング &gt; 球根 &gt; その他</t>
  </si>
  <si>
    <t>オークション &gt; ファッション &gt; 女性和服、着物 &gt; きんちゃく、バッグ &gt; バッグ</t>
  </si>
  <si>
    <t>0,26086,2084006704,2084206882,2084206886</t>
  </si>
  <si>
    <t>シリコンケース</t>
  </si>
  <si>
    <t>オークション &gt; 自動車、オートバイ &gt; パーツ &gt; コンピュータ &gt; ダイハツ用</t>
  </si>
  <si>
    <t>オークション &gt; 家電、AV、カメラ &gt; 携帯電話、スマートフォン &gt; アクセサリー &gt; ケース &gt; シリコンケース</t>
  </si>
  <si>
    <t>ハードケース</t>
  </si>
  <si>
    <t>オークション &gt; 自動車、オートバイ &gt; パーツ &gt; コンピュータ &gt; トヨタ用</t>
  </si>
  <si>
    <t>オークション &gt; 家電、AV、カメラ &gt; 携帯電話、スマートフォン &gt; アクセサリー &gt; ケース &gt; ハードケース</t>
  </si>
  <si>
    <t>レザーケース</t>
  </si>
  <si>
    <t>オークション &gt; 自動車、オートバイ &gt; パーツ &gt; コンピュータ &gt; フィアット用</t>
  </si>
  <si>
    <t>オークション &gt; 家電、AV、カメラ &gt; 携帯電話、スマートフォン &gt; アクセサリー &gt; ケース &gt; レザーケース</t>
  </si>
  <si>
    <t>オークション &gt; 自動車、オートバイ &gt; パーツ &gt; コンピュータ &gt; フォード用</t>
  </si>
  <si>
    <t>オークション &gt; 家電、AV、カメラ &gt; 携帯電話、スマートフォン &gt; アクセサリー &gt; ケース &gt; iPhone用ケース</t>
  </si>
  <si>
    <t>オークション &gt; 自動車、オートバイ &gt; パーツ &gt; コンピュータ &gt; フォルクスワーゲン用</t>
  </si>
  <si>
    <t>オークション &gt; 家電、AV、カメラ &gt; 携帯電話、スマートフォン &gt; アクセサリー &gt; ケース &gt; その他</t>
  </si>
  <si>
    <t>オークション &gt; 自動車、オートバイ &gt; パーツ &gt; コンピュータ &gt; プジョー用</t>
  </si>
  <si>
    <t>長財布（小銭入れあり）</t>
  </si>
  <si>
    <t>オークション &gt; ファッション &gt; ファッション小物 &gt; 財布 &gt; 女性用 &gt; 長財布（小銭入れあり）</t>
  </si>
  <si>
    <t>オークション &gt; 自動車、オートバイ &gt; パーツ &gt; コンピュータ &gt; ホンダ用</t>
  </si>
  <si>
    <t>長財布（小銭入れなし）</t>
  </si>
  <si>
    <t>オークション &gt; ファッション &gt; ファッション小物 &gt; 財布 &gt; 女性用 &gt; 長財布（小銭入れなし）</t>
  </si>
  <si>
    <t>オークション &gt; 自動車、オートバイ &gt; パーツ &gt; コンピュータ &gt; ボルボ用</t>
  </si>
  <si>
    <t>二つ折り財布（小銭入れあり）</t>
  </si>
  <si>
    <t>オークション &gt; ファッション &gt; ファッション小物 &gt; 財布 &gt; 女性用 &gt; 二つ折り財布（小銭入れあり）</t>
  </si>
  <si>
    <t>オークション &gt; 自動車、オートバイ &gt; パーツ &gt; コンピュータ &gt; ポルシェ用</t>
  </si>
  <si>
    <t>二つ折り財布（小銭入れなし）</t>
  </si>
  <si>
    <t>オークション &gt; ファッション &gt; ファッション小物 &gt; 財布 &gt; 女性用 &gt; 二つ折り財布（小銭入れなし）</t>
  </si>
  <si>
    <t>オークション &gt; 自動車、オートバイ &gt; パーツ &gt; コンピュータ &gt; マツダ用</t>
  </si>
  <si>
    <t>小銭入れ、コインケース</t>
  </si>
  <si>
    <t>オークション &gt; ファッション &gt; ファッション小物 &gt; 財布 &gt; 女性用 &gt; 小銭入れ、コインケース</t>
  </si>
  <si>
    <t>オークション &gt; 自動車、オートバイ &gt; パーツ &gt; コンピュータ &gt; ミニ用</t>
  </si>
  <si>
    <t>オークション &gt; ファッション &gt; ファッション小物 &gt; 財布 &gt; 女性用 &gt; その他</t>
  </si>
  <si>
    <t>オークション &gt; 自動車、オートバイ &gt; パーツ &gt; コンピュータ &gt; メルセデス・ベンツ用</t>
  </si>
  <si>
    <t>22.0cm以下</t>
  </si>
  <si>
    <t>オークション &gt; ファッション &gt; レディースシューズ &gt; サンダル &gt; 22.0cm以下</t>
  </si>
  <si>
    <t>オークション &gt; 自動車、オートバイ &gt; パーツ &gt; コンピュータ &gt; ルノー用</t>
  </si>
  <si>
    <t>22.5cm</t>
  </si>
  <si>
    <t>オークション &gt; ファッション &gt; レディースシューズ &gt; サンダル &gt; 22.5cm</t>
  </si>
  <si>
    <t>オークション &gt; 自動車、オートバイ &gt; パーツ &gt; コンピュータ &gt; レクサス用</t>
  </si>
  <si>
    <t>23.0cm</t>
  </si>
  <si>
    <t>オークション &gt; ファッション &gt; レディースシューズ &gt; サンダル &gt; 23.0cm</t>
  </si>
  <si>
    <t>オークション &gt; 自動車、オートバイ &gt; パーツ &gt; コンピュータ &gt; 三菱用</t>
  </si>
  <si>
    <t>23.5cm</t>
  </si>
  <si>
    <t>オークション &gt; ファッション &gt; レディースシューズ &gt; サンダル &gt; 23.5cm</t>
  </si>
  <si>
    <t>オークション &gt; 自動車、オートバイ &gt; パーツ &gt; コンピュータ &gt; 日産用</t>
  </si>
  <si>
    <t>24.0cm</t>
  </si>
  <si>
    <t>オークション &gt; ファッション &gt; レディースシューズ &gt; サンダル &gt; 24.0cm</t>
  </si>
  <si>
    <t>オークション &gt; 自動車、オートバイ &gt; パーツ &gt; コンピュータ &gt; その他</t>
  </si>
  <si>
    <t>24.5cm</t>
  </si>
  <si>
    <t>オークション &gt; ファッション &gt; レディースシューズ &gt; サンダル &gt; 24.5cm</t>
  </si>
  <si>
    <t>純正品</t>
  </si>
  <si>
    <t>オークション &gt; 自動車、オートバイ &gt; パーツ &gt; ホーン &gt; 純正品</t>
  </si>
  <si>
    <t>25.0cm</t>
  </si>
  <si>
    <t>オークション &gt; ファッション &gt; レディースシューズ &gt; サンダル &gt; 25.0cm</t>
  </si>
  <si>
    <t>社外品</t>
  </si>
  <si>
    <t>オークション &gt; 自動車、オートバイ &gt; パーツ &gt; ホーン &gt; 社外品</t>
  </si>
  <si>
    <t>25.5cm</t>
  </si>
  <si>
    <t>オークション &gt; ファッション &gt; レディースシューズ &gt; サンダル &gt; 25.5cm</t>
  </si>
  <si>
    <t>ホーン（24V専用）</t>
  </si>
  <si>
    <t>オークション &gt; 自動車、オートバイ &gt; パーツ &gt; ホーン &gt; ホーン（24V専用）</t>
  </si>
  <si>
    <t>26.0cm以上</t>
  </si>
  <si>
    <t>オークション &gt; ファッション &gt; レディースシューズ &gt; サンダル &gt; 26.0cm以上</t>
  </si>
  <si>
    <t>オークション &gt; 自動車、オートバイ &gt; パーツ &gt; 電装品 &gt; 自動車メーカー別</t>
  </si>
  <si>
    <t>オークション &gt; ファッション &gt; レディースシューズ &gt; サンダル &gt; クロックス</t>
  </si>
  <si>
    <t>オークション &gt; 自動車、オートバイ &gt; パーツ &gt; 電装品 &gt; スパークプラグ</t>
  </si>
  <si>
    <t>オークション &gt; ファッション &gt; レディースシューズ &gt; サンダル &gt; ビルケンシュトック</t>
  </si>
  <si>
    <t>アーシング</t>
  </si>
  <si>
    <t>オークション &gt; 自動車、オートバイ &gt; パーツ &gt; 電装品 &gt; アーシング</t>
  </si>
  <si>
    <t>アシックス</t>
  </si>
  <si>
    <t>オークション &gt; ファッション &gt; レディースシューズ &gt; スニーカー &gt; アシックス</t>
  </si>
  <si>
    <t>プラグコード</t>
  </si>
  <si>
    <t>オークション &gt; 自動車、オートバイ &gt; パーツ &gt; 電装品 &gt; プラグコード</t>
  </si>
  <si>
    <t>オークション &gt; ファッション &gt; レディースシューズ &gt; スニーカー &gt; アディダス</t>
  </si>
  <si>
    <t>オークション &gt; 自動車、オートバイ &gt; パーツ &gt; 電装品 &gt; バッテリー</t>
  </si>
  <si>
    <t>グラビス</t>
  </si>
  <si>
    <t>オークション &gt; ファッション &gt; レディースシューズ &gt; スニーカー &gt; グラビス</t>
  </si>
  <si>
    <t>インバーター</t>
  </si>
  <si>
    <t>オークション &gt; 自動車、オートバイ &gt; パーツ &gt; 電装品 &gt; インバーター</t>
  </si>
  <si>
    <t>コンバース</t>
  </si>
  <si>
    <t>オークション &gt; ファッション &gt; レディースシューズ &gt; スニーカー &gt; コンバース</t>
  </si>
  <si>
    <t>キーレスエントリー</t>
  </si>
  <si>
    <t>スケッチャーズ</t>
  </si>
  <si>
    <t>オークション &gt; 自動車、オートバイ &gt; パーツ &gt; 電装品 &gt; キーレスエントリー</t>
  </si>
  <si>
    <t>オークション &gt; ファッション &gt; レディースシューズ &gt; スニーカー &gt; スケッチャーズ</t>
  </si>
  <si>
    <t>オークション &gt; 自動車、オートバイ &gt; パーツ &gt; 電装品 &gt; コンバーター</t>
  </si>
  <si>
    <t>オークション &gt; ファッション &gt; レディースシューズ &gt; スニーカー &gt; ナイキ</t>
  </si>
  <si>
    <t>オークション &gt; 自動車、オートバイ &gt; パーツ &gt; 電装品 &gt; ターボタイマー</t>
  </si>
  <si>
    <t>ニューバランス</t>
  </si>
  <si>
    <t>オークション &gt; ファッション &gt; レディースシューズ &gt; スニーカー &gt; ニューバランス</t>
  </si>
  <si>
    <t>ドライブレコーダー</t>
  </si>
  <si>
    <t>オークション &gt; 自動車、オートバイ &gt; パーツ &gt; 電装品 &gt; ドライブレコーダー</t>
  </si>
  <si>
    <t>バンズ</t>
  </si>
  <si>
    <t>オークション &gt; 花、園芸 &gt; アレンジメント &gt; 生花 &gt; チューリップ</t>
  </si>
  <si>
    <t>オークション &gt; ファッション &gt; レディースシューズ &gt; スニーカー &gt; バンズ</t>
  </si>
  <si>
    <t>0,26086,2084006711,2084047127,2084206877</t>
  </si>
  <si>
    <t>リモコンスターター</t>
  </si>
  <si>
    <t>オークション &gt; 自動車、オートバイ &gt; パーツ &gt; 電装品 &gt; リモコンスターター</t>
  </si>
  <si>
    <t>パトリック</t>
  </si>
  <si>
    <t>オークション &gt; ファッション &gt; レディースシューズ &gt; スニーカー &gt; パトリック</t>
  </si>
  <si>
    <t>オークション &gt; 花、園芸 &gt; アレンジメント &gt; 生花 &gt; バラ</t>
  </si>
  <si>
    <t>0,26086,2084006711,2084047127,2084206875</t>
  </si>
  <si>
    <t>オークション &gt; 自動車、オートバイ &gt; パーツ &gt; 電装品 &gt; ETC</t>
  </si>
  <si>
    <t>オークション &gt; ファッション &gt; レディースシューズ &gt; スニーカー &gt; プーマ</t>
  </si>
  <si>
    <t>オークション &gt; 花、園芸 &gt; アレンジメント &gt; 生花 &gt; ユリ</t>
  </si>
  <si>
    <t>0,26086,2084006711,2084047127,2084206876</t>
  </si>
  <si>
    <t>オークション &gt; 自動車、オートバイ &gt; パーツ &gt; 電装品 &gt; カーオーディオ</t>
  </si>
  <si>
    <t>プロケッズ</t>
  </si>
  <si>
    <t>オークション &gt; ファッション &gt; レディースシューズ &gt; スニーカー &gt; プロケッズ</t>
  </si>
  <si>
    <t>カーナビ</t>
  </si>
  <si>
    <t>オークション &gt; 自動車、オートバイ &gt; パーツ &gt; 電装品 &gt; カーナビ</t>
  </si>
  <si>
    <t>リーボック</t>
  </si>
  <si>
    <t>オークション &gt; 花、園芸 &gt; アレンジメント &gt; 生花 &gt; ラン</t>
  </si>
  <si>
    <t>オークション &gt; ファッション &gt; レディースシューズ &gt; スニーカー &gt; リーボック</t>
  </si>
  <si>
    <t>0,26086,2084006711,2084047127,2084206878</t>
  </si>
  <si>
    <t>レーダー探知器</t>
  </si>
  <si>
    <t>オークション &gt; 自動車、オートバイ &gt; パーツ &gt; 電装品 &gt; レーダー探知器</t>
  </si>
  <si>
    <t>オークション &gt; ファッション &gt; レディースシューズ &gt; スニーカー &gt; その他</t>
  </si>
  <si>
    <t>オークション &gt; 花、園芸 &gt; アレンジメント &gt; 生花 &gt; その他</t>
  </si>
  <si>
    <t>0,26086,2084006711,2084047127,2084206879</t>
  </si>
  <si>
    <t>オークション &gt; 自動車、オートバイ &gt; パーツ &gt; 電装品 &gt; その他</t>
  </si>
  <si>
    <t>オークション &gt; ファッション &gt; レディースシューズ &gt; バレエシューズ &gt; 22.0cm以下</t>
  </si>
  <si>
    <t>オークション &gt; 花、園芸 &gt; 切り花、花束 &gt; 生花 &gt; バラ</t>
  </si>
  <si>
    <t>0,26086,2084006710,2084207326,2084207327</t>
  </si>
  <si>
    <t>オークション &gt; 自動車、オートバイ &gt; パーツ &gt; 自動車メーカー別 &gt; BMW用</t>
  </si>
  <si>
    <t>オークション &gt; ファッション &gt; レディースシューズ &gt; バレエシューズ &gt; 22.5cm</t>
  </si>
  <si>
    <t>オークション &gt; 花、園芸 &gt; 切り花、花束 &gt; 生花 &gt; ラン</t>
  </si>
  <si>
    <t>0,26086,2084006710,2084207326,2084207328</t>
  </si>
  <si>
    <t>オークション &gt; 自動車、オートバイ &gt; パーツ &gt; 自動車メーカー別 &gt; いすゞ用</t>
  </si>
  <si>
    <t>オークション &gt; ファッション &gt; レディースシューズ &gt; バレエシューズ &gt; 23.0cm</t>
  </si>
  <si>
    <t>オークション &gt; 花、園芸 &gt; 切り花、花束 &gt; 生花 &gt; その他</t>
  </si>
  <si>
    <t>オークション &gt; ファッション &gt; レディースシューズ &gt; バレエシューズ &gt; 23.5cm</t>
  </si>
  <si>
    <t>オークション &gt; 自動車、オートバイ &gt; パーツ &gt; 自動車メーカー別 &gt; アウディ用</t>
  </si>
  <si>
    <t>0,26086,2084006710,2084207326,2084207329</t>
  </si>
  <si>
    <t>オークション &gt; ファッション &gt; レディースシューズ &gt; バレエシューズ &gt; 24.0cm</t>
  </si>
  <si>
    <t>0,26086,2084006708,2084047119</t>
  </si>
  <si>
    <t>オークション &gt; 自動車、オートバイ &gt; パーツ &gt; 自動車メーカー別 &gt; アルファロメオ用</t>
  </si>
  <si>
    <t>オークション &gt; ファッション &gt; レディースシューズ &gt; バレエシューズ &gt; 24.5cm</t>
  </si>
  <si>
    <t>0,26086,2084006708,2084047121</t>
  </si>
  <si>
    <t>オークション &gt; 自動車、オートバイ &gt; パーツ &gt; 自動車メーカー別 &gt; オペル用</t>
  </si>
  <si>
    <t>オークション &gt; ファッション &gt; レディースシューズ &gt; バレエシューズ &gt; 25.0cm</t>
  </si>
  <si>
    <t>オークション &gt; 自動車、オートバイ &gt; パーツ &gt; 自動車メーカー別 &gt; クライスラー用</t>
  </si>
  <si>
    <t>オークション &gt; ファッション &gt; レディースシューズ &gt; バレエシューズ &gt; 25.5cm</t>
  </si>
  <si>
    <t>0,26086,2084006708,2084047755</t>
  </si>
  <si>
    <t>オークション &gt; 自動車、オートバイ &gt; パーツ &gt; 自動車メーカー別 &gt; シトロエン用</t>
  </si>
  <si>
    <t>オークション &gt; ファッション &gt; レディースシューズ &gt; バレエシューズ &gt; 26.0cm以上</t>
  </si>
  <si>
    <t>0,26086,2084006708,2084047120</t>
  </si>
  <si>
    <t>オークション &gt; ファッション &gt; レディースシューズ &gt; パンプス &gt; 22.0cm以下</t>
  </si>
  <si>
    <t>オークション &gt; 自動車、オートバイ &gt; パーツ &gt; 自動車メーカー別 &gt; シボレー用</t>
  </si>
  <si>
    <t>オークション &gt; ファッション &gt; レディースシューズ &gt; パンプス &gt; 22.5cm</t>
  </si>
  <si>
    <t>0,26086,2084006708,2084207325</t>
  </si>
  <si>
    <t>オークション &gt; 自動車、オートバイ &gt; パーツ &gt; 自動車メーカー別 &gt; ジャガー用</t>
  </si>
  <si>
    <t>オークション &gt; ファッション &gt; レディースシューズ &gt; パンプス &gt; 23.0cm</t>
  </si>
  <si>
    <t>オークション &gt; 自動車、オートバイ &gt; パーツ &gt; 自動車メーカー別 &gt; スズキ用</t>
  </si>
  <si>
    <t>0,24242,20924,2084006705,2084047124</t>
  </si>
  <si>
    <t>オークション &gt; ファッション &gt; レディースシューズ &gt; パンプス &gt; 23.5cm</t>
  </si>
  <si>
    <t>オークション &gt; 自動車、オートバイ &gt; パーツ &gt; 自動車メーカー別 &gt; スバル用</t>
  </si>
  <si>
    <t>0,24242,20924,2084006705,2084047123</t>
  </si>
  <si>
    <t>オークション &gt; ファッション &gt; レディースシューズ &gt; パンプス &gt; 24.0cm</t>
  </si>
  <si>
    <t>オークション &gt; 自動車、オートバイ &gt; パーツ &gt; 自動車メーカー別 &gt; ダイハツ用</t>
  </si>
  <si>
    <t>0,24242,20924,2084006705,2084047122</t>
  </si>
  <si>
    <t>オークション &gt; ファッション &gt; レディースシューズ &gt; パンプス &gt; 24.5cm</t>
  </si>
  <si>
    <t>オークション &gt; 自動車、オートバイ &gt; パーツ &gt; 自動車メーカー別 &gt; トヨタ用</t>
  </si>
  <si>
    <t>オークション &gt; ファッション &gt; レディースシューズ &gt; パンプス &gt; 25.0cm</t>
  </si>
  <si>
    <t>オークション &gt; 自動車、オートバイ &gt; パーツ &gt; 自動車メーカー別 &gt; フィアット用</t>
  </si>
  <si>
    <t>0,24242,20924,2084006705,2084048858</t>
  </si>
  <si>
    <t>オークション &gt; ファッション &gt; レディースシューズ &gt; パンプス &gt; 25.5cm</t>
  </si>
  <si>
    <t>オークション &gt; 自動車、オートバイ &gt; パーツ &gt; 自動車メーカー別 &gt; フォード用</t>
  </si>
  <si>
    <t>0,24242,20924,2084006705,2084305337</t>
  </si>
  <si>
    <t>オークション &gt; ファッション &gt; レディースシューズ &gt; パンプス &gt; 26.0cm以上</t>
  </si>
  <si>
    <t>オークション &gt; 自動車、オートバイ &gt; パーツ &gt; 自動車メーカー別 &gt; フォルクスワーゲン用</t>
  </si>
  <si>
    <t>ブーティ</t>
  </si>
  <si>
    <t>オークション &gt; ファッション &gt; レディースシューズ &gt; ブーツ &gt; ブーティ</t>
  </si>
  <si>
    <t>0,24242,20924,2084006705,2084305338</t>
  </si>
  <si>
    <t>ショートブーツ</t>
  </si>
  <si>
    <t>オークション &gt; 自動車、オートバイ &gt; パーツ &gt; 自動車メーカー別 &gt; プジョー用</t>
  </si>
  <si>
    <t>オークション &gt; ファッション &gt; レディースシューズ &gt; ブーツ &gt; ショートブーツ</t>
  </si>
  <si>
    <t>0,24242,20924,2084006705,2084305336</t>
  </si>
  <si>
    <t>ロングブーツ</t>
  </si>
  <si>
    <t>オークション &gt; ファッション &gt; レディースシューズ &gt; ブーツ &gt; ロングブーツ</t>
  </si>
  <si>
    <t>オークション &gt; 自動車、オートバイ &gt; パーツ &gt; 自動車メーカー別 &gt; ホンダ用</t>
  </si>
  <si>
    <t>0,24242,20924,2084006705,2084006708</t>
  </si>
  <si>
    <t>ニーハイブーツ</t>
  </si>
  <si>
    <t>オークション &gt; ファッション &gt; レディースシューズ &gt; ブーツ &gt; ニーハイブーツ</t>
  </si>
  <si>
    <t>皐月（さつき）</t>
  </si>
  <si>
    <t>オークション &gt; 花、園芸 &gt; 盆栽 &gt; 盆栽 &gt; 皐月（さつき）</t>
  </si>
  <si>
    <t>オークション &gt; 自動車、オートバイ &gt; パーツ &gt; 自動車メーカー別 &gt; ボルボ用</t>
  </si>
  <si>
    <t>UGG</t>
  </si>
  <si>
    <t>0,26086,2084048020,2084207359,2084207362</t>
  </si>
  <si>
    <t>オークション &gt; ファッション &gt; レディースシューズ &gt; ブーツ &gt; UGG</t>
  </si>
  <si>
    <t>松</t>
  </si>
  <si>
    <t>オークション &gt; 花、園芸 &gt; 盆栽 &gt; 盆栽 &gt; 松</t>
  </si>
  <si>
    <t>エミュー</t>
  </si>
  <si>
    <t>オークション &gt; 自動車、オートバイ &gt; パーツ &gt; 自動車メーカー別 &gt; ポルシェ用</t>
  </si>
  <si>
    <t>0,26086,2084048020,2084207359,2084207360</t>
  </si>
  <si>
    <t>オークション &gt; ファッション &gt; レディースシューズ &gt; ブーツ &gt; エミュー</t>
  </si>
  <si>
    <t>梅</t>
  </si>
  <si>
    <t>オークション &gt; 花、園芸 &gt; 盆栽 &gt; 盆栽 &gt; 梅</t>
  </si>
  <si>
    <t>オークション &gt; ファッション &gt; レディースシューズ &gt; ブーツ &gt; フライ</t>
  </si>
  <si>
    <t>0,26086,2084048020,2084207359,2084207361</t>
  </si>
  <si>
    <t>オークション &gt; 自動車、オートバイ &gt; パーツ &gt; 自動車メーカー別 &gt; マツダ用</t>
  </si>
  <si>
    <t>オークション &gt; ファッション &gt; レディースシューズ &gt; ブーツ &gt; ミネトンカ</t>
  </si>
  <si>
    <t>楓（かえで）</t>
  </si>
  <si>
    <t>オークション &gt; 花、園芸 &gt; 盆栽 &gt; 盆栽 &gt; 楓（かえで）</t>
  </si>
  <si>
    <t>0,26086,2084048020,2084207359,2084207363</t>
  </si>
  <si>
    <t>オークション &gt; ファッション &gt; レディースシューズ &gt; ミュール &gt; 22.0cm以下</t>
  </si>
  <si>
    <t>オークション &gt; 自動車、オートバイ &gt; パーツ &gt; 自動車メーカー別 &gt; ミニ用</t>
  </si>
  <si>
    <t>欅（けやき）</t>
  </si>
  <si>
    <t>オークション &gt; 花、園芸 &gt; 盆栽 &gt; 盆栽 &gt; 欅（けやき）</t>
  </si>
  <si>
    <t>0,26086,2084048020,2084207359,2084207364</t>
  </si>
  <si>
    <t>オークション &gt; ファッション &gt; レディースシューズ &gt; ミュール &gt; 22.5cm</t>
  </si>
  <si>
    <t>オークション &gt; 自動車、オートバイ &gt; パーツ &gt; 自動車メーカー別 &gt; メルセデス・ベンツ用</t>
  </si>
  <si>
    <t>オークション &gt; 花、園芸 &gt; 盆栽 &gt; 盆栽 &gt; その他</t>
  </si>
  <si>
    <t>オークション &gt; ファッション &gt; レディースシューズ &gt; ミュール &gt; 23.0cm</t>
  </si>
  <si>
    <t>0,26086,2084048020,2084207359,2084207365</t>
  </si>
  <si>
    <t>オークション &gt; 自動車、オートバイ &gt; パーツ &gt; 自動車メーカー別 &gt; ランチア用</t>
  </si>
  <si>
    <t>オークション &gt; 花、園芸 &gt; 盆栽 &gt; 盆栽用具 &gt; 鉢</t>
  </si>
  <si>
    <t>オークション &gt; ファッション &gt; レディースシューズ &gt; ミュール &gt; 23.5cm</t>
  </si>
  <si>
    <t>0,26086,2084048020,2084207386,2084207387</t>
  </si>
  <si>
    <t>オークション &gt; 自動車、オートバイ &gt; パーツ &gt; 自動車メーカー別 &gt; ルノー用</t>
  </si>
  <si>
    <t>オークション &gt; 花、園芸 &gt; 盆栽 &gt; 盆栽用具 &gt; その他</t>
  </si>
  <si>
    <t>0,26086,2084048020,2084207386,2084207388</t>
  </si>
  <si>
    <t>オークション &gt; ファッション &gt; レディースシューズ &gt; ミュール &gt; 24.0cm</t>
  </si>
  <si>
    <t>オークション &gt; 自動車、オートバイ &gt; パーツ &gt; 自動車メーカー別 &gt; 三菱用</t>
  </si>
  <si>
    <t>オークション &gt; ファッション &gt; レディースシューズ &gt; ミュール &gt; 24.5cm</t>
  </si>
  <si>
    <t>オークション &gt; ファッション &gt; レディースシューズ &gt; ミュール &gt; 25.0cm</t>
  </si>
  <si>
    <t>オークション &gt; 自動車、オートバイ &gt; パーツ &gt; 自動車メーカー別 &gt; 日産用</t>
  </si>
  <si>
    <t>オークション &gt; ファッション &gt; レディースシューズ &gt; ミュール &gt; 25.5cm</t>
  </si>
  <si>
    <t>オークション &gt; ファッション &gt; レディースシューズ &gt; ミュール &gt; 26.0cm以上</t>
  </si>
  <si>
    <t>オークション &gt; ファッション &gt; レディースシューズ &gt; ローファー、モカシン &gt; 22.0cm以下</t>
  </si>
  <si>
    <t>オークション &gt; ファッション &gt; レディースシューズ &gt; ローファー、モカシン &gt; 22.5cm</t>
  </si>
  <si>
    <t>オークション &gt; ファッション &gt; レディースシューズ &gt; ローファー、モカシン &gt; 23.0cm</t>
  </si>
  <si>
    <t>オークション &gt; ファッション &gt; レディースシューズ &gt; ローファー、モカシン &gt; 23.5cm</t>
  </si>
  <si>
    <t>オークション &gt; ファッション &gt; レディースシューズ &gt; ローファー、モカシン &gt; 24.0cm</t>
  </si>
  <si>
    <t>オークション &gt; ファッション &gt; レディースシューズ &gt; ローファー、モカシン &gt; 24.5cm</t>
  </si>
  <si>
    <t>オークション &gt; ファッション &gt; レディースシューズ &gt; ローファー、モカシン &gt; 25.0cm</t>
  </si>
  <si>
    <t>オークション &gt; ファッション &gt; レディースシューズ &gt; ローファー、モカシン &gt; 25.5cm</t>
  </si>
  <si>
    <t>オークション &gt; 花、園芸 &gt; 鉢植え &gt; 花 &gt; バラ</t>
  </si>
  <si>
    <t>0,26086,2084006709,2084048019,2084207335</t>
  </si>
  <si>
    <t>オークション &gt; ファッション &gt; レディースシューズ &gt; ローファー、モカシン &gt; 26.0cm以上</t>
  </si>
  <si>
    <t>オークション &gt; 花、園芸 &gt; 鉢植え &gt; 花 &gt; ユリ</t>
  </si>
  <si>
    <t>0,26086,2084006709,2084048019,2084207336</t>
  </si>
  <si>
    <t>S寸以下</t>
  </si>
  <si>
    <t>オークション &gt; 自動車、オートバイ &gt; タイヤ、ホイール &gt; タイヤ・ホイールセット &gt; トラック、ダンプ専用</t>
  </si>
  <si>
    <t>オークション &gt; ファッション &gt; 女性和服、着物 &gt; 下駄、草履 &gt; S寸以下</t>
  </si>
  <si>
    <t>オークション &gt; 花、園芸 &gt; 鉢植え &gt; 花 &gt; ラン</t>
  </si>
  <si>
    <t>12インチ以下</t>
  </si>
  <si>
    <t>M寸</t>
  </si>
  <si>
    <t>0,26086,2084006709,2084048019,2084207337</t>
  </si>
  <si>
    <t>オークション &gt; 自動車、オートバイ &gt; タイヤ、ホイール &gt; タイヤ・ホイールセット &gt; 12インチ以下</t>
  </si>
  <si>
    <t>オークション &gt; ファッション &gt; 女性和服、着物 &gt; 下駄、草履 &gt; M寸</t>
  </si>
  <si>
    <t>L寸</t>
  </si>
  <si>
    <t>オークション &gt; 花、園芸 &gt; 鉢植え &gt; 花 &gt; その他</t>
  </si>
  <si>
    <t>13インチ</t>
  </si>
  <si>
    <t>オークション &gt; ファッション &gt; 女性和服、着物 &gt; 下駄、草履 &gt; L寸</t>
  </si>
  <si>
    <t>0,26086,2084006709,2084048019,2084207338</t>
  </si>
  <si>
    <t>オークション &gt; 自動車、オートバイ &gt; タイヤ、ホイール &gt; タイヤ・ホイールセット &gt; 13インチ</t>
  </si>
  <si>
    <t>LL寸以上</t>
  </si>
  <si>
    <t>オークション &gt; ファッション &gt; 女性和服、着物 &gt; 下駄、草履 &gt; LL寸以上</t>
  </si>
  <si>
    <t>14インチ</t>
  </si>
  <si>
    <t>オークション &gt; 自動車、オートバイ &gt; タイヤ、ホイール &gt; タイヤ・ホイールセット &gt; 14インチ</t>
  </si>
  <si>
    <t>0,26086,2084048017,2084216952</t>
  </si>
  <si>
    <t>オークション &gt; ファッション &gt; ファッション小物 &gt; 靴下 &gt; 女性用 &gt; セット、まとめ売り</t>
  </si>
  <si>
    <t>15インチ</t>
  </si>
  <si>
    <t>オークション &gt; 自動車、オートバイ &gt; タイヤ、ホイール &gt; タイヤ・ホイールセット &gt; 15インチ</t>
  </si>
  <si>
    <t>0,26086,2084048017,2084063285</t>
  </si>
  <si>
    <t>オークション &gt; ファッション &gt; ファッション小物 &gt; 靴下 &gt; 女性用 &gt; 一般</t>
  </si>
  <si>
    <t>16インチ</t>
  </si>
  <si>
    <t>オークション &gt; 自動車、オートバイ &gt; タイヤ、ホイール &gt; タイヤ・ホイールセット &gt; 16インチ</t>
  </si>
  <si>
    <t>5本指、足袋タイプ</t>
  </si>
  <si>
    <t>オークション &gt; ファッション &gt; ファッション小物 &gt; 靴下 &gt; 女性用 &gt; 5本指、足袋タイプ</t>
  </si>
  <si>
    <t>0,26086,2084048017,2084063286</t>
  </si>
  <si>
    <t>17インチ</t>
  </si>
  <si>
    <t>オークション &gt; 自動車、オートバイ &gt; タイヤ、ホイール &gt; タイヤ・ホイールセット &gt; 17インチ</t>
  </si>
  <si>
    <t>ショートソックス</t>
  </si>
  <si>
    <t>オークション &gt; ファッション &gt; ファッション小物 &gt; 靴下 &gt; 女性用 &gt; ショートソックス</t>
  </si>
  <si>
    <t>0,26086,2084048017,2084063287</t>
  </si>
  <si>
    <t>18インチ</t>
  </si>
  <si>
    <t>オークション &gt; 自動車、オートバイ &gt; タイヤ、ホイール &gt; タイヤ・ホイールセット &gt; 18インチ</t>
  </si>
  <si>
    <t>レッグウォーマー</t>
  </si>
  <si>
    <t>オークション &gt; ファッション &gt; ファッション小物 &gt; 靴下 &gt; 女性用 &gt; レッグウォーマー</t>
  </si>
  <si>
    <t>19インチ</t>
  </si>
  <si>
    <t>0,26086,2084048017,2084216954</t>
  </si>
  <si>
    <t>オークション &gt; 自動車、オートバイ &gt; タイヤ、ホイール &gt; タイヤ・ホイールセット &gt; 19インチ</t>
  </si>
  <si>
    <t>オークション &gt; ファッション &gt; ファッション小物 &gt; 靴下 &gt; 女性用 &gt; ストッキング</t>
  </si>
  <si>
    <t>20インチ</t>
  </si>
  <si>
    <t>オークション &gt; ファッション &gt; ファッション小物 &gt; 靴下 &gt; 女性用 &gt; その他</t>
  </si>
  <si>
    <t>0,26086,2084048017,2084063294</t>
  </si>
  <si>
    <t>オークション &gt; 自動車、オートバイ &gt; タイヤ、ホイール &gt; タイヤ・ホイールセット &gt; 20インチ</t>
  </si>
  <si>
    <t>21インチ</t>
  </si>
  <si>
    <t>安全靴</t>
  </si>
  <si>
    <t>オークション &gt; 自動車、オートバイ &gt; タイヤ、ホイール &gt; タイヤ・ホイールセット &gt; 21インチ</t>
  </si>
  <si>
    <t>0,26086,2084048017,2084063278</t>
  </si>
  <si>
    <t>オークション &gt; 住まい、インテリア &gt; 工具、DIY用品 &gt; 作業靴 &gt; 安全靴</t>
  </si>
  <si>
    <t>22インチ</t>
  </si>
  <si>
    <t>オークション &gt; 自動車、オートバイ &gt; タイヤ、ホイール &gt; タイヤ・ホイールセット &gt; 22インチ</t>
  </si>
  <si>
    <t>オークション &gt; 住まい、インテリア &gt; 工具、DIY用品 &gt; 作業靴 &gt; その他</t>
  </si>
  <si>
    <t>0,26086,2084048017,2084063284</t>
  </si>
  <si>
    <t>23インチ以上</t>
  </si>
  <si>
    <t>オークション &gt; 自動車、オートバイ &gt; タイヤ、ホイール &gt; タイヤ・ホイールセット &gt; 23インチ以上</t>
  </si>
  <si>
    <t>0,26086,2084048017,2084063288</t>
  </si>
  <si>
    <t>タイヤのみ</t>
  </si>
  <si>
    <t>オークション &gt; 自動車、オートバイ &gt; タイヤ、ホイール &gt; タイヤ・ホイールセット &gt; タイヤのみ</t>
  </si>
  <si>
    <t>ホイールのみ</t>
  </si>
  <si>
    <t>0,26086,2084048017,2084063289</t>
  </si>
  <si>
    <t>オークション &gt; 自動車、オートバイ &gt; タイヤ、ホイール &gt; タイヤ・ホイールセット &gt; ホイールのみ</t>
  </si>
  <si>
    <t>オークション &gt; 自動車、オートバイ &gt; タイヤ、ホイール &gt; タイヤ &gt; オートバイ用</t>
  </si>
  <si>
    <t>0,26086,2084048017,2084063290</t>
  </si>
  <si>
    <t>オークション &gt; 自動車、オートバイ &gt; タイヤ、ホイール &gt; タイヤ &gt; トラック、ダンプ専用</t>
  </si>
  <si>
    <t>0,26086,2084048017,2084216953</t>
  </si>
  <si>
    <t>オンロード</t>
  </si>
  <si>
    <t>オークション &gt; 自動車、オートバイ &gt; タイヤ、ホイール &gt; タイヤ &gt; オンロード</t>
  </si>
  <si>
    <t>スタッドレス</t>
  </si>
  <si>
    <t>オークション &gt; 自動車、オートバイ &gt; タイヤ、ホイール &gt; タイヤ &gt; スタッドレス</t>
  </si>
  <si>
    <t>0,26086,2084048017,2084063279</t>
  </si>
  <si>
    <t>Sタイヤ</t>
  </si>
  <si>
    <t>オークション &gt; 自動車、オートバイ &gt; タイヤ、ホイール &gt; タイヤ &gt; Sタイヤ</t>
  </si>
  <si>
    <t>0,26086,2084048017,2084063293</t>
  </si>
  <si>
    <t>クリーム</t>
  </si>
  <si>
    <t>オフロード</t>
  </si>
  <si>
    <t>オークション &gt; ビューティー、ヘルスケア &gt; ボディケア &gt; フットケア &gt; クリーム</t>
  </si>
  <si>
    <t>オークション &gt; 自動車、オートバイ &gt; タイヤ、ホイール &gt; タイヤ &gt; オフロード</t>
  </si>
  <si>
    <t>オークション &gt; ビューティー、ヘルスケア &gt; ボディケア &gt; フットケア &gt; フットバス</t>
  </si>
  <si>
    <t>0,26086,2084048017,2084063291</t>
  </si>
  <si>
    <t>競技用</t>
  </si>
  <si>
    <t>オークション &gt; 自動車、オートバイ &gt; タイヤ、ホイール &gt; タイヤ &gt; 競技用</t>
  </si>
  <si>
    <t>オークション &gt; ビューティー、ヘルスケア &gt; ボディケア &gt; フットケア &gt; フットマッサージャー</t>
  </si>
  <si>
    <t>0,26086,2084048017,2084063282</t>
  </si>
  <si>
    <t>オークション &gt; 自動車、オートバイ &gt; タイヤ、ホイール &gt; タイヤ &gt; その他</t>
  </si>
  <si>
    <t>防臭、消臭用品</t>
  </si>
  <si>
    <t>オークション &gt; ビューティー、ヘルスケア &gt; ボディケア &gt; フットケア &gt; 防臭、消臭用品</t>
  </si>
  <si>
    <t>0,26086,2084048017,2084063280</t>
  </si>
  <si>
    <t>オークション &gt; 自動車、オートバイ &gt; タイヤ、ホイール &gt; ホイール &gt; オートバイ用</t>
  </si>
  <si>
    <t>オークション &gt; ビューティー、ヘルスケア &gt; ボディケア &gt; フットケア &gt; その他</t>
  </si>
  <si>
    <t>シューキーパー</t>
  </si>
  <si>
    <t>オークション &gt; 自動車、オートバイ &gt; タイヤ、ホイール &gt; ホイール &gt; トラック、ダンプ専用</t>
  </si>
  <si>
    <t>オークション &gt; 住まい、インテリア &gt; 家庭用品 &gt; 靴用品 &gt; シューキーパー</t>
  </si>
  <si>
    <t>0,26086,2084048017,2084063281</t>
  </si>
  <si>
    <t>保革油、オイル</t>
  </si>
  <si>
    <t>オークション &gt; 自動車、オートバイ &gt; タイヤ、ホイール &gt; ホイール &gt; 12インチ以下</t>
  </si>
  <si>
    <t>オークション &gt; 住まい、インテリア &gt; 家庭用品 &gt; 靴用品 &gt; 保革油、オイル</t>
  </si>
  <si>
    <t>防水剤</t>
  </si>
  <si>
    <t>オークション &gt; 自動車、オートバイ &gt; タイヤ、ホイール &gt; ホイール &gt; 13インチ</t>
  </si>
  <si>
    <t>オークション &gt; 住まい、インテリア &gt; 家庭用品 &gt; 靴用品 &gt; 防水剤</t>
  </si>
  <si>
    <t>0,26086,2084048017,2084063292</t>
  </si>
  <si>
    <t>オークション &gt; 住まい、インテリア &gt; 家庭用品 &gt; 靴用品 &gt; その他</t>
  </si>
  <si>
    <t>オークション &gt; 自動車、オートバイ &gt; タイヤ、ホイール &gt; ホイール &gt; 14インチ</t>
  </si>
  <si>
    <t>0,26086,2084048017,2084006705</t>
  </si>
  <si>
    <t>オークション &gt; 自動車、オートバイ &gt; タイヤ、ホイール &gt; ホイール &gt; 15インチ</t>
  </si>
  <si>
    <t>0,26086,2084048017,2084063283</t>
  </si>
  <si>
    <t>オークション &gt; 自動車、オートバイ &gt; タイヤ、ホイール &gt; ホイール &gt; 16インチ</t>
  </si>
  <si>
    <t>オークション &gt; 自動車、オートバイ &gt; タイヤ、ホイール &gt; ホイール &gt; 17インチ</t>
  </si>
  <si>
    <t>オークション &gt; 自動車、オートバイ &gt; タイヤ、ホイール &gt; ホイール &gt; 18インチ</t>
  </si>
  <si>
    <t>オークション &gt; 自動車、オートバイ &gt; タイヤ、ホイール &gt; ホイール &gt; 19インチ</t>
  </si>
  <si>
    <t>未仕立て</t>
  </si>
  <si>
    <t>オークション &gt; ファッション &gt; 女性和服、着物 &gt; 小紋 &gt; 未仕立て</t>
  </si>
  <si>
    <t>仕立て上がり</t>
  </si>
  <si>
    <t>オークション &gt; ファッション &gt; 女性和服、着物 &gt; 小紋 &gt; 仕立て上がり</t>
  </si>
  <si>
    <t>オークション &gt; 自動車、オートバイ &gt; タイヤ、ホイール &gt; ホイール &gt; 20インチ</t>
  </si>
  <si>
    <t>オークション &gt; ファッション &gt; 女性和服、着物 &gt; 色無地 &gt; 未仕立て</t>
  </si>
  <si>
    <t>オークション &gt; 自動車、オートバイ &gt; タイヤ、ホイール &gt; ホイール &gt; 21インチ</t>
  </si>
  <si>
    <t>オークション &gt; ファッション &gt; 女性和服、着物 &gt; 色無地 &gt; 仕立て上がり</t>
  </si>
  <si>
    <t>オークション &gt; 自動車、オートバイ &gt; タイヤ、ホイール &gt; ホイール &gt; 22インチ</t>
  </si>
  <si>
    <t>つけ帯</t>
  </si>
  <si>
    <t>オークション &gt; ファッション &gt; 女性和服、着物 &gt; 帯 &gt; つけ帯</t>
  </si>
  <si>
    <t>オークション &gt; 自動車、オートバイ &gt; タイヤ、ホイール &gt; ホイール &gt; 23インチ以上</t>
  </si>
  <si>
    <t>なごや帯</t>
  </si>
  <si>
    <t>金属チェーン</t>
  </si>
  <si>
    <t>オークション &gt; ファッション &gt; 女性和服、着物 &gt; 帯 &gt; なごや帯</t>
  </si>
  <si>
    <t>オークション &gt; 自動車、オートバイ &gt; タイヤ、ホイール &gt; チェーン、滑り止め &gt; 金属チェーン</t>
  </si>
  <si>
    <t>丸帯</t>
  </si>
  <si>
    <t>オークション &gt; ファッション &gt; 女性和服、着物 &gt; 帯 &gt; 丸帯</t>
  </si>
  <si>
    <t>非金属チェーン</t>
  </si>
  <si>
    <t>オークション &gt; 自動車、オートバイ &gt; タイヤ、ホイール &gt; チェーン、滑り止め &gt; 非金属チェーン</t>
  </si>
  <si>
    <t>袋帯</t>
  </si>
  <si>
    <t>オークション &gt; ファッション &gt; 女性和服、着物 &gt; 帯 &gt; 袋帯</t>
  </si>
  <si>
    <t>オークション &gt; 自動車、オートバイ &gt; タイヤ、ホイール &gt; チェーン、滑り止め &gt; その他</t>
  </si>
  <si>
    <t>半幅帯</t>
  </si>
  <si>
    <t>オークション &gt; ファッション &gt; 女性和服、着物 &gt; 帯 &gt; 半幅帯</t>
  </si>
  <si>
    <t>4穴</t>
  </si>
  <si>
    <t>オークション &gt; 自動車、オートバイ &gt; タイヤ、ホイール &gt; スペーサー &gt; 4穴</t>
  </si>
  <si>
    <t>0,26086,2084048020,2084207359</t>
  </si>
  <si>
    <t>オークション &gt; ファッション &gt; 女性和服、着物 &gt; 帯 &gt; その他</t>
  </si>
  <si>
    <t>大島紬</t>
  </si>
  <si>
    <t>オークション &gt; ファッション &gt; 女性和服、着物 &gt; 紬、お召 &gt; 大島紬</t>
  </si>
  <si>
    <t>0,26086,2084048020,2084207386</t>
  </si>
  <si>
    <t>結城紬</t>
  </si>
  <si>
    <t>オークション &gt; ファッション &gt; 女性和服、着物 &gt; 紬、お召 &gt; 結城紬</t>
  </si>
  <si>
    <t>0,26086,2084048020,2084207389</t>
  </si>
  <si>
    <t>5穴</t>
  </si>
  <si>
    <t>オークション &gt; 自動車、オートバイ &gt; タイヤ、ホイール &gt; スペーサー &gt; 5穴</t>
  </si>
  <si>
    <t>塩沢紬</t>
  </si>
  <si>
    <t>オークション &gt; ファッション &gt; 女性和服、着物 &gt; 紬、お召 &gt; 塩沢紬</t>
  </si>
  <si>
    <t>6穴</t>
  </si>
  <si>
    <t>オークション &gt; 自動車、オートバイ &gt; タイヤ、ホイール &gt; スペーサー &gt; 6穴</t>
  </si>
  <si>
    <t>米沢紬</t>
  </si>
  <si>
    <t>はしご</t>
  </si>
  <si>
    <t>オークション &gt; ファッション &gt; 女性和服、着物 &gt; 紬、お召 &gt; 米沢紬</t>
  </si>
  <si>
    <t>オークション &gt; 住まい、インテリア &gt; 工具、DIY用品 &gt; 脚立、はしご、足場 &gt; はしご</t>
  </si>
  <si>
    <t>オークション &gt; 自動車、オートバイ &gt; タイヤ、ホイール &gt; スペーサー &gt; その他</t>
  </si>
  <si>
    <t>0,24198,24642,2084263007,2084263009</t>
  </si>
  <si>
    <t>オークション &gt; ファッション &gt; 女性和服、着物 &gt; 紬、お召 &gt; その他</t>
  </si>
  <si>
    <t>オークション &gt; 自動車、オートバイ &gt; タイヤ、ホイール &gt; ホイールキャップ &gt; 純正品</t>
  </si>
  <si>
    <t>オークション &gt; 住まい、インテリア &gt; 工具、DIY用品 &gt; 脚立、はしご、足場 &gt; アルミブリッジ</t>
  </si>
  <si>
    <t>オークション &gt; ファッション &gt; 女性和服、着物 &gt; 訪問着 &gt; 未仕立て</t>
  </si>
  <si>
    <t>0,24198,24642,2084263007,2084263011</t>
  </si>
  <si>
    <t>オークション &gt; ファッション &gt; 女性和服、着物 &gt; 訪問着 &gt; 仕立て上がり</t>
  </si>
  <si>
    <t>オークション &gt; 自動車、オートバイ &gt; タイヤ、ホイール &gt; ホイールキャップ &gt; 社外品</t>
  </si>
  <si>
    <t>脚立、踏み台</t>
  </si>
  <si>
    <t>三点セット</t>
  </si>
  <si>
    <t>オークション &gt; ファッション &gt; 女性和服、着物 &gt; 浴衣 &gt; 三点セット</t>
  </si>
  <si>
    <t>オークション &gt; 住まい、インテリア &gt; 工具、DIY用品 &gt; 脚立、はしご、足場 &gt; 脚立、踏み台</t>
  </si>
  <si>
    <t>0,24198,24642,2084263007,2084263008</t>
  </si>
  <si>
    <t>アルミナット</t>
  </si>
  <si>
    <t>オークション &gt; ファッション &gt; 女性和服、着物 &gt; 浴衣 &gt; 帯</t>
  </si>
  <si>
    <t>オークション &gt; 自動車、オートバイ &gt; タイヤ、ホイール &gt; ホイールナット &gt; アルミナット</t>
  </si>
  <si>
    <t>足場台、足場板</t>
  </si>
  <si>
    <t>オークション &gt; 住まい、インテリア &gt; 工具、DIY用品 &gt; 脚立、はしご、足場 &gt; 足場台、足場板</t>
  </si>
  <si>
    <t>0,24198,24642,2084263007,2084263010</t>
  </si>
  <si>
    <t>反物</t>
  </si>
  <si>
    <t>オークション &gt; ファッション &gt; 女性和服、着物 &gt; 浴衣 &gt; 反物</t>
  </si>
  <si>
    <t>スチールナット</t>
  </si>
  <si>
    <t>オークション &gt; 自動車、オートバイ &gt; タイヤ、ホイール &gt; ホイールナット &gt; スチールナット</t>
  </si>
  <si>
    <t>オークション &gt; 住まい、インテリア &gt; 工具、DIY用品 &gt; 脚立、はしご、足場 &gt; その他</t>
  </si>
  <si>
    <t>浴衣（帯付き）</t>
  </si>
  <si>
    <t>0,24198,24642,2084263007,2084263012</t>
  </si>
  <si>
    <t>オークション &gt; ファッション &gt; 女性和服、着物 &gt; 浴衣 &gt; 浴衣（帯付き）</t>
  </si>
  <si>
    <t>ロックナット</t>
  </si>
  <si>
    <t>オークション &gt; 自動車、オートバイ &gt; タイヤ、ホイール &gt; ホイールナット &gt; ロックナット</t>
  </si>
  <si>
    <t>浴衣（単体）</t>
  </si>
  <si>
    <t>オークション &gt; ファッション &gt; 女性和服、着物 &gt; 浴衣 &gt; 浴衣（単体）</t>
  </si>
  <si>
    <t>オークション &gt; 自動車、オートバイ &gt; タイヤ、ホイール &gt; ホイールナット &gt; その他</t>
  </si>
  <si>
    <t>オークション &gt; ファッション &gt; 女性和服、着物 &gt; 浴衣 &gt; その他</t>
  </si>
  <si>
    <t>カロッツェリア</t>
  </si>
  <si>
    <t>オークション &gt; 自動車、オートバイ &gt; ETC &gt; アンテナ分離型 &gt; カロッツェリア</t>
  </si>
  <si>
    <t>オークション &gt; ファッション &gt; 女性和服、着物 &gt; 長襦袢 &gt; 未仕立て</t>
  </si>
  <si>
    <t>オークション &gt; 自動車、オートバイ &gt; ETC &gt; アンテナ分離型 &gt; パナソニック</t>
  </si>
  <si>
    <t>オークション &gt; ファッション &gt; 女性和服、着物 &gt; 長襦袢 &gt; 仕立て上がり</t>
  </si>
  <si>
    <t>古野電気</t>
  </si>
  <si>
    <t>オークション &gt; 自動車、オートバイ &gt; ETC &gt; アンテナ分離型 &gt; 古野電気</t>
  </si>
  <si>
    <t>オークション &gt; ファッション &gt; 女性和服、着物 &gt; 和装小物 &gt; とんぼ玉</t>
  </si>
  <si>
    <t>三菱重工</t>
  </si>
  <si>
    <t>オークション &gt; 自動車、オートバイ &gt; ETC &gt; アンテナ分離型 &gt; 三菱重工</t>
  </si>
  <si>
    <t>ふくさ</t>
  </si>
  <si>
    <t>オークション &gt; ファッション &gt; 女性和服、着物 &gt; 和装小物 &gt; ふくさ</t>
  </si>
  <si>
    <t>オークション &gt; 自動車、オートバイ &gt; ETC &gt; アンテナ分離型 &gt; 三菱電機</t>
  </si>
  <si>
    <t>オークション &gt; ファッション &gt; 女性和服、着物 &gt; 和装小物 &gt; 根付</t>
  </si>
  <si>
    <t>オークション &gt; 自動車、オートバイ &gt; ETC &gt; アンテナ分離型 &gt; 純正品</t>
  </si>
  <si>
    <t>オークション &gt; ファッション &gt; 女性和服、着物 &gt; 和装小物 &gt; 扇子</t>
  </si>
  <si>
    <t>オークション &gt; 自動車、オートバイ &gt; ETC &gt; アンテナ分離型 &gt; その他</t>
  </si>
  <si>
    <t>足袋</t>
  </si>
  <si>
    <t>オークション &gt; ファッション &gt; 女性和服、着物 &gt; 和装小物 &gt; 足袋</t>
  </si>
  <si>
    <t>オークション &gt; その他 &gt; 修理、取り付け &gt; 自動車、オートバイ &gt; ETC取付 &gt; 北海道</t>
  </si>
  <si>
    <t>帯締め</t>
  </si>
  <si>
    <t>オークション &gt; ファッション &gt; 女性和服、着物 &gt; 和装小物 &gt; 帯締め</t>
  </si>
  <si>
    <t>オークション &gt; その他 &gt; 修理、取り付け &gt; 自動車、オートバイ &gt; ETC取付 &gt; 東北</t>
  </si>
  <si>
    <t>帯板</t>
  </si>
  <si>
    <t>オークション &gt; ファッション &gt; 女性和服、着物 &gt; 和装小物 &gt; 帯板</t>
  </si>
  <si>
    <t>オークション &gt; その他 &gt; 修理、取り付け &gt; 自動車、オートバイ &gt; ETC取付 &gt; 関東</t>
  </si>
  <si>
    <t>帯揚げ</t>
  </si>
  <si>
    <t>オークション &gt; ファッション &gt; 女性和服、着物 &gt; 和装小物 &gt; 帯揚げ</t>
  </si>
  <si>
    <t>オークション &gt; その他 &gt; 修理、取り付け &gt; 自動車、オートバイ &gt; ETC取付 &gt; 信越</t>
  </si>
  <si>
    <t>帯留め</t>
  </si>
  <si>
    <t>オークション &gt; ファッション &gt; 女性和服、着物 &gt; 和装小物 &gt; 帯留め</t>
  </si>
  <si>
    <t>オークション &gt; その他 &gt; 修理、取り付け &gt; 自動車、オートバイ &gt; ETC取付 &gt; 北陸</t>
  </si>
  <si>
    <t>着物ハンガー</t>
  </si>
  <si>
    <t>オークション &gt; ファッション &gt; 女性和服、着物 &gt; 和装小物 &gt; 着物ハンガー</t>
  </si>
  <si>
    <t>オークション &gt; その他 &gt; 修理、取り付け &gt; 自動車、オートバイ &gt; ETC取付 &gt; 東海</t>
  </si>
  <si>
    <t>半衿</t>
  </si>
  <si>
    <t>オークション &gt; ファッション &gt; 女性和服、着物 &gt; 和装小物 &gt; 半衿</t>
  </si>
  <si>
    <t>オークション &gt; その他 &gt; 修理、取り付け &gt; 自動車、オートバイ &gt; ETC取付 &gt; 近畿</t>
  </si>
  <si>
    <t>風呂敷</t>
  </si>
  <si>
    <t>オークション &gt; ファッション &gt; 女性和服、着物 &gt; 和装小物 &gt; 風呂敷</t>
  </si>
  <si>
    <t>オークション &gt; その他 &gt; 修理、取り付け &gt; 自動車、オートバイ &gt; ETC取付 &gt; 中国</t>
  </si>
  <si>
    <t>オークション &gt; ファッション &gt; 女性和服、着物 &gt; 和装小物 &gt; その他</t>
  </si>
  <si>
    <t>オークション &gt; その他 &gt; 修理、取り付け &gt; 自動車、オートバイ &gt; ETC取付 &gt; 四国</t>
  </si>
  <si>
    <t>アンティーク着物</t>
  </si>
  <si>
    <t>オークション &gt; ファッション &gt; 女性和服、着物 &gt; アンティーク &gt; アンティーク着物</t>
  </si>
  <si>
    <t>オークション &gt; その他 &gt; 修理、取り付け &gt; 自動車、オートバイ &gt; ETC取付 &gt; 九州</t>
  </si>
  <si>
    <t>リメイク素材</t>
  </si>
  <si>
    <t>オークション &gt; ファッション &gt; 女性和服、着物 &gt; アンティーク &gt; リメイク素材</t>
  </si>
  <si>
    <t>オークション &gt; その他 &gt; 修理、取り付け &gt; 自動車、オートバイ &gt; ETC取付 &gt; 沖縄</t>
  </si>
  <si>
    <t>オークション &gt; ファッション &gt; 女性和服、着物 &gt; アンティーク &gt; その他</t>
  </si>
  <si>
    <t>オークション &gt; 自動車、オートバイ &gt; カーナビ &gt; メーカー別 &gt; 純正品</t>
  </si>
  <si>
    <t>オークション &gt; ファッション &gt; メンズファッション &gt; コート &gt; コート一般</t>
  </si>
  <si>
    <t>アゼスト、クラリオン</t>
  </si>
  <si>
    <t>オークション &gt; 自動車、オートバイ &gt; カーナビ &gt; メーカー別 &gt; アゼスト、クラリオン</t>
  </si>
  <si>
    <t>オークション &gt; ファッション &gt; メンズファッション &gt; コート &gt; ステンカラーコート</t>
  </si>
  <si>
    <t>アルパイン</t>
  </si>
  <si>
    <t>オークション &gt; 自動車、オートバイ &gt; カーナビ &gt; メーカー別 &gt; アルパイン</t>
  </si>
  <si>
    <t>イクリプス</t>
  </si>
  <si>
    <t>オークション &gt; 自動車、オートバイ &gt; カーナビ &gt; メーカー別 &gt; イクリプス</t>
  </si>
  <si>
    <t>オークション &gt; ファッション &gt; メンズファッション &gt; コート &gt; ダッフルコート</t>
  </si>
  <si>
    <t>オークション &gt; 自動車、オートバイ &gt; カーナビ &gt; メーカー別 &gt; カロッツェリア</t>
  </si>
  <si>
    <t>オークション &gt; ファッション &gt; メンズファッション &gt; コート &gt; トレンチコート</t>
  </si>
  <si>
    <t>ガーミン</t>
  </si>
  <si>
    <t>オークション &gt; 自動車、オートバイ &gt; カーナビ &gt; メーカー別 &gt; ガーミン</t>
  </si>
  <si>
    <t>オークション &gt; ファッション &gt; メンズファッション &gt; コート &gt; ピーコート</t>
  </si>
  <si>
    <t>オークション &gt; 自動車、オートバイ &gt; カーナビ &gt; メーカー別 &gt; ケンウッド</t>
  </si>
  <si>
    <t>オークション &gt; ファッション &gt; メンズファッション &gt; コート &gt; モッズコート</t>
  </si>
  <si>
    <t>オークション &gt; 自動車、オートバイ &gt; カーナビ &gt; メーカー別 &gt; ソニー</t>
  </si>
  <si>
    <t>オークション &gt; ファッション &gt; メンズファッション &gt; コート &gt; ライダース</t>
  </si>
  <si>
    <t>トライウイン</t>
  </si>
  <si>
    <t>オークション &gt; 自動車、オートバイ &gt; カーナビ &gt; メーカー別 &gt; トライウイン</t>
  </si>
  <si>
    <t>オークション &gt; ファッション &gt; メンズファッション &gt; コート &gt; 毛皮、ファー</t>
  </si>
  <si>
    <t>オークション &gt; 自動車、オートバイ &gt; カーナビ &gt; メーカー別 &gt; パナソニック</t>
  </si>
  <si>
    <t>オークション &gt; ファッション &gt; メンズファッション &gt; コート &gt; スプリングコート</t>
  </si>
  <si>
    <t>ヒュンダイ</t>
  </si>
  <si>
    <t>オークション &gt; 自動車、オートバイ &gt; カーナビ &gt; メーカー別 &gt; ヒュンダイ</t>
  </si>
  <si>
    <t>オークション &gt; ファッション &gt; メンズファッション &gt; コート &gt; レインコート</t>
  </si>
  <si>
    <t>かき氷用品</t>
  </si>
  <si>
    <t>オークション &gt; 事務、店舗用品 &gt; 店舗用品 &gt; 厨房機器 &gt; かき氷用品</t>
  </si>
  <si>
    <t>0,22896,2084042481,2084048468,2084223921</t>
  </si>
  <si>
    <t>ユピテル</t>
  </si>
  <si>
    <t>オークション &gt; ファッション &gt; メンズファッション &gt; コート &gt; ダウンジャケット</t>
  </si>
  <si>
    <t>オークション &gt; 自動車、オートバイ &gt; カーナビ &gt; メーカー別 &gt; ユピテル</t>
  </si>
  <si>
    <t>オークション &gt; ファッション &gt; メンズファッション &gt; コート &gt; スタジアムジャンパー</t>
  </si>
  <si>
    <t>オークション &gt; 自動車、オートバイ &gt; カーナビ &gt; メーカー別 &gt; 三菱電機</t>
  </si>
  <si>
    <t>まな板</t>
  </si>
  <si>
    <t>オークション &gt; 事務、店舗用品 &gt; 店舗用品 &gt; 厨房機器 &gt; まな板</t>
  </si>
  <si>
    <t>0,22896,2084042481,2084048468,2084223392</t>
  </si>
  <si>
    <t>オークション &gt; 自動車、オートバイ &gt; カーナビ &gt; メーカー別 &gt; 三洋電機</t>
  </si>
  <si>
    <t>オークション &gt; ファッション &gt; メンズファッション &gt; コート &gt; フライトジャケット</t>
  </si>
  <si>
    <t>TVチューナーのみ</t>
  </si>
  <si>
    <t>オークション &gt; 自動車、オートバイ &gt; カーナビ &gt; メーカー別 &gt; TVチューナーのみ</t>
  </si>
  <si>
    <t>オークション &gt; 事務、店舗用品 &gt; 店舗用品 &gt; 厨房機器 &gt; オーブン</t>
  </si>
  <si>
    <t>0,22896,2084042481,2084048468,2084063001</t>
  </si>
  <si>
    <t>マウンテンパーカ</t>
  </si>
  <si>
    <t>アンテナのみ</t>
  </si>
  <si>
    <t>オークション &gt; 自動車、オートバイ &gt; カーナビ &gt; メーカー別 &gt; アンテナのみ</t>
  </si>
  <si>
    <t>オークション &gt; ファッション &gt; メンズファッション &gt; コート &gt; マウンテンパーカ</t>
  </si>
  <si>
    <t>グリラー</t>
  </si>
  <si>
    <t>オークション &gt; 事務、店舗用品 &gt; 店舗用品 &gt; 厨房機器 &gt; グリラー</t>
  </si>
  <si>
    <t>モニターのみ</t>
  </si>
  <si>
    <t>0,22896,2084042481,2084048468,2084223393</t>
  </si>
  <si>
    <t>オークション &gt; 自動車、オートバイ &gt; カーナビ &gt; メーカー別 &gt; モニターのみ</t>
  </si>
  <si>
    <t>オークション &gt; ファッション &gt; メンズファッション &gt; ジャケット、上着 &gt; ジャンパー、ブルゾン</t>
  </si>
  <si>
    <t>コーヒー用品</t>
  </si>
  <si>
    <t>オークション &gt; 事務、店舗用品 &gt; 店舗用品 &gt; 厨房機器 &gt; コーヒー用品</t>
  </si>
  <si>
    <t>0,22896,2084042481,2084048468,2084063838</t>
  </si>
  <si>
    <t>オークション &gt; 自動車、オートバイ &gt; カーナビ &gt; メーカー別 &gt; その他</t>
  </si>
  <si>
    <t>オークション &gt; ファッション &gt; メンズファッション &gt; ジャケット、上着 &gt; ダウンジャケット</t>
  </si>
  <si>
    <t>コンロ</t>
  </si>
  <si>
    <t>オークション &gt; 事務、店舗用品 &gt; 店舗用品 &gt; 厨房機器 &gt; コンロ</t>
  </si>
  <si>
    <t>オークション &gt; ファッション &gt; メンズファッション &gt; ジャケット、上着 &gt; ダウンベスト</t>
  </si>
  <si>
    <t>0,22896,2084042481,2084048468,2084062999</t>
  </si>
  <si>
    <t>インダッシュ</t>
  </si>
  <si>
    <t>オークション &gt; 自動車、オートバイ &gt; カーナビ &gt; モニター &gt; インダッシュ</t>
  </si>
  <si>
    <t>テーラードジャケット、ブレザー</t>
  </si>
  <si>
    <t>スライサー</t>
  </si>
  <si>
    <t>オークション &gt; ファッション &gt; メンズファッション &gt; ジャケット、上着 &gt; テーラードジャケット、ブレザー</t>
  </si>
  <si>
    <t>オークション &gt; 事務、店舗用品 &gt; 店舗用品 &gt; 厨房機器 &gt; スライサー</t>
  </si>
  <si>
    <t>0,22896,2084042481,2084048468,2084311129</t>
  </si>
  <si>
    <t>オンダッシュ</t>
  </si>
  <si>
    <t>オークション &gt; 自動車、オートバイ &gt; カーナビ &gt; モニター &gt; オンダッシュ</t>
  </si>
  <si>
    <t>フライパン</t>
  </si>
  <si>
    <t>オークション &gt; 事務、店舗用品 &gt; 店舗用品 &gt; 厨房機器 &gt; フライパン</t>
  </si>
  <si>
    <t>オークション &gt; ファッション &gt; メンズファッション &gt; ジャケット、上着 &gt; フライトジャケット</t>
  </si>
  <si>
    <t>0,22896,2084042481,2084048468,2084223391</t>
  </si>
  <si>
    <t>オークション &gt; ファッション &gt; メンズファッション &gt; ジャケット、上着 &gt; マウンテンパーカ</t>
  </si>
  <si>
    <t>フライヤー</t>
  </si>
  <si>
    <t>バイザー</t>
  </si>
  <si>
    <t>オークション &gt; 事務、店舗用品 &gt; 店舗用品 &gt; 厨房機器 &gt; フライヤー</t>
  </si>
  <si>
    <t>オークション &gt; 自動車、オートバイ &gt; カーナビ &gt; モニター &gt; バイザー</t>
  </si>
  <si>
    <t>0,22896,2084042481,2084048468,2084063839</t>
  </si>
  <si>
    <t>オークション &gt; ファッション &gt; メンズファッション &gt; ジャケット、上着 &gt; ライダース</t>
  </si>
  <si>
    <t>オークション &gt; 事務、店舗用品 &gt; 店舗用品 &gt; 厨房機器 &gt; ミキサー</t>
  </si>
  <si>
    <t>バックミラー</t>
  </si>
  <si>
    <t>0,22896,2084042481,2084048468,2084311127</t>
  </si>
  <si>
    <t>オークション &gt; 自動車、オートバイ &gt; カーナビ &gt; モニター &gt; バックミラー</t>
  </si>
  <si>
    <t>M-65</t>
  </si>
  <si>
    <t>オークション &gt; ファッション &gt; メンズファッション &gt; ジャケット、上着 &gt; M-65</t>
  </si>
  <si>
    <t>オークション &gt; 事務、店舗用品 &gt; 店舗用品 &gt; 厨房機器 &gt; 給湯設備</t>
  </si>
  <si>
    <t>0,22896,2084042481,2084048468,2084258414</t>
  </si>
  <si>
    <t>オークション &gt; ファッション &gt; メンズファッション &gt; ジャケット、上着 &gt; カバーオール</t>
  </si>
  <si>
    <t>フリップダウン</t>
  </si>
  <si>
    <t>戸棚</t>
  </si>
  <si>
    <t>オークション &gt; 自動車、オートバイ &gt; カーナビ &gt; モニター &gt; フリップダウン</t>
  </si>
  <si>
    <t>オークション &gt; 事務、店舗用品 &gt; 店舗用品 &gt; 厨房機器 &gt; 戸棚</t>
  </si>
  <si>
    <t>0,22896,2084042481,2084048468,2084226755</t>
  </si>
  <si>
    <t>オークション &gt; ファッション &gt; メンズファッション &gt; ジャケット、上着 &gt; パーカ</t>
  </si>
  <si>
    <t>作業台</t>
  </si>
  <si>
    <t>ヘッドレスト</t>
  </si>
  <si>
    <t>オークション &gt; ファッション &gt; メンズファッション &gt; ジャケット、上着 &gt; スーツ</t>
  </si>
  <si>
    <t>オークション &gt; 事務、店舗用品 &gt; 店舗用品 &gt; 厨房機器 &gt; 作業台</t>
  </si>
  <si>
    <t>オークション &gt; 自動車、オートバイ &gt; カーナビ &gt; モニター &gt; ヘッドレスト</t>
  </si>
  <si>
    <t>0,22896,2084042481,2084048468,2084062998</t>
  </si>
  <si>
    <t>オークション &gt; ファッション &gt; メンズファッション &gt; ジャケット、上着 &gt; その他</t>
  </si>
  <si>
    <t>蒸し器</t>
  </si>
  <si>
    <t>オークション &gt; 自動車、オートバイ &gt; カーナビ &gt; モニター &gt; その他</t>
  </si>
  <si>
    <t>オークション &gt; 事務、店舗用品 &gt; 店舗用品 &gt; 厨房機器 &gt; 蒸し器</t>
  </si>
  <si>
    <t>0,22896,2084042481,2084048468,2084063489</t>
  </si>
  <si>
    <t>CD-ROM</t>
  </si>
  <si>
    <t>オークション &gt; ファッション &gt; メンズファッション &gt; ニット、セーター &gt; XSサイズ以下</t>
  </si>
  <si>
    <t>オークション &gt; 自動車、オートバイ &gt; カーナビ &gt; ソフトウエア &gt; CD-ROM</t>
  </si>
  <si>
    <t>オークション &gt; 事務、店舗用品 &gt; 店舗用品 &gt; 厨房機器 &gt; 食器</t>
  </si>
  <si>
    <t>0,22896,2084042481,2084048468,2084223385</t>
  </si>
  <si>
    <t>DVD-ROM</t>
  </si>
  <si>
    <t>オークション &gt; ファッション &gt; メンズファッション &gt; ニット、セーター &gt; Sサイズ</t>
  </si>
  <si>
    <t>オークション &gt; 自動車、オートバイ &gt; カーナビ &gt; ソフトウエア &gt; DVD-ROM</t>
  </si>
  <si>
    <t>食器洗浄機</t>
  </si>
  <si>
    <t>オークション &gt; 事務、店舗用品 &gt; 店舗用品 &gt; 厨房機器 &gt; 食器洗浄機</t>
  </si>
  <si>
    <t>0,22896,2084042481,2084048468,2084063488</t>
  </si>
  <si>
    <t>オークション &gt; ファッション &gt; メンズファッション &gt; ニット、セーター &gt; Mサイズ</t>
  </si>
  <si>
    <t>カーナビ用SDカード</t>
  </si>
  <si>
    <t>オークション &gt; 自動車、オートバイ &gt; カーナビ &gt; ソフトウエア &gt; カーナビ用SDカード</t>
  </si>
  <si>
    <t>食品サンプル</t>
  </si>
  <si>
    <t>オークション &gt; 事務、店舗用品 &gt; 店舗用品 &gt; 厨房機器 &gt; 食品サンプル</t>
  </si>
  <si>
    <t>0,22896,2084042481,2084048468,2084227365</t>
  </si>
  <si>
    <t>オークション &gt; ファッション &gt; メンズファッション &gt; ニット、セーター &gt; Lサイズ</t>
  </si>
  <si>
    <t>オークション &gt; 自動車、オートバイ &gt; カーナビ &gt; ソフトウエア &gt; その他</t>
  </si>
  <si>
    <t>真空包装機</t>
  </si>
  <si>
    <t>オークション &gt; ファッション &gt; メンズファッション &gt; ニット、セーター &gt; XLサイズ以上</t>
  </si>
  <si>
    <t>オークション &gt; 事務、店舗用品 &gt; 店舗用品 &gt; 厨房機器 &gt; 真空包装機</t>
  </si>
  <si>
    <t>0,22896,2084042481,2084048468,2084311128</t>
  </si>
  <si>
    <t>GPSアンテナ</t>
  </si>
  <si>
    <t>オークション &gt; 自動車、オートバイ &gt; カーナビ &gt; アンテナ &gt; GPSアンテナ</t>
  </si>
  <si>
    <t>オークション &gt; ファッション &gt; メンズファッション &gt; ニット、セーター &gt; アニエスb.</t>
  </si>
  <si>
    <t>オークション &gt; ファッション &gt; メンズファッション &gt; ニット、セーター &gt; アバハウス</t>
  </si>
  <si>
    <t>VICSアンテナ</t>
  </si>
  <si>
    <t>オークション &gt; 事務、店舗用品 &gt; 店舗用品 &gt; 厨房機器 &gt; 炊飯器</t>
  </si>
  <si>
    <t>オークション &gt; 自動車、オートバイ &gt; カーナビ &gt; アンテナ &gt; VICSアンテナ</t>
  </si>
  <si>
    <t>0,22896,2084042481,2084048468,2084063486</t>
  </si>
  <si>
    <t>オークション &gt; ファッション &gt; メンズファッション &gt; ニット、セーター &gt; アルマーニ</t>
  </si>
  <si>
    <t>アンテナブースター</t>
  </si>
  <si>
    <t>オークション &gt; 自動車、オートバイ &gt; カーナビ &gt; アンテナ &gt; アンテナブースター</t>
  </si>
  <si>
    <t>製氷機</t>
  </si>
  <si>
    <t>オークション &gt; ファッション &gt; メンズファッション &gt; ニット、セーター &gt; アンダーカバー</t>
  </si>
  <si>
    <t>ダイバーシティアンテナ</t>
  </si>
  <si>
    <t>オークション &gt; 事務、店舗用品 &gt; 店舗用品 &gt; 厨房機器 &gt; 製氷機</t>
  </si>
  <si>
    <t>0,22896,2084042481,2084048468,2084063490</t>
  </si>
  <si>
    <t>オークション &gt; 自動車、オートバイ &gt; カーナビ &gt; アンテナ &gt; ダイバーシティアンテナ</t>
  </si>
  <si>
    <t>オークション &gt; ファッション &gt; メンズファッション &gt; ニット、セーター &gt; イヴ・サンローラン</t>
  </si>
  <si>
    <t>フィルムアンテナ</t>
  </si>
  <si>
    <t>製麺用品</t>
  </si>
  <si>
    <t>オークション &gt; 自動車、オートバイ &gt; カーナビ &gt; アンテナ &gt; フィルムアンテナ</t>
  </si>
  <si>
    <t>オークション &gt; 事務、店舗用品 &gt; 店舗用品 &gt; 厨房機器 &gt; 製麺用品</t>
  </si>
  <si>
    <t>0,22896,2084042481,2084048468,2084223920</t>
  </si>
  <si>
    <t>オークション &gt; ファッション &gt; メンズファッション &gt; ニット、セーター &gt; エクストラ ラージ</t>
  </si>
  <si>
    <t>ラジオ用アンテナ</t>
  </si>
  <si>
    <t>オークション &gt; 自動車、オートバイ &gt; カーナビ &gt; アンテナ &gt; ラジオ用アンテナ</t>
  </si>
  <si>
    <t>内装材料</t>
  </si>
  <si>
    <t>オークション &gt; 事務、店舗用品 &gt; 店舗用品 &gt; 厨房機器 &gt; 内装材料</t>
  </si>
  <si>
    <t>オークション &gt; ファッション &gt; メンズファッション &gt; ニット、セーター &gt; エトロ</t>
  </si>
  <si>
    <t>0,22896,2084042481,2084048468,2084062814</t>
  </si>
  <si>
    <t>オークション &gt; 自動車、オートバイ &gt; カーナビ &gt; アンテナ &gt; その他</t>
  </si>
  <si>
    <t>オークション &gt; ファッション &gt; メンズファッション &gt; ニット、セーター &gt; エルメス</t>
  </si>
  <si>
    <t>鍋</t>
  </si>
  <si>
    <t>オークション &gt; 事務、店舗用品 &gt; 店舗用品 &gt; 厨房機器 &gt; 鍋</t>
  </si>
  <si>
    <t>オークション &gt; 自動車、オートバイ &gt; カーナビ &gt; Bluetoothユニット &gt; パナソニック</t>
  </si>
  <si>
    <t>0,22896,2084042481,2084048468,2084063487</t>
  </si>
  <si>
    <t>オークション &gt; ファッション &gt; メンズファッション &gt; ニット、セーター &gt; カルバン･クライン</t>
  </si>
  <si>
    <t>包丁</t>
  </si>
  <si>
    <t>オークション &gt; 自動車、オートバイ &gt; カーナビ &gt; Bluetoothユニット &gt; カロッツェリア</t>
  </si>
  <si>
    <t>オークション &gt; 事務、店舗用品 &gt; 店舗用品 &gt; 厨房機器 &gt; 包丁</t>
  </si>
  <si>
    <t>0,22896,2084042481,2084048468,2084063511</t>
  </si>
  <si>
    <t>オークション &gt; ファッション &gt; メンズファッション &gt; ニット、セーター &gt; キャサリン・ハムネット</t>
  </si>
  <si>
    <t>オークション &gt; 自動車、オートバイ &gt; カーナビ &gt; Bluetoothユニット &gt; イクリプス</t>
  </si>
  <si>
    <t>流し台、シンク</t>
  </si>
  <si>
    <t>オークション &gt; 事務、店舗用品 &gt; 店舗用品 &gt; 厨房機器 &gt; 流し台、シンク</t>
  </si>
  <si>
    <t>0,22896,2084042481,2084048468,2084221072</t>
  </si>
  <si>
    <t>オークション &gt; ファッション &gt; メンズファッション &gt; ニット、セーター &gt; ギャップ</t>
  </si>
  <si>
    <t>オークション &gt; 自動車、オートバイ &gt; カーナビ &gt; Bluetoothユニット &gt; その他</t>
  </si>
  <si>
    <t>冷蔵ショーケース</t>
  </si>
  <si>
    <t>オークション &gt; 事務、店舗用品 &gt; 店舗用品 &gt; 厨房機器 &gt; 冷蔵ショーケース</t>
  </si>
  <si>
    <t>0,22896,2084042481,2084048468,2084226757</t>
  </si>
  <si>
    <t>オークション &gt; ファッション &gt; メンズファッション &gt; ニット、セーター &gt; クリスチャン・ディオール</t>
  </si>
  <si>
    <t>アナログチューナー</t>
  </si>
  <si>
    <t>オークション &gt; 自動車、オートバイ &gt; カーナビ &gt; TVチューナー &gt; アナログチューナー</t>
  </si>
  <si>
    <t>温蔵ショーケース</t>
  </si>
  <si>
    <t>オークション &gt; 事務、店舗用品 &gt; 店舗用品 &gt; 厨房機器 &gt; 温蔵ショーケース</t>
  </si>
  <si>
    <t>オークション &gt; ファッション &gt; メンズファッション &gt; ニット、セーター &gt; グッチ</t>
  </si>
  <si>
    <t>ワンセグ専用チューナー</t>
  </si>
  <si>
    <t>0,22896,2084042481,2084048468,2084263145</t>
  </si>
  <si>
    <t>オークション &gt; 自動車、オートバイ &gt; カーナビ &gt; TVチューナー &gt; ワンセグ専用チューナー</t>
  </si>
  <si>
    <t>温蔵冷蔵ショーケース</t>
  </si>
  <si>
    <t>地デジチューナー</t>
  </si>
  <si>
    <t>オークション &gt; 事務、店舗用品 &gt; 店舗用品 &gt; 厨房機器 &gt; 温蔵冷蔵ショーケース</t>
  </si>
  <si>
    <t>オークション &gt; ファッション &gt; メンズファッション &gt; ニット、セーター &gt; コム サ デ モード</t>
  </si>
  <si>
    <t>オークション &gt; 自動車、オートバイ &gt; カーナビ &gt; TVチューナー &gt; 地デジチューナー</t>
  </si>
  <si>
    <t>0,22896,2084042481,2084048468,2084263146</t>
  </si>
  <si>
    <t>オークション &gt; ファッション &gt; メンズファッション &gt; ニット、セーター &gt; コム デ ギャルソン</t>
  </si>
  <si>
    <t>オークション &gt; 自動車、オートバイ &gt; カーナビ &gt; TVチューナー &gt; その他</t>
  </si>
  <si>
    <t>オークション &gt; 事務、店舗用品 &gt; 店舗用品 &gt; 厨房機器 &gt; 冷蔵庫</t>
  </si>
  <si>
    <t>0,22896,2084042481,2084048468,2084062995</t>
  </si>
  <si>
    <t>オークション &gt; ファッション &gt; メンズファッション &gt; ニット、セーター &gt; サルヴァトーレ・フェラガモ</t>
  </si>
  <si>
    <t>オークション &gt; 自動車、オートバイ &gt; カーナビ &gt; バックカメラ、バックモニタ &gt; アルパイン</t>
  </si>
  <si>
    <t>オークション &gt; 事務、店舗用品 &gt; 店舗用品 &gt; 厨房機器 &gt; 冷凍庫</t>
  </si>
  <si>
    <t>0,22896,2084042481,2084048468,2084062996</t>
  </si>
  <si>
    <t>オークション &gt; ファッション &gt; メンズファッション &gt; ニット、セーター &gt; シップス</t>
  </si>
  <si>
    <t>オークション &gt; 自動車、オートバイ &gt; カーナビ &gt; バックカメラ、バックモニタ &gt; イクリプス</t>
  </si>
  <si>
    <t>冷凍冷蔵庫</t>
  </si>
  <si>
    <t>オークション &gt; 事務、店舗用品 &gt; 店舗用品 &gt; 厨房機器 &gt; 冷凍冷蔵庫</t>
  </si>
  <si>
    <t>0,22896,2084042481,2084048468,2084062997</t>
  </si>
  <si>
    <t>オークション &gt; 自動車、オートバイ &gt; カーナビ &gt; バックカメラ、バックモニタ &gt; カロッツェリア</t>
  </si>
  <si>
    <t>オークション &gt; ファッション &gt; メンズファッション &gt; ニット、セーター &gt; タケオキクチ</t>
  </si>
  <si>
    <t>温蔵庫</t>
  </si>
  <si>
    <t>オークション &gt; 事務、店舗用品 &gt; 店舗用品 &gt; 厨房機器 &gt; 温蔵庫</t>
  </si>
  <si>
    <t>0,22896,2084042481,2084048468,2084263152</t>
  </si>
  <si>
    <t>オークション &gt; 自動車、オートバイ &gt; カーナビ &gt; バックカメラ、バックモニタ &gt; パナソニック</t>
  </si>
  <si>
    <t>オークション &gt; ファッション &gt; メンズファッション &gt; ニット、セーター &gt; ダナ･キャラン,DKNY</t>
  </si>
  <si>
    <t>オークション &gt; 事務、店舗用品 &gt; 店舗用品 &gt; 厨房機器 &gt; その他</t>
  </si>
  <si>
    <t>0,22896,2084042481,2084048468,2084063000</t>
  </si>
  <si>
    <t>オークション &gt; 自動車、オートバイ &gt; カーナビ &gt; バックカメラ、バックモニタ &gt; 純正品</t>
  </si>
  <si>
    <t>オークション &gt; ファッション &gt; メンズファッション &gt; ニット、セーター &gt; ティンバーランド</t>
  </si>
  <si>
    <t>トップコート</t>
  </si>
  <si>
    <t>オークション &gt; ビューティー、ヘルスケア &gt; ネイルケア &gt; トップコート</t>
  </si>
  <si>
    <t>オークション &gt; ファッション &gt; メンズファッション &gt; ニット、セーター &gt; トランスコンチネンツ</t>
  </si>
  <si>
    <t>0,42177,2084005298,2084049738</t>
  </si>
  <si>
    <t>オークション &gt; 自動車、オートバイ &gt; カーナビ &gt; バックカメラ、バックモニタ &gt; その他</t>
  </si>
  <si>
    <t>オークション &gt; 自動車、オートバイ &gt; カーナビ &gt; ビーコン &gt; アルパイン</t>
  </si>
  <si>
    <t>オークション &gt; ファッション &gt; メンズファッション &gt; ニット、セーター &gt; トルネードマート</t>
  </si>
  <si>
    <t>ネイルアート用品</t>
  </si>
  <si>
    <t>オークション &gt; ビューティー、ヘルスケア &gt; ネイルケア &gt; ネイルアート用品</t>
  </si>
  <si>
    <t>0,42177,2084005298,2084049741</t>
  </si>
  <si>
    <t>オークション &gt; 自動車、オートバイ &gt; カーナビ &gt; ビーコン &gt; イクリプス</t>
  </si>
  <si>
    <t>ドリス ヴァン　ノッテン</t>
  </si>
  <si>
    <t>オークション &gt; ファッション &gt; メンズファッション &gt; ニット、セーター &gt; ドリス ヴァン　ノッテン</t>
  </si>
  <si>
    <t>オークション &gt; 自動車、オートバイ &gt; カーナビ &gt; ビーコン &gt; カロッツェリア</t>
  </si>
  <si>
    <t>ネイルカラー</t>
  </si>
  <si>
    <t>オークション &gt; ビューティー、ヘルスケア &gt; ネイルケア &gt; ネイルカラー</t>
  </si>
  <si>
    <t>0,42177,2084005298,2084007455</t>
  </si>
  <si>
    <t>ドルチェ&amp;ガッバーナ</t>
  </si>
  <si>
    <t>オークション &gt; 自動車、オートバイ &gt; カーナビ &gt; ビーコン &gt; ソニー</t>
  </si>
  <si>
    <t>オークション &gt; ファッション &gt; メンズファッション &gt; ニット、セーター &gt; ドルチェ&amp;ガッバーナ</t>
  </si>
  <si>
    <t>ネイルチップ、付け爪</t>
  </si>
  <si>
    <t>オークション &gt; 自動車、オートバイ &gt; カーナビ &gt; ビーコン &gt; パナソニック</t>
  </si>
  <si>
    <t>オークション &gt; ビューティー、ヘルスケア &gt; ネイルケア &gt; ネイルチップ、付け爪</t>
  </si>
  <si>
    <t>0,42177,2084005298,2084007456</t>
  </si>
  <si>
    <t>オークション &gt; ファッション &gt; メンズファッション &gt; ニット、セーター &gt; ハリウッド ランチ マーケット</t>
  </si>
  <si>
    <t>オークション &gt; 自動車、オートバイ &gt; カーナビ &gt; ビーコン &gt; 三洋電機</t>
  </si>
  <si>
    <t>ネイルトリートメント</t>
  </si>
  <si>
    <t>オークション &gt; ビューティー、ヘルスケア &gt; ネイルケア &gt; ネイルトリートメント</t>
  </si>
  <si>
    <t>0,42177,2084005298,2084049740</t>
  </si>
  <si>
    <t>オークション &gt; ファッション &gt; メンズファッション &gt; ニット、セーター &gt; ハンティングワールド</t>
  </si>
  <si>
    <t>オークション &gt; 自動車、オートバイ &gt; カーナビ &gt; ビーコン &gt; その他</t>
  </si>
  <si>
    <t>ベースコート</t>
  </si>
  <si>
    <t>オークション &gt; ビューティー、ヘルスケア &gt; ネイルケア &gt; ベースコート</t>
  </si>
  <si>
    <t>0,42177,2084005298,2084049739</t>
  </si>
  <si>
    <t>オークション &gt; ファッション &gt; メンズファッション &gt; ニット、セーター &gt; バーバリー</t>
  </si>
  <si>
    <t>オークション &gt; 自動車、オートバイ &gt; カーナビ &gt; リモコン &gt; 三洋電機</t>
  </si>
  <si>
    <t>手入れ用具</t>
  </si>
  <si>
    <t>オークション &gt; ビューティー、ヘルスケア &gt; ネイルケア &gt; 手入れ用具</t>
  </si>
  <si>
    <t>0,42177,2084005298,2084049737</t>
  </si>
  <si>
    <t>オークション &gt; 自動車、オートバイ &gt; カーナビ &gt; リモコン &gt; パナソニック</t>
  </si>
  <si>
    <t>オークション &gt; ファッション &gt; メンズファッション &gt; ニット、セーター &gt; ヒステリックグラマー</t>
  </si>
  <si>
    <t>除光液</t>
  </si>
  <si>
    <t>オークション &gt; ビューティー、ヘルスケア &gt; ネイルケア &gt; 除光液</t>
  </si>
  <si>
    <t>0,42177,2084005298,2084049736</t>
  </si>
  <si>
    <t>ヒューゴ・ボス</t>
  </si>
  <si>
    <t>オークション &gt; ファッション &gt; メンズファッション &gt; ニット、セーター &gt; ヒューゴ・ボス</t>
  </si>
  <si>
    <t>オークション &gt; 自動車、オートバイ &gt; カーナビ &gt; リモコン &gt; カロッツェリア</t>
  </si>
  <si>
    <t>オークション &gt; ビューティー、ヘルスケア &gt; ネイルケア &gt; 爪切り</t>
  </si>
  <si>
    <t>0,42177,2084005298,2084227185</t>
  </si>
  <si>
    <t>オークション &gt; ビューティー、ヘルスケア &gt; ネイルケア &gt; その他</t>
  </si>
  <si>
    <t>オークション &gt; 自動車、オートバイ &gt; カーナビ &gt; リモコン &gt; アルパイン</t>
  </si>
  <si>
    <t>0,42177,2084005298,2084007457</t>
  </si>
  <si>
    <t>オークション &gt; ファッション &gt; メンズファッション &gt; ニット、セーター &gt; ビームス</t>
  </si>
  <si>
    <t>オークション &gt; 自動車、オートバイ &gt; カーナビ &gt; リモコン &gt; イクリプス</t>
  </si>
  <si>
    <t>シャンプー</t>
  </si>
  <si>
    <t>オークション &gt; ビューティー、ヘルスケア &gt; ヘアケア &gt; シャンプー</t>
  </si>
  <si>
    <t>0,42177,2084005297,2084007432</t>
  </si>
  <si>
    <t>オークション &gt; ファッション &gt; メンズファッション &gt; ニット、セーター &gt; ビギ</t>
  </si>
  <si>
    <t>オークション &gt; 自動車、オートバイ &gt; カーナビ &gt; リモコン &gt; ソニー</t>
  </si>
  <si>
    <t>リンス</t>
  </si>
  <si>
    <t>オークション &gt; ビューティー、ヘルスケア &gt; ヘアケア &gt; リンス</t>
  </si>
  <si>
    <t>0,42177,2084005297,2084007433</t>
  </si>
  <si>
    <t>オークション &gt; 自動車、オートバイ &gt; カーナビ &gt; リモコン &gt; 純正品</t>
  </si>
  <si>
    <t>オークション &gt; ファッション &gt; メンズファッション &gt; ニット、セーター &gt; フェンディ</t>
  </si>
  <si>
    <t>トリートメント、エッセンス</t>
  </si>
  <si>
    <t>オークション &gt; ビューティー、ヘルスケア &gt; ヘアケア &gt; トリートメント、エッセンス</t>
  </si>
  <si>
    <t>0,42177,2084005297,2084007434</t>
  </si>
  <si>
    <t>オークション &gt; 自動車、オートバイ &gt; カーナビ &gt; リモコン &gt; その他</t>
  </si>
  <si>
    <t>オークション &gt; ファッション &gt; メンズファッション &gt; ニット、セーター &gt; プラダ</t>
  </si>
  <si>
    <t>カラーリング剤</t>
  </si>
  <si>
    <t>オークション &gt; ビューティー、ヘルスケア &gt; ヘアケア &gt; カラーリング剤</t>
  </si>
  <si>
    <t>汎用品</t>
  </si>
  <si>
    <t>0,42177,2084005297,2084007436</t>
  </si>
  <si>
    <t>オークション &gt; 自動車、オートバイ &gt; カーナビ &gt; 液晶保護フィルム、カバー &gt; 汎用品</t>
  </si>
  <si>
    <t>オークション &gt; ファッション &gt; メンズファッション &gt; ニット、セーター &gt; ヘルムート・ラング</t>
  </si>
  <si>
    <t>スタイリング剤</t>
  </si>
  <si>
    <t>アルパイン用</t>
  </si>
  <si>
    <t>オークション &gt; ビューティー、ヘルスケア &gt; ヘアケア &gt; スタイリング剤</t>
  </si>
  <si>
    <t>オークション &gt; 自動車、オートバイ &gt; カーナビ &gt; 液晶保護フィルム、カバー &gt; アルパイン用</t>
  </si>
  <si>
    <t>0,42177,2084005297,2084007435</t>
  </si>
  <si>
    <t>オークション &gt; ファッション &gt; メンズファッション &gt; ニット、セーター &gt; ベネトン</t>
  </si>
  <si>
    <t>イクリプス用</t>
  </si>
  <si>
    <t>オークション &gt; 自動車、オートバイ &gt; カーナビ &gt; 液晶保護フィルム、カバー &gt; イクリプス用</t>
  </si>
  <si>
    <t>ブラシ、くし</t>
  </si>
  <si>
    <t>オークション &gt; ビューティー、ヘルスケア &gt; ヘアケア &gt; ブラシ、くし</t>
  </si>
  <si>
    <t>0,42177,2084005297,2084007481</t>
  </si>
  <si>
    <t>オークション &gt; ファッション &gt; メンズファッション &gt; ニット、セーター &gt; ボイコット</t>
  </si>
  <si>
    <t>ヘアアイロン</t>
  </si>
  <si>
    <t>ポール・スミス</t>
  </si>
  <si>
    <t>オークション &gt; ビューティー、ヘルスケア &gt; ヘアケア &gt; ヘアアイロン</t>
  </si>
  <si>
    <t>オークション &gt; ファッション &gt; メンズファッション &gt; ニット、セーター &gt; ポール・スミス</t>
  </si>
  <si>
    <t>0,42177,2084005297,2084044961</t>
  </si>
  <si>
    <t>カロッツェリア用</t>
  </si>
  <si>
    <t>オークション &gt; 自動車、オートバイ &gt; カーナビ &gt; 液晶保護フィルム、カバー &gt; カロッツェリア用</t>
  </si>
  <si>
    <t>ヘアエクステンション</t>
  </si>
  <si>
    <t>オークション &gt; ファッション &gt; メンズファッション &gt; ニット、セーター &gt; ミルクボーイ</t>
  </si>
  <si>
    <t>オークション &gt; ビューティー、ヘルスケア &gt; ヘアケア &gt; ヘアエクステンション</t>
  </si>
  <si>
    <t>0,42177,2084005297,2084236841</t>
  </si>
  <si>
    <t>ソニー用</t>
  </si>
  <si>
    <t>オークション &gt; 自動車、オートバイ &gt; カーナビ &gt; 液晶保護フィルム、カバー &gt; ソニー用</t>
  </si>
  <si>
    <t>ヘアドライヤー</t>
  </si>
  <si>
    <t>オークション &gt; ビューティー、ヘルスケア &gt; ヘアケア &gt; ヘアドライヤー</t>
  </si>
  <si>
    <t>パナソニック用</t>
  </si>
  <si>
    <t>0,42177,2084005297,2084044960</t>
  </si>
  <si>
    <t>オークション &gt; 自動車、オートバイ &gt; カーナビ &gt; 液晶保護フィルム、カバー &gt; パナソニック用</t>
  </si>
  <si>
    <t>オークション &gt; ファッション &gt; メンズファッション &gt; ニット、セーター &gt; ユナイテッドアローズ</t>
  </si>
  <si>
    <t>ホットカーラー</t>
  </si>
  <si>
    <t>オークション &gt; ビューティー、ヘルスケア &gt; ヘアケア &gt; ホットカーラー</t>
  </si>
  <si>
    <t>三洋電機用</t>
  </si>
  <si>
    <t>0,42177,2084005297,2084044962</t>
  </si>
  <si>
    <t>オークション &gt; 自動車、オートバイ &gt; カーナビ &gt; 液晶保護フィルム、カバー &gt; 三洋電機用</t>
  </si>
  <si>
    <t>オークション &gt; ファッション &gt; メンズファッション &gt; ニット、セーター &gt; ラルフローレン</t>
  </si>
  <si>
    <t>オークション &gt; 自動車、オートバイ &gt; カーナビ &gt; 液晶保護フィルム、カバー &gt; その他</t>
  </si>
  <si>
    <t>育毛、増毛剤</t>
  </si>
  <si>
    <t>オークション &gt; ビューティー、ヘルスケア &gt; ヘアケア &gt; 育毛、増毛剤</t>
  </si>
  <si>
    <t>0,42177,2084005297,2084048852</t>
  </si>
  <si>
    <t>オークション &gt; ファッション &gt; メンズファッション &gt; ニット、セーター &gt; ワールド ワイド ラブ！</t>
  </si>
  <si>
    <t>オークション &gt; 自動車、オートバイ &gt; カーナビ &gt; 取付キット、スタンド &gt; カロッツェリア</t>
  </si>
  <si>
    <t>オークション &gt; ファッション &gt; メンズファッション &gt; ニット、セーター &gt; ヴィヴィアン ウエストウッド</t>
  </si>
  <si>
    <t>オークション &gt; 自動車、オートバイ &gt; カーナビ &gt; 取付キット、スタンド &gt; ソニー</t>
  </si>
  <si>
    <t>オークション &gt; ビューティー、ヘルスケア &gt; ヘアケア &gt; かつら</t>
  </si>
  <si>
    <t>0,42177,2084005297,2084007441</t>
  </si>
  <si>
    <t>オークション &gt; ファッション &gt; メンズファッション &gt; ニット、セーター &gt; ヴェルサーチ</t>
  </si>
  <si>
    <t>オークション &gt; 自動車、オートバイ &gt; カーナビ &gt; 取付キット、スタンド &gt; パナソニック</t>
  </si>
  <si>
    <t>ファッションウイッグ</t>
  </si>
  <si>
    <t>オークション &gt; ビューティー、ヘルスケア &gt; ヘアケア &gt; ファッションウイッグ</t>
  </si>
  <si>
    <t>0,42177,2084005297,2084007438</t>
  </si>
  <si>
    <t>オークション &gt; ファッション &gt; メンズファッション &gt; ニット、セーター &gt; Y's、ヨウジヤマモト</t>
  </si>
  <si>
    <t>オークション &gt; 自動車、オートバイ &gt; カーナビ &gt; 取付キット、スタンド &gt; 三洋電機</t>
  </si>
  <si>
    <t>オークション &gt; ビューティー、ヘルスケア &gt; ヘアケア &gt; その他</t>
  </si>
  <si>
    <t>0,42177,2084005297,2084007437</t>
  </si>
  <si>
    <t>携帯電話・スマートフォンホルダー</t>
  </si>
  <si>
    <t>オークション &gt; ファッション &gt; メンズファッション &gt; ベスト &gt; XSサイズ以下</t>
  </si>
  <si>
    <t>オークション &gt; 自動車、オートバイ &gt; カーナビ &gt; 取付キット、スタンド &gt; 携帯電話・スマートフォンホルダー</t>
  </si>
  <si>
    <t>0,22896,2084042481,2084045790,2084227136</t>
  </si>
  <si>
    <t>オークション &gt; 自動車、オートバイ &gt; カーナビ &gt; 取付キット、スタンド &gt; その他</t>
  </si>
  <si>
    <t>オークション &gt; ファッション &gt; メンズファッション &gt; ベスト &gt; Sサイズ</t>
  </si>
  <si>
    <t>0,22896,2084042481,2084045790,2084227137</t>
  </si>
  <si>
    <t>0,22896,2084042481,2084045790,2084227144</t>
  </si>
  <si>
    <t>オークション &gt; ファッション &gt; メンズファッション &gt; ベスト &gt; Mサイズ</t>
  </si>
  <si>
    <t>オークション &gt; 自動車、オートバイ &gt; カーナビ &gt; 接続ケーブル、ACアダプター &gt; アルパイン</t>
  </si>
  <si>
    <t>梱包機</t>
  </si>
  <si>
    <t>オークション &gt; 事務、店舗用品 &gt; ラッピング、包装 &gt; 梱包機</t>
  </si>
  <si>
    <t>0,22896,2084047365,2084263153</t>
  </si>
  <si>
    <t>オークション &gt; ファッション &gt; メンズファッション &gt; ベスト &gt; Lサイズ</t>
  </si>
  <si>
    <t>オークション &gt; 自動車、オートバイ &gt; カーナビ &gt; 接続ケーブル、ACアダプター &gt; イクリプス</t>
  </si>
  <si>
    <t>ギフトボックス</t>
  </si>
  <si>
    <t>オークション &gt; 事務、店舗用品 &gt; ラッピング、包装 &gt; ギフトボックス</t>
  </si>
  <si>
    <t>0,22896,2084047365,2084221001</t>
  </si>
  <si>
    <t>オークション &gt; ファッション &gt; メンズファッション &gt; ベスト &gt; XLサイズ以上</t>
  </si>
  <si>
    <t>シーラー</t>
  </si>
  <si>
    <t>オークション &gt; 自動車、オートバイ &gt; カーナビ &gt; 接続ケーブル、ACアダプター &gt; カロッツェリア</t>
  </si>
  <si>
    <t>オークション &gt; 事務、店舗用品 &gt; ラッピング、包装 &gt; シーラー</t>
  </si>
  <si>
    <t>0,22896,2084047365,2084063699</t>
  </si>
  <si>
    <t>オークション &gt; ファッション &gt; メンズファッション &gt; ベスト &gt; ダウンベスト</t>
  </si>
  <si>
    <t>オークション &gt; 自動車、オートバイ &gt; カーナビ &gt; 接続ケーブル、ACアダプター &gt; ソニー</t>
  </si>
  <si>
    <t>ラミネーター</t>
  </si>
  <si>
    <t>オークション &gt; 事務、店舗用品 &gt; ラッピング、包装 &gt; ラミネーター</t>
  </si>
  <si>
    <t>0,22896,2084047365,2084221003</t>
  </si>
  <si>
    <t>オークション &gt; ファッション &gt; メンズファッション &gt; トレーナー &gt; XSサイズ以下</t>
  </si>
  <si>
    <t>オークション &gt; 自動車、オートバイ &gt; カーナビ &gt; 接続ケーブル、ACアダプター &gt; パナソニック</t>
  </si>
  <si>
    <t>リボン</t>
  </si>
  <si>
    <t>オークション &gt; 事務、店舗用品 &gt; ラッピング、包装 &gt; リボン</t>
  </si>
  <si>
    <t>0,22896,2084047365,2084063479</t>
  </si>
  <si>
    <t>オークション &gt; ファッション &gt; メンズファッション &gt; トレーナー &gt; Sサイズ</t>
  </si>
  <si>
    <t>オークション &gt; 自動車、オートバイ &gt; カーナビ &gt; 接続ケーブル、ACアダプター &gt; 三洋電機</t>
  </si>
  <si>
    <t>緩衝材</t>
  </si>
  <si>
    <t>オークション &gt; 事務、店舗用品 &gt; ラッピング、包装 &gt; 緩衝材</t>
  </si>
  <si>
    <t>0,22896,2084047365,2084062994</t>
  </si>
  <si>
    <t>オークション &gt; 自動車、オートバイ &gt; カーナビ &gt; 接続ケーブル、ACアダプター &gt; その他</t>
  </si>
  <si>
    <t>オークション &gt; ファッション &gt; メンズファッション &gt; トレーナー &gt; Mサイズ</t>
  </si>
  <si>
    <t>オークション &gt; 事務、店舗用品 &gt; ラッピング、包装 &gt; 接着用品</t>
  </si>
  <si>
    <t>オークション &gt; その他 &gt; 修理、取り付け &gt; 自動車、オートバイ &gt; カーナビゲーション取付 &gt; 北海道</t>
  </si>
  <si>
    <t>0,22896,2084047365,2084063474</t>
  </si>
  <si>
    <t>オークション &gt; ファッション &gt; メンズファッション &gt; トレーナー &gt; Lサイズ</t>
  </si>
  <si>
    <t>袋、封筒</t>
  </si>
  <si>
    <t>オークション &gt; その他 &gt; 修理、取り付け &gt; 自動車、オートバイ &gt; カーナビゲーション取付 &gt; 東北</t>
  </si>
  <si>
    <t>オークション &gt; 事務、店舗用品 &gt; ラッピング、包装 &gt; 袋、封筒</t>
  </si>
  <si>
    <t>0,22896,2084047365,2084063482</t>
  </si>
  <si>
    <t>オークション &gt; ファッション &gt; メンズファッション &gt; トレーナー &gt; XLサイズ以上</t>
  </si>
  <si>
    <t>オークション &gt; その他 &gt; 修理、取り付け &gt; 自動車、オートバイ &gt; カーナビゲーション取付 &gt; 関東</t>
  </si>
  <si>
    <t>段ボール箱</t>
  </si>
  <si>
    <t>オークション &gt; 事務、店舗用品 &gt; ラッピング、包装 &gt; 段ボール箱</t>
  </si>
  <si>
    <t>0,22896,2084047365,2084062992</t>
  </si>
  <si>
    <t>オークション &gt; その他 &gt; 修理、取り付け &gt; 自動車、オートバイ &gt; カーナビゲーション取付 &gt; 信越</t>
  </si>
  <si>
    <t>紐</t>
  </si>
  <si>
    <t>オークション &gt; 事務、店舗用品 &gt; ラッピング、包装 &gt; 紐</t>
  </si>
  <si>
    <t>0,22896,2084047365,2084063478</t>
  </si>
  <si>
    <t>オークション &gt; その他 &gt; 修理、取り付け &gt; 自動車、オートバイ &gt; カーナビゲーション取付 &gt; 北陸</t>
  </si>
  <si>
    <t>包装紙</t>
  </si>
  <si>
    <t>オークション &gt; 事務、店舗用品 &gt; ラッピング、包装 &gt; 包装紙</t>
  </si>
  <si>
    <t>オークション &gt; ファッション &gt; メンズファッション &gt; トレーナー &gt; アディダス</t>
  </si>
  <si>
    <t>オークション &gt; その他 &gt; 修理、取り付け &gt; 自動車、オートバイ &gt; カーナビゲーション取付 &gt; 東海</t>
  </si>
  <si>
    <t>0,22896,2084047365,2084063477</t>
  </si>
  <si>
    <t>オークション &gt; 事務、店舗用品 &gt; ラッピング、包装 &gt; その他</t>
  </si>
  <si>
    <t>0,22896,2084047365,2084062993</t>
  </si>
  <si>
    <t>オークション &gt; ファッション &gt; メンズファッション &gt; トレーナー &gt; アニエスb.</t>
  </si>
  <si>
    <t>オークション &gt; その他 &gt; 修理、取り付け &gt; 自動車、オートバイ &gt; カーナビゲーション取付 &gt; 近畿</t>
  </si>
  <si>
    <t>コートハンガー</t>
  </si>
  <si>
    <t>オークション &gt; 住まい、インテリア &gt; 家具、インテリア &gt; ハンガーラック &gt; コートハンガー</t>
  </si>
  <si>
    <t>オークション &gt; その他 &gt; 修理、取り付け &gt; 自動車、オートバイ &gt; カーナビゲーション取付 &gt; 中国</t>
  </si>
  <si>
    <t>0,24198,24230,2084061609,2084061611</t>
  </si>
  <si>
    <t>オークション &gt; ファッション &gt; メンズファッション &gt; トレーナー &gt; アバハウス</t>
  </si>
  <si>
    <t>パイプハンガー</t>
  </si>
  <si>
    <t>オークション &gt; 住まい、インテリア &gt; 家具、インテリア &gt; ハンガーラック &gt; パイプハンガー</t>
  </si>
  <si>
    <t>オークション &gt; ファッション &gt; メンズファッション &gt; トレーナー &gt; アルマーニ</t>
  </si>
  <si>
    <t>0,24198,24230,2084061609,2084061610</t>
  </si>
  <si>
    <t>オークション &gt; その他 &gt; 修理、取り付け &gt; 自動車、オートバイ &gt; カーナビゲーション取付 &gt; 四国</t>
  </si>
  <si>
    <t>オークション &gt; ファッション &gt; メンズファッション &gt; トレーナー &gt; アンダーカバー</t>
  </si>
  <si>
    <t>オークション &gt; 住まい、インテリア &gt; 家具、インテリア &gt; ハンガーラック &gt; その他</t>
  </si>
  <si>
    <t>0,24198,24230,2084061609,2084061612</t>
  </si>
  <si>
    <t>オークション &gt; その他 &gt; 修理、取り付け &gt; 自動車、オートバイ &gt; カーナビゲーション取付 &gt; 九州</t>
  </si>
  <si>
    <t>オーダー看板</t>
  </si>
  <si>
    <t>オークション &gt; 事務、店舗用品 &gt; 店舗用品 &gt; 看板 &gt; オーダー看板</t>
  </si>
  <si>
    <t>0,22896,2084042481,2084063848,2084239829</t>
  </si>
  <si>
    <t>オークション &gt; その他 &gt; 修理、取り付け &gt; 自動車、オートバイ &gt; カーナビゲーション取付 &gt; 沖縄</t>
  </si>
  <si>
    <t>オークション &gt; ファッション &gt; メンズファッション &gt; トレーナー &gt; エクストラ ラージ</t>
  </si>
  <si>
    <t>カッティングシート</t>
  </si>
  <si>
    <t>オークション &gt; 自動車、オートバイ &gt; カーオーディオ &gt; CD＆MDプレイヤー &gt; アゼスト、クラリオン</t>
  </si>
  <si>
    <t>オークション &gt; 事務、店舗用品 &gt; 店舗用品 &gt; 看板 &gt; カッティングシート</t>
  </si>
  <si>
    <t>0,22896,2084042481,2084063848,2084239828</t>
  </si>
  <si>
    <t>オークション &gt; ファッション &gt; メンズファッション &gt; トレーナー &gt; カルバン･クライン</t>
  </si>
  <si>
    <t>袖看板</t>
  </si>
  <si>
    <t>オークション &gt; 事務、店舗用品 &gt; 店舗用品 &gt; 看板 &gt; 袖看板</t>
  </si>
  <si>
    <t>0,22896,2084042481,2084063848,2084239826</t>
  </si>
  <si>
    <t>オークション &gt; 自動車、オートバイ &gt; カーオーディオ &gt; CD＆MDプレイヤー &gt; アルパイン</t>
  </si>
  <si>
    <t>オークション &gt; ファッション &gt; メンズファッション &gt; トレーナー &gt; キャサリン・ハムネット</t>
  </si>
  <si>
    <t>置型、自立看板</t>
  </si>
  <si>
    <t>オークション &gt; 自動車、オートバイ &gt; カーオーディオ &gt; CD＆MDプレイヤー &gt; イクリプス</t>
  </si>
  <si>
    <t>オークション &gt; 事務、店舗用品 &gt; 店舗用品 &gt; 看板 &gt; 置型、自立看板</t>
  </si>
  <si>
    <t>0,22896,2084042481,2084063848,2084239825</t>
  </si>
  <si>
    <t>オークション &gt; ファッション &gt; メンズファッション &gt; トレーナー &gt; ギャップ</t>
  </si>
  <si>
    <t>オークション &gt; 自動車、オートバイ &gt; カーオーディオ &gt; CD＆MDプレイヤー &gt; カロッツェリア</t>
  </si>
  <si>
    <t>壁面看板</t>
  </si>
  <si>
    <t>オークション &gt; ファッション &gt; メンズファッション &gt; トレーナー &gt; コム サ デ モード</t>
  </si>
  <si>
    <t>オークション &gt; 事務、店舗用品 &gt; 店舗用品 &gt; 看板 &gt; 壁面看板</t>
  </si>
  <si>
    <t>0,22896,2084042481,2084063848,2084239827</t>
  </si>
  <si>
    <t>オークション &gt; 自動車、オートバイ &gt; カーオーディオ &gt; CD＆MDプレイヤー &gt; ケンウッド</t>
  </si>
  <si>
    <t>のぼり</t>
  </si>
  <si>
    <t>オークション &gt; 事務、店舗用品 &gt; 店舗用品 &gt; 看板 &gt; のぼり</t>
  </si>
  <si>
    <t>オークション &gt; ファッション &gt; メンズファッション &gt; トレーナー &gt; コム デ ギャルソン</t>
  </si>
  <si>
    <t>0,22896,2084042481,2084063848,2084243711</t>
  </si>
  <si>
    <t>オークション &gt; 自動車、オートバイ &gt; カーオーディオ &gt; CD＆MDプレイヤー &gt; ソニー</t>
  </si>
  <si>
    <t>提灯</t>
  </si>
  <si>
    <t>オークション &gt; ファッション &gt; メンズファッション &gt; トレーナー &gt; シップス</t>
  </si>
  <si>
    <t>オークション &gt; 事務、店舗用品 &gt; 店舗用品 &gt; 看板 &gt; 提灯</t>
  </si>
  <si>
    <t>0,22896,2084042481,2084063848,2084243712</t>
  </si>
  <si>
    <t>オークション &gt; ファッション &gt; メンズファッション &gt; トレーナー &gt; ステューシー</t>
  </si>
  <si>
    <t>オークション &gt; 自動車、オートバイ &gt; カーオーディオ &gt; CD＆MDプレイヤー &gt; パナソニック</t>
  </si>
  <si>
    <t>オークション &gt; 事務、店舗用品 &gt; 店舗用品 &gt; 看板 &gt; その他</t>
  </si>
  <si>
    <t>0,22896,2084042481,2084063848,2084239830</t>
  </si>
  <si>
    <t>オークション &gt; ファッション &gt; メンズファッション &gt; トレーナー &gt; タケオキクチ</t>
  </si>
  <si>
    <t>オークション &gt; 自動車、オートバイ &gt; カーオーディオ &gt; CD＆MDプレイヤー &gt; ビクター</t>
  </si>
  <si>
    <t>オークション &gt; 自動車、オートバイ &gt; カーオーディオ &gt; CD＆MDプレイヤー &gt; その他</t>
  </si>
  <si>
    <t>オークション &gt; ファッション &gt; メンズファッション &gt; トレーナー &gt; ダナ･キャラン,DKNY</t>
  </si>
  <si>
    <t>オークション &gt; 自動車、オートバイ &gt; カーオーディオ &gt; CD＆カセットプレイヤー &gt; アゼスト、クラリオン</t>
  </si>
  <si>
    <t>オークション &gt; ファッション &gt; メンズファッション &gt; トレーナー &gt; ティンバーランド</t>
  </si>
  <si>
    <t>オークション &gt; 自動車、オートバイ &gt; カーオーディオ &gt; CD＆カセットプレイヤー &gt; アルパイン</t>
  </si>
  <si>
    <t>オークション &gt; 自動車、オートバイ &gt; カーオーディオ &gt; CD＆カセットプレイヤー &gt; イクリプス</t>
  </si>
  <si>
    <t>オークション &gt; ファッション &gt; メンズファッション &gt; トレーナー &gt; トランスコンチネンツ</t>
  </si>
  <si>
    <t>オークション &gt; 自動車、オートバイ &gt; カーオーディオ &gt; CD＆カセットプレイヤー &gt; カロッツェリア</t>
  </si>
  <si>
    <t>オークション &gt; 自動車、オートバイ &gt; カーオーディオ &gt; CD＆カセットプレイヤー &gt; ケンウッド</t>
  </si>
  <si>
    <t>オークション &gt; ファッション &gt; メンズファッション &gt; トレーナー &gt; ドリス ヴァン　ノッテン</t>
  </si>
  <si>
    <t>オークション &gt; 自動車、オートバイ &gt; カーオーディオ &gt; CD＆カセットプレイヤー &gt; ソニー</t>
  </si>
  <si>
    <t>オークション &gt; ファッション &gt; メンズファッション &gt; トレーナー &gt; ドルチェ&amp;ガッバーナ</t>
  </si>
  <si>
    <t>オークション &gt; 自動車、オートバイ &gt; カーオーディオ &gt; CD＆カセットプレイヤー &gt; パナソニック</t>
  </si>
  <si>
    <t>オークション &gt; 自動車、オートバイ &gt; カーオーディオ &gt; CD＆カセットプレイヤー &gt; ビクター</t>
  </si>
  <si>
    <t>オークション &gt; ファッション &gt; メンズファッション &gt; トレーナー &gt; ナイキ</t>
  </si>
  <si>
    <t>オークション &gt; 自動車、オートバイ &gt; カーオーディオ &gt; CD＆カセットプレイヤー &gt; その他</t>
  </si>
  <si>
    <t>オークション &gt; ファッション &gt; メンズファッション &gt; トレーナー &gt; ハリウッド ランチ マーケット</t>
  </si>
  <si>
    <t>オークション &gt; 自動車、オートバイ &gt; カーオーディオ &gt; CDチェンジャー &gt; アゼスト、クラリオン</t>
  </si>
  <si>
    <t>オークション &gt; ファッション &gt; メンズファッション &gt; トレーナー &gt; ハンティングワールド</t>
  </si>
  <si>
    <t>オークション &gt; 自動車、オートバイ &gt; カーオーディオ &gt; CDチェンジャー &gt; アルパイン</t>
  </si>
  <si>
    <t>オークション &gt; ファッション &gt; メンズファッション &gt; トレーナー &gt; ヒステリックグラマー</t>
  </si>
  <si>
    <t>オークション &gt; 自動車、オートバイ &gt; カーオーディオ &gt; CDチェンジャー &gt; イクリプス</t>
  </si>
  <si>
    <t>オークション &gt; ファッション &gt; メンズファッション &gt; トレーナー &gt; ビームス</t>
  </si>
  <si>
    <t>オークション &gt; 自動車、オートバイ &gt; カーオーディオ &gt; CDチェンジャー &gt; カロッツェリア</t>
  </si>
  <si>
    <t>オークション &gt; ファッション &gt; メンズファッション &gt; トレーナー &gt; ビギ</t>
  </si>
  <si>
    <t>オークション &gt; 自動車、オートバイ &gt; カーオーディオ &gt; CDチェンジャー &gt; ケンウッド</t>
  </si>
  <si>
    <t>オークション &gt; 自動車、オートバイ &gt; カーオーディオ &gt; CDチェンジャー &gt; ソニー</t>
  </si>
  <si>
    <t>オークション &gt; ファッション &gt; メンズファッション &gt; トレーナー &gt; フェンディ</t>
  </si>
  <si>
    <t>オークション &gt; 自動車、オートバイ &gt; カーオーディオ &gt; CDチェンジャー &gt; パナソニック</t>
  </si>
  <si>
    <t>オークション &gt; ファッション &gt; メンズファッション &gt; トレーナー &gt; ヘルムート・ラング</t>
  </si>
  <si>
    <t>オークション &gt; 自動車、オートバイ &gt; カーオーディオ &gt; CDチェンジャー &gt; ビクター</t>
  </si>
  <si>
    <t>オークション &gt; 自動車、オートバイ &gt; カーオーディオ &gt; CDチェンジャー &gt; その他</t>
  </si>
  <si>
    <t>オークション &gt; ファッション &gt; メンズファッション &gt; トレーナー &gt; ベネトン</t>
  </si>
  <si>
    <t>オークション &gt; 自動車、オートバイ &gt; カーオーディオ &gt; CDプレーヤー &gt; アゼスト、クラリオン</t>
  </si>
  <si>
    <t>オークション &gt; ファッション &gt; メンズファッション &gt; トレーナー &gt; ボイコット</t>
  </si>
  <si>
    <t>オークション &gt; 自動車、オートバイ &gt; カーオーディオ &gt; CDプレーヤー &gt; アルパイン</t>
  </si>
  <si>
    <t>オークション &gt; 自動車、オートバイ &gt; カーオーディオ &gt; CDプレーヤー &gt; イクリプス</t>
  </si>
  <si>
    <t>オークション &gt; ファッション &gt; メンズファッション &gt; トレーナー &gt; ポール・スミス</t>
  </si>
  <si>
    <t>オークション &gt; 自動車、オートバイ &gt; カーオーディオ &gt; CDプレーヤー &gt; カロッツェリア</t>
  </si>
  <si>
    <t>オークション &gt; ファッション &gt; メンズファッション &gt; トレーナー &gt; ミルクボーイ</t>
  </si>
  <si>
    <t>オークション &gt; 自動車、オートバイ &gt; カーオーディオ &gt; CDプレーヤー &gt; ケンウッド</t>
  </si>
  <si>
    <t>オークション &gt; 自動車、オートバイ &gt; カーオーディオ &gt; CDプレーヤー &gt; ソニー</t>
  </si>
  <si>
    <t>オークション &gt; ファッション &gt; メンズファッション &gt; トレーナー &gt; ユナイテッドアローズ</t>
  </si>
  <si>
    <t>オークション &gt; 自動車、オートバイ &gt; カーオーディオ &gt; CDプレーヤー &gt; パナソニック</t>
  </si>
  <si>
    <t>オークション &gt; ファッション &gt; メンズファッション &gt; トレーナー &gt; ラルフローレン</t>
  </si>
  <si>
    <t>オークション &gt; 自動車、オートバイ &gt; カーオーディオ &gt; CDプレーヤー &gt; ビクター</t>
  </si>
  <si>
    <t>壁掛け式</t>
  </si>
  <si>
    <t>オークション &gt; 住まい、インテリア &gt; 家具、インテリア &gt; 鏡 &gt; 壁掛け式</t>
  </si>
  <si>
    <t>0,24198,24230,24694,2084062780</t>
  </si>
  <si>
    <t>オークション &gt; 自動車、オートバイ &gt; カーオーディオ &gt; CDプレーヤー &gt; その他</t>
  </si>
  <si>
    <t>立て掛け式</t>
  </si>
  <si>
    <t>オークション &gt; 住まい、インテリア &gt; 家具、インテリア &gt; 鏡 &gt; 立て掛け式</t>
  </si>
  <si>
    <t>0,24198,24230,24694,2084062777</t>
  </si>
  <si>
    <t>オークション &gt; 自動車、オートバイ &gt; カーオーディオ &gt; MDプレーヤー &gt; アゼスト、クラリオン</t>
  </si>
  <si>
    <t>オークション &gt; ファッション &gt; メンズファッション &gt; トレーナー &gt; ワールド ワイド ラブ！</t>
  </si>
  <si>
    <t>手鏡</t>
  </si>
  <si>
    <t>オークション &gt; 住まい、インテリア &gt; 家具、インテリア &gt; 鏡 &gt; 手鏡</t>
  </si>
  <si>
    <t>オークション &gt; 自動車、オートバイ &gt; カーオーディオ &gt; MDプレーヤー &gt; アルパイン</t>
  </si>
  <si>
    <t>0,24198,24230,24694,2084048383</t>
  </si>
  <si>
    <t>オークション &gt; 自動車、オートバイ &gt; カーオーディオ &gt; MDプレーヤー &gt; イクリプス</t>
  </si>
  <si>
    <t>オークション &gt; ファッション &gt; メンズファッション &gt; トレーナー &gt; ヴィヴィアン ウエストウッド</t>
  </si>
  <si>
    <t>鏡台、ドレッサー</t>
  </si>
  <si>
    <t>オークション &gt; 住まい、インテリア &gt; 家具、インテリア &gt; 鏡 &gt; 鏡台、ドレッサー</t>
  </si>
  <si>
    <t>オークション &gt; 自動車、オートバイ &gt; カーオーディオ &gt; MDプレーヤー &gt; カロッツェリア</t>
  </si>
  <si>
    <t>0,24198,24230,24694,2084005506</t>
  </si>
  <si>
    <t>オークション &gt; ファッション &gt; メンズファッション &gt; トレーナー &gt; ヴェルサーチ</t>
  </si>
  <si>
    <t>オークション &gt; 自動車、オートバイ &gt; カーオーディオ &gt; MDプレーヤー &gt; ケンウッド</t>
  </si>
  <si>
    <t>オークション &gt; 住まい、インテリア &gt; 家具、インテリア &gt; 鏡 &gt; その他</t>
  </si>
  <si>
    <t>オークション &gt; 自動車、オートバイ &gt; カーオーディオ &gt; MDプレーヤー &gt; ソニー</t>
  </si>
  <si>
    <t>0,24198,24230,24694,2084062781</t>
  </si>
  <si>
    <t>オークション &gt; ファッション &gt; メンズファッション &gt; トレーナー &gt; Y's、ヨウジヤマモト</t>
  </si>
  <si>
    <t>オークション &gt; 自動車、オートバイ &gt; カーオーディオ &gt; MDプレーヤー &gt; パナソニック</t>
  </si>
  <si>
    <t>0,22896,2084042480,22916,2084062982</t>
  </si>
  <si>
    <t>オークション &gt; ファッション &gt; メンズファッション &gt; シャツ &gt; 長袖</t>
  </si>
  <si>
    <t>オークション &gt; 自動車、オートバイ &gt; カーオーディオ &gt; MDプレーヤー &gt; ビクター</t>
  </si>
  <si>
    <t>オークション &gt; 自動車、オートバイ &gt; カーオーディオ &gt; MDプレーヤー &gt; その他</t>
  </si>
  <si>
    <t>オークション &gt; ファッション &gt; メンズファッション &gt; シャツ &gt; 半袖</t>
  </si>
  <si>
    <t>0,22896,2084042480,22916,2084063008</t>
  </si>
  <si>
    <t>10cmタイプ</t>
  </si>
  <si>
    <t>オークション &gt; 自動車、オートバイ &gt; カーオーディオ &gt; スピーカー &gt; 10cmタイプ</t>
  </si>
  <si>
    <t>オークション &gt; ファッション &gt; メンズファッション &gt; シャツ &gt; その他の袖丈</t>
  </si>
  <si>
    <t>13cmタイプ</t>
  </si>
  <si>
    <t>オークション &gt; 自動車、オートバイ &gt; カーオーディオ &gt; スピーカー &gt; 13cmタイプ</t>
  </si>
  <si>
    <t>16cmタイプ</t>
  </si>
  <si>
    <t>オークション &gt; ファッション &gt; メンズファッション &gt; Tシャツ &gt; 長袖</t>
  </si>
  <si>
    <t>0,22896,2084042480,2084198552,2084198557</t>
  </si>
  <si>
    <t>オークション &gt; 自動車、オートバイ &gt; カーオーディオ &gt; スピーカー &gt; 16cmタイプ</t>
  </si>
  <si>
    <t>17cmタイプ</t>
  </si>
  <si>
    <t>オークション &gt; 自動車、オートバイ &gt; カーオーディオ &gt; スピーカー &gt; 17cmタイプ</t>
  </si>
  <si>
    <t>オークション &gt; ファッション &gt; メンズファッション &gt; Tシャツ &gt; 半袖</t>
  </si>
  <si>
    <t>0,22896,2084042480,2084198552,2084198553</t>
  </si>
  <si>
    <t>ツイーター</t>
  </si>
  <si>
    <t>オークション &gt; 自動車、オートバイ &gt; カーオーディオ &gt; スピーカー &gt; ツイーター</t>
  </si>
  <si>
    <t>オークション &gt; ファッション &gt; メンズファッション &gt; Tシャツ &gt; その他の袖丈</t>
  </si>
  <si>
    <t>据置、ボックスタイプ</t>
  </si>
  <si>
    <t>オークション &gt; 自動車、オートバイ &gt; カーオーディオ &gt; スピーカー &gt; 据置、ボックスタイプ</t>
  </si>
  <si>
    <t>0,22896,2084042480,2084198552,2084198559</t>
  </si>
  <si>
    <t>オークション &gt; ファッション &gt; メンズファッション &gt; ジーンズ &gt; ウエアハウス</t>
  </si>
  <si>
    <t>楕円タイプ</t>
  </si>
  <si>
    <t>オークション &gt; 自動車、オートバイ &gt; カーオーディオ &gt; スピーカー &gt; 楕円タイプ</t>
  </si>
  <si>
    <t>0,22896,2084042480,2084198552,2084198556</t>
  </si>
  <si>
    <t>天吊り、天井タイプ</t>
  </si>
  <si>
    <t>オークション &gt; 自動車、オートバイ &gt; カーオーディオ &gt; スピーカー &gt; 天吊り、天井タイプ</t>
  </si>
  <si>
    <t>オークション &gt; 自動車、オートバイ &gt; カーオーディオ &gt; スピーカー &gt; ウーハー</t>
  </si>
  <si>
    <t>0,22896,2084042480,2084198552,2084198558</t>
  </si>
  <si>
    <t>オークション &gt; ファッション &gt; メンズファッション &gt; ジーンズ &gt; エターナル</t>
  </si>
  <si>
    <t>オークション &gt; 自動車、オートバイ &gt; カーオーディオ &gt; スピーカー &gt; その他</t>
  </si>
  <si>
    <t>オークション &gt; ファッション &gt; メンズファッション &gt; ジーンズ &gt; エドウィン</t>
  </si>
  <si>
    <t>0,22896,2084042480,2084198552,2084198555</t>
  </si>
  <si>
    <t>オークション &gt; その他 &gt; 修理、取り付け &gt; 自動車、オートバイ &gt; カーオーディオ取付 &gt; 北海道</t>
  </si>
  <si>
    <t>オークション &gt; ファッション &gt; メンズファッション &gt; ジーンズ &gt; エヴィス</t>
  </si>
  <si>
    <t>オークション &gt; その他 &gt; 修理、取り付け &gt; 自動車、オートバイ &gt; カーオーディオ取付 &gt; 東北</t>
  </si>
  <si>
    <t>シュガーケーン</t>
  </si>
  <si>
    <t>オークション &gt; ファッション &gt; メンズファッション &gt; ジーンズ &gt; シュガーケーン</t>
  </si>
  <si>
    <t>0,22896,2084042480,2084198552,2084198554</t>
  </si>
  <si>
    <t>オークション &gt; その他 &gt; 修理、取り付け &gt; 自動車、オートバイ &gt; カーオーディオ取付 &gt; 関東</t>
  </si>
  <si>
    <t>オークション &gt; ファッション &gt; メンズファッション &gt; ジーンズ &gt; ジョンブル</t>
  </si>
  <si>
    <t>オークション &gt; その他 &gt; 修理、取り付け &gt; 自動車、オートバイ &gt; カーオーディオ取付 &gt; 信越</t>
  </si>
  <si>
    <t>オークション &gt; ファッション &gt; メンズファッション &gt; ジーンズ &gt; ステュディオ・ダ・ルチザン</t>
  </si>
  <si>
    <t>0,22896,2084042480,2084198552,2084198560</t>
  </si>
  <si>
    <t>オークション &gt; その他 &gt; 修理、取り付け &gt; 自動車、オートバイ &gt; カーオーディオ取付 &gt; 北陸</t>
  </si>
  <si>
    <t>オークション &gt; ファッション &gt; メンズファッション &gt; ジーンズ &gt; ドゥニーム</t>
  </si>
  <si>
    <t>オークション &gt; その他 &gt; 修理、取り付け &gt; 自動車、オートバイ &gt; カーオーディオ取付 &gt; 東海</t>
  </si>
  <si>
    <t>オークション &gt; その他 &gt; 修理、取り付け &gt; 自動車、オートバイ &gt; カーオーディオ取付 &gt; 近畿</t>
  </si>
  <si>
    <t>オークション &gt; ファッション &gt; メンズファッション &gt; ジーンズ &gt; ハリウッド ランチ マーケット</t>
  </si>
  <si>
    <t>0,22896,2084042480,22924,2084032442</t>
  </si>
  <si>
    <t>オークション &gt; その他 &gt; 修理、取り付け &gt; 自動車、オートバイ &gt; カーオーディオ取付 &gt; 中国</t>
  </si>
  <si>
    <t>ビッグジョン</t>
  </si>
  <si>
    <t>オークション &gt; ファッション &gt; メンズファッション &gt; ジーンズ &gt; ビッグジョン</t>
  </si>
  <si>
    <t>オークション &gt; その他 &gt; 修理、取り付け &gt; 自動車、オートバイ &gt; カーオーディオ取付 &gt; 四国</t>
  </si>
  <si>
    <t>0,22896,2084042480,22924,2084032436</t>
  </si>
  <si>
    <t>オークション &gt; その他 &gt; 修理、取り付け &gt; 自動車、オートバイ &gt; カーオーディオ取付 &gt; 九州</t>
  </si>
  <si>
    <t>オークション &gt; ファッション &gt; メンズファッション &gt; ジーンズ &gt; フェローズ</t>
  </si>
  <si>
    <t>オークション &gt; その他 &gt; 修理、取り付け &gt; 自動車、オートバイ &gt; カーオーディオ取付 &gt; 沖縄</t>
  </si>
  <si>
    <t>0,22896,2084042480,22924,2084032437</t>
  </si>
  <si>
    <t>オークション &gt; ファッション &gt; メンズファッション &gt; ジーンズ &gt; フラットヘッド</t>
  </si>
  <si>
    <t>オークション &gt; ファッション &gt; メンズファッション &gt; ジーンズ &gt; フルカウント</t>
  </si>
  <si>
    <t>0,22896,2084042480,22924,2084032441</t>
  </si>
  <si>
    <t>オークション &gt; ファッション &gt; メンズファッション &gt; ジーンズ &gt; ボブソン</t>
  </si>
  <si>
    <t>オークション &gt; ファッション &gt; メンズファッション &gt; ジーンズ &gt; マッコイズ</t>
  </si>
  <si>
    <t>0,22896,2084042480,2084050527,2084062310</t>
  </si>
  <si>
    <t>オークション &gt; ファッション &gt; メンズファッション &gt; ジーンズ &gt; ラングラー</t>
  </si>
  <si>
    <t>0,22896,2084042480,2084050527,2084062313</t>
  </si>
  <si>
    <t>オークション &gt; ファッション &gt; メンズファッション &gt; ジーンズ &gt; リー</t>
  </si>
  <si>
    <t>オークション &gt; ファッション &gt; メンズファッション &gt; ジーンズ &gt; リーバイス</t>
  </si>
  <si>
    <t>0,22896,2084042480,2084050527,2084062315</t>
  </si>
  <si>
    <t>オークション &gt; ファッション &gt; メンズファッション &gt; ジーンズ &gt; 45rpm</t>
  </si>
  <si>
    <t>0,22896,2084042480,2084050527,2084062311</t>
  </si>
  <si>
    <t>オークション &gt; ファッション &gt; メンズファッション &gt; ジーンズ &gt; D&amp;G</t>
  </si>
  <si>
    <t>オークション &gt; ファッション &gt; メンズファッション &gt; ジーンズ &gt; KATO`</t>
  </si>
  <si>
    <t>0,22896,2084042480,2084050527,2084062312</t>
  </si>
  <si>
    <t>オークション &gt; ファッション &gt; メンズファッション &gt; ジーンズ &gt; TMT</t>
  </si>
  <si>
    <t>オークション &gt; ファッション &gt; メンズファッション &gt; ジーンズ &gt; ア ベイシング エイプ</t>
  </si>
  <si>
    <t>0,22896,2084042480,2084050527,2084062309</t>
  </si>
  <si>
    <t>オークション &gt; ファッション &gt; メンズファッション &gt; ジーンズ &gt; アーペーセー</t>
  </si>
  <si>
    <t>0,22896,2084042480,2084050527,2084062314</t>
  </si>
  <si>
    <t>オークション &gt; ファッション &gt; メンズファッション &gt; ジーンズ &gt; アバクロンビー＆フィッチ</t>
  </si>
  <si>
    <t>0,22896,2084042480,23878,2084239841</t>
  </si>
  <si>
    <t>オークション &gt; ファッション &gt; メンズファッション &gt; ジーンズ &gt; ギャップ</t>
  </si>
  <si>
    <t>オークション &gt; ファッション &gt; メンズファッション &gt; ジーンズ &gt; セブンフォーオールマンカインド</t>
  </si>
  <si>
    <t>0,22896,2084042480,23878,2084239839</t>
  </si>
  <si>
    <t>オークション &gt; ファッション &gt; メンズファッション &gt; ジーンズ &gt; ディースクエアード</t>
  </si>
  <si>
    <t>0,22896,2084042480,23878,2084239840</t>
  </si>
  <si>
    <t>オークション &gt; ファッション &gt; メンズファッション &gt; ジーンズ &gt; ディーゼル</t>
  </si>
  <si>
    <t>0,22896,2084042480,23878,2084239838</t>
  </si>
  <si>
    <t>オークション &gt; ファッション &gt; メンズファッション &gt; ジーンズ &gt; ディオール</t>
  </si>
  <si>
    <t>0,22896,2084042480,23878,2084239842</t>
  </si>
  <si>
    <t>オークション &gt; ファッション &gt; メンズファッション &gt; ジーンズ &gt; トゥルーレリジョン</t>
  </si>
  <si>
    <t>ソファ</t>
  </si>
  <si>
    <t>オークション &gt; 事務、店舗用品 &gt; オフィス家具 &gt; イス &gt; ソファ</t>
  </si>
  <si>
    <t>0,22896,22928,2084007905,2084243710</t>
  </si>
  <si>
    <t>オークション &gt; ファッション &gt; メンズファッション &gt; ジーンズ &gt; トルネードマート</t>
  </si>
  <si>
    <t>オークション &gt; ファッション &gt; メンズファッション &gt; ジーンズ &gt; ドルチェ＆ガッバーナ</t>
  </si>
  <si>
    <t>デスクチェア</t>
  </si>
  <si>
    <t>オークション &gt; 事務、店舗用品 &gt; オフィス家具 &gt; イス &gt; デスクチェア</t>
  </si>
  <si>
    <t>0,22896,22928,2084007905,2084227123</t>
  </si>
  <si>
    <t>オークション &gt; ファッション &gt; メンズファッション &gt; ジーンズ &gt; ヌーディージーンズ</t>
  </si>
  <si>
    <t>ベンチ</t>
  </si>
  <si>
    <t>オークション &gt; 事務、店舗用品 &gt; オフィス家具 &gt; イス &gt; ベンチ</t>
  </si>
  <si>
    <t>0,22896,22928,2084007905,2084227364</t>
  </si>
  <si>
    <t>オークション &gt; ファッション &gt; メンズファッション &gt; ジーンズ &gt; ネイバーフッド</t>
  </si>
  <si>
    <t>会議用</t>
  </si>
  <si>
    <t>オークション &gt; 事務、店舗用品 &gt; オフィス家具 &gt; イス &gt; 会議用</t>
  </si>
  <si>
    <t>0,22896,22928,2084007905,2084227124</t>
  </si>
  <si>
    <t>オークション &gt; ファッション &gt; メンズファッション &gt; ジーンズ &gt; ヘルムート・ラング</t>
  </si>
  <si>
    <t>パイプイス</t>
  </si>
  <si>
    <t>オークション &gt; 事務、店舗用品 &gt; オフィス家具 &gt; イス &gt; パイプイス</t>
  </si>
  <si>
    <t>0,22896,22928,2084007905,2084227125</t>
  </si>
  <si>
    <t>オークション &gt; ファッション &gt; メンズファッション &gt; ジーンズ &gt; ペーパーデニム＆クロス</t>
  </si>
  <si>
    <t>カーテン</t>
  </si>
  <si>
    <t>オークション &gt; 自動車、オートバイ &gt; トラック、ダンプ、建設機械 &gt; アクセサリー &gt; カーテン</t>
  </si>
  <si>
    <t>ジロフレックス</t>
  </si>
  <si>
    <t>オークション &gt; 事務、店舗用品 &gt; オフィス家具 &gt; イス &gt; ジロフレックス</t>
  </si>
  <si>
    <t>オークション &gt; ファッション &gt; メンズファッション &gt; ジーンズ &gt; ヤヌーク</t>
  </si>
  <si>
    <t>0,22896,22928,2084007905,2084283595</t>
  </si>
  <si>
    <t>コンバーター（24V専用）</t>
  </si>
  <si>
    <t>オークション &gt; 自動車、オートバイ &gt; トラック、ダンプ、建設機械 &gt; アクセサリー &gt; コンバーター（24V専用）</t>
  </si>
  <si>
    <t>オークション &gt; ファッション &gt; メンズファッション &gt; ジーンズ &gt; ラルフローレン</t>
  </si>
  <si>
    <t>オークション &gt; 自動車、オートバイ &gt; トラック、ダンプ、建設機械 &gt; アクセサリー &gt; シートカバー</t>
  </si>
  <si>
    <t>オークション &gt; 事務、店舗用品 &gt; オフィス家具 &gt; イス &gt; その他</t>
  </si>
  <si>
    <t>0,22896,22928,2084007905,2084227126</t>
  </si>
  <si>
    <t>オークション &gt; ファッション &gt; メンズファッション &gt; ジーンズ &gt; レッドペッパー</t>
  </si>
  <si>
    <t>オークション &gt; 事務、店舗用品 &gt; オフィス家具 &gt; テーブル &gt; 会議用</t>
  </si>
  <si>
    <t>シフトノブ</t>
  </si>
  <si>
    <t>0,22896,22928,22956,2084222736</t>
  </si>
  <si>
    <t>オークション &gt; 自動車、オートバイ &gt; トラック、ダンプ、建設機械 &gt; アクセサリー &gt; シフトノブ</t>
  </si>
  <si>
    <t>オークション &gt; ファッション &gt; メンズファッション &gt; ジーンズ &gt; ローガン</t>
  </si>
  <si>
    <t>机</t>
  </si>
  <si>
    <t>オークション &gt; 事務、店舗用品 &gt; オフィス家具 &gt; テーブル &gt; 机</t>
  </si>
  <si>
    <t>0,22896,22928,22956,22944</t>
  </si>
  <si>
    <t>オークション &gt; 自動車、オートバイ &gt; トラック、ダンプ、建設機械 &gt; アクセサリー &gt; ステッカー、デカール</t>
  </si>
  <si>
    <t>オークション &gt; ファッション &gt; メンズファッション &gt; ジーンズ &gt; その他</t>
  </si>
  <si>
    <t>ハンドルカバー</t>
  </si>
  <si>
    <t>オークション &gt; 自動車、オートバイ &gt; トラック、ダンプ、建設機械 &gt; アクセサリー &gt; ハンドルカバー</t>
  </si>
  <si>
    <t>オークション &gt; ファッション &gt; メンズファッション &gt; パンツ、スラックス &gt; XSサイズ以下</t>
  </si>
  <si>
    <t>フロアマット</t>
  </si>
  <si>
    <t>オークション &gt; 自動車、オートバイ &gt; トラック、ダンプ、建設機械 &gt; アクセサリー &gt; フロアマット</t>
  </si>
  <si>
    <t>オークション &gt; ファッション &gt; メンズファッション &gt; パンツ、スラックス &gt; Sサイズ</t>
  </si>
  <si>
    <t>オークション &gt; 自動車、オートバイ &gt; トラック、ダンプ、建設機械 &gt; アクセサリー &gt; ホーン（24V専用）</t>
  </si>
  <si>
    <t>オークション &gt; ファッション &gt; メンズファッション &gt; パンツ、スラックス &gt; Mサイズ</t>
  </si>
  <si>
    <t>寝具</t>
  </si>
  <si>
    <t>オークション &gt; 自動車、オートバイ &gt; トラック、ダンプ、建設機械 &gt; アクセサリー &gt; 寝具</t>
  </si>
  <si>
    <t>オークション &gt; ファッション &gt; メンズファッション &gt; パンツ、スラックス &gt; Lサイズ</t>
  </si>
  <si>
    <t>オークション &gt; 自動車、オートバイ &gt; トラック、ダンプ、建設機械 &gt; アクセサリー &gt; その他</t>
  </si>
  <si>
    <t>オークション &gt; ファッション &gt; メンズファッション &gt; パンツ、スラックス &gt; XLサイズ以上</t>
  </si>
  <si>
    <t>オークション &gt; ファッション &gt; メンズファッション &gt; ワークパンツ、ペインターパンツ &gt; XSサイズ以下</t>
  </si>
  <si>
    <t>オークション &gt; ファッション &gt; メンズファッション &gt; ワークパンツ、ペインターパンツ &gt; Sサイズ</t>
  </si>
  <si>
    <t>オークション &gt; ファッション &gt; メンズファッション &gt; ワークパンツ、ペインターパンツ &gt; Mサイズ</t>
  </si>
  <si>
    <t>オークション &gt; ファッション &gt; メンズファッション &gt; ワークパンツ、ペインターパンツ &gt; Lサイズ</t>
  </si>
  <si>
    <t>オークション &gt; ファッション &gt; メンズファッション &gt; ワークパンツ、ペインターパンツ &gt; XLサイズ以上</t>
  </si>
  <si>
    <t>オークション &gt; ファッション &gt; メンズファッション &gt; チノパン &gt; XSサイズ以下</t>
  </si>
  <si>
    <t>12V用</t>
  </si>
  <si>
    <t>オークション &gt; 自動車、オートバイ &gt; アクセサリー &gt; インバーター &gt; 12V用</t>
  </si>
  <si>
    <t>オークション &gt; ファッション &gt; メンズファッション &gt; チノパン &gt; Sサイズ</t>
  </si>
  <si>
    <t>24V用</t>
  </si>
  <si>
    <t>オークション &gt; 自動車、オートバイ &gt; アクセサリー &gt; インバーター &gt; 24V用</t>
  </si>
  <si>
    <t>オークション &gt; ファッション &gt; メンズファッション &gt; チノパン &gt; Mサイズ</t>
  </si>
  <si>
    <t>オークション &gt; ファッション &gt; メンズファッション &gt; チノパン &gt; Lサイズ</t>
  </si>
  <si>
    <t>オークション &gt; 自動車、オートバイ &gt; パーツ &gt; 内装品 &gt; ウィンドウフィルム、カーフィルム &gt; BMW用</t>
  </si>
  <si>
    <t>オークション &gt; ファッション &gt; メンズファッション &gt; チノパン &gt; XLサイズ以上</t>
  </si>
  <si>
    <t>オークション &gt; ファッション &gt; メンズファッション &gt; ショートパンツ &gt; XSサイズ以下</t>
  </si>
  <si>
    <t>オークション &gt; 自動車、オートバイ &gt; パーツ &gt; 内装品 &gt; ウィンドウフィルム、カーフィルム &gt; アウディ用</t>
  </si>
  <si>
    <t>オークション &gt; ファッション &gt; メンズファッション &gt; ショートパンツ &gt; Sサイズ</t>
  </si>
  <si>
    <t>オークション &gt; 自動車、オートバイ &gt; パーツ &gt; 内装品 &gt; ウィンドウフィルム、カーフィルム &gt; スズキ用</t>
  </si>
  <si>
    <t>オークション &gt; ファッション &gt; メンズファッション &gt; ショートパンツ &gt; Mサイズ</t>
  </si>
  <si>
    <t>オークション &gt; ファッション &gt; メンズファッション &gt; ショートパンツ &gt; Lサイズ</t>
  </si>
  <si>
    <t>オークション &gt; 自動車、オートバイ &gt; パーツ &gt; 内装品 &gt; ウィンドウフィルム、カーフィルム &gt; スバル用</t>
  </si>
  <si>
    <t>オークション &gt; ファッション &gt; メンズファッション &gt; ショートパンツ &gt; XLサイズ以上</t>
  </si>
  <si>
    <t>シングルスーツ</t>
  </si>
  <si>
    <t>オークション &gt; 自動車、オートバイ &gt; パーツ &gt; 内装品 &gt; ウィンドウフィルム、カーフィルム &gt; ダイハツ用</t>
  </si>
  <si>
    <t>オークション &gt; ファッション &gt; メンズファッション &gt; スーツ &gt; シングルスーツ</t>
  </si>
  <si>
    <t>ダブルスーツ</t>
  </si>
  <si>
    <t>オークション &gt; ファッション &gt; メンズファッション &gt; スーツ &gt; ダブルスーツ</t>
  </si>
  <si>
    <t>オークション &gt; 自動車、オートバイ &gt; パーツ &gt; 内装品 &gt; ウィンドウフィルム、カーフィルム &gt; トヨタ用</t>
  </si>
  <si>
    <t>ブラックスーツ</t>
  </si>
  <si>
    <t>オークション &gt; ファッション &gt; メンズファッション &gt; スーツ &gt; ブラックスーツ</t>
  </si>
  <si>
    <t>オークション &gt; 自動車、オートバイ &gt; パーツ &gt; 内装品 &gt; ウィンドウフィルム、カーフィルム &gt; フォルクスワーゲン用</t>
  </si>
  <si>
    <t>オークション &gt; ファッション &gt; メンズファッション &gt; スーツ &gt; アルマーニ</t>
  </si>
  <si>
    <t>オークション &gt; 自動車、オートバイ &gt; パーツ &gt; 内装品 &gt; ウィンドウフィルム、カーフィルム &gt; ホンダ用</t>
  </si>
  <si>
    <t>オークション &gt; ファッション &gt; メンズファッション &gt; スーツ &gt; エディフィス</t>
  </si>
  <si>
    <t>平机</t>
  </si>
  <si>
    <t>オークション &gt; 事務、店舗用品 &gt; オフィス家具 &gt; 机 &gt; 平机</t>
  </si>
  <si>
    <t>0,22896,22928,22944,2084227133</t>
  </si>
  <si>
    <t>オークション &gt; ファッション &gt; メンズファッション &gt; スーツ &gt; コム サ デ モード</t>
  </si>
  <si>
    <t>オークション &gt; 自動車、オートバイ &gt; パーツ &gt; 内装品 &gt; ウィンドウフィルム、カーフィルム &gt; マツダ用</t>
  </si>
  <si>
    <t>片袖</t>
  </si>
  <si>
    <t>オークション &gt; 事務、店舗用品 &gt; オフィス家具 &gt; 机 &gt; 片袖</t>
  </si>
  <si>
    <t>0,22896,22928,22944,2084227131</t>
  </si>
  <si>
    <t>オークション &gt; ファッション &gt; メンズファッション &gt; スーツ &gt; コム デ ギャルソン</t>
  </si>
  <si>
    <t>オークション &gt; 自動車、オートバイ &gt; パーツ &gt; 内装品 &gt; ウィンドウフィルム、カーフィルム &gt; メルセデス・ベンツ用</t>
  </si>
  <si>
    <t>オークション &gt; ファッション &gt; メンズファッション &gt; スーツ &gt; シップス</t>
  </si>
  <si>
    <t>両袖</t>
  </si>
  <si>
    <t>オークション &gt; 自動車、オートバイ &gt; パーツ &gt; 内装品 &gt; ウィンドウフィルム、カーフィルム &gt; 三菱用</t>
  </si>
  <si>
    <t>オークション &gt; 事務、店舗用品 &gt; オフィス家具 &gt; 机 &gt; 両袖</t>
  </si>
  <si>
    <t>0,22896,22928,22944,2084227132</t>
  </si>
  <si>
    <t>オークション &gt; ファッション &gt; メンズファッション &gt; スーツ &gt; タケオキクチ</t>
  </si>
  <si>
    <t>オークション &gt; 自動車、オートバイ &gt; パーツ &gt; 内装品 &gt; ウィンドウフィルム、カーフィルム &gt; 日産用</t>
  </si>
  <si>
    <t>脇机、袖机</t>
  </si>
  <si>
    <t>オークション &gt; ファッション &gt; メンズファッション &gt; スーツ &gt; トゥモローランド</t>
  </si>
  <si>
    <t>オークション &gt; 事務、店舗用品 &gt; オフィス家具 &gt; 机 &gt; 脇机、袖机</t>
  </si>
  <si>
    <t>0,22896,22928,22944,2084227134</t>
  </si>
  <si>
    <t>オークション &gt; ファッション &gt; メンズファッション &gt; スーツ &gt; ドルチェ＆ガッバーナ</t>
  </si>
  <si>
    <t>オークション &gt; 自動車、オートバイ &gt; パーツ &gt; 内装品 &gt; ウィンドウフィルム、カーフィルム &gt; その他</t>
  </si>
  <si>
    <t>オークション &gt; ファッション &gt; メンズファッション &gt; スーツ &gt; バーニーズ ニューヨーク</t>
  </si>
  <si>
    <t>オークション &gt; 事務、店舗用品 &gt; オフィス家具 &gt; 机 &gt; テーブル</t>
  </si>
  <si>
    <t>0,22896,22928,22944,22956</t>
  </si>
  <si>
    <t>オークション &gt; 自動車、オートバイ &gt; アクセサリー &gt; エンブレム &gt; トヨタ</t>
  </si>
  <si>
    <t>オークション &gt; ファッション &gt; メンズファッション &gt; スーツ &gt; バーバリー</t>
  </si>
  <si>
    <t>スタンド、立て掛け式</t>
  </si>
  <si>
    <t>レクサス</t>
  </si>
  <si>
    <t>オークション &gt; 住まい、インテリア &gt; 家具、インテリア &gt; インテリア小物 &gt; フォトフレーム &gt; スタンド、立て掛け式</t>
  </si>
  <si>
    <t>オークション &gt; 自動車、オートバイ &gt; アクセサリー &gt; エンブレム &gt; レクサス</t>
  </si>
  <si>
    <t>0,24198,24230,2084024330,2084024331,2084063570</t>
  </si>
  <si>
    <t>日産、インフィニティ</t>
  </si>
  <si>
    <t>オークション &gt; ファッション &gt; メンズファッション &gt; スーツ &gt; ビームス</t>
  </si>
  <si>
    <t>オークション &gt; 自動車、オートバイ &gt; アクセサリー &gt; エンブレム &gt; 日産、インフィニティ</t>
  </si>
  <si>
    <t>オークション &gt; 住まい、インテリア &gt; 家具、インテリア &gt; インテリア小物 &gt; フォトフレーム &gt; デジタルフォトフレーム</t>
  </si>
  <si>
    <t>オークション &gt; ファッション &gt; メンズファッション &gt; スーツ &gt; ブルックスブラザーズ</t>
  </si>
  <si>
    <t>ホンダ、アキュラ</t>
  </si>
  <si>
    <t>オークション &gt; 自動車、オートバイ &gt; アクセサリー &gt; エンブレム &gt; ホンダ、アキュラ</t>
  </si>
  <si>
    <t>0,24198,24230,2084024330,2084024331,2084231456</t>
  </si>
  <si>
    <t>オークション &gt; ファッション &gt; メンズファッション &gt; スーツ &gt; ポール・スミス</t>
  </si>
  <si>
    <t>オークション &gt; 自動車、オートバイ &gt; アクセサリー &gt; エンブレム &gt; スズキ</t>
  </si>
  <si>
    <t>オークション &gt; 住まい、インテリア &gt; 家具、インテリア &gt; インテリア小物 &gt; フォトフレーム &gt; 壁掛け式</t>
  </si>
  <si>
    <t>0,24198,24230,2084024330,2084024331,2084063569</t>
  </si>
  <si>
    <t>オークション &gt; ファッション &gt; メンズファッション &gt; スーツ &gt; ユナイテッドアローズ</t>
  </si>
  <si>
    <t>オークション &gt; 自動車、オートバイ &gt; アクセサリー &gt; エンブレム &gt; スバル</t>
  </si>
  <si>
    <t>オークション &gt; ファッション &gt; メンズファッション &gt; スーツ &gt; ランセル</t>
  </si>
  <si>
    <t>オークション &gt; 自動車、オートバイ &gt; アクセサリー &gt; エンブレム &gt; ダイハツ</t>
  </si>
  <si>
    <t>めがね</t>
  </si>
  <si>
    <t>オークション &gt; ファッション &gt; メンズファッション &gt; ファッション小物 &gt; めがね</t>
  </si>
  <si>
    <t>オークション &gt; 自動車、オートバイ &gt; アクセサリー &gt; エンブレム &gt; マツダ</t>
  </si>
  <si>
    <t>オークション &gt; 住まい、インテリア &gt; 家具、インテリア &gt; インテリア小物 &gt; フォトフレーム &gt; その他</t>
  </si>
  <si>
    <t>0,24198,24230,2084024330,2084024331,2084063576</t>
  </si>
  <si>
    <t>キーケース</t>
  </si>
  <si>
    <t>オークション &gt; 自動車、オートバイ &gt; アクセサリー &gt; エンブレム &gt; 三菱</t>
  </si>
  <si>
    <t>オークション &gt; ファッション &gt; メンズファッション &gt; ファッション小物 &gt; キーケース</t>
  </si>
  <si>
    <t>オークション &gt; ファッション &gt; メンズファッション &gt; ファッション小物 &gt; サスペンダー</t>
  </si>
  <si>
    <t>オークション &gt; 自動車、オートバイ &gt; アクセサリー &gt; エンブレム &gt; BMW</t>
  </si>
  <si>
    <t>印鑑</t>
  </si>
  <si>
    <t>オークション &gt; 事務、店舗用品 &gt; 文房具 &gt; 印鑑、スタンプ &gt; 印鑑</t>
  </si>
  <si>
    <t>0,22896,2084042484,2084042493,2084063002</t>
  </si>
  <si>
    <t>オークション &gt; ファッション &gt; メンズファッション &gt; ファッション小物 &gt; サングラス</t>
  </si>
  <si>
    <t>オークション &gt; ファッション &gt; メンズファッション &gt; ファッション小物 &gt; スカーフ、ポケットチーフ</t>
  </si>
  <si>
    <t>オークション &gt; 自動車、オートバイ &gt; アクセサリー &gt; エンブレム &gt; メルセデス・ベンツ</t>
  </si>
  <si>
    <t>浸透印</t>
  </si>
  <si>
    <t>オークション &gt; 事務、店舗用品 &gt; 文房具 &gt; 印鑑、スタンプ &gt; 浸透印</t>
  </si>
  <si>
    <t>0,22896,2084042484,2084042493,2084063003</t>
  </si>
  <si>
    <t>ネクタイ</t>
  </si>
  <si>
    <t>オークション &gt; 自動車、オートバイ &gt; アクセサリー &gt; エンブレム &gt; その他</t>
  </si>
  <si>
    <t>オークション &gt; ファッション &gt; メンズファッション &gt; ファッション小物 &gt; ネクタイ</t>
  </si>
  <si>
    <t>ハンカチ</t>
  </si>
  <si>
    <t>オークション &gt; 自動車、オートバイ &gt; アクセサリー &gt; キーホルダー &gt; 自動車メーカー別</t>
  </si>
  <si>
    <t>オークション &gt; ファッション &gt; メンズファッション &gt; ファッション小物 &gt; ハンカチ</t>
  </si>
  <si>
    <t>スタンプ</t>
  </si>
  <si>
    <t>オークション &gt; 事務、店舗用品 &gt; 文房具 &gt; 印鑑、スタンプ &gt; スタンプ</t>
  </si>
  <si>
    <t>0,22896,2084042484,2084042493,2084063006</t>
  </si>
  <si>
    <t>オークション &gt; 自動車、オートバイ &gt; アクセサリー &gt; キーホルダー &gt; その他</t>
  </si>
  <si>
    <t>オークション &gt; ファッション &gt; メンズファッション &gt; ファッション小物 &gt; バンダナ</t>
  </si>
  <si>
    <t>印鑑ケース</t>
  </si>
  <si>
    <t>オートバイ用キャリア</t>
  </si>
  <si>
    <t>オークション &gt; 自動車、オートバイ &gt; アクセサリー &gt; キャリア、ラック &gt; オートバイ用キャリア</t>
  </si>
  <si>
    <t>オークション &gt; 事務、店舗用品 &gt; 文房具 &gt; 印鑑、スタンプ &gt; 印鑑ケース</t>
  </si>
  <si>
    <t>オークション &gt; ファッション &gt; メンズファッション &gt; ファッション小物 &gt; ベルト</t>
  </si>
  <si>
    <t>0,22896,2084042484,2084042493,2084063004</t>
  </si>
  <si>
    <t>キャリアベース</t>
  </si>
  <si>
    <t>オークション &gt; 自動車、オートバイ &gt; アクセサリー &gt; キャリア、ラック &gt; キャリアベース</t>
  </si>
  <si>
    <t>オークション &gt; ファッション &gt; メンズファッション &gt; ファッション小物 &gt; マフラー</t>
  </si>
  <si>
    <t>印材</t>
  </si>
  <si>
    <t>オークション &gt; 事務、店舗用品 &gt; 文房具 &gt; 印鑑、スタンプ &gt; 印材</t>
  </si>
  <si>
    <t>スキーキャリア、スノーボードキャリア</t>
  </si>
  <si>
    <t>0,22896,2084042484,2084042493,2084063005</t>
  </si>
  <si>
    <t>オークション &gt; 自動車、オートバイ &gt; アクセサリー &gt; キャリア、ラック &gt; スキーキャリア、スノーボードキャリア</t>
  </si>
  <si>
    <t>オークション &gt; ファッション &gt; メンズファッション &gt; ファッション小物 &gt; 雨傘</t>
  </si>
  <si>
    <t>ルーフキャリア</t>
  </si>
  <si>
    <t>オークション &gt; ファッション &gt; メンズファッション &gt; ファッション小物 &gt; 靴下</t>
  </si>
  <si>
    <t>オークション &gt; 自動車、オートバイ &gt; アクセサリー &gt; キャリア、ラック &gt; ルーフキャリア</t>
  </si>
  <si>
    <t>オークション &gt; 事務、店舗用品 &gt; 文房具 &gt; 印鑑、スタンプ &gt; その他</t>
  </si>
  <si>
    <t>0,22896,2084042484,2084042493,2084063007</t>
  </si>
  <si>
    <t>自転車用キャリア</t>
  </si>
  <si>
    <t>オークション &gt; 自動車、オートバイ &gt; アクセサリー &gt; キャリア、ラック &gt; 自転車用キャリア</t>
  </si>
  <si>
    <t>オークション &gt; 事務、店舗用品 &gt; 文房具 &gt; 切断用品 &gt; はさみ</t>
  </si>
  <si>
    <t>0,22896,2084042484,2084063308,2084063309</t>
  </si>
  <si>
    <t>オークション &gt; ファッション &gt; メンズファッション &gt; ファッション小物 &gt; 財布</t>
  </si>
  <si>
    <t>オークション &gt; 自動車、オートバイ &gt; アクセサリー &gt; キャリア、ラック &gt; その他</t>
  </si>
  <si>
    <t>オークション &gt; 事務、店舗用品 &gt; 文房具 &gt; 切断用品 &gt; カッターナイフ</t>
  </si>
  <si>
    <t>0,22896,2084042484,2084063308,2084063310</t>
  </si>
  <si>
    <t>オークション &gt; 自動車、オートバイ &gt; アクセサリー &gt; コンバーター &gt; 12V用</t>
  </si>
  <si>
    <t>オークション &gt; ファッション &gt; メンズファッション &gt; ファッション小物 &gt; 手袋</t>
  </si>
  <si>
    <t>オークション &gt; 自動車、オートバイ &gt; アクセサリー &gt; コンバーター &gt; 24V用</t>
  </si>
  <si>
    <t>ペーパーナイフ</t>
  </si>
  <si>
    <t>オークション &gt; 事務、店舗用品 &gt; 文房具 &gt; 切断用品 &gt; ペーパーナイフ</t>
  </si>
  <si>
    <t>0,22896,2084042484,2084063308,2084226756</t>
  </si>
  <si>
    <t>イヤホンマイク</t>
  </si>
  <si>
    <t>オークション &gt; 自動車、オートバイ &gt; アクセサリー &gt; 携帯電話・スマートフォン用品 &gt; イヤホンマイク</t>
  </si>
  <si>
    <t>オークション &gt; ファッション &gt; メンズファッション &gt; ファッション小物 &gt; 定期入れ</t>
  </si>
  <si>
    <t>裁断機</t>
  </si>
  <si>
    <t>オークション &gt; 事務、店舗用品 &gt; 文房具 &gt; 切断用品 &gt; 裁断機</t>
  </si>
  <si>
    <t>ハンズフリー</t>
  </si>
  <si>
    <t>0,22896,2084042484,2084063308,2084063311</t>
  </si>
  <si>
    <t>オークション &gt; 自動車、オートバイ &gt; アクセサリー &gt; 携帯電話・スマートフォン用品 &gt; ハンズフリー</t>
  </si>
  <si>
    <t>オークション &gt; ファッション &gt; メンズファッション &gt; ファッション小物 &gt; 帽子</t>
  </si>
  <si>
    <t>ホルダー</t>
  </si>
  <si>
    <t>オークション &gt; 自動車、オートバイ &gt; アクセサリー &gt; 携帯電話・スマートフォン用品 &gt; ホルダー</t>
  </si>
  <si>
    <t>オークション &gt; ファッション &gt; メンズファッション &gt; インナーウエア &gt; アンダーシャツ</t>
  </si>
  <si>
    <t>オークション &gt; 自動車、オートバイ &gt; アクセサリー &gt; 携帯電話・スマートフォン用品 &gt; 充電器</t>
  </si>
  <si>
    <t>ボクサーブリーフ</t>
  </si>
  <si>
    <t>オークション &gt; 自動車、オートバイ &gt; アクセサリー &gt; 携帯電話・スマートフォン用品 &gt; その他</t>
  </si>
  <si>
    <t>オークション &gt; ファッション &gt; メンズファッション &gt; インナーウエア &gt; ボクサーブリーフ</t>
  </si>
  <si>
    <t>オークション &gt; 自動車、オートバイ &gt; アクセサリー &gt; シートカバー &gt; BMW用</t>
  </si>
  <si>
    <t>トランクス</t>
  </si>
  <si>
    <t>オークション &gt; ファッション &gt; メンズファッション &gt; インナーウエア &gt; トランクス</t>
  </si>
  <si>
    <t>オークション &gt; 自動車、オートバイ &gt; アクセサリー &gt; シートカバー &gt; アウディ用</t>
  </si>
  <si>
    <t>ビキニ、ブリーフ</t>
  </si>
  <si>
    <t>オークション &gt; ファッション &gt; メンズファッション &gt; インナーウエア &gt; ビキニ、ブリーフ</t>
  </si>
  <si>
    <t>オークション &gt; 自動車、オートバイ &gt; アクセサリー &gt; シートカバー &gt; スズキ用</t>
  </si>
  <si>
    <t>オークション &gt; 自動車、オートバイ &gt; アクセサリー &gt; シートカバー &gt; スバル用</t>
  </si>
  <si>
    <t>オークション &gt; ファッション &gt; メンズファッション &gt; インナーウエア &gt; スポーツ用</t>
  </si>
  <si>
    <t>オークション &gt; 自動車、オートバイ &gt; アクセサリー &gt; シートカバー &gt; ダイハツ用</t>
  </si>
  <si>
    <t>ふんどし</t>
  </si>
  <si>
    <t>オークション &gt; ファッション &gt; メンズファッション &gt; インナーウエア &gt; ふんどし</t>
  </si>
  <si>
    <t>オークション &gt; 自動車、オートバイ &gt; アクセサリー &gt; シートカバー &gt; トヨタ用</t>
  </si>
  <si>
    <t>オークション &gt; 自動車、オートバイ &gt; アクセサリー &gt; シートカバー &gt; フォルクスワーゲン用</t>
  </si>
  <si>
    <t>オークション &gt; ファッション &gt; メンズファッション &gt; インナーウエア &gt; タイツ</t>
  </si>
  <si>
    <t>オークション &gt; 自動車、オートバイ &gt; アクセサリー &gt; シートカバー &gt; ホンダ用</t>
  </si>
  <si>
    <t>オークション &gt; 自動車、オートバイ &gt; アクセサリー &gt; シートカバー &gt; マツダ用</t>
  </si>
  <si>
    <t>オークション &gt; ファッション &gt; メンズファッション &gt; インナーウエア &gt; パジャマ</t>
  </si>
  <si>
    <t>オークション &gt; 自動車、オートバイ &gt; アクセサリー &gt; シートカバー &gt; メルセデス・ベンツ用</t>
  </si>
  <si>
    <t>オークション &gt; ファッション &gt; メンズファッション &gt; インナーウエア &gt; 靴下</t>
  </si>
  <si>
    <t>オークション &gt; 自動車、オートバイ &gt; アクセサリー &gt; シートカバー &gt; 三菱用</t>
  </si>
  <si>
    <t>オークション &gt; 自動車、オートバイ &gt; アクセサリー &gt; シートカバー &gt; 日産用</t>
  </si>
  <si>
    <t>オークション &gt; ファッション &gt; メンズファッション &gt; インナーウエア &gt; その他</t>
  </si>
  <si>
    <t>オークション &gt; 自動車、オートバイ &gt; アクセサリー &gt; シートカバー &gt; その他</t>
  </si>
  <si>
    <t>オークション &gt; ファッション &gt; メンズファッション &gt; フォーマル &gt; ブラックスーツ</t>
  </si>
  <si>
    <t>オークション &gt; 自動車、オートバイ &gt; アクセサリー &gt; シフトノブ &gt; 純正品</t>
  </si>
  <si>
    <t>燕尾服、タキシード</t>
  </si>
  <si>
    <t>オークション &gt; ファッション &gt; メンズファッション &gt; フォーマル &gt; 燕尾服、タキシード</t>
  </si>
  <si>
    <t>オークション &gt; 事務、店舗用品 &gt; ラッピング、包装 &gt; 接着用品 &gt; シーラー</t>
  </si>
  <si>
    <t>0,22896,2084047365,2084063474,2084063699</t>
  </si>
  <si>
    <t>オークション &gt; 自動車、オートバイ &gt; アクセサリー &gt; シフトノブ &gt; 社外品</t>
  </si>
  <si>
    <t>シール</t>
  </si>
  <si>
    <t>トラック、ダンプ、建設機械専用</t>
  </si>
  <si>
    <t>オークション &gt; 事務、店舗用品 &gt; ラッピング、包装 &gt; 接着用品 &gt; シール</t>
  </si>
  <si>
    <t>0,22896,2084047365,2084063474,2084063476</t>
  </si>
  <si>
    <t>オークション &gt; ファッション &gt; メンズファッション &gt; フォーマル &gt; 和服</t>
  </si>
  <si>
    <t>オークション &gt; 自動車、オートバイ &gt; アクセサリー &gt; シフトノブ &gt; トラック、ダンプ、建設機械専用</t>
  </si>
  <si>
    <t>ドライブサイン</t>
  </si>
  <si>
    <t>粘着テープ</t>
  </si>
  <si>
    <t>オークション &gt; 自動車、オートバイ &gt; アクセサリー &gt; ステッカー、デカール &gt; ドライブサイン</t>
  </si>
  <si>
    <t>オークション &gt; 事務、店舗用品 &gt; ラッピング、包装 &gt; 接着用品 &gt; 粘着テープ</t>
  </si>
  <si>
    <t>0,22896,2084047365,2084063474,2084063475</t>
  </si>
  <si>
    <t>オークション &gt; 自動車、オートバイ &gt; アクセサリー &gt; ステッカー、デカール &gt; 自動車メーカー別</t>
  </si>
  <si>
    <t>オークション &gt; ファッション &gt; メンズファッション &gt; フォーマル &gt; 数珠</t>
  </si>
  <si>
    <t>オークション &gt; 事務、店舗用品 &gt; ラッピング、包装 &gt; 接着用品 &gt; その他</t>
  </si>
  <si>
    <t>0,22896,2084047365,2084063474,2084063484</t>
  </si>
  <si>
    <t>オークション &gt; 自動車、オートバイ &gt; アクセサリー &gt; ステッカー、デカール &gt; キャラクター</t>
  </si>
  <si>
    <t>OPP袋</t>
  </si>
  <si>
    <t>オークション &gt; ファッション &gt; メンズファッション &gt; フォーマル &gt; その他</t>
  </si>
  <si>
    <t>オークション &gt; 事務、店舗用品 &gt; ラッピング、包装 &gt; 袋、封筒 &gt; OPP袋</t>
  </si>
  <si>
    <t>0,22896,2084047365,2084063482,2084221002</t>
  </si>
  <si>
    <t>オークション &gt; 自動車、オートバイ &gt; アクセサリー &gt; ステッカー、デカール &gt; セキュリティ</t>
  </si>
  <si>
    <t>Sサイズ以下</t>
  </si>
  <si>
    <t>文字</t>
  </si>
  <si>
    <t>オークション &gt; ファッション &gt; メンズファッション &gt; 水着 &gt; Sサイズ以下</t>
  </si>
  <si>
    <t>オークション &gt; 自動車、オートバイ &gt; アクセサリー &gt; ステッカー、デカール &gt; 文字</t>
  </si>
  <si>
    <t>手提げ袋</t>
  </si>
  <si>
    <t>オークション &gt; 事務、店舗用品 &gt; ラッピング、包装 &gt; 袋、封筒 &gt; 手提げ袋</t>
  </si>
  <si>
    <t>0,22896,2084047365,2084063482,2084063480</t>
  </si>
  <si>
    <t>トラック、ダンプ用</t>
  </si>
  <si>
    <t>オークション &gt; 自動車、オートバイ &gt; アクセサリー &gt; ステッカー、デカール &gt; トラック、ダンプ用</t>
  </si>
  <si>
    <t>宅配袋</t>
  </si>
  <si>
    <t>オークション &gt; ファッション &gt; メンズファッション &gt; 水着 &gt; Mサイズ</t>
  </si>
  <si>
    <t>オークション &gt; 事務、店舗用品 &gt; ラッピング、包装 &gt; 袋、封筒 &gt; 宅配袋</t>
  </si>
  <si>
    <t>0,22896,2084047365,2084063482,2084221000</t>
  </si>
  <si>
    <t>オークション &gt; 自動車、オートバイ &gt; アクセサリー &gt; ステッカー、デカール &gt; その他</t>
  </si>
  <si>
    <t>封筒</t>
  </si>
  <si>
    <t>Lサイズ以上</t>
  </si>
  <si>
    <t>オークション &gt; 事務、店舗用品 &gt; ラッピング、包装 &gt; 袋、封筒 &gt; 封筒</t>
  </si>
  <si>
    <t>オークション &gt; ファッション &gt; メンズファッション &gt; 水着 &gt; Lサイズ以上</t>
  </si>
  <si>
    <t>0,22896,2084047365,2084063482,2084063481</t>
  </si>
  <si>
    <t>コンソールボックス</t>
  </si>
  <si>
    <t>オークション &gt; 自動車、オートバイ &gt; アクセサリー &gt; 車内収納、ホルダー &gt; コンソールボックス</t>
  </si>
  <si>
    <t>オークション &gt; 事務、店舗用品 &gt; ラッピング、包装 &gt; 袋、封筒 &gt; その他</t>
  </si>
  <si>
    <t>ドリンクホルダー</t>
  </si>
  <si>
    <t>0,22896,2084047365,2084063482,2084063483</t>
  </si>
  <si>
    <t>オークション &gt; 自動車、オートバイ &gt; アクセサリー &gt; 車内収納、ホルダー &gt; ドリンクホルダー</t>
  </si>
  <si>
    <t>オークション &gt; ファッション &gt; メンズファッション &gt; 水着 &gt; スポーツ用</t>
  </si>
  <si>
    <t>万年筆</t>
  </si>
  <si>
    <t>オークション &gt; 事務、店舗用品 &gt; 文房具 &gt; 筆記用具 &gt; 万年筆</t>
  </si>
  <si>
    <t>オークション &gt; 自動車、オートバイ &gt; アクセサリー &gt; 車内収納、ホルダー &gt; 携帯電話・スマートフォンホルダー</t>
  </si>
  <si>
    <t>0,22896,2084042484,42175,2084040736</t>
  </si>
  <si>
    <t>オークション &gt; ファッション &gt; メンズファッション &gt; 水着 &gt; アクセサリー</t>
  </si>
  <si>
    <t>車内収納、ケース</t>
  </si>
  <si>
    <t>万年筆インク</t>
  </si>
  <si>
    <t>オークション &gt; 自動車、オートバイ &gt; アクセサリー &gt; 車内収納、ホルダー &gt; 車内収納、ケース</t>
  </si>
  <si>
    <t>オークション &gt; 事務、店舗用品 &gt; 文房具 &gt; 筆記用具 &gt; 万年筆インク</t>
  </si>
  <si>
    <t>0,22896,2084042484,42175,2084305432</t>
  </si>
  <si>
    <t>オークション &gt; ファッション &gt; メンズファッション &gt; 水着 &gt; 水遊びグッズ</t>
  </si>
  <si>
    <t>オークション &gt; 自動車、オートバイ &gt; アクセサリー &gt; 車内収納、ホルダー &gt; その他</t>
  </si>
  <si>
    <t>ボールペン</t>
  </si>
  <si>
    <t>オークション &gt; 事務、店舗用品 &gt; 文房具 &gt; 筆記用具 &gt; ボールペン</t>
  </si>
  <si>
    <t>0,22896,2084042484,42175,2084040734</t>
  </si>
  <si>
    <t>オークション &gt; 自動車、オートバイ &gt; アクセサリー &gt; ターボタイマー &gt; 本体</t>
  </si>
  <si>
    <t>ボールペン替え芯</t>
  </si>
  <si>
    <t>オークション &gt; 事務、店舗用品 &gt; 文房具 &gt; 筆記用具 &gt; ボールペン替え芯</t>
  </si>
  <si>
    <t>0,22896,2084042484,42175,2084305433</t>
  </si>
  <si>
    <t>ハーネス</t>
  </si>
  <si>
    <t>オークション &gt; 自動車、オートバイ &gt; アクセサリー &gt; ターボタイマー &gt; ハーネス</t>
  </si>
  <si>
    <t>シャープペンシル</t>
  </si>
  <si>
    <t>オークション &gt; 事務、店舗用品 &gt; 文房具 &gt; 筆記用具 &gt; シャープペンシル</t>
  </si>
  <si>
    <t>0,22896,2084042484,42175,2084040729</t>
  </si>
  <si>
    <t>鉛筆</t>
  </si>
  <si>
    <t>オークション &gt; 事務、店舗用品 &gt; 文房具 &gt; 筆記用具 &gt; 鉛筆</t>
  </si>
  <si>
    <t>0,22896,2084042484,42175,2084040728</t>
  </si>
  <si>
    <t>オークション &gt; 事務、店舗用品 &gt; 文房具 &gt; 筆記用具 &gt; マーカー、サインペン</t>
  </si>
  <si>
    <t>0,22896,2084042484,42175,2084040735</t>
  </si>
  <si>
    <t>オークション &gt; 自動車、オートバイ &gt; アクセサリー &gt; ドライブレコーダー &gt; イクリプス</t>
  </si>
  <si>
    <t>複合筆記具</t>
  </si>
  <si>
    <t>オークション &gt; 事務、店舗用品 &gt; 文房具 &gt; 筆記用具 &gt; 複合筆記具</t>
  </si>
  <si>
    <t>0,22896,2084042484,42175,2084049866</t>
  </si>
  <si>
    <t>マルハマ</t>
  </si>
  <si>
    <t>オークション &gt; 自動車、オートバイ &gt; アクセサリー &gt; ドライブレコーダー &gt; マルハマ</t>
  </si>
  <si>
    <t>オークション &gt; 自動車、オートバイ &gt; アクセサリー &gt; ドライブレコーダー &gt; ユピテル</t>
  </si>
  <si>
    <t>オークション &gt; 事務、店舗用品 &gt; 文房具 &gt; 筆記用具 &gt; クレヨン、パステル</t>
  </si>
  <si>
    <t>0,22896,2084042484,42175,2084040718</t>
  </si>
  <si>
    <t>ロジテック</t>
  </si>
  <si>
    <t>オークション &gt; 自動車、オートバイ &gt; アクセサリー &gt; ドライブレコーダー &gt; ロジテック</t>
  </si>
  <si>
    <t>オークション &gt; 自動車、オートバイ &gt; アクセサリー &gt; ドライブレコーダー &gt; その他</t>
  </si>
  <si>
    <t>蛍光ペン</t>
  </si>
  <si>
    <t>オークション &gt; 事務、店舗用品 &gt; 文房具 &gt; 筆記用具 &gt; 蛍光ペン</t>
  </si>
  <si>
    <t>0,22896,2084042484,42175,2084040730</t>
  </si>
  <si>
    <t>オークション &gt; 自動車、オートバイ &gt; アクセサリー &gt; ナンバーフレーム &gt; 社外品</t>
  </si>
  <si>
    <t>オークション &gt; 事務、店舗用品 &gt; 文房具 &gt; 筆記用具 &gt; 色鉛筆</t>
  </si>
  <si>
    <t>0,22896,2084042484,42175,2084040719</t>
  </si>
  <si>
    <t>オークション &gt; 自動車、オートバイ &gt; アクセサリー &gt; ナンバーフレーム &gt; 純正品</t>
  </si>
  <si>
    <t>オークション &gt; 自動車、オートバイ &gt; アクセサリー &gt; ナンバーフレーム &gt; その他</t>
  </si>
  <si>
    <t>オークション &gt; 事務、店舗用品 &gt; 文房具 &gt; 筆記用具 &gt; 筆</t>
  </si>
  <si>
    <t>0,22896,2084042484,42175,2084227016</t>
  </si>
  <si>
    <t>オークション &gt; 自動車、オートバイ &gt; アクセサリー &gt; フロアマット &gt; BMW用</t>
  </si>
  <si>
    <t>筆ペン</t>
  </si>
  <si>
    <t>オークション &gt; 事務、店舗用品 &gt; 文房具 &gt; 筆記用具 &gt; 筆ペン</t>
  </si>
  <si>
    <t>0,22896,2084042484,42175,2084040733</t>
  </si>
  <si>
    <t>オークション &gt; 自動車、オートバイ &gt; アクセサリー &gt; フロアマット &gt; いすゞ用</t>
  </si>
  <si>
    <t>オークション &gt; 自動車、オートバイ &gt; アクセサリー &gt; フロアマット &gt; アウディ用</t>
  </si>
  <si>
    <t>オークション &gt; 事務、店舗用品 &gt; 文房具 &gt; 筆記用具 &gt; 絵筆</t>
  </si>
  <si>
    <t>0,22896,2084042484,42175,2084056526</t>
  </si>
  <si>
    <t>オークション &gt; 自動車、オートバイ &gt; アクセサリー &gt; フロアマット &gt; アルファロメオ用</t>
  </si>
  <si>
    <t>修正液、修正ペン、修正テープ</t>
  </si>
  <si>
    <t>オークション &gt; 事務、店舗用品 &gt; 文房具 &gt; 筆記用具 &gt; 修正液、修正ペン、修正テープ</t>
  </si>
  <si>
    <t>0,22896,2084042484,42175,2084040732</t>
  </si>
  <si>
    <t>オークション &gt; 自動車、オートバイ &gt; アクセサリー &gt; フロアマット &gt; オペル用</t>
  </si>
  <si>
    <t>消しゴム</t>
  </si>
  <si>
    <t>オークション &gt; 事務、店舗用品 &gt; 文房具 &gt; 筆記用具 &gt; 消しゴム</t>
  </si>
  <si>
    <t>オークション &gt; 自動車、オートバイ &gt; アクセサリー &gt; フロアマット &gt; クライスラー用</t>
  </si>
  <si>
    <t>0,22896,2084042484,42175,2084040731</t>
  </si>
  <si>
    <t>オークション &gt; 自動車、オートバイ &gt; アクセサリー &gt; フロアマット &gt; シトロエン用</t>
  </si>
  <si>
    <t>オークション &gt; 事務、店舗用品 &gt; 文房具 &gt; 筆記用具 &gt; その他</t>
  </si>
  <si>
    <t>0,22896,2084042484,42175,2084040727</t>
  </si>
  <si>
    <t>オークション &gt; 自動車、オートバイ &gt; アクセサリー &gt; フロアマット &gt; シボレー用</t>
  </si>
  <si>
    <t>オークション &gt; 自動車、オートバイ &gt; アクセサリー &gt; フロアマット &gt; ジャガー用</t>
  </si>
  <si>
    <t>オークション &gt; 自動車、オートバイ &gt; アクセサリー &gt; フロアマット &gt; スズキ用</t>
  </si>
  <si>
    <t>オークション &gt; 自動車、オートバイ &gt; アクセサリー &gt; フロアマット &gt; スバル用</t>
  </si>
  <si>
    <t>オークション &gt; 自動車、オートバイ &gt; アクセサリー &gt; フロアマット &gt; ダイハツ用</t>
  </si>
  <si>
    <t>オークション &gt; 自動車、オートバイ &gt; アクセサリー &gt; フロアマット &gt; トヨタ用</t>
  </si>
  <si>
    <t>オークション &gt; 自動車、オートバイ &gt; アクセサリー &gt; フロアマット &gt; フィアット用</t>
  </si>
  <si>
    <t>オークション &gt; 自動車、オートバイ &gt; アクセサリー &gt; フロアマット &gt; フォード用</t>
  </si>
  <si>
    <t>オークション &gt; 自動車、オートバイ &gt; アクセサリー &gt; フロアマット &gt; フォルクスワーゲン用</t>
  </si>
  <si>
    <t>オークション &gt; 事務、店舗用品 &gt; 文房具 &gt; 手帳 &gt; 一般</t>
  </si>
  <si>
    <t>オークション &gt; 自動車、オートバイ &gt; アクセサリー &gt; フロアマット &gt; プジョー用</t>
  </si>
  <si>
    <t>0,22896,2084042484,2084024227,2084227091</t>
  </si>
  <si>
    <t>オークション &gt; 自動車、オートバイ &gt; アクセサリー &gt; フロアマット &gt; ホンダ用</t>
  </si>
  <si>
    <t>システム手帳</t>
  </si>
  <si>
    <t>オークション &gt; 事務、店舗用品 &gt; 文房具 &gt; 手帳 &gt; システム手帳</t>
  </si>
  <si>
    <t>0,22896,2084042484,2084024227,2084227093</t>
  </si>
  <si>
    <t>オークション &gt; 自動車、オートバイ &gt; アクセサリー &gt; フロアマット &gt; ボルボ用</t>
  </si>
  <si>
    <t>手帳カバー</t>
  </si>
  <si>
    <t>オークション &gt; 事務、店舗用品 &gt; 文房具 &gt; 手帳 &gt; 手帳カバー</t>
  </si>
  <si>
    <t>0,22896,2084042484,2084024227,2084227092</t>
  </si>
  <si>
    <t>オークション &gt; 自動車、オートバイ &gt; アクセサリー &gt; フロアマット &gt; ポルシェ用</t>
  </si>
  <si>
    <t>オークション &gt; 事務、店舗用品 &gt; 文房具 &gt; 手帳 &gt; その他</t>
  </si>
  <si>
    <t>オークション &gt; ファッション &gt; ファッション小物 &gt; 財布 &gt; 男性用 &gt; 長財布（小銭入れあり）</t>
  </si>
  <si>
    <t>0,22896,2084042484,2084024227,2084227094</t>
  </si>
  <si>
    <t>オークション &gt; 自動車、オートバイ &gt; アクセサリー &gt; フロアマット &gt; マツダ用</t>
  </si>
  <si>
    <t>オークション &gt; 自動車、オートバイ &gt; アクセサリー &gt; フロアマット &gt; ミニ用</t>
  </si>
  <si>
    <t>オークション &gt; ファッション &gt; ファッション小物 &gt; 財布 &gt; 男性用 &gt; 長財布（小銭入れなし）</t>
  </si>
  <si>
    <t>オークション &gt; 自動車、オートバイ &gt; アクセサリー &gt; フロアマット &gt; メルセデス・ベンツ用</t>
  </si>
  <si>
    <t>オークション &gt; ファッション &gt; ファッション小物 &gt; 財布 &gt; 男性用 &gt; 二つ折り財布（小銭入れあり）</t>
  </si>
  <si>
    <t>オークション &gt; 自動車、オートバイ &gt; アクセサリー &gt; フロアマット &gt; ランチア用</t>
  </si>
  <si>
    <t>オークション &gt; 自動車、オートバイ &gt; アクセサリー &gt; フロアマット &gt; ルノー用</t>
  </si>
  <si>
    <t>オークション &gt; ファッション &gt; ファッション小物 &gt; 財布 &gt; 男性用 &gt; 二つ折り財布（小銭入れなし）</t>
  </si>
  <si>
    <t>オークション &gt; 自動車、オートバイ &gt; アクセサリー &gt; フロアマット &gt; レクサス用</t>
  </si>
  <si>
    <t>オークション &gt; ファッション &gt; ファッション小物 &gt; 財布 &gt; 男性用 &gt; 小銭入れ、コインケース</t>
  </si>
  <si>
    <t>オークション &gt; 自動車、オートバイ &gt; アクセサリー &gt; フロアマット &gt; 三菱用</t>
  </si>
  <si>
    <t>マネークリップ</t>
  </si>
  <si>
    <t>オークション &gt; 自動車、オートバイ &gt; アクセサリー &gt; フロアマット &gt; 日産用</t>
  </si>
  <si>
    <t>オークション &gt; ファッション &gt; ファッション小物 &gt; 財布 &gt; 男性用 &gt; マネークリップ</t>
  </si>
  <si>
    <t>オークション &gt; 自動車、オートバイ &gt; アクセサリー &gt; フロアマット &gt; その他</t>
  </si>
  <si>
    <t>ステーションワゴン用</t>
  </si>
  <si>
    <t>オークション &gt; 自動車、オートバイ &gt; アクセサリー &gt; ボディカバー &gt; ステーションワゴン用</t>
  </si>
  <si>
    <t>オークション &gt; ファッション &gt; ファッション小物 &gt; 財布 &gt; 男性用 &gt; その他</t>
  </si>
  <si>
    <t>オークション &gt; ファッション &gt; メンズシューズ &gt; スニーカー &gt; アシックス</t>
  </si>
  <si>
    <t>セダン、クーペ用</t>
  </si>
  <si>
    <t>オークション &gt; 自動車、オートバイ &gt; アクセサリー &gt; ボディカバー &gt; セダン、クーペ用</t>
  </si>
  <si>
    <t>ハッチバック、トールワゴン用</t>
  </si>
  <si>
    <t>オークション &gt; 自動車、オートバイ &gt; アクセサリー &gt; ボディカバー &gt; ハッチバック、トールワゴン用</t>
  </si>
  <si>
    <t>オークション &gt; ファッション &gt; メンズシューズ &gt; スニーカー &gt; アディダス</t>
  </si>
  <si>
    <t>ミニバン、ワンボックス用</t>
  </si>
  <si>
    <t>オークション &gt; 自動車、オートバイ &gt; アクセサリー &gt; ボディカバー &gt; ミニバン、ワンボックス用</t>
  </si>
  <si>
    <t>オークション &gt; ファッション &gt; メンズシューズ &gt; スニーカー &gt; カンペール</t>
  </si>
  <si>
    <t>軽自動車用</t>
  </si>
  <si>
    <t>オークション &gt; 自動車、オートバイ &gt; アクセサリー &gt; ボディカバー &gt; 軽自動車用</t>
  </si>
  <si>
    <t>オークション &gt; ファッション &gt; メンズシューズ &gt; スニーカー &gt; グラビス</t>
  </si>
  <si>
    <t>消臭剤</t>
  </si>
  <si>
    <t>オークション &gt; 自動車、オートバイ &gt; アクセサリー &gt; 芳香剤、消臭剤 &gt; 消臭剤</t>
  </si>
  <si>
    <t>オークション &gt; ファッション &gt; メンズシューズ &gt; スニーカー &gt; コンバース</t>
  </si>
  <si>
    <t>芳香剤</t>
  </si>
  <si>
    <t>オークション &gt; 自動車、オートバイ &gt; アクセサリー &gt; 芳香剤、消臭剤 &gt; 芳香剤</t>
  </si>
  <si>
    <t>オークション &gt; ファッション &gt; メンズシューズ &gt; スニーカー &gt; スケッチャーズ</t>
  </si>
  <si>
    <t>オークション &gt; 自動車、オートバイ &gt; アクセサリー &gt; 芳香剤、消臭剤 &gt; その他</t>
  </si>
  <si>
    <t>オークション &gt; ファッション &gt; メンズシューズ &gt; スニーカー &gt; ナイキ</t>
  </si>
  <si>
    <t>オークション &gt; 自動車、オートバイ &gt; アクセサリー &gt; リモコンスターター &gt; ハーネス</t>
  </si>
  <si>
    <t>オークション &gt; ファッション &gt; メンズシューズ &gt; スニーカー &gt; ニューバランス</t>
  </si>
  <si>
    <t>社外本体</t>
  </si>
  <si>
    <t>オークション &gt; 自動車、オートバイ &gt; アクセサリー &gt; リモコンスターター &gt; 社外本体</t>
  </si>
  <si>
    <t>オークション &gt; ファッション &gt; メンズシューズ &gt; スニーカー &gt; バンズ</t>
  </si>
  <si>
    <t>純正本体</t>
  </si>
  <si>
    <t>オークション &gt; 自動車、オートバイ &gt; アクセサリー &gt; リモコンスターター &gt; 純正本体</t>
  </si>
  <si>
    <t>オークション &gt; ファッション &gt; メンズシューズ &gt; スニーカー &gt; パトリック</t>
  </si>
  <si>
    <t>オークション &gt; 自動車、オートバイ &gt; アクセサリー &gt; リモコンスターター &gt; その他</t>
  </si>
  <si>
    <t>オークション &gt; ファッション &gt; メンズシューズ &gt; スニーカー &gt; プーマ</t>
  </si>
  <si>
    <t>ミラーカバー</t>
  </si>
  <si>
    <t>オークション &gt; 自動車、オートバイ &gt; アクセサリー &gt; ルームミラー &gt; ミラーカバー</t>
  </si>
  <si>
    <t>0,24242,20124,2084006188</t>
  </si>
  <si>
    <t>オークション &gt; ファッション &gt; メンズシューズ &gt; スニーカー &gt; プロケッズ</t>
  </si>
  <si>
    <t>ミラー本体</t>
  </si>
  <si>
    <t>オークション &gt; 自動車、オートバイ &gt; アクセサリー &gt; ルームミラー &gt; ミラー本体</t>
  </si>
  <si>
    <t>オークション &gt; ファッション &gt; メンズシューズ &gt; スニーカー &gt; リーボック</t>
  </si>
  <si>
    <t>0,24242,20124,2084006189</t>
  </si>
  <si>
    <t>オークション &gt; ファッション &gt; メンズシューズ &gt; スニーカー &gt; その他</t>
  </si>
  <si>
    <t>オークション &gt; 自動車、オートバイ &gt; アクセサリー &gt; ルームミラー &gt; その他</t>
  </si>
  <si>
    <t>0,24242,20124,20056</t>
  </si>
  <si>
    <t>24.0cm以下</t>
  </si>
  <si>
    <t>オークション &gt; ファッション &gt; メンズシューズ &gt; サンダル &gt; 24.0cm以下</t>
  </si>
  <si>
    <t>本体（GPS搭載）</t>
  </si>
  <si>
    <t>オークション &gt; 自動車、オートバイ &gt; アクセサリー &gt; レーダー探知機 &gt; 本体（GPS搭載）</t>
  </si>
  <si>
    <t>0,24242,20124,2084006190</t>
  </si>
  <si>
    <t>オークション &gt; ファッション &gt; メンズシューズ &gt; サンダル &gt; 24.5cm</t>
  </si>
  <si>
    <t>本体（GPS非搭載）</t>
  </si>
  <si>
    <t>オークション &gt; ファッション &gt; メンズシューズ &gt; サンダル &gt; 25.0cm</t>
  </si>
  <si>
    <t>オークション &gt; 自動車、オートバイ &gt; アクセサリー &gt; レーダー探知機 &gt; 本体（GPS非搭載）</t>
  </si>
  <si>
    <t>オークション &gt; ファッション &gt; メンズシューズ &gt; サンダル &gt; 25.5cm</t>
  </si>
  <si>
    <t>オークション &gt; 自動車、オートバイ &gt; アクセサリー &gt; レーダー探知機 &gt; その他</t>
  </si>
  <si>
    <t>26.0cm</t>
  </si>
  <si>
    <t>オークション &gt; ファッション &gt; メンズシューズ &gt; サンダル &gt; 26.0cm</t>
  </si>
  <si>
    <t>26.5cm</t>
  </si>
  <si>
    <t>オークション &gt; ファッション &gt; メンズシューズ &gt; サンダル &gt; 26.5cm</t>
  </si>
  <si>
    <t>27.0cm</t>
  </si>
  <si>
    <t>オークション &gt; ファッション &gt; メンズシューズ &gt; サンダル &gt; 27.0cm</t>
  </si>
  <si>
    <t>27.5cm</t>
  </si>
  <si>
    <t>オークション &gt; ファッション &gt; メンズシューズ &gt; サンダル &gt; 27.5cm</t>
  </si>
  <si>
    <t>28.0cm以上</t>
  </si>
  <si>
    <t>オークション &gt; ファッション &gt; メンズシューズ &gt; サンダル &gt; 28.0cm以上</t>
  </si>
  <si>
    <t>オークション &gt; ファッション &gt; メンズシューズ &gt; サンダル &gt; KEEN</t>
  </si>
  <si>
    <t>ベルト本体</t>
  </si>
  <si>
    <t>オークション &gt; 自動車、オートバイ &gt; セーフティ &gt; シートベルト &gt; ベルト本体</t>
  </si>
  <si>
    <t>オークション &gt; ファッション &gt; メンズシューズ &gt; サンダル &gt; クロックス</t>
  </si>
  <si>
    <t>オークション &gt; 自動車、オートバイ &gt; セーフティ &gt; シートベルト &gt; パッド</t>
  </si>
  <si>
    <t>オークション &gt; ファッション &gt; メンズシューズ &gt; サンダル &gt; ビルケンシュトック</t>
  </si>
  <si>
    <t>オークション &gt; ファッション &gt; メンズシューズ &gt; ブーツ &gt; 一般</t>
  </si>
  <si>
    <t>オークション &gt; 自動車、オートバイ &gt; セーフティ &gt; シートベルト &gt; その他</t>
  </si>
  <si>
    <t>ウエスタンブーツ</t>
  </si>
  <si>
    <t>オークション &gt; ファッション &gt; メンズシューズ &gt; ブーツ &gt; ウエスタンブーツ</t>
  </si>
  <si>
    <t>ベビー用</t>
  </si>
  <si>
    <t>オークション &gt; 自動車、オートバイ &gt; アクセサリー &gt; ステッカー、デカール &gt; ドライブサイン &gt; ベビー用</t>
  </si>
  <si>
    <t>エンジニアブーツ</t>
  </si>
  <si>
    <t>オークション &gt; ファッション &gt; メンズシューズ &gt; ブーツ &gt; エンジニアブーツ</t>
  </si>
  <si>
    <t>高齢者用</t>
  </si>
  <si>
    <t>オークション &gt; 自動車、オートバイ &gt; アクセサリー &gt; ステッカー、デカール &gt; ドライブサイン &gt; 高齢者用</t>
  </si>
  <si>
    <t>オークション &gt; ファッション &gt; メンズシューズ &gt; ブーツ &gt; UGG</t>
  </si>
  <si>
    <t>アルフレッドバニスター</t>
  </si>
  <si>
    <t>初心者用</t>
  </si>
  <si>
    <t>オークション &gt; ファッション &gt; メンズシューズ &gt; ブーツ &gt; アルフレッドバニスター</t>
  </si>
  <si>
    <t>オークション &gt; 自動車、オートバイ &gt; アクセサリー &gt; ステッカー、デカール &gt; ドライブサイン &gt; 初心者用</t>
  </si>
  <si>
    <t>オークション &gt; ファッション &gt; メンズシューズ &gt; ブーツ &gt; ウエスコ</t>
  </si>
  <si>
    <t>身障者用</t>
  </si>
  <si>
    <t>オークション &gt; 自動車、オートバイ &gt; アクセサリー &gt; ステッカー、デカール &gt; ドライブサイン &gt; 身障者用</t>
  </si>
  <si>
    <t>オークション &gt; ファッション &gt; メンズシューズ &gt; ブーツ &gt; エミュー</t>
  </si>
  <si>
    <t>オークション &gt; 自動車、オートバイ &gt; アクセサリー &gt; ステッカー、デカール &gt; ドライブサイン &gt; その他</t>
  </si>
  <si>
    <t>オークション &gt; ファッション &gt; メンズシューズ &gt; ブーツ &gt; クラークス</t>
  </si>
  <si>
    <t>オークション &gt; ファッション &gt; メンズシューズ &gt; ブーツ &gt; ジョージコックス</t>
  </si>
  <si>
    <t>オークション &gt; ファッション &gt; メンズシューズ &gt; ブーツ &gt; ダナー</t>
  </si>
  <si>
    <t>オークション &gt; ファッション &gt; メンズシューズ &gt; ブーツ &gt; チペワ</t>
  </si>
  <si>
    <t>オークション &gt; ファッション &gt; メンズシューズ &gt; ブーツ &gt; ティンバーランド</t>
  </si>
  <si>
    <t>オークション &gt; ファッション &gt; メンズシューズ &gt; ブーツ &gt; トニーラマ</t>
  </si>
  <si>
    <t>オークション &gt; ファッション &gt; メンズシューズ &gt; ブーツ &gt; ドクターマーチン</t>
  </si>
  <si>
    <t>オークション &gt; ファッション &gt; メンズシューズ &gt; ブーツ &gt; パラブーツ</t>
  </si>
  <si>
    <t>オークション &gt; ファッション &gt; メンズシューズ &gt; ブーツ &gt; フライ</t>
  </si>
  <si>
    <t>ホーキンス</t>
  </si>
  <si>
    <t>オークション &gt; ファッション &gt; メンズシューズ &gt; ブーツ &gt; ホーキンス</t>
  </si>
  <si>
    <t>0,22896,22904,2084008337,2084062324</t>
  </si>
  <si>
    <t>オークション &gt; ファッション &gt; メンズシューズ &gt; ブーツ &gt; ホワイツブーツ</t>
  </si>
  <si>
    <t>0,22896,22904,2084008337,2084062325</t>
  </si>
  <si>
    <t>オークション &gt; ファッション &gt; メンズシューズ &gt; ブーツ &gt; ラッセルモカシン</t>
  </si>
  <si>
    <t>オークション &gt; 自動車、オートバイ &gt; セキュリティ &gt; キーレスエントリー &gt; スバル用</t>
  </si>
  <si>
    <t>0,22896,22904,2084008337,2084062326</t>
  </si>
  <si>
    <t>オークション &gt; 自動車、オートバイ &gt; セキュリティ &gt; キーレスエントリー &gt; ダイハツ用</t>
  </si>
  <si>
    <t>オークション &gt; ファッション &gt; メンズシューズ &gt; ブーツ &gt; レッドウィング</t>
  </si>
  <si>
    <t>0,22896,22904,2084008297,2084062327</t>
  </si>
  <si>
    <t>オークション &gt; 自動車、オートバイ &gt; セキュリティ &gt; キーレスエントリー &gt; トヨタ用</t>
  </si>
  <si>
    <t>オークション &gt; ファッション &gt; メンズシューズ &gt; ローファー、スリッポン &gt; 24.0cm以下</t>
  </si>
  <si>
    <t>オークション &gt; 自動車、オートバイ &gt; セキュリティ &gt; キーレスエントリー &gt; ホンダ用</t>
  </si>
  <si>
    <t>オークション &gt; ファッション &gt; メンズシューズ &gt; ローファー、スリッポン &gt; 24.5cm</t>
  </si>
  <si>
    <t>0,22896,22904,2084008297,2084062331</t>
  </si>
  <si>
    <t>オークション &gt; 自動車、オートバイ &gt; セキュリティ &gt; キーレスエントリー &gt; マツダ用</t>
  </si>
  <si>
    <t>0,22896,22904,2084008297,2084062328</t>
  </si>
  <si>
    <t>オークション &gt; ファッション &gt; メンズシューズ &gt; ローファー、スリッポン &gt; 25.0cm</t>
  </si>
  <si>
    <t>オークション &gt; 自動車、オートバイ &gt; セキュリティ &gt; キーレスエントリー &gt; 三菱用</t>
  </si>
  <si>
    <t>オークション &gt; ファッション &gt; メンズシューズ &gt; ローファー、スリッポン &gt; 25.5cm</t>
  </si>
  <si>
    <t>オークション &gt; 自動車、オートバイ &gt; セキュリティ &gt; キーレスエントリー &gt; 日産用</t>
  </si>
  <si>
    <t>0,22896,22904,2084008297,2084062329</t>
  </si>
  <si>
    <t>オークション &gt; ファッション &gt; メンズシューズ &gt; ローファー、スリッポン &gt; 26.0cm</t>
  </si>
  <si>
    <t>オークション &gt; 自動車、オートバイ &gt; セキュリティ &gt; キーレスエントリー &gt; その他</t>
  </si>
  <si>
    <t>オークション &gt; ファッション &gt; メンズシューズ &gt; ローファー、スリッポン &gt; 26.5cm</t>
  </si>
  <si>
    <t>0,22896,22904,2084008297,2084062330</t>
  </si>
  <si>
    <t>ビジネス一般</t>
  </si>
  <si>
    <t>オークション &gt; 本、雑誌 &gt; ビジネス、経済 &gt; ビジネス &gt; ビジネス教養 &gt; ビジネス一般</t>
  </si>
  <si>
    <t>0,21600,2084008755,21620,2084008761,2084033826</t>
  </si>
  <si>
    <t>オークション &gt; ファッション &gt; メンズシューズ &gt; ローファー、スリッポン &gt; 27.0cm</t>
  </si>
  <si>
    <t>オークション &gt; ファッション &gt; メンズシューズ &gt; ローファー、スリッポン &gt; 27.5cm</t>
  </si>
  <si>
    <t>インターネットビジネス</t>
  </si>
  <si>
    <t>オークション &gt; 本、雑誌 &gt; ビジネス、経済 &gt; ビジネス &gt; ビジネス教養 &gt; インターネットビジネス</t>
  </si>
  <si>
    <t>0,21600,2084008755,21620,2084008761,2084033831</t>
  </si>
  <si>
    <t>ビジネスモデル</t>
  </si>
  <si>
    <t>オークション &gt; 本、雑誌 &gt; ビジネス、経済 &gt; ビジネス &gt; ビジネス教養 &gt; ビジネスモデル</t>
  </si>
  <si>
    <t>28.0cm</t>
  </si>
  <si>
    <t>0,21600,2084008755,21620,2084008761,2084033834</t>
  </si>
  <si>
    <t>オークション &gt; ファッション &gt; メンズシューズ &gt; ローファー、スリッポン &gt; 28.0cm</t>
  </si>
  <si>
    <t>ビジネス雑学</t>
  </si>
  <si>
    <t>オークション &gt; 本、雑誌 &gt; ビジネス、経済 &gt; ビジネス &gt; ビジネス教養 &gt; ビジネス雑学</t>
  </si>
  <si>
    <t>0,21600,2084008755,21620,2084008761,2084033830</t>
  </si>
  <si>
    <t>28.5cm</t>
  </si>
  <si>
    <t>オークション &gt; ファッション &gt; メンズシューズ &gt; ローファー、スリッポン &gt; 28.5cm</t>
  </si>
  <si>
    <t>企業、業界論</t>
  </si>
  <si>
    <t>オークション &gt; 本、雑誌 &gt; ビジネス、経済 &gt; ビジネス &gt; ビジネス教養 &gt; 企業、業界論</t>
  </si>
  <si>
    <t>オークション &gt; 自動車、オートバイ &gt; メンテナンス &gt; オイル &gt; エンジンオイル</t>
  </si>
  <si>
    <t>0,21600,2084008755,21620,2084008761,2084033827</t>
  </si>
  <si>
    <t>29.0cm</t>
  </si>
  <si>
    <t>オークション &gt; ファッション &gt; メンズシューズ &gt; ローファー、スリッポン &gt; 29.0cm</t>
  </si>
  <si>
    <t>オートマオイル</t>
  </si>
  <si>
    <t>オークション &gt; 自動車、オートバイ &gt; メンテナンス &gt; オイル &gt; オートマオイル</t>
  </si>
  <si>
    <t>経営者、リーダー</t>
  </si>
  <si>
    <t>オークション &gt; 本、雑誌 &gt; ビジネス、経済 &gt; ビジネス &gt; ビジネス教養 &gt; 経営者、リーダー</t>
  </si>
  <si>
    <t>0,21600,2084008755,21620,2084008761,2084033829</t>
  </si>
  <si>
    <t>29.5cm</t>
  </si>
  <si>
    <t>パワステフルード</t>
  </si>
  <si>
    <t>オークション &gt; ファッション &gt; メンズシューズ &gt; ローファー、スリッポン &gt; 29.5cm</t>
  </si>
  <si>
    <t>オークション &gt; 自動車、オートバイ &gt; メンテナンス &gt; オイル &gt; パワステフルード</t>
  </si>
  <si>
    <t>時事読物</t>
  </si>
  <si>
    <t>オークション &gt; 本、雑誌 &gt; ビジネス、経済 &gt; ビジネス &gt; ビジネス教養 &gt; 時事読物</t>
  </si>
  <si>
    <t>0,21600,2084008755,21620,2084008761,2084033828</t>
  </si>
  <si>
    <t>ブレーキフルード</t>
  </si>
  <si>
    <t>オークション &gt; 自動車、オートバイ &gt; メンテナンス &gt; オイル &gt; ブレーキフルード</t>
  </si>
  <si>
    <t>30.0cm以上</t>
  </si>
  <si>
    <t>オークション &gt; ファッション &gt; メンズシューズ &gt; ローファー、スリッポン &gt; 30.0cm以上</t>
  </si>
  <si>
    <t>人材派遣</t>
  </si>
  <si>
    <t>オークション &gt; 本、雑誌 &gt; ビジネス、経済 &gt; ビジネス &gt; ビジネス教養 &gt; 人材派遣</t>
  </si>
  <si>
    <t>0,21600,2084008755,21620,2084008761,2084033833</t>
  </si>
  <si>
    <t>ミッションオイル、ギアオイル</t>
  </si>
  <si>
    <t>オークション &gt; 自動車、オートバイ &gt; メンテナンス &gt; オイル &gt; ミッションオイル、ギアオイル</t>
  </si>
  <si>
    <t>オークション &gt; ファッション &gt; メンズシューズ &gt; ビジネスシューズ &gt; 24.0cm以下</t>
  </si>
  <si>
    <t>知識、キーワード</t>
  </si>
  <si>
    <t>オークション &gt; 本、雑誌 &gt; ビジネス、経済 &gt; ビジネス &gt; ビジネス教養 &gt; 知識、キーワード</t>
  </si>
  <si>
    <t>添加剤</t>
  </si>
  <si>
    <t>0,21600,2084008755,21620,2084008761,2084033832</t>
  </si>
  <si>
    <t>オークション &gt; 自動車、オートバイ &gt; メンテナンス &gt; オイル &gt; 添加剤</t>
  </si>
  <si>
    <t>オークション &gt; ファッション &gt; メンズシューズ &gt; ビジネスシューズ &gt; 24.5cm</t>
  </si>
  <si>
    <t>漏れ止め剤</t>
  </si>
  <si>
    <t>オークション &gt; 自動車、オートバイ &gt; メンテナンス &gt; オイル &gt; 漏れ止め剤</t>
  </si>
  <si>
    <t>オークション &gt; ファッション &gt; メンズシューズ &gt; ビジネスシューズ &gt; 25.0cm</t>
  </si>
  <si>
    <t>オークション &gt; 自動車、オートバイ &gt; メンテナンス &gt; オイル &gt; オイルフィルター</t>
  </si>
  <si>
    <t>オークション &gt; ファッション &gt; メンズシューズ &gt; ビジネスシューズ &gt; 25.5cm</t>
  </si>
  <si>
    <t>オイルフィルターレンチ</t>
  </si>
  <si>
    <t>オークション &gt; 自動車、オートバイ &gt; メンテナンス &gt; オイル &gt; オイルフィルターレンチ</t>
  </si>
  <si>
    <t>オークション &gt; ファッション &gt; メンズシューズ &gt; ビジネスシューズ &gt; 26.0cm</t>
  </si>
  <si>
    <t>オークション &gt; 自動車、オートバイ &gt; メンテナンス &gt; オイル &gt; オートバイ用</t>
  </si>
  <si>
    <t>オークション &gt; ファッション &gt; メンズシューズ &gt; ビジネスシューズ &gt; 26.5cm</t>
  </si>
  <si>
    <t>オークション &gt; 自動車、オートバイ &gt; メンテナンス &gt; オイル &gt; その他</t>
  </si>
  <si>
    <t>オークション &gt; ファッション &gt; メンズシューズ &gt; ビジネスシューズ &gt; 27.0cm</t>
  </si>
  <si>
    <t>オークション &gt; ファッション &gt; メンズシューズ &gt; ビジネスシューズ &gt; 27.5cm</t>
  </si>
  <si>
    <t>スポンジ</t>
  </si>
  <si>
    <t>オークション &gt; 自動車、オートバイ &gt; メンテナンス &gt; 洗車 &gt; スポンジ</t>
  </si>
  <si>
    <t>オークション &gt; ファッション &gt; メンズシューズ &gt; ビジネスシューズ &gt; 28.0cm以上</t>
  </si>
  <si>
    <t>オークション &gt; ファッション &gt; メンズシューズ &gt; デッキシューズ &gt; 24.0cm以下</t>
  </si>
  <si>
    <t>ワックス</t>
  </si>
  <si>
    <t>オークション &gt; 自動車、オートバイ &gt; メンテナンス &gt; 洗車 &gt; ワックス</t>
  </si>
  <si>
    <t>オークション &gt; ファッション &gt; メンズシューズ &gt; デッキシューズ &gt; 24.5cm</t>
  </si>
  <si>
    <t>洗剤</t>
  </si>
  <si>
    <t>オークション &gt; 自動車、オートバイ &gt; メンテナンス &gt; 洗車 &gt; 洗剤</t>
  </si>
  <si>
    <t>オークション &gt; ファッション &gt; メンズシューズ &gt; デッキシューズ &gt; 25.0cm</t>
  </si>
  <si>
    <t>オークション &gt; ファッション &gt; メンズシューズ &gt; デッキシューズ &gt; 25.5cm</t>
  </si>
  <si>
    <t>オークション &gt; 自動車、オートバイ &gt; メンテナンス &gt; 洗車 &gt; その他</t>
  </si>
  <si>
    <t>オークション &gt; ファッション &gt; メンズシューズ &gt; デッキシューズ &gt; 26.0cm</t>
  </si>
  <si>
    <t>日本規格</t>
  </si>
  <si>
    <t>オークション &gt; 自動車、オートバイ &gt; メンテナンス &gt; バッテリー &gt; 日本規格</t>
  </si>
  <si>
    <t>オークション &gt; ファッション &gt; メンズシューズ &gt; デッキシューズ &gt; 26.5cm</t>
  </si>
  <si>
    <t>ヨーロッパ規格</t>
  </si>
  <si>
    <t>オークション &gt; 自動車、オートバイ &gt; メンテナンス &gt; バッテリー &gt; ヨーロッパ規格</t>
  </si>
  <si>
    <t>オークション &gt; ファッション &gt; メンズシューズ &gt; デッキシューズ &gt; 27.0cm</t>
  </si>
  <si>
    <t>アメリカ規格</t>
  </si>
  <si>
    <t>オークション &gt; 自動車、オートバイ &gt; メンテナンス &gt; バッテリー &gt; アメリカ規格</t>
  </si>
  <si>
    <t>オークション &gt; ファッション &gt; メンズシューズ &gt; デッキシューズ &gt; 27.5cm</t>
  </si>
  <si>
    <t>オークション &gt; ファッション &gt; メンズシューズ &gt; デッキシューズ &gt; 28.0cm</t>
  </si>
  <si>
    <t>オークション &gt; 自動車、オートバイ &gt; メンテナンス &gt; バッテリー &gt; 充電器</t>
  </si>
  <si>
    <t>オークション &gt; ファッション &gt; メンズシューズ &gt; デッキシューズ &gt; 28.5cm</t>
  </si>
  <si>
    <t>オークション &gt; 自動車、オートバイ &gt; メンテナンス &gt; バッテリー &gt; オートバイ用</t>
  </si>
  <si>
    <t>29.0cm以上</t>
  </si>
  <si>
    <t>オークション &gt; ファッション &gt; メンズシューズ &gt; デッキシューズ &gt; 29.0cm以上</t>
  </si>
  <si>
    <t>オークション &gt; 自動車、オートバイ &gt; メンテナンス &gt; バッテリー &gt; トラック、ダンプ用</t>
  </si>
  <si>
    <t>オークション &gt; ファッション &gt; メンズシューズ &gt; ウォーキングシューズ &gt; 24.0cm以下</t>
  </si>
  <si>
    <t>オークション &gt; 自動車、オートバイ &gt; メンテナンス &gt; バッテリー &gt; その他</t>
  </si>
  <si>
    <t>オークション &gt; ファッション &gt; メンズシューズ &gt; ウォーキングシューズ &gt; 24.5cm</t>
  </si>
  <si>
    <t>オークション &gt; 自動車、オートバイ &gt; メンテナンス &gt; フィルター &gt; エアフィルター、エアクリーナー</t>
  </si>
  <si>
    <t>らんちゅう</t>
  </si>
  <si>
    <t>オークション &gt; ファッション &gt; メンズシューズ &gt; ウォーキングシューズ &gt; 25.0cm</t>
  </si>
  <si>
    <t>オークション &gt; ペット、生き物 &gt; 魚類、水生生物 &gt; 金魚 &gt; らんちゅう</t>
  </si>
  <si>
    <t>0,2084055844,2084055861,2084055863,2084228596</t>
  </si>
  <si>
    <t>オークション &gt; 自動車、オートバイ &gt; メンテナンス &gt; フィルター &gt; オイルフィルター</t>
  </si>
  <si>
    <t>オークション &gt; ファッション &gt; メンズシューズ &gt; ウォーキングシューズ &gt; 25.5cm</t>
  </si>
  <si>
    <t>オークション &gt; 自動車、オートバイ &gt; メンテナンス &gt; フィルター &gt; その他</t>
  </si>
  <si>
    <t>オークション &gt; ファッション &gt; メンズシューズ &gt; ウォーキングシューズ &gt; 26.0cm</t>
  </si>
  <si>
    <t>獅子頭</t>
  </si>
  <si>
    <t>オークション &gt; ペット、生き物 &gt; 魚類、水生生物 &gt; 金魚 &gt; 獅子頭</t>
  </si>
  <si>
    <t>0,2084055844,2084055861,2084055863,2084228599</t>
  </si>
  <si>
    <t>HID</t>
  </si>
  <si>
    <t>オークション &gt; ファッション &gt; メンズシューズ &gt; ウォーキングシューズ &gt; 26.5cm</t>
  </si>
  <si>
    <t>オークション &gt; 自動車、オートバイ &gt; パーツ &gt; ライト &gt; バルブ &gt; HID</t>
  </si>
  <si>
    <t>琉金</t>
  </si>
  <si>
    <t>オークション &gt; ペット、生き物 &gt; 魚類、水生生物 &gt; 金魚 &gt; 琉金</t>
  </si>
  <si>
    <t>オークション &gt; ファッション &gt; メンズシューズ &gt; ウォーキングシューズ &gt; 27.0cm</t>
  </si>
  <si>
    <t>0,2084055844,2084055861,2084055863,2084228597</t>
  </si>
  <si>
    <t>オークション &gt; 自動車、オートバイ &gt; パーツ &gt; ライト &gt; バルブ &gt; LED</t>
  </si>
  <si>
    <t>和金</t>
  </si>
  <si>
    <t>オークション &gt; ファッション &gt; メンズシューズ &gt; ウォーキングシューズ &gt; 27.5cm</t>
  </si>
  <si>
    <t>ハロゲン</t>
  </si>
  <si>
    <t>オークション &gt; ペット、生き物 &gt; 魚類、水生生物 &gt; 金魚 &gt; 和金</t>
  </si>
  <si>
    <t>オークション &gt; 自動車、オートバイ &gt; パーツ &gt; ライト &gt; バルブ &gt; ハロゲン</t>
  </si>
  <si>
    <t>0,2084055844,2084055861,2084055863,2084228598</t>
  </si>
  <si>
    <t>オークション &gt; ファッション &gt; メンズシューズ &gt; ウォーキングシューズ &gt; 28.0cm</t>
  </si>
  <si>
    <t>CCFL（イカリング）</t>
  </si>
  <si>
    <t>オークション &gt; 自動車、オートバイ &gt; パーツ &gt; ライト &gt; バルブ &gt; CCFL（イカリング）</t>
  </si>
  <si>
    <t>オークション &gt; ファッション &gt; メンズシューズ &gt; ウォーキングシューズ &gt; 28.5cm</t>
  </si>
  <si>
    <t>オークション &gt; ペット、生き物 &gt; 魚類、水生生物 &gt; 金魚 &gt; その他</t>
  </si>
  <si>
    <t>オークション &gt; 自動車、オートバイ &gt; パーツ &gt; ライト &gt; バルブ &gt; HIDキット</t>
  </si>
  <si>
    <t>0,2084055844,2084055861,2084055863,2084228600</t>
  </si>
  <si>
    <t>オークション &gt; ファッション &gt; メンズシューズ &gt; ウォーキングシューズ &gt; 29.0cm以上</t>
  </si>
  <si>
    <t>バルブ（24V専用）</t>
  </si>
  <si>
    <t>どじょう</t>
  </si>
  <si>
    <t>オークション &gt; 自動車、オートバイ &gt; パーツ &gt; ライト &gt; バルブ &gt; バルブ（24V専用）</t>
  </si>
  <si>
    <t>オークション &gt; ペット、生き物 &gt; 魚類、水生生物 &gt; 川魚 &gt; どじょう</t>
  </si>
  <si>
    <t>0,2084055844,2084055861,2084055864,2084228611</t>
  </si>
  <si>
    <t>オークション &gt; 自動車、オートバイ &gt; パーツ &gt; ライト &gt; バルブ &gt; その他</t>
  </si>
  <si>
    <t>めだか</t>
  </si>
  <si>
    <t>オークション &gt; ペット、生き物 &gt; 魚類、水生生物 &gt; 川魚 &gt; めだか</t>
  </si>
  <si>
    <t>0,2084055844,2084055861,2084055864,2084228610</t>
  </si>
  <si>
    <t>ブレード</t>
  </si>
  <si>
    <t>オークション &gt; 自動車、オートバイ &gt; メンテナンス &gt; ワイパー &gt; ブレード</t>
  </si>
  <si>
    <t>オークション &gt; ホビー、カルチャー &gt; ミリタリー &gt; 個人装備 &gt; 靴 &gt; 24.0cm以下</t>
  </si>
  <si>
    <t>替えゴム</t>
  </si>
  <si>
    <t>オークション &gt; ペット、生き物 &gt; 魚類、水生生物 &gt; 川魚 &gt; その他</t>
  </si>
  <si>
    <t>オークション &gt; 自動車、オートバイ &gt; メンテナンス &gt; ワイパー &gt; 替えゴム</t>
  </si>
  <si>
    <t>0,2084055844,2084055861,2084055864,2084228612</t>
  </si>
  <si>
    <t>オークション &gt; ホビー、カルチャー &gt; ミリタリー &gt; 個人装備 &gt; 靴 &gt; 24.5cm</t>
  </si>
  <si>
    <t>海水魚</t>
  </si>
  <si>
    <t>オークション &gt; 自動車、オートバイ &gt; メンテナンス &gt; ワイパー &gt; その他</t>
  </si>
  <si>
    <t>オークション &gt; ペット、生き物 &gt; 魚類、水生生物 &gt; 熱帯魚 &gt; 海水魚</t>
  </si>
  <si>
    <t>0,2084055844,2084055861,2084055865,2084055868</t>
  </si>
  <si>
    <t>オークション &gt; 自動車、オートバイ &gt; 工具 &gt; オートバイ用</t>
  </si>
  <si>
    <t>オークション &gt; ホビー、カルチャー &gt; ミリタリー &gt; 個人装備 &gt; 靴 &gt; 25.0cm</t>
  </si>
  <si>
    <t>汽水魚</t>
  </si>
  <si>
    <t>オークション &gt; ペット、生き物 &gt; 魚類、水生生物 &gt; 熱帯魚 &gt; 汽水魚</t>
  </si>
  <si>
    <t>オークション &gt; 自動車、オートバイ &gt; 工具 &gt; オイルフィルターレンチ</t>
  </si>
  <si>
    <t>0,2084055844,2084055861,2084055865,2084055867</t>
  </si>
  <si>
    <t>オークション &gt; ホビー、カルチャー &gt; ミリタリー &gt; 個人装備 &gt; 靴 &gt; 25.5cm</t>
  </si>
  <si>
    <t>オークション &gt; ホビー、カルチャー &gt; ミリタリー &gt; 個人装備 &gt; 靴 &gt; 26.0cm</t>
  </si>
  <si>
    <t>淡水魚</t>
  </si>
  <si>
    <t>オークション &gt; ペット、生き物 &gt; 魚類、水生生物 &gt; 熱帯魚 &gt; 淡水魚</t>
  </si>
  <si>
    <t>0,2084055844,2084055861,2084055865,2084055866</t>
  </si>
  <si>
    <t>オークション &gt; 自動車、オートバイ &gt; 工具 &gt; コンプレッションゲージ</t>
  </si>
  <si>
    <t>オークション &gt; ホビー、カルチャー &gt; ミリタリー &gt; 個人装備 &gt; 靴 &gt; 26.5cm</t>
  </si>
  <si>
    <t>ジャッキ</t>
  </si>
  <si>
    <t>ヌマエビ</t>
  </si>
  <si>
    <t>オークション &gt; 自動車、オートバイ &gt; 工具 &gt; ジャッキ</t>
  </si>
  <si>
    <t>オークション &gt; ペット、生き物 &gt; 魚類、水生生物 &gt; 甲殻類 &gt; ヌマエビ</t>
  </si>
  <si>
    <t>0,2084055844,2084055861,2084228291,2084228292</t>
  </si>
  <si>
    <t>オークション &gt; ホビー、カルチャー &gt; ミリタリー &gt; 個人装備 &gt; 靴 &gt; 27.0cm</t>
  </si>
  <si>
    <t>タイヤチェンジャー</t>
  </si>
  <si>
    <t>オークション &gt; 自動車、オートバイ &gt; 工具 &gt; タイヤチェンジャー</t>
  </si>
  <si>
    <t>オークション &gt; ホビー、カルチャー &gt; ミリタリー &gt; 個人装備 &gt; 靴 &gt; 27.5cm</t>
  </si>
  <si>
    <t>ビーシュリンプ</t>
  </si>
  <si>
    <t>オークション &gt; ペット、生き物 &gt; 魚類、水生生物 &gt; 甲殻類 &gt; ビーシュリンプ</t>
  </si>
  <si>
    <t>0,2084055844,2084055861,2084228291,2084228293</t>
  </si>
  <si>
    <t>オークション &gt; ホビー、カルチャー &gt; ミリタリー &gt; 個人装備 &gt; 靴 &gt; 28.0cm</t>
  </si>
  <si>
    <t>オークション &gt; 自動車、オートバイ &gt; 工具 &gt; エアーツール</t>
  </si>
  <si>
    <t>オークション &gt; ホビー、カルチャー &gt; ミリタリー &gt; 個人装備 &gt; 靴 &gt; 28.5cm</t>
  </si>
  <si>
    <t>オークション &gt; ペット、生き物 &gt; 魚類、水生生物 &gt; 甲殻類 &gt; その他</t>
  </si>
  <si>
    <t>0,2084055844,2084055861,2084228291,2084228299</t>
  </si>
  <si>
    <t>オークション &gt; 自動車、オートバイ &gt; 工具 &gt; タイヤゲージ</t>
  </si>
  <si>
    <t>オークション &gt; ホビー、カルチャー &gt; ミリタリー &gt; 個人装備 &gt; 靴 &gt; 29.0cm以上</t>
  </si>
  <si>
    <t>オークション &gt; 住まい、インテリア &gt; ペット用品 &gt; 魚、水草 &gt; 水草 &gt; セット</t>
  </si>
  <si>
    <t>0,24198,24534,24246,24306,2084062696</t>
  </si>
  <si>
    <t>オークション &gt; 自動車、オートバイ &gt; 工具 &gt; ハンドツール</t>
  </si>
  <si>
    <t>アヌビアス</t>
  </si>
  <si>
    <t>オークション &gt; 住まい、インテリア &gt; ペット用品 &gt; 魚、水草 &gt; 水草 &gt; アヌビアス</t>
  </si>
  <si>
    <t>0,24198,24534,24246,24306,2084062701</t>
  </si>
  <si>
    <t>オークション &gt; 自動車、オートバイ &gt; 工具 &gt; バキュームゲージ</t>
  </si>
  <si>
    <t>ホイールレンチ</t>
  </si>
  <si>
    <t>ウィローモス</t>
  </si>
  <si>
    <t>オークション &gt; 自動車、オートバイ &gt; 工具 &gt; ホイールレンチ</t>
  </si>
  <si>
    <t>オークション &gt; 住まい、インテリア &gt; ペット用品 &gt; 魚、水草 &gt; 水草 &gt; ウィローモス</t>
  </si>
  <si>
    <t>0,24198,24534,24246,24306,2084062697</t>
  </si>
  <si>
    <t>オークション &gt; 自動車、オートバイ &gt; 工具 &gt; 車載工具</t>
  </si>
  <si>
    <t>エキノドルス</t>
  </si>
  <si>
    <t>オークション &gt; 住まい、インテリア &gt; ペット用品 &gt; 魚、水草 &gt; 水草 &gt; エキノドルス</t>
  </si>
  <si>
    <t>0,24198,24534,24246,24306,2084062703</t>
  </si>
  <si>
    <t>オークション &gt; 自動車、オートバイ &gt; 工具 &gt; 照明</t>
  </si>
  <si>
    <t>クリプトコリネ</t>
  </si>
  <si>
    <t>オークション &gt; 住まい、インテリア &gt; ペット用品 &gt; 魚、水草 &gt; 水草 &gt; クリプトコリネ</t>
  </si>
  <si>
    <t>0,24198,24534,24246,24306,2084062702</t>
  </si>
  <si>
    <t>オークション &gt; 自動車、オートバイ &gt; 工具 &gt; 電動工具</t>
  </si>
  <si>
    <t>グロッソスティグマ</t>
  </si>
  <si>
    <t>オークション &gt; 住まい、インテリア &gt; ペット用品 &gt; 魚、水草 &gt; 水草 &gt; グロッソスティグマ</t>
  </si>
  <si>
    <t>0,24198,24534,24246,24306,2084062700</t>
  </si>
  <si>
    <t>道具箱</t>
  </si>
  <si>
    <t>オークション &gt; 自動車、オートバイ &gt; 工具 &gt; 道具箱</t>
  </si>
  <si>
    <t>パールグラス</t>
  </si>
  <si>
    <t>オークション &gt; 住まい、インテリア &gt; ペット用品 &gt; 魚、水草 &gt; 水草 &gt; パールグラス</t>
  </si>
  <si>
    <t>オークション &gt; 自動車、オートバイ &gt; 工具 &gt; その他</t>
  </si>
  <si>
    <t>0,24198,24534,24246,24306,2084062699</t>
  </si>
  <si>
    <t>リシア</t>
  </si>
  <si>
    <t>オークション &gt; 住まい、インテリア &gt; ペット用品 &gt; 魚、水草 &gt; 水草 &gt; リシア</t>
  </si>
  <si>
    <t>0,24198,24534,24246,24306,2084062698</t>
  </si>
  <si>
    <t>浮き草類</t>
  </si>
  <si>
    <t>オークション &gt; 住まい、インテリア &gt; ペット用品 &gt; 魚、水草 &gt; 水草 &gt; 浮き草類</t>
  </si>
  <si>
    <t>0,24198,24534,24246,24306,2084062704</t>
  </si>
  <si>
    <t>オークション &gt; 住まい、インテリア &gt; ペット用品 &gt; 魚、水草 &gt; 水草 &gt; 照明</t>
  </si>
  <si>
    <t>0,24198,24534,24246,24306,24266</t>
  </si>
  <si>
    <t>オークション &gt; 住まい、インテリア &gt; ペット用品 &gt; 魚、水草 &gt; 水草 &gt; 水草用品</t>
  </si>
  <si>
    <t>0,24198,24534,24246,24306,2084047555</t>
  </si>
  <si>
    <t>オークション &gt; 住まい、インテリア &gt; ペット用品 &gt; 魚、水草 &gt; 水草 &gt; その他</t>
  </si>
  <si>
    <t>0,24198,24534,24246,24306,2084062705</t>
  </si>
  <si>
    <t>オークション &gt; ファッション &gt; ファッション小物 &gt; 靴下 &gt; 男性用 &gt; セット、まとめ売り</t>
  </si>
  <si>
    <t>0,24198,24534,24246,24290</t>
  </si>
  <si>
    <t>オークション &gt; ファッション &gt; ファッション小物 &gt; 靴下 &gt; 男性用 &gt; 一般</t>
  </si>
  <si>
    <t>オークション &gt; ファッション &gt; ファッション小物 &gt; 靴下 &gt; 男性用 &gt; 5本指、足袋タイプ</t>
  </si>
  <si>
    <t>0,24198,24534,24246,2084061343</t>
  </si>
  <si>
    <t>オークション &gt; ファッション &gt; ファッション小物 &gt; 靴下 &gt; 男性用 &gt; ショートソックス</t>
  </si>
  <si>
    <t>0,24198,24534,24246,24274</t>
  </si>
  <si>
    <t>オークション &gt; ファッション &gt; ファッション小物 &gt; 靴下 &gt; 男性用 &gt; その他</t>
  </si>
  <si>
    <t>0,24198,24534,24246,2084008260</t>
  </si>
  <si>
    <t>0,24198,24534,24246,2084061388</t>
  </si>
  <si>
    <t>0,24198,24534,24246,2084005549</t>
  </si>
  <si>
    <t>オークション &gt; ファッション &gt; 男性和服、着物 &gt; 浴衣 &gt; 三点セット</t>
  </si>
  <si>
    <t>0,24198,24534,24246,24294</t>
  </si>
  <si>
    <t>オークション &gt; ファッション &gt; 男性和服、着物 &gt; 浴衣 &gt; 帯</t>
  </si>
  <si>
    <t>0,24198,24534,24246,2084062684</t>
  </si>
  <si>
    <t>オークション &gt; ファッション &gt; 男性和服、着物 &gt; 浴衣 &gt; 反物</t>
  </si>
  <si>
    <t>オークション &gt; 自動車、オートバイ &gt; トラック、ダンプ、建設機械 &gt; メンテナンス &gt; エンジンオイル</t>
  </si>
  <si>
    <t>オークション &gt; ファッション &gt; 男性和服、着物 &gt; 浴衣 &gt; 浴衣（帯付き）</t>
  </si>
  <si>
    <t>0,24198,24534,24246,24262</t>
  </si>
  <si>
    <t>オークション &gt; 自動車、オートバイ &gt; トラック、ダンプ、建設機械 &gt; メンテナンス &gt; バッテリー</t>
  </si>
  <si>
    <t>オークション &gt; ファッション &gt; 男性和服、着物 &gt; 浴衣 &gt; 浴衣（単体）</t>
  </si>
  <si>
    <t>0,24198,24534,24246,24250</t>
  </si>
  <si>
    <t>オークション &gt; 自動車、オートバイ &gt; トラック、ダンプ、建設機械 &gt; メンテナンス &gt; その他</t>
  </si>
  <si>
    <t>オークション &gt; ファッション &gt; 男性和服、着物 &gt; 浴衣 &gt; その他</t>
  </si>
  <si>
    <t>0,24198,24534,24246,2084061344</t>
  </si>
  <si>
    <t>オークション &gt; ファッション &gt; 男性和服、着物 &gt; 和装小物 &gt; ふくさ</t>
  </si>
  <si>
    <t>0,24198,24534,24246,24266</t>
  </si>
  <si>
    <t>オークション &gt; ファッション &gt; 男性和服、着物 &gt; 和装小物 &gt; 根付</t>
  </si>
  <si>
    <t>0,24198,24534,24246,24258</t>
  </si>
  <si>
    <t>オークション &gt; ファッション &gt; 男性和服、着物 &gt; 和装小物 &gt; 扇子</t>
  </si>
  <si>
    <t>0,24198,24534,24246,2084062659</t>
  </si>
  <si>
    <t>オークション &gt; ファッション &gt; 男性和服、着物 &gt; 和装小物 &gt; 風呂敷</t>
  </si>
  <si>
    <t>0,24198,24534,24246,24286</t>
  </si>
  <si>
    <t>オークション &gt; ファッション &gt; 男性和服、着物 &gt; 和装小物 &gt; その他</t>
  </si>
  <si>
    <t>0,24198,24534,24246,24254</t>
  </si>
  <si>
    <t>H＆M</t>
  </si>
  <si>
    <t>オークション &gt; ファッション &gt; キッズ、ベビーファッション &gt; ブランド別 &gt; H＆M</t>
  </si>
  <si>
    <t>オークション &gt; ファッション &gt; キッズ、ベビーファッション &gt; ブランド別 &gt; UGG オーストラリア</t>
  </si>
  <si>
    <t>0,24198,24534,24246,2084045165</t>
  </si>
  <si>
    <t>オークション &gt; ファッション &gt; キッズ、ベビーファッション &gt; ブランド別 &gt; アースマジック</t>
  </si>
  <si>
    <t>0,24198,24534,24246,2084061387</t>
  </si>
  <si>
    <t>オークション &gt; ファッション &gt; キッズ、ベビーファッション &gt; ブランド別 &gt; アニエスベー</t>
  </si>
  <si>
    <t>0,24198,24534,24246,24306</t>
  </si>
  <si>
    <t>オークション &gt; ファッション &gt; キッズ、ベビーファッション &gt; ブランド別 &gt; エックスガール</t>
  </si>
  <si>
    <t>オークション &gt; ファッション &gt; キッズ、ベビーファッション &gt; ブランド別 &gt; エル</t>
  </si>
  <si>
    <t>0,24198,24534,24246,2084047555</t>
  </si>
  <si>
    <t>オークション &gt; ファッション &gt; キッズ、ベビーファッション &gt; ブランド別 &gt; エンジェルブルー</t>
  </si>
  <si>
    <t>0,24198,24534,24246,24282</t>
  </si>
  <si>
    <t>ジャッキスタンド</t>
  </si>
  <si>
    <t>オークション &gt; ファッション &gt; キッズ、ベビーファッション &gt; ブランド別 &gt; オールドネイビー</t>
  </si>
  <si>
    <t>オークション &gt; 自動車、オートバイ &gt; 工具 &gt; ジャッキ &gt; ジャッキスタンド</t>
  </si>
  <si>
    <t>0,24198,24534,24246,2084008887</t>
  </si>
  <si>
    <t>オークション &gt; ファッション &gt; キッズ、ベビーファッション &gt; ブランド別 &gt; オシュコシュ</t>
  </si>
  <si>
    <t>パンタグラフジャッキ</t>
  </si>
  <si>
    <t>オークション &gt; 自動車、オートバイ &gt; 工具 &gt; ジャッキ &gt; パンタグラフジャッキ</t>
  </si>
  <si>
    <t>0,24198,24534,24246,24310</t>
  </si>
  <si>
    <t>GAP</t>
  </si>
  <si>
    <t>オークション &gt; ファッション &gt; キッズ、ベビーファッション &gt; ブランド別 &gt; GAP</t>
  </si>
  <si>
    <t>成虫</t>
  </si>
  <si>
    <t>フロアジャッキ</t>
  </si>
  <si>
    <t>オークション &gt; ペット、生き物 &gt; 虫類 &gt; カブトムシ &gt; 成虫</t>
  </si>
  <si>
    <t>オークション &gt; 自動車、オートバイ &gt; 工具 &gt; ジャッキ &gt; フロアジャッキ</t>
  </si>
  <si>
    <t>0,2084055844,2084055856,2084061397,2084061398</t>
  </si>
  <si>
    <t>オークション &gt; ファッション &gt; キッズ、ベビーファッション &gt; ブランド別 &gt; K.L.C.</t>
  </si>
  <si>
    <t>オークション &gt; 自動車、オートバイ &gt; 工具 &gt; ジャッキ &gt; その他</t>
  </si>
  <si>
    <t>幼虫</t>
  </si>
  <si>
    <t>オークション &gt; ペット、生き物 &gt; 虫類 &gt; カブトムシ &gt; 幼虫</t>
  </si>
  <si>
    <t>0,2084055844,2084055856,2084061397,2084061401</t>
  </si>
  <si>
    <t>オークション &gt; ファッション &gt; キッズ、ベビーファッション &gt; ブランド別 &gt; KP</t>
  </si>
  <si>
    <t>オークション &gt; ペット、生き物 &gt; 虫類 &gt; クワガタムシ &gt; 成虫</t>
  </si>
  <si>
    <t>カーターズ</t>
  </si>
  <si>
    <t>0,2084055844,2084055856,2084061390,2084061391</t>
  </si>
  <si>
    <t>オークション &gt; 住まい、インテリア &gt; 工具、DIY用品 &gt; エアーツール &gt; セット</t>
  </si>
  <si>
    <t>オークション &gt; ファッション &gt; キッズ、ベビーファッション &gt; ブランド別 &gt; カーターズ</t>
  </si>
  <si>
    <t>オークション &gt; ペット、生き物 &gt; 虫類 &gt; クワガタムシ &gt; 幼虫</t>
  </si>
  <si>
    <t>オークション &gt; 住まい、インテリア &gt; 工具、DIY用品 &gt; エアーツール &gt; コンプレッサー</t>
  </si>
  <si>
    <t>0,2084055844,2084055856,2084061390,2084061394</t>
  </si>
  <si>
    <t>オークション &gt; ファッション &gt; キッズ、ベビーファッション &gt; ブランド別 &gt; カステルバジャック</t>
  </si>
  <si>
    <t>エアタッカー</t>
  </si>
  <si>
    <t>オークション &gt; 住まい、インテリア &gt; 工具、DIY用品 &gt; エアーツール &gt; エアタッカー</t>
  </si>
  <si>
    <t>0,24198,24534,2084061345,2084061346</t>
  </si>
  <si>
    <t>オークション &gt; ファッション &gt; キッズ、ベビーファッション &gt; ブランド別 &gt; キャプテンサンタ</t>
  </si>
  <si>
    <t>エア釘打機</t>
  </si>
  <si>
    <t>オークション &gt; ファッション &gt; キッズ、ベビーファッション &gt; ブランド別 &gt; クロックス</t>
  </si>
  <si>
    <t>オークション &gt; 住まい、インテリア &gt; 工具、DIY用品 &gt; エアーツール &gt; エア釘打機</t>
  </si>
  <si>
    <t>0,24198,24534,2084061345,2084061350</t>
  </si>
  <si>
    <t>オークション &gt; ファッション &gt; キッズ、ベビーファッション &gt; ブランド別 &gt; コム サ デ モード</t>
  </si>
  <si>
    <t>エアーインパクトレンチ</t>
  </si>
  <si>
    <t>オークション &gt; 住まい、インテリア &gt; 工具、DIY用品 &gt; エアーツール &gt; エアーインパクトレンチ</t>
  </si>
  <si>
    <t>0,24198,24534,2084061345,2084061347</t>
  </si>
  <si>
    <t>オークション &gt; ファッション &gt; キッズ、ベビーファッション &gt; ブランド別 &gt; コムサイズム</t>
  </si>
  <si>
    <t>エアーガン</t>
  </si>
  <si>
    <t>0,24198,24534,2084061345,2084061351</t>
  </si>
  <si>
    <t>コンビミニ</t>
  </si>
  <si>
    <t>オークション &gt; 住まい、インテリア &gt; 工具、DIY用品 &gt; エアーツール &gt; エアーガン</t>
  </si>
  <si>
    <t>オークション &gt; ファッション &gt; キッズ、ベビーファッション &gt; ブランド別 &gt; コンビミニ</t>
  </si>
  <si>
    <t>エアーハンマー</t>
  </si>
  <si>
    <t>オークション &gt; 住まい、インテリア &gt; 工具、DIY用品 &gt; エアーツール &gt; エアーハンマー</t>
  </si>
  <si>
    <t>オークション &gt; ファッション &gt; キッズ、ベビーファッション &gt; ブランド別 &gt; 組曲</t>
  </si>
  <si>
    <t>0,24198,24534,2084061345,2084061348</t>
  </si>
  <si>
    <t>エアーサンダー</t>
  </si>
  <si>
    <t>オークション &gt; 住まい、インテリア &gt; 工具、DIY用品 &gt; エアーツール &gt; エアーサンダー</t>
  </si>
  <si>
    <t>オークション &gt; ファッション &gt; キッズ、ベビーファッション &gt; ブランド別 &gt; GU（ジーユー）</t>
  </si>
  <si>
    <t>0,24198,24534,2084061345,2084008890</t>
  </si>
  <si>
    <t>エアーグラインダー</t>
  </si>
  <si>
    <t>オークション &gt; 住まい、インテリア &gt; 工具、DIY用品 &gt; エアーツール &gt; エアーグラインダー</t>
  </si>
  <si>
    <t>オークション &gt; ファッション &gt; キッズ、ベビーファッション &gt; ブランド別 &gt; J.プレス</t>
  </si>
  <si>
    <t>エアホース、リール</t>
  </si>
  <si>
    <t>オークション &gt; 住まい、インテリア &gt; 工具、DIY用品 &gt; エアーツール &gt; エアホース、リール</t>
  </si>
  <si>
    <t>0,24198,24534,2084061345,2084061349</t>
  </si>
  <si>
    <t>オークション &gt; ファッション &gt; キッズ、ベビーファッション &gt; ブランド別 &gt; ザラ</t>
  </si>
  <si>
    <t>補助、予備タンク</t>
  </si>
  <si>
    <t>オークション &gt; 住まい、インテリア &gt; 工具、DIY用品 &gt; エアーツール &gt; 補助、予備タンク</t>
  </si>
  <si>
    <t>0,24198,24534,2084047553,2084062725</t>
  </si>
  <si>
    <t>オークション &gt; ファッション &gt; キッズ、ベビーファッション &gt; ブランド別 &gt; シャーリーテンプル</t>
  </si>
  <si>
    <t>エアーシリンダー</t>
  </si>
  <si>
    <t>オークション &gt; 住まい、インテリア &gt; 工具、DIY用品 &gt; エアーツール &gt; エアーシリンダー</t>
  </si>
  <si>
    <t>オークション &gt; ファッション &gt; キッズ、ベビーファッション &gt; ブランド別 &gt; ジェニィ</t>
  </si>
  <si>
    <t>0,24198,24534,2084047553,2084062729</t>
  </si>
  <si>
    <t>エアドライバー</t>
  </si>
  <si>
    <t>オークション &gt; 住まい、インテリア &gt; 工具、DIY用品 &gt; エアーツール &gt; エアドライバー</t>
  </si>
  <si>
    <t>オークション &gt; ファッション &gt; キッズ、ベビーファッション &gt; ブランド別 &gt; ジャンクフード</t>
  </si>
  <si>
    <t>0,24198,24534,2084047553,2084062727</t>
  </si>
  <si>
    <t>オークション &gt; 住まい、インテリア &gt; 工具、DIY用品 &gt; エアーツール &gt; その他</t>
  </si>
  <si>
    <t>オークション &gt; ファッション &gt; キッズ、ベビーファッション &gt; ブランド別 &gt; ジンボリー</t>
  </si>
  <si>
    <t>0,24198,24534,2084047553,2084062728</t>
  </si>
  <si>
    <t>工具セット</t>
  </si>
  <si>
    <t>オークション &gt; 住まい、インテリア &gt; 工具、DIY用品 &gt; ハンドツール、大工道具 &gt; 工具セット</t>
  </si>
  <si>
    <t>オークション &gt; ファッション &gt; キッズ、ベビーファッション &gt; ブランド別 &gt; セリーヌ</t>
  </si>
  <si>
    <t>0,24198,24534,2084047553,2084062730</t>
  </si>
  <si>
    <t>D＆Gジュニア</t>
  </si>
  <si>
    <t>ウエス、紙ウエス</t>
  </si>
  <si>
    <t>オークション &gt; ファッション &gt; キッズ、ベビーファッション &gt; ブランド別 &gt; D＆Gジュニア</t>
  </si>
  <si>
    <t>オークション &gt; 住まい、インテリア &gt; 工具、DIY用品 &gt; ハンドツール、大工道具 &gt; ウエス、紙ウエス</t>
  </si>
  <si>
    <t>圧着工具、ハンドプレス機</t>
  </si>
  <si>
    <t>オークション &gt; ファッション &gt; キッズ、ベビーファッション &gt; ブランド別 &gt; チャビーギャング</t>
  </si>
  <si>
    <t>0,24198,24534,2084047553,2084062732</t>
  </si>
  <si>
    <t>オークション &gt; 住まい、インテリア &gt; 工具、DIY用品 &gt; ハンドツール、大工道具 &gt; 圧着工具、ハンドプレス機</t>
  </si>
  <si>
    <t>かんな</t>
  </si>
  <si>
    <t>オークション &gt; ファッション &gt; キッズ、ベビーファッション &gt; ブランド別 &gt; ティンカーベル</t>
  </si>
  <si>
    <t>オークション &gt; 住まい、インテリア &gt; 工具、DIY用品 &gt; ハンドツール、大工道具 &gt; かんな</t>
  </si>
  <si>
    <t>0,24198,24534,2084047553,2084062726</t>
  </si>
  <si>
    <t>カッター</t>
  </si>
  <si>
    <t>オークション &gt; ファッション &gt; キッズ、ベビーファッション &gt; ブランド別 &gt; デイジーラヴァーズ</t>
  </si>
  <si>
    <t>オークション &gt; 住まい、インテリア &gt; 工具、DIY用品 &gt; ハンドツール、大工道具 &gt; カッター</t>
  </si>
  <si>
    <t>0,24198,24534,2084047553,2084062731</t>
  </si>
  <si>
    <t>ガンタッカー、ハンドタッカー</t>
  </si>
  <si>
    <t>オークション &gt; ファッション &gt; キッズ、ベビーファッション &gt; ブランド別 &gt; デニム＆ダンガリー</t>
  </si>
  <si>
    <t>オークション &gt; 住まい、インテリア &gt; 工具、DIY用品 &gt; ハンドツール、大工道具 &gt; ガンタッカー、ハンドタッカー</t>
  </si>
  <si>
    <t>0,24198,24534,2084047553,2084047552</t>
  </si>
  <si>
    <t>錐（きり）</t>
  </si>
  <si>
    <t>オークション &gt; 住まい、インテリア &gt; 工具、DIY用品 &gt; ハンドツール、大工道具 &gt; 錐（きり）</t>
  </si>
  <si>
    <t>オークション &gt; ファッション &gt; キッズ、ベビーファッション &gt; ブランド別 &gt; ドラッグストアーズ</t>
  </si>
  <si>
    <t>0,24198,24534,2084047553,2084062733</t>
  </si>
  <si>
    <t>PAPP</t>
  </si>
  <si>
    <t>オークション &gt; ファッション &gt; キッズ、ベビーファッション &gt; ブランド別 &gt; PAPP</t>
  </si>
  <si>
    <t>スパナ、レンチ</t>
  </si>
  <si>
    <t>オークション &gt; 住まい、インテリア &gt; 工具、DIY用品 &gt; ハンドツール、大工道具 &gt; スパナ、レンチ</t>
  </si>
  <si>
    <t>0,24198,24534,2084008190,2084008196</t>
  </si>
  <si>
    <t>オークション &gt; ファッション &gt; キッズ、ベビーファッション &gt; ブランド別 &gt; ハッシュアッシュ</t>
  </si>
  <si>
    <t>左官道具</t>
  </si>
  <si>
    <t>オークション &gt; 住まい、インテリア &gt; 工具、DIY用品 &gt; ハンドツール、大工道具 &gt; 左官道具</t>
  </si>
  <si>
    <t>0,24198,24534,2084008190,2084049721</t>
  </si>
  <si>
    <t>オークション &gt; ファッション &gt; キッズ、ベビーファッション &gt; ブランド別 &gt; バーバリー</t>
  </si>
  <si>
    <t>大工道具一般</t>
  </si>
  <si>
    <t>オークション &gt; 住まい、インテリア &gt; 工具、DIY用品 &gt; ハンドツール、大工道具 &gt; 大工道具一般</t>
  </si>
  <si>
    <t>オークション &gt; ファッション &gt; キッズ、ベビーファッション &gt; ブランド別 &gt; バービー</t>
  </si>
  <si>
    <t>砥石</t>
  </si>
  <si>
    <t>0,24198,24534,2084008190,2084008195</t>
  </si>
  <si>
    <t>オークション &gt; 住まい、インテリア &gt; 工具、DIY用品 &gt; ハンドツール、大工道具 &gt; 砥石</t>
  </si>
  <si>
    <t>オークション &gt; ファッション &gt; キッズ、ベビーファッション &gt; ブランド別 &gt; バツ</t>
  </si>
  <si>
    <t>ドライバー</t>
  </si>
  <si>
    <t>オークション &gt; 住まい、インテリア &gt; 工具、DIY用品 &gt; ハンドツール、大工道具 &gt; ドライバー</t>
  </si>
  <si>
    <t>0,24198,24534,2084008190,2084049722</t>
  </si>
  <si>
    <t>精密ドライバー</t>
  </si>
  <si>
    <t>オークション &gt; ファッション &gt; キッズ、ベビーファッション &gt; ブランド別 &gt; バナナチップス</t>
  </si>
  <si>
    <t>オークション &gt; 住まい、インテリア &gt; 工具、DIY用品 &gt; ハンドツール、大工道具 &gt; 精密ドライバー</t>
  </si>
  <si>
    <t>0,24198,24534,2084008190,2084061521</t>
  </si>
  <si>
    <t>のこぎり</t>
  </si>
  <si>
    <t>オークション &gt; ファッション &gt; キッズ、ベビーファッション &gt; ブランド別 &gt; パーソンズ</t>
  </si>
  <si>
    <t>オークション &gt; 住まい、インテリア &gt; 工具、DIY用品 &gt; ハンドツール、大工道具 &gt; のこぎり</t>
  </si>
  <si>
    <t>0,24198,24534,2084008190,2084008199</t>
  </si>
  <si>
    <t>のみ</t>
  </si>
  <si>
    <t>オークション &gt; ファッション &gt; キッズ、ベビーファッション &gt; ブランド別 &gt; プチバトー</t>
  </si>
  <si>
    <t>オークション &gt; 住まい、インテリア &gt; 工具、DIY用品 &gt; ハンドツール、大工道具 &gt; のみ</t>
  </si>
  <si>
    <t>0,24198,24534,2084008190,2084061550</t>
  </si>
  <si>
    <t>オークション &gt; ファッション &gt; キッズ、ベビーファッション &gt; ブランド別 &gt; ヒステリックミニ</t>
  </si>
  <si>
    <t>ニッパー</t>
  </si>
  <si>
    <t>オークション &gt; 住まい、インテリア &gt; 工具、DIY用品 &gt; ハンドツール、大工道具 &gt; ニッパー</t>
  </si>
  <si>
    <t>0,24198,24534,2084008190,2084008194</t>
  </si>
  <si>
    <t>はんだ用品</t>
  </si>
  <si>
    <t>オークション &gt; ファッション &gt; キッズ、ベビーファッション &gt; ブランド別 &gt; ピンクハウス</t>
  </si>
  <si>
    <t>オークション &gt; 住まい、インテリア &gt; 工具、DIY用品 &gt; ハンドツール、大工道具 &gt; はんだ用品</t>
  </si>
  <si>
    <t>0,24198,24534,2084008190,2084008198</t>
  </si>
  <si>
    <t>ハンマー、金づち</t>
  </si>
  <si>
    <t>オークション &gt; 住まい、インテリア &gt; 工具、DIY用品 &gt; ハンドツール、大工道具 &gt; ハンマー、金づち</t>
  </si>
  <si>
    <t>オークション &gt; ファッション &gt; キッズ、ベビーファッション &gt; ブランド別 &gt; ファミリア</t>
  </si>
  <si>
    <t>バール、てこ</t>
  </si>
  <si>
    <t>オークション &gt; ファッション &gt; キッズ、ベビーファッション &gt; ブランド別 &gt; フィラ</t>
  </si>
  <si>
    <t>オークション &gt; 住まい、インテリア &gt; 工具、DIY用品 &gt; ハンドツール、大工道具 &gt; バール、てこ</t>
  </si>
  <si>
    <t>0,24198,24534,2084008190,2084008197</t>
  </si>
  <si>
    <t>バイス、クランプ</t>
  </si>
  <si>
    <t>オークション &gt; ファッション &gt; キッズ、ベビーファッション &gt; ブランド別 &gt; ブーフーウー</t>
  </si>
  <si>
    <t>オークション &gt; 住まい、インテリア &gt; 工具、DIY用品 &gt; ハンドツール、大工道具 &gt; バイス、クランプ</t>
  </si>
  <si>
    <t>0,24198,24534,2084008190,2084048882</t>
  </si>
  <si>
    <t>プーラー</t>
  </si>
  <si>
    <t>オークション &gt; ファッション &gt; キッズ、ベビーファッション &gt; ブランド別 &gt; ブルークロス</t>
  </si>
  <si>
    <t>オークション &gt; 住まい、インテリア &gt; 工具、DIY用品 &gt; ハンドツール、大工道具 &gt; プーラー</t>
  </si>
  <si>
    <t>0,24198,24534,2084008190,2084045164</t>
  </si>
  <si>
    <t>プライヤー</t>
  </si>
  <si>
    <t>オークション &gt; ファッション &gt; キッズ、ベビーファッション &gt; ブランド別 &gt; プチジュンコ</t>
  </si>
  <si>
    <t>オークション &gt; 住まい、インテリア &gt; 工具、DIY用品 &gt; ハンドツール、大工道具 &gt; プライヤー</t>
  </si>
  <si>
    <t>0,24198,24534,2084008190,2084008885</t>
  </si>
  <si>
    <t>ヘラ</t>
  </si>
  <si>
    <t>オークション &gt; ファッション &gt; キッズ、ベビーファッション &gt; ブランド別 &gt; ベビーディオール</t>
  </si>
  <si>
    <t>オークション &gt; 住まい、インテリア &gt; 工具、DIY用品 &gt; ハンドツール、大工道具 &gt; ヘラ</t>
  </si>
  <si>
    <t>オークション &gt; ファッション &gt; キッズ、ベビーファッション &gt; ブランド別 &gt; ベビードール</t>
  </si>
  <si>
    <t>0,24198,24534,2084008190,2084008200</t>
  </si>
  <si>
    <t>ペンチ</t>
  </si>
  <si>
    <t>オークション &gt; 住まい、インテリア &gt; 工具、DIY用品 &gt; ハンドツール、大工道具 &gt; ペンチ</t>
  </si>
  <si>
    <t>オークション &gt; ファッション &gt; キッズ、ベビーファッション &gt; ブランド別 &gt; ベベ</t>
  </si>
  <si>
    <t>ポンチ、刻印</t>
  </si>
  <si>
    <t>0,24198,24534,2084008191,2084008203</t>
  </si>
  <si>
    <t>オークション &gt; 住まい、インテリア &gt; 工具、DIY用品 &gt; ハンドツール、大工道具 &gt; ポンチ、刻印</t>
  </si>
  <si>
    <t>オークション &gt; ファッション &gt; キッズ、ベビーファッション &gt; ブランド別 &gt; ボンポワン</t>
  </si>
  <si>
    <t>やすり</t>
  </si>
  <si>
    <t>オークション &gt; 住まい、インテリア &gt; 工具、DIY用品 &gt; ハンドツール、大工道具 &gt; やすり</t>
  </si>
  <si>
    <t>0,24198,24534,2084008191,2084192986</t>
  </si>
  <si>
    <t>ヤットコ</t>
  </si>
  <si>
    <t>オークション &gt; ファッション &gt; キッズ、ベビーファッション &gt; ブランド別 &gt; ポンポネット</t>
  </si>
  <si>
    <t>オークション &gt; 住まい、インテリア &gt; 工具、DIY用品 &gt; ハンドツール、大工道具 &gt; ヤットコ</t>
  </si>
  <si>
    <t>0,24198,24534,2084008191,2084008205</t>
  </si>
  <si>
    <t>ラチェットセット</t>
  </si>
  <si>
    <t>オークション &gt; 住まい、インテリア &gt; 工具、DIY用品 &gt; ハンドツール、大工道具 &gt; ラチェットセット</t>
  </si>
  <si>
    <t>オークション &gt; ファッション &gt; キッズ、ベビーファッション &gt; ブランド別 &gt; ミキハウス</t>
  </si>
  <si>
    <t>リベッター、ナッター</t>
  </si>
  <si>
    <t>オークション &gt; 住まい、インテリア &gt; 工具、DIY用品 &gt; ハンドツール、大工道具 &gt; リベッター、ナッター</t>
  </si>
  <si>
    <t>0,24198,24534,2084008191,2084008202</t>
  </si>
  <si>
    <t>ワイヤーストリッパー</t>
  </si>
  <si>
    <t>オークション &gt; 住まい、インテリア &gt; 工具、DIY用品 &gt; ハンドツール、大工道具 &gt; ワイヤーストリッパー</t>
  </si>
  <si>
    <t>オークション &gt; ファッション &gt; キッズ、ベビーファッション &gt; ブランド別 &gt; ミニK</t>
  </si>
  <si>
    <t>園芸用はさみ、のこぎり</t>
  </si>
  <si>
    <t>オークション &gt; 住まい、インテリア &gt; 工具、DIY用品 &gt; ハンドツール、大工道具 &gt; 園芸用はさみ、のこぎり</t>
  </si>
  <si>
    <t>0,24198,24534,2084008191,2084061522</t>
  </si>
  <si>
    <t>オークション &gt; 住まい、インテリア &gt; 工具、DIY用品 &gt; ハンドツール、大工道具 &gt; その他</t>
  </si>
  <si>
    <t>オークション &gt; ファッション &gt; キッズ、ベビーファッション &gt; ブランド別 &gt; ムージョンジョン</t>
  </si>
  <si>
    <t>0,24198,24534,2084008191,2084008201</t>
  </si>
  <si>
    <t>オークション &gt; 住まい、インテリア &gt; 工具、DIY用品 &gt; 照明 &gt; ハンディライト、懐中電灯</t>
  </si>
  <si>
    <t>オークション &gt; ファッション &gt; キッズ、ベビーファッション &gt; ブランド別 &gt; ムチャチャ</t>
  </si>
  <si>
    <t>0,24198,24534,2084008191,2084008204</t>
  </si>
  <si>
    <t>オークション &gt; 住まい、インテリア &gt; 工具、DIY用品 &gt; 照明 &gt; ヘッドランプ</t>
  </si>
  <si>
    <t>オークション &gt; ファッション &gt; キッズ、ベビーファッション &gt; ブランド別 &gt; メゾピアノ</t>
  </si>
  <si>
    <t>作業用照明一般</t>
  </si>
  <si>
    <t>オークション &gt; 住まい、インテリア &gt; 工具、DIY用品 &gt; 照明 &gt; 作業用照明一般</t>
  </si>
  <si>
    <t>オークション &gt; ファッション &gt; キッズ、ベビーファッション &gt; ブランド別 &gt; 無印良品</t>
  </si>
  <si>
    <t>0,24198,24534,2084008191,2084061897</t>
  </si>
  <si>
    <t>オークション &gt; ファッション &gt; キッズ、ベビーファッション &gt; ブランド別 &gt; ユニクロ</t>
  </si>
  <si>
    <t>投光器</t>
  </si>
  <si>
    <t>オークション &gt; 住まい、インテリア &gt; 工具、DIY用品 &gt; 照明 &gt; 投光器</t>
  </si>
  <si>
    <t>0,24198,24534,2084008191,2084048883</t>
  </si>
  <si>
    <t>オークション &gt; ファッション &gt; キッズ、ベビーファッション &gt; ブランド別 &gt; RONI</t>
  </si>
  <si>
    <t>0,24198,24534,2084008191,2084192987</t>
  </si>
  <si>
    <t>オークション &gt; 住まい、インテリア &gt; 工具、DIY用品 &gt; 照明 &gt; その他</t>
  </si>
  <si>
    <t>オークション &gt; ファッション &gt; キッズ、ベビーファッション &gt; ブランド別 &gt; ラルフローレン</t>
  </si>
  <si>
    <t>0,24198,24534,2084008191,2084192988</t>
  </si>
  <si>
    <t>電動工具セット</t>
  </si>
  <si>
    <t>オークション &gt; 住まい、インテリア &gt; 工具、DIY用品 &gt; 電動工具 &gt; 電動工具セット</t>
  </si>
  <si>
    <t>オークション &gt; ファッション &gt; キッズ、ベビーファッション &gt; ブランド別 &gt; リーバイス</t>
  </si>
  <si>
    <t>ローラ アシュレイ</t>
  </si>
  <si>
    <t>ドリル、ドライバー、レンチ</t>
  </si>
  <si>
    <t>オークション &gt; ファッション &gt; キッズ、ベビーファッション &gt; ブランド別 &gt; ローラ アシュレイ</t>
  </si>
  <si>
    <t>オークション &gt; 住まい、インテリア &gt; 工具、DIY用品 &gt; 電動工具 &gt; ドリル、ドライバー、レンチ</t>
  </si>
  <si>
    <t>0,24198,24534,2084008191,2084008886</t>
  </si>
  <si>
    <t>オークション &gt; ファッション &gt; キッズ、ベビーファッション &gt; ブランド別 &gt; ワスク</t>
  </si>
  <si>
    <t>ドリルチャック</t>
  </si>
  <si>
    <t>0,24198,24534,2084008191,2084008206</t>
  </si>
  <si>
    <t>オークション &gt; 住まい、インテリア &gt; 工具、DIY用品 &gt; 電動工具 &gt; ドリルチャック</t>
  </si>
  <si>
    <t>オークション &gt; ファッション &gt; キッズ、ベビーファッション &gt; ブランド別 &gt; ワッフリッシュワッフル</t>
  </si>
  <si>
    <t>研削、研磨機</t>
  </si>
  <si>
    <t>0,24198,24534,2084008192,2084008208</t>
  </si>
  <si>
    <t>オークション &gt; 住まい、インテリア &gt; 工具、DIY用品 &gt; 電動工具 &gt; 研削、研磨機</t>
  </si>
  <si>
    <t>オークション &gt; ファッション &gt; キッズ、ベビーファッション &gt; 子ども服（女の子用） &gt; セット、まとめ売り</t>
  </si>
  <si>
    <t>0,24198,24534,2084008192,2084008207</t>
  </si>
  <si>
    <t>切断機</t>
  </si>
  <si>
    <t>オークション &gt; 住まい、インテリア &gt; 工具、DIY用品 &gt; 電動工具 &gt; 切断機</t>
  </si>
  <si>
    <t>オークション &gt; ファッション &gt; キッズ、ベビーファッション &gt; 子ども服（女の子用） &gt; コート</t>
  </si>
  <si>
    <t>溶接機</t>
  </si>
  <si>
    <t>オークション &gt; 住まい、インテリア &gt; 工具、DIY用品 &gt; 電動工具 &gt; 溶接機</t>
  </si>
  <si>
    <t>0,24198,24534,2084008192,2084008209</t>
  </si>
  <si>
    <t>オークション &gt; ファッション &gt; キッズ、ベビーファッション &gt; 子ども服（女の子用） &gt; ジャケット、上着</t>
  </si>
  <si>
    <t>オークション &gt; 住まい、インテリア &gt; 工具、DIY用品 &gt; 電動工具 &gt; ルーター</t>
  </si>
  <si>
    <t>オークション &gt; ファッション &gt; キッズ、ベビーファッション &gt; 子ども服（女の子用） &gt; トップス</t>
  </si>
  <si>
    <t>0,24198,24534,2084008192,2084008342</t>
  </si>
  <si>
    <t>ポンプ</t>
  </si>
  <si>
    <t>オークション &gt; 住まい、インテリア &gt; 工具、DIY用品 &gt; 電動工具 &gt; ポンプ</t>
  </si>
  <si>
    <t>オークション &gt; ファッション &gt; キッズ、ベビーファッション &gt; 子ども服（女の子用） &gt; ボトムス</t>
  </si>
  <si>
    <t>0,24198,24534,2084008192,2084061523</t>
  </si>
  <si>
    <t>オークション &gt; ファッション &gt; キッズ、ベビーファッション &gt; 子ども服（女の子用） &gt; ワンピース</t>
  </si>
  <si>
    <t>オークション &gt; 住まい、インテリア &gt; 工具、DIY用品 &gt; 電動工具 &gt; 高圧洗浄機</t>
  </si>
  <si>
    <t>オークション &gt; ファッション &gt; キッズ、ベビーファッション &gt; 子ども服（女の子用） &gt; つなぎ</t>
  </si>
  <si>
    <t>ボール盤</t>
  </si>
  <si>
    <t>0,24198,24534,2084008192,2084008889</t>
  </si>
  <si>
    <t>オークション &gt; 住まい、インテリア &gt; 工具、DIY用品 &gt; 電動工具 &gt; ボール盤</t>
  </si>
  <si>
    <t>撹拌（かくはん）機、ミキサー</t>
  </si>
  <si>
    <t>0,24198,24534,2084008192,2084008210</t>
  </si>
  <si>
    <t>オークション &gt; ファッション &gt; キッズ、ベビーファッション &gt; 子ども服（女の子用） &gt; インナーウエア</t>
  </si>
  <si>
    <t>オークション &gt; 住まい、インテリア &gt; 工具、DIY用品 &gt; 電動工具 &gt; 撹拌（かくはん）機、ミキサー</t>
  </si>
  <si>
    <t>スモック</t>
  </si>
  <si>
    <t>電動ハンマー</t>
  </si>
  <si>
    <t>オークション &gt; ファッション &gt; キッズ、ベビーファッション &gt; 子ども服（女の子用） &gt; スモック</t>
  </si>
  <si>
    <t>オークション &gt; 住まい、インテリア &gt; 工具、DIY用品 &gt; 電動工具 &gt; 電動ハンマー</t>
  </si>
  <si>
    <t>集塵（しゅうじん）機</t>
  </si>
  <si>
    <t>セットアップ</t>
  </si>
  <si>
    <t>0,24198,24534,2084008193,2084008212</t>
  </si>
  <si>
    <t>オークション &gt; 住まい、インテリア &gt; 工具、DIY用品 &gt; 電動工具 &gt; 集塵（しゅうじん）機</t>
  </si>
  <si>
    <t>オークション &gt; ファッション &gt; キッズ、ベビーファッション &gt; 子ども服（女の子用） &gt; セットアップ</t>
  </si>
  <si>
    <t>コードリール、延長コード</t>
  </si>
  <si>
    <t>オークション &gt; 住まい、インテリア &gt; 工具、DIY用品 &gt; 電動工具 &gt; コードリール、延長コード</t>
  </si>
  <si>
    <t>オークション &gt; ファッション &gt; キッズ、ベビーファッション &gt; 子ども服（女の子用） &gt; パジャマ</t>
  </si>
  <si>
    <t>0,24198,24534,2084008193,2084008214</t>
  </si>
  <si>
    <t>オークション &gt; ファッション &gt; キッズ、ベビーファッション &gt; 子ども服（女の子用） &gt; フォーマル</t>
  </si>
  <si>
    <t>オークション &gt; 住まい、インテリア &gt; 工具、DIY用品 &gt; 電動工具 &gt; その他</t>
  </si>
  <si>
    <t>携行型</t>
  </si>
  <si>
    <t>オークション &gt; ファッション &gt; キッズ、ベビーファッション &gt; 子ども服（女の子用） &gt; ロンパース</t>
  </si>
  <si>
    <t>オークション &gt; 住まい、インテリア &gt; 工具、DIY用品 &gt; 道具箱 &gt; 携行型</t>
  </si>
  <si>
    <t>0,24198,24534,2084008193,2084008211</t>
  </si>
  <si>
    <t>設置型</t>
  </si>
  <si>
    <t>オークション &gt; 住まい、インテリア &gt; 工具、DIY用品 &gt; 道具箱 &gt; 設置型</t>
  </si>
  <si>
    <t>オークション &gt; ファッション &gt; キッズ、ベビーファッション &gt; 子ども服（女の子用） &gt; 和服</t>
  </si>
  <si>
    <t>0,24198,24534,2084008193,2084008888</t>
  </si>
  <si>
    <t>オークション &gt; 住まい、インテリア &gt; 工具、DIY用品 &gt; 道具箱 &gt; その他</t>
  </si>
  <si>
    <t>浴衣</t>
  </si>
  <si>
    <t>オークション &gt; ファッション &gt; キッズ、ベビーファッション &gt; 子ども服（女の子用） &gt; 浴衣</t>
  </si>
  <si>
    <t>0,24198,24534,2084008193,2084008215</t>
  </si>
  <si>
    <t>甚平</t>
  </si>
  <si>
    <t>オークション &gt; ファッション &gt; キッズ、ベビーファッション &gt; 子ども服（女の子用） &gt; 甚平</t>
  </si>
  <si>
    <t>ファッション小物</t>
  </si>
  <si>
    <t>オークション &gt; ファッション &gt; キッズ、ベビーファッション &gt; 子ども服（女の子用） &gt; ファッション小物</t>
  </si>
  <si>
    <t>オークション &gt; ファッション &gt; キッズ、ベビーファッション &gt; 子ども服（女の子用） &gt; 靴</t>
  </si>
  <si>
    <t>水着</t>
  </si>
  <si>
    <t>オークション &gt; ファッション &gt; キッズ、ベビーファッション &gt; 子ども服（女の子用） &gt; 水着</t>
  </si>
  <si>
    <t>オークション &gt; ファッション &gt; キッズ、ベビーファッション &gt; 子ども服（女の子用） &gt; ハンドメイド</t>
  </si>
  <si>
    <t>オークション &gt; ファッション &gt; キッズ、ベビーファッション &gt; 子ども服（女の子用） &gt; アクセサリー</t>
  </si>
  <si>
    <t>オークション &gt; ファッション &gt; キッズ、ベビーファッション &gt; 子ども服（女の子用） &gt; その他</t>
  </si>
  <si>
    <t>オークション &gt; ファッション &gt; キッズ、ベビーファッション &gt; 子ども服（男の子用） &gt; セット、まとめ売り</t>
  </si>
  <si>
    <t>オークション &gt; ファッション &gt; キッズ、ベビーファッション &gt; 子ども服（男の子用） &gt; コート</t>
  </si>
  <si>
    <t>オークション &gt; ファッション &gt; キッズ、ベビーファッション &gt; 子ども服（男の子用） &gt; ジャケット、上着</t>
  </si>
  <si>
    <t>オークション &gt; ファッション &gt; キッズ、ベビーファッション &gt; 子ども服（男の子用） &gt; スモック</t>
  </si>
  <si>
    <t>オークション &gt; ファッション &gt; キッズ、ベビーファッション &gt; 子ども服（男の子用） &gt; セットアップ</t>
  </si>
  <si>
    <t>オークション &gt; ファッション &gt; キッズ、ベビーファッション &gt; 子ども服（男の子用） &gt; トップス</t>
  </si>
  <si>
    <t>オークション &gt; 自動車、オートバイ &gt; カタログ、パーツリスト、整備書 &gt; トヨタ &gt; 2000GT</t>
  </si>
  <si>
    <t>オークション &gt; ファッション &gt; キッズ、ベビーファッション &gt; 子ども服（男の子用） &gt; パジャマ</t>
  </si>
  <si>
    <t>オークション &gt; 自動車、オートバイ &gt; カタログ、パーツリスト、整備書 &gt; トヨタ &gt; MR-S</t>
  </si>
  <si>
    <t>オークション &gt; ファッション &gt; キッズ、ベビーファッション &gt; 子ども服（男の子用） &gt; ファッション小物</t>
  </si>
  <si>
    <t>オークション &gt; ファッション &gt; キッズ、ベビーファッション &gt; 子ども服（男の子用） &gt; フォーマル</t>
  </si>
  <si>
    <t>オークション &gt; 自動車、オートバイ &gt; カタログ、パーツリスト、整備書 &gt; トヨタ &gt; MR2</t>
  </si>
  <si>
    <t>オークション &gt; ファッション &gt; キッズ、ベビーファッション &gt; 子ども服（男の子用） &gt; ボトムス</t>
  </si>
  <si>
    <t>オークション &gt; 自動車、オートバイ &gt; カタログ、パーツリスト、整備書 &gt; トヨタ &gt; RAV4</t>
  </si>
  <si>
    <t>Will Vi</t>
  </si>
  <si>
    <t>オークション &gt; ファッション &gt; キッズ、ベビーファッション &gt; 子ども服（男の子用） &gt; ロンパース</t>
  </si>
  <si>
    <t>オークション &gt; 自動車、オートバイ &gt; カタログ、パーツリスト、整備書 &gt; トヨタ &gt; Will Vi</t>
  </si>
  <si>
    <t>オークション &gt; ファッション &gt; キッズ、ベビーファッション &gt; 子ども服（男の子用） &gt; 和服</t>
  </si>
  <si>
    <t>オークション &gt; 自動車、オートバイ &gt; カタログ、パーツリスト、整備書 &gt; トヨタ &gt; bB</t>
  </si>
  <si>
    <t>オークション &gt; ファッション &gt; キッズ、ベビーファッション &gt; 子ども服（男の子用） &gt; 浴衣</t>
  </si>
  <si>
    <t>オークション &gt; 自動車、オートバイ &gt; カタログ、パーツリスト、整備書 &gt; トヨタ &gt; アリスト</t>
  </si>
  <si>
    <t>アルテッツア</t>
  </si>
  <si>
    <t>オークション &gt; ファッション &gt; キッズ、ベビーファッション &gt; 子ども服（男の子用） &gt; 甚平</t>
  </si>
  <si>
    <t>オークション &gt; 自動車、オートバイ &gt; カタログ、パーツリスト、整備書 &gt; トヨタ &gt; アルテッツア</t>
  </si>
  <si>
    <t>オークション &gt; 自動車、オートバイ &gt; カタログ、パーツリスト、整備書 &gt; トヨタ &gt; イプサム</t>
  </si>
  <si>
    <t>オークション &gt; ファッション &gt; キッズ、ベビーファッション &gt; 子ども服（男の子用） &gt; つなぎ</t>
  </si>
  <si>
    <t>オークション &gt; 自動車、オートバイ &gt; カタログ、パーツリスト、整備書 &gt; トヨタ &gt; ウィンダム</t>
  </si>
  <si>
    <t>オークション &gt; ファッション &gt; キッズ、ベビーファッション &gt; 子ども服（男の子用） &gt; インナーウエア</t>
  </si>
  <si>
    <t>オークション &gt; 自動車、オートバイ &gt; カタログ、パーツリスト、整備書 &gt; トヨタ &gt; エスティマ</t>
  </si>
  <si>
    <t>オークション &gt; 自動車、オートバイ &gt; カタログ、パーツリスト、整備書 &gt; トヨタ &gt; オーパ</t>
  </si>
  <si>
    <t>オークション &gt; ファッション &gt; キッズ、ベビーファッション &gt; 子ども服（男の子用） &gt; 靴</t>
  </si>
  <si>
    <t>オークション &gt; 自動車、オートバイ &gt; カタログ、パーツリスト、整備書 &gt; トヨタ &gt; カムリ</t>
  </si>
  <si>
    <t>オークション &gt; ファッション &gt; キッズ、ベビーファッション &gt; 子ども服（男の子用） &gt; 水着</t>
  </si>
  <si>
    <t>オークション &gt; 自動車、オートバイ &gt; カタログ、パーツリスト、整備書 &gt; トヨタ &gt; カムリグラシア</t>
  </si>
  <si>
    <t>オークション &gt; 自動車、オートバイ &gt; カタログ、パーツリスト、整備書 &gt; トヨタ &gt; カリーナ</t>
  </si>
  <si>
    <t>オークション &gt; ファッション &gt; キッズ、ベビーファッション &gt; 子ども服（男の子用） &gt; ハンドメイド</t>
  </si>
  <si>
    <t>オークション &gt; 自動車、オートバイ &gt; カタログ、パーツリスト、整備書 &gt; トヨタ &gt; カリーナED</t>
  </si>
  <si>
    <t>オークション &gt; ファッション &gt; キッズ、ベビーファッション &gt; 子ども服（男の子用） &gt; その他</t>
  </si>
  <si>
    <t>オークション &gt; 自動車、オートバイ &gt; カタログ、パーツリスト、整備書 &gt; トヨタ &gt; カルディナ</t>
  </si>
  <si>
    <t>オークション &gt; ファッション &gt; キッズ、ベビーファッション &gt; 子ども服（男女兼用） &gt; セット、まとめ売り</t>
  </si>
  <si>
    <t>オークション &gt; 自動車、オートバイ &gt; カタログ、パーツリスト、整備書 &gt; トヨタ &gt; カレン</t>
  </si>
  <si>
    <t>オークション &gt; ファッション &gt; キッズ、ベビーファッション &gt; 子ども服（男女兼用） &gt; コート</t>
  </si>
  <si>
    <t>オークション &gt; 自動車、オートバイ &gt; カタログ、パーツリスト、整備書 &gt; トヨタ &gt; カローラ</t>
  </si>
  <si>
    <t>オークション &gt; ファッション &gt; キッズ、ベビーファッション &gt; 子ども服（男女兼用） &gt; ジャケット、上着</t>
  </si>
  <si>
    <t>オークション &gt; 自動車、オートバイ &gt; カタログ、パーツリスト、整備書 &gt; トヨタ &gt; カローラFX</t>
  </si>
  <si>
    <t>オークション &gt; ファッション &gt; キッズ、ベビーファッション &gt; 子ども服（男女兼用） &gt; トップス</t>
  </si>
  <si>
    <t>オークション &gt; 自動車、オートバイ &gt; カタログ、パーツリスト、整備書 &gt; トヨタ &gt; カローラII</t>
  </si>
  <si>
    <t>オークション &gt; 自動車、オートバイ &gt; カタログ、パーツリスト、整備書 &gt; トヨタ &gt; カローラスパシオ</t>
  </si>
  <si>
    <t>オークション &gt; ファッション &gt; キッズ、ベビーファッション &gt; 子ども服（男女兼用） &gt; ボトムス</t>
  </si>
  <si>
    <t>オークション &gt; 自動車、オートバイ &gt; カタログ、パーツリスト、整備書 &gt; トヨタ &gt; カローラセレス</t>
  </si>
  <si>
    <t>オークション &gt; ファッション &gt; キッズ、ベビーファッション &gt; 子ども服（男女兼用） &gt; セットアップ</t>
  </si>
  <si>
    <t>オークション &gt; 自動車、オートバイ &gt; カタログ、パーツリスト、整備書 &gt; トヨタ &gt; カローラツーリングワゴン</t>
  </si>
  <si>
    <t>オークション &gt; ファッション &gt; キッズ、ベビーファッション &gt; 子ども服（男女兼用） &gt; パジャマ</t>
  </si>
  <si>
    <t>オークション &gt; ファッション &gt; キッズ、ベビーファッション &gt; 子ども服（男女兼用） &gt; ハンドメイド</t>
  </si>
  <si>
    <t>オークション &gt; 自動車、オートバイ &gt; カタログ、パーツリスト、整備書 &gt; トヨタ &gt; カローラフィールダー</t>
  </si>
  <si>
    <t>オークション &gt; ファッション &gt; キッズ、ベビーファッション &gt; 子ども用シューズ &gt; 女の子用</t>
  </si>
  <si>
    <t>オークション &gt; 自動車、オートバイ &gt; カタログ、パーツリスト、整備書 &gt; トヨタ &gt; カローラレビン</t>
  </si>
  <si>
    <t>オークション &gt; ファッション &gt; キッズ、ベビーファッション &gt; 子ども用シューズ &gt; 男の子用</t>
  </si>
  <si>
    <t>オークション &gt; 自動車、オートバイ &gt; カタログ、パーツリスト、整備書 &gt; トヨタ &gt; ガイア</t>
  </si>
  <si>
    <t>オークション &gt; ファッション &gt; キッズ、ベビーファッション &gt; 子ども用バッグ &gt; 女の子用</t>
  </si>
  <si>
    <t>オークション &gt; ファッション &gt; キッズ、ベビーファッション &gt; 子ども用バッグ &gt; 男の子用</t>
  </si>
  <si>
    <t>オークション &gt; 自動車、オートバイ &gt; カタログ、パーツリスト、整備書 &gt; トヨタ &gt; キャバリエ</t>
  </si>
  <si>
    <t>オークション &gt; ファッション &gt; キッズ、ベビーファッション &gt; 子ども用バッグ &gt; 男女兼用</t>
  </si>
  <si>
    <t>オークション &gt; 自動車、オートバイ &gt; カタログ、パーツリスト、整備書 &gt; トヨタ &gt; キャミ</t>
  </si>
  <si>
    <t>オークション &gt; ファッション &gt; キッズ、ベビーファッション &gt; 子ども用バッグ &gt; ハンドメイド</t>
  </si>
  <si>
    <t>オークション &gt; 自動車、オートバイ &gt; カタログ、パーツリスト、整備書 &gt; トヨタ &gt; クラウン</t>
  </si>
  <si>
    <t>オークション &gt; ファッション &gt; キッズ、ベビーファッション &gt; 子ども用ファッション小物 &gt; エプロン</t>
  </si>
  <si>
    <t>オークション &gt; 自動車、オートバイ &gt; カタログ、パーツリスト、整備書 &gt; トヨタ &gt; クレスタ</t>
  </si>
  <si>
    <t>オークション &gt; ファッション &gt; キッズ、ベビーファッション &gt; 子ども用ファッション小物 &gt; サスペンダー</t>
  </si>
  <si>
    <t>オークション &gt; 自動車、オートバイ &gt; カタログ、パーツリスト、整備書 &gt; トヨタ &gt; グランドハイエース</t>
  </si>
  <si>
    <t>オークション &gt; ファッション &gt; キッズ、ベビーファッション &gt; 子ども用ファッション小物 &gt; スモック</t>
  </si>
  <si>
    <t>オークション &gt; 自動車、オートバイ &gt; カタログ、パーツリスト、整備書 &gt; トヨタ &gt; グランビア</t>
  </si>
  <si>
    <t>オークション &gt; ファッション &gt; キッズ、ベビーファッション &gt; 子ども用ファッション小物 &gt; タイツ</t>
  </si>
  <si>
    <t>オークション &gt; 自動車、オートバイ &gt; カタログ、パーツリスト、整備書 &gt; トヨタ &gt; コルサ</t>
  </si>
  <si>
    <t>オークション &gt; 自動車、オートバイ &gt; カタログ、パーツリスト、整備書 &gt; トヨタ &gt; コロナ</t>
  </si>
  <si>
    <t>オークション &gt; ファッション &gt; キッズ、ベビーファッション &gt; 子ども用ファッション小物 &gt; ハンカチ</t>
  </si>
  <si>
    <t>コロナエクシブ</t>
  </si>
  <si>
    <t>オークション &gt; ファッション &gt; キッズ、ベビーファッション &gt; 子ども用ファッション小物 &gt; バンダナ</t>
  </si>
  <si>
    <t>オークション &gt; 自動車、オートバイ &gt; カタログ、パーツリスト、整備書 &gt; トヨタ &gt; コロナエクシブ</t>
  </si>
  <si>
    <t>オークション &gt; ファッション &gt; キッズ、ベビーファッション &gt; 子ども用ファッション小物 &gt; ベルト</t>
  </si>
  <si>
    <t>オークション &gt; 自動車、オートバイ &gt; カタログ、パーツリスト、整備書 &gt; トヨタ &gt; コロナプレミオ</t>
  </si>
  <si>
    <t>オークション &gt; ファッション &gt; キッズ、ベビーファッション &gt; 子ども用ファッション小物 &gt; マフラー</t>
  </si>
  <si>
    <t>オークション &gt; 自動車、オートバイ &gt; カタログ、パーツリスト、整備書 &gt; トヨタ &gt; サイノス</t>
  </si>
  <si>
    <t>オークション &gt; ファッション &gt; キッズ、ベビーファッション &gt; 子ども用ファッション小物 &gt; レインコート</t>
  </si>
  <si>
    <t>オークション &gt; 自動車、オートバイ &gt; カタログ、パーツリスト、整備書 &gt; トヨタ &gt; スープラ</t>
  </si>
  <si>
    <t>オークション &gt; ファッション &gt; キッズ、ベビーファッション &gt; 子ども用ファッション小物 &gt; 靴下</t>
  </si>
  <si>
    <t>オークション &gt; 自動車、オートバイ &gt; カタログ、パーツリスト、整備書 &gt; トヨタ &gt; スターレット</t>
  </si>
  <si>
    <t>0,24198,24534,24538,2084008194</t>
  </si>
  <si>
    <t>傘</t>
  </si>
  <si>
    <t>オークション &gt; ファッション &gt; キッズ、ベビーファッション &gt; 子ども用ファッション小物 &gt; 傘</t>
  </si>
  <si>
    <t>オークション &gt; 自動車、オートバイ &gt; カタログ、パーツリスト、整備書 &gt; トヨタ &gt; スプリンター</t>
  </si>
  <si>
    <t>0,24198,24534,24538,2084008195</t>
  </si>
  <si>
    <t>オークション &gt; ファッション &gt; キッズ、ベビーファッション &gt; 子ども用ファッション小物 &gt; 手袋</t>
  </si>
  <si>
    <t>オークション &gt; 自動車、オートバイ &gt; カタログ、パーツリスト、整備書 &gt; トヨタ &gt; スプリンターカリブ</t>
  </si>
  <si>
    <t>0,24198,24534,24538,2084008207</t>
  </si>
  <si>
    <t>オークション &gt; ファッション &gt; キッズ、ベビーファッション &gt; 子ども用ファッション小物 &gt; 帽子</t>
  </si>
  <si>
    <t>オークション &gt; 自動車、オートバイ &gt; カタログ、パーツリスト、整備書 &gt; トヨタ &gt; スプリンタートレノ</t>
  </si>
  <si>
    <t>自転車用ヘルメット</t>
  </si>
  <si>
    <t>オークション &gt; ファッション &gt; キッズ、ベビーファッション &gt; 子ども用ファッション小物 &gt; 自転車用ヘルメット</t>
  </si>
  <si>
    <t>0,24198,24534,24538,2084008342</t>
  </si>
  <si>
    <t>オークション &gt; 自動車、オートバイ &gt; カタログ、パーツリスト、整備書 &gt; トヨタ &gt; スプリンターマリノ</t>
  </si>
  <si>
    <t>オークション &gt; ファッション &gt; キッズ、ベビーファッション &gt; 子ども用ファッション小物 &gt; その他</t>
  </si>
  <si>
    <t>0,24198,24534,24538,2084061348</t>
  </si>
  <si>
    <t>オークション &gt; 自動車、オートバイ &gt; カタログ、パーツリスト、整備書 &gt; トヨタ &gt; セプター</t>
  </si>
  <si>
    <t>オークション &gt; ファッション &gt; キッズ、ベビーファッション &gt; ベビー服 &gt; セット、まとめ売り</t>
  </si>
  <si>
    <t>オークション &gt; 自動車、オートバイ &gt; カタログ、パーツリスト、整備書 &gt; トヨタ &gt; セラ</t>
  </si>
  <si>
    <t>おむつカバー</t>
  </si>
  <si>
    <t>オークション &gt; ファッション &gt; キッズ、ベビーファッション &gt; ベビー服 &gt; おむつカバー</t>
  </si>
  <si>
    <t>0,24198,24534,24538,2084008211</t>
  </si>
  <si>
    <t>オークション &gt; 自動車、オートバイ &gt; カタログ、パーツリスト、整備書 &gt; トヨタ &gt; セリカ</t>
  </si>
  <si>
    <t>アフガン</t>
  </si>
  <si>
    <t>オークション &gt; ファッション &gt; キッズ、ベビーファッション &gt; ベビー服 &gt; アフガン</t>
  </si>
  <si>
    <t>0,24198,24534,24538,2084008202</t>
  </si>
  <si>
    <t>オークション &gt; 自動車、オートバイ &gt; カタログ、パーツリスト、整備書 &gt; トヨタ &gt; セルシオ</t>
  </si>
  <si>
    <t>オークション &gt; ファッション &gt; キッズ、ベビーファッション &gt; ベビー服 &gt; インナーウエア</t>
  </si>
  <si>
    <t>オークション &gt; 自動車、オートバイ &gt; カタログ、パーツリスト、整備書 &gt; トヨタ &gt; センチュリー</t>
  </si>
  <si>
    <t>0,24198,24534,24538,2084008201</t>
  </si>
  <si>
    <t>オークション &gt; ファッション &gt; キッズ、ベビーファッション &gt; ベビー服 &gt; カバーオール、つなぎ</t>
  </si>
  <si>
    <t>オークション &gt; 自動車、オートバイ &gt; カタログ、パーツリスト、整備書 &gt; トヨタ &gt; ソアラ</t>
  </si>
  <si>
    <t>0,24198,24534,24538,2084062730</t>
  </si>
  <si>
    <t>オークション &gt; 自動車、オートバイ &gt; カタログ、パーツリスト、整備書 &gt; トヨタ &gt; ターセル</t>
  </si>
  <si>
    <t>コート、ジャンパー</t>
  </si>
  <si>
    <t>オークション &gt; ファッション &gt; キッズ、ベビーファッション &gt; ベビー服 &gt; コート、ジャンパー</t>
  </si>
  <si>
    <t>0,24198,24534,24542,2084008205</t>
  </si>
  <si>
    <t>オークション &gt; 自動車、オートバイ &gt; カタログ、パーツリスト、整備書 &gt; トヨタ &gt; チェイサー</t>
  </si>
  <si>
    <t>オークション &gt; ファッション &gt; キッズ、ベビーファッション &gt; ベビー服 &gt; スーツ、セットアップ</t>
  </si>
  <si>
    <t>0,24198,24534,24542,2084008199</t>
  </si>
  <si>
    <t>オークション &gt; 自動車、オートバイ &gt; カタログ、パーツリスト、整備書 &gt; トヨタ &gt; デュエット</t>
  </si>
  <si>
    <t>オークション &gt; ファッション &gt; キッズ、ベビーファッション &gt; ベビー服 &gt; トップス</t>
  </si>
  <si>
    <t>トヨタスポーツ800</t>
  </si>
  <si>
    <t>オークション &gt; 自動車、オートバイ &gt; カタログ、パーツリスト、整備書 &gt; トヨタ &gt; トヨタスポーツ800</t>
  </si>
  <si>
    <t>オークション &gt; ファッション &gt; キッズ、ベビーファッション &gt; ベビー服 &gt; パーカ</t>
  </si>
  <si>
    <t>0,24198,24534,24542,2084008260</t>
  </si>
  <si>
    <t>オークション &gt; ファッション &gt; キッズ、ベビーファッション &gt; ベビー服 &gt; パジャマ</t>
  </si>
  <si>
    <t>オークション &gt; 自動車、オートバイ &gt; カタログ、パーツリスト、整備書 &gt; トヨタ &gt; ナディア</t>
  </si>
  <si>
    <t>オークション &gt; ファッション &gt; キッズ、ベビーファッション &gt; ベビー服 &gt; フォーマル</t>
  </si>
  <si>
    <t>0,24198,24534,24542,2084008209</t>
  </si>
  <si>
    <t>オークション &gt; 自動車、オートバイ &gt; カタログ、パーツリスト、整備書 &gt; トヨタ &gt; ノア</t>
  </si>
  <si>
    <t>オークション &gt; ファッション &gt; キッズ、ベビーファッション &gt; ベビー服 &gt; ボトムス</t>
  </si>
  <si>
    <t>0,24198,24534,24542,2084061346</t>
  </si>
  <si>
    <t>ハイエース</t>
  </si>
  <si>
    <t>オークション &gt; 自動車、オートバイ &gt; カタログ、パーツリスト、整備書 &gt; トヨタ &gt; ハイエース</t>
  </si>
  <si>
    <t>オークション &gt; ファッション &gt; キッズ、ベビーファッション &gt; ベビー服 &gt; ワンピース</t>
  </si>
  <si>
    <t>0,24198,24534,24542,2084008214</t>
  </si>
  <si>
    <t>オークション &gt; ファッション &gt; キッズ、ベビーファッション &gt; ベビー服 &gt; 甚平</t>
  </si>
  <si>
    <t>オークション &gt; 自動車、オートバイ &gt; カタログ、パーツリスト、整備書 &gt; トヨタ &gt; ハイエースレジアス</t>
  </si>
  <si>
    <t>0,24198,24534,24542,2084062729</t>
  </si>
  <si>
    <t>オークション &gt; ファッション &gt; キッズ、ベビーファッション &gt; ベビー服 &gt; 浴衣</t>
  </si>
  <si>
    <t>オークション &gt; 自動車、オートバイ &gt; カタログ、パーツリスト、整備書 &gt; トヨタ &gt; ハイラックス</t>
  </si>
  <si>
    <t>ベビー靴</t>
  </si>
  <si>
    <t>0,21600,2084008861,2084008884,2084008887</t>
  </si>
  <si>
    <t>オークション &gt; ファッション &gt; キッズ、ベビーファッション &gt; ベビー服 &gt; ベビー靴</t>
  </si>
  <si>
    <t>オークション &gt; 自動車、オートバイ &gt; カタログ、パーツリスト、整備書 &gt; トヨタ &gt; ハイラックスサーフ</t>
  </si>
  <si>
    <t>オークション &gt; ファッション &gt; キッズ、ベビーファッション &gt; ベビー服 &gt; 水着</t>
  </si>
  <si>
    <t>オークション &gt; 自動車、オートバイ &gt; カタログ、パーツリスト、整備書 &gt; トヨタ &gt; ハリアー</t>
  </si>
  <si>
    <t>0,21600,2084008861,2084008884,2084008885</t>
  </si>
  <si>
    <t>オークション &gt; 自動車、オートバイ &gt; カタログ、パーツリスト、整備書 &gt; トヨタ &gt; ビスタ</t>
  </si>
  <si>
    <t>0,21600,2084008861,2084008884,2084008890</t>
  </si>
  <si>
    <t>オークション &gt; ファッション &gt; キッズ、ベビーファッション &gt; ベビー服 &gt; ハンドメイド</t>
  </si>
  <si>
    <t>オークション &gt; 自動車、オートバイ &gt; カタログ、パーツリスト、整備書 &gt; トヨタ &gt; ビスタアルデオ</t>
  </si>
  <si>
    <t>オークション &gt; ファッション &gt; キッズ、ベビーファッション &gt; ベビー服 &gt; ベビー用品</t>
  </si>
  <si>
    <t>0,21600,2084008861,2084008884,2084008095</t>
  </si>
  <si>
    <t>マタニティウエア</t>
  </si>
  <si>
    <t>オークション &gt; ファッション &gt; キッズ、ベビーファッション &gt; ベビー服 &gt; マタニティウエア</t>
  </si>
  <si>
    <t>オークション &gt; 自動車、オートバイ &gt; カタログ、パーツリスト、整備書 &gt; トヨタ &gt; ファンカーゴ</t>
  </si>
  <si>
    <t>0,21600,2084008861,2084008884,2084008888</t>
  </si>
  <si>
    <t>オークション &gt; ファッション &gt; キッズ、ベビーファッション &gt; ベビー服 &gt; その他</t>
  </si>
  <si>
    <t>オークション &gt; 自動車、オートバイ &gt; カタログ、パーツリスト、整備書 &gt; トヨタ &gt; プラッツ</t>
  </si>
  <si>
    <t>0,21600,2084008861,2084008884,2084008889</t>
  </si>
  <si>
    <t>オークション &gt; 自動車、オートバイ &gt; カタログ、パーツリスト、整備書 &gt; トヨタ &gt; プリウス</t>
  </si>
  <si>
    <t>0,21600,2084008861,2084008884,2084008886</t>
  </si>
  <si>
    <t>オークション &gt; 自動車、オートバイ &gt; カタログ、パーツリスト、整備書 &gt; トヨタ &gt; プログレ</t>
  </si>
  <si>
    <t>オークション &gt; 自動車、オートバイ &gt; カタログ、パーツリスト、整備書 &gt; トヨタ &gt; マークII</t>
  </si>
  <si>
    <t>0,21600,2084008861,2084008884,2084047552</t>
  </si>
  <si>
    <t>オークション &gt; 自動車、オートバイ &gt; カタログ、パーツリスト、整備書 &gt; トヨタ &gt; マークIIクオリス</t>
  </si>
  <si>
    <t>0,21600,2084008861,2084008884,2084008891</t>
  </si>
  <si>
    <t>メガクルーザー</t>
  </si>
  <si>
    <t>オークション &gt; 自動車、オートバイ &gt; カタログ、パーツリスト、整備書 &gt; トヨタ &gt; メガクルーザー</t>
  </si>
  <si>
    <t>オークション &gt; 自動車、オートバイ &gt; カタログ、パーツリスト、整備書 &gt; トヨタ &gt; ラウム</t>
  </si>
  <si>
    <t>オークション &gt; 自動車、オートバイ &gt; カタログ、パーツリスト、整備書 &gt; トヨタ &gt; ランドクルーザー</t>
  </si>
  <si>
    <t>オークション &gt; 自動車、オートバイ &gt; カタログ、パーツリスト、整備書 &gt; トヨタ &gt; ランドクルーザープラド</t>
  </si>
  <si>
    <t>スタイ、よだれかけ</t>
  </si>
  <si>
    <t>オークション &gt; 自動車、オートバイ &gt; カタログ、パーツリスト、整備書 &gt; トヨタ &gt; レクサス</t>
  </si>
  <si>
    <t>オークション &gt; ファッション &gt; キッズ、ベビーファッション &gt; ベビー用ファッション小物 &gt; スタイ、よだれかけ</t>
  </si>
  <si>
    <t>オークション &gt; 自動車、オートバイ &gt; カタログ、パーツリスト、整備書 &gt; トヨタ &gt; ヴィッツ</t>
  </si>
  <si>
    <t>オークション &gt; ファッション &gt; キッズ、ベビーファッション &gt; ベビー用ファッション小物 &gt; 靴下</t>
  </si>
  <si>
    <t>オークション &gt; 自動車、オートバイ &gt; カタログ、パーツリスト、整備書 &gt; トヨタ &gt; その他</t>
  </si>
  <si>
    <t>オークション &gt; ファッション &gt; キッズ、ベビーファッション &gt; ベビー用ファッション小物 &gt; 手袋</t>
  </si>
  <si>
    <t>オークション &gt; 自動車、オートバイ &gt; カタログ、パーツリスト、整備書 &gt; ホンダ &gt; 1300</t>
  </si>
  <si>
    <t>オークション &gt; ファッション &gt; キッズ、ベビーファッション &gt; ベビー用ファッション小物 &gt; 帽子</t>
  </si>
  <si>
    <t>オークション &gt; 自動車、オートバイ &gt; カタログ、パーツリスト、整備書 &gt; ホンダ &gt; CR-V</t>
  </si>
  <si>
    <t>オークション &gt; ファッション &gt; キッズ、ベビーファッション &gt; ベビー用ファッション小物 &gt; その他</t>
  </si>
  <si>
    <t>オークション &gt; 自動車、オートバイ &gt; カタログ、パーツリスト、整備書 &gt; ホンダ &gt; CR-X</t>
  </si>
  <si>
    <t>かんざし</t>
  </si>
  <si>
    <t>オークション &gt; ファッション &gt; 女性和服、着物 &gt; かんざし</t>
  </si>
  <si>
    <t>オークション &gt; 自動車、オートバイ &gt; カタログ、パーツリスト、整備書 &gt; ホンダ &gt; HR-V</t>
  </si>
  <si>
    <t>きんちゃく、バッグ</t>
  </si>
  <si>
    <t>オークション &gt; ファッション &gt; 女性和服、着物 &gt; きんちゃく、バッグ</t>
  </si>
  <si>
    <t>コート、道中着</t>
  </si>
  <si>
    <t>オークション &gt; ファッション &gt; 女性和服、着物 &gt; コート、道中着</t>
  </si>
  <si>
    <t>オークション &gt; 自動車、オートバイ &gt; カタログ、パーツリスト、整備書 &gt; ホンダ &gt; N360</t>
  </si>
  <si>
    <t>下駄、草履</t>
  </si>
  <si>
    <t>オークション &gt; ファッション &gt; 女性和服、着物 &gt; 下駄、草履</t>
  </si>
  <si>
    <t>オークション &gt; 自動車、オートバイ &gt; カタログ、パーツリスト、整備書 &gt; ホンダ &gt; NSX</t>
  </si>
  <si>
    <t>小紋</t>
  </si>
  <si>
    <t>オークション &gt; ファッション &gt; 女性和服、着物 &gt; 小紋</t>
  </si>
  <si>
    <t>オークション &gt; 自動車、オートバイ &gt; カタログ、パーツリスト、整備書 &gt; ホンダ &gt; S-MX</t>
  </si>
  <si>
    <t>色無地</t>
  </si>
  <si>
    <t>オークション &gt; ファッション &gt; 女性和服、着物 &gt; 色無地</t>
  </si>
  <si>
    <t>オークション &gt; 自動車、オートバイ &gt; カタログ、パーツリスト、整備書 &gt; ホンダ &gt; S2000</t>
  </si>
  <si>
    <t>振袖</t>
  </si>
  <si>
    <t>オークション &gt; ファッション &gt; 女性和服、着物 &gt; 振袖</t>
  </si>
  <si>
    <t>S600</t>
  </si>
  <si>
    <t>オークション &gt; 自動車、オートバイ &gt; カタログ、パーツリスト、整備書 &gt; ホンダ &gt; S600</t>
  </si>
  <si>
    <t>オークション &gt; ファッション &gt; 女性和服、着物 &gt; 帯</t>
  </si>
  <si>
    <t>S800</t>
  </si>
  <si>
    <t>オークション &gt; 自動車、オートバイ &gt; カタログ、パーツリスト、整備書 &gt; ホンダ &gt; S800</t>
  </si>
  <si>
    <t>紬、お召</t>
  </si>
  <si>
    <t>オークション &gt; ファッション &gt; 女性和服、着物 &gt; 紬、お召</t>
  </si>
  <si>
    <t>オークション &gt; 自動車、オートバイ &gt; カタログ、パーツリスト、整備書 &gt; ホンダ &gt; Z</t>
  </si>
  <si>
    <t>付下げ</t>
  </si>
  <si>
    <t>オークション &gt; ファッション &gt; 女性和服、着物 &gt; 付下げ</t>
  </si>
  <si>
    <t>訪問着</t>
  </si>
  <si>
    <t>オークション &gt; ファッション &gt; 女性和服、着物 &gt; 訪問着</t>
  </si>
  <si>
    <t>オークション &gt; 自動車、オートバイ &gt; カタログ、パーツリスト、整備書 &gt; ホンダ &gt; アクティ</t>
  </si>
  <si>
    <t>オークション &gt; ファッション &gt; 女性和服、着物 &gt; 浴衣</t>
  </si>
  <si>
    <t>オークション &gt; 自動車、オートバイ &gt; カタログ、パーツリスト、整備書 &gt; ホンダ &gt; アコード</t>
  </si>
  <si>
    <t>留袖</t>
  </si>
  <si>
    <t>オークション &gt; ファッション &gt; 女性和服、着物 &gt; 留袖</t>
  </si>
  <si>
    <t>オークション &gt; 自動車、オートバイ &gt; カタログ、パーツリスト、整備書 &gt; ホンダ &gt; アコードクーペ</t>
  </si>
  <si>
    <t>オークション &gt; 住まい、インテリア &gt; キッチン、食器 &gt; 食器 &gt; ブランド別</t>
  </si>
  <si>
    <t>0,24198,42168,42173,2084264195</t>
  </si>
  <si>
    <t>長襦袢</t>
  </si>
  <si>
    <t>オークション &gt; 自動車、オートバイ &gt; カタログ、パーツリスト、整備書 &gt; ホンダ &gt; アコードワゴン</t>
  </si>
  <si>
    <t>オークション &gt; ファッション &gt; 女性和服、着物 &gt; 長襦袢</t>
  </si>
  <si>
    <t>アスコットイノーバ</t>
  </si>
  <si>
    <t>オークション &gt; 自動車、オートバイ &gt; カタログ、パーツリスト、整備書 &gt; ホンダ &gt; アスコットイノーバ</t>
  </si>
  <si>
    <t>和食器</t>
  </si>
  <si>
    <t>オークション &gt; ファッション &gt; 女性和服、着物 &gt; 和服用インナーウエア</t>
  </si>
  <si>
    <t>オークション &gt; 住まい、インテリア &gt; キッチン、食器 &gt; 食器 &gt; 和食器</t>
  </si>
  <si>
    <t>0,24198,42168,42173,2084005662</t>
  </si>
  <si>
    <t>オークション &gt; 自動車、オートバイ &gt; カタログ、パーツリスト、整備書 &gt; ホンダ &gt; アヴァンシア</t>
  </si>
  <si>
    <t>和装小物</t>
  </si>
  <si>
    <t>洋食器</t>
  </si>
  <si>
    <t>オークション &gt; 住まい、インテリア &gt; キッチン、食器 &gt; 食器 &gt; 洋食器</t>
  </si>
  <si>
    <t>オークション &gt; ファッション &gt; 女性和服、着物 &gt; 和装小物</t>
  </si>
  <si>
    <t>0,24198,42168,42173,2084005663</t>
  </si>
  <si>
    <t>オークション &gt; 自動車、オートバイ &gt; カタログ、パーツリスト、整備書 &gt; ホンダ &gt; インサイト</t>
  </si>
  <si>
    <t>中華食器</t>
  </si>
  <si>
    <t>オークション &gt; ファッション &gt; 女性和服、着物 &gt; アンティーク</t>
  </si>
  <si>
    <t>オークション &gt; 住まい、インテリア &gt; キッチン、食器 &gt; 食器 &gt; 中華食器</t>
  </si>
  <si>
    <t>オークション &gt; 自動車、オートバイ &gt; カタログ、パーツリスト、整備書 &gt; ホンダ &gt; インスパイア</t>
  </si>
  <si>
    <t>0,24198,42168,42173,2084005665</t>
  </si>
  <si>
    <t>オークション &gt; 自動車、オートバイ &gt; カタログ、パーツリスト、整備書 &gt; ホンダ &gt; インテグラ</t>
  </si>
  <si>
    <t>グラス、デカンタ</t>
  </si>
  <si>
    <t>オークション &gt; ファッション &gt; 女性和服、着物 &gt; 着付け</t>
  </si>
  <si>
    <t>オークション &gt; 住まい、インテリア &gt; キッチン、食器 &gt; 食器 &gt; グラス、デカンタ</t>
  </si>
  <si>
    <t>0,24198,42168,42173,2084005667</t>
  </si>
  <si>
    <t>オークション &gt; 自動車、オートバイ &gt; カタログ、パーツリスト、整備書 &gt; ホンダ &gt; オデッセイ</t>
  </si>
  <si>
    <t>オークション &gt; ファッション &gt; 女性和服、着物 &gt; その他</t>
  </si>
  <si>
    <t>オークション &gt; 住まい、インテリア &gt; キッチン、食器 &gt; 食器 &gt; ベビー用</t>
  </si>
  <si>
    <t>0,24198,42168,42173,2084005664</t>
  </si>
  <si>
    <t>オークション &gt; 自動車、オートバイ &gt; カタログ、パーツリスト、整備書 &gt; ホンダ &gt; オルティア</t>
  </si>
  <si>
    <t>オークション &gt; ファッション &gt; 男性和服、着物 &gt; 一般</t>
  </si>
  <si>
    <t>アウトドア用</t>
  </si>
  <si>
    <t>オークション &gt; 住まい、インテリア &gt; キッチン、食器 &gt; 食器 &gt; アウトドア用</t>
  </si>
  <si>
    <t>0,24198,42168,42173,2084042502</t>
  </si>
  <si>
    <t>オークション &gt; 自動車、オートバイ &gt; カタログ、パーツリスト、整備書 &gt; ホンダ &gt; キャパ</t>
  </si>
  <si>
    <t>オークション &gt; ファッション &gt; 男性和服、着物 &gt; 下駄、草履</t>
  </si>
  <si>
    <t>作務衣</t>
  </si>
  <si>
    <t>オークション &gt; 自動車、オートバイ &gt; カタログ、パーツリスト、整備書 &gt; ホンダ &gt; シティ</t>
  </si>
  <si>
    <t>オークション &gt; 住まい、インテリア &gt; キッチン、食器 &gt; 食器 &gt; アンティーク</t>
  </si>
  <si>
    <t>オークション &gt; ファッション &gt; 男性和服、着物 &gt; 作務衣</t>
  </si>
  <si>
    <t>0,24198,42168,42173,2084024010</t>
  </si>
  <si>
    <t>オークション &gt; 自動車、オートバイ &gt; カタログ、パーツリスト、整備書 &gt; ホンダ &gt; シビック</t>
  </si>
  <si>
    <t>オークション &gt; ファッション &gt; 男性和服、着物 &gt; 甚平</t>
  </si>
  <si>
    <t>タンブラー、マイボトル</t>
  </si>
  <si>
    <t>オークション &gt; 住まい、インテリア &gt; キッチン、食器 &gt; 食器 &gt; タンブラー、マイボトル</t>
  </si>
  <si>
    <t>オークション &gt; 自動車、オートバイ &gt; カタログ、パーツリスト、整備書 &gt; ホンダ &gt; ステップワゴン</t>
  </si>
  <si>
    <t>0,24198,42168,42173,2084282952</t>
  </si>
  <si>
    <t>オークション &gt; ファッション &gt; 男性和服、着物 &gt; 帯</t>
  </si>
  <si>
    <t>オークション &gt; 自動車、オートバイ &gt; カタログ、パーツリスト、整備書 &gt; ホンダ &gt; ストリーム</t>
  </si>
  <si>
    <t>オークション &gt; 住まい、インテリア &gt; キッチン、食器 &gt; 食器 &gt; その他</t>
  </si>
  <si>
    <t>0,24198,42168,42173,2084005666</t>
  </si>
  <si>
    <t>オークション &gt; 自動車、オートバイ &gt; カタログ、パーツリスト、整備書 &gt; ホンダ &gt; セイバー</t>
  </si>
  <si>
    <t>オークション &gt; ファッション &gt; 男性和服、着物 &gt; 浴衣</t>
  </si>
  <si>
    <t>オークション &gt; 自動車、オートバイ &gt; カタログ、パーツリスト、整備書 &gt; ホンダ &gt; トゥデイ</t>
  </si>
  <si>
    <t>スプーン</t>
  </si>
  <si>
    <t>オークション &gt; 住まい、インテリア &gt; キッチン、食器 &gt; カトラリー &gt; スプーン</t>
  </si>
  <si>
    <t>0,24198,42168,42174,2084282954</t>
  </si>
  <si>
    <t>オークション &gt; ファッション &gt; 男性和服、着物 &gt; 長襦袢</t>
  </si>
  <si>
    <t>オークション &gt; ファッション &gt; 男性和服、着物 &gt; ふんどし</t>
  </si>
  <si>
    <t>オークション &gt; 住まい、インテリア &gt; キッチン、食器 &gt; カトラリー &gt; フォーク</t>
  </si>
  <si>
    <t>オークション &gt; 自動車、オートバイ &gt; カタログ、パーツリスト、整備書 &gt; ホンダ &gt; トルネオ</t>
  </si>
  <si>
    <t>0,24198,42168,42174,2084282955</t>
  </si>
  <si>
    <t>オークション &gt; ファッション &gt; 男性和服、着物 &gt; 和装小物</t>
  </si>
  <si>
    <t>オークション &gt; 自動車、オートバイ &gt; カタログ、パーツリスト、整備書 &gt; ホンダ &gt; ドマーニ</t>
  </si>
  <si>
    <t>テーブルナイフ</t>
  </si>
  <si>
    <t>オークション &gt; 住まい、インテリア &gt; キッチン、食器 &gt; カトラリー &gt; テーブルナイフ</t>
  </si>
  <si>
    <t>0,24198,42168,42174,2084282956</t>
  </si>
  <si>
    <t>和服一般</t>
  </si>
  <si>
    <t>オークション &gt; ファッション &gt; 和服、和装 &gt; 男の子用 &gt; 和服一般</t>
  </si>
  <si>
    <t>オークション &gt; 自動車、オートバイ &gt; カタログ、パーツリスト、整備書 &gt; ホンダ &gt; バモス</t>
  </si>
  <si>
    <t>ディナーセット</t>
  </si>
  <si>
    <t>オークション &gt; 住まい、インテリア &gt; キッチン、食器 &gt; カトラリー &gt; ディナーセット</t>
  </si>
  <si>
    <t>0,24198,42168,42174,2084282957</t>
  </si>
  <si>
    <t>オークション &gt; ファッション &gt; 和服、和装 &gt; 男の子用 &gt; 浴衣</t>
  </si>
  <si>
    <t>オークション &gt; 自動車、オートバイ &gt; カタログ、パーツリスト、整備書 &gt; ホンダ &gt; パートナー</t>
  </si>
  <si>
    <t>オークション &gt; 住まい、インテリア &gt; キッチン、食器 &gt; カトラリー &gt; 子ども用</t>
  </si>
  <si>
    <t>0,24198,42168,42174,2084282958</t>
  </si>
  <si>
    <t>オークション &gt; 自動車、オートバイ &gt; カタログ、パーツリスト、整備書 &gt; ホンダ &gt; ビート</t>
  </si>
  <si>
    <t>オークション &gt; ファッション &gt; 和服、和装 &gt; 男の子用 &gt; 甚平</t>
  </si>
  <si>
    <t>箸</t>
  </si>
  <si>
    <t>オークション &gt; 住まい、インテリア &gt; キッチン、食器 &gt; カトラリー &gt; 箸</t>
  </si>
  <si>
    <t>オークション &gt; 自動車、オートバイ &gt; カタログ、パーツリスト、整備書 &gt; ホンダ &gt; ビガー</t>
  </si>
  <si>
    <t>0,24198,42168,42174,2084046728</t>
  </si>
  <si>
    <t>オークション &gt; ファッション &gt; 和服、和装 &gt; 女の子用 &gt; 和服一般</t>
  </si>
  <si>
    <t>オークション &gt; 自動車、オートバイ &gt; カタログ、パーツリスト、整備書 &gt; ホンダ &gt; プレリュード</t>
  </si>
  <si>
    <t>オークション &gt; 住まい、インテリア &gt; キッチン、食器 &gt; カトラリー &gt; その他</t>
  </si>
  <si>
    <t>0,24198,42168,42174,2084282959</t>
  </si>
  <si>
    <t>オークション &gt; 自動車、オートバイ &gt; カタログ、パーツリスト、整備書 &gt; ホンダ &gt; モビリオ</t>
  </si>
  <si>
    <t>オークション &gt; ファッション &gt; 和服、和装 &gt; 女の子用 &gt; 浴衣</t>
  </si>
  <si>
    <t>オークション &gt; 自動車、オートバイ &gt; カタログ、パーツリスト、整備書 &gt; ホンダ &gt; ライフ</t>
  </si>
  <si>
    <t>オークション &gt; 住まい、インテリア &gt; キッチン、食器 &gt; 調理器具 &gt; 鍋</t>
  </si>
  <si>
    <t>0,24198,42168,42170,2084005967</t>
  </si>
  <si>
    <t>ライフステップバン</t>
  </si>
  <si>
    <t>オークション &gt; 自動車、オートバイ &gt; カタログ、パーツリスト、整備書 &gt; ホンダ &gt; ライフステップバン</t>
  </si>
  <si>
    <t>オークション &gt; ファッション &gt; 和服、和装 &gt; 女の子用 &gt; 甚平</t>
  </si>
  <si>
    <t>オークション &gt; 住まい、インテリア &gt; キッチン、食器 &gt; 調理器具 &gt; フライパン</t>
  </si>
  <si>
    <t>0,24198,42168,42170,2084005968</t>
  </si>
  <si>
    <t>オークション &gt; 自動車、オートバイ &gt; カタログ、パーツリスト、整備書 &gt; ホンダ &gt; ラグレイト</t>
  </si>
  <si>
    <t>オークション &gt; ファッション &gt; 和服、和装 &gt; ベビー用 &gt; 和服一般</t>
  </si>
  <si>
    <t>刃物</t>
  </si>
  <si>
    <t>オークション &gt; 自動車、オートバイ &gt; カタログ、パーツリスト、整備書 &gt; ホンダ &gt; レジェンド</t>
  </si>
  <si>
    <t>オークション &gt; 住まい、インテリア &gt; キッチン、食器 &gt; 調理器具 &gt; 刃物</t>
  </si>
  <si>
    <t>0,24198,42168,42170,2084005972</t>
  </si>
  <si>
    <t>オークション &gt; 自動車、オートバイ &gt; カタログ、パーツリスト、整備書 &gt; ホンダ &gt; ロゴ</t>
  </si>
  <si>
    <t>オークション &gt; 住まい、インテリア &gt; キッチン、食器 &gt; 調理器具 &gt; まな板</t>
  </si>
  <si>
    <t>オークション &gt; ファッション &gt; 和服、和装 &gt; ベビー用 &gt; 浴衣</t>
  </si>
  <si>
    <t>0,24198,42168,42170,2084005971</t>
  </si>
  <si>
    <t>オークション &gt; 自動車、オートバイ &gt; カタログ、パーツリスト、整備書 &gt; ホンダ &gt; その他</t>
  </si>
  <si>
    <t>うどん、そば道具</t>
  </si>
  <si>
    <t>オークション &gt; 住まい、インテリア &gt; キッチン、食器 &gt; 調理器具 &gt; うどん、そば道具</t>
  </si>
  <si>
    <t>0,24198,42168,42170,2084282962</t>
  </si>
  <si>
    <t>オークション &gt; 自動車、オートバイ &gt; カタログ、パーツリスト、整備書 &gt; 三菱 &gt; FTO</t>
  </si>
  <si>
    <t>オークション &gt; ファッション &gt; 和服、和装 &gt; ベビー用 &gt; 甚平</t>
  </si>
  <si>
    <t>おひつ、飯台</t>
  </si>
  <si>
    <t>オークション &gt; 住まい、インテリア &gt; キッチン、食器 &gt; 調理器具 &gt; おひつ、飯台</t>
  </si>
  <si>
    <t>オークション &gt; 自動車、オートバイ &gt; カタログ、パーツリスト、整備書 &gt; 三菱 &gt; GTO</t>
  </si>
  <si>
    <t>0,24198,42168,42170,2084282963</t>
  </si>
  <si>
    <t>オークション &gt; 自動車、オートバイ &gt; カタログ、パーツリスト、整備書 &gt; 三菱 &gt; RVR</t>
  </si>
  <si>
    <t>キッチンツール</t>
  </si>
  <si>
    <t>オークション &gt; ファッション &gt; ハンドメイド &gt; 女性用 &gt; チュニック</t>
  </si>
  <si>
    <t>オークション &gt; 住まい、インテリア &gt; キッチン、食器 &gt; 調理器具 &gt; キッチンツール</t>
  </si>
  <si>
    <t>0,24198,42168,42170,2084005976</t>
  </si>
  <si>
    <t>アスパイア</t>
  </si>
  <si>
    <t>オークション &gt; 自動車、オートバイ &gt; カタログ、パーツリスト、整備書 &gt; 三菱 &gt; アスパイア</t>
  </si>
  <si>
    <t>ボール、ざる</t>
  </si>
  <si>
    <t>オークション &gt; ファッション &gt; ハンドメイド &gt; 女性用 &gt; トップス</t>
  </si>
  <si>
    <t>オークション &gt; 住まい、インテリア &gt; キッチン、食器 &gt; 調理器具 &gt; ボール、ざる</t>
  </si>
  <si>
    <t>0,24198,42168,42170,2084005970</t>
  </si>
  <si>
    <t>オークション &gt; 自動車、オートバイ &gt; カタログ、パーツリスト、整備書 &gt; 三菱 &gt; エクリプス</t>
  </si>
  <si>
    <t>カリスマ</t>
  </si>
  <si>
    <t>オークション &gt; ファッション &gt; ハンドメイド &gt; 女性用 &gt; ボトムス</t>
  </si>
  <si>
    <t>オークション &gt; 自動車、オートバイ &gt; カタログ、パーツリスト、整備書 &gt; 三菱 &gt; カリスマ</t>
  </si>
  <si>
    <t>ヤカン</t>
  </si>
  <si>
    <t>オークション &gt; ファッション &gt; ハンドメイド &gt; 女性用 &gt; ワンピース</t>
  </si>
  <si>
    <t>オークション &gt; 自動車、オートバイ &gt; カタログ、パーツリスト、整備書 &gt; 三菱 &gt; ギャラン</t>
  </si>
  <si>
    <t>オークション &gt; 住まい、インテリア &gt; キッチン、食器 &gt; 調理器具 &gt; ヤカン</t>
  </si>
  <si>
    <t>0,24198,42168,42170,2084005969</t>
  </si>
  <si>
    <t>オークション &gt; 自動車、オートバイ &gt; カタログ、パーツリスト、整備書 &gt; 三菱 &gt; シャリオ</t>
  </si>
  <si>
    <t>オークション &gt; ファッション &gt; ハンドメイド &gt; 女性用 &gt; その他</t>
  </si>
  <si>
    <t>計量器具</t>
  </si>
  <si>
    <t>オークション &gt; 住まい、インテリア &gt; キッチン、食器 &gt; 調理器具 &gt; 計量器具</t>
  </si>
  <si>
    <t>0,24198,42168,42170,2084005975</t>
  </si>
  <si>
    <t>オークション &gt; ファッション &gt; ハンドメイド &gt; 服飾小物 &gt; ベビー用</t>
  </si>
  <si>
    <t>オークション &gt; 自動車、オートバイ &gt; カタログ、パーツリスト、整備書 &gt; 三菱 &gt; ジープ</t>
  </si>
  <si>
    <t>製菓用</t>
  </si>
  <si>
    <t>オークション &gt; 住まい、インテリア &gt; キッチン、食器 &gt; 調理器具 &gt; 製菓用</t>
  </si>
  <si>
    <t>オークション &gt; ファッション &gt; ハンドメイド &gt; 服飾小物 &gt; 子ども用</t>
  </si>
  <si>
    <t>オークション &gt; 自動車、オートバイ &gt; カタログ、パーツリスト、整備書 &gt; 三菱 &gt; スタリオン</t>
  </si>
  <si>
    <t>0,24198,42168,42170,2084005973</t>
  </si>
  <si>
    <t>ストラーダ</t>
  </si>
  <si>
    <t>オークション &gt; ファッション &gt; ハンドメイド &gt; 服飾小物 &gt; 女性用</t>
  </si>
  <si>
    <t>オークション &gt; 自動車、オートバイ &gt; カタログ、パーツリスト、整備書 &gt; 三菱 &gt; ストラーダ</t>
  </si>
  <si>
    <t>電化製品</t>
  </si>
  <si>
    <t>オークション &gt; 住まい、インテリア &gt; キッチン、食器 &gt; 調理器具 &gt; 電化製品</t>
  </si>
  <si>
    <t>オークション &gt; ファッション &gt; ハンドメイド &gt; 服飾小物 &gt; 男性用</t>
  </si>
  <si>
    <t>0,24198,42168,42170,2084008364</t>
  </si>
  <si>
    <t>オークション &gt; 自動車、オートバイ &gt; カタログ、パーツリスト、整備書 &gt; 三菱 &gt; タウンボックス</t>
  </si>
  <si>
    <t>ベビー、子ども用</t>
  </si>
  <si>
    <t>オークション &gt; ファッション &gt; ハンドメイド &gt; かばん、バッグ &gt; ベビー、子ども用</t>
  </si>
  <si>
    <t>オークション &gt; 自動車、オートバイ &gt; カタログ、パーツリスト、整備書 &gt; 三菱 &gt; チャレンジャー</t>
  </si>
  <si>
    <t>電子レンジ用調理器</t>
  </si>
  <si>
    <t>オークション &gt; 住まい、インテリア &gt; キッチン、食器 &gt; 調理器具 &gt; 電子レンジ用調理器</t>
  </si>
  <si>
    <t>0,24198,42168,42170,2084282961</t>
  </si>
  <si>
    <t>オークション &gt; 自動車、オートバイ &gt; カタログ、パーツリスト、整備書 &gt; 三菱 &gt; ディアマンテ</t>
  </si>
  <si>
    <t>オークション &gt; ファッション &gt; ハンドメイド &gt; かばん、バッグ &gt; 女性用</t>
  </si>
  <si>
    <t>業務用厨房機器</t>
  </si>
  <si>
    <t>オークション &gt; 住まい、インテリア &gt; キッチン、食器 &gt; 調理器具 &gt; 業務用厨房機器</t>
  </si>
  <si>
    <t>0,24198,42168,42170,2084048468</t>
  </si>
  <si>
    <t>オークション &gt; 自動車、オートバイ &gt; カタログ、パーツリスト、整備書 &gt; 三菱 &gt; ディオン</t>
  </si>
  <si>
    <t>オークション &gt; ファッション &gt; ハンドメイド &gt; かばん、バッグ &gt; 男性用</t>
  </si>
  <si>
    <t>ディグニティ</t>
  </si>
  <si>
    <t>オークション &gt; 自動車、オートバイ &gt; カタログ、パーツリスト、整備書 &gt; 三菱 &gt; ディグニティ</t>
  </si>
  <si>
    <t>オークション &gt; 住まい、インテリア &gt; キッチン、食器 &gt; 調理器具 &gt; アウトドア用</t>
  </si>
  <si>
    <t>0,24198,42168,42170,24822</t>
  </si>
  <si>
    <t>アクセサリー（女性用）</t>
  </si>
  <si>
    <t>オークション &gt; 自動車、オートバイ &gt; カタログ、パーツリスト、整備書 &gt; 三菱 &gt; デボネア</t>
  </si>
  <si>
    <t>オークション &gt; アクセサリー、時計 &gt; ハンドメイド &gt; アクセサリー（女性用）</t>
  </si>
  <si>
    <t>オークション &gt; 住まい、インテリア &gt; キッチン、食器 &gt; 調理器具 &gt; その他</t>
  </si>
  <si>
    <t>0,24198,42168,42170,2084005977</t>
  </si>
  <si>
    <t>デリカ</t>
  </si>
  <si>
    <t>オークション &gt; 自動車、オートバイ &gt; カタログ、パーツリスト、整備書 &gt; 三菱 &gt; デリカ</t>
  </si>
  <si>
    <t>オークション &gt; アクセサリー、時計 &gt; ハンドメイド &gt; キーホルダー</t>
  </si>
  <si>
    <t>オークション &gt; 自動車、オートバイ &gt; カタログ、パーツリスト、整備書 &gt; 三菱 &gt; トッポBJ</t>
  </si>
  <si>
    <t>お盆</t>
  </si>
  <si>
    <t>オークション &gt; 住まい、インテリア &gt; キッチン、食器 &gt; アクセサリー &gt; お盆</t>
  </si>
  <si>
    <t>0,24198,42168,2084015574,2084046730</t>
  </si>
  <si>
    <t>オークション &gt; アクセサリー、時計 &gt; ハンドメイド &gt; 携帯ストラップ</t>
  </si>
  <si>
    <t>オークション &gt; 自動車、オートバイ &gt; カタログ、パーツリスト、整備書 &gt; 三菱 &gt; パジェロ</t>
  </si>
  <si>
    <t>カップホルダー</t>
  </si>
  <si>
    <t>オークション &gt; 住まい、インテリア &gt; キッチン、食器 &gt; アクセサリー &gt; カップホルダー</t>
  </si>
  <si>
    <t>0,24198,42168,2084015574,2084015572</t>
  </si>
  <si>
    <t>オークション &gt; 自動車、オートバイ &gt; カタログ、パーツリスト、整備書 &gt; 三菱 &gt; パジェロイオ</t>
  </si>
  <si>
    <t>ハンドメイド材料</t>
  </si>
  <si>
    <t>キッチンカウンター</t>
  </si>
  <si>
    <t>オークション &gt; 住まい、インテリア &gt; キッチン、食器 &gt; アクセサリー &gt; キッチンカウンター</t>
  </si>
  <si>
    <t>オークション &gt; アクセサリー、時計 &gt; ハンドメイド &gt; ハンドメイド材料</t>
  </si>
  <si>
    <t>オークション &gt; 自動車、オートバイ &gt; カタログ、パーツリスト、整備書 &gt; 三菱 &gt; パジェロジュニア</t>
  </si>
  <si>
    <t>0,24198,42168,2084015574,2084288030</t>
  </si>
  <si>
    <t>キッチンタイマー</t>
  </si>
  <si>
    <t>オークション &gt; アクセサリー、時計 &gt; ハンドメイド &gt; その他</t>
  </si>
  <si>
    <t>オークション &gt; 住まい、インテリア &gt; キッチン、食器 &gt; アクセサリー &gt; キッチンタイマー</t>
  </si>
  <si>
    <t>オークション &gt; 自動車、オートバイ &gt; カタログ、パーツリスト、整備書 &gt; 三菱 &gt; パジェロミニ</t>
  </si>
  <si>
    <t>0,24198,42168,2084015574,2084018479</t>
  </si>
  <si>
    <t>キッチン用品</t>
  </si>
  <si>
    <t>オークション &gt; 住まい、インテリア &gt; ハンドメイド作品 &gt; キッチン用品</t>
  </si>
  <si>
    <t>オークション &gt; 自動車、オートバイ &gt; カタログ、パーツリスト、整備書 &gt; 三菱 &gt; ブラボー</t>
  </si>
  <si>
    <t>キッチンマグネット</t>
  </si>
  <si>
    <t>オークション &gt; 住まい、インテリア &gt; キッチン、食器 &gt; アクセサリー &gt; キッチンマグネット</t>
  </si>
  <si>
    <t>0,24198,42168,2084015574,2084061482</t>
  </si>
  <si>
    <t>カーテン、ファブリック</t>
  </si>
  <si>
    <t>オークション &gt; 住まい、インテリア &gt; ハンドメイド作品 &gt; カーテン、ファブリック</t>
  </si>
  <si>
    <t>オークション &gt; 自動車、オートバイ &gt; カタログ、パーツリスト、整備書 &gt; 三菱 &gt; プラウディア</t>
  </si>
  <si>
    <t>キッチン用ごみ箱</t>
  </si>
  <si>
    <t>オークション &gt; 住まい、インテリア &gt; キッチン、食器 &gt; アクセサリー &gt; キッチン用ごみ箱</t>
  </si>
  <si>
    <t>0,24198,42168,2084015574,2084288032</t>
  </si>
  <si>
    <t>ケース、収納袋</t>
  </si>
  <si>
    <t>オークション &gt; 住まい、インテリア &gt; ハンドメイド作品 &gt; ケース、収納袋</t>
  </si>
  <si>
    <t>オークション &gt; 自動車、オートバイ &gt; カタログ、パーツリスト、整備書 &gt; 三菱 &gt; ミニカ</t>
  </si>
  <si>
    <t>家具、椅子</t>
  </si>
  <si>
    <t>オークション &gt; 住まい、インテリア &gt; キッチン、食器 &gt; アクセサリー &gt; コースター</t>
  </si>
  <si>
    <t>オークション &gt; 住まい、インテリア &gt; ハンドメイド作品 &gt; 家具、椅子</t>
  </si>
  <si>
    <t>0,24198,42168,2084015574,2084046731</t>
  </si>
  <si>
    <t>オークション &gt; 自動車、オートバイ &gt; カタログ、パーツリスト、整備書 &gt; 三菱 &gt; ミラージュ</t>
  </si>
  <si>
    <t>ワゴン</t>
  </si>
  <si>
    <t>オークション &gt; 住まい、インテリア &gt; ハンドメイド作品 &gt; 寝具</t>
  </si>
  <si>
    <t>オークション &gt; 住まい、インテリア &gt; キッチン、食器 &gt; アクセサリー &gt; ワゴン</t>
  </si>
  <si>
    <t>0,24198,42168,2084015574,2084015573</t>
  </si>
  <si>
    <t>オークション &gt; 自動車、オートバイ &gt; カタログ、パーツリスト、整備書 &gt; 三菱 &gt; ミラージュディンゴ</t>
  </si>
  <si>
    <t>インテリア、雑貨</t>
  </si>
  <si>
    <t>オークション &gt; 住まい、インテリア &gt; ハンドメイド作品 &gt; インテリア、雑貨</t>
  </si>
  <si>
    <t>水切りかご、ディッシュスタンド</t>
  </si>
  <si>
    <t>オークション &gt; 住まい、インテリア &gt; キッチン、食器 &gt; アクセサリー &gt; 水切りかご、ディッシュスタンド</t>
  </si>
  <si>
    <t>0,24198,42168,2084015574,2084015571</t>
  </si>
  <si>
    <t>オークション &gt; 自動車、オートバイ &gt; カタログ、パーツリスト、整備書 &gt; 三菱 &gt; ランサー</t>
  </si>
  <si>
    <t>ペット用品</t>
  </si>
  <si>
    <t>オークション &gt; 住まい、インテリア &gt; ハンドメイド作品 &gt; ペット用品</t>
  </si>
  <si>
    <t>栓抜き、缶切り</t>
  </si>
  <si>
    <t>オークション &gt; 自動車、オートバイ &gt; カタログ、パーツリスト、整備書 &gt; 三菱 &gt; リベロ</t>
  </si>
  <si>
    <t>オークション &gt; 住まい、インテリア &gt; キッチン、食器 &gt; アクセサリー &gt; 栓抜き、缶切り</t>
  </si>
  <si>
    <t>0,24198,42168,2084015574,2084005999</t>
  </si>
  <si>
    <t>年中行事用品</t>
  </si>
  <si>
    <t>オークション &gt; 住まい、インテリア &gt; ハンドメイド作品 &gt; 年中行事用品</t>
  </si>
  <si>
    <t>オークション &gt; 自動車、オートバイ &gt; カタログ、パーツリスト、整備書 &gt; 三菱 &gt; レグナム</t>
  </si>
  <si>
    <t>ウエディング用品</t>
  </si>
  <si>
    <t>調味料ラック</t>
  </si>
  <si>
    <t>オークション &gt; 住まい、インテリア &gt; ハンドメイド作品 &gt; ウエディング用品</t>
  </si>
  <si>
    <t>オークション &gt; 住まい、インテリア &gt; キッチン、食器 &gt; アクセサリー &gt; 調味料ラック</t>
  </si>
  <si>
    <t>オークション &gt; 自動車、オートバイ &gt; カタログ、パーツリスト、整備書 &gt; 三菱 &gt; その他</t>
  </si>
  <si>
    <t>0,24198,42168,2084015574,2084015570</t>
  </si>
  <si>
    <t>オークション &gt; 住まい、インテリア &gt; ハンドメイド作品 &gt; ハンドメイド材料</t>
  </si>
  <si>
    <t>180sx</t>
  </si>
  <si>
    <t>オークション &gt; 自動車、オートバイ &gt; カタログ、パーツリスト、整備書 &gt; 日産 &gt; 180sx</t>
  </si>
  <si>
    <t>鍋つかみ、ミトン</t>
  </si>
  <si>
    <t>オークション &gt; 住まい、インテリア &gt; ハンドメイド作品 &gt; その他</t>
  </si>
  <si>
    <t>オークション &gt; 住まい、インテリア &gt; キッチン、食器 &gt; アクセサリー &gt; 鍋つかみ、ミトン</t>
  </si>
  <si>
    <t>0,24198,42168,2084015574,2084015576</t>
  </si>
  <si>
    <t>240sx</t>
  </si>
  <si>
    <t>オークション &gt; 自動車、オートバイ &gt; カタログ、パーツリスト、整備書 &gt; 日産 &gt; 240sx</t>
  </si>
  <si>
    <t>オークション &gt; ホビー、カルチャー &gt; ハンドクラフト、手工芸 &gt; 裁縫、刺繍</t>
  </si>
  <si>
    <t>野菜ストッカー</t>
  </si>
  <si>
    <t>オークション &gt; 住まい、インテリア &gt; キッチン、食器 &gt; アクセサリー &gt; 野菜ストッカー</t>
  </si>
  <si>
    <t>0,24198,42168,2084015574,2084288031</t>
  </si>
  <si>
    <t>オークション &gt; 自動車、オートバイ &gt; カタログ、パーツリスト、整備書 &gt; 日産 &gt; Be-1</t>
  </si>
  <si>
    <t>オークション &gt; ホビー、カルチャー &gt; ハンドクラフト、手工芸 &gt; ミシン</t>
  </si>
  <si>
    <t>EXA</t>
  </si>
  <si>
    <t>オークション &gt; 自動車、オートバイ &gt; カタログ、パーツリスト、整備書 &gt; 日産 &gt; EXA</t>
  </si>
  <si>
    <t>オークション &gt; ホビー、カルチャー &gt; ハンドクラフト、手工芸 &gt; ビーズ細工</t>
  </si>
  <si>
    <t>オークション &gt; 自動車、オートバイ &gt; カタログ、パーツリスト、整備書 &gt; 日産 &gt; NXクーペ</t>
  </si>
  <si>
    <t>オークション &gt; ホビー、カルチャー &gt; ハンドクラフト、手工芸 &gt; 編物</t>
  </si>
  <si>
    <t>オークション &gt; 住まい、インテリア &gt; キッチン、食器 &gt; アクセサリー &gt; その他</t>
  </si>
  <si>
    <t>0,24198,42168,2084015574,2084018482</t>
  </si>
  <si>
    <t>粘土工芸</t>
  </si>
  <si>
    <t>オークション &gt; 自動車、オートバイ &gt; カタログ、パーツリスト、整備書 &gt; 日産 &gt; アベニール</t>
  </si>
  <si>
    <t>オークション &gt; ホビー、カルチャー &gt; ハンドクラフト、手工芸 &gt; 粘土工芸</t>
  </si>
  <si>
    <t>オークション &gt; ホビー、カルチャー &gt; ハンドクラフト、手工芸 &gt; レザークラフト</t>
  </si>
  <si>
    <t>ウィングロード</t>
  </si>
  <si>
    <t>ペーパークラフト</t>
  </si>
  <si>
    <t>オークション &gt; 自動車、オートバイ &gt; カタログ、パーツリスト、整備書 &gt; 日産 &gt; ウィングロード</t>
  </si>
  <si>
    <t>オークション &gt; ホビー、カルチャー &gt; ハンドクラフト、手工芸 &gt; ペーパークラフト</t>
  </si>
  <si>
    <t>アートフラワー、押し花</t>
  </si>
  <si>
    <t>オークション &gt; ホビー、カルチャー &gt; ハンドクラフト、手工芸 &gt; アートフラワー、押し花</t>
  </si>
  <si>
    <t>オークション &gt; 自動車、オートバイ &gt; カタログ、パーツリスト、整備書 &gt; 日産 &gt; エクストレイル</t>
  </si>
  <si>
    <t>木工、ペイント</t>
  </si>
  <si>
    <t>オークション &gt; ホビー、カルチャー &gt; ハンドクラフト、手工芸 &gt; 木工、ペイント</t>
  </si>
  <si>
    <t>オークション &gt; 自動車、オートバイ &gt; カタログ、パーツリスト、整備書 &gt; 日産 &gt; エスカルゴ</t>
  </si>
  <si>
    <t>オークション &gt; 自動車、オートバイ &gt; カタログ、パーツリスト、整備書 &gt; 日産 &gt; エルグランド</t>
  </si>
  <si>
    <t>ガラス工芸</t>
  </si>
  <si>
    <t>オークション &gt; ホビー、カルチャー &gt; ハンドクラフト、手工芸 &gt; ガラス工芸</t>
  </si>
  <si>
    <t>酒器</t>
  </si>
  <si>
    <t>オークション &gt; 住まい、インテリア &gt; キッチン、食器 &gt; アルコールグッズ &gt; 酒器</t>
  </si>
  <si>
    <t>0,24198,42168,2084044991,2084005673</t>
  </si>
  <si>
    <t>ガゼール</t>
  </si>
  <si>
    <t>オークション &gt; 自動車、オートバイ &gt; カタログ、パーツリスト、整備書 &gt; 日産 &gt; ガゼール</t>
  </si>
  <si>
    <t>シルバークレイ</t>
  </si>
  <si>
    <t>オークション &gt; ホビー、カルチャー &gt; ハンドクラフト、手工芸 &gt; シルバークレイ</t>
  </si>
  <si>
    <t>アイスペール</t>
  </si>
  <si>
    <t>キャラバン</t>
  </si>
  <si>
    <t>オークション &gt; 住まい、インテリア &gt; キッチン、食器 &gt; アルコールグッズ &gt; アイスペール</t>
  </si>
  <si>
    <t>オークション &gt; 自動車、オートバイ &gt; カタログ、パーツリスト、整備書 &gt; 日産 &gt; キャラバン</t>
  </si>
  <si>
    <t>0,24198,42168,2084044991,2084044992</t>
  </si>
  <si>
    <t>金属加工、彫金</t>
  </si>
  <si>
    <t>オークション &gt; ホビー、カルチャー &gt; ハンドクラフト、手工芸 &gt; 金属加工、彫金</t>
  </si>
  <si>
    <t>オークション &gt; 自動車、オートバイ &gt; カタログ、パーツリスト、整備書 &gt; 日産 &gt; キューブ</t>
  </si>
  <si>
    <t>カクテルシェーカー</t>
  </si>
  <si>
    <t>キャンドル</t>
  </si>
  <si>
    <t>オークション &gt; ホビー、カルチャー &gt; ハンドクラフト、手工芸 &gt; キャンドル</t>
  </si>
  <si>
    <t>オークション &gt; 住まい、インテリア &gt; キッチン、食器 &gt; アルコールグッズ &gt; カクテルシェーカー</t>
  </si>
  <si>
    <t>0,24198,42168,2084044991,2084044993</t>
  </si>
  <si>
    <t>デコパーツ</t>
  </si>
  <si>
    <t>オークション &gt; ホビー、カルチャー &gt; ハンドクラフト、手工芸 &gt; デコパーツ</t>
  </si>
  <si>
    <t>オークション &gt; 自動車、オートバイ &gt; カタログ、パーツリスト、整備書 &gt; 日産 &gt; クルー</t>
  </si>
  <si>
    <t>オークション &gt; 住まい、インテリア &gt; キッチン、食器 &gt; アルコールグッズ &gt; グラス、デカンタ</t>
  </si>
  <si>
    <t>0,24198,42168,2084044991,2084005667</t>
  </si>
  <si>
    <t>オークション &gt; ホビー、カルチャー &gt; ハンドクラフト、手工芸 &gt; カスタムドール</t>
  </si>
  <si>
    <t>オークション &gt; 自動車、オートバイ &gt; カタログ、パーツリスト、整備書 &gt; 日産 &gt; グロリア</t>
  </si>
  <si>
    <t>ソムリエナイフ</t>
  </si>
  <si>
    <t>オークション &gt; 住まい、インテリア &gt; キッチン、食器 &gt; アルコールグッズ &gt; ソムリエナイフ</t>
  </si>
  <si>
    <t>手芸本</t>
  </si>
  <si>
    <t>0,24198,42168,2084044991,2084063492</t>
  </si>
  <si>
    <t>オークション &gt; ホビー、カルチャー &gt; ハンドクラフト、手工芸 &gt; 手芸本</t>
  </si>
  <si>
    <t>オークション &gt; 自動車、オートバイ &gt; カタログ、パーツリスト、整備書 &gt; 日産 &gt; サニー</t>
  </si>
  <si>
    <t>ビアサーバー</t>
  </si>
  <si>
    <t>アート用品</t>
  </si>
  <si>
    <t>オークション &gt; 自動車、オートバイ &gt; カタログ、パーツリスト、整備書 &gt; 日産 &gt; サファリ</t>
  </si>
  <si>
    <t>オークション &gt; 住まい、インテリア &gt; キッチン、食器 &gt; アルコールグッズ &gt; ビアサーバー</t>
  </si>
  <si>
    <t>0,24198,42168,2084044991,2084044996</t>
  </si>
  <si>
    <t>オークション &gt; ホビー、カルチャー &gt; ハンドクラフト、手工芸 &gt; アート用品</t>
  </si>
  <si>
    <t>オークション &gt; 自動車、オートバイ &gt; カタログ、パーツリスト、整備書 &gt; 日産 &gt; シーマ</t>
  </si>
  <si>
    <t>ワインオープナー</t>
  </si>
  <si>
    <t>オークション &gt; 住まい、インテリア &gt; キッチン、食器 &gt; アルコールグッズ &gt; ワインオープナー</t>
  </si>
  <si>
    <t>オークション &gt; ホビー、カルチャー &gt; ハンドクラフト、手工芸 &gt; マネキン</t>
  </si>
  <si>
    <t>0,24198,42168,2084044991,2084044994</t>
  </si>
  <si>
    <t>オークション &gt; 自動車、オートバイ &gt; カタログ、パーツリスト、整備書 &gt; 日産 &gt; シビリアン</t>
  </si>
  <si>
    <t>ワインクーラー</t>
  </si>
  <si>
    <t>オークション &gt; 自動車、オートバイ &gt; カタログ、パーツリスト、整備書 &gt; 日産 &gt; シルビア</t>
  </si>
  <si>
    <t>オークション &gt; ホビー、カルチャー &gt; ハンドクラフト、手工芸 &gt; 完成品</t>
  </si>
  <si>
    <t>オークション &gt; 住まい、インテリア &gt; キッチン、食器 &gt; アルコールグッズ &gt; ワインクーラー</t>
  </si>
  <si>
    <t>0,24198,42168,2084044991,2084044995</t>
  </si>
  <si>
    <t>オークション &gt; 自動車、オートバイ &gt; カタログ、パーツリスト、整備書 &gt; 日産 &gt; スカイライン</t>
  </si>
  <si>
    <t>オークション &gt; ホビー、カルチャー &gt; ハンドクラフト、手工芸 &gt; その他</t>
  </si>
  <si>
    <t>オークション &gt; 自動車、オートバイ &gt; カタログ、パーツリスト、整備書 &gt; 日産 &gt; ステージア</t>
  </si>
  <si>
    <t>ワインセーバー</t>
  </si>
  <si>
    <t>オークション &gt; 住まい、インテリア &gt; キッチン、食器 &gt; アルコールグッズ &gt; ワインセーバー</t>
  </si>
  <si>
    <t>オークション &gt; 自動車、オートバイ &gt; カタログ、パーツリスト、整備書 &gt; 日産 &gt; セドリック</t>
  </si>
  <si>
    <t>オークション &gt; アクセサリー、時計 &gt; ブランドアクセサリー &gt; A＆G</t>
  </si>
  <si>
    <t>0,24198,42168,2084044991,2084050525</t>
  </si>
  <si>
    <t>オークション &gt; 自動車、オートバイ &gt; カタログ、パーツリスト、整備書 &gt; 日産 &gt; セフィーロ</t>
  </si>
  <si>
    <t>アーカー</t>
  </si>
  <si>
    <t>オークション &gt; アクセサリー、時計 &gt; ブランドアクセサリー &gt; アーカー</t>
  </si>
  <si>
    <t>オークション &gt; 自動車、オートバイ &gt; カタログ、パーツリスト、整備書 &gt; 日産 &gt; セレナ</t>
  </si>
  <si>
    <t>オークション &gt; 住まい、インテリア &gt; キッチン、食器 &gt; アルコールグッズ &gt; ワインセラー</t>
  </si>
  <si>
    <t>アガタ</t>
  </si>
  <si>
    <t>0,24198,42168,2084044991,2084044997</t>
  </si>
  <si>
    <t>オークション &gt; 自動車、オートバイ &gt; カタログ、パーツリスト、整備書 &gt; 日産 &gt; ダットサン</t>
  </si>
  <si>
    <t>オークション &gt; アクセサリー、時計 &gt; ブランドアクセサリー &gt; アガタ</t>
  </si>
  <si>
    <t>オークション &gt; 自動車、オートバイ &gt; カタログ、パーツリスト、整備書 &gt; 日産 &gt; ティーノ</t>
  </si>
  <si>
    <t>アガット</t>
  </si>
  <si>
    <t>ワインラック</t>
  </si>
  <si>
    <t>オークション &gt; アクセサリー、時計 &gt; ブランドアクセサリー &gt; アガット</t>
  </si>
  <si>
    <t>オークション &gt; 住まい、インテリア &gt; キッチン、食器 &gt; アルコールグッズ &gt; ワインラック</t>
  </si>
  <si>
    <t>0,24198,42168,2084044991,2084015569</t>
  </si>
  <si>
    <t>オークション &gt; 自動車、オートバイ &gt; カタログ、パーツリスト、整備書 &gt; 日産 &gt; テラノ</t>
  </si>
  <si>
    <t>オークション &gt; アクセサリー、時計 &gt; ブランドアクセサリー &gt; アバクロンビー＆フィッチ</t>
  </si>
  <si>
    <t>焼酎サーバー</t>
  </si>
  <si>
    <t>オークション &gt; 住まい、インテリア &gt; キッチン、食器 &gt; アルコールグッズ &gt; 焼酎サーバー</t>
  </si>
  <si>
    <t>0,24198,42168,2084044991,2084211470</t>
  </si>
  <si>
    <t>オークション &gt; 自動車、オートバイ &gt; カタログ、パーツリスト、整備書 &gt; 日産 &gt; バサラ</t>
  </si>
  <si>
    <t>オークション &gt; アクセサリー、時計 &gt; ブランドアクセサリー &gt; エルメス</t>
  </si>
  <si>
    <t>オークション &gt; 自動車、オートバイ &gt; カタログ、パーツリスト、整備書 &gt; 日産 &gt; バネットバン</t>
  </si>
  <si>
    <t>Q-pot</t>
  </si>
  <si>
    <t>オークション &gt; アクセサリー、時計 &gt; ブランドアクセサリー &gt; Q-pot</t>
  </si>
  <si>
    <t>オークション &gt; 自動車、オートバイ &gt; カタログ、パーツリスト、整備書 &gt; 日産 &gt; パオ</t>
  </si>
  <si>
    <t>0,24698,24702,2084044977,2084046736</t>
  </si>
  <si>
    <t>オークション &gt; アクセサリー、時計 &gt; ブランドアクセサリー &gt; カルティエ</t>
  </si>
  <si>
    <t>パトロール</t>
  </si>
  <si>
    <t>オークション &gt; 自動車、オートバイ &gt; カタログ、パーツリスト、整備書 &gt; 日産 &gt; パトロール</t>
  </si>
  <si>
    <t>カレラ イ カレラ</t>
  </si>
  <si>
    <t>オークション &gt; アクセサリー、時計 &gt; ブランドアクセサリー &gt; カレラ イ カレラ</t>
  </si>
  <si>
    <t>オークション &gt; 自動車、オートバイ &gt; カタログ、パーツリスト、整備書 &gt; 日産 &gt; パルサー</t>
  </si>
  <si>
    <t>0,24698,24702,2084044977,2084046737</t>
  </si>
  <si>
    <t>ガボール</t>
  </si>
  <si>
    <t>オークション &gt; アクセサリー、時計 &gt; ブランドアクセサリー &gt; ガボール</t>
  </si>
  <si>
    <t>フェアレディ</t>
  </si>
  <si>
    <t>オークション &gt; 自動車、オートバイ &gt; カタログ、パーツリスト、整備書 &gt; 日産 &gt; フェアレディ</t>
  </si>
  <si>
    <t>0,24698,24702,2084044977,2084046741</t>
  </si>
  <si>
    <t>オークション &gt; 自動車、オートバイ &gt; カタログ、パーツリスト、整備書 &gt; 日産 &gt; ブルーバード</t>
  </si>
  <si>
    <t>オークション &gt; アクセサリー、時計 &gt; ブランドアクセサリー &gt; クリスチャン・ディオール</t>
  </si>
  <si>
    <t>0,24698,24702,2084044977,2084046738</t>
  </si>
  <si>
    <t>オークション &gt; 自動車、オートバイ &gt; カタログ、パーツリスト、整備書 &gt; 日産 &gt; プリメーラ</t>
  </si>
  <si>
    <t>オークション &gt; アクセサリー、時計 &gt; ブランドアクセサリー &gt; クレージュ</t>
  </si>
  <si>
    <t>クレイジーピッグ</t>
  </si>
  <si>
    <t>オークション &gt; 自動車、オートバイ &gt; カタログ、パーツリスト、整備書 &gt; 日産 &gt; プレーリー</t>
  </si>
  <si>
    <t>オークション &gt; アクセサリー、時計 &gt; ブランドアクセサリー &gt; クレイジーピッグ</t>
  </si>
  <si>
    <t>0,24698,24702,2084044977,2084046739</t>
  </si>
  <si>
    <t>オークション &gt; 自動車、オートバイ &gt; カタログ、パーツリスト、整備書 &gt; 日産 &gt; プレサージュ</t>
  </si>
  <si>
    <t>オークション &gt; アクセサリー、時計 &gt; ブランドアクセサリー &gt; クロムハーツ</t>
  </si>
  <si>
    <t>オークション &gt; 自動車、オートバイ &gt; カタログ、パーツリスト、整備書 &gt; 日産 &gt; プレジデント</t>
  </si>
  <si>
    <t>手動式</t>
  </si>
  <si>
    <t>オークション &gt; アクセサリー、時計 &gt; ブランドアクセサリー &gt; グッチ</t>
  </si>
  <si>
    <t>オークション &gt; 住まい、インテリア &gt; キッチン、食器 &gt; コーヒーミル &gt; 手動式</t>
  </si>
  <si>
    <t>0,24198,42168,2084054097,2084054098</t>
  </si>
  <si>
    <t>オークション &gt; 自動車、オートバイ &gt; カタログ、パーツリスト、整備書 &gt; 日産 &gt; プレセア</t>
  </si>
  <si>
    <t>電動式</t>
  </si>
  <si>
    <t>オークション &gt; アクセサリー、時計 &gt; ブランドアクセサリー &gt; コーチ</t>
  </si>
  <si>
    <t>オークション &gt; 住まい、インテリア &gt; キッチン、食器 &gt; コーヒーミル &gt; 電動式</t>
  </si>
  <si>
    <t>0,24198,42168,2084054097,2084054096</t>
  </si>
  <si>
    <t>オークション &gt; アクセサリー、時計 &gt; ブランドアクセサリー &gt; コム サ デ モード</t>
  </si>
  <si>
    <t>オークション &gt; 自動車、オートバイ &gt; カタログ、パーツリスト、整備書 &gt; 日産 &gt; マーチ</t>
  </si>
  <si>
    <t>オークション &gt; アクセサリー、時計 &gt; ブランドアクセサリー &gt; ゴローズ</t>
  </si>
  <si>
    <t>マキシマ</t>
  </si>
  <si>
    <t>オークション &gt; 自動車、オートバイ &gt; カタログ、パーツリスト、整備書 &gt; 日産 &gt; マキシマ</t>
  </si>
  <si>
    <t>オークション &gt; 住まい、インテリア &gt; キッチン、食器 &gt; 収納、キッチン雑貨 &gt; カップホルダー</t>
  </si>
  <si>
    <t>0,24198,42168,2084015566,2084015572</t>
  </si>
  <si>
    <t>オークション &gt; アクセサリー、時計 &gt; ブランドアクセサリー &gt; シャネル</t>
  </si>
  <si>
    <t>オークション &gt; 自動車、オートバイ &gt; カタログ、パーツリスト、整備書 &gt; 日産 &gt; ミストラル</t>
  </si>
  <si>
    <t>オークション &gt; 住まい、インテリア &gt; キッチン、食器 &gt; 収納、キッチン雑貨 &gt; キッチンカウンター</t>
  </si>
  <si>
    <t>ショーメ</t>
  </si>
  <si>
    <t>0,24198,42168,2084015566,2084288030</t>
  </si>
  <si>
    <t>オークション &gt; アクセサリー、時計 &gt; ブランドアクセサリー &gt; ショーメ</t>
  </si>
  <si>
    <t>ショパール</t>
  </si>
  <si>
    <t>オークション &gt; 自動車、オートバイ &gt; カタログ、パーツリスト、整備書 &gt; 日産 &gt; ラシーン</t>
  </si>
  <si>
    <t>オークション &gt; アクセサリー、時計 &gt; ブランドアクセサリー &gt; ショパール</t>
  </si>
  <si>
    <t>オークション &gt; 住まい、インテリア &gt; キッチン、食器 &gt; 収納、キッチン雑貨 &gt; キッチン用ごみ箱</t>
  </si>
  <si>
    <t>0,24198,42168,2084015566,2084288032</t>
  </si>
  <si>
    <t>オークション &gt; 自動車、オートバイ &gt; カタログ、パーツリスト、整備書 &gt; 日産 &gt; ラルゴ</t>
  </si>
  <si>
    <t>オークション &gt; アクセサリー、時計 &gt; ブランドアクセサリー &gt; ジバンシイ</t>
  </si>
  <si>
    <t>レンジ台</t>
  </si>
  <si>
    <t>オークション &gt; 住まい、インテリア &gt; キッチン、食器 &gt; 収納、キッチン雑貨 &gt; レンジ台</t>
  </si>
  <si>
    <t>0,24198,42168,2084015566,2084015552</t>
  </si>
  <si>
    <t>オークション &gt; 自動車、オートバイ &gt; カタログ、パーツリスト、整備書 &gt; 日産 &gt; ルネッサ</t>
  </si>
  <si>
    <t>レグラス</t>
  </si>
  <si>
    <t>ジャスティンデイビス</t>
  </si>
  <si>
    <t>オークション &gt; アクセサリー、時計 &gt; ブランドアクセサリー &gt; ジャスティンデイビス</t>
  </si>
  <si>
    <t>オークション &gt; 自動車、オートバイ &gt; カタログ、パーツリスト、整備書 &gt; 日産 &gt; レグラス</t>
  </si>
  <si>
    <t>オークション &gt; 住まい、インテリア &gt; キッチン、食器 &gt; 収納、キッチン雑貨 &gt; ワインラック</t>
  </si>
  <si>
    <t>0,24198,42168,2084015566,2084015569</t>
  </si>
  <si>
    <t>ジャムホームメイド</t>
  </si>
  <si>
    <t>オークション &gt; アクセサリー、時計 &gt; ブランドアクセサリー &gt; ジャムホームメイド</t>
  </si>
  <si>
    <t>オークション &gt; 自動車、オートバイ &gt; カタログ、パーツリスト、整備書 &gt; 日産 &gt; レパード</t>
  </si>
  <si>
    <t>オークション &gt; 住まい、インテリア &gt; キッチン、食器 &gt; 収納、キッチン雑貨 &gt; ワゴン</t>
  </si>
  <si>
    <t>0,24198,42168,2084015566,2084015573</t>
  </si>
  <si>
    <t>ジョージ・ジェンセン</t>
  </si>
  <si>
    <t>オークション &gt; アクセサリー、時計 &gt; ブランドアクセサリー &gt; ジョージ・ジェンセン</t>
  </si>
  <si>
    <t>オークション &gt; 自動車、オートバイ &gt; カタログ、パーツリスト、整備書 &gt; 日産 &gt; ローレル</t>
  </si>
  <si>
    <t>缶</t>
  </si>
  <si>
    <t>オークション &gt; 住まい、インテリア &gt; キッチン、食器 &gt; 収納、キッチン雑貨 &gt; 缶</t>
  </si>
  <si>
    <t>0,24198,42168,2084015566,20336</t>
  </si>
  <si>
    <t>スタージュエリー</t>
  </si>
  <si>
    <t>オークション &gt; アクセサリー、時計 &gt; ブランドアクセサリー &gt; スタージュエリー</t>
  </si>
  <si>
    <t>オークション &gt; 自動車、オートバイ &gt; カタログ、パーツリスト、整備書 &gt; 日産 &gt; その他</t>
  </si>
  <si>
    <t>食器棚</t>
  </si>
  <si>
    <t>オークション &gt; 住まい、インテリア &gt; キッチン、食器 &gt; 収納、キッチン雑貨 &gt; 食器棚</t>
  </si>
  <si>
    <t>スワロフスキー</t>
  </si>
  <si>
    <t>0,24198,42168,2084015566,2084015553</t>
  </si>
  <si>
    <t>オークション &gt; アクセサリー、時計 &gt; ブランドアクセサリー &gt; スワロフスキー</t>
  </si>
  <si>
    <t>レーシングスーツ</t>
  </si>
  <si>
    <t>オークション &gt; 自動車、オートバイ &gt; 自動車関連グッズ &gt; アパレル &gt; レーシングスーツ</t>
  </si>
  <si>
    <t>タテオシアン</t>
  </si>
  <si>
    <t>オークション &gt; 住まい、インテリア &gt; キッチン、食器 &gt; 収納、キッチン雑貨 &gt; 水切りかご、ディッシュスタンド</t>
  </si>
  <si>
    <t>オークション &gt; アクセサリー、時計 &gt; ブランドアクセサリー &gt; タテオシアン</t>
  </si>
  <si>
    <t>ドライビンググローブ</t>
  </si>
  <si>
    <t>0,24198,42168,2084015566,2084015571</t>
  </si>
  <si>
    <t>オークション &gt; 自動車、オートバイ &gt; 自動車関連グッズ &gt; アパレル &gt; ドライビンググローブ</t>
  </si>
  <si>
    <t>ドライビングシューズ</t>
  </si>
  <si>
    <t>ダミアーニ</t>
  </si>
  <si>
    <t>オークション &gt; 自動車、オートバイ &gt; 自動車関連グッズ &gt; アパレル &gt; ドライビングシューズ</t>
  </si>
  <si>
    <t>オークション &gt; 住まい、インテリア &gt; キッチン、食器 &gt; 収納、キッチン雑貨 &gt; 調味料ラック</t>
  </si>
  <si>
    <t>オークション &gt; アクセサリー、時計 &gt; ブランドアクセサリー &gt; ダミアーニ</t>
  </si>
  <si>
    <t>0,24198,42168,2084015566,2084015570</t>
  </si>
  <si>
    <t>オークション &gt; 自動車、オートバイ &gt; 自動車関連グッズ &gt; アパレル &gt; ヘルメット</t>
  </si>
  <si>
    <t>オークション &gt; アクセサリー、時計 &gt; ブランドアクセサリー &gt; ダンヒル</t>
  </si>
  <si>
    <t>オークション &gt; 住まい、インテリア &gt; キッチン、食器 &gt; 収納、キッチン雑貨 &gt; 野菜ストッカー</t>
  </si>
  <si>
    <t>0,24198,42168,2084015566,2084288031</t>
  </si>
  <si>
    <t>オークション &gt; アクセサリー、時計 &gt; ブランドアクセサリー &gt; ティファニー</t>
  </si>
  <si>
    <t>アンティーク家具</t>
  </si>
  <si>
    <t>オークション &gt; 住まい、インテリア &gt; キッチン、食器 &gt; 収納、キッチン雑貨 &gt; アンティーク家具</t>
  </si>
  <si>
    <t>オークション &gt; 自動車、オートバイ &gt; 自動車関連グッズ &gt; アパレル &gt; つなぎ</t>
  </si>
  <si>
    <t>0,24198,42168,2084015566,2084236067</t>
  </si>
  <si>
    <t>デビアス</t>
  </si>
  <si>
    <t>オークション &gt; アクセサリー、時計 &gt; ブランドアクセサリー &gt; デビアス</t>
  </si>
  <si>
    <t>オークション &gt; 自動車、オートバイ &gt; 自動車関連グッズ &gt; アパレル &gt; Tシャツ</t>
  </si>
  <si>
    <t>トラヴィスワーカー</t>
  </si>
  <si>
    <t>オークション &gt; アクセサリー、時計 &gt; ブランドアクセサリー &gt; トラヴィスワーカー</t>
  </si>
  <si>
    <t>オークション &gt; 住まい、インテリア &gt; キッチン、食器 &gt; 収納、キッチン雑貨 &gt; その他</t>
  </si>
  <si>
    <t>0,24198,42168,2084015566,2084018482</t>
  </si>
  <si>
    <t>オークション &gt; 自動車、オートバイ &gt; 自動車関連グッズ &gt; アパレル &gt; シャツ</t>
  </si>
  <si>
    <t>オークション &gt; アクセサリー、時計 &gt; ブランドアクセサリー &gt; ドルチェ＆ガッバーナ</t>
  </si>
  <si>
    <t>ジャンパー、ジャケット</t>
  </si>
  <si>
    <t>オークション &gt; 自動車、オートバイ &gt; 自動車関連グッズ &gt; アパレル &gt; ジャンパー、ジャケット</t>
  </si>
  <si>
    <t>田崎真珠</t>
  </si>
  <si>
    <t>オークション &gt; 住まい、インテリア &gt; キッチン、食器 &gt; 浄水機 &gt; アルカリイオン整水器</t>
  </si>
  <si>
    <t>0,24198,42168,2084006902,2084063525</t>
  </si>
  <si>
    <t>オークション &gt; アクセサリー、時計 &gt; ブランドアクセサリー &gt; 田崎真珠</t>
  </si>
  <si>
    <t>ポロシャツ</t>
  </si>
  <si>
    <t>オークション &gt; 自動車、オートバイ &gt; 自動車関連グッズ &gt; アパレル &gt; ポロシャツ</t>
  </si>
  <si>
    <t>オークション &gt; アクセサリー、時計 &gt; ブランドアクセサリー &gt; ナンバーナイン</t>
  </si>
  <si>
    <t>ビルトイン、アンダーシンク型</t>
  </si>
  <si>
    <t>オークション &gt; 住まい、インテリア &gt; キッチン、食器 &gt; 浄水機 &gt; ビルトイン、アンダーシンク型</t>
  </si>
  <si>
    <t>0,24198,42168,2084006902,2084063530</t>
  </si>
  <si>
    <t>オークション &gt; 自動車、オートバイ &gt; 自動車関連グッズ &gt; アパレル &gt; その他</t>
  </si>
  <si>
    <t>オークション &gt; アクセサリー、時計 &gt; ブランドアクセサリー &gt; ニナリッチ</t>
  </si>
  <si>
    <t>活水器</t>
  </si>
  <si>
    <t>ノジェス</t>
  </si>
  <si>
    <t>オークション &gt; 住まい、インテリア &gt; キッチン、食器 &gt; 浄水機 &gt; 活水器</t>
  </si>
  <si>
    <t>オークション &gt; アクセサリー、時計 &gt; ブランドアクセサリー &gt; ノジェス</t>
  </si>
  <si>
    <t>0,24198,42168,2084006902,2084063531</t>
  </si>
  <si>
    <t>ハリー・ウィンストン</t>
  </si>
  <si>
    <t>オークション &gt; アクセサリー、時計 &gt; ブランドアクセサリー &gt; ハリー・ウィンストン</t>
  </si>
  <si>
    <t>蛇口型</t>
  </si>
  <si>
    <t>オークション &gt; 住まい、インテリア &gt; キッチン、食器 &gt; 浄水機 &gt; 蛇口型</t>
  </si>
  <si>
    <t>0,24198,42168,2084006902,2084063527</t>
  </si>
  <si>
    <t>バカラ</t>
  </si>
  <si>
    <t>オークション &gt; アクセサリー、時計 &gt; ブランドアクセサリー &gt; バカラ</t>
  </si>
  <si>
    <t>水栓一体型</t>
  </si>
  <si>
    <t>オークション &gt; 住まい、インテリア &gt; キッチン、食器 &gt; 浄水機 &gt; 水栓一体型</t>
  </si>
  <si>
    <t>ビルウォールレザー</t>
  </si>
  <si>
    <t>0,24198,42168,2084006902,2084063528</t>
  </si>
  <si>
    <t>オークション &gt; アクセサリー、時計 &gt; ブランドアクセサリー &gt; ビルウォールレザー</t>
  </si>
  <si>
    <t>ピアジェ</t>
  </si>
  <si>
    <t>オークション &gt; アクセサリー、時計 &gt; ブランドアクセサリー &gt; ピアジェ</t>
  </si>
  <si>
    <t>卓上型</t>
  </si>
  <si>
    <t>オークション &gt; 住まい、インテリア &gt; キッチン、食器 &gt; 浄水機 &gt; 卓上型</t>
  </si>
  <si>
    <t>0,24198,42168,2084006902,2084063529</t>
  </si>
  <si>
    <t>フォリフォリ</t>
  </si>
  <si>
    <t>オークション &gt; アクセサリー、時計 &gt; ブランドアクセサリー &gt; フォリフォリ</t>
  </si>
  <si>
    <t>シャワー用</t>
  </si>
  <si>
    <t>オークション &gt; 住まい、インテリア &gt; キッチン、食器 &gt; 浄水機 &gt; シャワー用</t>
  </si>
  <si>
    <t>フリースタイル</t>
  </si>
  <si>
    <t>0,24198,42168,2084006902,2084063535</t>
  </si>
  <si>
    <t>オークション &gt; アクセサリー、時計 &gt; ブランドアクセサリー &gt; フリースタイル</t>
  </si>
  <si>
    <t>ブシュロン</t>
  </si>
  <si>
    <t>交換用カートリッジ</t>
  </si>
  <si>
    <t>オークション &gt; アクセサリー、時計 &gt; ブランドアクセサリー &gt; ブシュロン</t>
  </si>
  <si>
    <t>オークション &gt; 住まい、インテリア &gt; キッチン、食器 &gt; 浄水機 &gt; 交換用カートリッジ</t>
  </si>
  <si>
    <t>0,24198,42168,2084006902,2084063532</t>
  </si>
  <si>
    <t>ブラッディーマリー</t>
  </si>
  <si>
    <t>オークション &gt; アクセサリー、時計 &gt; ブランドアクセサリー &gt; ブラッディーマリー</t>
  </si>
  <si>
    <t>オークション &gt; 住まい、インテリア &gt; キッチン、食器 &gt; 浄水機 &gt; その他</t>
  </si>
  <si>
    <t>0,24198,42168,2084006902,2084063533</t>
  </si>
  <si>
    <t>ブルーム</t>
  </si>
  <si>
    <t>オークション &gt; アクセサリー、時計 &gt; ブランドアクセサリー &gt; ブルーム</t>
  </si>
  <si>
    <t>オークション &gt; アクセサリー、時計 &gt; ブランドアクセサリー &gt; ブルガリ</t>
  </si>
  <si>
    <t>0,23632,2084008364,2084061597</t>
  </si>
  <si>
    <t>オークション &gt; アクセサリー、時計 &gt; ブランドアクセサリー &gt; ポール･スミス</t>
  </si>
  <si>
    <t>0,23632,2084008364,2084063525</t>
  </si>
  <si>
    <t>ポメラート</t>
  </si>
  <si>
    <t>オークション &gt; アクセサリー、時計 &gt; ブランドアクセサリー &gt; ポメラート</t>
  </si>
  <si>
    <t>0,23632,2084008364,24486</t>
  </si>
  <si>
    <t>オークション &gt; 自動車、オートバイ &gt; 自動車関連グッズ &gt; 自動車メーカー別 &gt; BMW</t>
  </si>
  <si>
    <t>ポンテヴェキオ</t>
  </si>
  <si>
    <t>オークション &gt; アクセサリー、時計 &gt; ブランドアクセサリー &gt; ポンテヴェキオ</t>
  </si>
  <si>
    <t>いすゞ</t>
  </si>
  <si>
    <t>オークション &gt; 自動車、オートバイ &gt; 自動車関連グッズ &gt; 自動車メーカー別 &gt; いすゞ</t>
  </si>
  <si>
    <t>0,23632,2084008364,24482</t>
  </si>
  <si>
    <t>ヴァンクリーフ＆アーペル</t>
  </si>
  <si>
    <t>アウディ</t>
  </si>
  <si>
    <t>オークション &gt; アクセサリー、時計 &gt; ブランドアクセサリー &gt; ヴァンクリーフ＆アーペル</t>
  </si>
  <si>
    <t>オークション &gt; 自動車、オートバイ &gt; 自動車関連グッズ &gt; 自動車メーカー別 &gt; アウディ</t>
  </si>
  <si>
    <t>ヴァンドーム青山</t>
  </si>
  <si>
    <t>オークション &gt; アクセサリー、時計 &gt; ブランドアクセサリー &gt; ヴァンドーム青山</t>
  </si>
  <si>
    <t>0,23632,2084008364,24506</t>
  </si>
  <si>
    <t>アルファロメオ</t>
  </si>
  <si>
    <t>オークション &gt; 自動車、オートバイ &gt; 自動車関連グッズ &gt; 自動車メーカー別 &gt; アルファロメオ</t>
  </si>
  <si>
    <t>オペル</t>
  </si>
  <si>
    <t>オークション &gt; 自動車、オートバイ &gt; 自動車関連グッズ &gt; 自動車メーカー別 &gt; オペル</t>
  </si>
  <si>
    <t>0,23632,2084008364,24518</t>
  </si>
  <si>
    <t>オークション &gt; アクセサリー、時計 &gt; ブランドアクセサリー &gt; ヴィヴィアンウエストウッド</t>
  </si>
  <si>
    <t>シトロエン</t>
  </si>
  <si>
    <t>オークション &gt; 自動車、オートバイ &gt; 自動車関連グッズ &gt; 自動車メーカー別 &gt; シトロエン</t>
  </si>
  <si>
    <t>0,23632,2084008364,24470</t>
  </si>
  <si>
    <t>シボレー</t>
  </si>
  <si>
    <t>オークション &gt; 自動車、オートバイ &gt; 自動車関連グッズ &gt; 自動車メーカー別 &gt; シボレー</t>
  </si>
  <si>
    <t>ミキモト</t>
  </si>
  <si>
    <t>オークション &gt; アクセサリー、時計 &gt; ブランドアクセサリー &gt; ミキモト</t>
  </si>
  <si>
    <t>オークション &gt; 自動車、オートバイ &gt; 自動車関連グッズ &gt; 自動車メーカー別 &gt; スズキ</t>
  </si>
  <si>
    <t>ミハエル・ネグリン</t>
  </si>
  <si>
    <t>オークション &gt; アクセサリー、時計 &gt; ブランドアクセサリー &gt; ミハエル・ネグリン</t>
  </si>
  <si>
    <t>0,23632,2084008364,24474</t>
  </si>
  <si>
    <t>オークション &gt; 自動車、オートバイ &gt; 自動車関連グッズ &gt; 自動車メーカー別 &gt; スバル</t>
  </si>
  <si>
    <t>ミリアム・ハスケル</t>
  </si>
  <si>
    <t>オークション &gt; アクセサリー、時計 &gt; ブランドアクセサリー &gt; ミリアム・ハスケル</t>
  </si>
  <si>
    <t>0,23632,2084008364,2084008365</t>
  </si>
  <si>
    <t>オークション &gt; 自動車、オートバイ &gt; 自動車関連グッズ &gt; 自動車メーカー別 &gt; ダイハツ</t>
  </si>
  <si>
    <t>オークション &gt; アクセサリー、時計 &gt; ブランドアクセサリー &gt; 4℃</t>
  </si>
  <si>
    <t>オークション &gt; 自動車、オートバイ &gt; 自動車関連グッズ &gt; 自動車メーカー別 &gt; トヨタ</t>
  </si>
  <si>
    <t>オークション &gt; アクセサリー、時計 &gt; ブランドアクセサリー &gt; ルイ・ヴィトン</t>
  </si>
  <si>
    <t>0,23632,2084008364,24514</t>
  </si>
  <si>
    <t>フィアット</t>
  </si>
  <si>
    <t>オークション &gt; 自動車、オートバイ &gt; 自動車関連グッズ &gt; 自動車メーカー別 &gt; フィアット</t>
  </si>
  <si>
    <t>レナードカムホート、ロンワンズ</t>
  </si>
  <si>
    <t>オークション &gt; アクセサリー、時計 &gt; ブランドアクセサリー &gt; レナードカムホート、ロンワンズ</t>
  </si>
  <si>
    <t>フェラーリ</t>
  </si>
  <si>
    <t>0,23632,2084008364,2084044997</t>
  </si>
  <si>
    <t>オークション &gt; 自動車、オートバイ &gt; 自動車関連グッズ &gt; 自動車メーカー別 &gt; フェラーリ</t>
  </si>
  <si>
    <t>ロードキャメロット</t>
  </si>
  <si>
    <t>オークション &gt; アクセサリー、時計 &gt; ブランドアクセサリー &gt; ロードキャメロット</t>
  </si>
  <si>
    <t>フォード</t>
  </si>
  <si>
    <t>オークション &gt; 自動車、オートバイ &gt; 自動車関連グッズ &gt; 自動車メーカー別 &gt; フォード</t>
  </si>
  <si>
    <t>ローリーロドキン</t>
  </si>
  <si>
    <t>0,23632,2084008364,2084258414</t>
  </si>
  <si>
    <t>オークション &gt; アクセサリー、時計 &gt; ブランドアクセサリー &gt; ローリーロドキン</t>
  </si>
  <si>
    <t>フォルクスワーゲン</t>
  </si>
  <si>
    <t>ロイヤルオーダー</t>
  </si>
  <si>
    <t>オークション &gt; 自動車、オートバイ &gt; 自動車関連グッズ &gt; 自動車メーカー別 &gt; フォルクスワーゲン</t>
  </si>
  <si>
    <t>オークション &gt; アクセサリー、時計 &gt; ブランドアクセサリー &gt; ロイヤルオーダー</t>
  </si>
  <si>
    <t>0,23632,2084008364,24490</t>
  </si>
  <si>
    <t>オークション &gt; アクセサリー、時計 &gt; ブランドアクセサリー &gt; その他</t>
  </si>
  <si>
    <t>プジョー</t>
  </si>
  <si>
    <t>オークション &gt; 自動車、オートバイ &gt; 自動車関連グッズ &gt; 自動車メーカー別 &gt; プジョー</t>
  </si>
  <si>
    <t>0,23632,2084008364,2084008366</t>
  </si>
  <si>
    <t>ネックレス、ペンダント</t>
  </si>
  <si>
    <t>オークション &gt; アクセサリー、時計 &gt; レディースアクセサリー &gt; ネックレス、ペンダント</t>
  </si>
  <si>
    <t>オークション &gt; 自動車、オートバイ &gt; 自動車関連グッズ &gt; 自動車メーカー別 &gt; ホンダ</t>
  </si>
  <si>
    <t>0,23632,2084008364,24498</t>
  </si>
  <si>
    <t>ペンダントトップ、チャーム</t>
  </si>
  <si>
    <t>オークション &gt; アクセサリー、時計 &gt; レディースアクセサリー &gt; ペンダントトップ、チャーム</t>
  </si>
  <si>
    <t>ボルボ</t>
  </si>
  <si>
    <t>オークション &gt; 自動車、オートバイ &gt; 自動車関連グッズ &gt; 自動車メーカー別 &gt; ボルボ</t>
  </si>
  <si>
    <t>0,23632,2084008364,2084061798</t>
  </si>
  <si>
    <t>ネックレス（チェーンのみ）</t>
  </si>
  <si>
    <t>オークション &gt; アクセサリー、時計 &gt; レディースアクセサリー &gt; ネックレス（チェーンのみ）</t>
  </si>
  <si>
    <t>ポルシェ</t>
  </si>
  <si>
    <t>オークション &gt; 自動車、オートバイ &gt; 自動車関連グッズ &gt; 自動車メーカー別 &gt; ポルシェ</t>
  </si>
  <si>
    <t>0,23632,2084008364,2084244282</t>
  </si>
  <si>
    <t>チョーカー</t>
  </si>
  <si>
    <t>オークション &gt; アクセサリー、時計 &gt; レディースアクセサリー &gt; チョーカー</t>
  </si>
  <si>
    <t>指輪</t>
  </si>
  <si>
    <t>オークション &gt; 自動車、オートバイ &gt; 自動車関連グッズ &gt; 自動車メーカー別 &gt; マツダ</t>
  </si>
  <si>
    <t>オークション &gt; アクセサリー、時計 &gt; レディースアクセサリー &gt; 指輪</t>
  </si>
  <si>
    <t>0,23632,2084008364,2084048370</t>
  </si>
  <si>
    <t>ピアス</t>
  </si>
  <si>
    <t>オークション &gt; アクセサリー、時計 &gt; レディースアクセサリー &gt; ピアス</t>
  </si>
  <si>
    <t>0,23632,2084008364,24502</t>
  </si>
  <si>
    <t>オークション &gt; 自動車、オートバイ &gt; 自動車関連グッズ &gt; 自動車メーカー別 &gt; ミニ</t>
  </si>
  <si>
    <t>イヤリング</t>
  </si>
  <si>
    <t>オークション &gt; アクセサリー、時計 &gt; レディースアクセサリー &gt; イヤリング</t>
  </si>
  <si>
    <t>0,23632,2084008364,2084054096</t>
  </si>
  <si>
    <t>オークション &gt; 自動車、オートバイ &gt; 自動車関連グッズ &gt; 自動車メーカー別 &gt; メルセデス・ベンツ</t>
  </si>
  <si>
    <t>ブレスレット、バングル</t>
  </si>
  <si>
    <t>オークション &gt; アクセサリー、時計 &gt; レディースアクセサリー &gt; ブレスレット、バングル</t>
  </si>
  <si>
    <t>ルノー</t>
  </si>
  <si>
    <t>アンクレット</t>
  </si>
  <si>
    <t>0,23632,2084008364,24510</t>
  </si>
  <si>
    <t>オークション &gt; 自動車、オートバイ &gt; 自動車関連グッズ &gt; 自動車メーカー別 &gt; ルノー</t>
  </si>
  <si>
    <t>オークション &gt; アクセサリー、時計 &gt; レディースアクセサリー &gt; アンクレット</t>
  </si>
  <si>
    <t>オークション &gt; 自動車、オートバイ &gt; 自動車関連グッズ &gt; 自動車メーカー別 &gt; 三菱</t>
  </si>
  <si>
    <t>0,23632,2084008364,24494</t>
  </si>
  <si>
    <t>裸石、ルース</t>
  </si>
  <si>
    <t>オークション &gt; アクセサリー、時計 &gt; レディースアクセサリー &gt; 裸石、ルース</t>
  </si>
  <si>
    <t>オークション &gt; 自動車、オートバイ &gt; 自動車関連グッズ &gt; 自動車メーカー別 &gt; 日産</t>
  </si>
  <si>
    <t>ブローチ</t>
  </si>
  <si>
    <t>0,23632,2084008364,2084008367</t>
  </si>
  <si>
    <t>オークション &gt; アクセサリー、時計 &gt; レディースアクセサリー &gt; ブローチ</t>
  </si>
  <si>
    <t>車種別解説書</t>
  </si>
  <si>
    <t>オークション &gt; 本、雑誌 &gt; 趣味、スポーツ、実用 &gt; 自動車 &gt; 自動車一般 &gt; 車種別解説書</t>
  </si>
  <si>
    <t>ヘアアクセサリー</t>
  </si>
  <si>
    <t>オークション &gt; アクセサリー、時計 &gt; レディースアクセサリー &gt; ヘアアクセサリー</t>
  </si>
  <si>
    <t>弁当箱（男性用）</t>
  </si>
  <si>
    <t>オークション &gt; 住まい、インテリア &gt; キッチン、食器 &gt; 弁当用品 &gt; 弁当箱（男性用）</t>
  </si>
  <si>
    <t>0,24198,42168,2084015563,2084261187</t>
  </si>
  <si>
    <t>オークション &gt; 本、雑誌 &gt; 趣味、スポーツ、実用 &gt; 自動車 &gt; 自動車一般 &gt; その他</t>
  </si>
  <si>
    <t>オークション &gt; アクセサリー、時計 &gt; レディースアクセサリー &gt; コサージュ</t>
  </si>
  <si>
    <t>弁当箱（女性用）</t>
  </si>
  <si>
    <t>オークション &gt; 住まい、インテリア &gt; キッチン、食器 &gt; 弁当用品 &gt; 弁当箱（女性用）</t>
  </si>
  <si>
    <t>ボディピアス</t>
  </si>
  <si>
    <t>オークション &gt; 本、雑誌 &gt; 雑誌 &gt; 趣味、スポーツ、実用 &gt; 自動車 &gt; 自動車一般</t>
  </si>
  <si>
    <t>0,24198,42168,2084015563,2084261188</t>
  </si>
  <si>
    <t>オークション &gt; アクセサリー、時計 &gt; レディースアクセサリー &gt; ボディピアス</t>
  </si>
  <si>
    <t>4WD/RV</t>
  </si>
  <si>
    <t>チャーム</t>
  </si>
  <si>
    <t>弁当箱（男女兼用）</t>
  </si>
  <si>
    <t>オークション &gt; 本、雑誌 &gt; 雑誌 &gt; 趣味、スポーツ、実用 &gt; 自動車 &gt; 4WD/RV</t>
  </si>
  <si>
    <t>オークション &gt; アクセサリー、時計 &gt; レディースアクセサリー &gt; チャーム</t>
  </si>
  <si>
    <t>オークション &gt; 住まい、インテリア &gt; キッチン、食器 &gt; 弁当用品 &gt; 弁当箱（男女兼用）</t>
  </si>
  <si>
    <t>0,24198,42168,2084015563,2084261189</t>
  </si>
  <si>
    <t>チューニング</t>
  </si>
  <si>
    <t>オークション &gt; 本、雑誌 &gt; 雑誌 &gt; 趣味、スポーツ、実用 &gt; 自動車 &gt; チューニング</t>
  </si>
  <si>
    <t>オークション &gt; アクセサリー、時計 &gt; レディースアクセサリー &gt; 携帯ストラップ</t>
  </si>
  <si>
    <t>弁当箱（子ども用）</t>
  </si>
  <si>
    <t>オークション &gt; 住まい、インテリア &gt; キッチン、食器 &gt; 弁当用品 &gt; 弁当箱（子ども用）</t>
  </si>
  <si>
    <t>0,24198,42168,2084015563,2084261190</t>
  </si>
  <si>
    <t>モータースポーツ</t>
  </si>
  <si>
    <t>アクセサリーケース</t>
  </si>
  <si>
    <t>オークション &gt; 本、雑誌 &gt; 雑誌 &gt; 趣味、スポーツ、実用 &gt; 自動車 &gt; モータースポーツ</t>
  </si>
  <si>
    <t>オークション &gt; アクセサリー、時計 &gt; レディースアクセサリー &gt; アクセサリーケース</t>
  </si>
  <si>
    <t>弁当用箸、カトラリー</t>
  </si>
  <si>
    <t>オークション &gt; 住まい、インテリア &gt; キッチン、食器 &gt; 弁当用品 &gt; 弁当用箸、カトラリー</t>
  </si>
  <si>
    <t>0,24198,42168,2084015563,2084261191</t>
  </si>
  <si>
    <t>外車</t>
  </si>
  <si>
    <t>ネックレス</t>
  </si>
  <si>
    <t>オークション &gt; 本、雑誌 &gt; 雑誌 &gt; 趣味、スポーツ、実用 &gt; 自動車 &gt; 外車</t>
  </si>
  <si>
    <t>オークション &gt; アクセサリー、時計 &gt; メンズアクセサリー &gt; ネックレス</t>
  </si>
  <si>
    <t>使い捨て容器、食器</t>
  </si>
  <si>
    <t>オークション &gt; 住まい、インテリア &gt; キッチン、食器 &gt; 弁当用品 &gt; 使い捨て容器、食器</t>
  </si>
  <si>
    <t>ペンダント</t>
  </si>
  <si>
    <t>0,24198,42168,2084015563,2084261194</t>
  </si>
  <si>
    <t>オークション &gt; アクセサリー、時計 &gt; メンズアクセサリー &gt; ペンダント</t>
  </si>
  <si>
    <t>ピック、カップ、シート（ばらん）</t>
  </si>
  <si>
    <t>オークション &gt; アクセサリー、時計 &gt; メンズアクセサリー &gt; ペンダントトップ、チャーム</t>
  </si>
  <si>
    <t>オークション &gt; 住まい、インテリア &gt; キッチン、食器 &gt; 弁当用品 &gt; ピック、カップ、シート（ばらん）</t>
  </si>
  <si>
    <t>0,24198,42168,2084015563,2084261193</t>
  </si>
  <si>
    <t>オークション &gt; アクセサリー、時計 &gt; メンズアクセサリー &gt; ブレスレット、バングル</t>
  </si>
  <si>
    <t>抜き型、おにぎり型</t>
  </si>
  <si>
    <t>オークション &gt; 住まい、インテリア &gt; キッチン、食器 &gt; 弁当用品 &gt; 抜き型、おにぎり型</t>
  </si>
  <si>
    <t>0,24198,42168,2084015563,2084261192</t>
  </si>
  <si>
    <t>オークション &gt; アクセサリー、時計 &gt; メンズアクセサリー &gt; 指輪</t>
  </si>
  <si>
    <t>重箱</t>
  </si>
  <si>
    <t>オークション &gt; 住まい、インテリア &gt; キッチン、食器 &gt; 弁当用品 &gt; 重箱</t>
  </si>
  <si>
    <t>キーチェーン、ウォレットチェーン</t>
  </si>
  <si>
    <t>0,24198,42168,2084015563,2084005674</t>
  </si>
  <si>
    <t>オークション &gt; アクセサリー、時計 &gt; メンズアクセサリー &gt; キーチェーン、ウォレットチェーン</t>
  </si>
  <si>
    <t>水筒、ボトル</t>
  </si>
  <si>
    <t>オークション &gt; 住まい、インテリア &gt; キッチン、食器 &gt; 弁当用品 &gt; 水筒、ボトル</t>
  </si>
  <si>
    <t>0,24198,42168,2084015563,2084044978</t>
  </si>
  <si>
    <t>タイピン</t>
  </si>
  <si>
    <t>オークション &gt; アクセサリー、時計 &gt; メンズアクセサリー &gt; タイピン</t>
  </si>
  <si>
    <t>カフス</t>
  </si>
  <si>
    <t>オークション &gt; 住まい、インテリア &gt; キッチン、食器 &gt; 弁当用品 &gt; その他</t>
  </si>
  <si>
    <t>オークション &gt; アクセサリー、時計 &gt; メンズアクセサリー &gt; カフス</t>
  </si>
  <si>
    <t>0,24198,42168,2084015563,2084261195</t>
  </si>
  <si>
    <t>ソルト＆ペッパー</t>
  </si>
  <si>
    <t>オークション &gt; 住まい、インテリア &gt; キッチン、食器 &gt; 容器 &gt; ソルト＆ペッパー</t>
  </si>
  <si>
    <t>0,24198,42168,2084005974,20312</t>
  </si>
  <si>
    <t>オークション &gt; アクセサリー、時計 &gt; メンズアクセサリー &gt; ピアス</t>
  </si>
  <si>
    <t>パスタボトル</t>
  </si>
  <si>
    <t>オークション &gt; 住まい、インテリア &gt; キッチン、食器 &gt; 容器 &gt; パスタボトル</t>
  </si>
  <si>
    <t>0,24198,42168,2084005974,2084015561</t>
  </si>
  <si>
    <t>オークション &gt; アクセサリー、時計 &gt; メンズアクセサリー &gt; ボディピアス</t>
  </si>
  <si>
    <t>オークション &gt; 住まい、インテリア &gt; キッチン、食器 &gt; 容器 &gt; 重箱</t>
  </si>
  <si>
    <t>0,24198,42168,2084005974,2084005674</t>
  </si>
  <si>
    <t>バックル</t>
  </si>
  <si>
    <t>オークション &gt; アクセサリー、時計 &gt; メンズアクセサリー &gt; バックル</t>
  </si>
  <si>
    <t>オークション &gt; 住まい、インテリア &gt; キッチン、食器 &gt; 容器 &gt; 水筒、ボトル</t>
  </si>
  <si>
    <t>0,24198,42168,2084005974,2084044978</t>
  </si>
  <si>
    <t>調味料入れ</t>
  </si>
  <si>
    <t>オークション &gt; アクセサリー、時計 &gt; メンズアクセサリー &gt; マネークリップ</t>
  </si>
  <si>
    <t>オークション &gt; 住まい、インテリア &gt; キッチン、食器 &gt; 容器 &gt; 調味料入れ</t>
  </si>
  <si>
    <t>0,24198,42168,2084005974,2084015562</t>
  </si>
  <si>
    <t>ウイッグ</t>
  </si>
  <si>
    <t>オークション &gt; アクセサリー、時計 &gt; メンズアクセサリー &gt; ウイッグ</t>
  </si>
  <si>
    <t>米びつ</t>
  </si>
  <si>
    <t>オークション &gt; 住まい、インテリア &gt; キッチン、食器 &gt; 容器 &gt; 米びつ</t>
  </si>
  <si>
    <t>0,24198,42168,2084005974,2084015560</t>
  </si>
  <si>
    <t>オークション &gt; アクセサリー、時計 &gt; メンズアクセサリー &gt; キーホルダー</t>
  </si>
  <si>
    <t>保存容器</t>
  </si>
  <si>
    <t>オークション &gt; アクセサリー、時計 &gt; メンズアクセサリー &gt; チョーカー</t>
  </si>
  <si>
    <t>オークション &gt; 住まい、インテリア &gt; キッチン、食器 &gt; 容器 &gt; 保存容器</t>
  </si>
  <si>
    <t>0,24198,42168,2084005974,2084015558</t>
  </si>
  <si>
    <t>オークション &gt; アクセサリー、時計 &gt; メンズアクセサリー &gt; ライター</t>
  </si>
  <si>
    <t>密閉容器</t>
  </si>
  <si>
    <t>オークション &gt; 住まい、インテリア &gt; キッチン、食器 &gt; 容器 &gt; 密閉容器</t>
  </si>
  <si>
    <t>0,24198,42168,2084005974,2084050526</t>
  </si>
  <si>
    <t>オークション &gt; アクセサリー、時計 &gt; メンズアクセサリー &gt; 携帯ストラップ</t>
  </si>
  <si>
    <t>オークション &gt; 住まい、インテリア &gt; キッチン、食器 &gt; 容器 &gt; その他</t>
  </si>
  <si>
    <t>携帯電話ケース</t>
  </si>
  <si>
    <t>0,24198,42168,2084005974,2084015565</t>
  </si>
  <si>
    <t>オークション &gt; アクセサリー、時計 &gt; メンズアクセサリー &gt; 携帯電話ケース</t>
  </si>
  <si>
    <t>オークション &gt; アクセサリー、時計 &gt; メンズアクセサリー &gt; 裸石、ルース</t>
  </si>
  <si>
    <t>オークション &gt; アクセサリー、時計 &gt; メンズアクセサリー &gt; その他</t>
  </si>
  <si>
    <t>0,26086,2084006704,2084206882</t>
  </si>
  <si>
    <t>バレッタ</t>
  </si>
  <si>
    <t>オークション &gt; アクセサリー、時計 &gt; 子ども用アクセサリー &gt; バレッタ</t>
  </si>
  <si>
    <t>ヘアゴム、シュシュ</t>
  </si>
  <si>
    <t>オークション &gt; アクセサリー、時計 &gt; 子ども用アクセサリー &gt; ヘアゴム、シュシュ</t>
  </si>
  <si>
    <t>0,26086,2084006704,2084206897</t>
  </si>
  <si>
    <t>ヘアバンド、カチューシャ</t>
  </si>
  <si>
    <t>オークション &gt; アクセサリー、時計 &gt; 子ども用アクセサリー &gt; ヘアバンド、カチューシャ</t>
  </si>
  <si>
    <t>ヘアピン</t>
  </si>
  <si>
    <t>0,26086,2084006704,2084206921</t>
  </si>
  <si>
    <t>オークション &gt; アクセサリー、時計 &gt; 子ども用アクセサリー &gt; ヘアピン</t>
  </si>
  <si>
    <t>オークション &gt; アクセサリー、時計 &gt; 子ども用アクセサリー &gt; リボン</t>
  </si>
  <si>
    <t>0,26086,2084006704,2084206923</t>
  </si>
  <si>
    <t>オークション &gt; アクセサリー、時計 &gt; 子ども用アクセサリー &gt; その他</t>
  </si>
  <si>
    <t>0,26086,2084006704,2084206887</t>
  </si>
  <si>
    <t>0,26086,2084006704,2084006717</t>
  </si>
  <si>
    <t>0,26086,2084006704,2084006716</t>
  </si>
  <si>
    <t>0,26086,2084006704,2084006714</t>
  </si>
  <si>
    <t>オークション &gt; 住まい、インテリア &gt; キッチン、食器 &gt; 食器</t>
  </si>
  <si>
    <t>0,24198,42168,42173</t>
  </si>
  <si>
    <t>カトラリー</t>
  </si>
  <si>
    <t>オークション &gt; 住まい、インテリア &gt; キッチン、食器 &gt; カトラリー</t>
  </si>
  <si>
    <t>0,24198,42168,42174</t>
  </si>
  <si>
    <t>テーブルリネン</t>
  </si>
  <si>
    <t>オークション &gt; 住まい、インテリア &gt; キッチン、食器 &gt; テーブルリネン</t>
  </si>
  <si>
    <t>0,24198,42168,2084005661</t>
  </si>
  <si>
    <t>調理器具</t>
  </si>
  <si>
    <t>オークション &gt; 住まい、インテリア &gt; キッチン、食器 &gt; 調理器具</t>
  </si>
  <si>
    <t>0,24198,42168,42170</t>
  </si>
  <si>
    <t>オークション &gt; 住まい、インテリア &gt; キッチン、食器 &gt; かき氷機</t>
  </si>
  <si>
    <t>0,24198,42168,2084061597</t>
  </si>
  <si>
    <t>オークション &gt; 住まい、インテリア &gt; キッチン、食器 &gt; アクセサリー</t>
  </si>
  <si>
    <t>0,24198,42168,2084015574</t>
  </si>
  <si>
    <t>アルコールグッズ</t>
  </si>
  <si>
    <t>オークション &gt; 住まい、インテリア &gt; キッチン、食器 &gt; アルコールグッズ</t>
  </si>
  <si>
    <t>0,24198,42168,2084044991</t>
  </si>
  <si>
    <t>オークション &gt; 住まい、インテリア &gt; キッチン、食器 &gt; エプロン</t>
  </si>
  <si>
    <t>0,24198,42168,2084018499</t>
  </si>
  <si>
    <t>キッチンマット</t>
  </si>
  <si>
    <t>オークション &gt; 住まい、インテリア &gt; キッチン、食器 &gt; キッチンマット</t>
  </si>
  <si>
    <t>0,24198,42168,2084061480</t>
  </si>
  <si>
    <t>クーラーボックス、クーラーバッグ</t>
  </si>
  <si>
    <t>オークション &gt; 住まい、インテリア &gt; キッチン、食器 &gt; クーラーボックス、クーラーバッグ</t>
  </si>
  <si>
    <t>0,24198,42168,2084044977</t>
  </si>
  <si>
    <t>コーヒーミル</t>
  </si>
  <si>
    <t>オークション &gt; 住まい、インテリア &gt; キッチン、食器 &gt; コーヒーミル</t>
  </si>
  <si>
    <t>0,24198,42168,2084054097</t>
  </si>
  <si>
    <t>ズワイガニ</t>
  </si>
  <si>
    <t>オークション &gt; 食品、飲料 &gt; 魚介類 &gt; カニ &gt; ズワイガニ</t>
  </si>
  <si>
    <t>0,23976,2084005796,2084045155,2084050438</t>
  </si>
  <si>
    <t>オークション &gt; 住まい、インテリア &gt; キッチン、食器 &gt; 給湯設備</t>
  </si>
  <si>
    <t>0,24198,42168,2084258414</t>
  </si>
  <si>
    <t>タラバガニ</t>
  </si>
  <si>
    <t>オークション &gt; 食品、飲料 &gt; 魚介類 &gt; カニ &gt; タラバガニ</t>
  </si>
  <si>
    <t>収納、キッチン雑貨</t>
  </si>
  <si>
    <t>0,23976,2084005796,2084045155,2084050440</t>
  </si>
  <si>
    <t>オークション &gt; 住まい、インテリア &gt; キッチン、食器 &gt; 収納、キッチン雑貨</t>
  </si>
  <si>
    <t>0,24198,42168,2084015566</t>
  </si>
  <si>
    <t>毛ガニ</t>
  </si>
  <si>
    <t>オークション &gt; 食品、飲料 &gt; 魚介類 &gt; カニ &gt; 毛ガニ</t>
  </si>
  <si>
    <t>0,23976,2084005796,2084045155,2084050439</t>
  </si>
  <si>
    <t>浄水機</t>
  </si>
  <si>
    <t>オークション &gt; 住まい、インテリア &gt; キッチン、食器 &gt; 浄水機</t>
  </si>
  <si>
    <t>0,24198,42168,2084006902</t>
  </si>
  <si>
    <t>オークション &gt; 住まい、インテリア &gt; キッチン、食器 &gt; 電化製品</t>
  </si>
  <si>
    <t>0,24198,42168,2084008364</t>
  </si>
  <si>
    <t>弁当用品</t>
  </si>
  <si>
    <t>オークション &gt; 住まい、インテリア &gt; キッチン、食器 &gt; 弁当用品</t>
  </si>
  <si>
    <t>0,24198,42168,2084015563</t>
  </si>
  <si>
    <t>0,23976,2084005796,2084045155,2084050441</t>
  </si>
  <si>
    <t>容器</t>
  </si>
  <si>
    <t>オークション &gt; 住まい、インテリア &gt; キッチン、食器 &gt; 容器</t>
  </si>
  <si>
    <t>オマールエビ</t>
  </si>
  <si>
    <t>0,24198,42168,2084005974</t>
  </si>
  <si>
    <t>オークション &gt; 食品、飲料 &gt; 魚介類 &gt; エビ &gt; オマールエビ</t>
  </si>
  <si>
    <t>0,23976,2084005796,2084045154,2084217617</t>
  </si>
  <si>
    <t>ブラックタイガー</t>
  </si>
  <si>
    <t>オークション &gt; 食品、飲料 &gt; 魚介類 &gt; エビ &gt; ブラックタイガー</t>
  </si>
  <si>
    <t>オークション &gt; 住まい、インテリア &gt; キッチン、食器 &gt; その他</t>
  </si>
  <si>
    <t>0,23976,2084005796,2084045154,2084217613</t>
  </si>
  <si>
    <t>0,24198,42168,42172</t>
  </si>
  <si>
    <t>ボタンエビ</t>
  </si>
  <si>
    <t>オークション &gt; 食品、飲料 &gt; 魚介類 &gt; エビ &gt; ボタンエビ</t>
  </si>
  <si>
    <t>0,23976,2084005796,2084045154,2084217615</t>
  </si>
  <si>
    <t>オークション &gt; 住まい、インテリア &gt; 家庭用品 &gt; タオル &gt; ハンカチ</t>
  </si>
  <si>
    <t>0,24198,42160,2084006324,2084012462</t>
  </si>
  <si>
    <t>伊勢エビ</t>
  </si>
  <si>
    <t>オークション &gt; 食品、飲料 &gt; 魚介類 &gt; エビ &gt; 伊勢エビ</t>
  </si>
  <si>
    <t>0,23976,2084005796,2084045154,2084217616</t>
  </si>
  <si>
    <t>オークション &gt; 住まい、インテリア &gt; 家庭用品 &gt; タオル &gt; ハンドタオル</t>
  </si>
  <si>
    <t>0,24198,42160,2084006324,2084006329</t>
  </si>
  <si>
    <t>甘エビ</t>
  </si>
  <si>
    <t>オークション &gt; 食品、飲料 &gt; 魚介類 &gt; エビ &gt; 甘エビ</t>
  </si>
  <si>
    <t>0,23976,2084005796,2084045154,2084217614</t>
  </si>
  <si>
    <t>バスタオル</t>
  </si>
  <si>
    <t>オークション &gt; 住まい、インテリア &gt; 家庭用品 &gt; タオル &gt; バスタオル</t>
  </si>
  <si>
    <t>0,24198,42160,2084006324,2084006328</t>
  </si>
  <si>
    <t>桜エビ</t>
  </si>
  <si>
    <t>オークション &gt; 食品、飲料 &gt; 魚介類 &gt; エビ &gt; 桜エビ</t>
  </si>
  <si>
    <t>0,23976,2084005796,2084045154,2084254094</t>
  </si>
  <si>
    <t>オークション &gt; 住まい、インテリア &gt; 家庭用品 &gt; タオル &gt; フェイスタオル</t>
  </si>
  <si>
    <t>0,24198,42160,2084006324,2084006330</t>
  </si>
  <si>
    <t>車エビ</t>
  </si>
  <si>
    <t>オークション &gt; 食品、飲料 &gt; 魚介類 &gt; エビ &gt; 車エビ</t>
  </si>
  <si>
    <t>0,23976,2084005796,2084045154,2084217612</t>
  </si>
  <si>
    <t>オークション &gt; 住まい、インテリア &gt; 家庭用品 &gt; タオル &gt; ベビー用</t>
  </si>
  <si>
    <t>0,24198,42160,2084006324,2084006326</t>
  </si>
  <si>
    <t>加工品</t>
  </si>
  <si>
    <t>オークション &gt; 食品、飲料 &gt; 魚介類 &gt; エビ &gt; 加工品</t>
  </si>
  <si>
    <t>オークション &gt; 住まい、インテリア &gt; 家庭用品 &gt; タオル &gt; 子ども用</t>
  </si>
  <si>
    <t>0,24198,42160,2084006324,2084006325</t>
  </si>
  <si>
    <t>0,23976,2084005796,2084045154,2084217575</t>
  </si>
  <si>
    <t>オークション &gt; 住まい、インテリア &gt; 家庭用品 &gt; タオル &gt; その他</t>
  </si>
  <si>
    <t>0,24198,42160,2084006324,2084006327</t>
  </si>
  <si>
    <t>干物、薫製</t>
  </si>
  <si>
    <t>オークション &gt; 食品、飲料 &gt; 魚介類 &gt; エビ &gt; 干物、薫製</t>
  </si>
  <si>
    <t>0,23976,2084005796,2084045154,2084217579</t>
  </si>
  <si>
    <t>トイレカバー、マット</t>
  </si>
  <si>
    <t>オークション &gt; 住まい、インテリア &gt; 家庭用品 &gt; トイレ &gt; トイレカバー、マット</t>
  </si>
  <si>
    <t>0,24198,42160,2084024460,2084024464</t>
  </si>
  <si>
    <t>ラバーベルト</t>
  </si>
  <si>
    <t>オークション &gt; 食品、飲料 &gt; 魚介類 &gt; エビ &gt; その他</t>
  </si>
  <si>
    <t>オークション &gt; アクセサリー、時計 &gt; 時計用ベルト、バンド &gt; ラバーベルト</t>
  </si>
  <si>
    <t>0,23976,2084005796,2084045154,2084217618</t>
  </si>
  <si>
    <t>トイレットペーパー</t>
  </si>
  <si>
    <t>レザーベルト</t>
  </si>
  <si>
    <t>オークション &gt; 住まい、インテリア &gt; 家庭用品 &gt; トイレ &gt; トイレットペーパー</t>
  </si>
  <si>
    <t>オークション &gt; アクセサリー、時計 &gt; 時計用ベルト、バンド &gt; レザーベルト</t>
  </si>
  <si>
    <t>0,24198,42160,2084024460,2084288022</t>
  </si>
  <si>
    <t>トイレブラシ</t>
  </si>
  <si>
    <t>オークション &gt; 住まい、インテリア &gt; 家庭用品 &gt; トイレ &gt; トイレブラシ</t>
  </si>
  <si>
    <t>金属ベルト</t>
  </si>
  <si>
    <t>0,24198,42160,2084024460,2084061517</t>
  </si>
  <si>
    <t>オークション &gt; アクセサリー、時計 &gt; 時計用ベルト、バンド &gt; 金属ベルト</t>
  </si>
  <si>
    <t>トイレラック</t>
  </si>
  <si>
    <t>オークション &gt; 住まい、インテリア &gt; 家庭用品 &gt; トイレ &gt; トイレラック</t>
  </si>
  <si>
    <t>布ベルト</t>
  </si>
  <si>
    <t>0,24198,42160,2084024460,2084288021</t>
  </si>
  <si>
    <t>オークション &gt; アクセサリー、時計 &gt; 時計用ベルト、バンド &gt; 布ベルト</t>
  </si>
  <si>
    <t>バネ棒外し</t>
  </si>
  <si>
    <t>オークション &gt; アクセサリー、時計 &gt; 時計用ベルト、バンド &gt; バネ棒外し</t>
  </si>
  <si>
    <t>ペーパーホルダー</t>
  </si>
  <si>
    <t>オークション &gt; 住まい、インテリア &gt; 家庭用品 &gt; トイレ &gt; ペーパーホルダー</t>
  </si>
  <si>
    <t>0,24198,42160,2084024460,2084288020</t>
  </si>
  <si>
    <t>アサリ</t>
  </si>
  <si>
    <t>オークション &gt; アクセサリー、時計 &gt; 時計用ベルト、バンド &gt; 精密ドライバー</t>
  </si>
  <si>
    <t>オークション &gt; 食品、飲料 &gt; 魚介類 &gt; 貝類 &gt; アサリ</t>
  </si>
  <si>
    <t>0,23976,2084005796,2084045157,2084217586</t>
  </si>
  <si>
    <t>便器</t>
  </si>
  <si>
    <t>オークション &gt; 住まい、インテリア &gt; 家庭用品 &gt; トイレ &gt; 便器</t>
  </si>
  <si>
    <t>ベルト部品</t>
  </si>
  <si>
    <t>0,24198,42160,2084024460,2084061447</t>
  </si>
  <si>
    <t>オークション &gt; アクセサリー、時計 &gt; 時計用ベルト、バンド &gt; ベルト部品</t>
  </si>
  <si>
    <t>便座</t>
  </si>
  <si>
    <t>オークション &gt; 住まい、インテリア &gt; 家庭用品 &gt; トイレ &gt; 便座</t>
  </si>
  <si>
    <t>オークション &gt; アクセサリー、時計 &gt; 時計用ベルト、バンド &gt; その他</t>
  </si>
  <si>
    <t>0,24198,42160,2084024460,2084061446</t>
  </si>
  <si>
    <t>アワビ</t>
  </si>
  <si>
    <t>オークション &gt; 食品、飲料 &gt; 魚介類 &gt; 貝類 &gt; アワビ</t>
  </si>
  <si>
    <t>0,23976,2084005796,2084045157,2084217584</t>
  </si>
  <si>
    <t>せっけん、ソープ</t>
  </si>
  <si>
    <t>オークション &gt; 住まい、インテリア &gt; 家庭用品 &gt; トイレ &gt; せっけん、ソープ</t>
  </si>
  <si>
    <t>収納ケース一般</t>
  </si>
  <si>
    <t>0,24198,42160,2084024460,2084024453</t>
  </si>
  <si>
    <t>オークション &gt; アクセサリー、時計 &gt; 時計用ケース &gt; 収納ケース一般</t>
  </si>
  <si>
    <t>カキ</t>
  </si>
  <si>
    <t>ポータブルトイレ</t>
  </si>
  <si>
    <t>オークション &gt; 食品、飲料 &gt; 魚介類 &gt; 貝類 &gt; カキ</t>
  </si>
  <si>
    <t>スタンド型</t>
  </si>
  <si>
    <t>オークション &gt; アクセサリー、時計 &gt; 時計用ケース &gt; スタンド型</t>
  </si>
  <si>
    <t>0,23976,2084005796,2084045157,2084217582</t>
  </si>
  <si>
    <t>オークション &gt; 住まい、インテリア &gt; 家庭用品 &gt; トイレ &gt; ポータブルトイレ</t>
  </si>
  <si>
    <t>0,24198,42160,2084024460,2084220352</t>
  </si>
  <si>
    <t>ワインディング機能つき</t>
  </si>
  <si>
    <t>オークション &gt; アクセサリー、時計 &gt; 時計用ケース &gt; ワインディング機能つき</t>
  </si>
  <si>
    <t>サザエ</t>
  </si>
  <si>
    <t>オークション &gt; 食品、飲料 &gt; 魚介類 &gt; 貝類 &gt; サザエ</t>
  </si>
  <si>
    <t>携帯用</t>
  </si>
  <si>
    <t>0,23976,2084005796,2084045157,2084217585</t>
  </si>
  <si>
    <t>オークション &gt; アクセサリー、時計 &gt; 時計用ケース &gt; 携帯用</t>
  </si>
  <si>
    <t>オークション &gt; 住まい、インテリア &gt; 家庭用品 &gt; トイレ &gt; 芳香剤</t>
  </si>
  <si>
    <t>0,24198,42160,2084024460,2084024427</t>
  </si>
  <si>
    <t>ハマグリ</t>
  </si>
  <si>
    <t>オークション &gt; 食品、飲料 &gt; 魚介類 &gt; 貝類 &gt; ハマグリ</t>
  </si>
  <si>
    <t>オークション &gt; アクセサリー、時計 &gt; 時計用工具 &gt; セット</t>
  </si>
  <si>
    <t>0,23976,2084005796,2084045157,2084217587</t>
  </si>
  <si>
    <t>オークション &gt; 住まい、インテリア &gt; 家庭用品 &gt; トイレ &gt; その他</t>
  </si>
  <si>
    <t>0,24198,42160,2084024460,2084024463</t>
  </si>
  <si>
    <t>ホタテ</t>
  </si>
  <si>
    <t>オープナー</t>
  </si>
  <si>
    <t>オークション &gt; 食品、飲料 &gt; 魚介類 &gt; 貝類 &gt; ホタテ</t>
  </si>
  <si>
    <t>0,23976,2084005796,2084045157,2084217583</t>
  </si>
  <si>
    <t>オークション &gt; アクセサリー、時計 &gt; 時計用工具 &gt; オープナー</t>
  </si>
  <si>
    <t>オークション &gt; 食品、飲料 &gt; 魚介類 &gt; 貝類 &gt; 加工品</t>
  </si>
  <si>
    <t>0,23976,2084005796,2084045157,2084217572</t>
  </si>
  <si>
    <t>オークション &gt; 住まい、インテリア &gt; 家庭用品 &gt; ハンガー &gt; 一般</t>
  </si>
  <si>
    <t>0,24198,42160,2084061604,2084061605</t>
  </si>
  <si>
    <t>オークション &gt; アクセサリー、時計 &gt; 時計用工具 &gt; バネ棒外し</t>
  </si>
  <si>
    <t>ピンセット</t>
  </si>
  <si>
    <t>オークション &gt; 食品、飲料 &gt; 魚介類 &gt; 貝類 &gt; その他</t>
  </si>
  <si>
    <t>オークション &gt; アクセサリー、時計 &gt; 時計用工具 &gt; ピンセット</t>
  </si>
  <si>
    <t>0,23976,2084005796,2084045157,2084217588</t>
  </si>
  <si>
    <t>スカート、パンツ用</t>
  </si>
  <si>
    <t>オークション &gt; 住まい、インテリア &gt; 家庭用品 &gt; ハンガー &gt; スカート、パンツ用</t>
  </si>
  <si>
    <t>0,24198,42160,2084061604,2084061606</t>
  </si>
  <si>
    <t>オークション &gt; アクセサリー、時計 &gt; 時計用工具 &gt; プライヤー</t>
  </si>
  <si>
    <t>ルーペ</t>
  </si>
  <si>
    <t>着物用</t>
  </si>
  <si>
    <t>アンコウ</t>
  </si>
  <si>
    <t>オークション &gt; アクセサリー、時計 &gt; 時計用工具 &gt; ルーペ</t>
  </si>
  <si>
    <t>オークション &gt; 住まい、インテリア &gt; 家庭用品 &gt; ハンガー &gt; 着物用</t>
  </si>
  <si>
    <t>オークション &gt; 食品、飲料 &gt; 魚介類 &gt; 魚 &gt; アンコウ</t>
  </si>
  <si>
    <t>0,24198,42160,2084061604,2084048864</t>
  </si>
  <si>
    <t>0,23976,2084005796,2084045156,2084059760</t>
  </si>
  <si>
    <t>オークション &gt; アクセサリー、時計 &gt; 時計用工具 &gt; 精密ドライバー</t>
  </si>
  <si>
    <t>カジキ</t>
  </si>
  <si>
    <t>時計用電池</t>
  </si>
  <si>
    <t>オークション &gt; 食品、飲料 &gt; 魚介類 &gt; 魚 &gt; カジキ</t>
  </si>
  <si>
    <t>オークション &gt; アクセサリー、時計 &gt; 時計用工具 &gt; 時計用電池</t>
  </si>
  <si>
    <t>0,23976,2084005796,2084045156,2084254255</t>
  </si>
  <si>
    <t>洗濯用</t>
  </si>
  <si>
    <t>オークション &gt; 住まい、インテリア &gt; 家庭用品 &gt; ハンガー &gt; 洗濯用</t>
  </si>
  <si>
    <t>0,24198,42160,2084061604,2084024432</t>
  </si>
  <si>
    <t>オークション &gt; アクセサリー、時計 &gt; 時計用工具 &gt; その他</t>
  </si>
  <si>
    <t>カツオ</t>
  </si>
  <si>
    <t>オークション &gt; 食品、飲料 &gt; 魚介類 &gt; 魚 &gt; カツオ</t>
  </si>
  <si>
    <t>0,23976,2084005796,2084045156,2084228411</t>
  </si>
  <si>
    <t>ハンガーラック</t>
  </si>
  <si>
    <t>オークション &gt; 住まい、インテリア &gt; 家庭用品 &gt; ハンガー &gt; ハンガーラック</t>
  </si>
  <si>
    <t>0,24198,42160,2084061604,2084061609</t>
  </si>
  <si>
    <t>カレイ</t>
  </si>
  <si>
    <t>オークション &gt; 食品、飲料 &gt; 魚介類 &gt; 魚 &gt; カレイ</t>
  </si>
  <si>
    <t>0,23976,2084005796,2084045156,2084254103</t>
  </si>
  <si>
    <t>サケ</t>
  </si>
  <si>
    <t>オークション &gt; 住まい、インテリア &gt; 家庭用品 &gt; バス &gt; せっけん、ソープ</t>
  </si>
  <si>
    <t>オークション &gt; 食品、飲料 &gt; 魚介類 &gt; 魚 &gt; サケ</t>
  </si>
  <si>
    <t>0,24198,42160,2084024451,2084024453</t>
  </si>
  <si>
    <t>0,23976,2084005796,2084045156,2084059758</t>
  </si>
  <si>
    <t>シャワーヘッド</t>
  </si>
  <si>
    <t>サバ</t>
  </si>
  <si>
    <t>オークション &gt; 住まい、インテリア &gt; 家庭用品 &gt; バス &gt; シャワーヘッド</t>
  </si>
  <si>
    <t>オークション &gt; 食品、飲料 &gt; 魚介類 &gt; 魚 &gt; サバ</t>
  </si>
  <si>
    <t>0,24198,42160,2084024451,2084063534</t>
  </si>
  <si>
    <t>0,23976,2084005796,2084045156,2084254253</t>
  </si>
  <si>
    <t>サワラ</t>
  </si>
  <si>
    <t>シャワー用浄水機</t>
  </si>
  <si>
    <t>オークション &gt; 食品、飲料 &gt; 魚介類 &gt; 魚 &gt; サワラ</t>
  </si>
  <si>
    <t>0,23976,2084005796,2084045156,2084254254</t>
  </si>
  <si>
    <t>オークション &gt; 住まい、インテリア &gt; 家庭用品 &gt; バス &gt; シャワー用浄水機</t>
  </si>
  <si>
    <t>0,24198,42160,2084024451,2084063535</t>
  </si>
  <si>
    <t>オークション &gt; 住まい、インテリア &gt; 家庭用品 &gt; バス &gt; シャンプー</t>
  </si>
  <si>
    <t>0,24198,42160,2084024451,2084007432</t>
  </si>
  <si>
    <t>サンマ</t>
  </si>
  <si>
    <t>オークション &gt; 食品、飲料 &gt; 魚介類 &gt; 魚 &gt; サンマ</t>
  </si>
  <si>
    <t>0,23976,2084005796,2084045156,2084254100</t>
  </si>
  <si>
    <t>タオルかけ、タオルハンガー</t>
  </si>
  <si>
    <t>オークション &gt; 住まい、インテリア &gt; 家庭用品 &gt; バス &gt; タオルかけ、タオルハンガー</t>
  </si>
  <si>
    <t>0,24198,42160,2084024451,2084288024</t>
  </si>
  <si>
    <t>タイ</t>
  </si>
  <si>
    <t>オークション &gt; 食品、飲料 &gt; 魚介類 &gt; 魚 &gt; タイ</t>
  </si>
  <si>
    <t>0,23976,2084005796,2084045156,2084254099</t>
  </si>
  <si>
    <t>トリートメント</t>
  </si>
  <si>
    <t>オークション &gt; 住まい、インテリア &gt; 家庭用品 &gt; バス &gt; トリートメント</t>
  </si>
  <si>
    <t>0,24198,42160,2084024451,2084007434</t>
  </si>
  <si>
    <t>オークション &gt; スポーツ、レジャー &gt; アウトドアウエア &gt; ブランド別 &gt; KAVU</t>
  </si>
  <si>
    <t>タラ</t>
  </si>
  <si>
    <t>オークション &gt; 食品、飲料 &gt; 魚介類 &gt; 魚 &gt; タラ</t>
  </si>
  <si>
    <t>0,23976,2084005796,2084045156,2084254102</t>
  </si>
  <si>
    <t>バスマット</t>
  </si>
  <si>
    <t>オークション &gt; 住まい、インテリア &gt; 家庭用品 &gt; バス &gt; バスマット</t>
  </si>
  <si>
    <t>オークション &gt; スポーツ、レジャー &gt; アウトドアウエア &gt; ブランド別 &gt; L.L.Bean</t>
  </si>
  <si>
    <t>0,24198,42160,2084024451,2084024454</t>
  </si>
  <si>
    <t>ヒラメ</t>
  </si>
  <si>
    <t>オークション &gt; 食品、飲料 &gt; 魚介類 &gt; 魚 &gt; ヒラメ</t>
  </si>
  <si>
    <t>0,23976,2084005796,2084045156,2084254237</t>
  </si>
  <si>
    <t>バスラック</t>
  </si>
  <si>
    <t>オークション &gt; スポーツ、レジャー &gt; アウトドアウエア &gt; ブランド別 &gt; アークテリクス</t>
  </si>
  <si>
    <t>オークション &gt; 住まい、インテリア &gt; 家庭用品 &gt; バス &gt; バスラック</t>
  </si>
  <si>
    <t>0,24198,42160,2084024451,2084288025</t>
  </si>
  <si>
    <t>オークション &gt; スポーツ、レジャー &gt; アウトドアウエア &gt; ブランド別 &gt; アウトドアプロダクツ</t>
  </si>
  <si>
    <t>バスローブ</t>
  </si>
  <si>
    <t>フグ</t>
  </si>
  <si>
    <t>オークション &gt; 住まい、インテリア &gt; 家庭用品 &gt; バス &gt; バスローブ</t>
  </si>
  <si>
    <t>オークション &gt; 食品、飲料 &gt; 魚介類 &gt; 魚 &gt; フグ</t>
  </si>
  <si>
    <t>0,24198,42160,2084024451,2084047554</t>
  </si>
  <si>
    <t>0,23976,2084005796,2084045156,2084059759</t>
  </si>
  <si>
    <t>オークション &gt; スポーツ、レジャー &gt; アウトドアウエア &gt; ブランド別 &gt; エーグル</t>
  </si>
  <si>
    <t>ブリ</t>
  </si>
  <si>
    <t>オークション &gt; 住まい、インテリア &gt; 家庭用品 &gt; バス &gt; リンス</t>
  </si>
  <si>
    <t>オークション &gt; 食品、飲料 &gt; 魚介類 &gt; 魚 &gt; ブリ</t>
  </si>
  <si>
    <t>0,24198,42160,2084024451,2084007433</t>
  </si>
  <si>
    <t>0,23976,2084005796,2084045156,2084228410</t>
  </si>
  <si>
    <t>オークション &gt; スポーツ、レジャー &gt; アウトドアウエア &gt; ブランド別 &gt; エディー・バウアー</t>
  </si>
  <si>
    <t>マグロ</t>
  </si>
  <si>
    <t>オークション &gt; 住まい、インテリア &gt; 家庭用品 &gt; バス &gt; 給湯設備</t>
  </si>
  <si>
    <t>オークション &gt; 食品、飲料 &gt; 魚介類 &gt; 魚 &gt; マグロ</t>
  </si>
  <si>
    <t>0,24198,42160,2084024451,2084258414</t>
  </si>
  <si>
    <t>0,23976,2084005796,2084045156,2084059757</t>
  </si>
  <si>
    <t>オークション &gt; スポーツ、レジャー &gt; アウトドアウエア &gt; ブランド別 &gt; カリマー</t>
  </si>
  <si>
    <t>入浴剤</t>
  </si>
  <si>
    <t>オークション &gt; 住まい、インテリア &gt; 家庭用品 &gt; バス &gt; 入浴剤</t>
  </si>
  <si>
    <t>干物</t>
  </si>
  <si>
    <t>0,24198,42160,2084024451,2084007454</t>
  </si>
  <si>
    <t>オークション &gt; 食品、飲料 &gt; 魚介類 &gt; 魚 &gt; 干物</t>
  </si>
  <si>
    <t>0,23976,2084005796,2084045156,2084217594</t>
  </si>
  <si>
    <t>オークション &gt; スポーツ、レジャー &gt; アウトドアウエア &gt; ブランド別 &gt; クラウドベイル</t>
  </si>
  <si>
    <t>オークション &gt; 住まい、インテリア &gt; 家庭用品 &gt; バス &gt; その他</t>
  </si>
  <si>
    <t>0,24198,42160,2084024451,2084024452</t>
  </si>
  <si>
    <t>薫製</t>
  </si>
  <si>
    <t>オークション &gt; スポーツ、レジャー &gt; アウトドアウエア &gt; ブランド別 &gt; グラミチ</t>
  </si>
  <si>
    <t>オークション &gt; 食品、飲料 &gt; 魚介類 &gt; 魚 &gt; 薫製</t>
  </si>
  <si>
    <t>0,23976,2084005796,2084045156,2084217608</t>
  </si>
  <si>
    <t>オークション &gt; スポーツ、レジャー &gt; アウトドアウエア &gt; ブランド別 &gt; コロンビア</t>
  </si>
  <si>
    <t>害虫駆除</t>
  </si>
  <si>
    <t>オークション &gt; 住まい、インテリア &gt; 害虫駆除、虫よけ &gt; 害虫駆除</t>
  </si>
  <si>
    <t>0,24198,2084048832,2084062796</t>
  </si>
  <si>
    <t>オークション &gt; 食品、飲料 &gt; 魚介類 &gt; 魚 &gt; その他</t>
  </si>
  <si>
    <t>0,23976,2084005796,2084045156,2084059761</t>
  </si>
  <si>
    <t>オークション &gt; スポーツ、レジャー &gt; アウトドアウエア &gt; ブランド別 &gt; ザ・ノース・フェイス</t>
  </si>
  <si>
    <t>イカ</t>
  </si>
  <si>
    <t>虫よけ</t>
  </si>
  <si>
    <t>オークション &gt; 食品、飲料 &gt; 魚介類 &gt; タコ、イカ &gt; イカ</t>
  </si>
  <si>
    <t>オークション &gt; 住まい、インテリア &gt; 害虫駆除、虫よけ &gt; 虫よけ</t>
  </si>
  <si>
    <t>0,23976,2084005796,2084050442,2084217591</t>
  </si>
  <si>
    <t>0,24198,2084048832,2084062800</t>
  </si>
  <si>
    <t>オークション &gt; スポーツ、レジャー &gt; アウトドアウエア &gt; ブランド別 &gt; シエラデザイン</t>
  </si>
  <si>
    <t>タコ</t>
  </si>
  <si>
    <t>オークション &gt; 食品、飲料 &gt; 魚介類 &gt; タコ、イカ &gt; タコ</t>
  </si>
  <si>
    <t>オークション &gt; スポーツ、レジャー &gt; アウトドアウエア &gt; ブランド別 &gt; ジャックウルフスキン</t>
  </si>
  <si>
    <t>0,23976,2084005796,2084050442,2084217590</t>
  </si>
  <si>
    <t>0,24198,42160,2084238534,2084238535</t>
  </si>
  <si>
    <t>オークション &gt; 食品、飲料 &gt; 魚介類 &gt; タコ、イカ &gt; 加工品</t>
  </si>
  <si>
    <t>0,23976,2084005796,2084050442,2084217573</t>
  </si>
  <si>
    <t>0,24198,42160,2084238534,2084238531</t>
  </si>
  <si>
    <t>オークション &gt; スポーツ、レジャー &gt; アウトドアウエア &gt; ブランド別 &gt; ティンバーランド</t>
  </si>
  <si>
    <t>オークション &gt; 食品、飲料 &gt; 魚介類 &gt; タコ、イカ &gt; 干物、薫製</t>
  </si>
  <si>
    <t>0,23976,2084005796,2084050442,2084217578</t>
  </si>
  <si>
    <t>オークション &gt; スポーツ、レジャー &gt; アウトドアウエア &gt; ブランド別 &gt; パタゴニア</t>
  </si>
  <si>
    <t>0,24198,42160,2084238534,2084238530</t>
  </si>
  <si>
    <t>セット、詰め合わせ</t>
  </si>
  <si>
    <t>オークション &gt; 食品、飲料 &gt; 魚介類 &gt; 加工品 &gt; セット、詰め合わせ</t>
  </si>
  <si>
    <t>0,23976,2084005796,2084050433,2084217574</t>
  </si>
  <si>
    <t>オークション &gt; スポーツ、レジャー &gt; アウトドアウエア &gt; ブランド別 &gt; フィルソン</t>
  </si>
  <si>
    <t>オークション &gt; スポーツ、レジャー &gt; アウトドアウエア &gt; ブランド別 &gt; フェニックス</t>
  </si>
  <si>
    <t>貝類</t>
  </si>
  <si>
    <t>オークション &gt; 食品、飲料 &gt; 魚介類 &gt; 加工品 &gt; 貝類</t>
  </si>
  <si>
    <t>0,24198,42160,2084238534,2084238538</t>
  </si>
  <si>
    <t>0,23976,2084005796,2084050433,2084217572</t>
  </si>
  <si>
    <t>オークション &gt; スポーツ、レジャー &gt; アウトドアウエア &gt; ブランド別 &gt; フォックスファイヤー</t>
  </si>
  <si>
    <t>タコ、イカ</t>
  </si>
  <si>
    <t>オークション &gt; 食品、飲料 &gt; 魚介類 &gt; 加工品 &gt; タコ、イカ</t>
  </si>
  <si>
    <t>0,23976,2084005796,2084050433,2084217573</t>
  </si>
  <si>
    <t>オークション &gt; スポーツ、レジャー &gt; アウトドアウエア &gt; ブランド別 &gt; ヘリーハンセン</t>
  </si>
  <si>
    <t>クリーナー</t>
  </si>
  <si>
    <t>オークション &gt; 住まい、インテリア &gt; 家庭用品 &gt; 皮革用品 &gt; クリーナー</t>
  </si>
  <si>
    <t>0,24198,42160,2084238529,2084238532</t>
  </si>
  <si>
    <t>エビ</t>
  </si>
  <si>
    <t>オークション &gt; スポーツ、レジャー &gt; アウトドアウエア &gt; ブランド別 &gt; ホグロフス</t>
  </si>
  <si>
    <t>オークション &gt; 食品、飲料 &gt; 魚介類 &gt; 加工品 &gt; エビ</t>
  </si>
  <si>
    <t>0,23976,2084005796,2084050433,2084217575</t>
  </si>
  <si>
    <t>オークション &gt; 住まい、インテリア &gt; 家庭用品 &gt; 皮革用品 &gt; 保革油、オイル</t>
  </si>
  <si>
    <t>0,24198,42160,2084238529,2084238531</t>
  </si>
  <si>
    <t>オークション &gt; スポーツ、レジャー &gt; アウトドアウエア &gt; ブランド別 &gt; マーモット</t>
  </si>
  <si>
    <t>アナゴ</t>
  </si>
  <si>
    <t>オークション &gt; 食品、飲料 &gt; 魚介類 &gt; 加工品 &gt; アナゴ</t>
  </si>
  <si>
    <t>0,23976,2084005796,2084050433,2084254098</t>
  </si>
  <si>
    <t>オークション &gt; スポーツ、レジャー &gt; アウトドアウエア &gt; ブランド別 &gt; マムート</t>
  </si>
  <si>
    <t>オークション &gt; 住まい、インテリア &gt; 家庭用品 &gt; 皮革用品 &gt; 防水剤</t>
  </si>
  <si>
    <t>イクラ、スジコ</t>
  </si>
  <si>
    <t>0,24198,42160,2084238529,2084238530</t>
  </si>
  <si>
    <t>オークション &gt; 食品、飲料 &gt; 魚介類 &gt; 加工品 &gt; イクラ、スジコ</t>
  </si>
  <si>
    <t>0,23976,2084005796,2084050433,2084050434</t>
  </si>
  <si>
    <t>オークション &gt; スポーツ、レジャー &gt; アウトドアウエア &gt; ブランド別 &gt; ミレー</t>
  </si>
  <si>
    <t>オークション &gt; 住まい、インテリア &gt; 家庭用品 &gt; 皮革用品 &gt; その他</t>
  </si>
  <si>
    <t>0,24198,42160,2084238529,2084238533</t>
  </si>
  <si>
    <t>ウナギ</t>
  </si>
  <si>
    <t>オークション &gt; 食品、飲料 &gt; 魚介類 &gt; 加工品 &gt; ウナギ</t>
  </si>
  <si>
    <t>オークション &gt; スポーツ、レジャー &gt; アウトドアウエア &gt; ブランド別 &gt; ムーンストーン</t>
  </si>
  <si>
    <t>0,23976,2084005796,2084050433,2084254097</t>
  </si>
  <si>
    <t>キャビア</t>
  </si>
  <si>
    <t>オークション &gt; スポーツ、レジャー &gt; アウトドアウエア &gt; ブランド別 &gt; モンベル</t>
  </si>
  <si>
    <t>オークション &gt; 食品、飲料 &gt; 魚介類 &gt; 加工品 &gt; キャビア</t>
  </si>
  <si>
    <t>0,23976,2084005796,2084050433,2084254096</t>
  </si>
  <si>
    <t>オークション &gt; スポーツ、レジャー &gt; アウトドアウエア &gt; ブランド別 &gt; ワイルドシングス</t>
  </si>
  <si>
    <t>タラコ、明太子</t>
  </si>
  <si>
    <t>オークション &gt; 食品、飲料 &gt; 魚介類 &gt; 加工品 &gt; タラコ、明太子</t>
  </si>
  <si>
    <t>0,23976,2084005796,2084050433,2084050435</t>
  </si>
  <si>
    <t>オークション &gt; スポーツ、レジャー &gt; アウトドアウエア &gt; ブランド別 &gt; その他</t>
  </si>
  <si>
    <t>数の子</t>
  </si>
  <si>
    <t>オークション &gt; 食品、飲料 &gt; 魚介類 &gt; 加工品 &gt; 数の子</t>
  </si>
  <si>
    <t>0,23976,2084005796,2084050433,2084244869</t>
  </si>
  <si>
    <t>オークション &gt; スポーツ、レジャー &gt; アウトドアウエア &gt; 男性用 &gt; ジャケット、上着</t>
  </si>
  <si>
    <t>布団</t>
  </si>
  <si>
    <t>オークション &gt; 住まい、インテリア &gt; 家庭用品 &gt; 寝具 &gt; 布団</t>
  </si>
  <si>
    <t>0,24198,42160,2084006343,2084006345</t>
  </si>
  <si>
    <t>白子</t>
  </si>
  <si>
    <t>オークション &gt; 食品、飲料 &gt; 魚介類 &gt; 加工品 &gt; 白子</t>
  </si>
  <si>
    <t>0,23976,2084005796,2084050433,2084254095</t>
  </si>
  <si>
    <t>オークション &gt; スポーツ、レジャー &gt; アウトドアウエア &gt; 男性用 &gt; ベスト</t>
  </si>
  <si>
    <t>毛布</t>
  </si>
  <si>
    <t>オークション &gt; 住まい、インテリア &gt; 家庭用品 &gt; 寝具 &gt; 毛布</t>
  </si>
  <si>
    <t>0,24198,42160,2084006343,2084006351</t>
  </si>
  <si>
    <t>オークション &gt; 食品、飲料 &gt; 魚介類 &gt; 加工品 &gt; 干物、薫製</t>
  </si>
  <si>
    <t>0,23976,2084005796,2084050433,2084217576</t>
  </si>
  <si>
    <t>タオルケット</t>
  </si>
  <si>
    <t>オークション &gt; スポーツ、レジャー &gt; アウトドアウエア &gt; 男性用 &gt; トップス</t>
  </si>
  <si>
    <t>オークション &gt; 住まい、インテリア &gt; 家庭用品 &gt; 寝具 &gt; タオルケット</t>
  </si>
  <si>
    <t>0,24198,42160,2084006343,2084006352</t>
  </si>
  <si>
    <t>シーツ、カバー</t>
  </si>
  <si>
    <t>オークション &gt; 食品、飲料 &gt; 魚介類 &gt; 加工品 &gt; その他</t>
  </si>
  <si>
    <t>オークション &gt; 住まい、インテリア &gt; 家庭用品 &gt; 寝具 &gt; シーツ、カバー</t>
  </si>
  <si>
    <t>0,23976,2084005796,2084050433,2084050436</t>
  </si>
  <si>
    <t>オークション &gt; スポーツ、レジャー &gt; アウトドアウエア &gt; 男性用 &gt; ボトムス</t>
  </si>
  <si>
    <t>0,24198,42160,2084006343,2084006350</t>
  </si>
  <si>
    <t>オークション &gt; 住まい、インテリア &gt; 家庭用品 &gt; 寝具 &gt; 子ども用</t>
  </si>
  <si>
    <t>オークション &gt; スポーツ、レジャー &gt; アウトドアウエア &gt; 男性用 &gt; その他</t>
  </si>
  <si>
    <t>イカ、スルメ</t>
  </si>
  <si>
    <t>0,24198,42160,2084006343,2084006355</t>
  </si>
  <si>
    <t>オークション &gt; 食品、飲料 &gt; 魚介類 &gt; 干物、薫製 &gt; イカ、スルメ</t>
  </si>
  <si>
    <t>0,23976,2084005796,2084217576,2084217578</t>
  </si>
  <si>
    <t>オークション &gt; 住まい、インテリア &gt; 家庭用品 &gt; 寝具 &gt; ベビー用</t>
  </si>
  <si>
    <t>0,24198,42160,2084006343,2084006356</t>
  </si>
  <si>
    <t>オークション &gt; 食品、飲料 &gt; 魚介類 &gt; 干物、薫製 &gt; エビ</t>
  </si>
  <si>
    <t>0,23976,2084005796,2084217576,2084217579</t>
  </si>
  <si>
    <t>オークション &gt; スポーツ、レジャー &gt; アウトドアウエア &gt; 女性用 &gt; ジャケット、上着</t>
  </si>
  <si>
    <t>枕</t>
  </si>
  <si>
    <t>オークション &gt; 住まい、インテリア &gt; 家庭用品 &gt; 寝具 &gt; 枕</t>
  </si>
  <si>
    <t>0,24198,42160,2084006343,2084006353</t>
  </si>
  <si>
    <t>オークション &gt; スポーツ、レジャー &gt; アウトドアウエア &gt; 女性用 &gt; トップス</t>
  </si>
  <si>
    <t>オークション &gt; 食品、飲料 &gt; 魚介類 &gt; 干物、薫製 &gt; その他</t>
  </si>
  <si>
    <t>0,23976,2084005796,2084217576,2084217580</t>
  </si>
  <si>
    <t>敷パッド、ベッドパッド</t>
  </si>
  <si>
    <t>オークション &gt; 住まい、インテリア &gt; 家庭用品 &gt; 寝具 &gt; 敷パッド、ベッドパッド</t>
  </si>
  <si>
    <t>オークション &gt; スポーツ、レジャー &gt; アウトドアウエア &gt; 女性用 &gt; ベスト</t>
  </si>
  <si>
    <t>0,24198,42160,2084006343,2084245299</t>
  </si>
  <si>
    <t>オークション &gt; スポーツ、レジャー &gt; アウトドアウエア &gt; 女性用 &gt; ボトムス</t>
  </si>
  <si>
    <t>オークション &gt; 食品、飲料 &gt; 肉類 &gt; 牛肉 &gt; セット、詰め合わせ</t>
  </si>
  <si>
    <t>0,23976,2084005795,2084045150,2084064293</t>
  </si>
  <si>
    <t>マットレス</t>
  </si>
  <si>
    <t>オークション &gt; スポーツ、レジャー &gt; アウトドアウエア &gt; 女性用 &gt; その他</t>
  </si>
  <si>
    <t>オークション &gt; 住まい、インテリア &gt; 家庭用品 &gt; 寝具 &gt; マットレス</t>
  </si>
  <si>
    <t>0,24198,42160,2084006343,2084244895</t>
  </si>
  <si>
    <t>サーロイン</t>
  </si>
  <si>
    <t>オークション &gt; 食品、飲料 &gt; 肉類 &gt; 牛肉 &gt; サーロイン</t>
  </si>
  <si>
    <t>0,23976,2084005795,2084045150,2084064297</t>
  </si>
  <si>
    <t>オークション &gt; 住まい、インテリア &gt; 家庭用品 &gt; 寝具 &gt; こたつ布団</t>
  </si>
  <si>
    <t>0,24198,42160,2084006343,2084245307</t>
  </si>
  <si>
    <t>布団圧縮袋</t>
  </si>
  <si>
    <t>スネ</t>
  </si>
  <si>
    <t>オークション &gt; 住まい、インテリア &gt; 家庭用品 &gt; 寝具 &gt; 布団圧縮袋</t>
  </si>
  <si>
    <t>オークション &gt; 食品、飲料 &gt; 肉類 &gt; 牛肉 &gt; スネ</t>
  </si>
  <si>
    <t>0,24198,42160,2084006343,2084061898</t>
  </si>
  <si>
    <t>0,23976,2084005795,2084045150,2084064298</t>
  </si>
  <si>
    <t>オークション &gt; 住まい、インテリア &gt; 家庭用品 &gt; 寝具 &gt; ふとん乾燥機</t>
  </si>
  <si>
    <t>0,24198,42160,2084006343,2084042679</t>
  </si>
  <si>
    <t>タン</t>
  </si>
  <si>
    <t>オークション &gt; 食品、飲料 &gt; 肉類 &gt; 牛肉 &gt; タン</t>
  </si>
  <si>
    <t>0,23976,2084005795,2084045150,2084064299</t>
  </si>
  <si>
    <t>オークション &gt; 住まい、インテリア &gt; 家庭用品 &gt; 寝具 &gt; アウトドア用</t>
  </si>
  <si>
    <t>0,24198,42160,2084006343,24970</t>
  </si>
  <si>
    <t>クッション</t>
  </si>
  <si>
    <t>オークション &gt; 住まい、インテリア &gt; 家庭用品 &gt; 寝具 &gt; クッション</t>
  </si>
  <si>
    <t>0,24198,42160,2084006343,2084024354</t>
  </si>
  <si>
    <t>オークション &gt; 食品、飲料 &gt; 肉類 &gt; 牛肉 &gt; バラ</t>
  </si>
  <si>
    <t>0,23976,2084005795,2084045150,2084064301</t>
  </si>
  <si>
    <t>オークション &gt; 住まい、インテリア &gt; 家庭用品 &gt; 寝具 &gt; その他</t>
  </si>
  <si>
    <t>0,24198,42160,2084006343,2084006354</t>
  </si>
  <si>
    <t>ヒレ</t>
  </si>
  <si>
    <t>オークション &gt; 食品、飲料 &gt; 肉類 &gt; 牛肉 &gt; ヒレ</t>
  </si>
  <si>
    <t>0,23976,2084005795,2084045150,2084064300</t>
  </si>
  <si>
    <t>ホルモン、内臓</t>
  </si>
  <si>
    <t>洗濯洗剤</t>
  </si>
  <si>
    <t>オークション &gt; 食品、飲料 &gt; 肉類 &gt; 牛肉 &gt; ホルモン、内臓</t>
  </si>
  <si>
    <t>オークション &gt; 住まい、インテリア &gt; 家庭用品 &gt; 洗濯用品 &gt; 洗濯洗剤</t>
  </si>
  <si>
    <t>0,23976,2084005795,2084045150,2084064302</t>
  </si>
  <si>
    <t>0,24198,42160,2084024430,2084024431</t>
  </si>
  <si>
    <t>ハンガー、ピンチ</t>
  </si>
  <si>
    <t>オークション &gt; 住まい、インテリア &gt; 家庭用品 &gt; 洗濯用品 &gt; ハンガー、ピンチ</t>
  </si>
  <si>
    <t>オークション &gt; 食品、飲料 &gt; 肉類 &gt; 牛肉 &gt; モモ</t>
  </si>
  <si>
    <t>0,24198,42160,2084024430,2084024432</t>
  </si>
  <si>
    <t>0,23976,2084005795,2084045150,2084064294</t>
  </si>
  <si>
    <t>ランドリーバスケット</t>
  </si>
  <si>
    <t>オークション &gt; 住まい、インテリア &gt; 家庭用品 &gt; 洗濯用品 &gt; ランドリーバスケット</t>
  </si>
  <si>
    <t>ロース</t>
  </si>
  <si>
    <t>0,24198,42160,2084024430,2084024440</t>
  </si>
  <si>
    <t>オークション &gt; 食品、飲料 &gt; 肉類 &gt; 牛肉 &gt; ロース</t>
  </si>
  <si>
    <t>0,23976,2084005795,2084045150,2084064296</t>
  </si>
  <si>
    <t>洗濯機ラック、ランドリーラック</t>
  </si>
  <si>
    <t>肩</t>
  </si>
  <si>
    <t>オークション &gt; 住まい、インテリア &gt; 家庭用品 &gt; 洗濯用品 &gt; 洗濯機ラック、ランドリーラック</t>
  </si>
  <si>
    <t>オークション &gt; 食品、飲料 &gt; 肉類 &gt; 牛肉 &gt; 肩</t>
  </si>
  <si>
    <t>0,24198,42160,2084024430,2084288026</t>
  </si>
  <si>
    <t>0,23976,2084005795,2084045150,2084064295</t>
  </si>
  <si>
    <t>オークション &gt; 住まい、インテリア &gt; 家庭用品 &gt; 洗濯用品 &gt; アイロン台</t>
  </si>
  <si>
    <t>0,24198,42160,2084024430,2084024441</t>
  </si>
  <si>
    <t>オークション &gt; 食品、飲料 &gt; 肉類 &gt; 牛肉 &gt; 加工品</t>
  </si>
  <si>
    <t>0,23976,2084005795,2084045150,2084217295</t>
  </si>
  <si>
    <t>アイロン</t>
  </si>
  <si>
    <t>オークション &gt; 住まい、インテリア &gt; 家庭用品 &gt; 洗濯用品 &gt; アイロン</t>
  </si>
  <si>
    <t>0,24198,42160,2084024430,2084008355</t>
  </si>
  <si>
    <t>オークション &gt; 食品、飲料 &gt; 肉類 &gt; 牛肉 &gt; その他</t>
  </si>
  <si>
    <t>0,23976,2084005795,2084045150,2084064303</t>
  </si>
  <si>
    <t>布団干し台</t>
  </si>
  <si>
    <t>オークション &gt; 住まい、インテリア &gt; 家庭用品 &gt; 洗濯用品 &gt; 布団干し台</t>
  </si>
  <si>
    <t>0,24198,42160,2084024430,2084288029</t>
  </si>
  <si>
    <t>オークション &gt; 食品、飲料 &gt; 肉類 &gt; 鶏肉 &gt; セット、詰め合わせ</t>
  </si>
  <si>
    <t>0,23976,2084005795,2084045151,2084217294</t>
  </si>
  <si>
    <t>物干し竿、ロープ</t>
  </si>
  <si>
    <t>オークション &gt; 住まい、インテリア &gt; 家庭用品 &gt; 洗濯用品 &gt; 物干し竿、ロープ</t>
  </si>
  <si>
    <t>0,24198,42160,2084024430,2084024439</t>
  </si>
  <si>
    <t>骨付き肉</t>
  </si>
  <si>
    <t>オークション &gt; 食品、飲料 &gt; 肉類 &gt; 鶏肉 &gt; 骨付き肉</t>
  </si>
  <si>
    <t>0,23976,2084005795,2084045151,2084217287</t>
  </si>
  <si>
    <t>物干し台（屋外用）</t>
  </si>
  <si>
    <t>オークション &gt; 住まい、インテリア &gt; 家庭用品 &gt; 洗濯用品 &gt; 物干し台（屋外用）</t>
  </si>
  <si>
    <t>正肉</t>
  </si>
  <si>
    <t>0,24198,42160,2084024430,2084288028</t>
  </si>
  <si>
    <t>オークション &gt; 食品、飲料 &gt; 肉類 &gt; 鶏肉 &gt; 正肉</t>
  </si>
  <si>
    <t>0,23976,2084005795,2084045151,2084217288</t>
  </si>
  <si>
    <t>物干し台（室内用）</t>
  </si>
  <si>
    <t>オークション &gt; 住まい、インテリア &gt; 家庭用品 &gt; 洗濯用品 &gt; 物干し台（室内用）</t>
  </si>
  <si>
    <t>0,24198,42160,2084024430,2084288027</t>
  </si>
  <si>
    <t>オークション &gt; 食品、飲料 &gt; 肉類 &gt; 鶏肉 &gt; 加工品</t>
  </si>
  <si>
    <t>オークション &gt; 住まい、インテリア &gt; 家庭用品 &gt; 洗濯用品 &gt; 衣類乾燥機</t>
  </si>
  <si>
    <t>0,23976,2084005795,2084045151,2084217286</t>
  </si>
  <si>
    <t>0,24198,42160,2084024430,2084042682</t>
  </si>
  <si>
    <t>洗濯機</t>
  </si>
  <si>
    <t>オークション &gt; 食品、飲料 &gt; 肉類 &gt; 鶏肉 &gt; その他</t>
  </si>
  <si>
    <t>オークション &gt; 住まい、インテリア &gt; 家庭用品 &gt; 洗濯用品 &gt; 洗濯機</t>
  </si>
  <si>
    <t>0,24198,42160,2084024430,24454</t>
  </si>
  <si>
    <t>0,23976,2084005795,2084045151,2084217293</t>
  </si>
  <si>
    <t>洗濯機パン</t>
  </si>
  <si>
    <t>オークション &gt; 住まい、インテリア &gt; 家庭用品 &gt; 洗濯用品 &gt; 洗濯機パン</t>
  </si>
  <si>
    <t>0,24198,42160,2084024430,2084303433</t>
  </si>
  <si>
    <t>洗濯機排水トラップ</t>
  </si>
  <si>
    <t>オークション &gt; 住まい、インテリア &gt; 家庭用品 &gt; 洗濯用品 &gt; 洗濯機排水トラップ</t>
  </si>
  <si>
    <t>0,24198,42160,2084024430,2084303434</t>
  </si>
  <si>
    <t>オークション &gt; 住まい、インテリア &gt; 家庭用品 &gt; 洗濯用品 &gt; その他</t>
  </si>
  <si>
    <t>オークション &gt; 食品、飲料 &gt; 肉類 &gt; 豚肉 &gt; セット、詰め合わせ</t>
  </si>
  <si>
    <t>0,24198,42160,2084024430,2084024442</t>
  </si>
  <si>
    <t>0,23976,2084005795,2084045152,2084211041</t>
  </si>
  <si>
    <t>オークション &gt; 食品、飲料 &gt; 肉類 &gt; 豚肉 &gt; スネ</t>
  </si>
  <si>
    <t>0,23976,2084005795,2084045152,2084209989</t>
  </si>
  <si>
    <t>洗剤、クリーナー</t>
  </si>
  <si>
    <t>オークション &gt; 住まい、インテリア &gt; 家庭用品 &gt; 掃除用品 &gt; 洗剤、クリーナー</t>
  </si>
  <si>
    <t>0,24198,42160,2084024446,2084024449</t>
  </si>
  <si>
    <t>オークション &gt; 食品、飲料 &gt; 肉類 &gt; 豚肉 &gt; バラ</t>
  </si>
  <si>
    <t>0,23976,2084005795,2084045152,2084209990</t>
  </si>
  <si>
    <t>掃除一般</t>
  </si>
  <si>
    <t>オークション &gt; 住まい、インテリア &gt; 家庭用品 &gt; 掃除用品 &gt; 掃除一般</t>
  </si>
  <si>
    <t>0,24198,42160,2084024446,2084024447</t>
  </si>
  <si>
    <t>オークション &gt; 食品、飲料 &gt; 肉類 &gt; 豚肉 &gt; ヒレ</t>
  </si>
  <si>
    <t>0,23976,2084005795,2084045152,2084209991</t>
  </si>
  <si>
    <t>オークション &gt; 住まい、インテリア &gt; 家庭用品 &gt; 掃除用品 &gt; その他</t>
  </si>
  <si>
    <t>0,24198,42160,2084024446,2084024448</t>
  </si>
  <si>
    <t>オークション &gt; 食品、飲料 &gt; 肉類 &gt; 豚肉 &gt; モモ</t>
  </si>
  <si>
    <t>0,23976,2084005795,2084045152,2084209992</t>
  </si>
  <si>
    <t>オークション &gt; 食品、飲料 &gt; 肉類 &gt; 豚肉 &gt; ロース</t>
  </si>
  <si>
    <t>0,23976,2084005795,2084045152,2084209993</t>
  </si>
  <si>
    <t>肩ロース</t>
  </si>
  <si>
    <t>オークション &gt; 食品、飲料 &gt; 肉類 &gt; 豚肉 &gt; 肩ロース</t>
  </si>
  <si>
    <t>0,23976,2084005795,2084045152,2084209988</t>
  </si>
  <si>
    <t>オークション &gt; 食品、飲料 &gt; 肉類 &gt; 豚肉 &gt; 加工品</t>
  </si>
  <si>
    <t>0,23976,2084005795,2084045152,2084217296</t>
  </si>
  <si>
    <t>トイレ用</t>
  </si>
  <si>
    <t>オークション &gt; 食品、飲料 &gt; 肉類 &gt; 豚肉 &gt; その他</t>
  </si>
  <si>
    <t>オークション &gt; 住まい、インテリア &gt; 家庭用品 &gt; 芳香剤、消臭剤 &gt; トイレ用</t>
  </si>
  <si>
    <t>0,23976,2084005795,2084045152,2084209994</t>
  </si>
  <si>
    <t>0,24198,42160,2084024425,2084024427</t>
  </si>
  <si>
    <t>牛肉</t>
  </si>
  <si>
    <t>オークション &gt; 食品、飲料 &gt; 肉類 &gt; 加工品 &gt; 牛肉</t>
  </si>
  <si>
    <t>0,23976,2084005795,2084217301,2084217295</t>
  </si>
  <si>
    <t>オークション &gt; 住まい、インテリア &gt; 家庭用品 &gt; 芳香剤、消臭剤 &gt; ポプリ</t>
  </si>
  <si>
    <t>0,24198,42160,2084024425,2084047755</t>
  </si>
  <si>
    <t>鶏肉</t>
  </si>
  <si>
    <t>オークション &gt; 食品、飲料 &gt; 肉類 &gt; 加工品 &gt; 鶏肉</t>
  </si>
  <si>
    <t>0,23976,2084005795,2084217301,2084217286</t>
  </si>
  <si>
    <t>車用</t>
  </si>
  <si>
    <t>オークション &gt; 住まい、インテリア &gt; 家庭用品 &gt; 芳香剤、消臭剤 &gt; 車用</t>
  </si>
  <si>
    <t>豚肉</t>
  </si>
  <si>
    <t>0,24198,42160,2084024425,2084024426</t>
  </si>
  <si>
    <t>オークション &gt; 食品、飲料 &gt; 肉類 &gt; 加工品 &gt; 豚肉</t>
  </si>
  <si>
    <t>0,23976,2084005795,2084217301,2084217296</t>
  </si>
  <si>
    <t>部屋用</t>
  </si>
  <si>
    <t>オークション &gt; 住まい、インテリア &gt; 家庭用品 &gt; 芳香剤、消臭剤 &gt; 部屋用</t>
  </si>
  <si>
    <t>0,24198,42160,2084024425,2084024428</t>
  </si>
  <si>
    <t>ベーコン</t>
  </si>
  <si>
    <t>オークション &gt; 食品、飲料 &gt; 肉類 &gt; 加工品 &gt; ベーコン</t>
  </si>
  <si>
    <t>0,23976,2084005795,2084217301,2084217298</t>
  </si>
  <si>
    <t>制汗、デオドラント剤</t>
  </si>
  <si>
    <t>オークション &gt; 住まい、インテリア &gt; 家庭用品 &gt; 芳香剤、消臭剤 &gt; 制汗、デオドラント剤</t>
  </si>
  <si>
    <t>0,24198,42160,2084024425,2084049742</t>
  </si>
  <si>
    <t>ハム、ソーセージ</t>
  </si>
  <si>
    <t>オークション &gt; 食品、飲料 &gt; 肉類 &gt; 加工品 &gt; ハム、ソーセージ</t>
  </si>
  <si>
    <t>0,23976,2084005795,2084217301,2084045148</t>
  </si>
  <si>
    <t>脚用消臭用品</t>
  </si>
  <si>
    <t>オークション &gt; 住まい、インテリア &gt; 家庭用品 &gt; 芳香剤、消臭剤 &gt; 脚用消臭用品</t>
  </si>
  <si>
    <t>オークション &gt; 食品、飲料 &gt; 肉類 &gt; 加工品 &gt; その他</t>
  </si>
  <si>
    <t>0,23976,2084005795,2084217301,2084217307</t>
  </si>
  <si>
    <t>0,24198,42160,2084024425,2084063418</t>
  </si>
  <si>
    <t>無洗米</t>
  </si>
  <si>
    <t>オークション &gt; 住まい、インテリア &gt; 家庭用品 &gt; 芳香剤、消臭剤 &gt; その他</t>
  </si>
  <si>
    <t>オークション &gt; 食品、飲料 &gt; 米、穀類、シリアル &gt; 米 &gt; 無洗米</t>
  </si>
  <si>
    <t>0,24198,42160,2084024425,2084024429</t>
  </si>
  <si>
    <t>0,23976,2084006748,2084059762,2084312158</t>
  </si>
  <si>
    <t>白米</t>
  </si>
  <si>
    <t>オークション &gt; 食品、飲料 &gt; 米、穀類、シリアル &gt; 米 &gt; 白米</t>
  </si>
  <si>
    <t>0,23976,2084006748,2084059762,2084062645</t>
  </si>
  <si>
    <t>0,24242,20924,24414</t>
  </si>
  <si>
    <t>玄米</t>
  </si>
  <si>
    <t>オークション &gt; 食品、飲料 &gt; 米、穀類、シリアル &gt; 米 &gt; 玄米</t>
  </si>
  <si>
    <t>0,23976,2084006748,2084059762,2084062646</t>
  </si>
  <si>
    <t>0,24242,20924,2084008354</t>
  </si>
  <si>
    <t>もち米</t>
  </si>
  <si>
    <t>オークション &gt; 食品、飲料 &gt; 米、穀類、シリアル &gt; 米 &gt; もち米</t>
  </si>
  <si>
    <t>0,23976,2084006748,2084059762,2084226963</t>
  </si>
  <si>
    <t>0,24242,20924,2084042445</t>
  </si>
  <si>
    <t>オークション &gt; 食品、飲料 &gt; 野菜、果物 &gt; 野菜 &gt; セット、詰め合わせ</t>
  </si>
  <si>
    <t>0,23976,2084006751,2084048838,2084210017</t>
  </si>
  <si>
    <t>0,24242,20924,2084045848</t>
  </si>
  <si>
    <t>アスパラガス</t>
  </si>
  <si>
    <t>オークション &gt; 食品、飲料 &gt; 野菜、果物 &gt; 野菜 &gt; アスパラガス</t>
  </si>
  <si>
    <t>0,23976,2084006751,2084048838,2084210027</t>
  </si>
  <si>
    <t>0,24242,20924,2084042444</t>
  </si>
  <si>
    <t>かぼちゃ</t>
  </si>
  <si>
    <t>オークション &gt; 食品、飲料 &gt; 野菜、果物 &gt; 野菜 &gt; かぼちゃ</t>
  </si>
  <si>
    <t>0,23976,2084006751,2084048838,2084214361</t>
  </si>
  <si>
    <t>0,24242,20924,2084063304</t>
  </si>
  <si>
    <t>ごぼう</t>
  </si>
  <si>
    <t>オークション &gt; 食品、飲料 &gt; 野菜、果物 &gt; 野菜 &gt; ごぼう</t>
  </si>
  <si>
    <t>0,23976,2084006751,2084048838,2084289194</t>
  </si>
  <si>
    <t>0,24242,20924,2084063305</t>
  </si>
  <si>
    <t>キノコ</t>
  </si>
  <si>
    <t>オークション &gt; 食品、飲料 &gt; 野菜、果物 &gt; 野菜 &gt; キノコ</t>
  </si>
  <si>
    <t>0,23976,2084006751,2084048838,2084215043</t>
  </si>
  <si>
    <t>0,24242,20924,2084006705</t>
  </si>
  <si>
    <t>キャベツ</t>
  </si>
  <si>
    <t>オークション &gt; 食品、飲料 &gt; 野菜、果物 &gt; 野菜 &gt; キャベツ</t>
  </si>
  <si>
    <t>0,23976,2084006751,2084048838,2084210024</t>
  </si>
  <si>
    <t>オークション &gt; スポー</t>
  </si>
  <si>
    <t>さつまいも</t>
  </si>
  <si>
    <t>0,24242,20924,2084042440</t>
  </si>
  <si>
    <t>オークション &gt; 食品、飲料 &gt; 野菜、果物 &gt; 野菜 &gt; さつまいも</t>
  </si>
  <si>
    <t>0,23976,2084006751,2084048838,2084289699</t>
  </si>
  <si>
    <t>しょうが</t>
  </si>
  <si>
    <t>0,24242,20924,2084042442</t>
  </si>
  <si>
    <t>オークション &gt; 食品、飲料 &gt; 野菜、果物 &gt; 野菜 &gt; しょうが</t>
  </si>
  <si>
    <t>0,23976,2084006751,2084048838,2084289195</t>
  </si>
  <si>
    <t>じゃがいも</t>
  </si>
  <si>
    <t>0,24242,20924,2084305345</t>
  </si>
  <si>
    <t>オークション &gt; 食品、飲料 &gt; 野菜、果物 &gt; 野菜 &gt; じゃがいも</t>
  </si>
  <si>
    <t>0,23976,2084006751,2084048838,2084289700</t>
  </si>
  <si>
    <t>スイカ</t>
  </si>
  <si>
    <t>0,24242,20924,2084042443</t>
  </si>
  <si>
    <t>オークション &gt; 食品、飲料 &gt; 野菜、果物 &gt; 野菜 &gt; スイカ</t>
  </si>
  <si>
    <t>0,23976,2084006751,2084048838,2084211039</t>
  </si>
  <si>
    <t>山菜</t>
  </si>
  <si>
    <t>0,24242,20924,2084305332</t>
  </si>
  <si>
    <t>オークション &gt; 食品、飲料 &gt; 野菜、果物 &gt; 野菜 &gt; 山菜</t>
  </si>
  <si>
    <t>0,23976,2084006751,2084048838,2084215042</t>
  </si>
  <si>
    <t>0,24242,20924,2084063367</t>
  </si>
  <si>
    <t>たけのこ</t>
  </si>
  <si>
    <t>オークション &gt; 食品、飲料 &gt; 野菜、果物 &gt; 野菜 &gt; たけのこ</t>
  </si>
  <si>
    <t>0,23976,2084006751,2084048838,2084210028</t>
  </si>
  <si>
    <t>0,24242,20924,25864</t>
  </si>
  <si>
    <t>たまねぎ</t>
  </si>
  <si>
    <t>オークション &gt; 食品、飲料 &gt; 野菜、果物 &gt; 野菜 &gt; たまねぎ</t>
  </si>
  <si>
    <t>0,24242,20924,2084008951</t>
  </si>
  <si>
    <t>0,23976,2084006751,2084048838,2084289181</t>
  </si>
  <si>
    <t>だいこん</t>
  </si>
  <si>
    <t>オークション &gt; 食品、飲料 &gt; 野菜、果物 &gt; 野菜 &gt; だいこん</t>
  </si>
  <si>
    <t>0,24242,20924,20124</t>
  </si>
  <si>
    <t>0,23976,2084006751,2084048838,2084210019</t>
  </si>
  <si>
    <t>とうもろこし</t>
  </si>
  <si>
    <t>オークション &gt; 食品、飲料 &gt; 野菜、果物 &gt; 野菜 &gt; とうもろこし</t>
  </si>
  <si>
    <t>0,24242,20924,2084045790</t>
  </si>
  <si>
    <t>0,23976,2084006751,2084048838,2084212764</t>
  </si>
  <si>
    <t>トマト</t>
  </si>
  <si>
    <t>0,24242,20924,2084220297</t>
  </si>
  <si>
    <t>オークション &gt; 食品、飲料 &gt; 野菜、果物 &gt; 野菜 &gt; トマト</t>
  </si>
  <si>
    <t>0,23976,2084006751,2084048838,2084210032</t>
  </si>
  <si>
    <t>なす</t>
  </si>
  <si>
    <t>0,24242,20924,2084042439</t>
  </si>
  <si>
    <t>オークション &gt; 食品、飲料 &gt; 野菜、果物 &gt; 野菜 &gt; なす</t>
  </si>
  <si>
    <t>0,23976,2084006751,2084048838,2084210034</t>
  </si>
  <si>
    <t>にんじん</t>
  </si>
  <si>
    <t>オークション &gt; 食品、飲料 &gt; 野菜、果物 &gt; 野菜 &gt; にんじん</t>
  </si>
  <si>
    <t>0,23976,2084006751,2084048838,2084210020</t>
  </si>
  <si>
    <t>ブランド/デザイナー別</t>
  </si>
  <si>
    <t>オークション &gt; 住まい、インテリア &gt; 収納 &gt; リビング収納 &gt; ブランド/デザイナー別</t>
  </si>
  <si>
    <t>0,24198,2084288099,2084288100,2084283581</t>
  </si>
  <si>
    <t>にんにく</t>
  </si>
  <si>
    <t>ごみ箱</t>
  </si>
  <si>
    <t>オークション &gt; 食品、飲料 &gt; 野菜、果物 &gt; 野菜 &gt; にんにく</t>
  </si>
  <si>
    <t>オークション &gt; 住まい、インテリア &gt; 収納 &gt; リビング収納 &gt; ごみ箱</t>
  </si>
  <si>
    <t>0,23976,2084006751,2084048838,2084289182</t>
  </si>
  <si>
    <t>0,24198,2084288099,2084288100,2084024335</t>
  </si>
  <si>
    <t>ねぎ</t>
  </si>
  <si>
    <t>サイドボード</t>
  </si>
  <si>
    <t>オークション &gt; 食品、飲料 &gt; 野菜、果物 &gt; 野菜 &gt; ねぎ</t>
  </si>
  <si>
    <t>オークション &gt; 住まい、インテリア &gt; 収納 &gt; リビング収納 &gt; サイドボード</t>
  </si>
  <si>
    <t>0,23976,2084006751,2084048838,2084289186</t>
  </si>
  <si>
    <t>0,24198,2084288099,2084288100,2084048445</t>
  </si>
  <si>
    <t>ピーマン</t>
  </si>
  <si>
    <t>オークション &gt; 食品、飲料 &gt; 野菜、果物 &gt; 野菜 &gt; ピーマン</t>
  </si>
  <si>
    <t>タンス、チェスト</t>
  </si>
  <si>
    <t>0,23976,2084006751,2084048838,2084210033</t>
  </si>
  <si>
    <t>オークション &gt; 住まい、インテリア &gt; 収納 &gt; リビング収納 &gt; タンス、チェスト</t>
  </si>
  <si>
    <t>0,24198,2084288099,2084288100,2084005508</t>
  </si>
  <si>
    <t>ブロッコリー</t>
  </si>
  <si>
    <t>オークション &gt; 食品、飲料 &gt; 野菜、果物 &gt; 野菜 &gt; ブロッコリー</t>
  </si>
  <si>
    <t>0,23976,2084006751,2084048838,2084210037</t>
  </si>
  <si>
    <t>白菜</t>
  </si>
  <si>
    <t>オークション &gt; 食品、飲料 &gt; 野菜、果物 &gt; 野菜 &gt; 白菜</t>
  </si>
  <si>
    <t>オークション &gt; 住まい、インテリア &gt; 収納 &gt; リビング収納 &gt; テレビ台、AVボード</t>
  </si>
  <si>
    <t>0,23976,2084006751,2084048838,2084289185</t>
  </si>
  <si>
    <t>0,24198,2084288099,2084288100,2084015554</t>
  </si>
  <si>
    <t>豆類</t>
  </si>
  <si>
    <t>バスケット、かご</t>
  </si>
  <si>
    <t>オークション &gt; 食品、飲料 &gt; 野菜、果物 &gt; 野菜 &gt; 豆類</t>
  </si>
  <si>
    <t>オークション &gt; 住まい、インテリア &gt; 収納 &gt; リビング収納 &gt; バスケット、かご</t>
  </si>
  <si>
    <t>0,23976,2084006751,2084048838,2084210039</t>
  </si>
  <si>
    <t>0,24198,2084288099,2084288100,2084061433</t>
  </si>
  <si>
    <t>マガジンラック</t>
  </si>
  <si>
    <t>らっきょう</t>
  </si>
  <si>
    <t>オークション &gt; 住まい、インテリア &gt; 収納 &gt; リビング収納 &gt; マガジンラック</t>
  </si>
  <si>
    <t>0,24198,2084288099,2084288100,2084024351</t>
  </si>
  <si>
    <t>オークション &gt; 食品、飲料 &gt; 野菜、果物 &gt; 野菜 &gt; らっきょう</t>
  </si>
  <si>
    <t>0,23976,2084006751,2084048838,2084289183</t>
  </si>
  <si>
    <t>小物入れ</t>
  </si>
  <si>
    <t>オークション &gt; 住まい、インテリア &gt; 収納 &gt; リビング収納 &gt; 小物入れ</t>
  </si>
  <si>
    <t>れんこん</t>
  </si>
  <si>
    <t>0,24198,2084288099,2084288100,2084047648</t>
  </si>
  <si>
    <t>オークション &gt; 食品、飲料 &gt; 野菜、果物 &gt; 野菜 &gt; れんこん</t>
  </si>
  <si>
    <t>0,23976,2084006751,2084048838,2084289193</t>
  </si>
  <si>
    <t>飾り棚</t>
  </si>
  <si>
    <t>オークション &gt; 住まい、インテリア &gt; 収納 &gt; リビング収納 &gt; 飾り棚</t>
  </si>
  <si>
    <t>0,24198,2084288099,2084288100,2084015555</t>
  </si>
  <si>
    <t>レタス</t>
  </si>
  <si>
    <t>オークション &gt; 食品、飲料 &gt; 野菜、果物 &gt; 野菜 &gt; レタス</t>
  </si>
  <si>
    <t>0,23976,2084006751,2084048838,2084289184</t>
  </si>
  <si>
    <t>電話台</t>
  </si>
  <si>
    <t>オークション &gt; 住まい、インテリア &gt; 収納 &gt; リビング収納 &gt; 電話台</t>
  </si>
  <si>
    <t>0,24198,2084288099,2084288100,2084048868</t>
  </si>
  <si>
    <t>オークション &gt; 食品、飲料 &gt; 野菜、果物 &gt; 野菜 &gt; その他</t>
  </si>
  <si>
    <t>0,23976,2084006751,2084048838,2084210040</t>
  </si>
  <si>
    <t>本棚</t>
  </si>
  <si>
    <t>オークション &gt; 住まい、インテリア &gt; 収納 &gt; リビング収納 &gt; 本棚</t>
  </si>
  <si>
    <t>0,24198,2084288099,2084288100,2084015557</t>
  </si>
  <si>
    <t>オークション &gt; 食品、飲料 &gt; 野菜、果物 &gt; 果物 &gt; セット、詰め合わせ</t>
  </si>
  <si>
    <t>0,23976,2084006751,2084048839,2084064325</t>
  </si>
  <si>
    <t>オークション &gt; 住まい、インテリア &gt; 収納 &gt; リビング収納 &gt; その他</t>
  </si>
  <si>
    <t>0,24198,2084288099,2084288100,2084288112</t>
  </si>
  <si>
    <t>イチゴ</t>
  </si>
  <si>
    <t>オークション &gt; 食品、飲料 &gt; 野菜、果物 &gt; 果物 &gt; イチゴ</t>
  </si>
  <si>
    <t>0,23976,2084006751,2084048839,2084064327</t>
  </si>
  <si>
    <t>かんきつ類</t>
  </si>
  <si>
    <t>オークション &gt; 食品、飲料 &gt; 野菜、果物 &gt; 果物 &gt; かんきつ類</t>
  </si>
  <si>
    <t>オークション &gt; 住まい、インテリア &gt; 収納 &gt; キッチン収納 &gt; キッチンカウンター</t>
  </si>
  <si>
    <t>0,24198,2084288099,2084288113,2084288030</t>
  </si>
  <si>
    <t>0,23976,2084006751,2084048839,2084064329</t>
  </si>
  <si>
    <t>柿</t>
  </si>
  <si>
    <t>オークション &gt; 住まい、インテリア &gt; 収納 &gt; キッチン収納 &gt; キッチン用ごみ箱</t>
  </si>
  <si>
    <t>0,24198,2084288099,2084288113,2084288032</t>
  </si>
  <si>
    <t>オークション &gt; 食品、飲料 &gt; 野菜、果物 &gt; 果物 &gt; 柿</t>
  </si>
  <si>
    <t>0,23976,2084006751,2084048839,2084064328</t>
  </si>
  <si>
    <t>栗</t>
  </si>
  <si>
    <t>オークション &gt; 食品、飲料 &gt; 野菜、果物 &gt; 果物 &gt; 栗</t>
  </si>
  <si>
    <t>オークション &gt; 住まい、インテリア &gt; 収納 &gt; キッチン収納 &gt; レンジ台</t>
  </si>
  <si>
    <t>0,23976,2084006751,2084048839,2084214362</t>
  </si>
  <si>
    <t>0,24198,2084288099,2084288113,2084015552</t>
  </si>
  <si>
    <t>さくらんぼ</t>
  </si>
  <si>
    <t>オークション &gt; 食品、飲料 &gt; 野菜、果物 &gt; 果物 &gt; さくらんぼ</t>
  </si>
  <si>
    <t>0,23976,2084006751,2084048839,2084226962</t>
  </si>
  <si>
    <t>オークション &gt; 住まい、インテリア &gt; 収納 &gt; キッチン収納 &gt; ワインラック</t>
  </si>
  <si>
    <t>0,24198,2084288099,2084288113,2084015569</t>
  </si>
  <si>
    <t>オークション &gt; 食品、飲料 &gt; 野菜、果物 &gt; 果物 &gt; スイカ</t>
  </si>
  <si>
    <t>0,23976,2084006751,2084048839,2084211039</t>
  </si>
  <si>
    <t>オークション &gt; 住まい、インテリア &gt; 収納 &gt; キッチン収納 &gt; ワゴン</t>
  </si>
  <si>
    <t>0,24198,2084288099,2084288113,2084015573</t>
  </si>
  <si>
    <t>梨</t>
  </si>
  <si>
    <t>オークション &gt; 食品、飲料 &gt; 野菜、果物 &gt; 果物 &gt; 梨</t>
  </si>
  <si>
    <t>0,23976,2084006751,2084048839,2084064330</t>
  </si>
  <si>
    <t>オークション &gt; 住まい、インテリア &gt; 収納 &gt; キッチン収納 &gt; 食器棚</t>
  </si>
  <si>
    <t>0,24198,2084288099,2084288113,2084015553</t>
  </si>
  <si>
    <t>バナナ</t>
  </si>
  <si>
    <t>オークション &gt; 食品、飲料 &gt; 野菜、果物 &gt; 果物 &gt; バナナ</t>
  </si>
  <si>
    <t>0,23976,2084006751,2084048839,2084064332</t>
  </si>
  <si>
    <t>オークション &gt; 住まい、インテリア &gt; 収納 &gt; キッチン収納 &gt; 調味料ラック</t>
  </si>
  <si>
    <t>0,24198,2084288099,2084288113,2084015570</t>
  </si>
  <si>
    <t>パイナップル</t>
  </si>
  <si>
    <t>オークション &gt; 住まい、インテリア &gt; 収納 &gt; キッチン収納 &gt; 米びつ</t>
  </si>
  <si>
    <t>オークション &gt; 食品、飲料 &gt; 野菜、果物 &gt; 果物 &gt; パイナップル</t>
  </si>
  <si>
    <t>0,24198,2084288099,2084288113,2084015560</t>
  </si>
  <si>
    <t>0,23976,2084006751,2084048839,2084212763</t>
  </si>
  <si>
    <t>ブドウ</t>
  </si>
  <si>
    <t>オークション &gt; 住まい、インテリア &gt; 収納 &gt; キッチン収納 &gt; 野菜ストッカー</t>
  </si>
  <si>
    <t>オークション &gt; 食品、飲料 &gt; 野菜、果物 &gt; 果物 &gt; ブドウ</t>
  </si>
  <si>
    <t>0,24198,2084288099,2084288113,2084288031</t>
  </si>
  <si>
    <t>0,23976,2084006751,2084048839,2084064333</t>
  </si>
  <si>
    <t>オークション &gt; 住まい、インテリア &gt; 収納 &gt; キッチン収納 &gt; その他</t>
  </si>
  <si>
    <t>マンゴー</t>
  </si>
  <si>
    <t>0,24198,2084288099,2084288113,2084018482</t>
  </si>
  <si>
    <t>オークション &gt; 食品、飲料 &gt; 野菜、果物 &gt; 果物 &gt; マンゴー</t>
  </si>
  <si>
    <t>0,23976,2084006751,2084048839,2084211395</t>
  </si>
  <si>
    <t>メロン</t>
  </si>
  <si>
    <t>オークション &gt; 食品、飲料 &gt; 野菜、果物 &gt; 果物 &gt; メロン</t>
  </si>
  <si>
    <t>0,23976,2084006751,2084048839,2084064334</t>
  </si>
  <si>
    <t>桃</t>
  </si>
  <si>
    <t>オークション &gt; 食品、飲料 &gt; 野菜、果物 &gt; 果物 &gt; 桃</t>
  </si>
  <si>
    <t>0,23976,2084006751,2084048839,2084064335</t>
  </si>
  <si>
    <t>リンゴ</t>
  </si>
  <si>
    <t>オークション &gt; 食品、飲料 &gt; 野菜、果物 &gt; 果物 &gt; リンゴ</t>
  </si>
  <si>
    <t>0,23976,2084006751,2084048839,2084064337</t>
  </si>
  <si>
    <t>オークション &gt; 食品、飲料 &gt; 野菜、果物 &gt; 果物 &gt; その他</t>
  </si>
  <si>
    <t>0,23976,2084006751,2084048839,2084064338</t>
  </si>
  <si>
    <t>ワイン</t>
  </si>
  <si>
    <t>収納ケース、収納箱</t>
  </si>
  <si>
    <t>オークション &gt; 住まい、インテリア &gt; 収納 &gt; 本/CD/DVD収納 &gt; 収納ケース、収納箱</t>
  </si>
  <si>
    <t>0,24198,2084288099,2084288124,2084288186</t>
  </si>
  <si>
    <t>オークション &gt; 食品、飲料 &gt; 飲料 &gt; アルコール &gt; ワイン</t>
  </si>
  <si>
    <t>0,23976,42164,2084006720,24106</t>
  </si>
  <si>
    <t>キャビネ（オフィス用）</t>
  </si>
  <si>
    <t>焼酎</t>
  </si>
  <si>
    <t>オークション &gt; 住まい、インテリア &gt; 収納 &gt; 本/CD/DVD収納 &gt; キャビネ（オフィス用）</t>
  </si>
  <si>
    <t>オークション &gt; 食品、飲料 &gt; 飲料 &gt; アルコール &gt; 焼酎</t>
  </si>
  <si>
    <t>0,24198,2084288099,2084288124,22948</t>
  </si>
  <si>
    <t>0,23976,42164,2084006720,2084041716</t>
  </si>
  <si>
    <t>日本酒</t>
  </si>
  <si>
    <t>オークション &gt; 住まい、インテリア &gt; 収納 &gt; 本/CD/DVD収納 &gt; キャビネット、デスクワゴン</t>
  </si>
  <si>
    <t>オークション &gt; 食品、飲料 &gt; 飲料 &gt; アルコール &gt; 日本酒</t>
  </si>
  <si>
    <t>0,24198,2084288099,2084288124,2084063577</t>
  </si>
  <si>
    <t>0,23976,42164,2084006720,2084006722</t>
  </si>
  <si>
    <t>ウイスキー</t>
  </si>
  <si>
    <t>オークション &gt; 食品、飲料 &gt; 飲料 &gt; アルコール &gt; ウイスキー</t>
  </si>
  <si>
    <t>オークション &gt; 住まい、インテリア &gt; 収納 &gt; 本/CD/DVD収納 &gt; サイドボード</t>
  </si>
  <si>
    <t>0,23976,42164,2084006720,2084006721</t>
  </si>
  <si>
    <t>0,24198,2084288099,2084288124,2084048445</t>
  </si>
  <si>
    <t>ブランデー</t>
  </si>
  <si>
    <t>オークション &gt; 食品、飲料 &gt; 飲料 &gt; アルコール &gt; ブランデー</t>
  </si>
  <si>
    <t>0,23976,42164,2084006720,2084006724</t>
  </si>
  <si>
    <t>オークション &gt; 住まい、インテリア &gt; 収納 &gt; 本/CD/DVD収納 &gt; テレビ台、AVボード</t>
  </si>
  <si>
    <t>ビール、発泡酒</t>
  </si>
  <si>
    <t>0,24198,2084288099,2084288124,2084015554</t>
  </si>
  <si>
    <t>オークション &gt; 食品、飲料 &gt; 飲料 &gt; アルコール &gt; ビール、発泡酒</t>
  </si>
  <si>
    <t>0,23976,42164,2084006720,2084006723</t>
  </si>
  <si>
    <t>梅酒</t>
  </si>
  <si>
    <t>オークション &gt; 食品、飲料 &gt; 飲料 &gt; アルコール &gt; 梅酒</t>
  </si>
  <si>
    <t>0,23976,42164,2084006720,2084063996</t>
  </si>
  <si>
    <t>オークション &gt; 住まい、インテリア &gt; 収納 &gt; 本/CD/DVD収納 &gt; 飾り棚</t>
  </si>
  <si>
    <t>0,24198,2084288099,2084288124,2084015555</t>
  </si>
  <si>
    <t>リキュール</t>
  </si>
  <si>
    <t>オークション &gt; 食品、飲料 &gt; 飲料 &gt; アルコール &gt; リキュール</t>
  </si>
  <si>
    <t>0,23976,42164,2084006720,2084050409</t>
  </si>
  <si>
    <t>オークション &gt; 住まい、インテリア &gt; 収納 &gt; 本/CD/DVD収納 &gt; 本棚</t>
  </si>
  <si>
    <t>0,24198,2084288099,2084288124,2084015557</t>
  </si>
  <si>
    <t>ラム酒</t>
  </si>
  <si>
    <t>オークション &gt; 食品、飲料 &gt; 飲料 &gt; アルコール &gt; ラム酒</t>
  </si>
  <si>
    <t>0,23976,42164,2084006720,2084050431</t>
  </si>
  <si>
    <t>本棚（オフィス用）</t>
  </si>
  <si>
    <t>オークション &gt; 住まい、インテリア &gt; 収納 &gt; 本/CD/DVD収納 &gt; 本棚（オフィス用）</t>
  </si>
  <si>
    <t>0,24198,2084288099,2084288124,22936</t>
  </si>
  <si>
    <t>ウォッカ</t>
  </si>
  <si>
    <t>オークション &gt; 食品、飲料 &gt; 飲料 &gt; アルコール &gt; ウォッカ</t>
  </si>
  <si>
    <t>0,23976,42164,2084006720,2084050407</t>
  </si>
  <si>
    <t>オークション &gt; 住まい、インテリア &gt; 収納 &gt; 本/CD/DVD収納 &gt; その他</t>
  </si>
  <si>
    <t>0,24198,2084288099,2084288124,2084288132</t>
  </si>
  <si>
    <t>ジン</t>
  </si>
  <si>
    <t>オークション &gt; 食品、飲料 &gt; 飲料 &gt; アルコール &gt; ジン</t>
  </si>
  <si>
    <t>0,23976,42164,2084006720,2084050408</t>
  </si>
  <si>
    <t>テキーラ</t>
  </si>
  <si>
    <t>オークション &gt; 食品、飲料 &gt; 飲料 &gt; アルコール &gt; テキーラ</t>
  </si>
  <si>
    <t>オークション &gt; 住まい、インテリア &gt; 収納 &gt; 書斎/オフィス/業務用収納 &gt; キャビネ（オフィス用）</t>
  </si>
  <si>
    <t>0,24198,2084288099,2084288133,22948</t>
  </si>
  <si>
    <t>0,23976,42164,2084006720,2084050430</t>
  </si>
  <si>
    <t>紹興酒、老酒</t>
  </si>
  <si>
    <t>オークション &gt; 住まい、インテリア &gt; 収納 &gt; 書斎/オフィス/業務用収納 &gt; キャビネット、デスクワゴン</t>
  </si>
  <si>
    <t>オークション &gt; 食品、飲料 &gt; 飲料 &gt; アルコール &gt; 紹興酒、老酒</t>
  </si>
  <si>
    <t>0,24198,2084288099,2084288133,2084063577</t>
  </si>
  <si>
    <t>0,23976,42164,2084006720,2084213016</t>
  </si>
  <si>
    <t>ショーケース</t>
  </si>
  <si>
    <t>オークション &gt; 住まい、インテリア &gt; 収納 &gt; 書斎/オフィス/業務用収納 &gt; ショーケース</t>
  </si>
  <si>
    <t>オークション &gt; 食品、飲料 &gt; 飲料 &gt; アルコール &gt; セット、詰め合わせ</t>
  </si>
  <si>
    <t>0,24198,2084288099,2084288133,2084063850</t>
  </si>
  <si>
    <t>0,23976,42164,2084006720,2084050406</t>
  </si>
  <si>
    <t>デスク</t>
  </si>
  <si>
    <t>オークション &gt; 住まい、インテリア &gt; 収納 &gt; 書斎/オフィス/業務用収納 &gt; デスク</t>
  </si>
  <si>
    <t>オークション &gt; 食品、飲料 &gt; 飲料 &gt; アルコール &gt; グラス、デカンタ</t>
  </si>
  <si>
    <t>0,24198,2084288099,2084288133,2084048037</t>
  </si>
  <si>
    <t>0,23976,42164,2084006720,2084005667</t>
  </si>
  <si>
    <t>デスク（オフィス用）</t>
  </si>
  <si>
    <t>オークション &gt; 住まい、インテリア &gt; 収納 &gt; 書斎/オフィス/業務用収納 &gt; デスク（オフィス用）</t>
  </si>
  <si>
    <t>オークション &gt; 食品、飲料 &gt; 飲料 &gt; アルコール &gt; その他</t>
  </si>
  <si>
    <t>0,24198,2084288099,2084288133,22944</t>
  </si>
  <si>
    <t>0,23976,42164,2084006720,2084006725</t>
  </si>
  <si>
    <t>オークション &gt; 住まい、インテリア &gt; 収納 &gt; 書斎/オフィス/業務用収納 &gt; ハンガーラック</t>
  </si>
  <si>
    <t>0,24198,2084288099,2084288133,2084061609</t>
  </si>
  <si>
    <t>オークション &gt; 食品、飲料 &gt; 飲料 &gt; コーヒー &gt; セット、詰め合わせ</t>
  </si>
  <si>
    <t>0,23976,42164,24006,24010</t>
  </si>
  <si>
    <t>ハンガーラック（業務用）</t>
  </si>
  <si>
    <t>インスタント</t>
  </si>
  <si>
    <t>オークション &gt; 住まい、インテリア &gt; 収納 &gt; 書斎/オフィス/業務用収納 &gt; ハンガーラック（業務用）</t>
  </si>
  <si>
    <t>オークション &gt; 食品、飲料 &gt; 飲料 &gt; コーヒー &gt; インスタント</t>
  </si>
  <si>
    <t>0,24198,2084288099,2084288133,2084263147</t>
  </si>
  <si>
    <t>0,23976,42164,24006,24014</t>
  </si>
  <si>
    <t>コーヒー飲料</t>
  </si>
  <si>
    <t>ロッカー</t>
  </si>
  <si>
    <t>オークション &gt; 食品、飲料 &gt; 飲料 &gt; コーヒー &gt; コーヒー飲料</t>
  </si>
  <si>
    <t>オークション &gt; 住まい、インテリア &gt; 収納 &gt; 書斎/オフィス/業務用収納 &gt; ロッカー</t>
  </si>
  <si>
    <t>0,24198,2084288099,2084288133,2084063844</t>
  </si>
  <si>
    <t>0,23976,42164,24006,2084050410</t>
  </si>
  <si>
    <t>金庫</t>
  </si>
  <si>
    <t>コーヒー豆</t>
  </si>
  <si>
    <t>オークション &gt; 住まい、インテリア &gt; 収納 &gt; 書斎/オフィス/業務用収納 &gt; 金庫</t>
  </si>
  <si>
    <t>オークション &gt; 食品、飲料 &gt; 飲料 &gt; コーヒー &gt; コーヒー豆</t>
  </si>
  <si>
    <t>0,24198,2084288099,2084288133,2084055706</t>
  </si>
  <si>
    <t>0,23976,42164,24006,24018</t>
  </si>
  <si>
    <t xml:space="preserve"> </t>
  </si>
  <si>
    <t>傘立て</t>
  </si>
  <si>
    <t>オークション &gt; 食品、飲料 &gt; 飲料 &gt; ソフトドリンク &gt; セット、詰め合わせ</t>
  </si>
  <si>
    <t>オークション &gt; 住まい、インテリア &gt; 収納 &gt; 書斎/オフィス/業務用収納 &gt; 傘立て</t>
  </si>
  <si>
    <t>0,23976,42164,2084006737,24026</t>
  </si>
  <si>
    <t>0,24198,2084288099,2084288133,2084024333</t>
  </si>
  <si>
    <t>オークション &gt; 住まい、インテリア &gt; 収納 &gt; 書斎/オフィス/業務用収納 &gt; 本棚</t>
  </si>
  <si>
    <t>オークション &gt; 食品、飲料 &gt; 飲料 &gt; ソフトドリンク &gt; コーヒー飲料</t>
  </si>
  <si>
    <t>0,24198,2084288099,2084288133,2084015557</t>
  </si>
  <si>
    <t>0,23976,42164,2084006737,2084050410</t>
  </si>
  <si>
    <t>オークション &gt; 住まい、インテリア &gt; 収納 &gt; 書斎/オフィス/業務用収納 &gt; 本棚（オフィス用）</t>
  </si>
  <si>
    <t>スポーツ飲料</t>
  </si>
  <si>
    <t>0,24198,2084288099,2084288133,22936</t>
  </si>
  <si>
    <t>オークション &gt; 食品、飲料 &gt; 飲料 &gt; ソフトドリンク &gt; スポーツ飲料</t>
  </si>
  <si>
    <t>0,23976,42164,2084006737,2084050411</t>
  </si>
  <si>
    <t>ミネラルウォーター</t>
  </si>
  <si>
    <t>オークション &gt; 住まい、インテリア &gt; 収納 &gt; 書斎/オフィス/業務用収納 &gt; その他</t>
  </si>
  <si>
    <t>オークション &gt; 食品、飲料 &gt; 飲料 &gt; ソフトドリンク &gt; ミネラルウォーター</t>
  </si>
  <si>
    <t>0,24198,2084288099,2084288133,2084288146</t>
  </si>
  <si>
    <t>0,23976,42164,2084006737,2084048480</t>
  </si>
  <si>
    <t>果汁飲料</t>
  </si>
  <si>
    <t>オークション &gt; 食品、飲料 &gt; 飲料 &gt; ソフトドリンク &gt; 果汁飲料</t>
  </si>
  <si>
    <t>0,23976,42164,2084006737,24022</t>
  </si>
  <si>
    <t>クローゼット、ワードローブ</t>
  </si>
  <si>
    <t>オークション &gt; 住まい、インテリア &gt; 収納 &gt; 衣類/押入/クローゼット収納 &gt; クローゼット、ワードローブ</t>
  </si>
  <si>
    <t>牛乳</t>
  </si>
  <si>
    <t>0,24198,2084288099,2084288147,2084057212</t>
  </si>
  <si>
    <t>オークション &gt; 食品、飲料 &gt; 飲料 &gt; ソフトドリンク &gt; 牛乳</t>
  </si>
  <si>
    <t>0,23976,42164,2084006737,2084050375</t>
  </si>
  <si>
    <t>衣装ケース</t>
  </si>
  <si>
    <t>オークション &gt; 住まい、インテリア &gt; 収納 &gt; 衣類/押入/クローゼット収納 &gt; 衣装ケース</t>
  </si>
  <si>
    <t>炭酸飲料</t>
  </si>
  <si>
    <t>0,24198,2084288099,2084288147,2084061512</t>
  </si>
  <si>
    <t>オークション &gt; 食品、飲料 &gt; 飲料 &gt; ソフトドリンク &gt; 炭酸飲料</t>
  </si>
  <si>
    <t>0,23976,42164,2084006737,2084050412</t>
  </si>
  <si>
    <t>洋タンス、チェスト</t>
  </si>
  <si>
    <t>オークション &gt; 住まい、インテリア &gt; 収納 &gt; 衣類/押入/クローゼット収納 &gt; 洋タンス、チェスト</t>
  </si>
  <si>
    <t>茶飲料</t>
  </si>
  <si>
    <t>0,24198,2084288099,2084288147,2084062751</t>
  </si>
  <si>
    <t>オークション &gt; 食品、飲料 &gt; 飲料 &gt; ソフトドリンク &gt; 茶飲料</t>
  </si>
  <si>
    <t>0,23976,42164,2084006737,2084050413</t>
  </si>
  <si>
    <t>野菜飲料</t>
  </si>
  <si>
    <t>オークション &gt; 食品、飲料 &gt; 飲料 &gt; ソフトドリンク &gt; 野菜飲料</t>
  </si>
  <si>
    <t>和タンス</t>
  </si>
  <si>
    <t>0,23976,42164,2084006737,2084050414</t>
  </si>
  <si>
    <t>オークション &gt; 住まい、インテリア &gt; 収納 &gt; 衣類/押入/クローゼット収納 &gt; 和タンス</t>
  </si>
  <si>
    <t>0,24198,2084288099,2084288147,2084062750</t>
  </si>
  <si>
    <t>ノンアルコールビール</t>
  </si>
  <si>
    <t>オークション &gt; 食品、飲料 &gt; 飲料 &gt; ソフトドリンク &gt; ノンアルコールビール</t>
  </si>
  <si>
    <t>0,23976,42164,2084006737,2084311110</t>
  </si>
  <si>
    <t>オークション &gt; 住まい、インテリア &gt; 収納 &gt; 衣類/押入/クローゼット収納 &gt; ハンガーラック</t>
  </si>
  <si>
    <t>0,24198,2084288099,2084288147,2084061609</t>
  </si>
  <si>
    <t>オークション &gt; 食品、飲料 &gt; 飲料 &gt; ソフトドリンク &gt; その他</t>
  </si>
  <si>
    <t>0,23976,42164,2084006737,2084050415</t>
  </si>
  <si>
    <t>オークション &gt; 住まい、インテリア &gt; 収納 &gt; 衣類/押入/クローゼット収納 &gt; ハンガーラック（業務用）</t>
  </si>
  <si>
    <t>0,24198,2084288099,2084288147,2084263147</t>
  </si>
  <si>
    <t>オークション &gt; 食品、飲料 &gt; 飲料 &gt; ミネラルウォーター &gt; セット、詰め合わせ</t>
  </si>
  <si>
    <t>0,23976,42164,2084048480,2084227194</t>
  </si>
  <si>
    <t>オークション &gt; 住まい、インテリア &gt; 収納 &gt; 衣類/押入/クローゼット収納 &gt; 布団圧縮袋</t>
  </si>
  <si>
    <t>国外</t>
  </si>
  <si>
    <t>0,24198,2084288099,2084288147,2084061898</t>
  </si>
  <si>
    <t>オークション &gt; 食品、飲料 &gt; 飲料 &gt; ミネラルウォーター &gt; 国外</t>
  </si>
  <si>
    <t>0,23976,42164,2084048480,2084227193</t>
  </si>
  <si>
    <t>オークション &gt; 住まい、インテリア &gt; 収納 &gt; 衣類/押入/クローゼット収納 &gt; その他</t>
  </si>
  <si>
    <t>0,24198,2084288099,2084288147,2084288155</t>
  </si>
  <si>
    <t>オークション &gt; 食品、飲料 &gt; 飲料 &gt; ミネラルウォーター &gt; 国内</t>
  </si>
  <si>
    <t>0,23976,42164,2084048480,2084227192</t>
  </si>
  <si>
    <t>オークション &gt; 食品、飲料 &gt; 飲料 &gt; ミネラルウォーター &gt; その他</t>
  </si>
  <si>
    <t>オークション &gt; 住まい、インテリア &gt; 収納 &gt; バス/トイレ収納 &gt; タオルかけ、タオルハンガー</t>
  </si>
  <si>
    <t>0,24198,2084288099,2084288156,2084288024</t>
  </si>
  <si>
    <t>0,23976,42164,2084048480,2084227195</t>
  </si>
  <si>
    <t>オークション &gt; 住まい、インテリア &gt; 収納 &gt; バス/トイレ収納 &gt; トイレラック</t>
  </si>
  <si>
    <t>オークション &gt; 食品、飲料 &gt; 飲料 &gt; 茶 &gt; セット、詰め合わせ</t>
  </si>
  <si>
    <t>0,24198,2084288099,2084288156,2084288021</t>
  </si>
  <si>
    <t>0,23976,42164,24102,2084050432</t>
  </si>
  <si>
    <t>ハーブティー</t>
  </si>
  <si>
    <t>ハンガー</t>
  </si>
  <si>
    <t>オークション &gt; 住まい、インテリア &gt; 収納 &gt; バス/トイレ収納 &gt; ハンガー</t>
  </si>
  <si>
    <t>オークション &gt; 食品、飲料 &gt; 飲料 &gt; 茶 &gt; ハーブティー</t>
  </si>
  <si>
    <t>0,24198,2084288099,2084288156,2084061604</t>
  </si>
  <si>
    <t>0,23976,42164,24102,2084006742</t>
  </si>
  <si>
    <t>紅茶</t>
  </si>
  <si>
    <t>オークション &gt; 食品、飲料 &gt; 飲料 &gt; 茶 &gt; 紅茶</t>
  </si>
  <si>
    <t>オークション &gt; 住まい、インテリア &gt; 収納 &gt; バス/トイレ収納 &gt; バスラック</t>
  </si>
  <si>
    <t>0,23976,42164,24102,2084006740</t>
  </si>
  <si>
    <t>0,24198,2084288099,2084288156,2084288025</t>
  </si>
  <si>
    <t>中国茶</t>
  </si>
  <si>
    <t>オークション &gt; 食品、飲料 &gt; 飲料 &gt; 茶 &gt; 中国茶</t>
  </si>
  <si>
    <t>0,23976,42164,24102,2084006739</t>
  </si>
  <si>
    <t>オークション &gt; 住まい、インテリア &gt; 収納 &gt; バス/トイレ収納 &gt; ペーパーホルダー</t>
  </si>
  <si>
    <t>0,24198,2084288099,2084288156,2084288020</t>
  </si>
  <si>
    <t>日本茶</t>
  </si>
  <si>
    <t>オークション &gt; 食品、飲料 &gt; 飲料 &gt; 茶 &gt; 日本茶</t>
  </si>
  <si>
    <t>洗面</t>
  </si>
  <si>
    <t>0,23976,42164,24102,2084006738</t>
  </si>
  <si>
    <t>オークション &gt; 住まい、インテリア &gt; 収納 &gt; バス/トイレ収納 &gt; 洗面</t>
  </si>
  <si>
    <t>0,24198,2084288099,2084288156,2084062822</t>
  </si>
  <si>
    <t>杜仲茶</t>
  </si>
  <si>
    <t>オークション &gt; 食品、飲料 &gt; 飲料 &gt; 茶 &gt; 杜仲茶</t>
  </si>
  <si>
    <t>0,23976,42164,24102,2084213823</t>
  </si>
  <si>
    <t>オークション &gt; 住まい、インテリア &gt; 収納 &gt; バス/トイレ収納 &gt; その他</t>
  </si>
  <si>
    <t>0,24198,2084288099,2084288156,2084288163</t>
  </si>
  <si>
    <t>オークション &gt; 食品、飲料 &gt; 飲料 &gt; 茶 &gt; その他</t>
  </si>
  <si>
    <t>オークション &gt; ビューティー、ヘルスケア &gt; 香水、フレグランス &gt; 女性用 &gt; アナスイ</t>
  </si>
  <si>
    <t>0,23976,42164,24102,2084006741</t>
  </si>
  <si>
    <t>オークション &gt; 住まい、インテリア &gt; 収納 &gt; ランドリー収納 &gt; ランドリーバスケット</t>
  </si>
  <si>
    <t>0,24198,2084288099,2084288164,2084024440</t>
  </si>
  <si>
    <t>オークション &gt; ビューティー、ヘルスケア &gt; 香水、フレグランス &gt; 女性用 &gt; アルマーニ</t>
  </si>
  <si>
    <t>顆粒、粉末タイプ</t>
  </si>
  <si>
    <t>オークション &gt; 食品、飲料 &gt; 健康食品 &gt; アミノ酸 &gt; 顆粒、粉末タイプ</t>
  </si>
  <si>
    <t>0,23976,24054,2084048887,2084289551</t>
  </si>
  <si>
    <t>オークション &gt; 住まい、インテリア &gt; 収納 &gt; ランドリー収納 &gt; 洗濯機ラック、ランドリーラック</t>
  </si>
  <si>
    <t>イヴ･サンローラン</t>
  </si>
  <si>
    <t>0,24198,2084288099,2084288164,2084288026</t>
  </si>
  <si>
    <t>オークション &gt; ビューティー、ヘルスケア &gt; 香水、フレグランス &gt; 女性用 &gt; イヴ･サンローラン</t>
  </si>
  <si>
    <t>タブレット、カプセルタイプ</t>
  </si>
  <si>
    <t>オークション &gt; 食品、飲料 &gt; 健康食品 &gt; アミノ酸 &gt; タブレット、カプセルタイプ</t>
  </si>
  <si>
    <t>0,23976,24054,2084048887,2084289552</t>
  </si>
  <si>
    <t>オークション &gt; 住まい、インテリア &gt; 収納 &gt; ランドリー収納 &gt; 布団干し台</t>
  </si>
  <si>
    <t>0,24198,2084288099,2084288164,2084288029</t>
  </si>
  <si>
    <t>オークション &gt; ビューティー、ヘルスケア &gt; 香水、フレグランス &gt; 女性用 &gt; エスカーダ</t>
  </si>
  <si>
    <t>オークション &gt; 食品、飲料 &gt; 健康食品 &gt; アミノ酸 &gt; その他</t>
  </si>
  <si>
    <t>0,23976,24054,2084048887,2084289553</t>
  </si>
  <si>
    <t>エスティローダー</t>
  </si>
  <si>
    <t>オークション &gt; 住まい、インテリア &gt; 収納 &gt; ランドリー収納 &gt; 物干し台（屋外用）</t>
  </si>
  <si>
    <t>オークション &gt; ビューティー、ヘルスケア &gt; 香水、フレグランス &gt; 女性用 &gt; エスティローダー</t>
  </si>
  <si>
    <t>0,24198,2084288099,2084288164,2084288028</t>
  </si>
  <si>
    <t>オークション &gt; 食品、飲料 &gt; 健康食品 &gt; コラーゲン &gt; 顆粒、粉末タイプ</t>
  </si>
  <si>
    <t>0,23976,24054,2084226950,2084289554</t>
  </si>
  <si>
    <t>エリザベス・アーデン</t>
  </si>
  <si>
    <t>オークション &gt; ビューティー、ヘルスケア &gt; 香水、フレグランス &gt; 女性用 &gt; エリザベス・アーデン</t>
  </si>
  <si>
    <t>オークション &gt; 住まい、インテリア &gt; 収納 &gt; ランドリー収納 &gt; 物干し台（室内用）</t>
  </si>
  <si>
    <t>0,24198,2084288099,2084288164,2084288027</t>
  </si>
  <si>
    <t>オークション &gt; 食品、飲料 &gt; 健康食品 &gt; コラーゲン &gt; タブレット、カプセルタイプ</t>
  </si>
  <si>
    <t>オークション &gt; ビューティー、ヘルスケア &gt; 香水、フレグランス &gt; 女性用 &gt; エルメス</t>
  </si>
  <si>
    <t>0,23976,24054,2084226950,2084289555</t>
  </si>
  <si>
    <t>オークション &gt; 住まい、インテリア &gt; 収納 &gt; ランドリー収納 &gt; その他</t>
  </si>
  <si>
    <t>0,24198,2084288099,2084288164,2084288165</t>
  </si>
  <si>
    <t>エロックス</t>
  </si>
  <si>
    <t>ドリンクタイプ</t>
  </si>
  <si>
    <t>オークション &gt; ビューティー、ヘルスケア &gt; 香水、フレグランス &gt; 女性用 &gt; エロックス</t>
  </si>
  <si>
    <t>オークション &gt; 食品、飲料 &gt; 健康食品 &gt; コラーゲン &gt; ドリンクタイプ</t>
  </si>
  <si>
    <t>0,23976,24054,2084226950,2084289556</t>
  </si>
  <si>
    <t>エンジェルハート</t>
  </si>
  <si>
    <t>オークション &gt; ビューティー、ヘルスケア &gt; 香水、フレグランス &gt; 女性用 &gt; エンジェルハート</t>
  </si>
  <si>
    <t>オークション &gt; 食品、飲料 &gt; 健康食品 &gt; コラーゲン &gt; その他</t>
  </si>
  <si>
    <t>カルバン・クライン</t>
  </si>
  <si>
    <t>0,23976,24054,2084226950,2084289557</t>
  </si>
  <si>
    <t>オークション &gt; ビューティー、ヘルスケア &gt; 香水、フレグランス &gt; 女性用 &gt; カルバン・クライン</t>
  </si>
  <si>
    <t>オークション &gt; 住まい、インテリア &gt; 収納 &gt; 玄関/屋外収納 &gt; コートハンガー</t>
  </si>
  <si>
    <t>0,24198,2084288099,2084288171,2084061611</t>
  </si>
  <si>
    <t>持久系</t>
  </si>
  <si>
    <t>オークション &gt; スポーツ、レジャー &gt; サプリメント &gt; 持久系</t>
  </si>
  <si>
    <t>クリスチャン･ディオール</t>
  </si>
  <si>
    <t>0,24698,2084062737,2084062739</t>
  </si>
  <si>
    <t>オークション &gt; ビューティー、ヘルスケア &gt; 香水、フレグランス &gt; 女性用 &gt; クリスチャン･ディオール</t>
  </si>
  <si>
    <t>スリッパラック</t>
  </si>
  <si>
    <t>オークション &gt; 住まい、インテリア &gt; 収納 &gt; 玄関/屋外収納 &gt; スリッパラック</t>
  </si>
  <si>
    <t>0,24198,2084288099,2084288171,2084048349</t>
  </si>
  <si>
    <t>クリニーク</t>
  </si>
  <si>
    <t>オークション &gt; ビューティー、ヘルスケア &gt; 香水、フレグランス &gt; 女性用 &gt; クリニーク</t>
  </si>
  <si>
    <t>下駄箱</t>
  </si>
  <si>
    <t>オークション &gt; 住まい、インテリア &gt; 収納 &gt; 玄関/屋外収納 &gt; 下駄箱</t>
  </si>
  <si>
    <t>瞬発系</t>
  </si>
  <si>
    <t>0,24198,2084288099,2084288171,2084232106</t>
  </si>
  <si>
    <t>オークション &gt; スポーツ、レジャー &gt; サプリメント &gt; 瞬発系</t>
  </si>
  <si>
    <t>0,24698,2084062737,2084062738</t>
  </si>
  <si>
    <t>オークション &gt; ビューティー、ヘルスケア &gt; 香水、フレグランス &gt; 女性用 &gt; クロエ</t>
  </si>
  <si>
    <t>オークション &gt; 住まい、インテリア &gt; 収納 &gt; 玄関/屋外収納 &gt; 傘立て</t>
  </si>
  <si>
    <t>マルチビタミン</t>
  </si>
  <si>
    <t>0,24198,2084288099,2084288171,2084024333</t>
  </si>
  <si>
    <t>オークション &gt; 食品、飲料 &gt; 健康食品 &gt; ビタミン &gt; マルチビタミン</t>
  </si>
  <si>
    <t>0,23976,24054,24066,2084289558</t>
  </si>
  <si>
    <t>オークション &gt; ビューティー、ヘルスケア &gt; 香水、フレグランス &gt; 女性用 &gt; グッチ</t>
  </si>
  <si>
    <t>物置</t>
  </si>
  <si>
    <t>オークション &gt; 住まい、インテリア &gt; 収納 &gt; 玄関/屋外収納 &gt; 物置</t>
  </si>
  <si>
    <t>0,24198,2084288099,2084288171,2084042065</t>
  </si>
  <si>
    <t>ビタミンA</t>
  </si>
  <si>
    <t>オークション &gt; 食品、飲料 &gt; 健康食品 &gt; ビタミン &gt; ビタミンA</t>
  </si>
  <si>
    <t>オークション &gt; ビューティー、ヘルスケア &gt; 香水、フレグランス &gt; 女性用 &gt; ケンゾー</t>
  </si>
  <si>
    <t>0,23976,24054,24066,2084289559</t>
  </si>
  <si>
    <t>オークション &gt; 住まい、インテリア &gt; 収納 &gt; 玄関/屋外収納 &gt; その他</t>
  </si>
  <si>
    <t>ゲラン</t>
  </si>
  <si>
    <t>0,24198,2084288099,2084288171,2084288177</t>
  </si>
  <si>
    <t>オークション &gt; ビューティー、ヘルスケア &gt; 香水、フレグランス &gt; 女性用 &gt; ゲラン</t>
  </si>
  <si>
    <t>ビタミンB</t>
  </si>
  <si>
    <t>オークション &gt; 食品、飲料 &gt; 健康食品 &gt; ビタミン &gt; ビタミンB</t>
  </si>
  <si>
    <t>0,23976,24054,24066,2084289560</t>
  </si>
  <si>
    <t>おむつ用ごみ箱</t>
  </si>
  <si>
    <t>オークション &gt; 住まい、インテリア &gt; 収納 &gt; 子ども用品収納 &gt; おむつ用ごみ箱</t>
  </si>
  <si>
    <t>オークション &gt; ビューティー、ヘルスケア &gt; 香水、フレグランス &gt; 女性用 &gt; サルヴァトーレ・フェラガモ</t>
  </si>
  <si>
    <t>0,24198,2084288099,2084288178,2084217931</t>
  </si>
  <si>
    <t>ビタミンC</t>
  </si>
  <si>
    <t>オークション &gt; 食品、飲料 &gt; 健康食品 &gt; ビタミン &gt; ビタミンC</t>
  </si>
  <si>
    <t>0,23976,24054,24066,2084289561</t>
  </si>
  <si>
    <t>オークション &gt; ビューティー、ヘルスケア &gt; 香水、フレグランス &gt; 女性用 &gt; シャネル</t>
  </si>
  <si>
    <t>オークション &gt; 住まい、インテリア &gt; 収納 &gt; 子ども用品収納 &gt; バスケット、かご</t>
  </si>
  <si>
    <t>0,24198,2084288099,2084288178,2084061433</t>
  </si>
  <si>
    <t>ビタミンD</t>
  </si>
  <si>
    <t>オークション &gt; 食品、飲料 &gt; 健康食品 &gt; ビタミン &gt; ビタミンD</t>
  </si>
  <si>
    <t>0,23976,24054,24066,2084289562</t>
  </si>
  <si>
    <t>オークション &gt; ビューティー、ヘルスケア &gt; 香水、フレグランス &gt; 女性用 &gt; ショパール</t>
  </si>
  <si>
    <t>オークション &gt; 住まい、インテリア &gt; 収納 &gt; 子ども用品収納 &gt; ベビー家具</t>
  </si>
  <si>
    <t>0,24198,2084288099,2084288178,2084008393</t>
  </si>
  <si>
    <t>ビタミンE</t>
  </si>
  <si>
    <t>ジェニファー・ロペス</t>
  </si>
  <si>
    <t>オークション &gt; 食品、飲料 &gt; 健康食品 &gt; ビタミン &gt; ビタミンE</t>
  </si>
  <si>
    <t>オークション &gt; ビューティー、ヘルスケア &gt; 香水、フレグランス &gt; 女性用 &gt; ジェニファー・ロペス</t>
  </si>
  <si>
    <t>0,23976,24054,24066,2084289563</t>
  </si>
  <si>
    <t>学習机</t>
  </si>
  <si>
    <t>オークション &gt; 住まい、インテリア &gt; 収納 &gt; 子ども用品収納 &gt; 学習机</t>
  </si>
  <si>
    <t>0,24198,2084288099,2084288178,2084063580</t>
  </si>
  <si>
    <t>ジバンシー</t>
  </si>
  <si>
    <t>オークション &gt; ビューティー、ヘルスケア &gt; 香水、フレグランス &gt; 女性用 &gt; ジバンシー</t>
  </si>
  <si>
    <t>オークション &gt; 住まい、インテリア &gt; 収納 &gt; 子ども用品収納 &gt; 本棚</t>
  </si>
  <si>
    <t>ジャンヌアルテス</t>
  </si>
  <si>
    <t>0,24198,2084288099,2084288178,2084015557</t>
  </si>
  <si>
    <t>オークション &gt; 食品、飲料 &gt; 健康食品 &gt; ビタミン &gt; その他</t>
  </si>
  <si>
    <t>0,23976,24054,24066,2084289564</t>
  </si>
  <si>
    <t>オークション &gt; ビューティー、ヘルスケア &gt; 香水、フレグランス &gt; 女性用 &gt; ジャンヌアルテス</t>
  </si>
  <si>
    <t>オークション &gt; 住まい、インテリア &gt; 収納 &gt; 子ども用品収納 &gt; その他</t>
  </si>
  <si>
    <t>0,24198,2084288099,2084288178,2084288184</t>
  </si>
  <si>
    <t>オークション &gt; ビューティー、ヘルスケア &gt; 香水、フレグランス &gt; 女性用 &gt; ジルスチュアート</t>
  </si>
  <si>
    <t>500g未満</t>
  </si>
  <si>
    <t>オークション &gt; 食品、飲料 &gt; 健康食品 &gt; プロテイン &gt; 500g未満</t>
  </si>
  <si>
    <t>0,23976,24054,2084006884,2084289565</t>
  </si>
  <si>
    <t>オークション &gt; ビューティー、ヘルスケア &gt; 香水、フレグランス &gt; 女性用 &gt; セリーヌ</t>
  </si>
  <si>
    <t>IDEE（イデー）</t>
  </si>
  <si>
    <t>オークション &gt; 住まい、インテリア &gt; 家具、インテリア &gt; ブランド/デザイナー別 &gt; IDEE（イデー）</t>
  </si>
  <si>
    <t>0,24198,24230,2084283581,2084283587</t>
  </si>
  <si>
    <t>IKEA（イケア）</t>
  </si>
  <si>
    <t>オークション &gt; ビューティー、ヘルスケア &gt; 香水、フレグランス &gt; 女性用 &gt; ソニアリキエル</t>
  </si>
  <si>
    <t>オークション &gt; 住まい、インテリア &gt; 家具、インテリア &gt; ブランド/デザイナー別 &gt; IKEA（イケア）</t>
  </si>
  <si>
    <t>500g～</t>
  </si>
  <si>
    <t>0,24198,24230,2084283581,2084283585</t>
  </si>
  <si>
    <t>オークション &gt; 食品、飲料 &gt; 健康食品 &gt; プロテイン &gt; 500g～</t>
  </si>
  <si>
    <t>0,23976,24054,2084006884,2084289566</t>
  </si>
  <si>
    <t>資生堂</t>
  </si>
  <si>
    <t>オークション &gt; ビューティー、ヘルスケア &gt; 香水、フレグランス &gt; 女性用 &gt; 資生堂</t>
  </si>
  <si>
    <t>アイリーン・グレイ</t>
  </si>
  <si>
    <t>オークション &gt; 住まい、インテリア &gt; 家具、インテリア &gt; ブランド/デザイナー別 &gt; アイリーン・グレイ</t>
  </si>
  <si>
    <t>0,24198,24230,2084283581,2084283582</t>
  </si>
  <si>
    <t>ダナキャラン</t>
  </si>
  <si>
    <t>オークション &gt; ビューティー、ヘルスケア &gt; 香水、フレグランス &gt; 女性用 &gt; ダナキャラン</t>
  </si>
  <si>
    <t>1.0kg～</t>
  </si>
  <si>
    <t>アルフレックス</t>
  </si>
  <si>
    <t>オークション &gt; 住まい、インテリア &gt; 家具、インテリア &gt; ブランド/デザイナー別 &gt; アルフレックス</t>
  </si>
  <si>
    <t>オークション &gt; 食品、飲料 &gt; 健康食品 &gt; プロテイン &gt; 1.0kg～</t>
  </si>
  <si>
    <t>0,24198,24230,2084283581,2084283583</t>
  </si>
  <si>
    <t>0,23976,24054,2084006884,2084289567</t>
  </si>
  <si>
    <t>ダビドフ</t>
  </si>
  <si>
    <t>オークション &gt; ビューティー、ヘルスケア &gt; 香水、フレグランス &gt; 女性用 &gt; ダビドフ</t>
  </si>
  <si>
    <t>イームズ</t>
  </si>
  <si>
    <t>オークション &gt; 住まい、インテリア &gt; 家具、インテリア &gt; ブランド/デザイナー別 &gt; イームズ</t>
  </si>
  <si>
    <t>0,24198,24230,2084283581,2084283584</t>
  </si>
  <si>
    <t>2.0kg～</t>
  </si>
  <si>
    <t>オークション &gt; 食品、飲料 &gt; 健康食品 &gt; プロテイン &gt; 2.0kg～</t>
  </si>
  <si>
    <t>オークション &gt; ビューティー、ヘルスケア &gt; 香水、フレグランス &gt; 女性用 &gt; ティファニー</t>
  </si>
  <si>
    <t>0,23976,24054,2084006884,2084289568</t>
  </si>
  <si>
    <t>イサムノグチ</t>
  </si>
  <si>
    <t>オークション &gt; 住まい、インテリア &gt; 家具、インテリア &gt; ブランド/デザイナー別 &gt; イサムノグチ</t>
  </si>
  <si>
    <t>0,24198,24230,2084283581,2084283586</t>
  </si>
  <si>
    <t>3.0kg～</t>
  </si>
  <si>
    <t>ウェグナー</t>
  </si>
  <si>
    <t>オークション &gt; ビューティー、ヘルスケア &gt; 香水、フレグランス &gt; 女性用 &gt; トミーヒルフィガー</t>
  </si>
  <si>
    <t>オークション &gt; 食品、飲料 &gt; 健康食品 &gt; プロテイン &gt; 3.0kg～</t>
  </si>
  <si>
    <t>オークション &gt; 住まい、インテリア &gt; 家具、インテリア &gt; ブランド/デザイナー別 &gt; ウェグナー</t>
  </si>
  <si>
    <t>0,23976,24054,2084006884,2084289569</t>
  </si>
  <si>
    <t>0,24198,24230,2084283581,2084283588</t>
  </si>
  <si>
    <t>オークション &gt; ビューティー、ヘルスケア &gt; 香水、フレグランス &gt; 女性用 &gt; ドルチェ＆ガッバーナ</t>
  </si>
  <si>
    <t>カッシーナ・イクスシー</t>
  </si>
  <si>
    <t>オークション &gt; 住まい、インテリア &gt; 家具、インテリア &gt; ブランド/デザイナー別 &gt; カッシーナ・イクスシー</t>
  </si>
  <si>
    <t>クッキー、ビスケット</t>
  </si>
  <si>
    <t>0,24198,24230,2084283581,2084283589</t>
  </si>
  <si>
    <t>オークション &gt; 食品、飲料 &gt; ダイエット食品 &gt; クッキー、ビスケット</t>
  </si>
  <si>
    <t>ナオミキャンベル</t>
  </si>
  <si>
    <t>0,23976,2084006888,2084006893</t>
  </si>
  <si>
    <t>オークション &gt; ビューティー、ヘルスケア &gt; 香水、フレグランス &gt; 女性用 &gt; ナオミキャンベル</t>
  </si>
  <si>
    <t>カリモク家具</t>
  </si>
  <si>
    <t>オークション &gt; 住まい、インテリア &gt; 家具、インテリア &gt; ブランド/デザイナー別 &gt; カリモク家具</t>
  </si>
  <si>
    <t>0,24198,24230,2084283581,2084283590</t>
  </si>
  <si>
    <t>ニコス</t>
  </si>
  <si>
    <t>オークション &gt; ビューティー、ヘルスケア &gt; 香水、フレグランス &gt; 女性用 &gt; ニコス</t>
  </si>
  <si>
    <t>スープ</t>
  </si>
  <si>
    <t>カルテル</t>
  </si>
  <si>
    <t>オークション &gt; 食品、飲料 &gt; ダイエット食品 &gt; スープ</t>
  </si>
  <si>
    <t>ニナ･リッチ</t>
  </si>
  <si>
    <t>オークション &gt; 住まい、インテリア &gt; 家具、インテリア &gt; ブランド/デザイナー別 &gt; カルテル</t>
  </si>
  <si>
    <t>0,23976,2084006888,2084006892</t>
  </si>
  <si>
    <t>オークション &gt; ビューティー、ヘルスケア &gt; 香水、フレグランス &gt; 女性用 &gt; ニナ･リッチ</t>
  </si>
  <si>
    <t>0,24198,24230,2084283581,2084283591</t>
  </si>
  <si>
    <t>コンランショップ</t>
  </si>
  <si>
    <t>オークション &gt; ビューティー、ヘルスケア &gt; 香水、フレグランス &gt; 女性用 &gt; バーバリー</t>
  </si>
  <si>
    <t>オークション &gt; 住まい、インテリア &gt; 家具、インテリア &gt; ブランド/デザイナー別 &gt; コンランショップ</t>
  </si>
  <si>
    <t>0,24198,24230,2084283581,2084283592</t>
  </si>
  <si>
    <t>ゼリー</t>
  </si>
  <si>
    <t>オークション &gt; 食品、飲料 &gt; ダイエット食品 &gt; ゼリー</t>
  </si>
  <si>
    <t>オークション &gt; ビューティー、ヘルスケア &gt; 香水、フレグランス &gt; 女性用 &gt; バナナリパブリック</t>
  </si>
  <si>
    <t>0,23976,2084006888,2084006891</t>
  </si>
  <si>
    <t>シモンズ</t>
  </si>
  <si>
    <t>オークション &gt; 住まい、インテリア &gt; 家具、インテリア &gt; ブランド/デザイナー別 &gt; シモンズ</t>
  </si>
  <si>
    <t>0,24198,24230,2084283581,2084283593</t>
  </si>
  <si>
    <t>パコラバンヌ</t>
  </si>
  <si>
    <t>オークション &gt; ビューティー、ヘルスケア &gt; 香水、フレグランス &gt; 女性用 &gt; パコラバンヌ</t>
  </si>
  <si>
    <t>飲料</t>
  </si>
  <si>
    <t>オークション &gt; 食品、飲料 &gt; ダイエット食品 &gt; 飲料</t>
  </si>
  <si>
    <t>ジョージ・ネルソン</t>
  </si>
  <si>
    <t>オークション &gt; 住まい、インテリア &gt; 家具、インテリア &gt; ブランド/デザイナー別 &gt; ジョージ・ネルソン</t>
  </si>
  <si>
    <t>0,23976,2084006888,2084006889</t>
  </si>
  <si>
    <t>オークション &gt; ビューティー、ヘルスケア &gt; 香水、フレグランス &gt; 女性用 &gt; ヒューゴ・ボス</t>
  </si>
  <si>
    <t>0,24198,24230,2084283581,2084283594</t>
  </si>
  <si>
    <t>オークション &gt; 住まい、インテリア &gt; 家具、インテリア &gt; ブランド/デザイナー別 &gt; ジロフレックス</t>
  </si>
  <si>
    <t>0,24198,24230,2084283581,2084283595</t>
  </si>
  <si>
    <t>健康食品</t>
  </si>
  <si>
    <t>フィオルッチ</t>
  </si>
  <si>
    <t>オークション &gt; ビューティー、ヘルスケア &gt; 香水、フレグランス &gt; 女性用 &gt; フィオルッチ</t>
  </si>
  <si>
    <t>オークション &gt; 食品、飲料 &gt; ダイエット食品 &gt; 健康食品</t>
  </si>
  <si>
    <t>0,23976,2084006888,24054</t>
  </si>
  <si>
    <t>ダルトン</t>
  </si>
  <si>
    <t>オークション &gt; 住まい、インテリア &gt; 家具、インテリア &gt; ブランド/デザイナー別 &gt; ダルトン</t>
  </si>
  <si>
    <t>オークション &gt; ビューティー、ヘルスケア &gt; 香水、フレグランス &gt; 女性用 &gt; フェンディ</t>
  </si>
  <si>
    <t>0,24198,24230,2084283581,2084283596</t>
  </si>
  <si>
    <t>麺類</t>
  </si>
  <si>
    <t>オークション &gt; 食品、飲料 &gt; ダイエット食品 &gt; 麺類</t>
  </si>
  <si>
    <t>天童木工</t>
  </si>
  <si>
    <t>オークション &gt; 住まい、インテリア &gt; 家具、インテリア &gt; ブランド/デザイナー別 &gt; 天童木工</t>
  </si>
  <si>
    <t>0,23976,2084006888,2084006894</t>
  </si>
  <si>
    <t>0,24198,24230,2084283581,2084283597</t>
  </si>
  <si>
    <t>オークション &gt; ビューティー、ヘルスケア &gt; 香水、フレグランス &gt; 女性用 &gt; ブルガリ</t>
  </si>
  <si>
    <t>Knoll（ノール）</t>
  </si>
  <si>
    <t>オークション &gt; 住まい、インテリア &gt; 家具、インテリア &gt; ブランド/デザイナー別 &gt; Knoll（ノール）</t>
  </si>
  <si>
    <t>0,24198,24230,2084283581,2084283598</t>
  </si>
  <si>
    <t>オークション &gt; 食品、飲料 &gt; ダイエット食品 &gt; その他</t>
  </si>
  <si>
    <t>オークション &gt; ビューティー、ヘルスケア &gt; 香水、フレグランス &gt; 女性用 &gt; ヴィクトリアシークレット</t>
  </si>
  <si>
    <t>0,23976,2084006888,2084006890</t>
  </si>
  <si>
    <t>Francfranc（フランフラン）</t>
  </si>
  <si>
    <t>オークション &gt; 住まい、インテリア &gt; 家具、インテリア &gt; ブランド/デザイナー別 &gt; Francfranc（フランフラン）</t>
  </si>
  <si>
    <t>0,24198,24230,2084283581,2084283600</t>
  </si>
  <si>
    <t>コーヒー</t>
  </si>
  <si>
    <t>オークション &gt; ビューティー、ヘルスケア &gt; 香水、フレグランス &gt; 女性用 &gt; ヴィヴィアンウエストウッド</t>
  </si>
  <si>
    <t>オークション &gt; 食品、飲料 &gt; ダイエット食品 &gt; 飲料 &gt; コーヒー</t>
  </si>
  <si>
    <t>0,23976,2084006888,2084006889,2084228413</t>
  </si>
  <si>
    <t>ハーマンミラー</t>
  </si>
  <si>
    <t>オークション &gt; 住まい、インテリア &gt; 家具、インテリア &gt; ブランド/デザイナー別 &gt; ハーマンミラー</t>
  </si>
  <si>
    <t>マサキマツシマ</t>
  </si>
  <si>
    <t>0,24198,24230,2084283581,2084283599</t>
  </si>
  <si>
    <t>ココア</t>
  </si>
  <si>
    <t>オークション &gt; ビューティー、ヘルスケア &gt; 香水、フレグランス &gt; 女性用 &gt; マサキマツシマ</t>
  </si>
  <si>
    <t>オークション &gt; 食品、飲料 &gt; ダイエット食品 &gt; 飲料 &gt; ココア</t>
  </si>
  <si>
    <t>0,23976,2084006888,2084006889,2084228412</t>
  </si>
  <si>
    <t>フランスベッド</t>
  </si>
  <si>
    <t>オークション &gt; 住まい、インテリア &gt; 家具、インテリア &gt; ブランド/デザイナー別 &gt; フランスベッド</t>
  </si>
  <si>
    <t>0,24198,24230,2084283581,2084283601</t>
  </si>
  <si>
    <t>オークション &gt; ビューティー、ヘルスケア &gt; 香水、フレグランス &gt; 女性用 &gt; ラルフローレン</t>
  </si>
  <si>
    <t>フリッツハンセン</t>
  </si>
  <si>
    <t>オークション &gt; 住まい、インテリア &gt; 家具、インテリア &gt; ブランド/デザイナー別 &gt; フリッツハンセン</t>
  </si>
  <si>
    <t>0,24198,24230,2084283581,2084283602</t>
  </si>
  <si>
    <t>ランコム</t>
  </si>
  <si>
    <t>オークション &gt; ビューティー、ヘルスケア &gt; 香水、フレグランス &gt; 女性用 &gt; ランコム</t>
  </si>
  <si>
    <t>ヴェルナー・パントン</t>
  </si>
  <si>
    <t>シェイク</t>
  </si>
  <si>
    <t>オークション &gt; 住まい、インテリア &gt; 家具、インテリア &gt; ブランド/デザイナー別 &gt; ヴェルナー・パントン</t>
  </si>
  <si>
    <t>オークション &gt; 食品、飲料 &gt; ダイエット食品 &gt; 飲料 &gt; シェイク</t>
  </si>
  <si>
    <t>0,24198,24230,2084283581,2084283603</t>
  </si>
  <si>
    <t>0,23976,2084006888,2084006889,2084228418</t>
  </si>
  <si>
    <t>ロリスアザロ</t>
  </si>
  <si>
    <t>オークション &gt; ビューティー、ヘルスケア &gt; 香水、フレグランス &gt; 女性用 &gt; ロリスアザロ</t>
  </si>
  <si>
    <t>maruni（マルニ）</t>
  </si>
  <si>
    <t>オークション &gt; 住まい、インテリア &gt; 家具、インテリア &gt; ブランド/デザイナー別 &gt; maruni（マルニ）</t>
  </si>
  <si>
    <t>0,24198,24230,2084283581,2084283605</t>
  </si>
  <si>
    <t>オークション &gt; ビューティー、ヘルスケア &gt; 香水、フレグランス &gt; 女性用 &gt; その他</t>
  </si>
  <si>
    <t>茶</t>
  </si>
  <si>
    <t>オークション &gt; 食品、飲料 &gt; ダイエット食品 &gt; 飲料 &gt; 茶</t>
  </si>
  <si>
    <t>0,23976,2084006888,2084006889,2084006895</t>
  </si>
  <si>
    <t>アラミス</t>
  </si>
  <si>
    <t>オークション &gt; ビューティー、ヘルスケア &gt; 香水、フレグランス &gt; 男性用 &gt; アラミス</t>
  </si>
  <si>
    <t>オークション &gt; 住まい、インテリア &gt; 家具、インテリア &gt; ブランド/デザイナー別 &gt; マリメッコ</t>
  </si>
  <si>
    <t>アラン・ドロン</t>
  </si>
  <si>
    <t>0,24198,24230,2084283581,2084283604</t>
  </si>
  <si>
    <t>オークション &gt; ビューティー、ヘルスケア &gt; 香水、フレグランス &gt; 男性用 &gt; アラン・ドロン</t>
  </si>
  <si>
    <t>オークション &gt; 食品、飲料 &gt; ダイエット食品 &gt; 飲料 &gt; その他</t>
  </si>
  <si>
    <t>0,23976,2084006888,2084006889,2084006896</t>
  </si>
  <si>
    <t>オークション &gt; ビューティー、ヘルスケア &gt; 香水、フレグランス &gt; 男性用 &gt; エリザベス・アーデン</t>
  </si>
  <si>
    <t>オークション &gt; 住まい、インテリア &gt; 家具、インテリア &gt; ブランド/デザイナー別 &gt; 無印良品</t>
  </si>
  <si>
    <t>0,24198,24230,2084283581,2084283606</t>
  </si>
  <si>
    <t>オークション &gt; ビューティー、ヘルスケア &gt; 香水、フレグランス &gt; 男性用 &gt; カルバン・クライン</t>
  </si>
  <si>
    <t>ヤコブセン</t>
  </si>
  <si>
    <t>アガリクス</t>
  </si>
  <si>
    <t>オークション &gt; 住まい、インテリア &gt; 家具、インテリア &gt; ブランド/デザイナー別 &gt; ヤコブセン</t>
  </si>
  <si>
    <t>オークション &gt; 食品、飲料 &gt; 健康食品 &gt; アガリクス</t>
  </si>
  <si>
    <t>0,24198,24230,2084283581,2084283608</t>
  </si>
  <si>
    <t>0,23976,24054,2084226956</t>
  </si>
  <si>
    <t>オークション &gt; ビューティー、ヘルスケア &gt; 香水、フレグランス &gt; 男性用 &gt; クリスチャン・ディオール</t>
  </si>
  <si>
    <t>ヨーゼフホフマン</t>
  </si>
  <si>
    <t>オークション &gt; 住まい、インテリア &gt; 家具、インテリア &gt; ブランド/デザイナー別 &gt; ヨーゼフホフマン</t>
  </si>
  <si>
    <t>0,24198,24230,2084283581,2084283609</t>
  </si>
  <si>
    <t>アスタキサンチン</t>
  </si>
  <si>
    <t>オークション &gt; 食品、飲料 &gt; 健康食品 &gt; アスタキサンチン</t>
  </si>
  <si>
    <t>0,23976,24054,2084289283</t>
  </si>
  <si>
    <t>柳宗理</t>
  </si>
  <si>
    <t>オークション &gt; 住まい、インテリア &gt; 家具、インテリア &gt; ブランド/デザイナー別 &gt; 柳宗理</t>
  </si>
  <si>
    <t>オークション &gt; ビューティー、ヘルスケア &gt; 香水、フレグランス &gt; 男性用 &gt; クリニーク</t>
  </si>
  <si>
    <t>0,24198,24230,2084283581,2084283607</t>
  </si>
  <si>
    <t>アミノ酸</t>
  </si>
  <si>
    <t>オークション &gt; 食品、飲料 &gt; 健康食品 &gt; アミノ酸</t>
  </si>
  <si>
    <t>0,23976,24054,2084048887</t>
  </si>
  <si>
    <t>オークション &gt; ビューティー、ヘルスケア &gt; 香水、フレグランス &gt; 男性用 &gt; グッチ</t>
  </si>
  <si>
    <t>ル・コルビュジエ</t>
  </si>
  <si>
    <t>オークション &gt; ビューティー、ヘルスケア &gt; 香水、フレグランス &gt; 男性用 &gt; ケンゾー</t>
  </si>
  <si>
    <t>オークション &gt; 住まい、インテリア &gt; 家具、インテリア &gt; ブランド/デザイナー別 &gt; ル・コルビュジエ</t>
  </si>
  <si>
    <t>0,24198,24230,2084283581,2084283610</t>
  </si>
  <si>
    <t>オークション &gt; ビューティー、ヘルスケア &gt; 香水、フレグランス &gt; 男性用 &gt; シャネル</t>
  </si>
  <si>
    <t>アルファリポ酸</t>
  </si>
  <si>
    <t>オークション &gt; 住まい、インテリア &gt; 家具、インテリア &gt; ブランド/デザイナー別 &gt; その他</t>
  </si>
  <si>
    <t>オークション &gt; 食品、飲料 &gt; 健康食品 &gt; アルファリポ酸</t>
  </si>
  <si>
    <t>0,24198,24230,2084283581,2084283611</t>
  </si>
  <si>
    <t>0,23976,24054,2084226959</t>
  </si>
  <si>
    <t>オークション &gt; ビューティー、ヘルスケア &gt; 香水、フレグランス &gt; 男性用 &gt; ジバンシイ</t>
  </si>
  <si>
    <t>ウコン</t>
  </si>
  <si>
    <t>オークション &gt; 食品、飲料 &gt; 健康食品 &gt; ウコン</t>
  </si>
  <si>
    <t>オークション &gt; 住まい、インテリア &gt; 家具、インテリア &gt; ソファ、ソファベッド &gt; ブランド/デザイナー別</t>
  </si>
  <si>
    <t>ジャガー</t>
  </si>
  <si>
    <t>0,24198,24230,2084007908,2084283581</t>
  </si>
  <si>
    <t>0,23976,24054,2084226947</t>
  </si>
  <si>
    <t>オークション &gt; ビューティー、ヘルスケア &gt; 香水、フレグランス &gt; 男性用 &gt; ジャガー</t>
  </si>
  <si>
    <t>オークション &gt; 住まい、インテリア &gt; 家具、インテリア &gt; ソファ、ソファベッド &gt; セット</t>
  </si>
  <si>
    <t>オークション &gt; ビューティー、ヘルスケア &gt; 香水、フレグランス &gt; 男性用 &gt; ジャンヌアルテス</t>
  </si>
  <si>
    <t>0,24198,24230,2084007908,2084061513</t>
  </si>
  <si>
    <t>オリゴ糖</t>
  </si>
  <si>
    <t>オークション &gt; 食品、飲料 &gt; 健康食品 &gt; オリゴ糖</t>
  </si>
  <si>
    <t>0,23976,24054,2084289285</t>
  </si>
  <si>
    <t>オークション &gt; ビューティー、ヘルスケア &gt; 香水、フレグランス &gt; 男性用 &gt; ジル・サンダー</t>
  </si>
  <si>
    <t>シングルソファ</t>
  </si>
  <si>
    <t>オークション &gt; 住まい、インテリア &gt; 家具、インテリア &gt; ソファ、ソファベッド &gt; シングルソファ</t>
  </si>
  <si>
    <t>0,24198,24230,2084007908,2084046804</t>
  </si>
  <si>
    <t>オルニチン</t>
  </si>
  <si>
    <t>オークション &gt; 食品、飲料 &gt; 健康食品 &gt; オルニチン</t>
  </si>
  <si>
    <t>0,23976,24054,2084226961</t>
  </si>
  <si>
    <t>ラブソファ</t>
  </si>
  <si>
    <t>オークション &gt; 住まい、インテリア &gt; 家具、インテリア &gt; ソファ、ソファベッド &gt; ラブソファ</t>
  </si>
  <si>
    <t>0,24198,24230,2084007908,2084046805</t>
  </si>
  <si>
    <t>オークション &gt; ビューティー、ヘルスケア &gt; 香水、フレグランス &gt; 男性用 &gt; ダビドフ</t>
  </si>
  <si>
    <t>亜鉛</t>
  </si>
  <si>
    <t>オークション &gt; 食品、飲料 &gt; 健康食品 &gt; 亜鉛</t>
  </si>
  <si>
    <t>0,23976,24054,2084289281</t>
  </si>
  <si>
    <t>トリプルソファ</t>
  </si>
  <si>
    <t>オークション &gt; ビューティー、ヘルスケア &gt; 香水、フレグランス &gt; 男性用 &gt; トミーヒルフィガー</t>
  </si>
  <si>
    <t>オークション &gt; 住まい、インテリア &gt; 家具、インテリア &gt; ソファ、ソファベッド &gt; トリプルソファ</t>
  </si>
  <si>
    <t>0,24198,24230,2084007908,2084046806</t>
  </si>
  <si>
    <t>青汁、ケール加工食品</t>
  </si>
  <si>
    <t>オークション &gt; 食品、飲料 &gt; 健康食品 &gt; 青汁、ケール加工食品</t>
  </si>
  <si>
    <t>0,23976,24054,2084289282</t>
  </si>
  <si>
    <t>オットマン</t>
  </si>
  <si>
    <t>オークション &gt; 住まい、インテリア &gt; 家具、インテリア &gt; ソファ、ソファベッド &gt; オットマン</t>
  </si>
  <si>
    <t>オークション &gt; ビューティー、ヘルスケア &gt; 香水、フレグランス &gt; 男性用 &gt; ドルチェ＆ガッバーナ</t>
  </si>
  <si>
    <t>0,24198,24230,2084007908,2084046807</t>
  </si>
  <si>
    <t>栄養ドリンク</t>
  </si>
  <si>
    <t>オークション &gt; 食品、飲料 &gt; 健康食品 &gt; 栄養ドリンク</t>
  </si>
  <si>
    <t>コーナーソファ</t>
  </si>
  <si>
    <t>0,23976,24054,2084289284</t>
  </si>
  <si>
    <t>オークション &gt; 住まい、インテリア &gt; 家具、インテリア &gt; ソファ、ソファベッド &gt; コーナーソファ</t>
  </si>
  <si>
    <t>0,24198,24230,2084007908,2084239358</t>
  </si>
  <si>
    <t>オークション &gt; ビューティー、ヘルスケア &gt; 香水、フレグランス &gt; 男性用 &gt; ニコス</t>
  </si>
  <si>
    <t>ビーズソファ、クッションソファ</t>
  </si>
  <si>
    <t>オークション &gt; 住まい、インテリア &gt; 家具、インテリア &gt; ソファ、ソファベッド &gt; ビーズソファ、クッションソファ</t>
  </si>
  <si>
    <t>0,24198,24230,2084007908,2084303642</t>
  </si>
  <si>
    <t>オークション &gt; 食品、飲料 &gt; 健康食品 &gt; スポーツ飲料</t>
  </si>
  <si>
    <t>0,23976,24054,2084050411</t>
  </si>
  <si>
    <t>オークション &gt; ビューティー、ヘルスケア &gt; 香水、フレグランス &gt; 男性用 &gt; バーバリー</t>
  </si>
  <si>
    <t>ローソファ、フロアソファ</t>
  </si>
  <si>
    <t>オークション &gt; 住まい、インテリア &gt; 家具、インテリア &gt; ソファ、ソファベッド &gt; ローソファ、フロアソファ</t>
  </si>
  <si>
    <t>0,24198,24230,2084007908,2084303643</t>
  </si>
  <si>
    <t>カルシウム</t>
  </si>
  <si>
    <t>オークション &gt; 食品、飲料 &gt; 健康食品 &gt; カルシウム</t>
  </si>
  <si>
    <t>0,23976,24054,2084006881</t>
  </si>
  <si>
    <t>オークション &gt; 住まい、インテリア &gt; 家具、インテリア &gt; ソファ、ソファベッド &gt; マッサージチェア</t>
  </si>
  <si>
    <t>0,24198,24230,2084007908,2084044973</t>
  </si>
  <si>
    <t>カルニチン</t>
  </si>
  <si>
    <t>オークション &gt; ビューティー、ヘルスケア &gt; 香水、フレグランス &gt; 男性用 &gt; パコラバンヌ</t>
  </si>
  <si>
    <t>オークション &gt; 食品、飲料 &gt; 健康食品 &gt; カルニチン</t>
  </si>
  <si>
    <t>ソファベッド</t>
  </si>
  <si>
    <t>オークション &gt; 住まい、インテリア &gt; 家具、インテリア &gt; ソファ、ソファベッド &gt; ソファベッド</t>
  </si>
  <si>
    <t>0,23976,24054,2084226960</t>
  </si>
  <si>
    <t>0,24198,24230,2084007908,2084007911</t>
  </si>
  <si>
    <t>応接セット</t>
  </si>
  <si>
    <t>キトサン</t>
  </si>
  <si>
    <t>オークション &gt; ビューティー、ヘルスケア &gt; 香水、フレグランス &gt; 男性用 &gt; ヒューゴ・ボス</t>
  </si>
  <si>
    <t>オークション &gt; 住まい、インテリア &gt; 家具、インテリア &gt; ソファ、ソファベッド &gt; 応接セット</t>
  </si>
  <si>
    <t>オークション &gt; 食品、飲料 &gt; 健康食品 &gt; キトサン</t>
  </si>
  <si>
    <t>0,24198,24230,2084007908,2084062758</t>
  </si>
  <si>
    <t>0,23976,24054,2084006882</t>
  </si>
  <si>
    <t>オークション &gt; ビューティー、ヘルスケア &gt; 香水、フレグランス &gt; 男性用 &gt; ブルガリ</t>
  </si>
  <si>
    <t>ソファカバー</t>
  </si>
  <si>
    <t>ギムネマ</t>
  </si>
  <si>
    <t>オークション &gt; 住まい、インテリア &gt; 家具、インテリア &gt; ソファ、ソファベッド &gt; ソファカバー</t>
  </si>
  <si>
    <t>オークション &gt; 食品、飲料 &gt; 健康食品 &gt; ギムネマ</t>
  </si>
  <si>
    <t>0,24198,24230,2084007908,2084061514</t>
  </si>
  <si>
    <t>0,23976,24054,2084226953</t>
  </si>
  <si>
    <t>オークション &gt; ビューティー、ヘルスケア &gt; 香水、フレグランス &gt; 男性用 &gt; ポール・スミス</t>
  </si>
  <si>
    <t>リクライニングソファ</t>
  </si>
  <si>
    <t>オークション &gt; 住まい、インテリア &gt; 家具、インテリア &gt; ソファ、ソファベッド &gt; リクライニングソファ</t>
  </si>
  <si>
    <t>ギャバ配合食品</t>
  </si>
  <si>
    <t>0,24198,24230,2084007908,2084244961</t>
  </si>
  <si>
    <t>オークション &gt; 食品、飲料 &gt; 健康食品 &gt; ギャバ配合食品</t>
  </si>
  <si>
    <t>0,23976,24054,2084289286</t>
  </si>
  <si>
    <t>オークション &gt; ビューティー、ヘルスケア &gt; 香水、フレグランス &gt; 男性用 &gt; ラルフローレン</t>
  </si>
  <si>
    <t>オークション &gt; 住まい、インテリア &gt; 家具、インテリア &gt; ソファ、ソファベッド &gt; その他</t>
  </si>
  <si>
    <t>クエン酸</t>
  </si>
  <si>
    <t>0,24198,24230,2084007908,2084046808</t>
  </si>
  <si>
    <t>オークション &gt; 食品、飲料 &gt; 健康食品 &gt; クエン酸</t>
  </si>
  <si>
    <t>0,23976,24054,2084289287</t>
  </si>
  <si>
    <t>オークション &gt; ビューティー、ヘルスケア &gt; 香水、フレグランス &gt; 男性用 &gt; ランコム</t>
  </si>
  <si>
    <t>クロレラ</t>
  </si>
  <si>
    <t>オークション &gt; 食品、飲料 &gt; 健康食品 &gt; クロレラ</t>
  </si>
  <si>
    <t>0,23976,24054,2084226952</t>
  </si>
  <si>
    <t>オークション &gt; 住まい、インテリア &gt; 家具、インテリア &gt; イス &gt; ブランド/デザイナー別</t>
  </si>
  <si>
    <t>0,24198,24230,2084007909,2084283581</t>
  </si>
  <si>
    <t>オークション &gt; ビューティー、ヘルスケア &gt; 香水、フレグランス &gt; 男性用 &gt; ロリスアザロ</t>
  </si>
  <si>
    <t>グルコサミン</t>
  </si>
  <si>
    <t>オークション &gt; 住まい、インテリア &gt; 家具、インテリア &gt; イス &gt; 一般</t>
  </si>
  <si>
    <t>オークション &gt; 食品、飲料 &gt; 健康食品 &gt; グルコサミン</t>
  </si>
  <si>
    <t>0,24198,24230,2084007909,2084007912</t>
  </si>
  <si>
    <t>0,23976,24054,2084226957</t>
  </si>
  <si>
    <t>スツール</t>
  </si>
  <si>
    <t>コエンザイムQ10</t>
  </si>
  <si>
    <t>オークション &gt; ビューティー、ヘルスケア &gt; 香水、フレグランス &gt; 男性用 &gt; ヴェルサーチ</t>
  </si>
  <si>
    <t>オークション &gt; 住まい、インテリア &gt; 家具、インテリア &gt; イス &gt; スツール</t>
  </si>
  <si>
    <t>オークション &gt; 食品、飲料 &gt; 健康食品 &gt; コエンザイムQ10</t>
  </si>
  <si>
    <t>0,24198,24230,2084007909,2084007913</t>
  </si>
  <si>
    <t>0,23976,24054,2084226948</t>
  </si>
  <si>
    <t>コラーゲン</t>
  </si>
  <si>
    <t>オークション &gt; ビューティー、ヘルスケア &gt; 香水、フレグランス &gt; 男性用 &gt; その他</t>
  </si>
  <si>
    <t>オークション &gt; 住まい、インテリア &gt; 家具、インテリア &gt; イス &gt; ソファ</t>
  </si>
  <si>
    <t>オークション &gt; 食品、飲料 &gt; 健康食品 &gt; コラーゲン</t>
  </si>
  <si>
    <t>0,24198,24230,2084007909,2084007908</t>
  </si>
  <si>
    <t>0,23976,24054,2084226950</t>
  </si>
  <si>
    <t>オークション &gt; ビューティー、ヘルスケア &gt; 香水、フレグランス &gt; ユニセックス &gt; アラン・ドロン</t>
  </si>
  <si>
    <t>コンドロイチン</t>
  </si>
  <si>
    <t>ダイニングチェア</t>
  </si>
  <si>
    <t>オークション &gt; 食品、飲料 &gt; 健康食品 &gt; コンドロイチン</t>
  </si>
  <si>
    <t>オークション &gt; 住まい、インテリア &gt; 家具、インテリア &gt; イス &gt; ダイニングチェア</t>
  </si>
  <si>
    <t>0,23976,24054,2084289290</t>
  </si>
  <si>
    <t>0,24198,24230,2084007909,2084057261</t>
  </si>
  <si>
    <t>オークション &gt; ビューティー、ヘルスケア &gt; 香水、フレグランス &gt; ユニセックス &gt; カルバン・クライン</t>
  </si>
  <si>
    <t>ハイバックチェア</t>
  </si>
  <si>
    <t>健康茶</t>
  </si>
  <si>
    <t>オークション &gt; 住まい、インテリア &gt; 家具、インテリア &gt; イス &gt; ハイバックチェア</t>
  </si>
  <si>
    <t>オークション &gt; 食品、飲料 &gt; 健康食品 &gt; 健康茶</t>
  </si>
  <si>
    <t>オークション &gt; ビューティー、ヘルスケア &gt; 香水、フレグランス &gt; ユニセックス &gt; ジバンシー</t>
  </si>
  <si>
    <t>0,24198,24230,2084007909,2084057262</t>
  </si>
  <si>
    <t>0,23976,24054,2084289289</t>
  </si>
  <si>
    <t>オークション &gt; ビューティー、ヘルスケア &gt; 香水、フレグランス &gt; ユニセックス &gt; ドルチェ&amp;ガッバーナ</t>
  </si>
  <si>
    <t>オークション &gt; 住まい、インテリア &gt; 家具、インテリア &gt; イス &gt; マッサージチェア</t>
  </si>
  <si>
    <t>0,24198,24230,2084007909,2084044973</t>
  </si>
  <si>
    <t>健康酢、酢飲料</t>
  </si>
  <si>
    <t>オークション &gt; 食品、飲料 &gt; 健康食品 &gt; 健康酢、酢飲料</t>
  </si>
  <si>
    <t>オークション &gt; ビューティー、ヘルスケア &gt; 香水、フレグランス &gt; ユニセックス &gt; その他</t>
  </si>
  <si>
    <t>0,23976,24054,2084289288</t>
  </si>
  <si>
    <t>ロッキングチェア</t>
  </si>
  <si>
    <t>オークション &gt; 住まい、インテリア &gt; 家具、インテリア &gt; イス &gt; ロッキングチェア</t>
  </si>
  <si>
    <t>0,24198,24230,2084007909,2084007918</t>
  </si>
  <si>
    <t>オークション &gt; ビューティー、ヘルスケア &gt; 香水、フレグランス &gt; ブランド別 &gt; アラン・ドロン</t>
  </si>
  <si>
    <t>座椅子</t>
  </si>
  <si>
    <t>酢</t>
  </si>
  <si>
    <t>オークション &gt; 住まい、インテリア &gt; 家具、インテリア &gt; イス &gt; 座椅子</t>
  </si>
  <si>
    <t>オークション &gt; 食品、飲料 &gt; 健康食品 &gt; 酢</t>
  </si>
  <si>
    <t>0,24198,24230,2084007909,2084007914</t>
  </si>
  <si>
    <t>オークション &gt; ビューティー、ヘルスケア &gt; 香水、フレグランス &gt; ブランド別 &gt; エリザベス・アーデン</t>
  </si>
  <si>
    <t>0,23976,24054,2084050386</t>
  </si>
  <si>
    <t>折り畳みイス</t>
  </si>
  <si>
    <t>オークション &gt; 住まい、インテリア &gt; 家具、インテリア &gt; イス &gt; 折り畳みイス</t>
  </si>
  <si>
    <t>0,24198,24230,2084007909,2084046775</t>
  </si>
  <si>
    <t>スポーツ用サプリメント</t>
  </si>
  <si>
    <t>オークション &gt; ビューティー、ヘルスケア &gt; 香水、フレグランス &gt; ブランド別 &gt; カルバン・クライン</t>
  </si>
  <si>
    <t>オークション &gt; 食品、飲料 &gt; 健康食品 &gt; スポーツ用サプリメント</t>
  </si>
  <si>
    <t>0,23976,24054,2084062737</t>
  </si>
  <si>
    <t>食物繊維</t>
  </si>
  <si>
    <t>オークション &gt; 食品、飲料 &gt; 健康食品 &gt; 食物繊維</t>
  </si>
  <si>
    <t>0,23976,24054,2084289291</t>
  </si>
  <si>
    <t>オークション &gt; ビューティー、ヘルスケア &gt; 香水、フレグランス &gt; ブランド別 &gt; クリスチャン・ディオール</t>
  </si>
  <si>
    <t>DHA</t>
  </si>
  <si>
    <t>オークション &gt; 食品、飲料 &gt; 健康食品 &gt; DHA</t>
  </si>
  <si>
    <t>0,23976,24054,2084226955</t>
  </si>
  <si>
    <t>オークション &gt; ビューティー、ヘルスケア &gt; 香水、フレグランス &gt; ブランド別 &gt; クリニーク</t>
  </si>
  <si>
    <t>鉄分</t>
  </si>
  <si>
    <t>オークション &gt; 食品、飲料 &gt; 健康食品 &gt; 鉄分</t>
  </si>
  <si>
    <t>0,23976,24054,2084289296</t>
  </si>
  <si>
    <t>オークション &gt; ビューティー、ヘルスケア &gt; 香水、フレグランス &gt; ブランド別 &gt; グッチ</t>
  </si>
  <si>
    <t>にんにくエキス配合食品</t>
  </si>
  <si>
    <t>オークション &gt; 食品、飲料 &gt; 健康食品 &gt; にんにくエキス配合食品</t>
  </si>
  <si>
    <t>0,23976,24054,2084289293</t>
  </si>
  <si>
    <t>納豆キナーゼ</t>
  </si>
  <si>
    <t>オークション &gt; ビューティー、ヘルスケア &gt; 香水、フレグランス &gt; ブランド別 &gt; ケンゾー</t>
  </si>
  <si>
    <t>オークション &gt; 食品、飲料 &gt; 健康食品 &gt; 納豆キナーゼ</t>
  </si>
  <si>
    <t>0,23976,24054,2084289292</t>
  </si>
  <si>
    <t>ヒアルロン酸</t>
  </si>
  <si>
    <t>オークション &gt; ビューティー、ヘルスケア &gt; 香水、フレグランス &gt; ブランド別 &gt; シャネル</t>
  </si>
  <si>
    <t>オークション &gt; 食品、飲料 &gt; 健康食品 &gt; ヒアルロン酸</t>
  </si>
  <si>
    <t>0,23976,24054,2084226949</t>
  </si>
  <si>
    <t>ビール酵母</t>
  </si>
  <si>
    <t>オークション &gt; 食品、飲料 &gt; 健康食品 &gt; ビール酵母</t>
  </si>
  <si>
    <t>オークション &gt; ビューティー、ヘルスケア &gt; 香水、フレグランス &gt; ブランド別 &gt; ジバンシー</t>
  </si>
  <si>
    <t>0,23976,24054,2084289294</t>
  </si>
  <si>
    <t>ビタミン</t>
  </si>
  <si>
    <t>オークション &gt; 食品、飲料 &gt; 健康食品 &gt; ビタミン</t>
  </si>
  <si>
    <t>オークション &gt; ビューティー、ヘルスケア &gt; 香水、フレグランス &gt; ブランド別 &gt; ジャンヌアルテス</t>
  </si>
  <si>
    <t>0,23976,24054,24066</t>
  </si>
  <si>
    <t>ブルーベリー配合食品</t>
  </si>
  <si>
    <t>オークション &gt; 食品、飲料 &gt; 健康食品 &gt; ブルーベリー配合食品</t>
  </si>
  <si>
    <t>オークション &gt; ビューティー、ヘルスケア &gt; 香水、フレグランス &gt; ブランド別 &gt; ダビドフ</t>
  </si>
  <si>
    <t>0,23976,24054,2084289295</t>
  </si>
  <si>
    <t>オークション &gt; ビューティー、ヘルスケア &gt; 香水、フレグランス &gt; ブランド別 &gt; トミーヒルフィガー</t>
  </si>
  <si>
    <t>プラセンタ</t>
  </si>
  <si>
    <t>オークション &gt; 食品、飲料 &gt; 健康食品 &gt; プラセンタ</t>
  </si>
  <si>
    <t>0,23976,24054,2084226951</t>
  </si>
  <si>
    <t>オークション &gt; ビューティー、ヘルスケア &gt; 香水、フレグランス &gt; ブランド別 &gt; ドルチェ&amp;ガッバーナ</t>
  </si>
  <si>
    <t>オークション &gt; ビューティー、ヘルスケア &gt; 香水、フレグランス &gt; ブランド別 &gt; ニコス</t>
  </si>
  <si>
    <t>プロテイン</t>
  </si>
  <si>
    <t>オークション &gt; 食品、飲料 &gt; 健康食品 &gt; プロテイン</t>
  </si>
  <si>
    <t>0,23976,24054,2084006884</t>
  </si>
  <si>
    <t>プロポリス</t>
  </si>
  <si>
    <t>オークション &gt; 食品、飲料 &gt; 健康食品 &gt; プロポリス</t>
  </si>
  <si>
    <t>オークション &gt; ビューティー、ヘルスケア &gt; 香水、フレグランス &gt; ブランド別 &gt; バーバリー</t>
  </si>
  <si>
    <t>0,23976,24054,2084006883</t>
  </si>
  <si>
    <t>マカ</t>
  </si>
  <si>
    <t>RMK</t>
  </si>
  <si>
    <t>オークション &gt; 食品、飲料 &gt; 健康食品 &gt; マカ</t>
  </si>
  <si>
    <t>オークション &gt; ビューティー、ヘルスケア &gt; コスメ、スキンケア &gt; ブランド別 &gt; RMK</t>
  </si>
  <si>
    <t>0,23976,24054,2084226958</t>
  </si>
  <si>
    <t>0,42177,42180,2084059207,2084060453</t>
  </si>
  <si>
    <t>オークション &gt; ビューティー、ヘルスケア &gt; 香水、フレグランス &gt; ブランド別 &gt; パコラバンヌ</t>
  </si>
  <si>
    <t>マンネンタケ、霊芝</t>
  </si>
  <si>
    <t>オークション &gt; 食品、飲料 &gt; 健康食品 &gt; マンネンタケ、霊芝</t>
  </si>
  <si>
    <t>0,23976,24054,2084006886</t>
  </si>
  <si>
    <t>オークション &gt; ビューティー、ヘルスケア &gt; 香水、フレグランス &gt; ブランド別 &gt; ヒューゴ・ボス</t>
  </si>
  <si>
    <t>SK-II</t>
  </si>
  <si>
    <t>ミネラル</t>
  </si>
  <si>
    <t>オークション &gt; 食品、飲料 &gt; 健康食品 &gt; ミネラル</t>
  </si>
  <si>
    <t>オークション &gt; ビューティー、ヘルスケア &gt; コスメ、スキンケア &gt; ブランド別 &gt; SK-II</t>
  </si>
  <si>
    <t>0,23976,24054,2084226954</t>
  </si>
  <si>
    <t>0,42177,42180,2084059207,2084310835</t>
  </si>
  <si>
    <t>オークション &gt; ビューティー、ヘルスケア &gt; 香水、フレグランス &gt; ブランド別 &gt; ブルガリ</t>
  </si>
  <si>
    <t>ローヤルゼリー</t>
  </si>
  <si>
    <t>アザレ</t>
  </si>
  <si>
    <t>オークション &gt; 食品、飲料 &gt; 健康食品 &gt; ローヤルゼリー</t>
  </si>
  <si>
    <t>オークション &gt; ビューティー、ヘルスケア &gt; コスメ、スキンケア &gt; ブランド別 &gt; アザレ</t>
  </si>
  <si>
    <t>0,23976,24054,2084006885</t>
  </si>
  <si>
    <t>0,42177,42180,2084059207,2084060439</t>
  </si>
  <si>
    <t>オークション &gt; ビューティー、ヘルスケア &gt; 香水、フレグランス &gt; ブランド別 &gt; ラルフローレン</t>
  </si>
  <si>
    <t>ダイエット食品</t>
  </si>
  <si>
    <t>アスカ</t>
  </si>
  <si>
    <t>オークション &gt; 食品、飲料 &gt; 健康食品 &gt; ダイエット食品</t>
  </si>
  <si>
    <t>オークション &gt; ビューティー、ヘルスケア &gt; コスメ、スキンケア &gt; ブランド別 &gt; アスカ</t>
  </si>
  <si>
    <t>0,23976,24054,2084006888</t>
  </si>
  <si>
    <t>0,42177,42180,2084059207,2084228384</t>
  </si>
  <si>
    <t>オークション &gt; ビューティー、ヘルスケア &gt; 香水、フレグランス &gt; ブランド別 &gt; ランコム</t>
  </si>
  <si>
    <t>オークション &gt; 食品、飲料 &gt; 健康食品 &gt; その他</t>
  </si>
  <si>
    <t>0,23976,24054,2084006887</t>
  </si>
  <si>
    <t>オークション &gt; ビューティー、ヘルスケア &gt; 香水、フレグランス &gt; ブランド別 &gt; ロリスアザロ</t>
  </si>
  <si>
    <t>アスタリフト</t>
  </si>
  <si>
    <t>オークション &gt; ビューティー、ヘルスケア &gt; コスメ、スキンケア &gt; ブランド別 &gt; アスタリフト</t>
  </si>
  <si>
    <t>0,42177,42180,2084059207,2084310852</t>
  </si>
  <si>
    <t>みそ汁</t>
  </si>
  <si>
    <t>オークション &gt; 食品、飲料 &gt; 加工食品 &gt; インスタント食品 &gt; みそ汁</t>
  </si>
  <si>
    <t>オークション &gt; ビューティー、ヘルスケア &gt; リラクゼーショングッズ &gt; お香、香炉 &gt; セット</t>
  </si>
  <si>
    <t>0,23976,2084042479,2084006743,2084220403</t>
  </si>
  <si>
    <t>お香</t>
  </si>
  <si>
    <t>アテニア</t>
  </si>
  <si>
    <t>オークション &gt; ビューティー、ヘルスケア &gt; リラクゼーショングッズ &gt; お香、香炉 &gt; お香</t>
  </si>
  <si>
    <t>オークション &gt; ビューティー、ヘルスケア &gt; コスメ、スキンケア &gt; ブランド別 &gt; アテニア</t>
  </si>
  <si>
    <t>オークション &gt; 食品、飲料 &gt; 加工食品 &gt; インスタント食品 &gt; スープ</t>
  </si>
  <si>
    <t>0,42177,42180,2084059207,2084220386</t>
  </si>
  <si>
    <t>0,23976,2084042479,2084006743,2084220404</t>
  </si>
  <si>
    <t>香炉</t>
  </si>
  <si>
    <t>オークション &gt; ビューティー、ヘルスケア &gt; リラクゼーショングッズ &gt; お香、香炉 &gt; 香炉</t>
  </si>
  <si>
    <t>レトルト食品</t>
  </si>
  <si>
    <t>オークション &gt; 食品、飲料 &gt; 加工食品 &gt; インスタント食品 &gt; レトルト食品</t>
  </si>
  <si>
    <t>0,23976,2084042479,2084006743,2084220401</t>
  </si>
  <si>
    <t>オークション &gt; ビューティー、ヘルスケア &gt; コスメ、スキンケア &gt; ブランド別 &gt; アナスイ</t>
  </si>
  <si>
    <t>0,42177,42180,2084059207,2084059214</t>
  </si>
  <si>
    <t>アロマキャンドル</t>
  </si>
  <si>
    <t>オークション &gt; ビューティー、ヘルスケア &gt; リラクゼーショングッズ &gt; お香、香炉 &gt; アロマキャンドル</t>
  </si>
  <si>
    <t>オークション &gt; 食品、飲料 &gt; 加工食品 &gt; インスタント食品 &gt; 麺類</t>
  </si>
  <si>
    <t>0,23976,2084042479,2084006743,2084220402</t>
  </si>
  <si>
    <t>オークション &gt; ビューティー、ヘルスケア &gt; コスメ、スキンケア &gt; ブランド別 &gt; アニエスベー</t>
  </si>
  <si>
    <t>0,42177,42180,2084059207,2084060358</t>
  </si>
  <si>
    <t>オークション &gt; ビューティー、ヘルスケア &gt; リラクゼーショングッズ &gt; お香、香炉 &gt; 蚊取線香</t>
  </si>
  <si>
    <t>オークション &gt; 食品、飲料 &gt; 加工食品 &gt; インスタント食品 &gt; その他</t>
  </si>
  <si>
    <t>0,23976,2084042479,2084006743,2084220434</t>
  </si>
  <si>
    <t>アムウェイ</t>
  </si>
  <si>
    <t>オークション &gt; ビューティー、ヘルスケア &gt; コスメ、スキンケア &gt; ブランド別 &gt; アムウェイ</t>
  </si>
  <si>
    <t>0,42177,42180,2084059207,2084220368</t>
  </si>
  <si>
    <t>キムチ</t>
  </si>
  <si>
    <t>オークション &gt; 食品、飲料 &gt; 加工食品 &gt; 漬物 &gt; キムチ</t>
  </si>
  <si>
    <t>0,23976,2084042479,2084006746,2084243565</t>
  </si>
  <si>
    <t>アユーラ</t>
  </si>
  <si>
    <t>線香</t>
  </si>
  <si>
    <t>オークション &gt; ビューティー、ヘルスケア &gt; コスメ、スキンケア &gt; ブランド別 &gt; アユーラ</t>
  </si>
  <si>
    <t>オークション &gt; ビューティー、ヘルスケア &gt; リラクゼーショングッズ &gt; お香、香炉 &gt; 線香</t>
  </si>
  <si>
    <t>0,42177,42180,2084059207,2084059217</t>
  </si>
  <si>
    <t>梅干</t>
  </si>
  <si>
    <t>オークション &gt; 食品、飲料 &gt; 加工食品 &gt; 漬物 &gt; 梅干</t>
  </si>
  <si>
    <t>0,23976,2084042479,2084006746,2084243566</t>
  </si>
  <si>
    <t>オークション &gt; ビューティー、ヘルスケア &gt; リラクゼーショングッズ &gt; お香、香炉 &gt; その他</t>
  </si>
  <si>
    <t>アルソア</t>
  </si>
  <si>
    <t>オークション &gt; ビューティー、ヘルスケア &gt; コスメ、スキンケア &gt; ブランド別 &gt; アルソア</t>
  </si>
  <si>
    <t>0,42177,42180,2084059207,2084060365</t>
  </si>
  <si>
    <t>オークション &gt; 食品、飲料 &gt; 加工食品 &gt; 漬物 &gt; その他</t>
  </si>
  <si>
    <t>0,23976,2084042479,2084006746,2084243567</t>
  </si>
  <si>
    <t>ファッション総合</t>
  </si>
  <si>
    <t>オークション &gt; 本、雑誌 &gt; 雑誌 &gt; ファッション &gt; 女性 &gt; ファッション総合</t>
  </si>
  <si>
    <t>アルビオン</t>
  </si>
  <si>
    <t>オークション &gt; ビューティー、ヘルスケア &gt; コスメ、スキンケア &gt; ブランド別 &gt; アルビオン</t>
  </si>
  <si>
    <t>0,42177,42180,2084059207,2084059220</t>
  </si>
  <si>
    <t>きもの、和服</t>
  </si>
  <si>
    <t>オークション &gt; 本、雑誌 &gt; 雑誌 &gt; ファッション &gt; 女性 &gt; きもの、和服</t>
  </si>
  <si>
    <t>イプサ</t>
  </si>
  <si>
    <t>オークション &gt; ビューティー、ヘルスケア &gt; コスメ、スキンケア &gt; ブランド別 &gt; イプサ</t>
  </si>
  <si>
    <t>ソーイング、服飾</t>
  </si>
  <si>
    <t>0,42177,42180,2084059207,2084059226</t>
  </si>
  <si>
    <t>オークション &gt; 本、雑誌 &gt; 雑誌 &gt; ファッション &gt; 女性 &gt; ソーイング、服飾</t>
  </si>
  <si>
    <t>ティーンズ、ストリート</t>
  </si>
  <si>
    <t>オークション &gt; ビューティー、ヘルスケア &gt; コスメ、スキンケア &gt; ブランド別 &gt; イヴ・サンローラン</t>
  </si>
  <si>
    <t>オークション &gt; 本、雑誌 &gt; 雑誌 &gt; ファッション &gt; 女性 &gt; ティーンズ、ストリート</t>
  </si>
  <si>
    <t>0,42177,42180,2084059207,2084059223</t>
  </si>
  <si>
    <t>エイボン</t>
  </si>
  <si>
    <t>美容、ヘアメイク</t>
  </si>
  <si>
    <t>オークション &gt; ビューティー、ヘルスケア &gt; コスメ、スキンケア &gt; ブランド別 &gt; エイボン</t>
  </si>
  <si>
    <t>0,42177,42180,2084059207,2084060368</t>
  </si>
  <si>
    <t>オークション &gt; 本、雑誌 &gt; 雑誌 &gt; ファッション &gt; 女性 &gt; 美容、ヘアメイク</t>
  </si>
  <si>
    <t>エクスボーテ</t>
  </si>
  <si>
    <t>オークション &gt; ビューティー、ヘルスケア &gt; コスメ、スキンケア &gt; ブランド別 &gt; エクスボーテ</t>
  </si>
  <si>
    <t>0,42177,42180,2084059207,2084060363</t>
  </si>
  <si>
    <t>CHECK MATE</t>
  </si>
  <si>
    <t>オークション &gt; 本、雑誌 &gt; 雑誌 &gt; ファッション &gt; 男性 &gt; CHECK MATE</t>
  </si>
  <si>
    <t>FINEBOYS</t>
  </si>
  <si>
    <t>オークション &gt; ビューティー、ヘルスケア &gt; コスメ、スキンケア &gt; ブランド別 &gt; エスティローダー</t>
  </si>
  <si>
    <t>オークション &gt; 本、雑誌 &gt; 雑誌 &gt; ファッション &gt; 男性 &gt; FINEBOYS</t>
  </si>
  <si>
    <t>0,42177,42180,2084059207,2084059229</t>
  </si>
  <si>
    <t>エチュードハウス</t>
  </si>
  <si>
    <t>オークション &gt; ビューティー、ヘルスケア &gt; コスメ、スキンケア &gt; ブランド別 &gt; エチュードハウス</t>
  </si>
  <si>
    <t>MEN'S CLUB</t>
  </si>
  <si>
    <t>0,42177,42180,2084059207,2084310853</t>
  </si>
  <si>
    <t>オークション &gt; 本、雑誌 &gt; 雑誌 &gt; ファッション &gt; 男性 &gt; MEN'S CLUB</t>
  </si>
  <si>
    <t>エテュセ</t>
  </si>
  <si>
    <t>オークション &gt; ビューティー、ヘルスケア &gt; コスメ、スキンケア &gt; ブランド別 &gt; エテュセ</t>
  </si>
  <si>
    <t>MEN'S NON-NO</t>
  </si>
  <si>
    <t>0,42177,42180,2084059207,2084220361</t>
  </si>
  <si>
    <t>オークション &gt; 本、雑誌 &gt; 雑誌 &gt; ファッション &gt; 男性 &gt; MEN'S NON-NO</t>
  </si>
  <si>
    <t>エバメール</t>
  </si>
  <si>
    <t>オークション &gt; ビューティー、ヘルスケア &gt; コスメ、スキンケア &gt; ブランド別 &gt; エバメール</t>
  </si>
  <si>
    <t>MR.High Fashion</t>
  </si>
  <si>
    <t>0,42177,42180,2084059207,2084228404</t>
  </si>
  <si>
    <t>オークション &gt; 本、雑誌 &gt; 雑誌 &gt; ファッション &gt; 男性 &gt; MR.High Fashion</t>
  </si>
  <si>
    <t>シフォンケーキ</t>
  </si>
  <si>
    <t>オークション &gt; 食品、飲料 &gt; 菓子、デザート &gt; ケーキ &gt; シフォンケーキ</t>
  </si>
  <si>
    <t>0,23976,23982,2084050398,2084209995</t>
  </si>
  <si>
    <t>オークション &gt; ビューティー、ヘルスケア &gt; コスメ、スキンケア &gt; ブランド別 &gt; エリザベス・アーデン</t>
  </si>
  <si>
    <t>0,42177,42180,2084059207,2084059232</t>
  </si>
  <si>
    <t>オークション &gt; 本、雑誌 &gt; 雑誌 &gt; ファッション &gt; 男性 &gt; その他</t>
  </si>
  <si>
    <t>オリジンズ</t>
  </si>
  <si>
    <t>オークション &gt; ビューティー、ヘルスケア &gt; コスメ、スキンケア &gt; ブランド別 &gt; オリジンズ</t>
  </si>
  <si>
    <t>0,42177,42180,2084059207,2084227029</t>
  </si>
  <si>
    <t>チーズケーキ</t>
  </si>
  <si>
    <t>オークション &gt; 食品、飲料 &gt; 菓子、デザート &gt; ケーキ &gt; チーズケーキ</t>
  </si>
  <si>
    <t>0,23976,23982,2084050398,2084209996</t>
  </si>
  <si>
    <t>オルビス</t>
  </si>
  <si>
    <t>オークション &gt; ビューティー、ヘルスケア &gt; コスメ、スキンケア &gt; ブランド別 &gt; オルビス</t>
  </si>
  <si>
    <t>0,42177,42180,2084059207,2084220365</t>
  </si>
  <si>
    <t>チョコレートケーキ</t>
  </si>
  <si>
    <t>オークション &gt; 食品、飲料 &gt; 菓子、デザート &gt; ケーキ &gt; チョコレートケーキ</t>
  </si>
  <si>
    <t>0,23976,23982,2084050398,2084209997</t>
  </si>
  <si>
    <t>オンリーミネラル</t>
  </si>
  <si>
    <t>オークション &gt; ビューティー、ヘルスケア &gt; コスメ、スキンケア &gt; ブランド別 &gt; オンリーミネラル</t>
  </si>
  <si>
    <t>デコレーションケーキ</t>
  </si>
  <si>
    <t>0,42177,42180,2084059207,2084310863</t>
  </si>
  <si>
    <t>オークション &gt; 食品、飲料 &gt; 菓子、デザート &gt; ケーキ &gt; デコレーションケーキ</t>
  </si>
  <si>
    <t>0,23976,23982,2084050398,2084209998</t>
  </si>
  <si>
    <t>カネボウ</t>
  </si>
  <si>
    <t>オークション &gt; ビューティー、ヘルスケア &gt; コスメ、スキンケア &gt; ブランド別 &gt; カネボウ</t>
  </si>
  <si>
    <t>0,42177,42180,2084059207,2084059235</t>
  </si>
  <si>
    <t>パウンドケーキ</t>
  </si>
  <si>
    <t>オークション &gt; 食品、飲料 &gt; 菓子、デザート &gt; ケーキ &gt; パウンドケーキ</t>
  </si>
  <si>
    <t>0,23976,23982,2084050398,2084209999</t>
  </si>
  <si>
    <t>カバーマーク</t>
  </si>
  <si>
    <t>オークション &gt; ビューティー、ヘルスケア &gt; コスメ、スキンケア &gt; ブランド別 &gt; カバーマーク</t>
  </si>
  <si>
    <t>マドレーヌ</t>
  </si>
  <si>
    <t>0,42177,42180,2084059207,2084213078</t>
  </si>
  <si>
    <t>オークション &gt; 食品、飲料 &gt; 菓子、デザート &gt; ケーキ &gt; マドレーヌ</t>
  </si>
  <si>
    <t>0,23976,23982,2084050398,2084210000</t>
  </si>
  <si>
    <t>カリタ</t>
  </si>
  <si>
    <t>ロールケーキ</t>
  </si>
  <si>
    <t>オークション &gt; ビューティー、ヘルスケア &gt; コスメ、スキンケア &gt; ブランド別 &gt; カリタ</t>
  </si>
  <si>
    <t>オークション &gt; 食品、飲料 &gt; 菓子、デザート &gt; ケーキ &gt; ロールケーキ</t>
  </si>
  <si>
    <t>0,42177,42180,2084059207,2084220374</t>
  </si>
  <si>
    <t>0,23976,23982,2084050398,2084210001</t>
  </si>
  <si>
    <t>クラランス</t>
  </si>
  <si>
    <t>オークション &gt; ビューティー、ヘルスケア &gt; コスメ、スキンケア &gt; ブランド別 &gt; クラランス</t>
  </si>
  <si>
    <t>0,42177,42180,2084059207,2084059238</t>
  </si>
  <si>
    <t>オークション &gt; 食品、飲料 &gt; 菓子、デザート &gt; ケーキ &gt; その他</t>
  </si>
  <si>
    <t>0,23976,23982,2084050398,2084210002</t>
  </si>
  <si>
    <t>オークション &gt; ビューティー、ヘルスケア &gt; コスメ、スキンケア &gt; ブランド別 &gt; クリスチャン・ディオール</t>
  </si>
  <si>
    <t>0,42177,42180,2084059207,2084059241</t>
  </si>
  <si>
    <t>オークション &gt; ビューティー、ヘルスケア &gt; コスメ、スキンケア &gt; ブランド別 &gt; クリニーク</t>
  </si>
  <si>
    <t>0,42177,42180,2084059207,2084059244</t>
  </si>
  <si>
    <t>ケサランパサラン</t>
  </si>
  <si>
    <t>オークション &gt; ビューティー、ヘルスケア &gt; コスメ、スキンケア &gt; ブランド別 &gt; ケサランパサラン</t>
  </si>
  <si>
    <t>0,42177,42180,2084059207,2084059247</t>
  </si>
  <si>
    <t>オークション &gt; ビューティー、ヘルスケア &gt; コスメ、スキンケア &gt; ブランド別 &gt; ゲラン</t>
  </si>
  <si>
    <t>0,42177,42180,2084059207,2084060360</t>
  </si>
  <si>
    <t>コーセー</t>
  </si>
  <si>
    <t>オークション &gt; ビューティー、ヘルスケア &gt; コスメ、スキンケア &gt; ブランド別 &gt; コーセー</t>
  </si>
  <si>
    <t>0,42177,42180,2084059207,2084059250</t>
  </si>
  <si>
    <t>コレコ</t>
  </si>
  <si>
    <t>オークション &gt; ビューティー、ヘルスケア &gt; コスメ、スキンケア &gt; ブランド別 &gt; コレコ</t>
  </si>
  <si>
    <t>0,42177,42180,2084059207,2084228401</t>
  </si>
  <si>
    <t>花王</t>
  </si>
  <si>
    <t>オークション &gt; ビューティー、ヘルスケア &gt; コスメ、スキンケア &gt; ブランド別 &gt; 花王</t>
  </si>
  <si>
    <t>0,42177,42180,2084059207,2084059280</t>
  </si>
  <si>
    <t>SUQQU</t>
  </si>
  <si>
    <t>オークション &gt; ビューティー、ヘルスケア &gt; コスメ、スキンケア &gt; ブランド別 &gt; SUQQU</t>
  </si>
  <si>
    <t>0,42177,42180,2084059207,2084227031</t>
  </si>
  <si>
    <t>ザ・ボディショップ</t>
  </si>
  <si>
    <t>オークション &gt; ビューティー、ヘルスケア &gt; コスメ、スキンケア &gt; ブランド別 &gt; ザ・ボディショップ</t>
  </si>
  <si>
    <t>0,42177,42180,2084059207,2084059253</t>
  </si>
  <si>
    <t>オークション &gt; ビューティー、ヘルスケア &gt; コスメ、スキンケア &gt; ブランド別 &gt; シャネル</t>
  </si>
  <si>
    <t>0,42177,42180,2084059207,2084059255</t>
  </si>
  <si>
    <t>シュウウエムラ</t>
  </si>
  <si>
    <t>オークション &gt; ビューティー、ヘルスケア &gt; コスメ、スキンケア &gt; ブランド別 &gt; シュウウエムラ</t>
  </si>
  <si>
    <t>0,42177,42180,2084059207,2084059286</t>
  </si>
  <si>
    <t>オークション &gt; ビューティー、ヘルスケア &gt; コスメ、スキンケア &gt; ブランド別 &gt; ジバンシイ</t>
  </si>
  <si>
    <t>0,42177,42180,2084059207,2084060359</t>
  </si>
  <si>
    <t>ネックレス、ペンダント、チョーカー</t>
  </si>
  <si>
    <t>オークション &gt; アクセサリー、時計 &gt; ブランドアクセサリー &gt; A＆G &gt; ネックレス、ペンダント、チョーカー</t>
  </si>
  <si>
    <t>ジュリーク</t>
  </si>
  <si>
    <t>オークション &gt; ビューティー、ヘルスケア &gt; コスメ、スキンケア &gt; ブランド別 &gt; ジュリーク</t>
  </si>
  <si>
    <t>0,42177,42180,2084059207,2084228392</t>
  </si>
  <si>
    <t>オークション &gt; アクセサリー、時計 &gt; ブランドアクセサリー &gt; A＆G &gt; ブレスレット、バングル</t>
  </si>
  <si>
    <t>オークション &gt; ビューティー、ヘルスケア &gt; コスメ、スキンケア &gt; ブランド別 &gt; ジルスチュアート</t>
  </si>
  <si>
    <t>0,42177,42180,2084059207,2084220359</t>
  </si>
  <si>
    <t>オークション &gt; アクセサリー、時計 &gt; ブランドアクセサリー &gt; A＆G &gt; 指輪</t>
  </si>
  <si>
    <t>スキンフード</t>
  </si>
  <si>
    <t>オークション &gt; アクセサリー、時計 &gt; ブランドアクセサリー &gt; A＆G &gt; その他</t>
  </si>
  <si>
    <t>オークション &gt; ビューティー、ヘルスケア &gt; コスメ、スキンケア &gt; ブランド別 &gt; スキンフード</t>
  </si>
  <si>
    <t>0,42177,42180,2084059207,2084310864</t>
  </si>
  <si>
    <t>イヤリング、ピアス</t>
  </si>
  <si>
    <t>オークション &gt; アクセサリー、時計 &gt; ブランドアクセサリー &gt; アガタ &gt; イヤリング、ピアス</t>
  </si>
  <si>
    <t>スティラ</t>
  </si>
  <si>
    <t>オークション &gt; ビューティー、ヘルスケア &gt; コスメ、スキンケア &gt; ブランド別 &gt; スティラ</t>
  </si>
  <si>
    <t>0,42177,42180,2084059207,2084059288</t>
  </si>
  <si>
    <t>オークション &gt; アクセサリー、時計 &gt; ブランドアクセサリー &gt; アガタ &gt; ネックレス、ペンダント、チョーカー</t>
  </si>
  <si>
    <t>どら焼き</t>
  </si>
  <si>
    <t>オークション &gt; 食品、飲料 &gt; 菓子、デザート &gt; 和菓子 &gt; どら焼き</t>
  </si>
  <si>
    <t>オークション &gt; アクセサリー、時計 &gt; ブランドアクセサリー &gt; アガタ &gt; ブレスレット、バングル</t>
  </si>
  <si>
    <t>0,23976,23982,2084050405,2084227199</t>
  </si>
  <si>
    <t>オークション &gt; ビューティー、ヘルスケア &gt; コスメ、スキンケア &gt; ブランド別 &gt; 資生堂</t>
  </si>
  <si>
    <t>0,42177,42180,2084059207,2084059283</t>
  </si>
  <si>
    <t>オークション &gt; アクセサリー、時計 &gt; ブランドアクセサリー &gt; アガタ &gt; 指輪</t>
  </si>
  <si>
    <t>まんじゅう</t>
  </si>
  <si>
    <t>オークション &gt; 食品、飲料 &gt; 菓子、デザート &gt; 和菓子 &gt; まんじゅう</t>
  </si>
  <si>
    <t>DHC</t>
  </si>
  <si>
    <t>0,23976,23982,2084050405,2084227198</t>
  </si>
  <si>
    <t>オークション &gt; ビューティー、ヘルスケア &gt; コスメ、スキンケア &gt; ブランド別 &gt; DHC</t>
  </si>
  <si>
    <t>0,42177,42180,2084059207,2084059208</t>
  </si>
  <si>
    <t>ようかん</t>
  </si>
  <si>
    <t>オークション &gt; アクセサリー、時計 &gt; ブランドアクセサリー &gt; アガタ &gt; その他</t>
  </si>
  <si>
    <t>オークション &gt; 食品、飲料 &gt; 菓子、デザート &gt; 和菓子 &gt; ようかん</t>
  </si>
  <si>
    <t>ドゥ・ラ・メール</t>
  </si>
  <si>
    <t>0,23976,23982,2084050405,2084227196</t>
  </si>
  <si>
    <t>オークション &gt; ビューティー、ヘルスケア &gt; コスメ、スキンケア &gt; ブランド別 &gt; ドゥ・ラ・メール</t>
  </si>
  <si>
    <t>0,42177,42180,2084059207,2084220371</t>
  </si>
  <si>
    <t>オークション &gt; アクセサリー、時計 &gt; ブランドアクセサリー &gt; アガット &gt; イヤリング、ピアス</t>
  </si>
  <si>
    <t>最中</t>
  </si>
  <si>
    <t>オークション &gt; 食品、飲料 &gt; 菓子、デザート &gt; 和菓子 &gt; 最中</t>
  </si>
  <si>
    <t>0,23976,23982,2084050405,2084227197</t>
  </si>
  <si>
    <t>ドクターシーラボ</t>
  </si>
  <si>
    <t>オークション &gt; ビューティー、ヘルスケア &gt; コスメ、スキンケア &gt; ブランド別 &gt; ドクターシーラボ</t>
  </si>
  <si>
    <t>0,42177,42180,2084059207,2084220354</t>
  </si>
  <si>
    <t>オークション &gt; 食品、飲料 &gt; 菓子、デザート &gt; 和菓子 &gt; その他</t>
  </si>
  <si>
    <t>オークション &gt; アクセサリー、時計 &gt; ブランドアクセサリー &gt; アガット &gt; ネックレス、ペンダント、チョーカー</t>
  </si>
  <si>
    <t>0,23976,23982,2084050405,2084227200</t>
  </si>
  <si>
    <t>NARS</t>
  </si>
  <si>
    <t>スパイス</t>
  </si>
  <si>
    <t>オークション &gt; アクセサリー、時計 &gt; ブランドアクセサリー &gt; アガット &gt; ブレスレット、バングル</t>
  </si>
  <si>
    <t>オークション &gt; 食品、飲料 &gt; 調味料、スパイス &gt; 薬味、スパイス &gt; スパイス</t>
  </si>
  <si>
    <t>オークション &gt; ビューティー、ヘルスケア &gt; コスメ、スキンケア &gt; ブランド別 &gt; NARS</t>
  </si>
  <si>
    <t>0,42177,42180,2084059207,2084220377</t>
  </si>
  <si>
    <t>0,23976,24042,2084050392,2084217623</t>
  </si>
  <si>
    <t>オークション &gt; アクセサリー、時計 &gt; ブランドアクセサリー &gt; アガット &gt; 指輪</t>
  </si>
  <si>
    <t>オークション &gt; 食品、飲料 &gt; 調味料、スパイス &gt; 薬味、スパイス &gt; ハーブ</t>
  </si>
  <si>
    <t>0,23976,24042,2084050392,2084217622</t>
  </si>
  <si>
    <t>ナリス</t>
  </si>
  <si>
    <t>オークション &gt; ビューティー、ヘルスケア &gt; コスメ、スキンケア &gt; ブランド別 &gt; ナリス</t>
  </si>
  <si>
    <t>オークション &gt; アクセサリー、時計 &gt; ブランドアクセサリー &gt; アガット &gt; その他</t>
  </si>
  <si>
    <t>0,42177,42180,2084059207,2084060371</t>
  </si>
  <si>
    <t>薬味</t>
  </si>
  <si>
    <t>オークション &gt; 食品、飲料 &gt; 調味料、スパイス &gt; 薬味、スパイス &gt; 薬味</t>
  </si>
  <si>
    <t>0,23976,24042,2084050392,2084217621</t>
  </si>
  <si>
    <t>オークション &gt; アクセサリー、時計 &gt; ブランドアクセサリー &gt; アバクロンビー＆フィッチ &gt; ネックレス、ペンダント、チョーカー</t>
  </si>
  <si>
    <t>オークション &gt; ビューティー、ヘルスケア &gt; コスメ、スキンケア &gt; ブランド別 &gt; ニナリッチ</t>
  </si>
  <si>
    <t>レトルト</t>
  </si>
  <si>
    <t>0,42177,42180,2084059207,2084291397</t>
  </si>
  <si>
    <t>オークション &gt; ベビー用品 &gt; 授乳、食事用品 &gt; ミルク、ベビーフード &gt; ベビーフード &gt; レトルト</t>
  </si>
  <si>
    <t>オークション &gt; アクセサリー、時計 &gt; ブランドアクセサリー &gt; アバクロンビー＆フィッチ &gt; その他</t>
  </si>
  <si>
    <t>0,24202,2084042550,2084008374,2084202516,2084202519</t>
  </si>
  <si>
    <t>ニュースキン</t>
  </si>
  <si>
    <t>オークション &gt; ビューティー、ヘルスケア &gt; コスメ、スキンケア &gt; ブランド別 &gt; ニュースキン</t>
  </si>
  <si>
    <t>オークション &gt; アクセサリー、時計 &gt; ブランドアクセサリー &gt; エルメス &gt; イヤリング、ピアス</t>
  </si>
  <si>
    <t>0,42177,42180,2084059207,2084310865</t>
  </si>
  <si>
    <t>瓶入り</t>
  </si>
  <si>
    <t>オークション &gt; ベビー用品 &gt; 授乳、食事用品 &gt; ミルク、ベビーフード &gt; ベビーフード &gt; 瓶入り</t>
  </si>
  <si>
    <t>0,24202,2084042550,2084008374,2084202516,2084202984</t>
  </si>
  <si>
    <t>ネイチャーリパブリック</t>
  </si>
  <si>
    <t>オークション &gt; アクセサリー、時計 &gt; ブランドアクセサリー &gt; エルメス &gt; キーホルダー</t>
  </si>
  <si>
    <t>オークション &gt; ビューティー、ヘルスケア &gt; コスメ、スキンケア &gt; ブランド別 &gt; ネイチャーリパブリック</t>
  </si>
  <si>
    <t>0,42177,42180,2084059207,2084310869</t>
  </si>
  <si>
    <t>オークション &gt; ベビー用品 &gt; 授乳、食事用品 &gt; ミルク、ベビーフード &gt; ベビーフード &gt; その他</t>
  </si>
  <si>
    <t>0,24202,2084042550,2084008374,2084202516,2084202985</t>
  </si>
  <si>
    <t>オークション &gt; アクセサリー、時計 &gt; ブランドアクセサリー &gt; エルメス &gt; ネックレス、ペンダント、チョーカー</t>
  </si>
  <si>
    <t>ノエビア</t>
  </si>
  <si>
    <t>オークション &gt; ビューティー、ヘルスケア &gt; コスメ、スキンケア &gt; ブランド別 &gt; ノエビア</t>
  </si>
  <si>
    <t>0,42177,42180,2084059207,2084059258</t>
  </si>
  <si>
    <t>オークション &gt; ベビー用品 &gt; 授乳、食事用品 &gt; ミルク、ベビーフード &gt; ミルク &gt; スティックタイプ</t>
  </si>
  <si>
    <t>0,24202,2084042550,2084008374,2084202515,2084202518</t>
  </si>
  <si>
    <t>オークション &gt; アクセサリー、時計 &gt; ブランドアクセサリー &gt; エルメス &gt; ブレスレット、バングル</t>
  </si>
  <si>
    <t>ハーバー</t>
  </si>
  <si>
    <t>オークション &gt; ビューティー、ヘルスケア &gt; コスメ、スキンケア &gt; ブランド別 &gt; ハーバー</t>
  </si>
  <si>
    <t>0,42177,42180,2084059207,2084059261</t>
  </si>
  <si>
    <t>缶入り</t>
  </si>
  <si>
    <t>オークション &gt; アクセサリー、時計 &gt; ブランドアクセサリー &gt; エルメス &gt; 指輪</t>
  </si>
  <si>
    <t>オークション &gt; ベビー用品 &gt; 授乳、食事用品 &gt; ミルク、ベビーフード &gt; ミルク &gt; 缶入り</t>
  </si>
  <si>
    <t>0,24202,2084042550,2084008374,2084202515,2084202517</t>
  </si>
  <si>
    <t>ハンスキン</t>
  </si>
  <si>
    <t>オークション &gt; アクセサリー、時計 &gt; ブランドアクセサリー &gt; エルメス &gt; 腕時計</t>
  </si>
  <si>
    <t>オークション &gt; ビューティー、ヘルスケア &gt; コスメ、スキンケア &gt; ブランド別 &gt; ハンスキン</t>
  </si>
  <si>
    <t>0,42177,42180,2084059207,2084310873</t>
  </si>
  <si>
    <t>オークション &gt; ベビー用品 &gt; 授乳、食事用品 &gt; ミルク、ベビーフード &gt; ミルク &gt; その他</t>
  </si>
  <si>
    <t>0,24202,2084042550,2084008374,2084202515,2084202520</t>
  </si>
  <si>
    <t>オークション &gt; アクセサリー、時計 &gt; ブランドアクセサリー &gt; エルメス &gt; その他</t>
  </si>
  <si>
    <t>パルガントン</t>
  </si>
  <si>
    <t>オークション &gt; ビューティー、ヘルスケア &gt; コスメ、スキンケア &gt; ブランド別 &gt; パルガントン</t>
  </si>
  <si>
    <t>0,42177,42180,2084059207,2084220379</t>
  </si>
  <si>
    <t>オークション &gt; アクセサリー、時計 &gt; ブランドアクセサリー &gt; カルティエ &gt; イヤリング、ピアス</t>
  </si>
  <si>
    <t>オークション &gt; アクセサリー、時計 &gt; ブランドアクセサリー &gt; カルティエ &gt; ネックレス、ペンダント、チョーカー</t>
  </si>
  <si>
    <t>ビオテルム</t>
  </si>
  <si>
    <t>オークション &gt; ビューティー、ヘルスケア &gt; コスメ、スキンケア &gt; ブランド別 &gt; ビオテルム</t>
  </si>
  <si>
    <t>0,42177,42180,2084059207,2084228397</t>
  </si>
  <si>
    <t>オークション &gt; アクセサリー、時計 &gt; ブランドアクセサリー &gt; カルティエ &gt; ブレスレット、バングル</t>
  </si>
  <si>
    <t>ファンケル</t>
  </si>
  <si>
    <t>オークション &gt; ビューティー、ヘルスケア &gt; コスメ、スキンケア &gt; ブランド別 &gt; ファンケル</t>
  </si>
  <si>
    <t>0,42177,42180,2084059207,2084059289</t>
  </si>
  <si>
    <t>オークション &gt; アクセサリー、時計 &gt; ブランドアクセサリー &gt; カルティエ &gt; 指輪</t>
  </si>
  <si>
    <t>ブルジョワ</t>
  </si>
  <si>
    <t>オークション &gt; ビューティー、ヘルスケア &gt; コスメ、スキンケア &gt; ブランド別 &gt; ブルジョワ</t>
  </si>
  <si>
    <t>0,42177,42180,2084059207,2084220381</t>
  </si>
  <si>
    <t>オークション &gt; アクセサリー、時計 &gt; ブランドアクセサリー &gt; カルティエ &gt; キーホルダー</t>
  </si>
  <si>
    <t>オークション &gt; アクセサリー、時計 &gt; ブランドアクセサリー &gt; カルティエ &gt; 腕時計</t>
  </si>
  <si>
    <t>プロアクティブ</t>
  </si>
  <si>
    <t>オークション &gt; ビューティー、ヘルスケア &gt; コスメ、スキンケア &gt; ブランド別 &gt; プロアクティブ</t>
  </si>
  <si>
    <t>0,42177,42180,2084059207,2084310874</t>
  </si>
  <si>
    <t>オークション &gt; アクセサリー、時計 &gt; ブランドアクセサリー &gt; カルティエ &gt; その他</t>
  </si>
  <si>
    <t>ヘレナルビンスタイン</t>
  </si>
  <si>
    <t>オークション &gt; ビューティー、ヘルスケア &gt; コスメ、スキンケア &gt; ブランド別 &gt; ヘレナルビンスタイン</t>
  </si>
  <si>
    <t>0,42177,42180,2084059207,2084059263</t>
  </si>
  <si>
    <t>オークション &gt; アクセサリー、時計 &gt; ブランドアクセサリー &gt; カレラ イ カレラ &gt; ネックレス、ペンダント、チョーカー</t>
  </si>
  <si>
    <t>ベアミネラル</t>
  </si>
  <si>
    <t>オークション &gt; ビューティー、ヘルスケア &gt; コスメ、スキンケア &gt; ブランド別 &gt; ベアミネラル</t>
  </si>
  <si>
    <t>オークション &gt; アクセサリー、時計 &gt; ブランドアクセサリー &gt; カレラ イ カレラ &gt; 腕時計</t>
  </si>
  <si>
    <t>0,42177,42180,2084059207,2084228354</t>
  </si>
  <si>
    <t>オークション &gt; アクセサリー、時計 &gt; ブランドアクセサリー &gt; カレラ イ カレラ &gt; その他</t>
  </si>
  <si>
    <t>ボビイブラウン</t>
  </si>
  <si>
    <t>オークション &gt; ビューティー、ヘルスケア &gt; コスメ、スキンケア &gt; ブランド別 &gt; ボビイブラウン</t>
  </si>
  <si>
    <t>0,42177,42180,2084059207,2084060445</t>
  </si>
  <si>
    <t>オークション &gt; アクセサリー、時計 &gt; ブランドアクセサリー &gt; ガボール &gt; ブレスレット、バングル</t>
  </si>
  <si>
    <t>ポーラ</t>
  </si>
  <si>
    <t>オークション &gt; ビューティー、ヘルスケア &gt; コスメ、スキンケア &gt; ブランド別 &gt; ポーラ</t>
  </si>
  <si>
    <t>0,42177,42180,2084059207,2084060457</t>
  </si>
  <si>
    <t>オークション &gt; アクセサリー、時計 &gt; ブランドアクセサリー &gt; ガボール &gt; その他</t>
  </si>
  <si>
    <t>オークション &gt; アクセサリー、時計 &gt; ブランドアクセサリー &gt; クリスチャン・ディオール &gt; イヤリング、ピアス</t>
  </si>
  <si>
    <t>オークション &gt; ビューティー、ヘルスケア &gt; コスメ、スキンケア &gt; ブランド別 &gt; ポール＆ジョー</t>
  </si>
  <si>
    <t>0,42177,42180,2084059207,2084220357</t>
  </si>
  <si>
    <t>オークション &gt; アクセサリー、時計 &gt; ブランドアクセサリー &gt; クリスチャン・ディオール &gt; ネックレス、ペンダント、チョーカー</t>
  </si>
  <si>
    <t>オークション &gt; ビューティー、ヘルスケア &gt; コスメ、スキンケア &gt; ブランド別 &gt; ヴィクトリアシークレット</t>
  </si>
  <si>
    <t>オークション &gt; アクセサリー、時計 &gt; ブランドアクセサリー &gt; クリスチャン・ディオール &gt; ブレスレット、バングル</t>
  </si>
  <si>
    <t>0,42177,42180,2084059207,2084243968</t>
  </si>
  <si>
    <t>オークション &gt; アクセサリー、時計 &gt; ブランドアクセサリー &gt; クリスチャン・ディオール &gt; 指輪</t>
  </si>
  <si>
    <t>MAC</t>
  </si>
  <si>
    <t>オークション &gt; ビューティー、ヘルスケア &gt; コスメ、スキンケア &gt; ブランド別 &gt; MAC</t>
  </si>
  <si>
    <t>0,42177,42180,2084059207,2084059211</t>
  </si>
  <si>
    <t>オークション &gt; アクセサリー、時計 &gt; ブランドアクセサリー &gt; クリスチャン・ディオール &gt; 腕時計</t>
  </si>
  <si>
    <t>オークション &gt; アクセサリー、時計 &gt; ブランドアクセサリー &gt; クリスチャン・ディオール &gt; その他</t>
  </si>
  <si>
    <t>マックスファクター</t>
  </si>
  <si>
    <t>オークション &gt; ビューティー、ヘルスケア &gt; コスメ、スキンケア &gt; ブランド別 &gt; マックスファクター</t>
  </si>
  <si>
    <t>0,42177,42180,2084059207,2084059266</t>
  </si>
  <si>
    <t>オークション &gt; アクセサリー、時計 &gt; ブランドアクセサリー &gt; クレージュ &gt; イヤリング、ピアス</t>
  </si>
  <si>
    <t>マリークヮント</t>
  </si>
  <si>
    <t>オークション &gt; アクセサリー、時計 &gt; ブランドアクセサリー &gt; クレージュ &gt; ネックレス、ペンダント、チョーカー</t>
  </si>
  <si>
    <t>オークション &gt; ビューティー、ヘルスケア &gt; コスメ、スキンケア &gt; ブランド別 &gt; マリークヮント</t>
  </si>
  <si>
    <t>0,42177,42180,2084059207,2084060449</t>
  </si>
  <si>
    <t>オークション &gt; アクセサリー、時計 &gt; ブランドアクセサリー &gt; クレージュ &gt; 指輪</t>
  </si>
  <si>
    <t>ミシャ</t>
  </si>
  <si>
    <t>オークション &gt; ビューティー、ヘルスケア &gt; コスメ、スキンケア &gt; ブランド別 &gt; ミシャ</t>
  </si>
  <si>
    <t>0,42177,42180,2084059207,2084310875</t>
  </si>
  <si>
    <t>オークション &gt; アクセサリー、時計 &gt; ブランドアクセサリー &gt; クレージュ &gt; 腕時計</t>
  </si>
  <si>
    <t>オークション &gt; アクセサリー、時計 &gt; ブランドアクセサリー &gt; クレージュ &gt; その他</t>
  </si>
  <si>
    <t>メイベリン</t>
  </si>
  <si>
    <t>オークション &gt; ビューティー、ヘルスケア &gt; コスメ、スキンケア &gt; ブランド別 &gt; メイベリン</t>
  </si>
  <si>
    <t>0,42177,42180,2084059207,2084059269</t>
  </si>
  <si>
    <t>オークション &gt; アクセサリー、時計 &gt; ブランドアクセサリー &gt; クロムハーツ &gt; イヤリング、ピアス</t>
  </si>
  <si>
    <t>メナード</t>
  </si>
  <si>
    <t>オークション &gt; ビューティー、ヘルスケア &gt; コスメ、スキンケア &gt; ブランド別 &gt; メナード</t>
  </si>
  <si>
    <t>オークション &gt; アクセサリー、時計 &gt; ブランドアクセサリー &gt; クロムハーツ &gt; ネックレス、ペンダント、チョーカー</t>
  </si>
  <si>
    <t>0,42177,42180,2084059207,2084059272</t>
  </si>
  <si>
    <t>オークション &gt; アクセサリー、時計 &gt; ブランドアクセサリー &gt; クロムハーツ &gt; ブレスレット、バングル</t>
  </si>
  <si>
    <t>ヤクルト</t>
  </si>
  <si>
    <t>オークション &gt; ビューティー、ヘルスケア &gt; コスメ、スキンケア &gt; ブランド別 &gt; ヤクルト</t>
  </si>
  <si>
    <t>0,42177,42180,2084059207,2084220383</t>
  </si>
  <si>
    <t>オークション &gt; アクセサリー、時計 &gt; ブランドアクセサリー &gt; クロムハーツ &gt; 指輪</t>
  </si>
  <si>
    <t>ライスフォース</t>
  </si>
  <si>
    <t>オークション &gt; ビューティー、ヘルスケア &gt; コスメ、スキンケア &gt; ブランド別 &gt; ライスフォース</t>
  </si>
  <si>
    <t>0,42177,42180,2084059207,2084228379</t>
  </si>
  <si>
    <t>オークション &gt; アクセサリー、時計 &gt; ブランドアクセサリー &gt; クロムハーツ &gt; キーホルダー</t>
  </si>
  <si>
    <t>ラメンテ</t>
  </si>
  <si>
    <t>オークション &gt; ビューティー、ヘルスケア &gt; コスメ、スキンケア &gt; ブランド別 &gt; ラメンテ</t>
  </si>
  <si>
    <t>オークション &gt; アクセサリー、時計 &gt; ブランドアクセサリー &gt; クロムハーツ &gt; その他</t>
  </si>
  <si>
    <t>0,42177,42180,2084059207,2084220390</t>
  </si>
  <si>
    <t>オークション &gt; アクセサリー、時計 &gt; ブランドアクセサリー &gt; グッチ &gt; イヤリング、ピアス</t>
  </si>
  <si>
    <t>オークション &gt; ビューティー、ヘルスケア &gt; コスメ、スキンケア &gt; ブランド別 &gt; ランコム</t>
  </si>
  <si>
    <t>0,42177,42180,2084059207,2084059274</t>
  </si>
  <si>
    <t>オークション &gt; アクセサリー、時計 &gt; ブランドアクセサリー &gt; グッチ &gt; キーホルダー</t>
  </si>
  <si>
    <t>レブロン</t>
  </si>
  <si>
    <t>オークション &gt; ビューティー、ヘルスケア &gt; コスメ、スキンケア &gt; ブランド別 &gt; レブロン</t>
  </si>
  <si>
    <t>0,42177,42180,2084059207,2084059277</t>
  </si>
  <si>
    <t>オークション &gt; アクセサリー、時計 &gt; ブランドアクセサリー &gt; グッチ &gt; ネックレス、ペンダント、チョーカー</t>
  </si>
  <si>
    <t>ロクシタン</t>
  </si>
  <si>
    <t>オークション &gt; ビューティー、ヘルスケア &gt; コスメ、スキンケア &gt; ブランド別 &gt; ロクシタン</t>
  </si>
  <si>
    <t>0,42177,42180,2084059207,2084220393</t>
  </si>
  <si>
    <t>オークション &gt; アクセサリー、時計 &gt; ブランドアクセサリー &gt; グッチ &gt; ブレスレット、バングル</t>
  </si>
  <si>
    <t>オークション &gt; アクセサリー、時計 &gt; ブランドアクセサリー &gt; グッチ &gt; 指輪</t>
  </si>
  <si>
    <t>オークション &gt; アクセサリー、時計 &gt; ブランドアクセサリー &gt; グッチ &gt; 腕時計</t>
  </si>
  <si>
    <t>オークション &gt; アクセサリー、時計 &gt; ブランドアクセサリー &gt; グッチ &gt; その他</t>
  </si>
  <si>
    <t>クレンジング</t>
  </si>
  <si>
    <t>オークション &gt; ビューティー、ヘルスケア &gt; コスメ、スキンケア &gt; 基礎化粧品 &gt; クレンジング</t>
  </si>
  <si>
    <t>0,42177,42180,42181,2084005322</t>
  </si>
  <si>
    <t>オークション &gt; アクセサリー、時計 &gt; ブランドアクセサリー &gt; コム サ デ モード &gt; ネックレス、ペンダント、チョーカー</t>
  </si>
  <si>
    <t>洗顔料</t>
  </si>
  <si>
    <t>オークション &gt; ビューティー、ヘルスケア &gt; コスメ、スキンケア &gt; 基礎化粧品 &gt; 洗顔料</t>
  </si>
  <si>
    <t>0,42177,42180,42181,2084005328</t>
  </si>
  <si>
    <t>オークション &gt; アクセサリー、時計 &gt; ブランドアクセサリー &gt; コム サ デ モード &gt; ブレスレット、バングル</t>
  </si>
  <si>
    <t>化粧水</t>
  </si>
  <si>
    <t>オークション &gt; ビューティー、ヘルスケア &gt; コスメ、スキンケア &gt; 基礎化粧品 &gt; 化粧水</t>
  </si>
  <si>
    <t>0,42177,42180,42181,2084005341</t>
  </si>
  <si>
    <t>オークション &gt; アクセサリー、時計 &gt; ブランドアクセサリー &gt; コム サ デ モード &gt; 指輪</t>
  </si>
  <si>
    <t>ジェル、ゲル</t>
  </si>
  <si>
    <t>オークション &gt; アクセサリー、時計 &gt; ブランドアクセサリー &gt; コム サ デ モード &gt; その他</t>
  </si>
  <si>
    <t>オークション &gt; ビューティー、ヘルスケア &gt; コスメ、スキンケア &gt; 基礎化粧品 &gt; ジェル、ゲル</t>
  </si>
  <si>
    <t>0,42177,42180,42181,2084049735</t>
  </si>
  <si>
    <t>オークション &gt; アクセサリー、時計 &gt; ブランドアクセサリー &gt; ゴローズ &gt; ネックレス、ペンダント、チョーカー</t>
  </si>
  <si>
    <t>乳液</t>
  </si>
  <si>
    <t>オークション &gt; ビューティー、ヘルスケア &gt; コスメ、スキンケア &gt; 基礎化粧品 &gt; 乳液</t>
  </si>
  <si>
    <t>0,42177,42180,42181,2084005329</t>
  </si>
  <si>
    <t>オークション &gt; アクセサリー、時計 &gt; ブランドアクセサリー &gt; ゴローズ &gt; ブレスレット、バングル</t>
  </si>
  <si>
    <t>美容液</t>
  </si>
  <si>
    <t>オークション &gt; ビューティー、ヘルスケア &gt; コスメ、スキンケア &gt; 基礎化粧品 &gt; 美容液</t>
  </si>
  <si>
    <t>0,42177,42180,42181,2084007426</t>
  </si>
  <si>
    <t>オークション &gt; アクセサリー、時計 &gt; ブランドアクセサリー &gt; ゴローズ &gt; 指輪</t>
  </si>
  <si>
    <t>BBクリーム</t>
  </si>
  <si>
    <t>オークション &gt; ビューティー、ヘルスケア &gt; コスメ、スキンケア &gt; 基礎化粧品 &gt; BBクリーム</t>
  </si>
  <si>
    <t>0,42177,42180,42181,2084306764</t>
  </si>
  <si>
    <t>オークション &gt; アクセサリー、時計 &gt; ブランドアクセサリー &gt; ゴローズ &gt; 財布</t>
  </si>
  <si>
    <t>オークション &gt; アクセサリー、時計 &gt; ブランドアクセサリー &gt; ゴローズ &gt; その他</t>
  </si>
  <si>
    <t>フェイスクリーム</t>
  </si>
  <si>
    <t>オークション &gt; ビューティー、ヘルスケア &gt; コスメ、スキンケア &gt; 基礎化粧品 &gt; フェイスクリーム</t>
  </si>
  <si>
    <t>0,42177,42180,42181,2084007428</t>
  </si>
  <si>
    <t>オークション &gt; アクセサリー、時計 &gt; ブランドアクセサリー &gt; シャネル &gt; イヤリング、ピアス</t>
  </si>
  <si>
    <t>アイケア、アイクリーム</t>
  </si>
  <si>
    <t>オークション &gt; ビューティー、ヘルスケア &gt; コスメ、スキンケア &gt; 基礎化粧品 &gt; アイケア、アイクリーム</t>
  </si>
  <si>
    <t>0,42177,42180,42181,2084049734</t>
  </si>
  <si>
    <t>オークション &gt; アクセサリー、時計 &gt; ブランドアクセサリー &gt; シャネル &gt; ネックレス、ペンダント、チョーカー</t>
  </si>
  <si>
    <t>パック、フェイスマスク</t>
  </si>
  <si>
    <t>オークション &gt; ビューティー、ヘルスケア &gt; コスメ、スキンケア &gt; 基礎化粧品 &gt; パック、フェイスマスク</t>
  </si>
  <si>
    <t>0,42177,42180,42181,2084005331</t>
  </si>
  <si>
    <t>オークション &gt; アクセサリー、時計 &gt; ブランドアクセサリー &gt; シャネル &gt; ブレスレット、バングル</t>
  </si>
  <si>
    <t>リップクリーム</t>
  </si>
  <si>
    <t>オークション &gt; ビューティー、ヘルスケア &gt; コスメ、スキンケア &gt; 基礎化粧品 &gt; リップクリーム</t>
  </si>
  <si>
    <t>0,42177,42180,42181,2084007429</t>
  </si>
  <si>
    <t>オークション &gt; アクセサリー、時計 &gt; ブランドアクセサリー &gt; シャネル &gt; ブローチ</t>
  </si>
  <si>
    <t>ピーリング</t>
  </si>
  <si>
    <t>オークション &gt; アクセサリー、時計 &gt; ブランドアクセサリー &gt; シャネル &gt; ヘアアクセサリー</t>
  </si>
  <si>
    <t>オークション &gt; ビューティー、ヘルスケア &gt; コスメ、スキンケア &gt; 基礎化粧品 &gt; ピーリング</t>
  </si>
  <si>
    <t>0,42177,42180,42181,2084304919</t>
  </si>
  <si>
    <t>オークション &gt; アクセサリー、時計 &gt; ブランドアクセサリー &gt; シャネル &gt; 指輪</t>
  </si>
  <si>
    <t>日焼け止め</t>
  </si>
  <si>
    <t>オークション &gt; ビューティー、ヘルスケア &gt; コスメ、スキンケア &gt; 基礎化粧品 &gt; 日焼け止め</t>
  </si>
  <si>
    <t>0,42177,42180,42181,2084005340</t>
  </si>
  <si>
    <t>オークション &gt; アクセサリー、時計 &gt; ブランドアクセサリー &gt; シャネル &gt; 腕時計</t>
  </si>
  <si>
    <t>オークション &gt; ビューティー、ヘルスケア &gt; コスメ、スキンケア &gt; 基礎化粧品 &gt; その他</t>
  </si>
  <si>
    <t>0,42177,42180,42181,2084005334</t>
  </si>
  <si>
    <t>オークション &gt; アクセサリー、時計 &gt; ブランドアクセサリー &gt; シャネル &gt; その他</t>
  </si>
  <si>
    <t>日焼け止め（全身用）</t>
  </si>
  <si>
    <t>オークション &gt; ビューティー、ヘルスケア &gt; ボディケア &gt; 日焼け止め、サンオイル &gt; 日焼け止め（全身用）</t>
  </si>
  <si>
    <t>0,42177,2084007425,2084005340,2084302178</t>
  </si>
  <si>
    <t>オークション &gt; アクセサリー、時計 &gt; ブランドアクセサリー &gt; ショーメ &gt; 指輪</t>
  </si>
  <si>
    <t>日焼け止め（髪用）</t>
  </si>
  <si>
    <t>オークション &gt; ビューティー、ヘルスケア &gt; ボディケア &gt; 日焼け止め、サンオイル &gt; 日焼け止め（髪用）</t>
  </si>
  <si>
    <t>0,42177,2084007425,2084005340,2084302180</t>
  </si>
  <si>
    <t>オークション &gt; アクセサリー、時計 &gt; ブランドアクセサリー &gt; ショーメ &gt; その他</t>
  </si>
  <si>
    <t>日焼け止め（ボディー用）</t>
  </si>
  <si>
    <t>オークション &gt; アクセサリー、時計 &gt; ブランドアクセサリー &gt; ショパール &gt; ネックレス、ペンダント、チョーカー</t>
  </si>
  <si>
    <t>オークション &gt; ビューティー、ヘルスケア &gt; ボディケア &gt; 日焼け止め、サンオイル &gt; 日焼け止め（ボディー用）</t>
  </si>
  <si>
    <t>0,42177,2084007425,2084005340,2084302179</t>
  </si>
  <si>
    <t>オークション &gt; アクセサリー、時計 &gt; ブランドアクセサリー &gt; ショパール &gt; 指輪</t>
  </si>
  <si>
    <t>日焼け止め（ベビー用）</t>
  </si>
  <si>
    <t>オークション &gt; ビューティー、ヘルスケア &gt; ボディケア &gt; 日焼け止め、サンオイル &gt; 日焼け止め（ベビー用）</t>
  </si>
  <si>
    <t>0,42177,2084007425,2084005340,2084302182</t>
  </si>
  <si>
    <t>オークション &gt; アクセサリー、時計 &gt; ブランドアクセサリー &gt; ショパール &gt; 腕時計</t>
  </si>
  <si>
    <t>サンオイル</t>
  </si>
  <si>
    <t>オークション &gt; ビューティー、ヘルスケア &gt; ボディケア &gt; 日焼け止め、サンオイル &gt; サンオイル</t>
  </si>
  <si>
    <t>0,42177,2084007425,2084005340,2084302183</t>
  </si>
  <si>
    <t>オークション &gt; アクセサリー、時計 &gt; ブランドアクセサリー &gt; ショパール &gt; その他</t>
  </si>
  <si>
    <t>その他日焼け止め、サンオイル</t>
  </si>
  <si>
    <t>オークション &gt; ビューティー、ヘルスケア &gt; ボディケア &gt; 日焼け止め、サンオイル &gt; その他日焼け止め、サンオイル</t>
  </si>
  <si>
    <t>0,42177,2084007425,2084005340,2084302181</t>
  </si>
  <si>
    <t>オークション &gt; ビューティー、ヘルスケア &gt; コスメ、スキンケア &gt; 化粧下地、顔用日焼け止め &gt; アルビオン</t>
  </si>
  <si>
    <t>0,42177,42180,2084048854,2084228675</t>
  </si>
  <si>
    <t>オークション &gt; アクセサリー、時計 &gt; ブランドアクセサリー &gt; ジバンシイ &gt; イヤリング、ピアス</t>
  </si>
  <si>
    <t>オークション &gt; アクセサリー、時計 &gt; ブランドアクセサリー &gt; ジバンシイ &gt; カフス</t>
  </si>
  <si>
    <t>オークション &gt; ビューティー、ヘルスケア &gt; コスメ、スキンケア &gt; 化粧下地、顔用日焼け止め &gt; その他</t>
  </si>
  <si>
    <t>0,42177,42180,2084048854,2084228676</t>
  </si>
  <si>
    <t>クリームファンデーション</t>
  </si>
  <si>
    <t>オークション &gt; ビューティー、ヘルスケア &gt; コスメ、スキンケア &gt; ファンデーション &gt; クリームファンデーション</t>
  </si>
  <si>
    <t>0,42177,42180,2084005318,2084048853</t>
  </si>
  <si>
    <t>オークション &gt; アクセサリー、時計 &gt; ブランドアクセサリー &gt; ジバンシイ &gt; ネックレス、ペンダント、チョーカー</t>
  </si>
  <si>
    <t>スティックファンデーション</t>
  </si>
  <si>
    <t>オークション &gt; ビューティー、ヘルスケア &gt; コスメ、スキンケア &gt; ファンデーション &gt; スティックファンデーション</t>
  </si>
  <si>
    <t>オークション &gt; アクセサリー、時計 &gt; ブランドアクセサリー &gt; ジバンシイ &gt; ブレスレット、バングル</t>
  </si>
  <si>
    <t>0,42177,42180,2084005318,2084047404</t>
  </si>
  <si>
    <t>パウダーファンデーション</t>
  </si>
  <si>
    <t>オークション &gt; アクセサリー、時計 &gt; ブランドアクセサリー &gt; ジバンシイ &gt; 腕時計</t>
  </si>
  <si>
    <t>オークション &gt; ビューティー、ヘルスケア &gt; コスメ、スキンケア &gt; ファンデーション &gt; パウダーファンデーション</t>
  </si>
  <si>
    <t>0,42177,42180,2084005318,2084007461</t>
  </si>
  <si>
    <t>リキッドファンデーション</t>
  </si>
  <si>
    <t>オークション &gt; ビューティー、ヘルスケア &gt; コスメ、スキンケア &gt; ファンデーション &gt; リキッドファンデーション</t>
  </si>
  <si>
    <t>オークション &gt; アクセサリー、時計 &gt; ブランドアクセサリー &gt; ジバンシイ &gt; その他</t>
  </si>
  <si>
    <t>0,42177,42180,2084005318,2084007462</t>
  </si>
  <si>
    <t>オークション &gt; ビューティー、ヘルスケア &gt; コスメ、スキンケア &gt; ファンデーション &gt; その他</t>
  </si>
  <si>
    <t>オークション &gt; アクセサリー、時計 &gt; ブランドアクセサリー &gt; ジャムホームメイド &gt; 指輪</t>
  </si>
  <si>
    <t>0,42177,42180,2084005318,2084052266</t>
  </si>
  <si>
    <t>オークション &gt; ビューティー、ヘルスケア &gt; コスメ、スキンケア &gt; チーク、フェイスカラー &gt; MAC</t>
  </si>
  <si>
    <t>0,42177,42180,2084007460,2084228659</t>
  </si>
  <si>
    <t>オークション &gt; アクセサリー、時計 &gt; ブランドアクセサリー &gt; ジャムホームメイド &gt; その他</t>
  </si>
  <si>
    <t>オークション &gt; ビューティー、ヘルスケア &gt; コスメ、スキンケア &gt; チーク、フェイスカラー &gt; NARS</t>
  </si>
  <si>
    <t>0,42177,42180,2084007460,2084228656</t>
  </si>
  <si>
    <t>オークション &gt; アクセサリー、時計 &gt; ブランドアクセサリー &gt; ジョージ・ジェンセン &gt; イヤリング、ピアス</t>
  </si>
  <si>
    <t>オークション &gt; ビューティー、ヘルスケア &gt; コスメ、スキンケア &gt; チーク、フェイスカラー &gt; RMK</t>
  </si>
  <si>
    <t>0,42177,42180,2084007460,2084228646</t>
  </si>
  <si>
    <t>オークション &gt; アクセサリー、時計 &gt; ブランドアクセサリー &gt; ジョージ・ジェンセン &gt; ネックレス、ペンダント、チョーカー</t>
  </si>
  <si>
    <t>オークション &gt; ビューティー、ヘルスケア &gt; コスメ、スキンケア &gt; チーク、フェイスカラー &gt; イヴ・サンローラン</t>
  </si>
  <si>
    <t>0,42177,42180,2084007460,2084228658</t>
  </si>
  <si>
    <t>オークション &gt; アクセサリー、時計 &gt; ブランドアクセサリー &gt; ジョージ・ジェンセン &gt; ブレスレット、バングル</t>
  </si>
  <si>
    <t>オークション &gt; ビューティー、ヘルスケア &gt; コスメ、スキンケア &gt; チーク、フェイスカラー &gt; クリスチャン・ディオール</t>
  </si>
  <si>
    <t>オークション &gt; アクセサリー、時計 &gt; ブランドアクセサリー &gt; ジョージ・ジェンセン &gt; 指輪</t>
  </si>
  <si>
    <t>0,42177,42180,2084007460,2084228654</t>
  </si>
  <si>
    <t>オークション &gt; アクセサリー、時計 &gt; ブランドアクセサリー &gt; ジョージ・ジェンセン &gt; その他</t>
  </si>
  <si>
    <t>オークション &gt; ビューティー、ヘルスケア &gt; コスメ、スキンケア &gt; チーク、フェイスカラー &gt; クリニーク</t>
  </si>
  <si>
    <t>0,42177,42180,2084007460,2084228651</t>
  </si>
  <si>
    <t>オークション &gt; アクセサリー、時計 &gt; ブランドアクセサリー &gt; スタージュエリー &gt; イヤリング、ピアス</t>
  </si>
  <si>
    <t>オークション &gt; アクセサリー、時計 &gt; ブランドアクセサリー &gt; スタージュエリー &gt; ネックレス、ペンダント、チョーカー</t>
  </si>
  <si>
    <t>オークション &gt; ビューティー、ヘルスケア &gt; コスメ、スキンケア &gt; チーク、フェイスカラー &gt; シャネル</t>
  </si>
  <si>
    <t>0,42177,42180,2084007460,2084228653</t>
  </si>
  <si>
    <t>オークション &gt; アクセサリー、時計 &gt; ブランドアクセサリー &gt; スタージュエリー &gt; 指輪</t>
  </si>
  <si>
    <t>オークション &gt; ビューティー、ヘルスケア &gt; コスメ、スキンケア &gt; チーク、フェイスカラー &gt; シュウウエムラ</t>
  </si>
  <si>
    <t>0,42177,42180,2084007460,2084228655</t>
  </si>
  <si>
    <t>オークション &gt; アクセサリー、時計 &gt; ブランドアクセサリー &gt; スタージュエリー &gt; その他</t>
  </si>
  <si>
    <t>オークション &gt; ビューティー、ヘルスケア &gt; コスメ、スキンケア &gt; チーク、フェイスカラー &gt; ジバンシイ</t>
  </si>
  <si>
    <t>オークション &gt; アクセサリー、時計 &gt; ブランドアクセサリー &gt; スワロフスキー &gt; ネックレス、ペンダント、チョーカー</t>
  </si>
  <si>
    <t>0,42177,42180,2084007460,2084228652</t>
  </si>
  <si>
    <t>オークション &gt; アクセサリー、時計 &gt; ブランドアクセサリー &gt; スワロフスキー &gt; 指輪</t>
  </si>
  <si>
    <t>オークション &gt; ビューティー、ヘルスケア &gt; コスメ、スキンケア &gt; チーク、フェイスカラー &gt; ジルスチュアート</t>
  </si>
  <si>
    <t>0,42177,42180,2084007460,2084243956</t>
  </si>
  <si>
    <t>オークション &gt; アクセサリー、時計 &gt; ブランドアクセサリー &gt; スワロフスキー &gt; その他</t>
  </si>
  <si>
    <t>オークション &gt; ビューティー、ヘルスケア &gt; コスメ、スキンケア &gt; チーク、フェイスカラー &gt; ブルジョワ</t>
  </si>
  <si>
    <t>0,42177,42180,2084007460,2084228657</t>
  </si>
  <si>
    <t>オークション &gt; アクセサリー、時計 &gt; ブランドアクセサリー &gt; タテオシアン &gt; カフス</t>
  </si>
  <si>
    <t>オークション &gt; ビューティー、ヘルスケア &gt; コスメ、スキンケア &gt; チーク、フェイスカラー &gt; その他</t>
  </si>
  <si>
    <t>オークション &gt; アクセサリー、時計 &gt; ブランドアクセサリー &gt; タテオシアン &gt; その他</t>
  </si>
  <si>
    <t>0,42177,42180,2084007460,2084228660</t>
  </si>
  <si>
    <t>オークション &gt; ビューティー、ヘルスケア &gt; コスメ、スキンケア &gt; フェイスパウダー &gt; ゲラン</t>
  </si>
  <si>
    <t>0,42177,42180,2084005324,2084217241</t>
  </si>
  <si>
    <t>オークション &gt; アクセサリー、時計 &gt; ブランドアクセサリー &gt; ダミアーニ &gt; 指輪</t>
  </si>
  <si>
    <t>オークション &gt; ビューティー、ヘルスケア &gt; コスメ、スキンケア &gt; フェイスパウダー &gt; ジルスチュアート</t>
  </si>
  <si>
    <t>0,42177,42180,2084005324,2084217240</t>
  </si>
  <si>
    <t>オークション &gt; アクセサリー、時計 &gt; ブランドアクセサリー &gt; ダミアーニ &gt; その他</t>
  </si>
  <si>
    <t>オークション &gt; アクセサリー、時計 &gt; ブランドアクセサリー &gt; ダンヒル &gt; カフス</t>
  </si>
  <si>
    <t>オークション &gt; ビューティー、ヘルスケア &gt; コスメ、スキンケア &gt; フェイスパウダー &gt; パルガントン</t>
  </si>
  <si>
    <t>0,42177,42180,2084005324,2084217242</t>
  </si>
  <si>
    <t>オークション &gt; アクセサリー、時計 &gt; ブランドアクセサリー &gt; ダンヒル &gt; タイピン</t>
  </si>
  <si>
    <t>オークション &gt; ビューティー、ヘルスケア &gt; コスメ、スキンケア &gt; フェイスパウダー &gt; ベアミネラル</t>
  </si>
  <si>
    <t>オークション &gt; アクセサリー、時計 &gt; ブランドアクセサリー &gt; ダンヒル &gt; 腕時計</t>
  </si>
  <si>
    <t>0,42177,42180,2084005324,2084228315</t>
  </si>
  <si>
    <t>オークション &gt; アクセサリー、時計 &gt; ブランドアクセサリー &gt; ダンヒル &gt; その他</t>
  </si>
  <si>
    <t>オークション &gt; ビューティー、ヘルスケア &gt; コスメ、スキンケア &gt; フェイスパウダー &gt; ポール＆ジョー</t>
  </si>
  <si>
    <t>0,42177,42180,2084005324,2084217239</t>
  </si>
  <si>
    <t>オークション &gt; ビューティー、ヘルスケア &gt; コスメ、スキンケア &gt; フェイスパウダー &gt; その他</t>
  </si>
  <si>
    <t>オークション &gt; アクセサリー、時計 &gt; ブランドアクセサリー &gt; ティファニー &gt; イヤリング、ピアス</t>
  </si>
  <si>
    <t>0,42177,42180,2084005324,2084217245</t>
  </si>
  <si>
    <t>アイブロウペンシル</t>
  </si>
  <si>
    <t>オークション &gt; ビューティー、ヘルスケア &gt; コスメ、スキンケア &gt; アイブロウ &gt; アイブロウペンシル</t>
  </si>
  <si>
    <t>0,42177,42180,2084005317,2084302169</t>
  </si>
  <si>
    <t>オークション &gt; アクセサリー、時計 &gt; ブランドアクセサリー &gt; ティファニー &gt; カフス</t>
  </si>
  <si>
    <t>パウダーアイブロウ</t>
  </si>
  <si>
    <t>オークション &gt; ビューティー、ヘルスケア &gt; コスメ、スキンケア &gt; アイブロウ &gt; パウダーアイブロウ</t>
  </si>
  <si>
    <t>オークション &gt; アクセサリー、時計 &gt; ブランドアクセサリー &gt; ティファニー &gt; ネックレス、ペンダント、チョーカー</t>
  </si>
  <si>
    <t>0,42177,42180,2084005317,2084302170</t>
  </si>
  <si>
    <t>リキッドアイブロウ</t>
  </si>
  <si>
    <t>オークション &gt; ビューティー、ヘルスケア &gt; コスメ、スキンケア &gt; アイブロウ &gt; リキッドアイブロウ</t>
  </si>
  <si>
    <t>0,42177,42180,2084005317,2084302171</t>
  </si>
  <si>
    <t>オークション &gt; アクセサリー、時計 &gt; ブランドアクセサリー &gt; ティファニー &gt; ブレスレット、バングル</t>
  </si>
  <si>
    <t>眉マスカラ</t>
  </si>
  <si>
    <t>オークション &gt; ビューティー、ヘルスケア &gt; コスメ、スキンケア &gt; アイブロウ &gt; 眉マスカラ</t>
  </si>
  <si>
    <t>0,42177,42180,2084005317,2084302172</t>
  </si>
  <si>
    <t>オークション &gt; アクセサリー、時計 &gt; ブランドアクセサリー &gt; ティファニー &gt; 指輪</t>
  </si>
  <si>
    <t>アイブロウコート</t>
  </si>
  <si>
    <t>オークション &gt; ビューティー、ヘルスケア &gt; コスメ、スキンケア &gt; アイブロウ &gt; アイブロウコート</t>
  </si>
  <si>
    <t>0,42177,42180,2084005317,2084302173</t>
  </si>
  <si>
    <t>オークション &gt; アクセサリー、時計 &gt; ブランドアクセサリー &gt; ティファニー &gt; キーホルダー</t>
  </si>
  <si>
    <t>その他アイブロウ</t>
  </si>
  <si>
    <t>オークション &gt; ビューティー、ヘルスケア &gt; コスメ、スキンケア &gt; アイブロウ &gt; その他アイブロウ</t>
  </si>
  <si>
    <t>0,42177,42180,2084005317,2084302174</t>
  </si>
  <si>
    <t>オークション &gt; ビューティー、ヘルスケア &gt; コスメ、スキンケア &gt; アイシャドウ &gt; DHC</t>
  </si>
  <si>
    <t>0,42177,42180,44380,2084040441</t>
  </si>
  <si>
    <t>オークション &gt; アクセサリー、時計 &gt; ブランドアクセサリー &gt; ティファニー &gt; 腕時計</t>
  </si>
  <si>
    <t>オークション &gt; ビューティー、ヘルスケア &gt; コスメ、スキンケア &gt; アイシャドウ &gt; MAC</t>
  </si>
  <si>
    <t>0,42177,42180,44380,2084040450</t>
  </si>
  <si>
    <t>オークション &gt; アクセサリー、時計 &gt; ブランドアクセサリー &gt; ティファニー &gt; その他</t>
  </si>
  <si>
    <t>オークション &gt; ビューティー、ヘルスケア &gt; コスメ、スキンケア &gt; アイシャドウ &gt; NARS</t>
  </si>
  <si>
    <t>0,42177,42180,44380,2084216495</t>
  </si>
  <si>
    <t>オークション &gt; アクセサリー、時計 &gt; ブランドアクセサリー &gt; トラヴィスワーカー &gt; 指輪</t>
  </si>
  <si>
    <t>オークション &gt; ビューティー、ヘルスケア &gt; コスメ、スキンケア &gt; アイシャドウ &gt; RMK</t>
  </si>
  <si>
    <t>0,42177,42180,44380,2084052363</t>
  </si>
  <si>
    <t>オークション &gt; アクセサリー、時計 &gt; ブランドアクセサリー &gt; トラヴィスワーカー &gt; その他</t>
  </si>
  <si>
    <t>オークション &gt; ビューティー、ヘルスケア &gt; コスメ、スキンケア &gt; アイシャドウ &gt; アナスイ</t>
  </si>
  <si>
    <t>0,42177,42180,44380,2084054090</t>
  </si>
  <si>
    <t>オークション &gt; アクセサリー、時計 &gt; ブランドアクセサリー &gt; ドルチェ＆ガッバーナ &gt; ネックレス、ペンダント、チョーカー</t>
  </si>
  <si>
    <t>オークション &gt; ビューティー、ヘルスケア &gt; コスメ、スキンケア &gt; アイシャドウ &gt; アニエスベー</t>
  </si>
  <si>
    <t>0,42177,42180,44380,2084060232</t>
  </si>
  <si>
    <t>オークション &gt; アクセサリー、時計 &gt; ブランドアクセサリー &gt; ドルチェ＆ガッバーナ &gt; 指輪</t>
  </si>
  <si>
    <t>オークション &gt; ビューティー、ヘルスケア &gt; コスメ、スキンケア &gt; アイシャドウ &gt; アユーラ</t>
  </si>
  <si>
    <t>オークション &gt; アクセサリー、時計 &gt; ブランドアクセサリー &gt; ドルチェ＆ガッバーナ &gt; その他</t>
  </si>
  <si>
    <t>0,42177,42180,44380,2084040461</t>
  </si>
  <si>
    <t>オークション &gt; アクセサリー、時計 &gt; ブランドアクセサリー &gt; 田崎真珠 &gt; イヤリング、ピアス</t>
  </si>
  <si>
    <t>オークション &gt; ビューティー、ヘルスケア &gt; コスメ、スキンケア &gt; アイシャドウ &gt; アルビオン</t>
  </si>
  <si>
    <t>0,42177,42180,44380,2084040436</t>
  </si>
  <si>
    <t>オークション &gt; アクセサリー、時計 &gt; ブランドアクセサリー &gt; 田崎真珠 &gt; ネックレス、ペンダント、チョーカー</t>
  </si>
  <si>
    <t>オークション &gt; ビューティー、ヘルスケア &gt; コスメ、スキンケア &gt; アイシャドウ &gt; イプサ</t>
  </si>
  <si>
    <t>0,42177,42180,44380,2084040434</t>
  </si>
  <si>
    <t>オークション &gt; アクセサリー、時計 &gt; ブランドアクセサリー &gt; 田崎真珠 &gt; ブレスレット、バングル</t>
  </si>
  <si>
    <t>オークション &gt; アクセサリー、時計 &gt; ブランドアクセサリー &gt; 田崎真珠 &gt; 指輪</t>
  </si>
  <si>
    <t>オークション &gt; ビューティー、ヘルスケア &gt; コスメ、スキンケア &gt; アイシャドウ &gt; イヴ・サンローラン</t>
  </si>
  <si>
    <t>0,42177,42180,44380,2084040451</t>
  </si>
  <si>
    <t>オークション &gt; ビューティー、ヘルスケア &gt; コスメ、スキンケア &gt; アイシャドウ &gt; エスティローダー</t>
  </si>
  <si>
    <t>オークション &gt; アクセサリー、時計 &gt; ブランドアクセサリー &gt; 田崎真珠 &gt; その他</t>
  </si>
  <si>
    <t>0,42177,42180,44380,2084040444</t>
  </si>
  <si>
    <t>オークション &gt; アクセサリー、時計 &gt; ブランドアクセサリー &gt; ナンバーナイン &gt; ネックレス、ペンダント、チョーカー</t>
  </si>
  <si>
    <t>オークション &gt; ビューティー、ヘルスケア &gt; コスメ、スキンケア &gt; アイシャドウ &gt; エリザベス・アーデン</t>
  </si>
  <si>
    <t>0,42177,42180,44380,2084040452</t>
  </si>
  <si>
    <t>オークション &gt; アクセサリー、時計 &gt; ブランドアクセサリー &gt; ナンバーナイン &gt; ブレスレット、バングル</t>
  </si>
  <si>
    <t>オークション &gt; ビューティー、ヘルスケア &gt; コスメ、スキンケア &gt; アイシャドウ &gt; クラランス</t>
  </si>
  <si>
    <t>0,42177,42180,44380,2084040435</t>
  </si>
  <si>
    <t>オークション &gt; アクセサリー、時計 &gt; ブランドアクセサリー &gt; ナンバーナイン &gt; 指輪</t>
  </si>
  <si>
    <t>オークション &gt; ビューティー、ヘルスケア &gt; コスメ、スキンケア &gt; アイシャドウ &gt; クリスチャン・ディオール</t>
  </si>
  <si>
    <t>0,42177,42180,44380,2084040454</t>
  </si>
  <si>
    <t>オークション &gt; アクセサリー、時計 &gt; ブランドアクセサリー &gt; ナンバーナイン &gt; その他</t>
  </si>
  <si>
    <t>オークション &gt; ビューティー、ヘルスケア &gt; コスメ、スキンケア &gt; アイシャドウ &gt; クリニーク</t>
  </si>
  <si>
    <t>0,42177,42180,44380,2084040455</t>
  </si>
  <si>
    <t>オークション &gt; アクセサリー、時計 &gt; ブランドアクセサリー &gt; ニナリッチ &gt; ネックレス、ペンダント、チョーカー</t>
  </si>
  <si>
    <t>オークション &gt; ビューティー、ヘルスケア &gt; コスメ、スキンケア &gt; アイシャドウ &gt; クレージュ</t>
  </si>
  <si>
    <t>0,42177,42180,44380,2084060237</t>
  </si>
  <si>
    <t>オークション &gt; アクセサリー、時計 &gt; ブランドアクセサリー &gt; ニナリッチ &gt; 指輪</t>
  </si>
  <si>
    <t>オークション &gt; ビューティー、ヘルスケア &gt; コスメ、スキンケア &gt; アイシャドウ &gt; ケサランパサラン</t>
  </si>
  <si>
    <t>オークション &gt; アクセサリー、時計 &gt; ブランドアクセサリー &gt; ニナリッチ &gt; その他</t>
  </si>
  <si>
    <t>0,42177,42180,44380,2084040437</t>
  </si>
  <si>
    <t>オークション &gt; アクセサリー、時計 &gt; ブランドアクセサリー &gt; ハリー・ウィンストン &gt; 指輪</t>
  </si>
  <si>
    <t>オークション &gt; ビューティー、ヘルスケア &gt; コスメ、スキンケア &gt; アイシャドウ &gt; ゲラン</t>
  </si>
  <si>
    <t>0,42177,42180,44380,2084060235</t>
  </si>
  <si>
    <t>オークション &gt; アクセサリー、時計 &gt; ブランドアクセサリー &gt; ハリー・ウィンストン &gt; その他</t>
  </si>
  <si>
    <t>オークション &gt; ビューティー、ヘルスケア &gt; コスメ、スキンケア &gt; アイシャドウ &gt; ザ・ボディショップ</t>
  </si>
  <si>
    <t>0,42177,42180,44380,2084040438</t>
  </si>
  <si>
    <t>オークション &gt; アクセサリー、時計 &gt; ブランドアクセサリー &gt; バカラ &gt; ネックレス、ペンダント、チョーカー</t>
  </si>
  <si>
    <t>オークション &gt; ビューティー、ヘルスケア &gt; コスメ、スキンケア &gt; アイシャドウ &gt; シャネル</t>
  </si>
  <si>
    <t>0,42177,42180,44380,2084040457</t>
  </si>
  <si>
    <t>オークション &gt; アクセサリー、時計 &gt; ブランドアクセサリー &gt; バカラ &gt; その他</t>
  </si>
  <si>
    <t>オークション &gt; ビューティー、ヘルスケア &gt; コスメ、スキンケア &gt; アイシャドウ &gt; シュウウエムラ</t>
  </si>
  <si>
    <t>0,42177,42180,44380,2084040669</t>
  </si>
  <si>
    <t>オークション &gt; アクセサリー、時計 &gt; ブランドアクセサリー &gt; ビルウォールレザー &gt; イヤリング、ピアス</t>
  </si>
  <si>
    <t>オークション &gt; ビューティー、ヘルスケア &gt; コスメ、スキンケア &gt; アイシャドウ &gt; ジバンシイ</t>
  </si>
  <si>
    <t>0,42177,42180,44380,2084060233</t>
  </si>
  <si>
    <t>オークション &gt; アクセサリー、時計 &gt; ブランドアクセサリー &gt; ビルウォールレザー &gt; ネックレス、ペンダント、チョーカー</t>
  </si>
  <si>
    <t>オークション &gt; ビューティー、ヘルスケア &gt; コスメ、スキンケア &gt; アイシャドウ &gt; ジルスチュアート</t>
  </si>
  <si>
    <t>0,42177,42180,44380,2084243958</t>
  </si>
  <si>
    <t>オークション &gt; アクセサリー、時計 &gt; ブランドアクセサリー &gt; ビルウォールレザー &gt; ブレスレット、バングル</t>
  </si>
  <si>
    <t>オークション &gt; ビューティー、ヘルスケア &gt; コスメ、スキンケア &gt; アイシャドウ &gt; スティラ</t>
  </si>
  <si>
    <t>オークション &gt; アクセサリー、時計 &gt; ブランドアクセサリー &gt; ビルウォールレザー &gt; 指輪</t>
  </si>
  <si>
    <t>0,42177,42180,44380,2084054091</t>
  </si>
  <si>
    <t>オークション &gt; アクセサリー、時計 &gt; ブランドアクセサリー &gt; ビルウォールレザー &gt; その他</t>
  </si>
  <si>
    <t>オークション &gt; ビューティー、ヘルスケア &gt; コスメ、スキンケア &gt; アイシャドウ &gt; ニナリッチ</t>
  </si>
  <si>
    <t>0,42177,42180,44380,2084060236</t>
  </si>
  <si>
    <t>オークション &gt; アクセサリー、時計 &gt; ブランドアクセサリー &gt; ピアジェ &gt; 指輪</t>
  </si>
  <si>
    <t>オークション &gt; ビューティー、ヘルスケア &gt; コスメ、スキンケア &gt; アイシャドウ &gt; ノエビア</t>
  </si>
  <si>
    <t>0,42177,42180,44380,2084040439</t>
  </si>
  <si>
    <t>オークション &gt; アクセサリー、時計 &gt; ブランドアクセサリー &gt; ピアジェ &gt; 腕時計</t>
  </si>
  <si>
    <t>オークション &gt; ビューティー、ヘルスケア &gt; コスメ、スキンケア &gt; アイシャドウ &gt; ハーバー</t>
  </si>
  <si>
    <t>0,42177,42180,44380,2084040442</t>
  </si>
  <si>
    <t>オークション &gt; アクセサリー、時計 &gt; ブランドアクセサリー &gt; ピアジェ &gt; その他</t>
  </si>
  <si>
    <t>オークション &gt; アクセサリー、時計 &gt; ブランドアクセサリー &gt; フォリフォリ &gt; イヤリング、ピアス</t>
  </si>
  <si>
    <t>オークション &gt; ビューティー、ヘルスケア &gt; コスメ、スキンケア &gt; アイシャドウ &gt; ファンケル</t>
  </si>
  <si>
    <t>0,42177,42180,44380,2084040670</t>
  </si>
  <si>
    <t>オークション &gt; アクセサリー、時計 &gt; ブランドアクセサリー &gt; フォリフォリ &gt; ネックレス、ペンダント、チョーカー</t>
  </si>
  <si>
    <t>オークション &gt; アクセサリー、時計 &gt; ブランドアクセサリー &gt; フォリフォリ &gt; ブレスレット、バングル</t>
  </si>
  <si>
    <t>オークション &gt; ビューティー、ヘルスケア &gt; コスメ、スキンケア &gt; アイシャドウ &gt; ブルジョワ</t>
  </si>
  <si>
    <t>0,42177,42180,44380,2084060234</t>
  </si>
  <si>
    <t>オークション &gt; アクセサリー、時計 &gt; ブランドアクセサリー &gt; フォリフォリ &gt; 指輪</t>
  </si>
  <si>
    <t>オークション &gt; ビューティー、ヘルスケア &gt; コスメ、スキンケア &gt; アイシャドウ &gt; ヘレナルビンスタイン</t>
  </si>
  <si>
    <t>0,42177,42180,44380,2084040433</t>
  </si>
  <si>
    <t>オークション &gt; アクセサリー、時計 &gt; ブランドアクセサリー &gt; フォリフォリ &gt; 腕時計</t>
  </si>
  <si>
    <t>オークション &gt; アクセサリー、時計 &gt; ブランドアクセサリー &gt; フォリフォリ &gt; その他</t>
  </si>
  <si>
    <t>オークション &gt; ビューティー、ヘルスケア &gt; コスメ、スキンケア &gt; アイシャドウ &gt; ベアミネラル</t>
  </si>
  <si>
    <t>0,42177,42180,44380,2084228316</t>
  </si>
  <si>
    <t>オークション &gt; アクセサリー、時計 &gt; ブランドアクセサリー &gt; ブシュロン &gt; 指輪</t>
  </si>
  <si>
    <t>オークション &gt; ビューティー、ヘルスケア &gt; コスメ、スキンケア &gt; アイシャドウ &gt; ボビイブラウン</t>
  </si>
  <si>
    <t>0,42177,42180,44380,2084054092</t>
  </si>
  <si>
    <t>オークション &gt; アクセサリー、時計 &gt; ブランドアクセサリー &gt; ブシュロン &gt; その他</t>
  </si>
  <si>
    <t>オークション &gt; ビューティー、ヘルスケア &gt; コスメ、スキンケア &gt; アイシャドウ &gt; ポール＆ジョー</t>
  </si>
  <si>
    <t>0,42177,42180,44380,2084226975</t>
  </si>
  <si>
    <t>オークション &gt; アクセサリー、時計 &gt; ブランドアクセサリー &gt; ブルガリ &gt; イヤリング、ピアス</t>
  </si>
  <si>
    <t>オークション &gt; アクセサリー、時計 &gt; ブランドアクセサリー &gt; ブルガリ &gt; ネックレス、ペンダント、チョーカー</t>
  </si>
  <si>
    <t>オークション &gt; ビューティー、ヘルスケア &gt; コスメ、スキンケア &gt; アイシャドウ &gt; マックスファクター</t>
  </si>
  <si>
    <t>0,42177,42180,44380,2084040448</t>
  </si>
  <si>
    <t>オークション &gt; アクセサリー、時計 &gt; ブランドアクセサリー &gt; ブルガリ &gt; ブレスレット、バングル</t>
  </si>
  <si>
    <t>オークション &gt; ビューティー、ヘルスケア &gt; コスメ、スキンケア &gt; アイシャドウ &gt; マリークヮント</t>
  </si>
  <si>
    <t>0,42177,42180,44380,2084054089</t>
  </si>
  <si>
    <t>オークション &gt; アクセサリー、時計 &gt; ブランドアクセサリー &gt; ブルガリ &gt; 指輪</t>
  </si>
  <si>
    <t>オークション &gt; アクセサリー、時計 &gt; ブランドアクセサリー &gt; ブルガリ &gt; キーホルダー</t>
  </si>
  <si>
    <t>オークション &gt; ビューティー、ヘルスケア &gt; コスメ、スキンケア &gt; アイシャドウ &gt; メイベリン</t>
  </si>
  <si>
    <t>0,42177,42180,44380,2084040449</t>
  </si>
  <si>
    <t>オークション &gt; アクセサリー、時計 &gt; ブランドアクセサリー &gt; ブルガリ &gt; 腕時計</t>
  </si>
  <si>
    <t>オークション &gt; ビューティー、ヘルスケア &gt; コスメ、スキンケア &gt; アイシャドウ &gt; メナード</t>
  </si>
  <si>
    <t>0,42177,42180,44380,2084040440</t>
  </si>
  <si>
    <t>オークション &gt; アクセサリー、時計 &gt; ブランドアクセサリー &gt; ブルガリ &gt; その他</t>
  </si>
  <si>
    <t>オークション &gt; ビューティー、ヘルスケア &gt; コスメ、スキンケア &gt; アイシャドウ &gt; ランコム</t>
  </si>
  <si>
    <t>0,42177,42180,44380,2084040458</t>
  </si>
  <si>
    <t>オークション &gt; アクセサリー、時計 &gt; ブランドアクセサリー &gt; ポール･スミス &gt; カフス</t>
  </si>
  <si>
    <t>オークション &gt; ビューティー、ヘルスケア &gt; コスメ、スキンケア &gt; アイシャドウ &gt; レブロン</t>
  </si>
  <si>
    <t>0,42177,42180,44380,2084040459</t>
  </si>
  <si>
    <t>オークション &gt; アクセサリー、時計 &gt; ブランドアクセサリー &gt; ポール･スミス &gt; ネックレス、ペンダント、チョーカー</t>
  </si>
  <si>
    <t>オークション &gt; ビューティー、ヘルスケア &gt; コスメ、スキンケア &gt; アイシャドウ &gt; その他</t>
  </si>
  <si>
    <t>0,42177,42180,44380,2084040443</t>
  </si>
  <si>
    <t>オークション &gt; アクセサリー、時計 &gt; ブランドアクセサリー &gt; ポール･スミス &gt; ブレスレット、バングル</t>
  </si>
  <si>
    <t>オークション &gt; ビューティー、ヘルスケア &gt; コスメ、スキンケア &gt; アイライナー &gt; エスティローダー</t>
  </si>
  <si>
    <t>0,42177,42180,2084005316,2084228668</t>
  </si>
  <si>
    <t>オークション &gt; ビューティー、ヘルスケア &gt; コスメ、スキンケア &gt; アイライナー &gt; クリスチャン・ディオール</t>
  </si>
  <si>
    <t>オークション &gt; アクセサリー、時計 &gt; ブランドアクセサリー &gt; ポール･スミス &gt; 指輪</t>
  </si>
  <si>
    <t>0,42177,42180,2084005316,2084228669</t>
  </si>
  <si>
    <t>オークション &gt; ビューティー、ヘルスケア &gt; コスメ、スキンケア &gt; アイライナー &gt; シャネル</t>
  </si>
  <si>
    <t>0,42177,42180,2084005316,2084228667</t>
  </si>
  <si>
    <t>オークション &gt; アクセサリー、時計 &gt; ブランドアクセサリー &gt; ポール･スミス &gt; 腕時計</t>
  </si>
  <si>
    <t>オークション &gt; ビューティー、ヘルスケア &gt; コスメ、スキンケア &gt; アイライナー &gt; ボビイブラウン</t>
  </si>
  <si>
    <t>0,42177,42180,2084005316,2084228665</t>
  </si>
  <si>
    <t>オークション &gt; アクセサリー、時計 &gt; ブランドアクセサリー &gt; ポール･スミス &gt; その他</t>
  </si>
  <si>
    <t>オークション &gt; ビューティー、ヘルスケア &gt; コスメ、スキンケア &gt; アイライナー &gt; ランコム</t>
  </si>
  <si>
    <t>0,42177,42180,2084005316,2084228666</t>
  </si>
  <si>
    <t>オークション &gt; アクセサリー、時計 &gt; ブランドアクセサリー &gt; ポメラート &gt; 指輪</t>
  </si>
  <si>
    <t>オークション &gt; ビューティー、ヘルスケア &gt; コスメ、スキンケア &gt; アイライナー &gt; その他</t>
  </si>
  <si>
    <t>0,42177,42180,2084005316,2084228670</t>
  </si>
  <si>
    <t>オークション &gt; アクセサリー、時計 &gt; ブランドアクセサリー &gt; ポメラート &gt; その他</t>
  </si>
  <si>
    <t>オークション &gt; ビューティー、ヘルスケア &gt; コスメ、スキンケア &gt; マスカラ、まつげ用品 &gt; DHC</t>
  </si>
  <si>
    <t>0,42177,42180,2084005323,2084058969</t>
  </si>
  <si>
    <t>オークション &gt; アクセサリー、時計 &gt; ブランドアクセサリー &gt; ヴァンクリーフ＆アーペル &gt; 指輪</t>
  </si>
  <si>
    <t>オークション &gt; ビューティー、ヘルスケア &gt; コスメ、スキンケア &gt; マスカラ、まつげ用品 &gt; アナスイ</t>
  </si>
  <si>
    <t>0,42177,42180,2084005323,2084058970</t>
  </si>
  <si>
    <t>オークション &gt; アクセサリー、時計 &gt; ブランドアクセサリー &gt; ヴァンクリーフ＆アーペル &gt; その他</t>
  </si>
  <si>
    <t>オークション &gt; アクセサリー、時計 &gt; ブランドアクセサリー &gt; ヴァンドーム青山 &gt; ネックレス、ペンダント、チョーカー</t>
  </si>
  <si>
    <t>オークション &gt; ビューティー、ヘルスケア &gt; コスメ、スキンケア &gt; マスカラ、まつげ用品 &gt; アニエスベー</t>
  </si>
  <si>
    <t>0,42177,42180,2084005323,2084060305</t>
  </si>
  <si>
    <t>オークション &gt; アクセサリー、時計 &gt; ブランドアクセサリー &gt; ヴァンドーム青山 &gt; 指輪</t>
  </si>
  <si>
    <t>オークション &gt; アクセサリー、時計 &gt; ブランドアクセサリー &gt; ヴァンドーム青山 &gt; その他</t>
  </si>
  <si>
    <t>オークション &gt; ビューティー、ヘルスケア &gt; コスメ、スキンケア &gt; マスカラ、まつげ用品 &gt; イヴ・サンローラン</t>
  </si>
  <si>
    <t>0,42177,42180,2084005323,2084058971</t>
  </si>
  <si>
    <t>オークション &gt; アクセサリー、時計 &gt; ブランドアクセサリー &gt; ヴィヴィアンウエストウッド &gt; イヤリング、ピアス</t>
  </si>
  <si>
    <t>オークション &gt; ビューティー、ヘルスケア &gt; コスメ、スキンケア &gt; マスカラ、まつげ用品 &gt; エスティローダー</t>
  </si>
  <si>
    <t>0,42177,42180,2084005323,2084058972</t>
  </si>
  <si>
    <t>オークション &gt; アクセサリー、時計 &gt; ブランドアクセサリー &gt; ヴィヴィアンウエストウッド &gt; ネックレス、ペンダント、チョーカー</t>
  </si>
  <si>
    <t>オークション &gt; ビューティー、ヘルスケア &gt; コスメ、スキンケア &gt; マスカラ、まつげ用品 &gt; クラランス</t>
  </si>
  <si>
    <t>0,42177,42180,2084005323,2084058974</t>
  </si>
  <si>
    <t>オークション &gt; アクセサリー、時計 &gt; ブランドアクセサリー &gt; ヴィヴィアンウエストウッド &gt; ブレスレット、バングル</t>
  </si>
  <si>
    <t>オークション &gt; ビューティー、ヘルスケア &gt; コスメ、スキンケア &gt; マスカラ、まつげ用品 &gt; クリスチャン・ディオール</t>
  </si>
  <si>
    <t>0,42177,42180,2084005323,2084058975</t>
  </si>
  <si>
    <t>オークション &gt; アクセサリー、時計 &gt; ブランドアクセサリー &gt; ヴィヴィアンウエストウッド &gt; 指輪</t>
  </si>
  <si>
    <t>オークション &gt; ビューティー、ヘルスケア &gt; コスメ、スキンケア &gt; マスカラ、まつげ用品 &gt; クリニーク</t>
  </si>
  <si>
    <t>0,42177,42180,2084005323,2084058976</t>
  </si>
  <si>
    <t>オークション &gt; アクセサリー、時計 &gt; ブランドアクセサリー &gt; ヴィヴィアンウエストウッド &gt; 腕時計</t>
  </si>
  <si>
    <t>オークション &gt; アクセサリー、時計 &gt; ブランドアクセサリー &gt; ヴィヴィアンウエストウッド &gt; その他</t>
  </si>
  <si>
    <t>オークション &gt; ビューティー、ヘルスケア &gt; コスメ、スキンケア &gt; マスカラ、まつげ用品 &gt; ケサランパサラン</t>
  </si>
  <si>
    <t>0,42177,42180,2084005323,2084058977</t>
  </si>
  <si>
    <t>オークション &gt; アクセサリー、時計 &gt; ブランドアクセサリー &gt; ミキモト &gt; イヤリング、ピアス</t>
  </si>
  <si>
    <t>オークション &gt; ビューティー、ヘルスケア &gt; コスメ、スキンケア &gt; マスカラ、まつげ用品 &gt; シャネル</t>
  </si>
  <si>
    <t>0,42177,42180,2084005323,2084058979</t>
  </si>
  <si>
    <t>オークション &gt; アクセサリー、時計 &gt; ブランドアクセサリー &gt; ミキモト &gt; ネックレス、ペンダント、チョーカー</t>
  </si>
  <si>
    <t>オークション &gt; ビューティー、ヘルスケア &gt; コスメ、スキンケア &gt; マスカラ、まつげ用品 &gt; ノエビア</t>
  </si>
  <si>
    <t>0,42177,42180,2084005323,2084058980</t>
  </si>
  <si>
    <t>オークション &gt; アクセサリー、時計 &gt; ブランドアクセサリー &gt; ミキモト &gt; ブレスレット、バングル</t>
  </si>
  <si>
    <t>オークション &gt; ビューティー、ヘルスケア &gt; コスメ、スキンケア &gt; マスカラ、まつげ用品 &gt; ヘレナルビンスタイン</t>
  </si>
  <si>
    <t>0,42177,42180,2084005323,2084058981</t>
  </si>
  <si>
    <t>オークション &gt; アクセサリー、時計 &gt; ブランドアクセサリー &gt; ミキモト &gt; 指輪</t>
  </si>
  <si>
    <t>オークション &gt; ビューティー、ヘルスケア &gt; コスメ、スキンケア &gt; マスカラ、まつげ用品 &gt; マックスファクター</t>
  </si>
  <si>
    <t>0,42177,42180,2084005323,2084058982</t>
  </si>
  <si>
    <t>オークション &gt; アクセサリー、時計 &gt; ブランドアクセサリー &gt; ミキモト &gt; その他</t>
  </si>
  <si>
    <t>オークション &gt; ビューティー、ヘルスケア &gt; コスメ、スキンケア &gt; マスカラ、まつげ用品 &gt; メイベリン</t>
  </si>
  <si>
    <t>0,42177,42180,2084005323,2084058983</t>
  </si>
  <si>
    <t>オークション &gt; アクセサリー、時計 &gt; ブランドアクセサリー &gt; ミハエル・ネグリン &gt; ネックレス、ペンダント、チョーカー</t>
  </si>
  <si>
    <t>オークション &gt; アクセサリー、時計 &gt; ブランドアクセサリー &gt; ミハエル・ネグリン &gt; その他</t>
  </si>
  <si>
    <t>オークション &gt; ビューティー、ヘルスケア &gt; コスメ、スキンケア &gt; マスカラ、まつげ用品 &gt; ランコム</t>
  </si>
  <si>
    <t>0,42177,42180,2084005323,2084058984</t>
  </si>
  <si>
    <t>オークション &gt; アクセサリー、時計 &gt; ブランドアクセサリー &gt; ミリアム・ハスケル &gt; イヤリング、ピアス</t>
  </si>
  <si>
    <t>オークション &gt; ビューティー、ヘルスケア &gt; コスメ、スキンケア &gt; マスカラ、まつげ用品 &gt; その他</t>
  </si>
  <si>
    <t>0,42177,42180,2084005323,2084058987</t>
  </si>
  <si>
    <t>オークション &gt; アクセサリー、時計 &gt; ブランドアクセサリー &gt; ミリアム・ハスケル &gt; その他</t>
  </si>
  <si>
    <t>オークション &gt; ビューティー、ヘルスケア &gt; コスメ、スキンケア &gt; 口紅、グロス、リップケア &gt; DHC</t>
  </si>
  <si>
    <t>0,42177,42180,44381,2084040517</t>
  </si>
  <si>
    <t>オークション &gt; ビューティー、ヘルスケア &gt; コスメ、スキンケア &gt; 口紅、グロス、リップケア &gt; MAC</t>
  </si>
  <si>
    <t>オークション &gt; アクセサリー、時計 &gt; ブランドアクセサリー &gt; 4℃ &gt; イヤリング、ピアス</t>
  </si>
  <si>
    <t>0,42177,42180,44381,2084007474</t>
  </si>
  <si>
    <t>オークション &gt; ビューティー、ヘルスケア &gt; コスメ、スキンケア &gt; 口紅、グロス、リップケア &gt; RMK</t>
  </si>
  <si>
    <t>0,42177,42180,44381,2084060317</t>
  </si>
  <si>
    <t>オークション &gt; アクセサリー、時計 &gt; ブランドアクセサリー &gt; 4℃ &gt; ネックレス、ペンダント、チョーカー</t>
  </si>
  <si>
    <t>オークション &gt; ビューティー、ヘルスケア &gt; コスメ、スキンケア &gt; 口紅、グロス、リップケア &gt; アナスイ</t>
  </si>
  <si>
    <t>0,42177,42180,44381,2084054094</t>
  </si>
  <si>
    <t>オークション &gt; アクセサリー、時計 &gt; ブランドアクセサリー &gt; 4℃ &gt; ブレスレット、バングル</t>
  </si>
  <si>
    <t>オークション &gt; ビューティー、ヘルスケア &gt; コスメ、スキンケア &gt; 口紅、グロス、リップケア &gt; アニエスベー</t>
  </si>
  <si>
    <t>0,42177,42180,44381,2084060312</t>
  </si>
  <si>
    <t>オークション &gt; アクセサリー、時計 &gt; ブランドアクセサリー &gt; 4℃ &gt; 指輪</t>
  </si>
  <si>
    <t>オークション &gt; ビューティー、ヘルスケア &gt; コスメ、スキンケア &gt; 口紅、グロス、リップケア &gt; アユーラ</t>
  </si>
  <si>
    <t>0,42177,42180,44381,2084040507</t>
  </si>
  <si>
    <t>オークション &gt; アクセサリー、時計 &gt; ブランドアクセサリー &gt; 4℃ &gt; その他</t>
  </si>
  <si>
    <t>オークション &gt; ビューティー、ヘルスケア &gt; コスメ、スキンケア &gt; 口紅、グロス、リップケア &gt; アルビオン</t>
  </si>
  <si>
    <t>0,42177,42180,44381,2084040512</t>
  </si>
  <si>
    <t>オークション &gt; ビューティー、ヘルスケア &gt; コスメ、スキンケア &gt; 口紅、グロス、リップケア &gt; イプサ</t>
  </si>
  <si>
    <t>0,42177,42180,44381,2084040510</t>
  </si>
  <si>
    <t>オークション &gt; アクセサリー、時計 &gt; ブランドアクセサリー &gt; ルイ・ヴィトン &gt; イヤリング、ピアス</t>
  </si>
  <si>
    <t>オークション &gt; ビューティー、ヘルスケア &gt; コスメ、スキンケア &gt; 口紅、グロス、リップケア &gt; イヴ・サンローラン</t>
  </si>
  <si>
    <t>0,42177,42180,44381,2084007471</t>
  </si>
  <si>
    <t>オークション &gt; アクセサリー、時計 &gt; ブランドアクセサリー &gt; ルイ・ヴィトン &gt; ネックレス、ペンダント、チョーカー</t>
  </si>
  <si>
    <t>オークション &gt; ビューティー、ヘルスケア &gt; コスメ、スキンケア &gt; 口紅、グロス、リップケア &gt; エイボン</t>
  </si>
  <si>
    <t>0,42177,42180,44381,2084060316</t>
  </si>
  <si>
    <t>オークション &gt; アクセサリー、時計 &gt; ブランドアクセサリー &gt; ルイ・ヴィトン &gt; ブレスレット、バングル</t>
  </si>
  <si>
    <t>オークション &gt; アクセサリー、時計 &gt; ブランドアクセサリー &gt; ルイ・ヴィトン &gt; 指輪</t>
  </si>
  <si>
    <t>オークション &gt; ビューティー、ヘルスケア &gt; コスメ、スキンケア &gt; 口紅、グロス、リップケア &gt; エスティローダー</t>
  </si>
  <si>
    <t>0,42177,42180,44381,2084040508</t>
  </si>
  <si>
    <t>オークション &gt; アクセサリー、時計 &gt; ブランドアクセサリー &gt; ルイ・ヴィトン &gt; 腕時計</t>
  </si>
  <si>
    <t>オークション &gt; ビューティー、ヘルスケア &gt; コスメ、スキンケア &gt; 口紅、グロス、リップケア &gt; エリザベス・アーデン</t>
  </si>
  <si>
    <t>0,42177,42180,44381,2084007485</t>
  </si>
  <si>
    <t>オークション &gt; アクセサリー、時計 &gt; ブランドアクセサリー &gt; ルイ・ヴィトン &gt; キーホルダー</t>
  </si>
  <si>
    <t>オークション &gt; ビューティー、ヘルスケア &gt; コスメ、スキンケア &gt; 口紅、グロス、リップケア &gt; オリジンズ</t>
  </si>
  <si>
    <t>0,42177,42180,44381,2084226976</t>
  </si>
  <si>
    <t>オークション &gt; アクセサリー、時計 &gt; ブランドアクセサリー &gt; ルイ・ヴィトン &gt; その他</t>
  </si>
  <si>
    <t>オークション &gt; ビューティー、ヘルスケア &gt; コスメ、スキンケア &gt; 口紅、グロス、リップケア &gt; クラランス</t>
  </si>
  <si>
    <t>オークション &gt; アクセサリー、時計 &gt; ブランドアクセサリー &gt; レナードカムホート、ロンワンズ &gt; 指輪</t>
  </si>
  <si>
    <t>0,42177,42180,44381,2084040511</t>
  </si>
  <si>
    <t>オークション &gt; アクセサリー、時計 &gt; ブランドアクセサリー &gt; レナードカムホート、ロンワンズ &gt; その他</t>
  </si>
  <si>
    <t>オークション &gt; ビューティー、ヘルスケア &gt; コスメ、スキンケア &gt; 口紅、グロス、リップケア &gt; クリスチャン・ディオール</t>
  </si>
  <si>
    <t>0,42177,42180,44381,2084007475</t>
  </si>
  <si>
    <t>オークション &gt; アクセサリー、時計 &gt; ブランドアクセサリー &gt; ロイヤルオーダー &gt; イヤリング、ピアス</t>
  </si>
  <si>
    <t>オークション &gt; ビューティー、ヘルスケア &gt; コスメ、スキンケア &gt; 口紅、グロス、リップケア &gt; クリニーク</t>
  </si>
  <si>
    <t>0,42177,42180,44381,2084007483</t>
  </si>
  <si>
    <t>オークション &gt; アクセサリー、時計 &gt; ブランドアクセサリー &gt; ロイヤルオーダー &gt; ネックレス、ペンダント、チョーカー</t>
  </si>
  <si>
    <t>オークション &gt; アクセサリー、時計 &gt; ブランドアクセサリー &gt; ロイヤルオーダー &gt; ブレスレット、バングル</t>
  </si>
  <si>
    <t>オークション &gt; ビューティー、ヘルスケア &gt; コスメ、スキンケア &gt; 口紅、グロス、リップケア &gt; ケサランパサラン</t>
  </si>
  <si>
    <t>0,42177,42180,44381,2084040513</t>
  </si>
  <si>
    <t>オークション &gt; アクセサリー、時計 &gt; ブランドアクセサリー &gt; ロイヤルオーダー &gt; 指輪</t>
  </si>
  <si>
    <t>オークション &gt; ビューティー、ヘルスケア &gt; コスメ、スキンケア &gt; 口紅、グロス、リップケア &gt; ゲラン</t>
  </si>
  <si>
    <t>0,42177,42180,44381,2084060314</t>
  </si>
  <si>
    <t>オークション &gt; アクセサリー、時計 &gt; ブランドアクセサリー &gt; ロイヤルオーダー &gt; その他</t>
  </si>
  <si>
    <t>オークション &gt; アクセサリー、時計 &gt; ブランドアクセサリー &gt; その他 &gt; 女性用</t>
  </si>
  <si>
    <t>オークション &gt; ビューティー、ヘルスケア &gt; コスメ、スキンケア &gt; 口紅、グロス、リップケア &gt; ザ・ボディショップ</t>
  </si>
  <si>
    <t>0,42177,42180,44381,2084040514</t>
  </si>
  <si>
    <t>オークション &gt; アクセサリー、時計 &gt; ブランドアクセサリー &gt; その他 &gt; 男性用</t>
  </si>
  <si>
    <t>オークション &gt; ビューティー、ヘルスケア &gt; コスメ、スキンケア &gt; 口紅、グロス、リップケア &gt; シャネル</t>
  </si>
  <si>
    <t>0,42177,42180,44381,2084007472</t>
  </si>
  <si>
    <t>オークション &gt; ビューティー、ヘルスケア &gt; コスメ、スキンケア &gt; 口紅、グロス、リップケア &gt; ジバンシイ</t>
  </si>
  <si>
    <t>0,42177,42180,44381,2084060311</t>
  </si>
  <si>
    <t>オークション &gt; アクセサリー、時計 &gt; ブランドアクセサリー &gt; その他 &gt; 子ども用</t>
  </si>
  <si>
    <t>チェーンのみ</t>
  </si>
  <si>
    <t>オークション &gt; アクセサリー、時計 &gt; レディースアクセサリー &gt; ネックレス、ペンダント &gt; チェーンのみ</t>
  </si>
  <si>
    <t>オークション &gt; ビューティー、ヘルスケア &gt; コスメ、スキンケア &gt; 口紅、グロス、リップケア &gt; スティラ</t>
  </si>
  <si>
    <t>0,42177,42180,44381,2084054095</t>
  </si>
  <si>
    <t>トップ、ヘッドのみ</t>
  </si>
  <si>
    <t>オークション &gt; アクセサリー、時計 &gt; レディースアクセサリー &gt; ネックレス、ペンダント &gt; トップ、ヘッドのみ</t>
  </si>
  <si>
    <t>オークション &gt; ビューティー、ヘルスケア &gt; コスメ、スキンケア &gt; 口紅、グロス、リップケア &gt; ノエビア</t>
  </si>
  <si>
    <t>ダイヤモンド</t>
  </si>
  <si>
    <t>0,42177,42180,44381,2084040515</t>
  </si>
  <si>
    <t>オークション &gt; アクセサリー、時計 &gt; レディースアクセサリー &gt; ネックレス、ペンダント &gt; ダイヤモンド</t>
  </si>
  <si>
    <t>真珠</t>
  </si>
  <si>
    <t>オークション &gt; ビューティー、ヘルスケア &gt; コスメ、スキンケア &gt; 口紅、グロス、リップケア &gt; ハーバー</t>
  </si>
  <si>
    <t>オークション &gt; アクセサリー、時計 &gt; レディースアクセサリー &gt; ネックレス、ペンダント &gt; 真珠</t>
  </si>
  <si>
    <t>0,42177,42180,44381,2084040518</t>
  </si>
  <si>
    <t>カラーストーン</t>
  </si>
  <si>
    <t>オークション &gt; ビューティー、ヘルスケア &gt; コスメ、スキンケア &gt; 口紅、グロス、リップケア &gt; ヘレナルビンスタイン</t>
  </si>
  <si>
    <t>オークション &gt; アクセサリー、時計 &gt; レディースアクセサリー &gt; ネックレス、ペンダント &gt; カラーストーン</t>
  </si>
  <si>
    <t>0,42177,42180,44381,2084040509</t>
  </si>
  <si>
    <t>人工宝石、ラインストーン</t>
  </si>
  <si>
    <t>オークション &gt; アクセサリー、時計 &gt; レディースアクセサリー &gt; ネックレス、ペンダント &gt; 人工宝石、ラインストーン</t>
  </si>
  <si>
    <t>ゴールド</t>
  </si>
  <si>
    <t>オークション &gt; ビューティー、ヘルスケア &gt; コスメ、スキンケア &gt; 口紅、グロス、リップケア &gt; ボビイブラウン</t>
  </si>
  <si>
    <t>オークション &gt; アクセサリー、時計 &gt; レディースアクセサリー &gt; ネックレス、ペンダント &gt; ゴールド</t>
  </si>
  <si>
    <t>0,42177,42180,44381,2084060313</t>
  </si>
  <si>
    <t>シルバー</t>
  </si>
  <si>
    <t>オークション &gt; アクセサリー、時計 &gt; レディースアクセサリー &gt; ネックレス、ペンダント &gt; シルバー</t>
  </si>
  <si>
    <t>オークション &gt; ビューティー、ヘルスケア &gt; コスメ、スキンケア &gt; 口紅、グロス、リップケア &gt; マックスファクター</t>
  </si>
  <si>
    <t>0,42177,42180,44381,2084007473</t>
  </si>
  <si>
    <t>オークション &gt; アクセサリー、時計 &gt; レディースアクセサリー &gt; ネックレス、ペンダント &gt; プラチナ</t>
  </si>
  <si>
    <t>オークション &gt; ビューティー、ヘルスケア &gt; コスメ、スキンケア &gt; 口紅、グロス、リップケア &gt; マリークヮント</t>
  </si>
  <si>
    <t>0,42177,42180,44381,2084060315</t>
  </si>
  <si>
    <t>ビーズ、ガラス</t>
  </si>
  <si>
    <t>オークション &gt; アクセサリー、時計 &gt; レディースアクセサリー &gt; ネックレス、ペンダント &gt; ビーズ、ガラス</t>
  </si>
  <si>
    <t>オークション &gt; ビューティー、ヘルスケア &gt; コスメ、スキンケア &gt; 口紅、グロス、リップケア &gt; メイベリン</t>
  </si>
  <si>
    <t>べっ甲</t>
  </si>
  <si>
    <t>0,42177,42180,44381,2084040495</t>
  </si>
  <si>
    <t>オークション &gt; アクセサリー、時計 &gt; レディースアクセサリー &gt; ネックレス、ペンダント &gt; べっ甲</t>
  </si>
  <si>
    <t>コーラル、サンゴ</t>
  </si>
  <si>
    <t>オークション &gt; ビューティー、ヘルスケア &gt; コスメ、スキンケア &gt; 口紅、グロス、リップケア &gt; メナード</t>
  </si>
  <si>
    <t>オークション &gt; アクセサリー、時計 &gt; レディースアクセサリー &gt; ネックレス、ペンダント &gt; コーラル、サンゴ</t>
  </si>
  <si>
    <t>0,42177,42180,44381,2084040516</t>
  </si>
  <si>
    <t>磁気</t>
  </si>
  <si>
    <t>オークション &gt; アクセサリー、時計 &gt; レディースアクセサリー &gt; ネックレス、ペンダント &gt; 磁気</t>
  </si>
  <si>
    <t>オークション &gt; ビューティー、ヘルスケア &gt; コスメ、スキンケア &gt; 口紅、グロス、リップケア &gt; ランコム</t>
  </si>
  <si>
    <t>0,42177,42180,44381,2084007476</t>
  </si>
  <si>
    <t>皮革</t>
  </si>
  <si>
    <t>オークション &gt; アクセサリー、時計 &gt; レディースアクセサリー &gt; ネックレス、ペンダント &gt; 皮革</t>
  </si>
  <si>
    <t>オークション &gt; ビューティー、ヘルスケア &gt; コスメ、スキンケア &gt; 口紅、グロス、リップケア &gt; レブロン</t>
  </si>
  <si>
    <t>0,42177,42180,44381,2084007484</t>
  </si>
  <si>
    <t>木製</t>
  </si>
  <si>
    <t>オークション &gt; アクセサリー、時計 &gt; レディースアクセサリー &gt; ネックレス、ペンダント &gt; 木製</t>
  </si>
  <si>
    <t>オークション &gt; ビューティー、ヘルスケア &gt; コスメ、スキンケア &gt; 口紅、グロス、リップケア &gt; その他</t>
  </si>
  <si>
    <t>0,42177,42180,44381,2084007466</t>
  </si>
  <si>
    <t>オークション &gt; アクセサリー、時計 &gt; レディースアクセサリー &gt; ネックレス、ペンダント &gt; その他</t>
  </si>
  <si>
    <t>オークション &gt; ビューティー、ヘルスケア &gt; コスメ、スキンケア &gt; リップグロス &gt; DHC</t>
  </si>
  <si>
    <t>0,42177,42180,2084005320,2084059032</t>
  </si>
  <si>
    <t>オークション &gt; アクセサリー、時計 &gt; レディースアクセサリー &gt; ペンダントトップ、チャーム &gt; ダイヤモンド</t>
  </si>
  <si>
    <t>オークション &gt; ビューティー、ヘルスケア &gt; コスメ、スキンケア &gt; リップグロス &gt; MAC</t>
  </si>
  <si>
    <t>オークション &gt; アクセサリー、時計 &gt; レディースアクセサリー &gt; ペンダントトップ、チャーム &gt; 真珠</t>
  </si>
  <si>
    <t>0,42177,42180,2084005320,2084059033</t>
  </si>
  <si>
    <t>オークション &gt; アクセサリー、時計 &gt; レディースアクセサリー &gt; ペンダントトップ、チャーム &gt; カラーストーン</t>
  </si>
  <si>
    <t>オークション &gt; ビューティー、ヘルスケア &gt; コスメ、スキンケア &gt; リップグロス &gt; アナスイ</t>
  </si>
  <si>
    <t>0,42177,42180,2084005320,2084059034</t>
  </si>
  <si>
    <t>オークション &gt; アクセサリー、時計 &gt; レディースアクセサリー &gt; ペンダントトップ、チャーム &gt; 人工宝石、ラインストーン</t>
  </si>
  <si>
    <t>オークション &gt; ビューティー、ヘルスケア &gt; コスメ、スキンケア &gt; リップグロス &gt; アニエスベー</t>
  </si>
  <si>
    <t>0,42177,42180,2084005320,2084060307</t>
  </si>
  <si>
    <t>オークション &gt; アクセサリー、時計 &gt; レディースアクセサリー &gt; ペンダントトップ、チャーム &gt; ゴールド</t>
  </si>
  <si>
    <t>オークション &gt; ビューティー、ヘルスケア &gt; コスメ、スキンケア &gt; リップグロス &gt; アユーラ</t>
  </si>
  <si>
    <t>0,42177,42180,2084005320,2084059035</t>
  </si>
  <si>
    <t>オークション &gt; アクセサリー、時計 &gt; レディースアクセサリー &gt; ペンダントトップ、チャーム &gt; シルバー</t>
  </si>
  <si>
    <t>オークション &gt; ビューティー、ヘルスケア &gt; コスメ、スキンケア &gt; リップグロス &gt; イプサ</t>
  </si>
  <si>
    <t>0,42177,42180,2084005320,2084059037</t>
  </si>
  <si>
    <t>オークション &gt; アクセサリー、時計 &gt; レディースアクセサリー &gt; ペンダントトップ、チャーム &gt; プラチナ</t>
  </si>
  <si>
    <t>オークション &gt; ビューティー、ヘルスケア &gt; コスメ、スキンケア &gt; リップグロス &gt; イヴ・サンローラン</t>
  </si>
  <si>
    <t>0,42177,42180,2084005320,2084059036</t>
  </si>
  <si>
    <t>オークション &gt; アクセサリー、時計 &gt; レディースアクセサリー &gt; ペンダントトップ、チャーム &gt; ビーズ、ガラス</t>
  </si>
  <si>
    <t>オークション &gt; ビューティー、ヘルスケア &gt; コスメ、スキンケア &gt; リップグロス &gt; エスティローダー</t>
  </si>
  <si>
    <t>オークション &gt; アクセサリー、時計 &gt; レディースアクセサリー &gt; ペンダントトップ、チャーム &gt; べっ甲</t>
  </si>
  <si>
    <t>0,42177,42180,2084005320,2084059038</t>
  </si>
  <si>
    <t>オークション &gt; ビューティー、ヘルスケア &gt; コスメ、スキンケア &gt; リップグロス &gt; エリザベス・アーデン</t>
  </si>
  <si>
    <t>0,42177,42180,2084005320,2084059039</t>
  </si>
  <si>
    <t>オークション &gt; アクセサリー、時計 &gt; レディースアクセサリー &gt; ペンダントトップ、チャーム &gt; コーラル、サンゴ</t>
  </si>
  <si>
    <t>オークション &gt; ビューティー、ヘルスケア &gt; コスメ、スキンケア &gt; リップグロス &gt; クラランス</t>
  </si>
  <si>
    <t>0,42177,42180,2084005320,2084059041</t>
  </si>
  <si>
    <t>オークション &gt; アクセサリー、時計 &gt; レディースアクセサリー &gt; ペンダントトップ、チャーム &gt; 皮革</t>
  </si>
  <si>
    <t>オークション &gt; ビューティー、ヘルスケア &gt; コスメ、スキンケア &gt; リップグロス &gt; クリスチャン・ディオール</t>
  </si>
  <si>
    <t>0,42177,42180,2084005320,2084059042</t>
  </si>
  <si>
    <t>オークション &gt; アクセサリー、時計 &gt; レディースアクセサリー &gt; ペンダントトップ、チャーム &gt; 木製</t>
  </si>
  <si>
    <t>オークション &gt; ビューティー、ヘルスケア &gt; コスメ、スキンケア &gt; リップグロス &gt; クリニーク</t>
  </si>
  <si>
    <t>0,42177,42180,2084005320,2084059043</t>
  </si>
  <si>
    <t>オークション &gt; ビューティー、ヘルスケア &gt; コスメ、スキンケア &gt; リップグロス &gt; ケサランパサラン</t>
  </si>
  <si>
    <t>0,42177,42180,2084005320,2084059044</t>
  </si>
  <si>
    <t>オークション &gt; アクセサリー、時計 &gt; レディースアクセサリー &gt; ペンダントトップ、チャーム &gt; その他</t>
  </si>
  <si>
    <t>オークション &gt; ビューティー、ヘルスケア &gt; コスメ、スキンケア &gt; リップグロス &gt; ゲラン</t>
  </si>
  <si>
    <t>0,42177,42180,2084005320,2084060308</t>
  </si>
  <si>
    <t>オークション &gt; ビューティー、ヘルスケア &gt; コスメ、スキンケア &gt; リップグロス &gt; シャネル</t>
  </si>
  <si>
    <t>オークション &gt; アクセサリー、時計 &gt; レディースアクセサリー &gt; ネックレス（チェーンのみ） &gt; カラーストーン</t>
  </si>
  <si>
    <t>0,42177,42180,2084005320,2084059046</t>
  </si>
  <si>
    <t>オークション &gt; ビューティー、ヘルスケア &gt; コスメ、スキンケア &gt; リップグロス &gt; ジルスチュアート</t>
  </si>
  <si>
    <t>0,42177,42180,2084005320,2084243960</t>
  </si>
  <si>
    <t>オークション &gt; アクセサリー、時計 &gt; レディースアクセサリー &gt; ネックレス（チェーンのみ） &gt; 人工宝石、ラインストーン</t>
  </si>
  <si>
    <t>オークション &gt; ビューティー、ヘルスケア &gt; コスメ、スキンケア &gt; リップグロス &gt; スティラ</t>
  </si>
  <si>
    <t>0,42177,42180,2084005320,2084060306</t>
  </si>
  <si>
    <t>オークション &gt; アクセサリー、時計 &gt; レディースアクセサリー &gt; ネックレス（チェーンのみ） &gt; ゴールド</t>
  </si>
  <si>
    <t>オークション &gt; ビューティー、ヘルスケア &gt; コスメ、スキンケア &gt; リップグロス &gt; ヘレナルビンスタイン</t>
  </si>
  <si>
    <t>オークション &gt; アクセサリー、時計 &gt; レディースアクセサリー &gt; ネックレス（チェーンのみ） &gt; シルバー</t>
  </si>
  <si>
    <t>0,42177,42180,2084005320,2084059047</t>
  </si>
  <si>
    <t>オークション &gt; アクセサリー、時計 &gt; レディースアクセサリー &gt; ネックレス（チェーンのみ） &gt; プラチナ</t>
  </si>
  <si>
    <t>オークション &gt; ビューティー、ヘルスケア &gt; コスメ、スキンケア &gt; リップグロス &gt; ボビイブラウン</t>
  </si>
  <si>
    <t>0,42177,42180,2084005320,2084060309</t>
  </si>
  <si>
    <t>オークション &gt; アクセサリー、時計 &gt; レディースアクセサリー &gt; ネックレス（チェーンのみ） &gt; ビーズ、ガラス</t>
  </si>
  <si>
    <t>オークション &gt; ビューティー、ヘルスケア &gt; コスメ、スキンケア &gt; リップグロス &gt; マックスファクター</t>
  </si>
  <si>
    <t>0,42177,42180,2084005320,2084059048</t>
  </si>
  <si>
    <t>オークション &gt; アクセサリー、時計 &gt; レディースアクセサリー &gt; ネックレス（チェーンのみ） &gt; コーラル、サンゴ</t>
  </si>
  <si>
    <t>オークション &gt; ビューティー、ヘルスケア &gt; コスメ、スキンケア &gt; リップグロス &gt; メイベリン</t>
  </si>
  <si>
    <t>0,42177,42180,2084005320,2084059049</t>
  </si>
  <si>
    <t>オークション &gt; ビューティー、ヘルスケア &gt; コスメ、スキンケア &gt; リップグロス &gt; ランコム</t>
  </si>
  <si>
    <t>オークション &gt; アクセサリー、時計 &gt; レディースアクセサリー &gt; ネックレス（チェーンのみ） &gt; 磁気</t>
  </si>
  <si>
    <t>0,42177,42180,2084005320,2084059050</t>
  </si>
  <si>
    <t>オークション &gt; アクセサリー、時計 &gt; レディースアクセサリー &gt; ネックレス（チェーンのみ） &gt; 真珠</t>
  </si>
  <si>
    <t>オークション &gt; ビューティー、ヘルスケア &gt; コスメ、スキンケア &gt; リップグロス &gt; レブロン</t>
  </si>
  <si>
    <t>0,42177,42180,2084005320,2084059051</t>
  </si>
  <si>
    <t>オークション &gt; アクセサリー、時計 &gt; レディースアクセサリー &gt; ネックレス（チェーンのみ） &gt; 皮革</t>
  </si>
  <si>
    <t>オークション &gt; ビューティー、ヘルスケア &gt; コスメ、スキンケア &gt; リップグロス &gt; ヴィクトリアシークレット</t>
  </si>
  <si>
    <t>0,42177,42180,2084005320,2084243971</t>
  </si>
  <si>
    <t>オークション &gt; ビューティー、ヘルスケア &gt; コスメ、スキンケア &gt; リップグロス &gt; その他</t>
  </si>
  <si>
    <t>0,42177,42180,2084005320,2084059053</t>
  </si>
  <si>
    <t>オークション &gt; アクセサリー、時計 &gt; レディースアクセサリー &gt; ネックレス（チェーンのみ） &gt; 木製</t>
  </si>
  <si>
    <t>ブラシ、チップ、コーム</t>
  </si>
  <si>
    <t>オークション &gt; ビューティー、ヘルスケア &gt; コスメ、スキンケア &gt; メイク道具、化粧小物 &gt; ブラシ、チップ、コーム</t>
  </si>
  <si>
    <t>0,42177,42180,2084005325,2084005314</t>
  </si>
  <si>
    <t>メイクボックス</t>
  </si>
  <si>
    <t>オークション &gt; アクセサリー、時計 &gt; レディースアクセサリー &gt; ネックレス（チェーンのみ） &gt; その他</t>
  </si>
  <si>
    <t>オークション &gt; ビューティー、ヘルスケア &gt; コスメ、スキンケア &gt; メイク道具、化粧小物 &gt; メイクボックス</t>
  </si>
  <si>
    <t>0,42177,42180,2084005325,2084216504</t>
  </si>
  <si>
    <t>ビューラー</t>
  </si>
  <si>
    <t>オークション &gt; ビューティー、ヘルスケア &gt; コスメ、スキンケア &gt; メイク道具、化粧小物 &gt; ビューラー</t>
  </si>
  <si>
    <t>0,42177,42180,2084005325,2084007463</t>
  </si>
  <si>
    <t>オークション &gt; アクセサリー、時計 &gt; レディースアクセサリー &gt; チョーカー &gt; ダイヤモンド</t>
  </si>
  <si>
    <t>オークション &gt; ビューティー、ヘルスケア &gt; コスメ、スキンケア &gt; メイク道具、化粧小物 &gt; 手鏡</t>
  </si>
  <si>
    <t>0,42177,42180,2084005325,2084048383</t>
  </si>
  <si>
    <t>オークション &gt; アクセサリー、時計 &gt; レディースアクセサリー &gt; チョーカー &gt; 真珠</t>
  </si>
  <si>
    <t>あぶら取り紙</t>
  </si>
  <si>
    <t>オークション &gt; ビューティー、ヘルスケア &gt; コスメ、スキンケア &gt; メイク道具、化粧小物 &gt; あぶら取り紙</t>
  </si>
  <si>
    <t>0,42177,42180,2084005325,2084007487</t>
  </si>
  <si>
    <t>オークション &gt; アクセサリー、時計 &gt; レディースアクセサリー &gt; チョーカー &gt; カラーストーン</t>
  </si>
  <si>
    <t>オークション &gt; アクセサリー、時計 &gt; レディースアクセサリー &gt; チョーカー &gt; 人工宝石、ラインストーン</t>
  </si>
  <si>
    <t>スポンジ、パフ</t>
  </si>
  <si>
    <t>オークション &gt; ビューティー、ヘルスケア &gt; コスメ、スキンケア &gt; メイク道具、化粧小物 &gt; スポンジ、パフ</t>
  </si>
  <si>
    <t>0,42177,42180,2084005325,2084007464</t>
  </si>
  <si>
    <t>オークション &gt; アクセサリー、時計 &gt; レディースアクセサリー &gt; チョーカー &gt; ゴールド</t>
  </si>
  <si>
    <t>アイプチ、二重まぶたアイテム</t>
  </si>
  <si>
    <t>オークション &gt; アクセサリー、時計 &gt; レディースアクセサリー &gt; チョーカー &gt; シルバー</t>
  </si>
  <si>
    <t>オークション &gt; ビューティー、ヘルスケア &gt; コスメ、スキンケア &gt; メイク道具、化粧小物 &gt; アイプチ、二重まぶたアイテム</t>
  </si>
  <si>
    <t>0,42177,42180,2084005325,2084306756</t>
  </si>
  <si>
    <t>オークション &gt; アクセサリー、時計 &gt; レディースアクセサリー &gt; チョーカー &gt; プラチナ</t>
  </si>
  <si>
    <t>化粧ポーチ</t>
  </si>
  <si>
    <t>オークション &gt; ビューティー、ヘルスケア &gt; コスメ、スキンケア &gt; メイク道具、化粧小物 &gt; 化粧ポーチ</t>
  </si>
  <si>
    <t>オークション &gt; アクセサリー、時計 &gt; レディースアクセサリー &gt; チョーカー &gt; ビーズ、ガラス</t>
  </si>
  <si>
    <t>0,42177,42180,2084005325,2084306759</t>
  </si>
  <si>
    <t>オークション &gt; アクセサリー、時計 &gt; レディースアクセサリー &gt; チョーカー &gt; べっ甲</t>
  </si>
  <si>
    <t>化粧用コットン</t>
  </si>
  <si>
    <t>オークション &gt; ビューティー、ヘルスケア &gt; コスメ、スキンケア &gt; メイク道具、化粧小物 &gt; 化粧用コットン</t>
  </si>
  <si>
    <t>0,42177,42180,2084005325,2084306757</t>
  </si>
  <si>
    <t>オークション &gt; アクセサリー、時計 &gt; レディースアクセサリー &gt; チョーカー &gt; コーラル、サンゴ</t>
  </si>
  <si>
    <t>美顔用品、美顔ローラー</t>
  </si>
  <si>
    <t>オークション &gt; ビューティー、ヘルスケア &gt; コスメ、スキンケア &gt; メイク道具、化粧小物 &gt; 美顔用品、美顔ローラー</t>
  </si>
  <si>
    <t>0,42177,42180,2084005325,2084290039</t>
  </si>
  <si>
    <t>オークション &gt; アクセサリー、時計 &gt; レディースアクセサリー &gt; チョーカー &gt; 皮革</t>
  </si>
  <si>
    <t>毛抜き</t>
  </si>
  <si>
    <t>オークション &gt; ビューティー、ヘルスケア &gt; コスメ、スキンケア &gt; メイク道具、化粧小物 &gt; 毛抜き</t>
  </si>
  <si>
    <t>オークション &gt; アクセサリー、時計 &gt; レディースアクセサリー &gt; チョーカー &gt; 木製</t>
  </si>
  <si>
    <t>0,42177,42180,2084005325,2084306758</t>
  </si>
  <si>
    <t>オークション &gt; アクセサリー、時計 &gt; レディースアクセサリー &gt; チョーカー &gt; その他</t>
  </si>
  <si>
    <t>まつげエクステ、つけまつげ</t>
  </si>
  <si>
    <t>オークション &gt; ビューティー、ヘルスケア &gt; コスメ、スキンケア &gt; メイク道具、化粧小物 &gt; まつげエクステ、つけまつげ</t>
  </si>
  <si>
    <t>オークション &gt; アクセサリー、時計 &gt; レディースアクセサリー &gt; 指輪 &gt; ダイヤモンド</t>
  </si>
  <si>
    <t>0,42177,42180,2084005325,2084263000</t>
  </si>
  <si>
    <t>オークション &gt; アクセサリー、時計 &gt; レディースアクセサリー &gt; 指輪 &gt; カラーストーン</t>
  </si>
  <si>
    <t>オークション &gt; ビューティー、ヘルスケア &gt; コスメ、スキンケア &gt; メイク道具、化粧小物 &gt; その他</t>
  </si>
  <si>
    <t>0,42177,42180,2084005325,2084007465</t>
  </si>
  <si>
    <t>オークション &gt; アクセサリー、時計 &gt; レディースアクセサリー &gt; 指輪 &gt; 真珠</t>
  </si>
  <si>
    <t>オークション &gt; アクセサリー、時計 &gt; レディースアクセサリー &gt; 指輪 &gt; 人工宝石、ラインストーン</t>
  </si>
  <si>
    <t>美顔ローラー</t>
  </si>
  <si>
    <t>オークション &gt; ビューティー、ヘルスケア &gt; コスメ、スキンケア &gt; 美顔用品、美顔ローラー &gt; 美顔ローラー</t>
  </si>
  <si>
    <t>0,42177,42180,2084290039,2084306760</t>
  </si>
  <si>
    <t>オークション &gt; アクセサリー、時計 &gt; レディースアクセサリー &gt; 指輪 &gt; ゴールド</t>
  </si>
  <si>
    <t>かっさプレート</t>
  </si>
  <si>
    <t>オークション &gt; ビューティー、ヘルスケア &gt; コスメ、スキンケア &gt; 美顔用品、美顔ローラー &gt; かっさプレート</t>
  </si>
  <si>
    <t>0,42177,42180,2084290039,2084306761</t>
  </si>
  <si>
    <t>オークション &gt; アクセサリー、時計 &gt; レディースアクセサリー &gt; 指輪 &gt; シルバー</t>
  </si>
  <si>
    <t>小顔ベルト、マスク</t>
  </si>
  <si>
    <t>オークション &gt; ビューティー、ヘルスケア &gt; コスメ、スキンケア &gt; 美顔用品、美顔ローラー &gt; 小顔ベルト、マスク</t>
  </si>
  <si>
    <t>オークション &gt; アクセサリー、時計 &gt; レディースアクセサリー &gt; 指輪 &gt; プラチナ</t>
  </si>
  <si>
    <t>0,42177,42180,2084290039,2084306762</t>
  </si>
  <si>
    <t>オークション &gt; アクセサリー、時計 &gt; レディースアクセサリー &gt; 指輪 &gt; ビーズ、ガラス</t>
  </si>
  <si>
    <t>オークション &gt; ビューティー、ヘルスケア &gt; コスメ、スキンケア &gt; 美顔用品、美顔ローラー &gt; その他</t>
  </si>
  <si>
    <t>0,42177,42180,2084290039,2084306763</t>
  </si>
  <si>
    <t>オークション &gt; ビューティー、ヘルスケア &gt; ネイルケア &gt; ネイルカラー &gt; DHC</t>
  </si>
  <si>
    <t>0,42177,2084005298,2084007455,2084059011</t>
  </si>
  <si>
    <t>オークション &gt; アクセサリー、時計 &gt; レディースアクセサリー &gt; 指輪 &gt; 皮革</t>
  </si>
  <si>
    <t>オークション &gt; ビューティー、ヘルスケア &gt; ネイルケア &gt; ネイルカラー &gt; MAC</t>
  </si>
  <si>
    <t>オークション &gt; アクセサリー、時計 &gt; レディースアクセサリー &gt; 指輪 &gt; 木製</t>
  </si>
  <si>
    <t>0,42177,2084005298,2084007455,2084059012</t>
  </si>
  <si>
    <t>O・P・I</t>
  </si>
  <si>
    <t>オークション &gt; ビューティー、ヘルスケア &gt; ネイルケア &gt; ネイルカラー &gt; O・P・I</t>
  </si>
  <si>
    <t>0,42177,2084005298,2084007455,2084060340</t>
  </si>
  <si>
    <t>オークション &gt; アクセサリー、時計 &gt; レディースアクセサリー &gt; 指輪 &gt; べっ甲</t>
  </si>
  <si>
    <t>オークション &gt; ビューティー、ヘルスケア &gt; ネイルケア &gt; ネイルカラー &gt; RMK</t>
  </si>
  <si>
    <t>オークション &gt; アクセサリー、時計 &gt; レディースアクセサリー &gt; 指輪 &gt; コーラル、サンゴ</t>
  </si>
  <si>
    <t>0,42177,2084005298,2084007455,2084060341</t>
  </si>
  <si>
    <t>オークション &gt; アクセサリー、時計 &gt; レディースアクセサリー &gt; 指輪 &gt; その他</t>
  </si>
  <si>
    <t>essie</t>
  </si>
  <si>
    <t>オークション &gt; ビューティー、ヘルスケア &gt; ネイルケア &gt; ネイルカラー &gt; essie</t>
  </si>
  <si>
    <t>0,42177,2084005298,2084007455,2084064012</t>
  </si>
  <si>
    <t>オークション &gt; アクセサリー、時計 &gt; レディースアクセサリー &gt; ピアス &gt; ダイヤモンド</t>
  </si>
  <si>
    <t>オークション &gt; ビューティー、ヘルスケア &gt; ネイルケア &gt; ネイルカラー &gt; アナスイ</t>
  </si>
  <si>
    <t>0,42177,2084005298,2084007455,2084059013</t>
  </si>
  <si>
    <t>オークション &gt; アクセサリー、時計 &gt; レディースアクセサリー &gt; ピアス &gt; カラーストーン</t>
  </si>
  <si>
    <t>オークション &gt; ビューティー、ヘルスケア &gt; ネイルケア &gt; ネイルカラー &gt; アニエスベー</t>
  </si>
  <si>
    <t>0,42177,2084005298,2084007455,2084060339</t>
  </si>
  <si>
    <t>オークション &gt; アクセサリー、時計 &gt; レディースアクセサリー &gt; ピアス &gt; 真珠</t>
  </si>
  <si>
    <t>オークション &gt; ビューティー、ヘルスケア &gt; ネイルケア &gt; ネイルカラー &gt; アユーラ</t>
  </si>
  <si>
    <t>0,42177,2084005298,2084007455,2084059014</t>
  </si>
  <si>
    <t>オークション &gt; アクセサリー、時計 &gt; レディースアクセサリー &gt; ピアス &gt; 人工宝石、ラインストーン</t>
  </si>
  <si>
    <t>オークション &gt; アクセサリー、時計 &gt; レディースアクセサリー &gt; ピアス &gt; ゴールド</t>
  </si>
  <si>
    <t>オークション &gt; ビューティー、ヘルスケア &gt; ネイルケア &gt; ネイルカラー &gt; イプサ</t>
  </si>
  <si>
    <t>0,42177,2084005298,2084007455,2084059016</t>
  </si>
  <si>
    <t>オークション &gt; アクセサリー、時計 &gt; レディースアクセサリー &gt; ピアス &gt; シルバー</t>
  </si>
  <si>
    <t>オークション &gt; ビューティー、ヘルスケア &gt; ネイルケア &gt; ネイルカラー &gt; イヴ・サンローラン</t>
  </si>
  <si>
    <t>0,42177,2084005298,2084007455,2084059015</t>
  </si>
  <si>
    <t>オークション &gt; アクセサリー、時計 &gt; レディースアクセサリー &gt; ピアス &gt; プラチナ</t>
  </si>
  <si>
    <t>オークション &gt; ビューティー、ヘルスケア &gt; ネイルケア &gt; ネイルカラー &gt; エスティローダー</t>
  </si>
  <si>
    <t>0,42177,2084005298,2084007455,2084059017</t>
  </si>
  <si>
    <t>オークション &gt; アクセサリー、時計 &gt; レディースアクセサリー &gt; ピアス &gt; ビーズ、ガラス</t>
  </si>
  <si>
    <t>オークション &gt; ビューティー、ヘルスケア &gt; ネイルケア &gt; ネイルカラー &gt; エリザベス・アーデン</t>
  </si>
  <si>
    <t>0,42177,2084005298,2084007455,2084059018</t>
  </si>
  <si>
    <t>オークション &gt; アクセサリー、時計 &gt; レディースアクセサリー &gt; ピアス &gt; コーラル、サンゴ</t>
  </si>
  <si>
    <t>オークション &gt; ビューティー、ヘルスケア &gt; ネイルケア &gt; ネイルカラー &gt; クリスチャン・ディオール</t>
  </si>
  <si>
    <t>0,42177,2084005298,2084007455,2084059020</t>
  </si>
  <si>
    <t>オークション &gt; アクセサリー、時計 &gt; レディースアクセサリー &gt; ピアス &gt; べっ甲</t>
  </si>
  <si>
    <t>オークション &gt; ビューティー、ヘルスケア &gt; ネイルケア &gt; ネイルカラー &gt; クリニーク</t>
  </si>
  <si>
    <t>オークション &gt; アクセサリー、時計 &gt; レディースアクセサリー &gt; ピアス &gt; 皮革</t>
  </si>
  <si>
    <t>0,42177,2084005298,2084007455,2084059021</t>
  </si>
  <si>
    <t>オークション &gt; アクセサリー、時計 &gt; レディースアクセサリー &gt; ピアス &gt; 木製</t>
  </si>
  <si>
    <t>オークション &gt; ビューティー、ヘルスケア &gt; ネイルケア &gt; ネイルカラー &gt; ケサランパサラン</t>
  </si>
  <si>
    <t>0,42177,2084005298,2084007455,2084059022</t>
  </si>
  <si>
    <t>キャッチ</t>
  </si>
  <si>
    <t>オークション &gt; アクセサリー、時計 &gt; レディースアクセサリー &gt; ピアス &gt; キャッチ</t>
  </si>
  <si>
    <t>オークション &gt; ビューティー、ヘルスケア &gt; ネイルケア &gt; ネイルカラー &gt; シャネル</t>
  </si>
  <si>
    <t>0,42177,2084005298,2084007455,2084059024</t>
  </si>
  <si>
    <t>オークション &gt; アクセサリー、時計 &gt; レディースアクセサリー &gt; ピアス &gt; その他</t>
  </si>
  <si>
    <t>オークション &gt; ビューティー、ヘルスケア &gt; ネイルケア &gt; ネイルカラー &gt; ジルスチュアート</t>
  </si>
  <si>
    <t>0,42177,2084005298,2084007455,2084243962</t>
  </si>
  <si>
    <t>オークション &gt; アクセサリー、時計 &gt; レディースアクセサリー &gt; イヤリング &gt; ダイヤモンド</t>
  </si>
  <si>
    <t>オークション &gt; ビューティー、ヘルスケア &gt; ネイルケア &gt; ネイルカラー &gt; ヘレナルビンスタイン</t>
  </si>
  <si>
    <t>0,42177,2084005298,2084007455,2084059025</t>
  </si>
  <si>
    <t>オークション &gt; アクセサリー、時計 &gt; レディースアクセサリー &gt; イヤリング &gt; 真珠</t>
  </si>
  <si>
    <t>オークション &gt; ビューティー、ヘルスケア &gt; ネイルケア &gt; ネイルカラー &gt; ポール＆ジョー</t>
  </si>
  <si>
    <t>オークション &gt; アクセサリー、時計 &gt; レディースアクセサリー &gt; イヤリング &gt; カラーストーン</t>
  </si>
  <si>
    <t>0,42177,2084005298,2084007455,2084226974</t>
  </si>
  <si>
    <t>オークション &gt; アクセサリー、時計 &gt; レディースアクセサリー &gt; イヤリング &gt; 人工宝石、ラインストーン</t>
  </si>
  <si>
    <t>オークション &gt; ビューティー、ヘルスケア &gt; ネイルケア &gt; ネイルカラー &gt; メイベリン</t>
  </si>
  <si>
    <t>0,42177,2084005298,2084007455,2084059026</t>
  </si>
  <si>
    <t>オークション &gt; アクセサリー、時計 &gt; レディースアクセサリー &gt; イヤリング &gt; ゴールド</t>
  </si>
  <si>
    <t>オークション &gt; ビューティー、ヘルスケア &gt; ネイルケア &gt; ネイルカラー &gt; メナード</t>
  </si>
  <si>
    <t>0,42177,2084005298,2084007455,2084059027</t>
  </si>
  <si>
    <t>オークション &gt; アクセサリー、時計 &gt; レディースアクセサリー &gt; イヤリング &gt; シルバー</t>
  </si>
  <si>
    <t>オークション &gt; ビューティー、ヘルスケア &gt; ネイルケア &gt; ネイルカラー &gt; ランコム</t>
  </si>
  <si>
    <t>オークション &gt; アクセサリー、時計 &gt; レディースアクセサリー &gt; イヤリング &gt; プラチナ</t>
  </si>
  <si>
    <t>0,42177,2084005298,2084007455,2084059028</t>
  </si>
  <si>
    <t>オークション &gt; アクセサリー、時計 &gt; レディースアクセサリー &gt; イヤリング &gt; べっ甲</t>
  </si>
  <si>
    <t>オークション &gt; ビューティー、ヘルスケア &gt; ネイルケア &gt; ネイルカラー &gt; レブロン</t>
  </si>
  <si>
    <t>0,42177,2084005298,2084007455,2084059029</t>
  </si>
  <si>
    <t>オークション &gt; アクセサリー、時計 &gt; レディースアクセサリー &gt; イヤリング &gt; コーラル、サンゴ</t>
  </si>
  <si>
    <t>オークション &gt; ビューティー、ヘルスケア &gt; ネイルケア &gt; ネイルカラー &gt; その他</t>
  </si>
  <si>
    <t>0,42177,2084005298,2084007455,2084059031</t>
  </si>
  <si>
    <t>オークション &gt; アクセサリー、時計 &gt; レディースアクセサリー &gt; イヤリング &gt; ビーズ、ガラス</t>
  </si>
  <si>
    <t>0,42177,42179,2084005302,2084007486</t>
  </si>
  <si>
    <t>オークション &gt; アクセサリー、時計 &gt; レディースアクセサリー &gt; イヤリング &gt; 皮革</t>
  </si>
  <si>
    <t>0,42177,42179,2084005302,2084053242</t>
  </si>
  <si>
    <t>オークション &gt; アクセサリー、時計 &gt; レディースアクセサリー &gt; イヤリング &gt; 木製</t>
  </si>
  <si>
    <t>0,42177,42179,2084005302,2084007445</t>
  </si>
  <si>
    <t>オークション &gt; アクセサリー、時計 &gt; レディースアクセサリー &gt; イヤリング &gt; その他</t>
  </si>
  <si>
    <t>バングル</t>
  </si>
  <si>
    <t>オークション &gt; アクセサリー、時計 &gt; レディースアクセサリー &gt; ブレスレット、バングル &gt; バングル</t>
  </si>
  <si>
    <t>0,42177,42179,2084005302,2084053237</t>
  </si>
  <si>
    <t>ブレスレット</t>
  </si>
  <si>
    <t>オークション &gt; アクセサリー、時計 &gt; レディースアクセサリー &gt; ブレスレット、バングル &gt; ブレスレット</t>
  </si>
  <si>
    <t>0,42177,42179,2084005302,2084053255</t>
  </si>
  <si>
    <t>オークション &gt; アクセサリー、時計 &gt; レディースアクセサリー &gt; ブレスレット、バングル &gt; 数珠</t>
  </si>
  <si>
    <t>0,42177,42179,2084005302,2084053249</t>
  </si>
  <si>
    <t>オークション &gt; アクセサリー、時計 &gt; レディースアクセサリー &gt; ブレスレット、バングル &gt; その他</t>
  </si>
  <si>
    <t>0,42177,42179,2084005302,2084053250</t>
  </si>
  <si>
    <t>オークション &gt; アクセサリー、時計 &gt; レディースアクセサリー &gt; アンクレット &gt; 真珠</t>
  </si>
  <si>
    <t>オークション &gt; アクセサリー、時計 &gt; レディースアクセサリー &gt; アンクレット &gt; カラーストーン</t>
  </si>
  <si>
    <t>0,42177,42179,2084005302,2084053256</t>
  </si>
  <si>
    <t>オークション &gt; アクセサリー、時計 &gt; レディースアクセサリー &gt; アンクレット &gt; 人工宝石、ラインストーン</t>
  </si>
  <si>
    <t>0,42177,42179,2084005302,2084243943</t>
  </si>
  <si>
    <t>オークション &gt; アクセサリー、時計 &gt; レディースアクセサリー &gt; アンクレット &gt; ゴールド</t>
  </si>
  <si>
    <t>0,42177,42179,2084005302,2084053243</t>
  </si>
  <si>
    <t>オークション &gt; アクセサリー、時計 &gt; レディースアクセサリー &gt; アンクレット &gt; シルバー</t>
  </si>
  <si>
    <t>0,42177,42179,2084005302,2084007448</t>
  </si>
  <si>
    <t>オークション &gt; アクセサリー、時計 &gt; レディースアクセサリー &gt; アンクレット &gt; プラチナ</t>
  </si>
  <si>
    <t>オークション &gt; アクセサリー、時計 &gt; レディースアクセサリー &gt; アンクレット &gt; ビーズ、ガラス</t>
  </si>
  <si>
    <t>0,42177,42179,2084005302,2084007449</t>
  </si>
  <si>
    <t>オークション &gt; アクセサリー、時計 &gt; レディースアクセサリー &gt; アンクレット &gt; コーラル、サンゴ</t>
  </si>
  <si>
    <t>オークション &gt; アクセサリー、時計 &gt; レディースアクセサリー &gt; アンクレット &gt; 皮革</t>
  </si>
  <si>
    <t>0,42177,42179,2084005302,2084243942</t>
  </si>
  <si>
    <t>オークション &gt; アクセサリー、時計 &gt; レディースアクセサリー &gt; アンクレット &gt; その他</t>
  </si>
  <si>
    <t>0,42177,42179,2084005302,2084007450</t>
  </si>
  <si>
    <t>アクアマリン</t>
  </si>
  <si>
    <t>オークション &gt; アクセサリー、時計 &gt; レディースアクセサリー &gt; 裸石、ルース &gt; アクアマリン</t>
  </si>
  <si>
    <t>アパタイト</t>
  </si>
  <si>
    <t>0,42177,42179,2084005302,2084053248</t>
  </si>
  <si>
    <t>オークション &gt; アクセサリー、時計 &gt; レディースアクセサリー &gt; 裸石、ルース &gt; アパタイト</t>
  </si>
  <si>
    <t>アメジスト</t>
  </si>
  <si>
    <t>オークション &gt; アクセサリー、時計 &gt; レディースアクセサリー &gt; 裸石、ルース &gt; アメジスト</t>
  </si>
  <si>
    <t>0,42177,42179,2084005302,2084007451</t>
  </si>
  <si>
    <t>アレキサンドライト</t>
  </si>
  <si>
    <t>オークション &gt; アクセサリー、時計 &gt; レディースアクセサリー &gt; 裸石、ルース &gt; アレキサンドライト</t>
  </si>
  <si>
    <t>0,42177,42179,2084005302,2084053239</t>
  </si>
  <si>
    <t>アンバー、琥珀</t>
  </si>
  <si>
    <t>オークション &gt; アクセサリー、時計 &gt; レディースアクセサリー &gt; 裸石、ルース &gt; アンバー、琥珀</t>
  </si>
  <si>
    <t>0,42177,42179,2084005302,2084007444</t>
  </si>
  <si>
    <t>エメラルド</t>
  </si>
  <si>
    <t>オークション &gt; アクセサリー、時計 &gt; レディースアクセサリー &gt; 裸石、ルース &gt; エメラルド</t>
  </si>
  <si>
    <t>オニキス</t>
  </si>
  <si>
    <t>0,42177,42179,2084005302,2084053258</t>
  </si>
  <si>
    <t>オークション &gt; アクセサリー、時計 &gt; レディースアクセサリー &gt; 裸石、ルース &gt; オニキス</t>
  </si>
  <si>
    <t>オパール</t>
  </si>
  <si>
    <t>オークション &gt; アクセサリー、時計 &gt; レディースアクセサリー &gt; 裸石、ルース &gt; オパール</t>
  </si>
  <si>
    <t>0,42177,42179,2084005302,2084053257</t>
  </si>
  <si>
    <t>ガーネット</t>
  </si>
  <si>
    <t>オークション &gt; アクセサリー、時計 &gt; レディースアクセサリー &gt; 裸石、ルース &gt; ガーネット</t>
  </si>
  <si>
    <t>0,42177,42179,2084005302,2084007446</t>
  </si>
  <si>
    <t>キャッツアイ、猫目石</t>
  </si>
  <si>
    <t>オークション &gt; アクセサリー、時計 &gt; レディースアクセサリー &gt; 裸石、ルース &gt; キャッツアイ、猫目石</t>
  </si>
  <si>
    <t>キュービックジルコニア</t>
  </si>
  <si>
    <t>オークション &gt; アクセサリー、時計 &gt; レディースアクセサリー &gt; 裸石、ルース &gt; キュービックジルコニア</t>
  </si>
  <si>
    <t>0,42177,42179,2084005302,2084053244</t>
  </si>
  <si>
    <t>クリスタル、水晶</t>
  </si>
  <si>
    <t>オークション &gt; アクセサリー、時計 &gt; レディースアクセサリー &gt; 裸石、ルース &gt; クリスタル、水晶</t>
  </si>
  <si>
    <t>0,42177,42179,2084005302,2084243964</t>
  </si>
  <si>
    <t>サードニクス</t>
  </si>
  <si>
    <t>オークション &gt; アクセサリー、時計 &gt; レディースアクセサリー &gt; 裸石、ルース &gt; サードニクス</t>
  </si>
  <si>
    <t>0,42177,42179,2084005302,2084053259</t>
  </si>
  <si>
    <t>サファイア</t>
  </si>
  <si>
    <t>オークション &gt; アクセサリー、時計 &gt; レディースアクセサリー &gt; 裸石、ルース &gt; サファイア</t>
  </si>
  <si>
    <t>0,42177,42179,2084005302,2084053251</t>
  </si>
  <si>
    <t>シトリン</t>
  </si>
  <si>
    <t>オークション &gt; アクセサリー、時計 &gt; レディースアクセサリー &gt; 裸石、ルース &gt; シトリン</t>
  </si>
  <si>
    <t>ジルコン</t>
  </si>
  <si>
    <t>オークション &gt; アクセサリー、時計 &gt; レディースアクセサリー &gt; 裸石、ルース &gt; ジルコン</t>
  </si>
  <si>
    <t>0,42177,42179,2084005302,2084053240</t>
  </si>
  <si>
    <t>スピネル</t>
  </si>
  <si>
    <t>オークション &gt; アクセサリー、時計 &gt; レディースアクセサリー &gt; 裸石、ルース &gt; スピネル</t>
  </si>
  <si>
    <t>0,42177,42179,2084005302,2084053260</t>
  </si>
  <si>
    <t>タンザナイト</t>
  </si>
  <si>
    <t>オークション &gt; アクセサリー、時計 &gt; レディースアクセサリー &gt; 裸石、ルース &gt; タンザナイト</t>
  </si>
  <si>
    <t>0,42177,42179,2084005302,2084053245</t>
  </si>
  <si>
    <t>0,42177,42179,2084005302,2084053261</t>
  </si>
  <si>
    <t>オークション &gt; アクセサリー、時計 &gt; レディースアクセサリー &gt; 裸石、ルース &gt; ダイヤモンド</t>
  </si>
  <si>
    <t>トパーズ</t>
  </si>
  <si>
    <t>オークション &gt; アクセサリー、時計 &gt; レディースアクセサリー &gt; 裸石、ルース &gt; トパーズ</t>
  </si>
  <si>
    <t>0,42177,42179,2084005302,2084053246</t>
  </si>
  <si>
    <t>トルコ石</t>
  </si>
  <si>
    <t>オークション &gt; アクセサリー、時計 &gt; レディースアクセサリー &gt; 裸石、ルース &gt; トルコ石</t>
  </si>
  <si>
    <t>0,42177,42179,2084005302,2084053238</t>
  </si>
  <si>
    <t>トルマリン</t>
  </si>
  <si>
    <t>オークション &gt; アクセサリー、時計 &gt; レディースアクセサリー &gt; 裸石、ルース &gt; トルマリン</t>
  </si>
  <si>
    <t>ヒスイ</t>
  </si>
  <si>
    <t>0,42177,42179,2084005302,2084053254</t>
  </si>
  <si>
    <t>オークション &gt; アクセサリー、時計 &gt; レディースアクセサリー &gt; 裸石、ルース &gt; ヒスイ</t>
  </si>
  <si>
    <t>ペリドット</t>
  </si>
  <si>
    <t>オークション &gt; アクセサリー、時計 &gt; レディースアクセサリー &gt; 裸石、ルース &gt; ペリドット</t>
  </si>
  <si>
    <t>0,42177,42179,2084005302,2084053262</t>
  </si>
  <si>
    <t>オークション &gt; アクセサリー、時計 &gt; レディースアクセサリー &gt; 裸石、ルース &gt; ムーンストーン</t>
  </si>
  <si>
    <t>0,42177,42179,2084005302,2084007452</t>
  </si>
  <si>
    <t>ラピスラズリ、瑠璃</t>
  </si>
  <si>
    <t>オークション &gt; アクセサリー、時計 &gt; レディースアクセサリー &gt; 裸石、ルース &gt; ラピスラズリ、瑠璃</t>
  </si>
  <si>
    <t>0,42177,42179,2084005302,2084053252</t>
  </si>
  <si>
    <t>ルビー</t>
  </si>
  <si>
    <t>オークション &gt; アクセサリー、時計 &gt; レディースアクセサリー &gt; 裸石、ルース &gt; ルビー</t>
  </si>
  <si>
    <t>オークション &gt; アクセサリー、時計 &gt; レディースアクセサリー &gt; 裸石、ルース &gt; 真珠</t>
  </si>
  <si>
    <t>0,42177,42179,2084005302,2084053264</t>
  </si>
  <si>
    <t>オークション &gt; アクセサリー、時計 &gt; レディースアクセサリー &gt; 裸石、ルース &gt; 人工宝石、ラインストーン</t>
  </si>
  <si>
    <t>0,42177,42179,2084005302,2084053263</t>
  </si>
  <si>
    <t>オークション &gt; アクセサリー、時計 &gt; レディースアクセサリー &gt; 裸石、ルース &gt; その他</t>
  </si>
  <si>
    <t>0,42177,42179,2084005302,2084053266</t>
  </si>
  <si>
    <t>オークション &gt; アクセサリー、時計 &gt; レディースアクセサリー &gt; ブローチ &gt; ダイヤモンド</t>
  </si>
  <si>
    <t>0,42177,42179,2084005302,2084053267</t>
  </si>
  <si>
    <t>オークション &gt; アクセサリー、時計 &gt; レディースアクセサリー &gt; ブローチ &gt; カラーストーン</t>
  </si>
  <si>
    <t>0,42177,42179,2084005302,2084053268</t>
  </si>
  <si>
    <t>オークション &gt; アクセサリー、時計 &gt; レディースアクセサリー &gt; ブローチ &gt; 人工宝石、ラインストーン</t>
  </si>
  <si>
    <t>0,42177,42179,2084005302,2084007447</t>
  </si>
  <si>
    <t>オークション &gt; アクセサリー、時計 &gt; レディースアクセサリー &gt; ブローチ &gt; ビーズ、ガラス</t>
  </si>
  <si>
    <t>オークション &gt; アクセサリー、時計 &gt; レディースアクセサリー &gt; ブローチ &gt; べっ甲</t>
  </si>
  <si>
    <t>0,42177,42179,2084005302,2084243973</t>
  </si>
  <si>
    <t>カメオ</t>
  </si>
  <si>
    <t>オークション &gt; アクセサリー、時計 &gt; レディースアクセサリー &gt; ブローチ &gt; カメオ</t>
  </si>
  <si>
    <t>0,42177,42179,2084005302,2084053265</t>
  </si>
  <si>
    <t>オークション &gt; アクセサリー、時計 &gt; レディースアクセサリー &gt; ブローチ &gt; キュービックジルコニア</t>
  </si>
  <si>
    <t>オークション &gt; アクセサリー、時計 &gt; レディースアクセサリー &gt; ブローチ &gt; コーラル、サンゴ</t>
  </si>
  <si>
    <t>0,42177,42179,2084005302,2084053241</t>
  </si>
  <si>
    <t>オークション &gt; アクセサリー、時計 &gt; レディースアクセサリー &gt; ブローチ &gt; ゴールド</t>
  </si>
  <si>
    <t>0,42177,42179,2084005302,2084053247</t>
  </si>
  <si>
    <t>オークション &gt; アクセサリー、時計 &gt; レディースアクセサリー &gt; ブローチ &gt; シルバー</t>
  </si>
  <si>
    <t>オークション &gt; アクセサリー、時計 &gt; レディースアクセサリー &gt; ブローチ &gt; プラチナ</t>
  </si>
  <si>
    <t>0,42177,42179,2084005302,2084007480</t>
  </si>
  <si>
    <t>ホワイトゴールド</t>
  </si>
  <si>
    <t>0,42177,42179,2084005302,2084053253</t>
  </si>
  <si>
    <t>オークション &gt; アクセサリー、時計 &gt; レディースアクセサリー &gt; ブローチ &gt; ホワイトゴールド</t>
  </si>
  <si>
    <t>オークション &gt; アクセサリー、時計 &gt; レディースアクセサリー &gt; ブローチ &gt; 真珠</t>
  </si>
  <si>
    <t>0,42177,42179,2084005302,2084007443</t>
  </si>
  <si>
    <t>オークション &gt; アクセサリー、時計 &gt; レディースアクセサリー &gt; ブローチ &gt; 皮革</t>
  </si>
  <si>
    <t>0,42177,42179,2084005301,2084053565</t>
  </si>
  <si>
    <t>オークション &gt; アクセサリー、時計 &gt; レディースアクセサリー &gt; ブローチ &gt; 木製</t>
  </si>
  <si>
    <t>0,42177,42179,2084005301,2084053546</t>
  </si>
  <si>
    <t>オークション &gt; アクセサリー、時計 &gt; レディースアクセサリー &gt; ブローチ &gt; その他</t>
  </si>
  <si>
    <t>0,42177,42179,2084005301,2084053566</t>
  </si>
  <si>
    <t>オークション &gt; アクセサリー、時計 &gt; レディースアクセサリー &gt; ヘアアクセサリー &gt; ウイッグ</t>
  </si>
  <si>
    <t>0,42177,42179,2084005301,2084053545</t>
  </si>
  <si>
    <t>コーム</t>
  </si>
  <si>
    <t>オークション &gt; アクセサリー、時計 &gt; レディースアクセサリー &gt; ヘアアクセサリー &gt; コーム</t>
  </si>
  <si>
    <t>0,42177,42179,2084005301,2084053557</t>
  </si>
  <si>
    <t>オークション &gt; アクセサリー、時計 &gt; レディースアクセサリー &gt; ヘアアクセサリー &gt; ティアラ</t>
  </si>
  <si>
    <t>オークション &gt; アクセサリー、時計 &gt; レディースアクセサリー &gt; ヘアアクセサリー &gt; バレッタ</t>
  </si>
  <si>
    <t>0,42177,42179,2084005301,2084053551</t>
  </si>
  <si>
    <t>オークション &gt; アクセサリー、時計 &gt; レディースアクセサリー &gt; ヘアアクセサリー &gt; ヘアエクステンション</t>
  </si>
  <si>
    <t>0,42177,42179,2084005301,2084053544</t>
  </si>
  <si>
    <t>オークション &gt; アクセサリー、時計 &gt; レディースアクセサリー &gt; ヘアアクセサリー &gt; ヘアゴム、シュシュ</t>
  </si>
  <si>
    <t>0,42177,42179,2084005301,2084053555</t>
  </si>
  <si>
    <t>オークション &gt; アクセサリー、時計 &gt; レディースアクセサリー &gt; ヘアアクセサリー &gt; ヘアバンド、カチューシャ</t>
  </si>
  <si>
    <t>0,42177,42179,2084005301,2084053549</t>
  </si>
  <si>
    <t>オークション &gt; アクセサリー、時計 &gt; レディースアクセサリー &gt; ヘアアクセサリー &gt; ヘアピン</t>
  </si>
  <si>
    <t>オークション &gt; アクセサリー、時計 &gt; レディースアクセサリー &gt; ヘアアクセサリー &gt; かんざし</t>
  </si>
  <si>
    <t>0,42177,42179,2084005301,2084053552</t>
  </si>
  <si>
    <t>オークション &gt; アクセサリー、時計 &gt; レディースアクセサリー &gt; ヘアアクセサリー &gt; その他</t>
  </si>
  <si>
    <t>0,42177,42179,2084005301,2084053567</t>
  </si>
  <si>
    <t>オレンジ</t>
  </si>
  <si>
    <t>オークション &gt; アクセサリー、時計 &gt; レディースアクセサリー &gt; コサージュ &gt; オレンジ</t>
  </si>
  <si>
    <t>0,42177,42179,2084005301,2084053558</t>
  </si>
  <si>
    <t>ピンク</t>
  </si>
  <si>
    <t>オークション &gt; アクセサリー、時計 &gt; レディースアクセサリー &gt; コサージュ &gt; ピンク</t>
  </si>
  <si>
    <t>0,42177,42179,2084005301,2084053556</t>
  </si>
  <si>
    <t>黄</t>
  </si>
  <si>
    <t>オークション &gt; アクセサリー、時計 &gt; レディースアクセサリー &gt; コサージュ &gt; 黄</t>
  </si>
  <si>
    <t>0,42177,42179,2084005301,2084053553</t>
  </si>
  <si>
    <t>黒</t>
  </si>
  <si>
    <t>オークション &gt; アクセサリー、時計 &gt; レディースアクセサリー &gt; コサージュ &gt; 黒</t>
  </si>
  <si>
    <t>紫</t>
  </si>
  <si>
    <t>オークション &gt; アクセサリー、時計 &gt; レディースアクセサリー &gt; コサージュ &gt; 紫</t>
  </si>
  <si>
    <t>0,42177,42179,2084005301,2084053548</t>
  </si>
  <si>
    <t>青</t>
  </si>
  <si>
    <t>オークション &gt; アクセサリー、時計 &gt; レディースアクセサリー &gt; コサージュ &gt; 青</t>
  </si>
  <si>
    <t>赤</t>
  </si>
  <si>
    <t>0,42177,42179,2084005301,2084053560</t>
  </si>
  <si>
    <t>オークション &gt; アクセサリー、時計 &gt; レディースアクセサリー &gt; コサージュ &gt; 赤</t>
  </si>
  <si>
    <t>オークション &gt; アクセサリー、時計 &gt; レディースアクセサリー &gt; コサージュ &gt; 茶</t>
  </si>
  <si>
    <t>0,42177,42179,2084005301,2084053550</t>
  </si>
  <si>
    <t>白</t>
  </si>
  <si>
    <t>オークション &gt; アクセサリー、時計 &gt; レディースアクセサリー &gt; コサージュ &gt; 白</t>
  </si>
  <si>
    <t>緑</t>
  </si>
  <si>
    <t>オークション &gt; アクセサリー、時計 &gt; レディースアクセサリー &gt; コサージュ &gt; 緑</t>
  </si>
  <si>
    <t>0,42177,42179,2084005301,2084053561</t>
  </si>
  <si>
    <t>オークション &gt; アクセサリー、時計 &gt; レディースアクセサリー &gt; コサージュ &gt; その他</t>
  </si>
  <si>
    <t>0,42177,42179,2084005301,2084053568</t>
  </si>
  <si>
    <t>オークション &gt; アクセサリー、時計 &gt; レディースアクセサリー &gt; ボディピアス &gt; ゴールド</t>
  </si>
  <si>
    <t>0,42177,42179,2084005301,2084053562</t>
  </si>
  <si>
    <t>オークション &gt; アクセサリー、時計 &gt; レディースアクセサリー &gt; ボディピアス &gt; シルバー</t>
  </si>
  <si>
    <t>ステンレス</t>
  </si>
  <si>
    <t>オークション &gt; アクセサリー、時計 &gt; レディースアクセサリー &gt; ボディピアス &gt; ステンレス</t>
  </si>
  <si>
    <t>0,42177,42179,2084005301,2084053547</t>
  </si>
  <si>
    <t>チタン</t>
  </si>
  <si>
    <t>オークション &gt; アクセサリー、時計 &gt; レディースアクセサリー &gt; ボディピアス &gt; チタン</t>
  </si>
  <si>
    <t>0,42177,42179,2084005301,2084053569</t>
  </si>
  <si>
    <t>樹脂</t>
  </si>
  <si>
    <t>オークション &gt; アクセサリー、時計 &gt; レディースアクセサリー &gt; ボディピアス &gt; 樹脂</t>
  </si>
  <si>
    <t>0,42177,42179,2084005301,2084053559</t>
  </si>
  <si>
    <t>オークション &gt; アクセサリー、時計 &gt; レディースアクセサリー &gt; ボディピアス &gt; その他</t>
  </si>
  <si>
    <t>0,42177,42179,2084005301,2084053570</t>
  </si>
  <si>
    <t>0,42177,42179,2084005301,2084053563</t>
  </si>
  <si>
    <t>0,42177,42179,2084005301,2084053554</t>
  </si>
  <si>
    <t>0,42177,42179,2084005301,2084053564</t>
  </si>
  <si>
    <t>0,42177,42179,2084005303,2084053572</t>
  </si>
  <si>
    <t>0,42177,42179,2084005303,2084053574</t>
  </si>
  <si>
    <t>0,42177,42179,2084005303,2084053573</t>
  </si>
  <si>
    <t>0,42177,42179,2084005303,2084053571</t>
  </si>
  <si>
    <t>0,42177,42179,2084005303,2084053575</t>
  </si>
  <si>
    <t>オークション &gt; 家電、AV、カメラ &gt; 携帯電話、スマートフォン &gt; アクセサリー &gt; ストラップ &gt; 一般</t>
  </si>
  <si>
    <t>0,42177,42179,2084059595,2084059596</t>
  </si>
  <si>
    <t>ネックストラップ</t>
  </si>
  <si>
    <t>オークション &gt; 家電、AV、カメラ &gt; 携帯電話、スマートフォン &gt; アクセサリー &gt; ストラップ &gt; ネックストラップ</t>
  </si>
  <si>
    <t>0,42177,42179,2084059595,2084059597</t>
  </si>
  <si>
    <t>オークション &gt; 家電、AV、カメラ &gt; 携帯電話、スマートフォン &gt; アクセサリー &gt; ストラップ &gt; キャラクター</t>
  </si>
  <si>
    <t>0,42177,42179,2084059595,2084059598</t>
  </si>
  <si>
    <t>オークション &gt; 家電、AV、カメラ &gt; 携帯電話、スマートフォン &gt; アクセサリー &gt; ストラップ &gt; コミック、アニメ</t>
  </si>
  <si>
    <t>オークション &gt; 家電、AV、カメラ &gt; 携帯電話、スマートフォン &gt; アクセサリー &gt; ストラップ &gt; タレント、ミュージシャン</t>
  </si>
  <si>
    <t>0,42177,42179,2084059595,2084059599</t>
  </si>
  <si>
    <t>オークション &gt; 家電、AV、カメラ &gt; 携帯電話、スマートフォン &gt; アクセサリー &gt; ストラップ &gt; ハンドメイド</t>
  </si>
  <si>
    <t>0,42177,42179,2084059595,2084059600</t>
  </si>
  <si>
    <t>オークション &gt; 家電、AV、カメラ &gt; 携帯電話、スマートフォン &gt; アクセサリー &gt; ストラップ &gt; ブランド</t>
  </si>
  <si>
    <t>0,42177,42179,2084059595,2084059601</t>
  </si>
  <si>
    <t>オークション &gt; アクセサリー、時計 &gt; レディースアクセサリー &gt; アクセサリーケース &gt; 収納ケース一般</t>
  </si>
  <si>
    <t>0,42177,42179,2084059595,2084059602</t>
  </si>
  <si>
    <t>ギフト、プレゼント用</t>
  </si>
  <si>
    <t>オークション &gt; アクセサリー、時計 &gt; レディースアクセサリー &gt; アクセサリーケース &gt; ギフト、プレゼント用</t>
  </si>
  <si>
    <t>ディスプレイ用</t>
  </si>
  <si>
    <t>オークション &gt; アクセサリー、時計 &gt; レディースアクセサリー &gt; アクセサリーケース &gt; ディスプレイ用</t>
  </si>
  <si>
    <t>0,42177,42179,2084059595,2084059603</t>
  </si>
  <si>
    <t>0,42177,42179,2084059595,2084059604</t>
  </si>
  <si>
    <t>オークション &gt; アクセサリー、時計 &gt; レディースアクセサリー &gt; アクセサリーケース &gt; 携帯用</t>
  </si>
  <si>
    <t>0,42177,42179,2084059595,2084059605</t>
  </si>
  <si>
    <t>オークション &gt; アクセサリー、時計 &gt; メンズアクセサリー &gt; ペンダント &gt; カラーストーン</t>
  </si>
  <si>
    <t>オークション &gt; アクセサリー、時計 &gt; メンズアクセサリー &gt; ペンダント &gt; ゴールド</t>
  </si>
  <si>
    <t>0,42177,42179,2084059595,2084059606</t>
  </si>
  <si>
    <t>オークション &gt; アクセサリー、時計 &gt; メンズアクセサリー &gt; ペンダント &gt; シルバー</t>
  </si>
  <si>
    <t>0,42177,42179,2084059595,2084059607</t>
  </si>
  <si>
    <t>オークション &gt; アクセサリー、時計 &gt; メンズアクセサリー &gt; ペンダント &gt; プラチナ</t>
  </si>
  <si>
    <t>0,42177,42179,2084059595,2084059608</t>
  </si>
  <si>
    <t>オークション &gt; アクセサリー、時計 &gt; メンズアクセサリー &gt; ペンダント &gt; 皮革</t>
  </si>
  <si>
    <t>オークション &gt; アクセサリー、時計 &gt; メンズアクセサリー &gt; ペンダント &gt; その他</t>
  </si>
  <si>
    <t>0,42177,42179,2084059595,2084059609</t>
  </si>
  <si>
    <t>オークション &gt; アクセサリー、時計 &gt; メンズアクセサリー &gt; ブレスレット、バングル &gt; バングル</t>
  </si>
  <si>
    <t>オークション &gt; アクセサリー、時計 &gt; メンズアクセサリー &gt; ブレスレット、バングル &gt; ブレスレット</t>
  </si>
  <si>
    <t>0,42177,42179,2084059595,2084059610</t>
  </si>
  <si>
    <t>オークション &gt; アクセサリー、時計 &gt; メンズアクセサリー &gt; ブレスレット、バングル &gt; 数珠</t>
  </si>
  <si>
    <t>0,42177,42179,2084059595,2084059611</t>
  </si>
  <si>
    <t>オークション &gt; アクセサリー、時計 &gt; メンズアクセサリー &gt; ブレスレット、バングル &gt; その他</t>
  </si>
  <si>
    <t>オークション &gt; アクセサリー、時計 &gt; メンズアクセサリー &gt; 指輪 &gt; ゴールド</t>
  </si>
  <si>
    <t>0,42177,42179,2084059595,2084059612</t>
  </si>
  <si>
    <t>オークション &gt; アクセサリー、時計 &gt; メンズアクセサリー &gt; 指輪 &gt; シルバー</t>
  </si>
  <si>
    <t>オークション &gt; アクセサリー、時計 &gt; メンズアクセサリー &gt; 指輪 &gt; プラチナ</t>
  </si>
  <si>
    <t>0,42177,42179,2084059595,2084059613</t>
  </si>
  <si>
    <t>オークション &gt; アクセサリー、時計 &gt; メンズアクセサリー &gt; 指輪 &gt; クロムハーツ</t>
  </si>
  <si>
    <t>オークション &gt; アクセサリー、時計 &gt; メンズアクセサリー &gt; 指輪 &gt; その他</t>
  </si>
  <si>
    <t>0,42177,42179,2084059595,2084059614</t>
  </si>
  <si>
    <t>ウォレットチェーン</t>
  </si>
  <si>
    <t>オークション &gt; アクセサリー、時計 &gt; メンズアクセサリー &gt; キーチェーン、ウォレットチェーン &gt; ウォレットチェーン</t>
  </si>
  <si>
    <t>キーチェーン</t>
  </si>
  <si>
    <t>0,42177,42179,2084059595,2084059615</t>
  </si>
  <si>
    <t>オークション &gt; アクセサリー、時計 &gt; メンズアクセサリー &gt; キーチェーン、ウォレットチェーン &gt; キーチェーン</t>
  </si>
  <si>
    <t>オークション &gt; アクセサリー、時計 &gt; メンズアクセサリー &gt; キーチェーン、ウォレットチェーン &gt; キーホルダー</t>
  </si>
  <si>
    <t>0,42177,42179,2084059595,2084059616</t>
  </si>
  <si>
    <t>0,42177,2084042539,2084024424,2084063429</t>
  </si>
  <si>
    <t>オークション &gt; アクセサリー、時計 &gt; メンズアクセサリー &gt; タイピン &gt; カラーストーン</t>
  </si>
  <si>
    <t>0,42177,2084042539,2084024424,2084063431</t>
  </si>
  <si>
    <t>オークション &gt; アクセサリー、時計 &gt; メンズアクセサリー &gt; タイピン &gt; ゴールド</t>
  </si>
  <si>
    <t>オークション &gt; アクセサリー、時計 &gt; メンズアクセサリー &gt; タイピン &gt; シルバー</t>
  </si>
  <si>
    <t>0,42177,2084042539,2084024424,2084063435</t>
  </si>
  <si>
    <t>オークション &gt; アクセサリー、時計 &gt; メンズアクセサリー &gt; タイピン &gt; ダイヤモンド</t>
  </si>
  <si>
    <t>0,42177,2084042539,2084024424,2084024423</t>
  </si>
  <si>
    <t>オークション &gt; アクセサリー、時計 &gt; メンズアクセサリー &gt; タイピン &gt; プラチナ</t>
  </si>
  <si>
    <t>0,42177,2084042539,2084024424,2084062802</t>
  </si>
  <si>
    <t>オークション &gt; アクセサリー、時計 &gt; メンズアクセサリー &gt; タイピン &gt; 真珠</t>
  </si>
  <si>
    <t>オークション &gt; アクセサリー、時計 &gt; メンズアクセサリー &gt; タイピン &gt; その他</t>
  </si>
  <si>
    <t>0,42177,2084042539,2084024424,2084063445</t>
  </si>
  <si>
    <t>オークション &gt; アクセサリー、時計 &gt; メンズアクセサリー &gt; カフス &gt; べっ甲</t>
  </si>
  <si>
    <t>0,42177,2084042539,2084024424,2084063439</t>
  </si>
  <si>
    <t>オークション &gt; アクセサリー、時計 &gt; メンズアクセサリー &gt; カフス &gt; カラーストーン</t>
  </si>
  <si>
    <t>オークション &gt; ビューティー、ヘルスケア &gt; ネイルケア &gt; ネイルアート用品 &gt; ストーン</t>
  </si>
  <si>
    <t>0,42177,2084005298,2084049741,2084063367</t>
  </si>
  <si>
    <t>オークション &gt; アクセサリー、時計 &gt; メンズアクセサリー &gt; カフス &gt; ゴールド</t>
  </si>
  <si>
    <t>ネイルシール</t>
  </si>
  <si>
    <t>オークション &gt; ビューティー、ヘルスケア &gt; ネイルケア &gt; ネイルアート用品 &gt; ネイルシール</t>
  </si>
  <si>
    <t>0,42177,2084005298,2084049741,2084063369</t>
  </si>
  <si>
    <t>オークション &gt; アクセサリー、時計 &gt; メンズアクセサリー &gt; カフス &gt; シルバー</t>
  </si>
  <si>
    <t>パウダー</t>
  </si>
  <si>
    <t>オークション &gt; アクセサリー、時計 &gt; メンズアクセサリー &gt; カフス &gt; ダイヤモンド</t>
  </si>
  <si>
    <t>オークション &gt; ビューティー、ヘルスケア &gt; ネイルケア &gt; ネイルアート用品 &gt; パウダー</t>
  </si>
  <si>
    <t>0,42177,2084005298,2084049741,2084063368</t>
  </si>
  <si>
    <t>筆、ブラシ</t>
  </si>
  <si>
    <t>オークション &gt; アクセサリー、時計 &gt; メンズアクセサリー &gt; カフス &gt; プラチナ</t>
  </si>
  <si>
    <t>オークション &gt; ビューティー、ヘルスケア &gt; ネイルケア &gt; ネイルアート用品 &gt; 筆、ブラシ</t>
  </si>
  <si>
    <t>0,42177,2084005298,2084049741,2084063370</t>
  </si>
  <si>
    <t>オークション &gt; ビューティー、ヘルスケア &gt; ネイルケア &gt; ネイルアート用品 &gt; その他</t>
  </si>
  <si>
    <t>0,42177,2084005298,2084049741,2084063371</t>
  </si>
  <si>
    <t>オークション &gt; アクセサリー、時計 &gt; メンズアクセサリー &gt; カフス &gt; その他</t>
  </si>
  <si>
    <t>オークション &gt; アクセサリー、時計 &gt; メンズアクセサリー &gt; ピアス &gt; カラーストーン</t>
  </si>
  <si>
    <t>オークション &gt; アクセサリー、時計 &gt; メンズアクセサリー &gt; ピアス &gt; ゴールド</t>
  </si>
  <si>
    <t>オークション &gt; アクセサリー、時計 &gt; メンズアクセサリー &gt; ピアス &gt; シルバー</t>
  </si>
  <si>
    <t>オークション &gt; アクセサリー、時計 &gt; メンズアクセサリー &gt; ピアス &gt; ダイヤモンド</t>
  </si>
  <si>
    <t>オークション &gt; アクセサリー、時計 &gt; メンズアクセサリー &gt; ピアス &gt; プラチナ</t>
  </si>
  <si>
    <t>オークション &gt; アクセサリー、時計 &gt; メンズアクセサリー &gt; ピアス &gt; 人工宝石、ラインストーン</t>
  </si>
  <si>
    <t>オークション &gt; アクセサリー、時計 &gt; メンズアクセサリー &gt; ピアス &gt; その他</t>
  </si>
  <si>
    <t>オークション &gt; アクセサリー、時計 &gt; メンズアクセサリー &gt; ボディピアス &gt; ゴールド</t>
  </si>
  <si>
    <t>オークション &gt; アクセサリー、時計 &gt; メンズアクセサリー &gt; ボディピアス &gt; シルバー</t>
  </si>
  <si>
    <t>オークション &gt; アクセサリー、時計 &gt; メンズアクセサリー &gt; ボディピアス &gt; ステンレス</t>
  </si>
  <si>
    <t>オークション &gt; アクセサリー、時計 &gt; メンズアクセサリー &gt; ボディピアス &gt; チタン</t>
  </si>
  <si>
    <t>オークション &gt; アクセサリー、時計 &gt; メンズアクセサリー &gt; ボディピアス &gt; 樹脂</t>
  </si>
  <si>
    <t>オークション &gt; アクセサリー、時計 &gt; メンズアクセサリー &gt; ボディピアス &gt; その他</t>
  </si>
  <si>
    <t>オークション &gt; アクセサリー、時計 &gt; メンズアクセサリー &gt; チョーカー &gt; カラーストーン</t>
  </si>
  <si>
    <t>オークション &gt; アクセサリー、時計 &gt; メンズアクセサリー &gt; チョーカー &gt; ゴールド</t>
  </si>
  <si>
    <t>オークション &gt; アクセサリー、時計 &gt; メンズアクセサリー &gt; チョーカー &gt; シルバー</t>
  </si>
  <si>
    <t>オークション &gt; アクセサリー、時計 &gt; メンズアクセサリー &gt; チョーカー &gt; プラチナ</t>
  </si>
  <si>
    <t>オークション &gt; アクセサリー、時計 &gt; メンズアクセサリー &gt; チョーカー &gt; 皮革</t>
  </si>
  <si>
    <t>オークション &gt; アクセサリー、時計 &gt; メンズアクセサリー &gt; チョーカー &gt; その他</t>
  </si>
  <si>
    <t>Zippo</t>
  </si>
  <si>
    <t>オークション &gt; アンティーク、コレクション &gt; 雑貨 &gt; 喫煙グッズ &gt; ライター &gt; Zippo</t>
  </si>
  <si>
    <t>オークション &gt; アンティーク、コレクション &gt; 雑貨 &gt; 喫煙グッズ &gt; ライター &gt; カルティエ</t>
  </si>
  <si>
    <t>オークション &gt; ビューティー、ヘルスケア &gt; ネイルケア &gt; ネイルチップ、付け爪 &gt; 一般</t>
  </si>
  <si>
    <t>0,42177,2084005298,2084007456,2084063372</t>
  </si>
  <si>
    <t>オークション &gt; アンティーク、コレクション &gt; 雑貨 &gt; 喫煙グッズ &gt; ライター &gt; ダンヒル</t>
  </si>
  <si>
    <t>オークション &gt; ビューティー、ヘルスケア &gt; ネイルケア &gt; ネイルチップ、付け爪 &gt; 3D</t>
  </si>
  <si>
    <t>0,42177,2084005298,2084007456,2084063380</t>
  </si>
  <si>
    <t>デュポン</t>
  </si>
  <si>
    <t>オークション &gt; アンティーク、コレクション &gt; 雑貨 &gt; 喫煙グッズ &gt; ライター &gt; デュポン</t>
  </si>
  <si>
    <t>フレンチ</t>
  </si>
  <si>
    <t>ロンソン</t>
  </si>
  <si>
    <t>オークション &gt; ビューティー、ヘルスケア &gt; ネイルケア &gt; ネイルチップ、付け爪 &gt; フレンチ</t>
  </si>
  <si>
    <t>オークション &gt; アンティーク、コレクション &gt; 雑貨 &gt; 喫煙グッズ &gt; ライター &gt; ロンソン</t>
  </si>
  <si>
    <t>0,42177,2084005298,2084007456,2084063379</t>
  </si>
  <si>
    <t>ウエラ</t>
  </si>
  <si>
    <t>オークション &gt; ビューティー、ヘルスケア &gt; ヘアケア &gt; シャンプー &gt; ウエラ</t>
  </si>
  <si>
    <t>0,42177,2084005297,2084007432,2084063387</t>
  </si>
  <si>
    <t>オークション &gt; アンティーク、コレクション &gt; 雑貨 &gt; 喫煙グッズ &gt; ライター &gt; 一般</t>
  </si>
  <si>
    <t>オークション &gt; ビューティー、ヘルスケア &gt; ヘアケア &gt; シャンプー &gt; カネボウ</t>
  </si>
  <si>
    <t>0,42177,2084005297,2084007432,2084216502</t>
  </si>
  <si>
    <t>シュワルツコフ</t>
  </si>
  <si>
    <t>オークション &gt; ビューティー、ヘルスケア &gt; ヘアケア &gt; シャンプー &gt; シュワルツコフ</t>
  </si>
  <si>
    <t>0,42177,2084005297,2084007432,2084063390</t>
  </si>
  <si>
    <t>ニューウエイズ</t>
  </si>
  <si>
    <t>オークション &gt; ビューティー、ヘルスケア &gt; ヘアケア &gt; シャンプー &gt; ニューウエイズ</t>
  </si>
  <si>
    <t>0,42177,2084005297,2084007432,2084216500</t>
  </si>
  <si>
    <t>オークション &gt; ビューティー、ヘルスケア &gt; ヘアケア &gt; シャンプー &gt; ニュースキン</t>
  </si>
  <si>
    <t>0,42177,2084005297,2084007432,2084216501</t>
  </si>
  <si>
    <t>ミルボン</t>
  </si>
  <si>
    <t>オークション &gt; ビューティー、ヘルスケア &gt; ヘアケア &gt; シャンプー &gt; ミルボン</t>
  </si>
  <si>
    <t>0,42177,2084005297,2084007432,2084063386</t>
  </si>
  <si>
    <t>モルトベーネ</t>
  </si>
  <si>
    <t>オークション &gt; ビューティー、ヘルスケア &gt; ヘアケア &gt; シャンプー &gt; モルトベーネ</t>
  </si>
  <si>
    <t>0,42177,2084005297,2084007432,2084063388</t>
  </si>
  <si>
    <t>ルベルコスメティックス</t>
  </si>
  <si>
    <t>オークション &gt; ビューティー、ヘルスケア &gt; ヘアケア &gt; シャンプー &gt; ルベルコスメティックス</t>
  </si>
  <si>
    <t>0,42177,2084005297,2084007432,2084063389</t>
  </si>
  <si>
    <t>ロレアル</t>
  </si>
  <si>
    <t>オークション &gt; ビューティー、ヘルスケア &gt; ヘアケア &gt; シャンプー &gt; ロレアル</t>
  </si>
  <si>
    <t>0,42177,2084005297,2084007432,2084063392</t>
  </si>
  <si>
    <t>オークション &gt; ビューティー、ヘルスケア &gt; ヘアケア &gt; シャンプー &gt; 資生堂</t>
  </si>
  <si>
    <t>0,42177,2084005297,2084007432,2084063391</t>
  </si>
  <si>
    <t>オークション &gt; ビューティー、ヘルスケア &gt; ヘアケア &gt; シャンプー &gt; その他</t>
  </si>
  <si>
    <t>0,42177,2084005297,2084007432,2084063393</t>
  </si>
  <si>
    <t>オークション &gt; ビューティー、ヘルスケア &gt; ヘアケア &gt; トリートメント、エッセンス &gt; ウエラ</t>
  </si>
  <si>
    <t>0,42177,2084005297,2084007434,2084063395</t>
  </si>
  <si>
    <t>オークション &gt; ビューティー、ヘルスケア &gt; ヘアケア &gt; トリートメント、エッセンス &gt; シュワルツコフ</t>
  </si>
  <si>
    <t>0,42177,2084005297,2084007434,2084063398</t>
  </si>
  <si>
    <t>オークション &gt; ビューティー、ヘルスケア &gt; ヘアケア &gt; トリートメント、エッセンス &gt; ミルボン</t>
  </si>
  <si>
    <t>0,42177,2084005297,2084007434,2084063394</t>
  </si>
  <si>
    <t>オークション &gt; ビューティー、ヘルスケア &gt; ヘアケア &gt; トリートメント、エッセンス &gt; モルトベーネ</t>
  </si>
  <si>
    <t>0,42177,2084005297,2084007434,2084063396</t>
  </si>
  <si>
    <t>ラ サーナ</t>
  </si>
  <si>
    <t>オークション &gt; ビューティー、ヘルスケア &gt; ヘアケア &gt; トリートメント、エッセンス &gt; ラ サーナ</t>
  </si>
  <si>
    <t>0,42177,2084005297,2084007434,2084216503</t>
  </si>
  <si>
    <t>オークション &gt; ビューティー、ヘルスケア &gt; ヘアケア &gt; トリートメント、エッセンス &gt; ルベルコスメティックス</t>
  </si>
  <si>
    <t>0,42177,2084005297,2084007434,2084063397</t>
  </si>
  <si>
    <t>オークション &gt; ビューティー、ヘルスケア &gt; ヘアケア &gt; トリートメント、エッセンス &gt; ロレアル</t>
  </si>
  <si>
    <t>0,42177,2084005297,2084007434,2084063400</t>
  </si>
  <si>
    <t>オークション &gt; ビューティー、ヘルスケア &gt; ヘアケア &gt; トリートメント、エッセンス &gt; 資生堂</t>
  </si>
  <si>
    <t>0,42177,2084005297,2084007434,2084063399</t>
  </si>
  <si>
    <t>オークション &gt; ビューティー、ヘルスケア &gt; ヘアケア &gt; トリートメント、エッセンス &gt; その他</t>
  </si>
  <si>
    <t>0,42177,2084005297,2084007434,2084063401</t>
  </si>
  <si>
    <t>カラースプレー、フォーム</t>
  </si>
  <si>
    <t>オークション &gt; ビューティー、ヘルスケア &gt; ヘアケア &gt; カラーリング剤 &gt; カラースプレー、フォーム</t>
  </si>
  <si>
    <t>0,42177,2084005297,2084007436,2084063405</t>
  </si>
  <si>
    <t>ブリーチ</t>
  </si>
  <si>
    <t>オークション &gt; ビューティー、ヘルスケア &gt; ヘアケア &gt; カラーリング剤 &gt; ブリーチ</t>
  </si>
  <si>
    <t>0,42177,2084005297,2084007436,2084063402</t>
  </si>
  <si>
    <t>ヘアカラー</t>
  </si>
  <si>
    <t>オークション &gt; ビューティー、ヘルスケア &gt; ヘアケア &gt; カラーリング剤 &gt; ヘアカラー</t>
  </si>
  <si>
    <t>0,42177,2084005297,2084007436,2084063404</t>
  </si>
  <si>
    <t>ヘアマニキュア</t>
  </si>
  <si>
    <t>オークション &gt; ビューティー、ヘルスケア &gt; ヘアケア &gt; カラーリング剤 &gt; ヘアマニキュア</t>
  </si>
  <si>
    <t>0,42177,2084005297,2084007436,2084063403</t>
  </si>
  <si>
    <t>白髪染め</t>
  </si>
  <si>
    <t>オークション &gt; ビューティー、ヘルスケア &gt; ヘアケア &gt; カラーリング剤 &gt; 白髪染め</t>
  </si>
  <si>
    <t>0,42177,2084005297,2084007436,2084063406</t>
  </si>
  <si>
    <t>オークション &gt; ビューティー、ヘルスケア &gt; ヘアケア &gt; カラーリング剤 &gt; その他</t>
  </si>
  <si>
    <t>0,42177,2084005297,2084007436,2084063407</t>
  </si>
  <si>
    <t>ウォーター</t>
  </si>
  <si>
    <t>オークション &gt; ビューティー、ヘルスケア &gt; ヘアケア &gt; スタイリング剤 &gt; ウォーター</t>
  </si>
  <si>
    <t>0,42177,2084005297,2084007435,2084063412</t>
  </si>
  <si>
    <t>ジェル</t>
  </si>
  <si>
    <t>オークション &gt; ビューティー、ヘルスケア &gt; ヘアケア &gt; スタイリング剤 &gt; ジェル</t>
  </si>
  <si>
    <t>0,42177,2084005297,2084007435,2084063409</t>
  </si>
  <si>
    <t>スプレー、ミスト</t>
  </si>
  <si>
    <t>オークション &gt; ビューティー、ヘルスケア &gt; ヘアケア &gt; スタイリング剤 &gt; スプレー、ミスト</t>
  </si>
  <si>
    <t>0,42177,2084005297,2084007435,2084063410</t>
  </si>
  <si>
    <t>ムース</t>
  </si>
  <si>
    <t>オークション &gt; ビューティー、ヘルスケア &gt; ヘアケア &gt; スタイリング剤 &gt; ムース</t>
  </si>
  <si>
    <t>0,42177,2084005297,2084007435,2084063411</t>
  </si>
  <si>
    <t>オークション &gt; ビューティー、ヘルスケア &gt; ヘアケア &gt; スタイリング剤 &gt; ワックス</t>
  </si>
  <si>
    <t>0,42177,2084005297,2084007435,2084063408</t>
  </si>
  <si>
    <t>オークション &gt; ビューティー、ヘルスケア &gt; ヘアケア &gt; スタイリング剤 &gt; その他</t>
  </si>
  <si>
    <t>0,42177,2084005297,2084007435,2084063413</t>
  </si>
  <si>
    <t>0,23632,2084042673,2084044960,2084044969</t>
  </si>
  <si>
    <t>0,23632,2084042673,2084044960,2084044968</t>
  </si>
  <si>
    <t>0,23632,2084042673,2084044960,2084044970</t>
  </si>
  <si>
    <t>育毛剤</t>
  </si>
  <si>
    <t>オークション &gt; ビューティー、ヘルスケア &gt; ヘアケア &gt; 育毛、増毛剤 &gt; 育毛剤</t>
  </si>
  <si>
    <t>0,42177,2084005297,2084048852,2084302175</t>
  </si>
  <si>
    <t>ヘアトニック</t>
  </si>
  <si>
    <t>オークション &gt; ビューティー、ヘルスケア &gt; ヘアケア &gt; 育毛、増毛剤 &gt; ヘアトニック</t>
  </si>
  <si>
    <t>0,42177,2084005297,2084048852,2084302176</t>
  </si>
  <si>
    <t>薄毛対策グッズ</t>
  </si>
  <si>
    <t>オークション &gt; ビューティー、ヘルスケア &gt; ヘアケア &gt; 育毛、増毛剤 &gt; 薄毛対策グッズ</t>
  </si>
  <si>
    <t>0,42177,2084005297,2084048852,2084302177</t>
  </si>
  <si>
    <t>アニマル</t>
  </si>
  <si>
    <t>ロング</t>
  </si>
  <si>
    <t>オークション &gt; アクセサリー、時計 &gt; レディースアクセサリー &gt; ヘアアクセサリー &gt; ウイッグ &gt; ロング</t>
  </si>
  <si>
    <t>0,23140,2084005359,2084005370,2084007438,2084062528</t>
  </si>
  <si>
    <t>オークション &gt; アクセサリー、時計 &gt; 子ども用アクセサリー &gt; ヘアゴム、シュシュ &gt; アニマル</t>
  </si>
  <si>
    <t>ミディアム</t>
  </si>
  <si>
    <t>オークション &gt; アクセサリー、時計 &gt; レディースアクセサリー &gt; ヘアアクセサリー &gt; ウイッグ &gt; ミディアム</t>
  </si>
  <si>
    <t>0,23140,2084005359,2084005370,2084007438,2084062529</t>
  </si>
  <si>
    <t>オークション &gt; アクセサリー、時計 &gt; 子ども用アクセサリー &gt; ヘアゴム、シュシュ &gt; キャラクター</t>
  </si>
  <si>
    <t>ボブ</t>
  </si>
  <si>
    <t>オークション &gt; アクセサリー、時計 &gt; レディースアクセサリー &gt; ヘアアクセサリー &gt; ウイッグ &gt; ボブ</t>
  </si>
  <si>
    <t>フラワー</t>
  </si>
  <si>
    <t>0,23140,2084005359,2084005370,2084007438,2084062530</t>
  </si>
  <si>
    <t>オークション &gt; アクセサリー、時計 &gt; 子ども用アクセサリー &gt; ヘアゴム、シュシュ &gt; フラワー</t>
  </si>
  <si>
    <t>ショート</t>
  </si>
  <si>
    <t>フルーツ</t>
  </si>
  <si>
    <t>オークション &gt; アクセサリー、時計 &gt; レディースアクセサリー &gt; ヘアアクセサリー &gt; ウイッグ &gt; ショート</t>
  </si>
  <si>
    <t>オークション &gt; アクセサリー、時計 &gt; 子ども用アクセサリー &gt; ヘアゴム、シュシュ &gt; フルーツ</t>
  </si>
  <si>
    <t>0,23140,2084005359,2084005370,2084007438,2084062531</t>
  </si>
  <si>
    <t>オークション &gt; アクセサリー、時計 &gt; 子ども用アクセサリー &gt; ヘアゴム、シュシュ &gt; リボン</t>
  </si>
  <si>
    <t>オークション &gt; アクセサリー、時計 &gt; レディースアクセサリー &gt; ヘアアクセサリー &gt; ウイッグ &gt; 男性用</t>
  </si>
  <si>
    <t>0,23140,2084005359,2084005370,2084007438,2084062533</t>
  </si>
  <si>
    <t>オークション &gt; アクセサリー、時計 &gt; 子ども用アクセサリー &gt; ヘアゴム、シュシュ &gt; その他</t>
  </si>
  <si>
    <t>オークション &gt; アクセサリー、時計 &gt; レディースアクセサリー &gt; ヘアアクセサリー &gt; ウイッグ &gt; その他</t>
  </si>
  <si>
    <t>0,23140,2084005359,2084005370,2084007438,2084062532</t>
  </si>
  <si>
    <t>FHB</t>
  </si>
  <si>
    <t>オークション &gt; アクセサリー、時計 &gt; ブランド腕時計 &gt; あ行 &gt; FHB</t>
  </si>
  <si>
    <t>オークション &gt; 住まい、インテリア &gt; 家庭用品 &gt; バス &gt; せっけん、ソープ &gt; セット</t>
  </si>
  <si>
    <t>0,24198,42160,2084024451,2084024453,2084062788</t>
  </si>
  <si>
    <t>IWC</t>
  </si>
  <si>
    <t>液体</t>
  </si>
  <si>
    <t>オークション &gt; アクセサリー、時計 &gt; ブランド腕時計 &gt; あ行 &gt; IWC</t>
  </si>
  <si>
    <t>オークション &gt; 住まい、インテリア &gt; 家庭用品 &gt; バス &gt; せっけん、ソープ &gt; 液体</t>
  </si>
  <si>
    <t>0,24198,42160,2084024451,2084024453,2084062789</t>
  </si>
  <si>
    <t>アクアノウティック</t>
  </si>
  <si>
    <t>オークション &gt; アクセサリー、時計 &gt; ブランド腕時計 &gt; あ行 &gt; アクアノウティック</t>
  </si>
  <si>
    <t>固形</t>
  </si>
  <si>
    <t>オークション &gt; 住まい、インテリア &gt; 家庭用品 &gt; バス &gt; せっけん、ソープ &gt; 固形</t>
  </si>
  <si>
    <t>0,24198,42160,2084024451,2084024453,2084062793</t>
  </si>
  <si>
    <t>オークション &gt; アクセサリー、時計 &gt; ブランド腕時計 &gt; あ行 &gt; アディダス</t>
  </si>
  <si>
    <t>オークション &gt; 住まい、インテリア &gt; 家庭用品 &gt; バス &gt; せっけん、ソープ &gt; 洗顔料</t>
  </si>
  <si>
    <t>0,24198,42160,2084024451,2084024453,2084005328</t>
  </si>
  <si>
    <t>オークション &gt; アクセサリー、時計 &gt; ブランド腕時計 &gt; あ行 &gt; アニエスベー</t>
  </si>
  <si>
    <t>オークション &gt; 住まい、インテリア &gt; 家庭用品 &gt; バス &gt; せっけん、ソープ &gt; その他</t>
  </si>
  <si>
    <t>0,24198,42160,2084024451,2084024453,2084062794</t>
  </si>
  <si>
    <t>アラン・シルベスタイン</t>
  </si>
  <si>
    <t>オークション &gt; ビューティー、ヘルスケア &gt; ボディケア &gt; オイル、クリーム &gt; オイル</t>
  </si>
  <si>
    <t>0,42177,2084007425,2084005332,2084063414</t>
  </si>
  <si>
    <t>オークション &gt; アクセサリー、時計 &gt; ブランド腕時計 &gt; あ行 &gt; アラン・シルベスタイン</t>
  </si>
  <si>
    <t>アルピナ</t>
  </si>
  <si>
    <t>オークション &gt; ビューティー、ヘルスケア &gt; ボディケア &gt; オイル、クリーム &gt; クリーム</t>
  </si>
  <si>
    <t>0,42177,2084007425,2084005332,2084063415</t>
  </si>
  <si>
    <t>オークション &gt; アクセサリー、時計 &gt; ブランド腕時計 &gt; あ行 &gt; アルピナ</t>
  </si>
  <si>
    <t>ハンドクリーム</t>
  </si>
  <si>
    <t>オークション &gt; ビューティー、ヘルスケア &gt; ボディケア &gt; オイル、クリーム &gt; ハンドクリーム</t>
  </si>
  <si>
    <t>0,42177,2084007425,2084005332,2084007430</t>
  </si>
  <si>
    <t>オークション &gt; アクセサリー、時計 &gt; ブランド腕時計 &gt; あ行 &gt; アルマーニ</t>
  </si>
  <si>
    <t>脚用クリーム</t>
  </si>
  <si>
    <t>オークション &gt; ビューティー、ヘルスケア &gt; ボディケア &gt; オイル、クリーム &gt; 脚用クリーム</t>
  </si>
  <si>
    <t>0,42177,2084007425,2084005332,2084063417</t>
  </si>
  <si>
    <t>アンクラーク</t>
  </si>
  <si>
    <t>オークション &gt; アクセサリー、時計 &gt; ブランド腕時計 &gt; あ行 &gt; アンクラーク</t>
  </si>
  <si>
    <t>ウェンガー</t>
  </si>
  <si>
    <t>オークション &gt; アクセサリー、時計 &gt; ブランド腕時計 &gt; あ行 &gt; ウェンガー</t>
  </si>
  <si>
    <t>ウォルサム</t>
  </si>
  <si>
    <t>オークション &gt; アクセサリー、時計 &gt; ブランド腕時計 &gt; あ行 &gt; ウォルサム</t>
  </si>
  <si>
    <t>ウブロ</t>
  </si>
  <si>
    <t>オークション &gt; アクセサリー、時計 &gt; ブランド腕時計 &gt; あ行 &gt; ウブロ</t>
  </si>
  <si>
    <t>エテルナ</t>
  </si>
  <si>
    <t>オークション &gt; アクセサリー、時計 &gt; ブランド腕時計 &gt; あ行 &gt; エテルナ</t>
  </si>
  <si>
    <t>エドックス</t>
  </si>
  <si>
    <t>オークション &gt; アクセサリー、時計 &gt; ブランド腕時計 &gt; あ行 &gt; エドックス</t>
  </si>
  <si>
    <t>オークション &gt; ファッション &gt; レディースファッション &gt; インナーウエア &gt; 補正下着 &gt; ブラジャー</t>
  </si>
  <si>
    <t>0,23000,23288,2084053081,2084053143,2084053144</t>
  </si>
  <si>
    <t>エニカ</t>
  </si>
  <si>
    <t>オークション &gt; アクセサリー、時計 &gt; ブランド腕時計 &gt; あ行 &gt; エニカ</t>
  </si>
  <si>
    <t>ガードル</t>
  </si>
  <si>
    <t>オークション &gt; ファッション &gt; レディースファッション &gt; インナーウエア &gt; 補正下着 &gt; ガードル</t>
  </si>
  <si>
    <t>0,23000,23288,2084053081,2084053143,2084053150</t>
  </si>
  <si>
    <t>エベラール</t>
  </si>
  <si>
    <t>オークション &gt; アクセサリー、時計 &gt; ブランド腕時計 &gt; あ行 &gt; エベラール</t>
  </si>
  <si>
    <t>スリーインワン</t>
  </si>
  <si>
    <t>オークション &gt; ファッション &gt; レディースファッション &gt; インナーウエア &gt; 補正下着 &gt; スリーインワン</t>
  </si>
  <si>
    <t>0,23000,23288,2084053081,2084053143,2084243341</t>
  </si>
  <si>
    <t>エベル</t>
  </si>
  <si>
    <t>オークション &gt; アクセサリー、時計 &gt; ブランド腕時計 &gt; あ行 &gt; エベル</t>
  </si>
  <si>
    <t>オークション &gt; ファッション &gt; レディースファッション &gt; インナーウエア &gt; 補正下着 &gt; ボディスーツ</t>
  </si>
  <si>
    <t>エポス</t>
  </si>
  <si>
    <t>0,23000,23288,2084053081,2084053143,2084053167</t>
  </si>
  <si>
    <t>オークション &gt; アクセサリー、時計 &gt; ブランド腕時計 &gt; あ行 &gt; エポス</t>
  </si>
  <si>
    <t>ウエストニッパー</t>
  </si>
  <si>
    <t>エルジン</t>
  </si>
  <si>
    <t>オークション &gt; ファッション &gt; レディースファッション &gt; インナーウエア &gt; 補正下着 &gt; ウエストニッパー</t>
  </si>
  <si>
    <t>オークション &gt; アクセサリー、時計 &gt; ブランド腕時計 &gt; あ行 &gt; エルジン</t>
  </si>
  <si>
    <t>0,23000,23288,2084053081,2084053143,2084243342</t>
  </si>
  <si>
    <t>オークション &gt; アクセサリー、時計 &gt; ブランド腕時計 &gt; あ行 &gt; エルメス</t>
  </si>
  <si>
    <t>産後用ウエストニッパー</t>
  </si>
  <si>
    <t>オークション &gt; ファッション &gt; レディースファッション &gt; インナーウエア &gt; 補正下着 &gt; 産後用ウエストニッパー</t>
  </si>
  <si>
    <t>0,23000,23288,2084053081,2084053143,2084006323</t>
  </si>
  <si>
    <t>オーデマ・ピゲ</t>
  </si>
  <si>
    <t>オークション &gt; アクセサリー、時計 &gt; ブランド腕時計 &gt; あ行 &gt; オーデマ・ピゲ</t>
  </si>
  <si>
    <t>オークション &gt; ファッション &gt; レディースファッション &gt; インナーウエア &gt; 補正下着 &gt; その他</t>
  </si>
  <si>
    <t>0,23000,23288,2084053081,2084053143,2084053156</t>
  </si>
  <si>
    <t>オフィチーネ パネライ</t>
  </si>
  <si>
    <t>0,42177,2084007425,2084005299,2084063417</t>
  </si>
  <si>
    <t>オークション &gt; アクセサリー、時計 &gt; ブランド腕時計 &gt; あ行 &gt; オフィチーネ パネライ</t>
  </si>
  <si>
    <t>0,42177,2084007425,2084005299,2084063421</t>
  </si>
  <si>
    <t>オークション &gt; アクセサリー、時計 &gt; ブランド腕時計 &gt; あ行 &gt; オメガ</t>
  </si>
  <si>
    <t>オリエント</t>
  </si>
  <si>
    <t>オークション &gt; アクセサリー、時計 &gt; ブランド腕時計 &gt; あ行 &gt; オリエント</t>
  </si>
  <si>
    <t>0,42177,2084007425,2084005299,2084047758</t>
  </si>
  <si>
    <t>オリス</t>
  </si>
  <si>
    <t>オークション &gt; アクセサリー、時計 &gt; ブランド腕時計 &gt; あ行 &gt; オリス</t>
  </si>
  <si>
    <t>ヴァルカン</t>
  </si>
  <si>
    <t>0,42177,2084007425,2084005299,2084063418</t>
  </si>
  <si>
    <t>オークション &gt; アクセサリー、時計 &gt; ブランド腕時計 &gt; あ行 &gt; ヴァルカン</t>
  </si>
  <si>
    <t>ヴァン クリーフ＆アーペル</t>
  </si>
  <si>
    <t>オークション &gt; アクセサリー、時計 &gt; ブランド腕時計 &gt; あ行 &gt; ヴァン クリーフ＆アーペル</t>
  </si>
  <si>
    <t>0,42177,2084007425,2084005299,2084063419</t>
  </si>
  <si>
    <t>オークション &gt; ビューティー、ヘルスケア &gt; オーラルケア &gt; 歯ブラシ &gt; 一般</t>
  </si>
  <si>
    <t>0,42177,2084055379,2084063361,2084063362</t>
  </si>
  <si>
    <t>オークション &gt; アクセサリー、時計 &gt; ブランド腕時計 &gt; あ行 &gt; ヴィヴィアン ウエストウッド</t>
  </si>
  <si>
    <t>電動</t>
  </si>
  <si>
    <t>オークション &gt; ビューティー、ヘルスケア &gt; オーラルケア &gt; 歯ブラシ &gt; 電動</t>
  </si>
  <si>
    <t>オークション &gt; アクセサリー、時計 &gt; ブランド腕時計 &gt; あ行 &gt; ヴェルサーチ</t>
  </si>
  <si>
    <t>0,42177,2084055379,2084063361,2084044972</t>
  </si>
  <si>
    <t>セルフレーム</t>
  </si>
  <si>
    <t>オークション &gt; ビューティー、ヘルスケア &gt; めがね、コンタクト &gt; めがね &gt; セルフレーム</t>
  </si>
  <si>
    <t>0,42177,2084012478,2084042532,2084063605</t>
  </si>
  <si>
    <t>オークション &gt; アクセサリー、時計 &gt; ブランド腕時計 &gt; あ行 &gt; その他</t>
  </si>
  <si>
    <t>オークション &gt; ビューティー、ヘルスケア &gt; めがね、コンタクト &gt; めがね &gt; 金属フレーム</t>
  </si>
  <si>
    <t>0,42177,2084012478,2084042532,2084063606</t>
  </si>
  <si>
    <t>オークション &gt; アクセサリー、時計 &gt; ブランド腕時計 &gt; か行 &gt; カシオ</t>
  </si>
  <si>
    <t>鼈甲</t>
  </si>
  <si>
    <t>オークション &gt; ビューティー、ヘルスケア &gt; めがね、コンタクト &gt; めがね &gt; 鼈甲</t>
  </si>
  <si>
    <t>オークション &gt; アクセサリー、時計 &gt; ブランド腕時計 &gt; か行 &gt; カルティエ</t>
  </si>
  <si>
    <t>0,42177,2084012478,2084042532,2084261387</t>
  </si>
  <si>
    <t>オークション &gt; アクセサリー、時計 &gt; ブランド腕時計 &gt; か行 &gt; カルバン・クライン</t>
  </si>
  <si>
    <t>オークション &gt; アクセサリー、時計 &gt; ブランド腕時計 &gt; か行 &gt; カレラ イ カレラ</t>
  </si>
  <si>
    <t>オークション &gt; ビューティー、ヘルスケア &gt; めがね、コンタクト &gt; めがね &gt; サングラス</t>
  </si>
  <si>
    <t>0,42177,2084012478,2084042532,42542</t>
  </si>
  <si>
    <t>ガガミラノ</t>
  </si>
  <si>
    <t>オークション &gt; アクセサリー、時計 &gt; ブランド腕時計 &gt; か行 &gt; ガガミラノ</t>
  </si>
  <si>
    <t>ギ・ラロッシュ</t>
  </si>
  <si>
    <t>オークション &gt; ビューティー、ヘルスケア &gt; めがね、コンタクト &gt; めがね &gt; スポーツサングラス</t>
  </si>
  <si>
    <t>オークション &gt; アクセサリー、時計 &gt; ブランド腕時計 &gt; か行 &gt; ギ・ラロッシュ</t>
  </si>
  <si>
    <t>0,42177,2084012478,2084042532,2084214045</t>
  </si>
  <si>
    <t>オークション &gt; アクセサリー、時計 &gt; ブランド腕時計 &gt; か行 &gt; クリスチャン・ディオール</t>
  </si>
  <si>
    <t>花粉症用</t>
  </si>
  <si>
    <t>オークション &gt; ビューティー、ヘルスケア &gt; めがね、コンタクト &gt; めがね &gt; 花粉症用</t>
  </si>
  <si>
    <t>オークション &gt; アクセサリー、時計 &gt; ブランド腕時計 &gt; か行 &gt; クレージュ</t>
  </si>
  <si>
    <t>0,42177,2084012478,2084042532,2084063603</t>
  </si>
  <si>
    <t>クロノスイス</t>
  </si>
  <si>
    <t>オークション &gt; アクセサリー、時計 &gt; ブランド腕時計 &gt; か行 &gt; クロノスイス</t>
  </si>
  <si>
    <t>オークション &gt; ビューティー、ヘルスケア &gt; めがね、コンタクト &gt; めがね &gt; その他</t>
  </si>
  <si>
    <t>オークション &gt; アクセサリー、時計 &gt; ブランド腕時計 &gt; か行 &gt; グッチ</t>
  </si>
  <si>
    <t>0,42177,2084012478,2084042532,2084063613</t>
  </si>
  <si>
    <t>ソフト</t>
  </si>
  <si>
    <t>オークション &gt; ビューティー、ヘルスケア &gt; めがね、コンタクト &gt; コンタクトレンズ &gt; ソフト</t>
  </si>
  <si>
    <t>0,42177,2084012478,2084226969,2084226971</t>
  </si>
  <si>
    <t>グラハム</t>
  </si>
  <si>
    <t>オークション &gt; アクセサリー、時計 &gt; ブランド腕時計 &gt; か行 &gt; グラハム</t>
  </si>
  <si>
    <t>ハード</t>
  </si>
  <si>
    <t>オークション &gt; ビューティー、ヘルスケア &gt; めがね、コンタクト &gt; コンタクトレンズ &gt; ハード</t>
  </si>
  <si>
    <t>0,42177,2084012478,2084226969,2084226970</t>
  </si>
  <si>
    <t>グリモルディ</t>
  </si>
  <si>
    <t>オークション &gt; アクセサリー、時計 &gt; ブランド腕時計 &gt; か行 &gt; グリモルディ</t>
  </si>
  <si>
    <t>ハード・ソフト両用</t>
  </si>
  <si>
    <t>オークション &gt; ビューティー、ヘルスケア &gt; めがね、コンタクト &gt; コンタクト用品 &gt; ハード・ソフト両用</t>
  </si>
  <si>
    <t>0,42177,2084012478,2084042535,2084302040</t>
  </si>
  <si>
    <t>ハード用</t>
  </si>
  <si>
    <t>オークション &gt; アクセサリー、時計 &gt; ブランド腕時計 &gt; か行 &gt; コーチ</t>
  </si>
  <si>
    <t>オークション &gt; ビューティー、ヘルスケア &gt; めがね、コンタクト &gt; コンタクト用品 &gt; ハード用</t>
  </si>
  <si>
    <t>0,42177,2084012478,2084042535,2084302044</t>
  </si>
  <si>
    <t>コルム</t>
  </si>
  <si>
    <t>オークション &gt; アクセサリー、時計 &gt; ブランド腕時計 &gt; か行 &gt; コルム</t>
  </si>
  <si>
    <t>ソフト用</t>
  </si>
  <si>
    <t>オークション &gt; ビューティー、ヘルスケア &gt; めがね、コンタクト &gt; コンタクト用品 &gt; ソフト用</t>
  </si>
  <si>
    <t>0,42177,2084012478,2084042535,2084302049</t>
  </si>
  <si>
    <t>コンコルド</t>
  </si>
  <si>
    <t>オークション &gt; アクセサリー、時計 &gt; ブランド腕時計 &gt; か行 &gt; コンコルド</t>
  </si>
  <si>
    <t>ハンドルーペ</t>
  </si>
  <si>
    <t>オークション &gt; ビューティー、ヘルスケア &gt; めがね、コンタクト &gt; 拡大鏡 &gt; ハンドルーペ</t>
  </si>
  <si>
    <t>0,42177,2084012478,2084042536,2084302065</t>
  </si>
  <si>
    <t>オークション &gt; アクセサリー、時計 &gt; ブランド腕時計 &gt; か行 &gt; その他</t>
  </si>
  <si>
    <t>ペンダントルーペ</t>
  </si>
  <si>
    <t>オークション &gt; ビューティー、ヘルスケア &gt; めがね、コンタクト &gt; 拡大鏡 &gt; ペンダントルーペ</t>
  </si>
  <si>
    <t>オークション &gt; アクセサリー、時計 &gt; ブランド腕時計 &gt; さ行 &gt; SWATCH</t>
  </si>
  <si>
    <t>0,42177,2084012478,2084042536,2084302066</t>
  </si>
  <si>
    <t>サーカー</t>
  </si>
  <si>
    <t>オークション &gt; アクセサリー、時計 &gt; ブランド腕時計 &gt; さ行 &gt; サーカー</t>
  </si>
  <si>
    <t>ヘッドルーペ</t>
  </si>
  <si>
    <t>オークション &gt; ビューティー、ヘルスケア &gt; めがね、コンタクト &gt; 拡大鏡 &gt; ヘッドルーペ</t>
  </si>
  <si>
    <t>0,42177,2084012478,2084042536,2084302067</t>
  </si>
  <si>
    <t>オークション &gt; アクセサリー、時計 &gt; ブランド腕時計 &gt; さ行 &gt; シーマ</t>
  </si>
  <si>
    <t>ライトルーペ</t>
  </si>
  <si>
    <t>オークション &gt; ビューティー、ヘルスケア &gt; めがね、コンタクト &gt; 拡大鏡 &gt; ライトルーペ</t>
  </si>
  <si>
    <t>0,42177,2084012478,2084042536,2084302068</t>
  </si>
  <si>
    <t>オークション &gt; アクセサリー、時計 &gt; ブランド腕時計 &gt; さ行 &gt; シチズン</t>
  </si>
  <si>
    <t>その他拡大鏡</t>
  </si>
  <si>
    <t>オークション &gt; ビューティー、ヘルスケア &gt; めがね、コンタクト &gt; 拡大鏡 &gt; その他拡大鏡</t>
  </si>
  <si>
    <t>オークション &gt; アクセサリー、時計 &gt; ブランド腕時計 &gt; さ行 &gt; シャネル</t>
  </si>
  <si>
    <t>0,42177,2084012478,2084042536,2084302069</t>
  </si>
  <si>
    <t>シャリオール</t>
  </si>
  <si>
    <t>オークション &gt; アクセサリー、時計 &gt; ブランド腕時計 &gt; さ行 &gt; シャリオール</t>
  </si>
  <si>
    <t>オークション &gt; ファッション &gt; ファッション小物 &gt; サングラス &gt; 女性用</t>
  </si>
  <si>
    <t>0,23000,23004,42542,2084224827</t>
  </si>
  <si>
    <t>オークション &gt; アクセサリー、時計 &gt; ブランド腕時計 &gt; さ行 &gt; シャルル ジョルダン</t>
  </si>
  <si>
    <t>オークション &gt; ファッション &gt; ファッション小物 &gt; サングラス &gt; 男性用</t>
  </si>
  <si>
    <t>0,23000,23004,42542,2084224823</t>
  </si>
  <si>
    <t>オークション &gt; アクセサリー、時計 &gt; ブランド腕時計 &gt; さ行 &gt; ショーメ</t>
  </si>
  <si>
    <t>オークション &gt; ファッション &gt; ファッション小物 &gt; サングラス &gt; 男女兼用</t>
  </si>
  <si>
    <t>0,23000,23004,42542,2084224831</t>
  </si>
  <si>
    <t>オークション &gt; アクセサリー、時計 &gt; ブランド腕時計 &gt; さ行 &gt; ショパール</t>
  </si>
  <si>
    <t>オークション &gt; ファッション &gt; ファッション小物 &gt; サングラス &gt; スポーツ用</t>
  </si>
  <si>
    <t>ジェイコブ</t>
  </si>
  <si>
    <t>0,23000,23004,42542,2084214045</t>
  </si>
  <si>
    <t>オークション &gt; アクセサリー、時計 &gt; ブランド腕時計 &gt; さ行 &gt; ジェイコブ</t>
  </si>
  <si>
    <t>ジェラルド・ジェンタ</t>
  </si>
  <si>
    <t>オークション &gt; アクセサリー、時計 &gt; ブランド腕時計 &gt; さ行 &gt; ジェラルド・ジェンタ</t>
  </si>
  <si>
    <t>オークション &gt; ファッション &gt; ファッション小物 &gt; サングラス &gt; アニエスベー</t>
  </si>
  <si>
    <t>0,23000,23004,42542,2084025428</t>
  </si>
  <si>
    <t>オークション &gt; アクセサリー、時計 &gt; ブランド腕時計 &gt; さ行 &gt; ジバンシイ</t>
  </si>
  <si>
    <t>オークション &gt; ファッション &gt; ファッション小物 &gt; サングラス &gt; アルマーニ</t>
  </si>
  <si>
    <t>0,23000,23004,42542,2084033992</t>
  </si>
  <si>
    <t>ジャガー・ルクルト</t>
  </si>
  <si>
    <t>オークション &gt; アクセサリー、時計 &gt; ブランド腕時計 &gt; さ行 &gt; ジャガー・ルクルト</t>
  </si>
  <si>
    <t>オークション &gt; ファッション &gt; ファッション小物 &gt; サングラス &gt; オークリー</t>
  </si>
  <si>
    <t>0,23000,23004,42542,2084214334</t>
  </si>
  <si>
    <t>ジラール・ペルゴ</t>
  </si>
  <si>
    <t>オークション &gt; アクセサリー、時計 &gt; ブランド腕時計 &gt; さ行 &gt; ジラール・ペルゴ</t>
  </si>
  <si>
    <t>オークション &gt; ファッション &gt; ファッション小物 &gt; サングラス &gt; カルバン･クライン</t>
  </si>
  <si>
    <t>オークション &gt; アクセサリー、時計 &gt; ブランド腕時計 &gt; さ行 &gt; ジン</t>
  </si>
  <si>
    <t>0,23000,23004,42542,2084033995</t>
  </si>
  <si>
    <t>スイスミリタリー</t>
  </si>
  <si>
    <t>オークション &gt; アクセサリー、時計 &gt; ブランド腕時計 &gt; さ行 &gt; スイスミリタリー</t>
  </si>
  <si>
    <t>オークション &gt; ファッション &gt; ファッション小物 &gt; サングラス &gt; クリスチャン・ディオール</t>
  </si>
  <si>
    <t>0,23000,23004,42542,2084025433</t>
  </si>
  <si>
    <t>スカーゲン</t>
  </si>
  <si>
    <t>オークション &gt; ファッション &gt; ファッション小物 &gt; サングラス &gt; グッチ</t>
  </si>
  <si>
    <t>オークション &gt; アクセサリー、時計 &gt; ブランド腕時計 &gt; さ行 &gt; スカーゲン</t>
  </si>
  <si>
    <t>0,23000,23004,42542,2084025432</t>
  </si>
  <si>
    <t>ストーム</t>
  </si>
  <si>
    <t>オークション &gt; ファッション &gt; ファッション小物 &gt; サングラス &gt; シャネル</t>
  </si>
  <si>
    <t>オークション &gt; アクセサリー、時計 &gt; ブランド腕時計 &gt; さ行 &gt; ストーム</t>
  </si>
  <si>
    <t>0,23000,23004,42542,2084025437</t>
  </si>
  <si>
    <t>オークション &gt; ファッション &gt; ファッション小物 &gt; サングラス &gt; ジャンポール・ゴルチエ</t>
  </si>
  <si>
    <t>0,23000,23004,42542,2084033993</t>
  </si>
  <si>
    <t>スント</t>
  </si>
  <si>
    <t>オークション &gt; アクセサリー、時計 &gt; ブランド腕時計 &gt; さ行 &gt; スント</t>
  </si>
  <si>
    <t>オークション &gt; ファッション &gt; ファッション小物 &gt; サングラス &gt; ステューシー</t>
  </si>
  <si>
    <t>0,23000,23004,42542,2084033988</t>
  </si>
  <si>
    <t>オークション &gt; アクセサリー、時計 &gt; ブランド腕時計 &gt; さ行 &gt; セイコー</t>
  </si>
  <si>
    <t>オークション &gt; ファッション &gt; ファッション小物 &gt; サングラス &gt; フェンディ</t>
  </si>
  <si>
    <t>セクター</t>
  </si>
  <si>
    <t>0,23000,23004,42542,2084025444</t>
  </si>
  <si>
    <t>オークション &gt; アクセサリー、時計 &gt; ブランド腕時計 &gt; さ行 &gt; セクター</t>
  </si>
  <si>
    <t>オークション &gt; ファッション &gt; ファッション小物 &gt; サングラス &gt; プラダ</t>
  </si>
  <si>
    <t>オークション &gt; アクセサリー、時計 &gt; ブランド腕時計 &gt; さ行 &gt; センチュリー</t>
  </si>
  <si>
    <t>0,23000,23004,42542,2084025445</t>
  </si>
  <si>
    <t>ゼニス</t>
  </si>
  <si>
    <t>オークション &gt; アクセサリー、時計 &gt; ブランド腕時計 &gt; さ行 &gt; ゼニス</t>
  </si>
  <si>
    <t>オークション &gt; ファッション &gt; ファッション小物 &gt; サングラス &gt; ポリス</t>
  </si>
  <si>
    <t>0,23000,23004,42542,2084261402</t>
  </si>
  <si>
    <t>ゼノ</t>
  </si>
  <si>
    <t>オークション &gt; アクセサリー、時計 &gt; ブランド腕時計 &gt; さ行 &gt; ゼノ</t>
  </si>
  <si>
    <t>オークション &gt; ファッション &gt; ファッション小物 &gt; サングラス &gt; ラルフローレン</t>
  </si>
  <si>
    <t>0,23000,23004,42542,2084025448</t>
  </si>
  <si>
    <t>ゾディアック</t>
  </si>
  <si>
    <t>オークション &gt; アクセサリー、時計 &gt; ブランド腕時計 &gt; さ行 &gt; ゾディアック</t>
  </si>
  <si>
    <t>オークション &gt; ファッション &gt; ファッション小物 &gt; サングラス &gt; レイバン</t>
  </si>
  <si>
    <t>0,23000,23004,42542,2084033987</t>
  </si>
  <si>
    <t>オークション &gt; ファッション &gt; ファッション小物 &gt; サングラス &gt; レノマ</t>
  </si>
  <si>
    <t>オークション &gt; アクセサリー、時計 &gt; ブランド腕時計 &gt; さ行 &gt; その他</t>
  </si>
  <si>
    <t>0,23000,23004,42542,2084033996</t>
  </si>
  <si>
    <t>タイメックス</t>
  </si>
  <si>
    <t>オークション &gt; アクセサリー、時計 &gt; ブランド腕時計 &gt; た行 &gt; タイメックス</t>
  </si>
  <si>
    <t>オークション &gt; ファッション &gt; ファッション小物 &gt; サングラス &gt; ヴェルサーチ</t>
  </si>
  <si>
    <t>0,23000,23004,42542,2084033994</t>
  </si>
  <si>
    <t>タグ・ホイヤー</t>
  </si>
  <si>
    <t>オークション &gt; アクセサリー、時計 &gt; ブランド腕時計 &gt; た行 &gt; タグ・ホイヤー</t>
  </si>
  <si>
    <t>オークション &gt; ビューティー、ヘルスケア &gt; リラクゼーショングッズ &gt; エッセンシャルオイル &gt; セット、詰め合わせ</t>
  </si>
  <si>
    <t>0,42177,2084042539,2084047753,2084213827</t>
  </si>
  <si>
    <t>タバー</t>
  </si>
  <si>
    <t>オークション &gt; アクセサリー、時計 &gt; ブランド腕時計 &gt; た行 &gt; タバー</t>
  </si>
  <si>
    <t>イランイラン</t>
  </si>
  <si>
    <t>オークション &gt; ビューティー、ヘルスケア &gt; リラクゼーショングッズ &gt; エッセンシャルオイル &gt; イランイラン</t>
  </si>
  <si>
    <t>0,42177,2084042539,2084047753,2084213836</t>
  </si>
  <si>
    <t>ダービー＆シャルデンブラン</t>
  </si>
  <si>
    <t>オークション &gt; アクセサリー、時計 &gt; ブランド腕時計 &gt; た行 &gt; ダービー＆シャルデンブラン</t>
  </si>
  <si>
    <t>オークション &gt; ビューティー、ヘルスケア &gt; リラクゼーショングッズ &gt; エッセンシャルオイル &gt; オレンジ</t>
  </si>
  <si>
    <t>0,42177,2084042539,2084047753,2084213830</t>
  </si>
  <si>
    <t>ダニエル・ジャンリシャール</t>
  </si>
  <si>
    <t>オークション &gt; アクセサリー、時計 &gt; ブランド腕時計 &gt; た行 &gt; ダニエル・ジャンリシャール</t>
  </si>
  <si>
    <t>カモミール</t>
  </si>
  <si>
    <t>オークション &gt; ビューティー、ヘルスケア &gt; リラクゼーショングッズ &gt; エッセンシャルオイル &gt; カモミール</t>
  </si>
  <si>
    <t>ダニエル・ロート</t>
  </si>
  <si>
    <t>0,42177,2084042539,2084047753,2084213834</t>
  </si>
  <si>
    <t>オークション &gt; アクセサリー、時計 &gt; ブランド腕時計 &gt; た行 &gt; ダニエル・ロート</t>
  </si>
  <si>
    <t>グレープフルーツ</t>
  </si>
  <si>
    <t>オークション &gt; アクセサリー、時計 &gt; ブランド腕時計 &gt; た行 &gt; ダンヒル</t>
  </si>
  <si>
    <t>オークション &gt; ビューティー、ヘルスケア &gt; リラクゼーショングッズ &gt; エッセンシャルオイル &gt; グレープフルーツ</t>
  </si>
  <si>
    <t>0,42177,2084042539,2084047753,2084213831</t>
  </si>
  <si>
    <t>チュードル</t>
  </si>
  <si>
    <t>サンダルウッド</t>
  </si>
  <si>
    <t>オークション &gt; アクセサリー、時計 &gt; ブランド腕時計 &gt; た行 &gt; チュードル</t>
  </si>
  <si>
    <t>オークション &gt; ビューティー、ヘルスケア &gt; リラクゼーショングッズ &gt; エッセンシャルオイル &gt; サンダルウッド</t>
  </si>
  <si>
    <t>0,42177,2084042539,2084047753,2084213833</t>
  </si>
  <si>
    <t>チュチマ</t>
  </si>
  <si>
    <t>オークション &gt; アクセサリー、時計 &gt; ブランド腕時計 &gt; た行 &gt; チュチマ</t>
  </si>
  <si>
    <t>ゼラニウム</t>
  </si>
  <si>
    <t>ティソ</t>
  </si>
  <si>
    <t>オークション &gt; ビューティー、ヘルスケア &gt; リラクゼーショングッズ &gt; エッセンシャルオイル &gt; ゼラニウム</t>
  </si>
  <si>
    <t>オークション &gt; アクセサリー、時計 &gt; ブランド腕時計 &gt; た行 &gt; ティソ</t>
  </si>
  <si>
    <t>0,42177,2084042539,2084047753,2084302013</t>
  </si>
  <si>
    <t>ティーツリー</t>
  </si>
  <si>
    <t>オークション &gt; アクセサリー、時計 &gt; ブランド腕時計 &gt; た行 &gt; ティファニー</t>
  </si>
  <si>
    <t>オークション &gt; ビューティー、ヘルスケア &gt; リラクゼーショングッズ &gt; エッセンシャルオイル &gt; ティーツリー</t>
  </si>
  <si>
    <t>0,42177,2084042539,2084047753,2084302014</t>
  </si>
  <si>
    <t>テクノス</t>
  </si>
  <si>
    <t>オークション &gt; アクセサリー、時計 &gt; ブランド腕時計 &gt; た行 &gt; テクノス</t>
  </si>
  <si>
    <t>ベルガモット</t>
  </si>
  <si>
    <t>オークション &gt; ビューティー、ヘルスケア &gt; リラクゼーショングッズ &gt; エッセンシャルオイル &gt; ベルガモット</t>
  </si>
  <si>
    <t>0,42177,2084042539,2084047753,2084213829</t>
  </si>
  <si>
    <t>テクノマリーン</t>
  </si>
  <si>
    <t>オークション &gt; アクセサリー、時計 &gt; ブランド腕時計 &gt; た行 &gt; テクノマリーン</t>
  </si>
  <si>
    <t>ペパーミント</t>
  </si>
  <si>
    <t>オークション &gt; ビューティー、ヘルスケア &gt; リラクゼーショングッズ &gt; エッセンシャルオイル &gt; ペパーミント</t>
  </si>
  <si>
    <t>0,42177,2084042539,2084047753,2084213828</t>
  </si>
  <si>
    <t>テンデンス</t>
  </si>
  <si>
    <t>オークション &gt; アクセサリー、時計 &gt; ブランド腕時計 &gt; た行 &gt; テンデンス</t>
  </si>
  <si>
    <t>ユーカリ</t>
  </si>
  <si>
    <t>オークション &gt; ビューティー、ヘルスケア &gt; リラクゼーショングッズ &gt; エッセンシャルオイル &gt; ユーカリ</t>
  </si>
  <si>
    <t>ディー ケー エヌ ワイ</t>
  </si>
  <si>
    <t>0,42177,2084042539,2084047753,2084228352</t>
  </si>
  <si>
    <t>オークション &gt; アクセサリー、時計 &gt; ブランド腕時計 &gt; た行 &gt; ディー ケー エヌ ワイ</t>
  </si>
  <si>
    <t>オークション &gt; ビューティー、ヘルスケア &gt; リラクゼーショングッズ &gt; エッセンシャルオイル &gt; ラベンダー</t>
  </si>
  <si>
    <t>オークション &gt; アクセサリー、時計 &gt; ブランド腕時計 &gt; た行 &gt; ディーゼル</t>
  </si>
  <si>
    <t>0,42177,2084042539,2084047753,2084213835</t>
  </si>
  <si>
    <t>トニノランボルギーニ</t>
  </si>
  <si>
    <t>レモングラス</t>
  </si>
  <si>
    <t>オークション &gt; アクセサリー、時計 &gt; ブランド腕時計 &gt; た行 &gt; トニノランボルギーニ</t>
  </si>
  <si>
    <t>オークション &gt; ビューティー、ヘルスケア &gt; リラクゼーショングッズ &gt; エッセンシャルオイル &gt; レモングラス</t>
  </si>
  <si>
    <t>0,42177,2084042539,2084047753,2084213832</t>
  </si>
  <si>
    <t>オークション &gt; アクセサリー、時計 &gt; ブランド腕時計 &gt; た行 &gt; ドルチェ＆ガッバーナ</t>
  </si>
  <si>
    <t>ローズマリー</t>
  </si>
  <si>
    <t>オークション &gt; ビューティー、ヘルスケア &gt; リラクゼーショングッズ &gt; エッセンシャルオイル &gt; ローズマリー</t>
  </si>
  <si>
    <t>0,42177,2084042539,2084047753,2084228351</t>
  </si>
  <si>
    <t>オークション &gt; アクセサリー、時計 &gt; ブランド腕時計 &gt; た行 &gt; その他</t>
  </si>
  <si>
    <t>キャリアオイル</t>
  </si>
  <si>
    <t>オークション &gt; ビューティー、ヘルスケア &gt; リラクゼーショングッズ &gt; エッセンシャルオイル &gt; キャリアオイル</t>
  </si>
  <si>
    <t>0,42177,2084042539,2084047753,2084213838</t>
  </si>
  <si>
    <t>オークション &gt; アクセサリー、時計 &gt; ブランド腕時計 &gt; な行 &gt; ナイキ</t>
  </si>
  <si>
    <t>オークション &gt; ビューティー、ヘルスケア &gt; リラクゼーショングッズ &gt; エッセンシャルオイル &gt; その他</t>
  </si>
  <si>
    <t>オークション &gt; アクセサリー、時計 &gt; ブランド腕時計 &gt; な行 &gt; ニクソン</t>
  </si>
  <si>
    <t>0,42177,2084042539,2084047753,2084213837</t>
  </si>
  <si>
    <t>アプリコットカーネル</t>
  </si>
  <si>
    <t>オークション &gt; ビューティー、ヘルスケア &gt; リラクゼーショングッズ &gt; キャリアオイル &gt; アプリコットカーネル</t>
  </si>
  <si>
    <t>0,42177,2084042539,2084213838,2084302060</t>
  </si>
  <si>
    <t>ノモス</t>
  </si>
  <si>
    <t>オークション &gt; アクセサリー、時計 &gt; ブランド腕時計 &gt; な行 &gt; ノモス</t>
  </si>
  <si>
    <t>アボカド</t>
  </si>
  <si>
    <t>オークション &gt; ビューティー、ヘルスケア &gt; リラクゼーショングッズ &gt; キャリアオイル &gt; アボカド</t>
  </si>
  <si>
    <t>0,42177,2084042539,2084213838,2084302061</t>
  </si>
  <si>
    <t>オークション &gt; アクセサリー、時計 &gt; ブランド腕時計 &gt; な行 &gt; その他</t>
  </si>
  <si>
    <t>グレープシード</t>
  </si>
  <si>
    <t>ハミルトン</t>
  </si>
  <si>
    <t>オークション &gt; ビューティー、ヘルスケア &gt; リラクゼーショングッズ &gt; キャリアオイル &gt; グレープシード</t>
  </si>
  <si>
    <t>0,42177,2084042539,2084213838,2084302054</t>
  </si>
  <si>
    <t>オークション &gt; アクセサリー、時計 &gt; ブランド腕時計 &gt; は行 &gt; ハミルトン</t>
  </si>
  <si>
    <t>ココナッツ</t>
  </si>
  <si>
    <t>オークション &gt; ビューティー、ヘルスケア &gt; リラクゼーショングッズ &gt; キャリアオイル &gt; ココナッツ</t>
  </si>
  <si>
    <t>オークション &gt; アクセサリー、時計 &gt; ブランド腕時計 &gt; は行 &gt; ハリー・ウィンストン</t>
  </si>
  <si>
    <t>0,42177,2084042539,2084213838,2084302063</t>
  </si>
  <si>
    <t>ハンティング・ワールド</t>
  </si>
  <si>
    <t>スイートアーモンド</t>
  </si>
  <si>
    <t>オークション &gt; アクセサリー、時計 &gt; ブランド腕時計 &gt; は行 &gt; ハンティング・ワールド</t>
  </si>
  <si>
    <t>オークション &gt; ビューティー、ヘルスケア &gt; リラクゼーショングッズ &gt; キャリアオイル &gt; スイートアーモンド</t>
  </si>
  <si>
    <t>0,42177,2084042539,2084213838,2084302057</t>
  </si>
  <si>
    <t>オークション &gt; アクセサリー、時計 &gt; ブランド腕時計 &gt; は行 &gt; バーバリー</t>
  </si>
  <si>
    <t>スクワラン</t>
  </si>
  <si>
    <t>オークション &gt; ビューティー、ヘルスケア &gt; リラクゼーショングッズ &gt; キャリアオイル &gt; スクワラン</t>
  </si>
  <si>
    <t>0,42177,2084042539,2084213838,2084302055</t>
  </si>
  <si>
    <t>オークション &gt; アクセサリー、時計 &gt; ブランド腕時計 &gt; は行 &gt; バリー</t>
  </si>
  <si>
    <t>セサミ</t>
  </si>
  <si>
    <t>オークション &gt; ビューティー、ヘルスケア &gt; リラクゼーショングッズ &gt; キャリアオイル &gt; セサミ</t>
  </si>
  <si>
    <t>0,42177,2084042539,2084213838,2084302058</t>
  </si>
  <si>
    <t>オークション &gt; アクセサリー、時計 &gt; ブランド腕時計 &gt; は行 &gt; バレンチノ</t>
  </si>
  <si>
    <t>椿油</t>
  </si>
  <si>
    <t>オークション &gt; ビューティー、ヘルスケア &gt; リラクゼーショングッズ &gt; キャリアオイル &gt; 椿油</t>
  </si>
  <si>
    <t>0,42177,2084042539,2084213838,2084302062</t>
  </si>
  <si>
    <t>パテック フィリップ</t>
  </si>
  <si>
    <t>オークション &gt; アクセサリー、時計 &gt; ブランド腕時計 &gt; は行 &gt; パテック フィリップ</t>
  </si>
  <si>
    <t>ホホバ</t>
  </si>
  <si>
    <t>オークション &gt; ビューティー、ヘルスケア &gt; リラクゼーショングッズ &gt; キャリアオイル &gt; ホホバ</t>
  </si>
  <si>
    <t>0,42177,2084042539,2084213838,2084302056</t>
  </si>
  <si>
    <t>パネライ</t>
  </si>
  <si>
    <t>オークション &gt; アクセサリー、時計 &gt; ブランド腕時計 &gt; は行 &gt; パネライ</t>
  </si>
  <si>
    <t>ローズヒップ</t>
  </si>
  <si>
    <t>オークション &gt; ビューティー、ヘルスケア &gt; リラクゼーショングッズ &gt; キャリアオイル &gt; ローズヒップ</t>
  </si>
  <si>
    <t>0,42177,2084042539,2084213838,2084302059</t>
  </si>
  <si>
    <t>オークション &gt; アクセサリー、時計 &gt; ブランド腕時計 &gt; は行 &gt; ビクトリノックス</t>
  </si>
  <si>
    <t>その他キャリアオイル</t>
  </si>
  <si>
    <t>オークション &gt; ビューティー、ヘルスケア &gt; リラクゼーショングッズ &gt; キャリアオイル &gt; その他キャリアオイル</t>
  </si>
  <si>
    <t>オークション &gt; アクセサリー、時計 &gt; ブランド腕時計 &gt; は行 &gt; ピアジェ</t>
  </si>
  <si>
    <t>0,42177,2084042539,2084213838,2084302064</t>
  </si>
  <si>
    <t>アロマディフューザー</t>
  </si>
  <si>
    <t>オークション &gt; ビューティー、ヘルスケア &gt; リラクゼーショングッズ &gt; 芳香器 &gt; アロマディフューザー</t>
  </si>
  <si>
    <t>0,42177,2084042539,2084213840,2084213843</t>
  </si>
  <si>
    <t>ピエール・カルダン</t>
  </si>
  <si>
    <t>オークション &gt; アクセサリー、時計 &gt; ブランド腕時計 &gt; は行 &gt; ピエール・カルダン</t>
  </si>
  <si>
    <t>アロマポット</t>
  </si>
  <si>
    <t>オークション &gt; ビューティー、ヘルスケア &gt; リラクゼーショングッズ &gt; 芳香器 &gt; アロマポット</t>
  </si>
  <si>
    <t>0,42177,2084042539,2084213840,2084213842</t>
  </si>
  <si>
    <t>オークション &gt; アクセサリー、時計 &gt; ブランド腕時計 &gt; は行 &gt; フェンディ</t>
  </si>
  <si>
    <t>オークション &gt; ビューティー、ヘルスケア &gt; リラクゼーショングッズ &gt; 芳香器 &gt; アロマライト、ランプ</t>
  </si>
  <si>
    <t>0,42177,2084042539,2084213840,2084213841</t>
  </si>
  <si>
    <t>フォッシル</t>
  </si>
  <si>
    <t>オークション &gt; アクセサリー、時計 &gt; ブランド腕時計 &gt; は行 &gt; フォッシル</t>
  </si>
  <si>
    <t>オイルポット</t>
  </si>
  <si>
    <t>オークション &gt; ビューティー、ヘルスケア &gt; リラクゼーショングッズ &gt; 芳香器 &gt; オイルポット</t>
  </si>
  <si>
    <t>0,42177,2084042539,2084213840,2084213844</t>
  </si>
  <si>
    <t>オークション &gt; アクセサリー、時計 &gt; ブランド腕時計 &gt; は行 &gt; フォリフォリ</t>
  </si>
  <si>
    <t>フォルティス</t>
  </si>
  <si>
    <t>オークション &gt; ビューティー、ヘルスケア &gt; リラクゼーショングッズ &gt; 芳香器 &gt; 香炉</t>
  </si>
  <si>
    <t>オークション &gt; アクセサリー、時計 &gt; ブランド腕時計 &gt; は行 &gt; フォルティス</t>
  </si>
  <si>
    <t>0,42177,2084042539,2084213840,2084063435</t>
  </si>
  <si>
    <t>フランク・ミュラー</t>
  </si>
  <si>
    <t>オークション &gt; アクセサリー、時計 &gt; ブランド腕時計 &gt; は行 &gt; フランク・ミュラー</t>
  </si>
  <si>
    <t>オークション &gt; ビューティー、ヘルスケア &gt; リラクゼーショングッズ &gt; 芳香器 &gt; その他</t>
  </si>
  <si>
    <t>0,42177,2084042539,2084213840,2084213845</t>
  </si>
  <si>
    <t>フレデリック・コンスタント</t>
  </si>
  <si>
    <t>オークション &gt; アクセサリー、時計 &gt; ブランド腕時計 &gt; は行 &gt; フレデリック・コンスタント</t>
  </si>
  <si>
    <t>ブライトリング</t>
  </si>
  <si>
    <t>オークション &gt; アクセサリー、時計 &gt; ブランド腕時計 &gt; は行 &gt; ブライトリング</t>
  </si>
  <si>
    <t>ブランパン</t>
  </si>
  <si>
    <t>オークション &gt; アクセサリー、時計 &gt; ブランド腕時計 &gt; は行 &gt; ブランパン</t>
  </si>
  <si>
    <t>オークション &gt; アクセサリー、時計 &gt; ブランド腕時計 &gt; は行 &gt; ブルガリ</t>
  </si>
  <si>
    <t>ブルッキアーナ</t>
  </si>
  <si>
    <t>オークション &gt; アクセサリー、時計 &gt; ブランド腕時計 &gt; は行 &gt; ブルッキアーナ</t>
  </si>
  <si>
    <t>ブレゲ</t>
  </si>
  <si>
    <t>オークション &gt; アクセサリー、時計 &gt; ブランド腕時計 &gt; は行 &gt; ブレゲ</t>
  </si>
  <si>
    <t>ブローバ</t>
  </si>
  <si>
    <t>オークション &gt; アクセサリー、時計 &gt; ブランド腕時計 &gt; は行 &gt; ブローバ</t>
  </si>
  <si>
    <t>ベダ＆カンパニー</t>
  </si>
  <si>
    <t>オークション &gt; アクセサリー、時計 &gt; ブランド腕時計 &gt; は行 &gt; ベダ＆カンパニー</t>
  </si>
  <si>
    <t>ベル＆ロス</t>
  </si>
  <si>
    <t>0,23632,2084042673,2084006905,2084044975</t>
  </si>
  <si>
    <t>オークション &gt; アクセサリー、時計 &gt; ブランド腕時計 &gt; は行 &gt; ベル＆ロス</t>
  </si>
  <si>
    <t>ペキネ</t>
  </si>
  <si>
    <t>オークション &gt; アクセサリー、時計 &gt; ブランド腕時計 &gt; は行 &gt; ペキネ</t>
  </si>
  <si>
    <t>0,23632,2084042673,2084006905,2084063421</t>
  </si>
  <si>
    <t>ボーム＆メルシエ</t>
  </si>
  <si>
    <t>オークション &gt; アクセサリー、時計 &gt; ブランド腕時計 &gt; は行 &gt; ボーム＆メルシエ</t>
  </si>
  <si>
    <t>ボール ウォッチ</t>
  </si>
  <si>
    <t>オークション &gt; アクセサリー、時計 &gt; ブランド腕時計 &gt; は行 &gt; ボール ウォッチ</t>
  </si>
  <si>
    <t>0,23632,2084042673,2084006905,2084047758</t>
  </si>
  <si>
    <t>オークション &gt; アクセサリー、時計 &gt; ブランド腕時計 &gt; は行 &gt; ポール･スミス</t>
  </si>
  <si>
    <t>0,23632,2084042673,2084006905,2084044973</t>
  </si>
  <si>
    <t>オークション &gt; アクセサリー、時計 &gt; ブランド腕時計 &gt; は行 &gt; ポリス</t>
  </si>
  <si>
    <t>ポルシェ デザイン</t>
  </si>
  <si>
    <t>0,23632,2084042673,2084006905,2084044974</t>
  </si>
  <si>
    <t>オークション &gt; アクセサリー、時計 &gt; ブランド腕時計 &gt; は行 &gt; ポルシェ デザイン</t>
  </si>
  <si>
    <t>0,24698,25152,25154,2084006766</t>
  </si>
  <si>
    <t>ヴァシュロン・コンスタンタン</t>
  </si>
  <si>
    <t>オークション &gt; アクセサリー、時計 &gt; ブランド腕時計 &gt; は行 &gt; ヴァシュロン・コンスタンタン</t>
  </si>
  <si>
    <t>0,24698,25152,25154,2084006768</t>
  </si>
  <si>
    <t>オークション &gt; アクセサリー、時計 &gt; ブランド腕時計 &gt; は行 &gt; ヴィヴィアン ウエストウッド</t>
  </si>
  <si>
    <t>オークション &gt; アクセサリー、時計 &gt; ブランド腕時計 &gt; は行 &gt; その他</t>
  </si>
  <si>
    <t>0,24698,25152,25154,2084263701</t>
  </si>
  <si>
    <t>マークバイマークジェイコブス</t>
  </si>
  <si>
    <t>オークション &gt; アクセサリー、時計 &gt; ブランド腕時計 &gt; ま行、や行 &gt; マークバイマークジェイコブス</t>
  </si>
  <si>
    <t>0,24698,25152,25154,2084006767</t>
  </si>
  <si>
    <t>ミューレ グラスヒュッテ</t>
  </si>
  <si>
    <t>オークション &gt; アクセサリー、時計 &gt; ブランド腕時計 &gt; ま行、や行 &gt; ミューレ グラスヒュッテ</t>
  </si>
  <si>
    <t>0,24698,25152,25154,2084216601</t>
  </si>
  <si>
    <t>モーリス・ラクロア</t>
  </si>
  <si>
    <t>オークション &gt; アクセサリー、時計 &gt; ブランド腕時計 &gt; ま行、や行 &gt; モーリス・ラクロア</t>
  </si>
  <si>
    <t>0,24698,25152,25154,2084196837</t>
  </si>
  <si>
    <t>モバード</t>
  </si>
  <si>
    <t>オークション &gt; アクセサリー、時計 &gt; ブランド腕時計 &gt; ま行、や行 &gt; モバード</t>
  </si>
  <si>
    <t>モンディーン</t>
  </si>
  <si>
    <t>オークション &gt; アクセサリー、時計 &gt; ブランド腕時計 &gt; ま行、や行 &gt; モンディーン</t>
  </si>
  <si>
    <t>0,24698,25152,25154,2084196833</t>
  </si>
  <si>
    <t>モンブラン</t>
  </si>
  <si>
    <t>オークション &gt; アクセサリー、時計 &gt; ブランド腕時計 &gt; ま行、や行 &gt; モンブラン</t>
  </si>
  <si>
    <t>0,24698,25152,25154,26222</t>
  </si>
  <si>
    <t>ユリス ナルダン</t>
  </si>
  <si>
    <t>オークション &gt; アクセサリー、時計 &gt; ブランド腕時計 &gt; ま行、や行 &gt; ユリス ナルダン</t>
  </si>
  <si>
    <t>0,24698,25152,25154,2084062737</t>
  </si>
  <si>
    <t>ユンハンス</t>
  </si>
  <si>
    <t>オークション &gt; アクセサリー、時計 &gt; ブランド腕時計 &gt; ま行、や行 &gt; ユンハンス</t>
  </si>
  <si>
    <t>0,24698,25152,25154,25178</t>
  </si>
  <si>
    <t>オークション &gt; アクセサリー、時計 &gt; ブランド腕時計 &gt; ま行、や行 &gt; その他</t>
  </si>
  <si>
    <t>ラドー</t>
  </si>
  <si>
    <t>オークション &gt; アクセサリー、時計 &gt; ブランド腕時計 &gt; ら行 &gt; ラドー</t>
  </si>
  <si>
    <t>ランカスター</t>
  </si>
  <si>
    <t>オークション &gt; アクセサリー、時計 &gt; ブランド腕時計 &gt; ら行 &gt; ランカスター</t>
  </si>
  <si>
    <t>ランゲ＆ゾーネ</t>
  </si>
  <si>
    <t>オークション &gt; アクセサリー、時計 &gt; ブランド腕時計 &gt; ら行 &gt; ランゲ＆ゾーネ</t>
  </si>
  <si>
    <t>リトモラティーノ</t>
  </si>
  <si>
    <t>オークション &gt; アクセサリー、時計 &gt; ブランド腕時計 &gt; ら行 &gt; リトモラティーノ</t>
  </si>
  <si>
    <t>オークション &gt; アクセサリー、時計 &gt; ブランド腕時計 &gt; ら行 &gt; ルイ・ヴィトン</t>
  </si>
  <si>
    <t>オークション &gt; アクセサリー、時計 &gt; ブランド腕時計 &gt; ら行 &gt; ルミノックス</t>
  </si>
  <si>
    <t>レビュー トーメン</t>
  </si>
  <si>
    <t>オークション &gt; アクセサリー、時計 &gt; ブランド腕時計 &gt; ら行 &gt; レビュー トーメン</t>
  </si>
  <si>
    <t>ロータリー</t>
  </si>
  <si>
    <t>オークション &gt; アクセサリー、時計 &gt; ブランド腕時計 &gt; ら行 &gt; ロータリー</t>
  </si>
  <si>
    <t>ロジェ・デュブイ</t>
  </si>
  <si>
    <t>オークション &gt; アクセサリー、時計 &gt; ブランド腕時計 &gt; ら行 &gt; ロジェ・デュブイ</t>
  </si>
  <si>
    <t>ロレックス</t>
  </si>
  <si>
    <t>オークション &gt; アクセサリー、時計 &gt; ブランド腕時計 &gt; ら行 &gt; ロレックス</t>
  </si>
  <si>
    <t>ロンジン</t>
  </si>
  <si>
    <t>オークション &gt; アクセサリー、時計 &gt; ブランド腕時計 &gt; ら行 &gt; ロンジン</t>
  </si>
  <si>
    <t>オークション &gt; アクセサリー、時計 &gt; ブランド腕時計 &gt; ら行 &gt; その他</t>
  </si>
  <si>
    <t>2針（時、分）</t>
  </si>
  <si>
    <t>オークション &gt; アクセサリー、時計 &gt; メンズ腕時計 &gt; アナログ（クォーツ式） &gt; 2針（時、分）</t>
  </si>
  <si>
    <t>2針＋カレンダー</t>
  </si>
  <si>
    <t>オークション &gt; アクセサリー、時計 &gt; メンズ腕時計 &gt; アナログ（クォーツ式） &gt; 2針＋カレンダー</t>
  </si>
  <si>
    <t>3針（時、分、秒）</t>
  </si>
  <si>
    <t>オークション &gt; アクセサリー、時計 &gt; メンズ腕時計 &gt; アナログ（クォーツ式） &gt; 3針（時、分、秒）</t>
  </si>
  <si>
    <t>3針＋カレンダー</t>
  </si>
  <si>
    <t>オークション &gt; アクセサリー、時計 &gt; メンズ腕時計 &gt; アナログ（クォーツ式） &gt; 3針＋カレンダー</t>
  </si>
  <si>
    <t>クロノグラフ</t>
  </si>
  <si>
    <t>オークション &gt; アクセサリー、時計 &gt; メンズ腕時計 &gt; アナログ（クォーツ式） &gt; クロノグラフ</t>
  </si>
  <si>
    <t>クロノグラフ＋カレンダー</t>
  </si>
  <si>
    <t>オークション &gt; アクセサリー、時計 &gt; メンズ腕時計 &gt; アナログ（クォーツ式） &gt; クロノグラフ＋カレンダー</t>
  </si>
  <si>
    <t>オークション &gt; アクセサリー、時計 &gt; メンズ腕時計 &gt; アナログ（クォーツ式） &gt; その他</t>
  </si>
  <si>
    <t>オークション &gt; アクセサリー、時計 &gt; メンズ腕時計 &gt; アナログ（自動巻き） &gt; 2針（時、分）</t>
  </si>
  <si>
    <t>オークション &gt; アクセサリー、時計 &gt; メンズ腕時計 &gt; アナログ（自動巻き） &gt; 2針＋カレンダー</t>
  </si>
  <si>
    <t>オークション &gt; アクセサリー、時計 &gt; メンズ腕時計 &gt; アナログ（自動巻き） &gt; 3針（時、分、秒）</t>
  </si>
  <si>
    <t>オークション &gt; アクセサリー、時計 &gt; メンズ腕時計 &gt; アナログ（自動巻き） &gt; 3針＋カレンダー</t>
  </si>
  <si>
    <t>オークション &gt; アクセサリー、時計 &gt; メンズ腕時計 &gt; アナログ（自動巻き） &gt; クロノグラフ</t>
  </si>
  <si>
    <t>オークション &gt; アクセサリー、時計 &gt; メンズ腕時計 &gt; アナログ（自動巻き） &gt; クロノグラフ＋カレンダー</t>
  </si>
  <si>
    <t>オークション &gt; アクセサリー、時計 &gt; メンズ腕時計 &gt; アナログ（自動巻き） &gt; その他</t>
  </si>
  <si>
    <t>電波時計</t>
  </si>
  <si>
    <t>オークション &gt; アクセサリー、時計 &gt; メンズ腕時計 &gt; デジタル &gt; 電波時計</t>
  </si>
  <si>
    <t>オークション &gt; アクセサリー、時計 &gt; メンズ腕時計 &gt; デジタル &gt; カシオ</t>
  </si>
  <si>
    <t>オークション &gt; アクセサリー、時計 &gt; メンズ腕時計 &gt; デジタル &gt; スント</t>
  </si>
  <si>
    <t>オークション &gt; アクセサリー、時計 &gt; メンズ腕時計 &gt; デジタル &gt; その他</t>
  </si>
  <si>
    <t>.BEAT</t>
  </si>
  <si>
    <t>オークション &gt; アクセサリー、時計 &gt; ブランド腕時計 &gt; さ行 &gt; SWATCH &gt; .BEAT</t>
  </si>
  <si>
    <t>ACCESS</t>
  </si>
  <si>
    <t>オークション &gt; アクセサリー、時計 &gt; ブランド腕時計 &gt; さ行 &gt; SWATCH &gt; ACCESS</t>
  </si>
  <si>
    <t>AQUACHRONO</t>
  </si>
  <si>
    <t>オークション &gt; アクセサリー、時計 &gt; ブランド腕時計 &gt; さ行 &gt; SWATCH &gt; AQUACHRONO</t>
  </si>
  <si>
    <t>AUTOMATIC</t>
  </si>
  <si>
    <t>オークション &gt; アクセサリー、時計 &gt; ブランド腕時計 &gt; さ行 &gt; SWATCH &gt; AUTOMATIC</t>
  </si>
  <si>
    <t>CHRONO</t>
  </si>
  <si>
    <t>オークション &gt; アクセサリー、時計 &gt; ブランド腕時計 &gt; さ行 &gt; SWATCH &gt; CHRONO</t>
  </si>
  <si>
    <t>IRONY</t>
  </si>
  <si>
    <t>オークション &gt; アクセサリー、時計 &gt; ブランド腕時計 &gt; さ行 &gt; SWATCH &gt; IRONY</t>
  </si>
  <si>
    <t>MUSICALL</t>
  </si>
  <si>
    <t>オークション &gt; アクセサリー、時計 &gt; ブランド腕時計 &gt; さ行 &gt; SWATCH &gt; MUSICALL</t>
  </si>
  <si>
    <t>POP SWATCH</t>
  </si>
  <si>
    <t>オークション &gt; アクセサリー、時計 &gt; ブランド腕時計 &gt; さ行 &gt; SWATCH &gt; POP SWATCH</t>
  </si>
  <si>
    <t>SCUBA200</t>
  </si>
  <si>
    <t>オークション &gt; アクセサリー、時計 &gt; ブランド腕時計 &gt; さ行 &gt; SWATCH &gt; SCUBA200</t>
  </si>
  <si>
    <t>SKIN</t>
  </si>
  <si>
    <t>オークション &gt; アクセサリー、時計 &gt; ブランド腕時計 &gt; さ行 &gt; SWATCH &gt; SKIN</t>
  </si>
  <si>
    <t>SOLAR</t>
  </si>
  <si>
    <t>オークション &gt; アクセサリー、時計 &gt; ブランド腕時計 &gt; さ行 &gt; SWATCH &gt; SOLAR</t>
  </si>
  <si>
    <t>車椅子</t>
  </si>
  <si>
    <t>オークション &gt; ビューティー、ヘルスケア &gt; 看護、介護用品 &gt; 車椅子、電動車 &gt; 車椅子</t>
  </si>
  <si>
    <t>0,42177,2084042538,2084048486,2084063450</t>
  </si>
  <si>
    <t>STANDARD</t>
  </si>
  <si>
    <t>オークション &gt; アクセサリー、時計 &gt; ブランド腕時計 &gt; さ行 &gt; SWATCH &gt; STANDARD</t>
  </si>
  <si>
    <t>電動車</t>
  </si>
  <si>
    <t>オークション &gt; ビューティー、ヘルスケア &gt; 看護、介護用品 &gt; 車椅子、電動車 &gt; 電動車</t>
  </si>
  <si>
    <t>STOP WATCH</t>
  </si>
  <si>
    <t>0,42177,2084042538,2084048486,2084063454</t>
  </si>
  <si>
    <t>オークション &gt; アクセサリー、時計 &gt; ブランド腕時計 &gt; さ行 &gt; SWATCH &gt; STOP WATCH</t>
  </si>
  <si>
    <t>オムツカバー</t>
  </si>
  <si>
    <t>オークション &gt; ビューティー、ヘルスケア &gt; 看護、介護用品 &gt; 排泄補助 &gt; オムツカバー</t>
  </si>
  <si>
    <t>0,42177,2084042538,2084049562,2084220351</t>
  </si>
  <si>
    <t>オークション &gt; アクセサリー、時計 &gt; ブランド腕時計 &gt; さ行 &gt; SWATCH &gt; その他</t>
  </si>
  <si>
    <t>オークション &gt; ビューティー、ヘルスケア &gt; 看護、介護用品 &gt; 排泄補助 &gt; ポータブルトイレ</t>
  </si>
  <si>
    <t>G-SHOCK</t>
  </si>
  <si>
    <t>0,42177,2084042538,2084049562,2084220352</t>
  </si>
  <si>
    <t>オークション &gt; アクセサリー、時計 &gt; ブランド腕時計 &gt; か行 &gt; カシオ &gt; G-SHOCK</t>
  </si>
  <si>
    <t>介護用紙オムツ</t>
  </si>
  <si>
    <t>Baby-G</t>
  </si>
  <si>
    <t>オークション &gt; ビューティー、ヘルスケア &gt; 看護、介護用品 &gt; 排泄補助 &gt; 介護用紙オムツ</t>
  </si>
  <si>
    <t>オークション &gt; アクセサリー、時計 &gt; ブランド腕時計 &gt; か行 &gt; カシオ &gt; Baby-G</t>
  </si>
  <si>
    <t>0,42177,2084042538,2084049562,2084220349</t>
  </si>
  <si>
    <t>PRO TREK</t>
  </si>
  <si>
    <t>オークション &gt; アクセサリー、時計 &gt; ブランド腕時計 &gt; か行 &gt; カシオ &gt; PRO TREK</t>
  </si>
  <si>
    <t>尿とりパッド</t>
  </si>
  <si>
    <t>オークション &gt; ビューティー、ヘルスケア &gt; 看護、介護用品 &gt; 排泄補助 &gt; 尿とりパッド</t>
  </si>
  <si>
    <t>0,42177,2084042538,2084049562,2084220350</t>
  </si>
  <si>
    <t>EDIFICE</t>
  </si>
  <si>
    <t>オークション &gt; アクセサリー、時計 &gt; ブランド腕時計 &gt; か行 &gt; カシオ &gt; EDIFICE</t>
  </si>
  <si>
    <t>オークション &gt; ビューティー、ヘルスケア &gt; 看護、介護用品 &gt; 排泄補助 &gt; その他</t>
  </si>
  <si>
    <t>0,42177,2084042538,2084049562,2084220353</t>
  </si>
  <si>
    <t>OCEANUS</t>
  </si>
  <si>
    <t>オークション &gt; アクセサリー、時計 &gt; ブランド腕時計 &gt; か行 &gt; カシオ &gt; OCEANUS</t>
  </si>
  <si>
    <t>松葉杖</t>
  </si>
  <si>
    <t>オークション &gt; ビューティー、ヘルスケア &gt; 看護、介護用品 &gt; 歩行補助 &gt; 松葉杖</t>
  </si>
  <si>
    <t>0,42177,2084042538,2084063455,2084302018</t>
  </si>
  <si>
    <t>データバンク</t>
  </si>
  <si>
    <t>オークション &gt; アクセサリー、時計 &gt; ブランド腕時計 &gt; か行 &gt; カシオ &gt; データバンク</t>
  </si>
  <si>
    <t>杖、ステッキ</t>
  </si>
  <si>
    <t>オークション &gt; ビューティー、ヘルスケア &gt; 看護、介護用品 &gt; 歩行補助 &gt; 杖、ステッキ</t>
  </si>
  <si>
    <t>0,42177,2084042538,2084063455,2084012480</t>
  </si>
  <si>
    <t>オークション &gt; アクセサリー、時計 &gt; ブランド腕時計 &gt; か行 &gt; カシオ &gt; パーツ</t>
  </si>
  <si>
    <t>歩行補助車、シルバーカー</t>
  </si>
  <si>
    <t>オークション &gt; ビューティー、ヘルスケア &gt; 看護、介護用品 &gt; 歩行補助 &gt; 歩行補助車、シルバーカー</t>
  </si>
  <si>
    <t>0,42177,2084042538,2084063455,2084063457</t>
  </si>
  <si>
    <t>ベルト、ブレスレット</t>
  </si>
  <si>
    <t>オークション &gt; アクセサリー、時計 &gt; ブランド腕時計 &gt; か行 &gt; カシオ &gt; ベルト、ブレスレット</t>
  </si>
  <si>
    <t>オークション &gt; ビューティー、ヘルスケア &gt; 看護、介護用品 &gt; 歩行補助 &gt; その他</t>
  </si>
  <si>
    <t>0,42177,2084042538,2084063455,2084063458</t>
  </si>
  <si>
    <t>腰用</t>
  </si>
  <si>
    <t>オークション &gt; ビューティー、ヘルスケア &gt; 健康用品、健康器具 &gt; サポーター &gt; 腰用</t>
  </si>
  <si>
    <t>0,42177,2084042544,2084216481,2084216485</t>
  </si>
  <si>
    <t>オークション &gt; アクセサリー、時計 &gt; ブランド腕時計 &gt; か行 &gt; カシオ &gt; その他</t>
  </si>
  <si>
    <t>手首用</t>
  </si>
  <si>
    <t>オークション &gt; ビューティー、ヘルスケア &gt; 健康用品、健康器具 &gt; サポーター &gt; 手首用</t>
  </si>
  <si>
    <t>0,42177,2084042544,2084216481,2084216482</t>
  </si>
  <si>
    <t>アテッサ</t>
  </si>
  <si>
    <t>オークション &gt; アクセサリー、時計 &gt; ブランド腕時計 &gt; さ行 &gt; シチズン &gt; アテッサ</t>
  </si>
  <si>
    <t>足首用</t>
  </si>
  <si>
    <t>オークション &gt; ビューティー、ヘルスケア &gt; 健康用品、健康器具 &gt; サポーター &gt; 足首用</t>
  </si>
  <si>
    <t>0,42177,2084042544,2084216481,2084216483</t>
  </si>
  <si>
    <t>足用一般</t>
  </si>
  <si>
    <t>ウィッカ</t>
  </si>
  <si>
    <t>オークション &gt; ビューティー、ヘルスケア &gt; 健康用品、健康器具 &gt; サポーター &gt; 足用一般</t>
  </si>
  <si>
    <t>オークション &gt; アクセサリー、時計 &gt; ブランド腕時計 &gt; さ行 &gt; シチズン &gt; ウィッカ</t>
  </si>
  <si>
    <t>0,42177,2084042544,2084216481,2084216484</t>
  </si>
  <si>
    <t>スポーツ用（女性）</t>
  </si>
  <si>
    <t>オークション &gt; ビューティー、ヘルスケア &gt; 健康用品、健康器具 &gt; サポーター &gt; スポーツ用（女性）</t>
  </si>
  <si>
    <t>エクシード</t>
  </si>
  <si>
    <t>0,42177,2084042544,2084216481,2084006785</t>
  </si>
  <si>
    <t>オークション &gt; アクセサリー、時計 &gt; ブランド腕時計 &gt; さ行 &gt; シチズン &gt; エクシード</t>
  </si>
  <si>
    <t>スポーツ用（男性）</t>
  </si>
  <si>
    <t>キューアンドキュー</t>
  </si>
  <si>
    <t>オークション &gt; ビューティー、ヘルスケア &gt; 健康用品、健康器具 &gt; サポーター &gt; スポーツ用（男性）</t>
  </si>
  <si>
    <t>オークション &gt; アクセサリー、時計 &gt; ブランド腕時計 &gt; さ行 &gt; シチズン &gt; キューアンドキュー</t>
  </si>
  <si>
    <t>0,42177,2084042544,2084216481,2084006786</t>
  </si>
  <si>
    <t>クロスシー</t>
  </si>
  <si>
    <t>オークション &gt; アクセサリー、時計 &gt; ブランド腕時計 &gt; さ行 &gt; シチズン &gt; クロスシー</t>
  </si>
  <si>
    <t>オークション &gt; ビューティー、ヘルスケア &gt; 健康用品、健康器具 &gt; サポーター &gt; その他</t>
  </si>
  <si>
    <t>0,42177,2084042544,2084216481,2084216486</t>
  </si>
  <si>
    <t>シチズンコレクション</t>
  </si>
  <si>
    <t>血圧計</t>
  </si>
  <si>
    <t>オークション &gt; ビューティー、ヘルスケア &gt; 健康用品、健康器具 &gt; 検査、測定器 &gt; 血圧計</t>
  </si>
  <si>
    <t>オークション &gt; アクセサリー、時計 &gt; ブランド腕時計 &gt; さ行 &gt; シチズン &gt; シチズンコレクション</t>
  </si>
  <si>
    <t>0,42177,2084042544,2084006900,2084006920</t>
  </si>
  <si>
    <t>体温計</t>
  </si>
  <si>
    <t>オークション &gt; ビューティー、ヘルスケア &gt; 健康用品、健康器具 &gt; 検査、測定器 &gt; 体温計</t>
  </si>
  <si>
    <t>プロマスター</t>
  </si>
  <si>
    <t>0,42177,2084042544,2084006900,2084216489</t>
  </si>
  <si>
    <t>オークション &gt; アクセサリー、時計 &gt; ブランド腕時計 &gt; さ行 &gt; シチズン &gt; プロマスター</t>
  </si>
  <si>
    <t>オークション &gt; ビューティー、ヘルスケア &gt; 健康用品、健康器具 &gt; 検査、測定器 &gt; 体脂肪計</t>
  </si>
  <si>
    <t>0,42177,2084042544,2084006900,2084006921</t>
  </si>
  <si>
    <t>レグノ</t>
  </si>
  <si>
    <t>オークション &gt; アクセサリー、時計 &gt; ブランド腕時計 &gt; さ行 &gt; シチズン &gt; レグノ</t>
  </si>
  <si>
    <t>オークション &gt; ビューティー、ヘルスケア &gt; 健康用品、健康器具 &gt; 検査、測定器 &gt; 体重計</t>
  </si>
  <si>
    <t>0,42177,2084042544,2084006900,2084006922</t>
  </si>
  <si>
    <t>オークション &gt; アクセサリー、時計 &gt; ブランド腕時計 &gt; さ行 &gt; シチズン &gt; その他</t>
  </si>
  <si>
    <t>歩数計</t>
  </si>
  <si>
    <t>オークション &gt; ビューティー、ヘルスケア &gt; 健康用品、健康器具 &gt; 検査、測定器 &gt; 歩数計</t>
  </si>
  <si>
    <t>0,42177,2084042544,2084006900,2084006923</t>
  </si>
  <si>
    <t>アルバ</t>
  </si>
  <si>
    <t>オークション &gt; アクセサリー、時計 &gt; ブランド腕時計 &gt; さ行 &gt; セイコー &gt; アルバ</t>
  </si>
  <si>
    <t>オークション &gt; ビューティー、ヘルスケア &gt; 健康用品、健康器具 &gt; 検査、測定器 &gt; その他</t>
  </si>
  <si>
    <t>0,42177,2084042544,2084006900,2084006919</t>
  </si>
  <si>
    <t>オークション &gt; アクセサリー、時計 &gt; ブランド腕時計 &gt; さ行 &gt; セイコー &gt; イグニッション</t>
  </si>
  <si>
    <t>女性用磁気ネックレス</t>
  </si>
  <si>
    <t>オークション &gt; ビューティー、ヘルスケア &gt; 健康用品、健康器具 &gt; 磁気アクセサリー &gt; 女性用磁気ネックレス</t>
  </si>
  <si>
    <t>0,42177,2084042544,2084006916,2084006908</t>
  </si>
  <si>
    <t>エクセリーヌ</t>
  </si>
  <si>
    <t>オークション &gt; アクセサリー、時計 &gt; ブランド腕時計 &gt; さ行 &gt; セイコー &gt; エクセリーヌ</t>
  </si>
  <si>
    <t>男性用磁気ネックレス</t>
  </si>
  <si>
    <t>オークション &gt; ビューティー、ヘルスケア &gt; 健康用品、健康器具 &gt; 磁気アクセサリー &gt; 男性用磁気ネックレス</t>
  </si>
  <si>
    <t>0,42177,2084042544,2084006916,2084006914</t>
  </si>
  <si>
    <t>クレドール</t>
  </si>
  <si>
    <t>オークション &gt; アクセサリー、時計 &gt; ブランド腕時計 &gt; さ行 &gt; セイコー &gt; クレドール</t>
  </si>
  <si>
    <t>オークション &gt; ビューティー、ヘルスケア &gt; 健康用品、健康器具 &gt; 杖、ステッキ &gt; 一般</t>
  </si>
  <si>
    <t>0,42177,2084042544,2084012480,2084228735</t>
  </si>
  <si>
    <t>グランドセイコー</t>
  </si>
  <si>
    <t>オークション &gt; アクセサリー、時計 &gt; ブランド腕時計 &gt; さ行 &gt; セイコー &gt; グランドセイコー</t>
  </si>
  <si>
    <t>折りたたみ、伸縮</t>
  </si>
  <si>
    <t>オークション &gt; ビューティー、ヘルスケア &gt; 健康用品、健康器具 &gt; 杖、ステッキ &gt; 折りたたみ、伸縮</t>
  </si>
  <si>
    <t>0,42177,2084042544,2084012480,2084228734</t>
  </si>
  <si>
    <t>スピリット</t>
  </si>
  <si>
    <t>オークション &gt; アクセサリー、時計 &gt; ブランド腕時計 &gt; さ行 &gt; セイコー &gt; スピリット</t>
  </si>
  <si>
    <t>0,23632,2084042673,2084044972,2084230958</t>
  </si>
  <si>
    <t>ドルチェ</t>
  </si>
  <si>
    <t>オークション &gt; アクセサリー、時計 &gt; ブランド腕時計 &gt; さ行 &gt; セイコー &gt; ドルチェ</t>
  </si>
  <si>
    <t>0,23632,2084042673,2084044972,2084230956</t>
  </si>
  <si>
    <t>ブライツ</t>
  </si>
  <si>
    <t>オークション &gt; アクセサリー、時計 &gt; ブランド腕時計 &gt; さ行 &gt; セイコー &gt; ブライツ</t>
  </si>
  <si>
    <t>0,23632,2084042673,2084044972,2084230959</t>
  </si>
  <si>
    <t>プロスペックス</t>
  </si>
  <si>
    <t>オークション &gt; アクセサリー、時計 &gt; ブランド腕時計 &gt; さ行 &gt; セイコー &gt; プロスペックス</t>
  </si>
  <si>
    <t>ルキア</t>
  </si>
  <si>
    <t>オークション &gt; アクセサリー、時計 &gt; ブランド腕時計 &gt; さ行 &gt; セイコー &gt; ルキア</t>
  </si>
  <si>
    <t>0,23632,2084042673,2084044972,2084230955</t>
  </si>
  <si>
    <t>0,23632,2084042673,2084044972,2084230957</t>
  </si>
  <si>
    <t>ワイアード</t>
  </si>
  <si>
    <t>オークション &gt; アクセサリー、時計 &gt; ブランド腕時計 &gt; さ行 &gt; セイコー &gt; ワイアード</t>
  </si>
  <si>
    <t>海外モデル</t>
  </si>
  <si>
    <t>0,23632,2084042673,2084044972,2084230960</t>
  </si>
  <si>
    <t>オークション &gt; アクセサリー、時計 &gt; ブランド腕時計 &gt; さ行 &gt; セイコー &gt; 海外モデル</t>
  </si>
  <si>
    <t>オークション &gt; アクセサリー、時計 &gt; ブランド腕時計 &gt; さ行 &gt; セイコー &gt; パーツ</t>
  </si>
  <si>
    <t>オークション &gt; アクセサリー、時計 &gt; ブランド腕時計 &gt; さ行 &gt; セイコー &gt; ベルト、ブレスレット</t>
  </si>
  <si>
    <t>箱、保証書、付属品</t>
  </si>
  <si>
    <t>オークション &gt; アクセサリー、時計 &gt; ブランド腕時計 &gt; さ行 &gt; セイコー &gt; 箱、保証書、付属品</t>
  </si>
  <si>
    <t>オークション &gt; アクセサリー、時計 &gt; ブランド腕時計 &gt; さ行 &gt; セイコー &gt; その他</t>
  </si>
  <si>
    <t>ネイビーシールダイブウォッチシリーズ</t>
  </si>
  <si>
    <t>オークション &gt; アクセサリー、時計 &gt; ブランド腕時計 &gt; ら行 &gt; ルミノックス &gt; ネイビーシールダイブウォッチシリーズ</t>
  </si>
  <si>
    <t>ロッキードマーティンコレクション</t>
  </si>
  <si>
    <t>オークション &gt; アクセサリー、時計 &gt; ブランド腕時計 &gt; ら行 &gt; ルミノックス &gt; ロッキードマーティンコレクション</t>
  </si>
  <si>
    <t>オークション &gt; アクセサリー、時計 &gt; ブランド腕時計 &gt; ら行 &gt; ルミノックス &gt; その他</t>
  </si>
  <si>
    <t>オークション &gt; アクセサリー、時計 &gt; レディース腕時計 &gt; アナログ（クォーツ式） &gt; 2針（時、分）</t>
  </si>
  <si>
    <t>オークション &gt; アクセサリー、時計 &gt; レディース腕時計 &gt; アナログ（クォーツ式） &gt; 2針＋カレンダー</t>
  </si>
  <si>
    <t>オークション &gt; アクセサリー、時計 &gt; レディース腕時計 &gt; アナログ（クォーツ式） &gt; 3針（時、分、秒）</t>
  </si>
  <si>
    <t>オークション &gt; アクセサリー、時計 &gt; レディース腕時計 &gt; アナログ（クォーツ式） &gt; 3針＋カレンダー</t>
  </si>
  <si>
    <t>オークション &gt; アクセサリー、時計 &gt; レディース腕時計 &gt; アナログ（クォーツ式） &gt; クロノグラフ</t>
  </si>
  <si>
    <t>オークション &gt; アクセサリー、時計 &gt; レディース腕時計 &gt; アナログ（クォーツ式） &gt; クロノグラフ＋カレンダー</t>
  </si>
  <si>
    <t>オークション &gt; アクセサリー、時計 &gt; レディース腕時計 &gt; アナログ（クォーツ式） &gt; その他</t>
  </si>
  <si>
    <t>オークション &gt; アクセサリー、時計 &gt; レディース腕時計 &gt; デジタル &gt; 電波時計</t>
  </si>
  <si>
    <t>オークション &gt; アクセサリー、時計 &gt; レディース腕時計 &gt; デジタル &gt; その他</t>
  </si>
  <si>
    <t>オークション &gt; アクセサリー、時計 &gt; ユニセックス腕時計 &gt; アナログ（クォーツ式） &gt; 2針（時、分）</t>
  </si>
  <si>
    <t>オークション &gt; アクセサリー、時計 &gt; ユニセックス腕時計 &gt; アナログ（クォーツ式） &gt; 2針＋カレンダー</t>
  </si>
  <si>
    <t>オークション &gt; アクセサリー、時計 &gt; ユニセックス腕時計 &gt; アナログ（クォーツ式） &gt; 3針（時、分、秒）</t>
  </si>
  <si>
    <t>オークション &gt; アクセサリー、時計 &gt; ユニセックス腕時計 &gt; アナログ（クォーツ式） &gt; 3針＋カレンダー</t>
  </si>
  <si>
    <t>オークション &gt; アクセサリー、時計 &gt; ユニセックス腕時計 &gt; アナログ（クォーツ式） &gt; クロノグラフ</t>
  </si>
  <si>
    <t>オークション &gt; アクセサリー、時計 &gt; ユニセックス腕時計 &gt; アナログ（クォーツ式） &gt; クロノグラフ＋カレンダー</t>
  </si>
  <si>
    <t>オークション &gt; アクセサリー、時計 &gt; ユニセックス腕時計 &gt; アナログ（クォーツ式） &gt; その他</t>
  </si>
  <si>
    <t>オークション &gt; アクセサリー、時計 &gt; キャラクター腕時計 &gt; ディズニー &gt; ミッキーマウス</t>
  </si>
  <si>
    <t>オークション &gt; アクセサリー、時計 &gt; キャラクター腕時計 &gt; ディズニー &gt; ミニーマウス</t>
  </si>
  <si>
    <t>オークション &gt; アクセサリー、時計 &gt; キャラクター腕時計 &gt; ディズニー &gt; ドナルド・ダック</t>
  </si>
  <si>
    <t>オークション &gt; アクセサリー、時計 &gt; キャラクター腕時計 &gt; ディズニー &gt; くまのプーさん</t>
  </si>
  <si>
    <t>オークション &gt; アクセサリー、時計 &gt; キャラクター腕時計 &gt; ディズニー &gt; その他</t>
  </si>
  <si>
    <t>自動巻き</t>
  </si>
  <si>
    <t>オークション &gt; アクセサリー、時計 &gt; 懐中時計 &gt; 機械式 &gt; 自動巻き</t>
  </si>
  <si>
    <t>手巻き</t>
  </si>
  <si>
    <t>オークション &gt; アクセサリー、時計 &gt; 懐中時計 &gt; 機械式 &gt; 手巻き</t>
  </si>
  <si>
    <t>オークション &gt; アクセサリー、時計 &gt; 時計用ベルト、バンド &gt; レザーベルト &gt; セット</t>
  </si>
  <si>
    <t>オークション &gt; アクセサリー、時計 &gt; 時計用ベルト、バンド &gt; レザーベルト &gt; 男性用</t>
  </si>
  <si>
    <t>オークション &gt; アクセサリー、時計 &gt; 時計用ベルト、バンド &gt; レザーベルト &gt; 女性用</t>
  </si>
  <si>
    <t>オークション &gt; アクセサリー、時計 &gt; 時計用ベルト、バンド &gt; レザーベルト &gt; 男女兼用</t>
  </si>
  <si>
    <t>コマ</t>
  </si>
  <si>
    <t>オークション &gt; アクセサリー、時計 &gt; 時計用ベルト、バンド &gt; ベルト部品 &gt; コマ</t>
  </si>
  <si>
    <t>オークション &gt; アクセサリー、時計 &gt; 時計用ベルト、バンド &gt; ベルト部品 &gt; バックル</t>
  </si>
  <si>
    <t>オークション &gt; アクセサリー、時計 &gt; 時計用ベルト、バンド &gt; ベルト部品 &gt; その他</t>
  </si>
  <si>
    <t>単品用</t>
  </si>
  <si>
    <t>オークション &gt; アクセサリー、時計 &gt; 時計用ケース &gt; 収納ケース一般 &gt; 単品用</t>
  </si>
  <si>
    <t>複数用</t>
  </si>
  <si>
    <t>オークション &gt; アクセサリー、時計 &gt; 時計用ケース &gt; 収納ケース一般 &gt; 複数用</t>
  </si>
  <si>
    <t>スナップリングプライヤー</t>
  </si>
  <si>
    <t>オークション &gt; 住まい、インテリア &gt; 工具、DIY用品 &gt; ハンドツール、大工道具 &gt; プライヤー &gt; スナップリングプライヤー</t>
  </si>
  <si>
    <t>グリッププライヤー</t>
  </si>
  <si>
    <t>オークション &gt; 住まい、インテリア &gt; 工具、DIY用品 &gt; ハンドツール、大工道具 &gt; プライヤー &gt; グリッププライヤー</t>
  </si>
  <si>
    <t>ロングノーズプライヤー</t>
  </si>
  <si>
    <t>オークション &gt; 住まい、インテリア &gt; 工具、DIY用品 &gt; ハンドツール、大工道具 &gt; プライヤー &gt; ロングノーズプライヤー</t>
  </si>
  <si>
    <t>アナログ</t>
  </si>
  <si>
    <t>オークション &gt; 住まい、インテリア &gt; 家具、インテリア &gt; インテリア小物 &gt; 置時計、掛時計 &gt; 掛時計、柱時計 &gt; アナログ</t>
  </si>
  <si>
    <t>オークション &gt; 住まい、インテリア &gt; 家具、インテリア &gt; インテリア小物 &gt; 置時計、掛時計 &gt; 掛時計、柱時計 &gt; デジタル</t>
  </si>
  <si>
    <t>オークション &gt; 住まい、インテリア &gt; 家具、インテリア &gt; インテリア小物 &gt; 置時計、掛時計 &gt; 置時計 &gt; アナログ</t>
  </si>
  <si>
    <t>オークション &gt; 住まい、インテリア &gt; 家具、インテリア &gt; インテリア小物 &gt; 置時計、掛時計 &gt; 置時計 &gt; デジタル</t>
  </si>
  <si>
    <t>オークション &gt; アクセサリー、時計 &gt; ハンドメイド &gt; アクセサリー（女性用） &gt; イヤリング、ピアス</t>
  </si>
  <si>
    <t>オークション &gt; アクセサリー、時計 &gt; ハンドメイド &gt; アクセサリー（女性用） &gt; ネックレス、ペンダント、チョーカー</t>
  </si>
  <si>
    <t>オークション &gt; アクセサリー、時計 &gt; ハンドメイド &gt; アクセサリー（女性用） &gt; ヘアアクセサリー</t>
  </si>
  <si>
    <t>オークション &gt; アクセサリー、時計 &gt; ハンドメイド &gt; アクセサリー（女性用） &gt; その他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</si>
</sst>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Arial"/>
    </font>
    <font>
      <sz val="8"/>
      <color rgb="FF881280"/>
      <name val="Courier New"/>
    </font>
    <font>
      <sz val="8"/>
      <color rgb="FF212529"/>
      <name val="Arial"/>
    </font>
    <font>
      <sz val="20"/>
      <color rgb="FF212529"/>
      <name val="Arial"/>
    </font>
    <font>
      <sz val="11"/>
      <color rgb="FF000000"/>
      <name val="Inconsolata"/>
    </font>
    <font>
      <sz val="11"/>
      <name val="Arial"/>
    </font>
    <font>
      <sz val="11"/>
      <color theme="1"/>
      <name val="Calibri"/>
    </font>
    <font>
      <sz val="11"/>
      <name val="Arial"/>
    </font>
    <font>
      <sz val="11"/>
      <color rgb="FF212529"/>
      <name val="Arial"/>
    </font>
    <font>
      <sz val="20"/>
      <color theme="1"/>
      <name val="Calibri"/>
    </font>
    <font>
      <sz val="8"/>
      <color rgb="FF212529"/>
      <name val="Roboto"/>
    </font>
    <font>
      <b/>
      <sz val="8"/>
      <color rgb="FF212529"/>
      <name val="Roboto"/>
    </font>
    <font>
      <b/>
      <sz val="8"/>
      <color rgb="FF212529"/>
      <name val="Calibri"/>
    </font>
    <font>
      <b/>
      <sz val="11"/>
      <color rgb="FF212529"/>
      <name val="Roboto"/>
    </font>
    <font>
      <b/>
      <sz val="8"/>
      <color rgb="FF212529"/>
      <name val="Arial"/>
    </font>
    <font>
      <b/>
      <sz val="11"/>
      <color rgb="FF212529"/>
      <name val="Calibri"/>
    </font>
    <font>
      <sz val="20"/>
      <color theme="1"/>
      <name val="Arial"/>
    </font>
    <font>
      <sz val="12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DEE2E6"/>
      </top>
      <bottom/>
      <diagonal/>
    </border>
    <border>
      <left/>
      <right/>
      <top style="medium">
        <color rgb="FFDEE2E6"/>
      </top>
      <bottom/>
      <diagonal/>
    </border>
    <border>
      <left/>
      <right/>
      <top style="thin">
        <color rgb="FFDEE2E6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 applyFont="1" applyAlignment="1"/>
    <xf numFmtId="0" fontId="1" fillId="0" borderId="0" xfId="0" applyFont="1"/>
    <xf numFmtId="0" fontId="2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4" fillId="2" borderId="0" xfId="0" applyFont="1" applyFill="1"/>
    <xf numFmtId="0" fontId="6" fillId="0" borderId="0" xfId="0" applyFont="1"/>
    <xf numFmtId="0" fontId="7" fillId="0" borderId="0" xfId="0" applyFont="1" applyAlignment="1"/>
    <xf numFmtId="0" fontId="2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top" wrapText="1"/>
    </xf>
    <xf numFmtId="0" fontId="9" fillId="0" borderId="0" xfId="0" applyFont="1" applyAlignment="1">
      <alignment horizontal="center"/>
    </xf>
    <xf numFmtId="0" fontId="3" fillId="2" borderId="3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wrapText="1"/>
    </xf>
    <xf numFmtId="0" fontId="3" fillId="0" borderId="0" xfId="0" applyFont="1" applyAlignment="1">
      <alignment horizontal="center"/>
    </xf>
    <xf numFmtId="0" fontId="11" fillId="2" borderId="1" xfId="0" applyFont="1" applyFill="1" applyBorder="1" applyAlignment="1">
      <alignment wrapText="1"/>
    </xf>
    <xf numFmtId="0" fontId="12" fillId="0" borderId="1" xfId="0" applyFont="1" applyBorder="1"/>
    <xf numFmtId="0" fontId="10" fillId="2" borderId="6" xfId="0" applyFont="1" applyFill="1" applyBorder="1" applyAlignment="1">
      <alignment wrapText="1"/>
    </xf>
    <xf numFmtId="0" fontId="10" fillId="2" borderId="7" xfId="0" applyFont="1" applyFill="1" applyBorder="1" applyAlignment="1">
      <alignment wrapText="1"/>
    </xf>
    <xf numFmtId="0" fontId="13" fillId="2" borderId="7" xfId="0" applyFont="1" applyFill="1" applyBorder="1" applyAlignment="1">
      <alignment wrapText="1"/>
    </xf>
    <xf numFmtId="16" fontId="13" fillId="2" borderId="7" xfId="0" applyNumberFormat="1" applyFont="1" applyFill="1" applyBorder="1" applyAlignment="1">
      <alignment wrapText="1"/>
    </xf>
    <xf numFmtId="0" fontId="14" fillId="2" borderId="5" xfId="0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2" fillId="2" borderId="8" xfId="0" applyFont="1" applyFill="1" applyBorder="1" applyAlignment="1">
      <alignment horizontal="center" vertical="top" wrapText="1"/>
    </xf>
    <xf numFmtId="0" fontId="15" fillId="0" borderId="9" xfId="0" applyFont="1" applyBorder="1"/>
    <xf numFmtId="0" fontId="13" fillId="2" borderId="0" xfId="0" applyFont="1" applyFill="1" applyAlignment="1">
      <alignment vertical="top"/>
    </xf>
    <xf numFmtId="0" fontId="0" fillId="0" borderId="0" xfId="0" applyFont="1"/>
    <xf numFmtId="0" fontId="13" fillId="2" borderId="0" xfId="0" applyFont="1" applyFill="1" applyAlignment="1">
      <alignment horizontal="left"/>
    </xf>
    <xf numFmtId="0" fontId="2" fillId="2" borderId="1" xfId="0" applyFont="1" applyFill="1" applyBorder="1" applyAlignment="1">
      <alignment wrapText="1"/>
    </xf>
    <xf numFmtId="0" fontId="10" fillId="2" borderId="5" xfId="0" applyFont="1" applyFill="1" applyBorder="1" applyAlignment="1">
      <alignment wrapText="1"/>
    </xf>
    <xf numFmtId="0" fontId="14" fillId="2" borderId="1" xfId="0" applyFont="1" applyFill="1" applyBorder="1" applyAlignment="1">
      <alignment wrapText="1"/>
    </xf>
    <xf numFmtId="0" fontId="3" fillId="2" borderId="10" xfId="0" applyFont="1" applyFill="1" applyBorder="1" applyAlignment="1">
      <alignment horizontal="center" vertical="top" wrapText="1"/>
    </xf>
    <xf numFmtId="0" fontId="3" fillId="2" borderId="11" xfId="0" applyFont="1" applyFill="1" applyBorder="1" applyAlignment="1">
      <alignment horizontal="center" vertical="top" wrapText="1"/>
    </xf>
    <xf numFmtId="0" fontId="10" fillId="2" borderId="12" xfId="0" applyFont="1" applyFill="1" applyBorder="1" applyAlignment="1">
      <alignment wrapText="1"/>
    </xf>
    <xf numFmtId="0" fontId="16" fillId="0" borderId="0" xfId="0" applyFont="1" applyAlignment="1">
      <alignment horizontal="center"/>
    </xf>
    <xf numFmtId="0" fontId="2" fillId="2" borderId="7" xfId="0" applyFont="1" applyFill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14" fillId="2" borderId="5" xfId="0" applyFont="1" applyFill="1" applyBorder="1" applyAlignment="1">
      <alignment wrapText="1"/>
    </xf>
    <xf numFmtId="0" fontId="3" fillId="2" borderId="2" xfId="0" applyFont="1" applyFill="1" applyBorder="1" applyAlignment="1">
      <alignment horizontal="center" vertical="top" wrapText="1"/>
    </xf>
    <xf numFmtId="0" fontId="5" fillId="0" borderId="3" xfId="0" applyFont="1" applyBorder="1"/>
    <xf numFmtId="0" fontId="5" fillId="0" borderId="4" xfId="0" applyFont="1" applyBorder="1"/>
    <xf numFmtId="0" fontId="17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6"/>
  <sheetViews>
    <sheetView zoomScale="115" zoomScaleNormal="115" workbookViewId="0">
      <selection activeCell="G3" sqref="G3"/>
    </sheetView>
  </sheetViews>
  <sheetFormatPr defaultColWidth="12.59765625" defaultRowHeight="15" customHeight="1"/>
  <cols>
    <col min="1" max="1" width="10.3984375" customWidth="1"/>
    <col min="2" max="2" width="13.3984375" customWidth="1"/>
    <col min="3" max="3" width="23.19921875" customWidth="1"/>
    <col min="4" max="4" width="26.59765625" customWidth="1"/>
    <col min="5" max="5" width="17.69921875" customWidth="1"/>
    <col min="6" max="6" width="51.898437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38"/>
      <c r="B2" s="39"/>
      <c r="C2" s="39"/>
      <c r="D2" s="40"/>
    </row>
    <row r="3" spans="1:7" ht="14.25" customHeight="1">
      <c r="A3" s="2">
        <v>2084307765</v>
      </c>
      <c r="B3" s="2" t="s">
        <v>11</v>
      </c>
      <c r="C3" s="2" t="s">
        <v>13</v>
      </c>
      <c r="D3" s="2" t="s">
        <v>16</v>
      </c>
      <c r="E3" s="5" t="str">
        <f ca="1">IFERROR(__xludf.DUMMYFUNCTION("GOOGLETRANSLATE(B3,""ja"",""vi"")"),"Cắm trại, ngoài trời")</f>
        <v>Cắm trại, ngoài trời</v>
      </c>
      <c r="F3" s="4" t="str">
        <f ca="1">IFERROR(__xludf.DUMMYFUNCTION("GOOGLETRANSLATE(C3,""ja"",""vi"")"),"Đấu giá&gt; Khác&gt; Cho thuê&gt; Thể thao, giải trí&gt; trại, ngoài trời")</f>
        <v>Đấu giá&gt; Khác&gt; Cho thuê&gt; Thể thao, giải trí&gt; trại, ngoài trời</v>
      </c>
      <c r="G3" t="str">
        <f ca="1">CONCATENATE(CHAR(34)&amp;"",A3,""&amp;CHAR(34)," : ", CHAR(34)&amp;"",E3,""&amp;CHAR(34),",")</f>
        <v>"2084307765" : "Cắm trại, ngoài trời",</v>
      </c>
    </row>
    <row r="4" spans="1:7" ht="14.25" customHeight="1">
      <c r="A4" s="2">
        <v>2084307766</v>
      </c>
      <c r="B4" s="2" t="s">
        <v>23</v>
      </c>
      <c r="C4" s="2" t="s">
        <v>25</v>
      </c>
      <c r="D4" s="2" t="s">
        <v>27</v>
      </c>
      <c r="E4" s="6" t="s">
        <v>28</v>
      </c>
      <c r="F4" s="4" t="str">
        <f ca="1">IFERROR(__xludf.DUMMYFUNCTION("GOOGLETRANSLATE(C4,""ja"",""vi"")"),"Đấu giá&gt; Khác&gt; Cho thuê&gt; Thể thao, giải trí&gt; xe đạp")</f>
        <v>Đấu giá&gt; Khác&gt; Cho thuê&gt; Thể thao, giải trí&gt; xe đạp</v>
      </c>
      <c r="G4" t="str">
        <f t="shared" ref="G4:G58" si="0">CONCATENATE(CHAR(34)&amp;"",A4,""&amp;CHAR(34)," : ", CHAR(34)&amp;"",E4,""&amp;CHAR(34),",")</f>
        <v>"2084307766" : "Xe đạp",</v>
      </c>
    </row>
    <row r="5" spans="1:7" ht="14.25" customHeight="1">
      <c r="A5" s="2">
        <v>2084307767</v>
      </c>
      <c r="B5" s="2" t="s">
        <v>35</v>
      </c>
      <c r="C5" s="2" t="s">
        <v>42</v>
      </c>
      <c r="D5" s="2" t="s">
        <v>44</v>
      </c>
      <c r="E5" s="5" t="str">
        <f ca="1">IFERROR(__xludf.DUMMYFUNCTION("GOOGLETRANSLATE(B5,""ja"",""vi"")"),"Trượt tuyết, trượt tuyết")</f>
        <v>Trượt tuyết, trượt tuyết</v>
      </c>
      <c r="F5" s="4" t="str">
        <f ca="1">IFERROR(__xludf.DUMMYFUNCTION("GOOGLETRANSLATE(C5,""ja"",""vi"")"),"Đấu giá&gt; Khác&gt; Cho thuê&gt; Thể thao, Giải trí&gt; Trượt tuyết, trượt tuyết")</f>
        <v>Đấu giá&gt; Khác&gt; Cho thuê&gt; Thể thao, Giải trí&gt; Trượt tuyết, trượt tuyết</v>
      </c>
      <c r="G5" t="str">
        <f t="shared" ca="1" si="0"/>
        <v>"2084307767" : "Trượt tuyết, trượt tuyết",</v>
      </c>
    </row>
    <row r="6" spans="1:7" ht="14.25" customHeight="1">
      <c r="A6" s="2">
        <v>2084307770</v>
      </c>
      <c r="B6" s="2" t="s">
        <v>50</v>
      </c>
      <c r="C6" s="2" t="s">
        <v>51</v>
      </c>
      <c r="D6" s="2" t="s">
        <v>52</v>
      </c>
      <c r="E6" s="6" t="s">
        <v>53</v>
      </c>
      <c r="F6" s="4" t="str">
        <f ca="1">IFERROR(__xludf.DUMMYFUNCTION("GOOGLETRANSLATE(C6,""ja"",""vi"")"),"Đấu giá&gt; Khác&gt; Cho thuê&gt; Thời trang&gt; nam")</f>
        <v>Đấu giá&gt; Khác&gt; Cho thuê&gt; Thời trang&gt; nam</v>
      </c>
      <c r="G6" t="str">
        <f t="shared" si="0"/>
        <v>"2084307770" : "Nam",</v>
      </c>
    </row>
    <row r="7" spans="1:7" ht="14.25" customHeight="1">
      <c r="A7" s="2">
        <v>2084307771</v>
      </c>
      <c r="B7" s="2" t="s">
        <v>58</v>
      </c>
      <c r="C7" s="2" t="s">
        <v>60</v>
      </c>
      <c r="D7" s="2" t="s">
        <v>62</v>
      </c>
      <c r="E7" s="6" t="s">
        <v>63</v>
      </c>
      <c r="F7" s="4" t="str">
        <f ca="1">IFERROR(__xludf.DUMMYFUNCTION("GOOGLETRANSLATE(C7,""ja"",""vi"")"),"Đấu giá&gt; Khác&gt; Cho thuê&gt; Thời trang&gt; Phụ nữ")</f>
        <v>Đấu giá&gt; Khác&gt; Cho thuê&gt; Thời trang&gt; Phụ nữ</v>
      </c>
      <c r="G7" t="str">
        <f t="shared" si="0"/>
        <v>"2084307771" : "Phụ nữ",</v>
      </c>
    </row>
    <row r="8" spans="1:7" ht="14.25" customHeight="1">
      <c r="A8" s="2">
        <v>2084307772</v>
      </c>
      <c r="B8" s="2" t="s">
        <v>67</v>
      </c>
      <c r="C8" s="2" t="s">
        <v>69</v>
      </c>
      <c r="D8" s="2" t="s">
        <v>72</v>
      </c>
      <c r="E8" s="5" t="str">
        <f ca="1">IFERROR(__xludf.DUMMYFUNCTION("GOOGLETRANSLATE(B8,""ja"",""vi"")"),"Kids")</f>
        <v>Kids</v>
      </c>
      <c r="F8" s="4" t="str">
        <f ca="1">IFERROR(__xludf.DUMMYFUNCTION("GOOGLETRANSLATE(C8,""ja"",""vi"")"),"Đấu giá&gt; Khác&gt; Cho thuê&gt; Thời trang&gt; Kids")</f>
        <v>Đấu giá&gt; Khác&gt; Cho thuê&gt; Thời trang&gt; Kids</v>
      </c>
      <c r="G8" t="str">
        <f t="shared" ca="1" si="0"/>
        <v>"2084307772" : "Kids",</v>
      </c>
    </row>
    <row r="9" spans="1:7" ht="14.25" customHeight="1">
      <c r="A9" s="2">
        <v>2084307774</v>
      </c>
      <c r="B9" s="2" t="s">
        <v>76</v>
      </c>
      <c r="C9" s="2" t="s">
        <v>77</v>
      </c>
      <c r="D9" s="2" t="s">
        <v>79</v>
      </c>
      <c r="E9" s="5" t="str">
        <f ca="1">IFERROR(__xludf.DUMMYFUNCTION("GOOGLETRANSLATE(B9,""ja"",""vi"")"),"Túi xách, va li")</f>
        <v>Túi xách, va li</v>
      </c>
      <c r="F9" s="4" t="str">
        <f ca="1">IFERROR(__xludf.DUMMYFUNCTION("GOOGLETRANSLATE(C9,""ja"",""vi"")"),"Đấu giá&gt; Khác&gt; Cho thuê&gt; Thời trang&gt; túi, va li")</f>
        <v>Đấu giá&gt; Khác&gt; Cho thuê&gt; Thời trang&gt; túi, va li</v>
      </c>
      <c r="G9" t="str">
        <f t="shared" ca="1" si="0"/>
        <v>"2084307774" : "Túi xách, va li",</v>
      </c>
    </row>
    <row r="10" spans="1:7" ht="14.25" customHeight="1">
      <c r="A10" s="2">
        <v>2084307776</v>
      </c>
      <c r="B10" s="2" t="s">
        <v>82</v>
      </c>
      <c r="C10" s="2" t="s">
        <v>83</v>
      </c>
      <c r="D10" s="2" t="s">
        <v>85</v>
      </c>
      <c r="E10" s="5" t="str">
        <f ca="1">IFERROR(__xludf.DUMMYFUNCTION("GOOGLETRANSLATE(B10,""ja"",""vi"")"),"Văn phòng, cửa hàng")</f>
        <v>Văn phòng, cửa hàng</v>
      </c>
      <c r="F10" s="4" t="str">
        <f ca="1">IFERROR(__xludf.DUMMYFUNCTION("GOOGLETRANSLATE(C10,""ja"",""vi"")"),"Đấu giá&gt; Khác&gt; Cho thuê&gt; dấu cách&gt; văn phòng, cửa hàng")</f>
        <v>Đấu giá&gt; Khác&gt; Cho thuê&gt; dấu cách&gt; văn phòng, cửa hàng</v>
      </c>
      <c r="G10" t="str">
        <f t="shared" ca="1" si="0"/>
        <v>"2084307776" : "Văn phòng, cửa hàng",</v>
      </c>
    </row>
    <row r="11" spans="1:7" ht="14.25" customHeight="1">
      <c r="A11" s="2">
        <v>2084307777</v>
      </c>
      <c r="B11" s="2" t="s">
        <v>88</v>
      </c>
      <c r="C11" s="2" t="s">
        <v>89</v>
      </c>
      <c r="D11" s="2" t="s">
        <v>90</v>
      </c>
      <c r="E11" s="6" t="s">
        <v>91</v>
      </c>
      <c r="F11" s="4" t="str">
        <f ca="1">IFERROR(__xludf.DUMMYFUNCTION("GOOGLETRANSLATE(C11,""ja"",""vi"")"),"Đấu giá&gt; Khác&gt; Cho thuê&gt; dấu cách&gt; Phòng Hội thảo")</f>
        <v>Đấu giá&gt; Khác&gt; Cho thuê&gt; dấu cách&gt; Phòng Hội thảo</v>
      </c>
      <c r="G11" t="str">
        <f t="shared" si="0"/>
        <v>"2084307777" : "Phòng hội thảo",</v>
      </c>
    </row>
    <row r="12" spans="1:7" ht="14.25" customHeight="1">
      <c r="A12" s="2">
        <v>2084307778</v>
      </c>
      <c r="B12" s="2" t="s">
        <v>96</v>
      </c>
      <c r="C12" s="2" t="s">
        <v>99</v>
      </c>
      <c r="D12" s="2" t="s">
        <v>100</v>
      </c>
      <c r="E12" s="6" t="s">
        <v>101</v>
      </c>
      <c r="F12" s="4" t="str">
        <f ca="1">IFERROR(__xludf.DUMMYFUNCTION("GOOGLETRANSLATE(C12,""ja"",""vi"")"),"Đấu giá&gt; Khác&gt; Cho thuê&gt; dấu cách&gt; Bãi đỗ xe")</f>
        <v>Đấu giá&gt; Khác&gt; Cho thuê&gt; dấu cách&gt; Bãi đỗ xe</v>
      </c>
      <c r="G12" t="str">
        <f t="shared" si="0"/>
        <v>"2084307778" : "Bãi đổ xe",</v>
      </c>
    </row>
    <row r="13" spans="1:7" ht="14.25" customHeight="1">
      <c r="A13" s="2">
        <v>2084307779</v>
      </c>
      <c r="B13" s="2" t="s">
        <v>102</v>
      </c>
      <c r="C13" s="2" t="s">
        <v>103</v>
      </c>
      <c r="D13" s="2" t="s">
        <v>105</v>
      </c>
      <c r="E13" s="6" t="s">
        <v>106</v>
      </c>
      <c r="F13" s="4" t="str">
        <f ca="1">IFERROR(__xludf.DUMMYFUNCTION("GOOGLETRANSLATE(C13,""ja"",""vi"")"),"Đấu giá&gt; Khác&gt; Cho thuê&gt; không gian")</f>
        <v>Đấu giá&gt; Khác&gt; Cho thuê&gt; không gian</v>
      </c>
      <c r="G13" t="str">
        <f t="shared" si="0"/>
        <v>"2084307779" : "Không gian",</v>
      </c>
    </row>
    <row r="14" spans="1:7" ht="14.25" customHeight="1">
      <c r="A14" s="2">
        <v>2084307781</v>
      </c>
      <c r="B14" s="2" t="s">
        <v>110</v>
      </c>
      <c r="C14" s="2" t="s">
        <v>112</v>
      </c>
      <c r="D14" s="2" t="s">
        <v>113</v>
      </c>
      <c r="E14" s="6" t="s">
        <v>115</v>
      </c>
      <c r="F14" s="4" t="str">
        <f ca="1">IFERROR(__xludf.DUMMYFUNCTION("GOOGLETRANSLATE(C14,""ja"",""vi"")"),"Đấu giá&gt; Khác&gt; Cho thuê&gt; Bất động sản&gt; Biệt thự")</f>
        <v>Đấu giá&gt; Khác&gt; Cho thuê&gt; Bất động sản&gt; Biệt thự</v>
      </c>
      <c r="G14" t="str">
        <f t="shared" si="0"/>
        <v>"2084307781" : "Biệt thự",</v>
      </c>
    </row>
    <row r="15" spans="1:7" ht="14.25" customHeight="1">
      <c r="A15" s="2">
        <v>2084307782</v>
      </c>
      <c r="B15" s="2" t="s">
        <v>119</v>
      </c>
      <c r="C15" s="2" t="s">
        <v>120</v>
      </c>
      <c r="D15" s="2" t="s">
        <v>121</v>
      </c>
      <c r="E15" s="6" t="s">
        <v>123</v>
      </c>
      <c r="F15" s="4" t="str">
        <f ca="1">IFERROR(__xludf.DUMMYFUNCTION("GOOGLETRANSLATE(C15,""ja"",""vi"")"),"Đấu giá&gt; Khác&gt; Cho thuê&gt; Bất động sản&gt; quyền sở hữu nhà")</f>
        <v>Đấu giá&gt; Khác&gt; Cho thuê&gt; Bất động sản&gt; quyền sở hữu nhà</v>
      </c>
      <c r="G15" t="str">
        <f t="shared" si="0"/>
        <v>"2084307782" : "Quyền sở hữu nhà",</v>
      </c>
    </row>
    <row r="16" spans="1:7" ht="14.25" customHeight="1">
      <c r="A16" s="2">
        <v>2084310261</v>
      </c>
      <c r="B16" s="2" t="s">
        <v>128</v>
      </c>
      <c r="C16" s="2" t="s">
        <v>129</v>
      </c>
      <c r="D16" s="2" t="s">
        <v>131</v>
      </c>
      <c r="E16" s="6" t="s">
        <v>132</v>
      </c>
      <c r="F16" s="4" t="str">
        <f ca="1">IFERROR(__xludf.DUMMYFUNCTION("GOOGLETRANSLATE(C16,""ja"",""vi"")"),"Đấu giá&gt; Khác&gt; Cho thuê&gt; đồ chơi, trò chơi, cosplay&gt; thủ đoạn ma thuật, hàng hóa bên")</f>
        <v>Đấu giá&gt; Khác&gt; Cho thuê&gt; đồ chơi, trò chơi, cosplay&gt; thủ đoạn ma thuật, hàng hóa bên</v>
      </c>
      <c r="G16" t="str">
        <f t="shared" si="0"/>
        <v>"2084310261" : "Ảo thuật",</v>
      </c>
    </row>
    <row r="17" spans="1:7" ht="14.25" customHeight="1">
      <c r="A17" s="2">
        <v>2084307786</v>
      </c>
      <c r="B17" s="2" t="s">
        <v>134</v>
      </c>
      <c r="C17" s="2" t="s">
        <v>137</v>
      </c>
      <c r="D17" s="2" t="s">
        <v>139</v>
      </c>
      <c r="E17" s="6" t="s">
        <v>141</v>
      </c>
      <c r="F17" s="4" t="str">
        <f ca="1">IFERROR(__xludf.DUMMYFUNCTION("GOOGLETRANSLATE(C17,""ja"",""vi"")"),"Đấu giá&gt; Khác&gt; Cho thuê&gt; đồ chơi, trò chơi, cosplay&gt; Đồ chơi")</f>
        <v>Đấu giá&gt; Khác&gt; Cho thuê&gt; đồ chơi, trò chơi, cosplay&gt; Đồ chơi</v>
      </c>
      <c r="G17" t="str">
        <f t="shared" si="0"/>
        <v>"2084307786" : "Đồ chơi",</v>
      </c>
    </row>
    <row r="18" spans="1:7" ht="14.25" customHeight="1">
      <c r="A18" s="2">
        <v>2084307787</v>
      </c>
      <c r="B18" s="2" t="s">
        <v>143</v>
      </c>
      <c r="C18" s="2" t="s">
        <v>144</v>
      </c>
      <c r="D18" s="2" t="s">
        <v>145</v>
      </c>
      <c r="E18" s="6" t="s">
        <v>147</v>
      </c>
      <c r="F18" s="4" t="str">
        <f ca="1">IFERROR(__xludf.DUMMYFUNCTION("GOOGLETRANSLATE(C18,""ja"",""vi"")"),"Đấu giá&gt; Khác&gt; Cho thuê&gt; đồ chơi, trò chơi, cosplay&gt; trò chơi")</f>
        <v>Đấu giá&gt; Khác&gt; Cho thuê&gt; đồ chơi, trò chơi, cosplay&gt; trò chơi</v>
      </c>
      <c r="G18" t="str">
        <f t="shared" si="0"/>
        <v>"2084307787" : "Trò chơi",</v>
      </c>
    </row>
    <row r="19" spans="1:7" ht="14.25" customHeight="1">
      <c r="A19" s="2">
        <v>2084310200</v>
      </c>
      <c r="B19" s="2" t="s">
        <v>152</v>
      </c>
      <c r="C19" s="2" t="s">
        <v>154</v>
      </c>
      <c r="D19" s="2" t="s">
        <v>155</v>
      </c>
      <c r="E19" s="6" t="s">
        <v>156</v>
      </c>
      <c r="F19" s="4" t="str">
        <f ca="1">IFERROR(__xludf.DUMMYFUNCTION("GOOGLETRANSLATE(C19,""ja"",""vi"")"),"Đấu giá&gt; Khác&gt; Cho thuê&gt; đồ chơi, trò chơi, Cosplay&gt; Cosplay")</f>
        <v>Đấu giá&gt; Khác&gt; Cho thuê&gt; đồ chơi, trò chơi, Cosplay&gt; Cosplay</v>
      </c>
      <c r="G19" t="str">
        <f t="shared" si="0"/>
        <v>"2084310200" : "Cosplay",</v>
      </c>
    </row>
    <row r="20" spans="1:7" ht="14.25" customHeight="1">
      <c r="A20" s="2">
        <v>2084307794</v>
      </c>
      <c r="B20" s="2" t="s">
        <v>158</v>
      </c>
      <c r="C20" s="2" t="s">
        <v>160</v>
      </c>
      <c r="D20" s="2" t="s">
        <v>161</v>
      </c>
      <c r="E20" s="6" t="s">
        <v>163</v>
      </c>
      <c r="F20" s="4" t="str">
        <f ca="1">IFERROR(__xludf.DUMMYFUNCTION("GOOGLETRANSLATE(C20,""ja"",""vi"")"),"Đấu giá&gt; Khác&gt; Cho thuê&gt; Văn phòng, Cửa hàng cung cấp&gt; thiết bị nhà bếp")</f>
        <v>Đấu giá&gt; Khác&gt; Cho thuê&gt; Văn phòng, Cửa hàng cung cấp&gt; thiết bị nhà bếp</v>
      </c>
      <c r="G20" t="str">
        <f t="shared" si="0"/>
        <v>"2084307794" : "Thiết bị nhà bếp",</v>
      </c>
    </row>
    <row r="21" spans="1:7" ht="14.25" customHeight="1">
      <c r="A21" s="2">
        <v>2084307795</v>
      </c>
      <c r="B21" s="2" t="s">
        <v>167</v>
      </c>
      <c r="C21" s="2" t="s">
        <v>168</v>
      </c>
      <c r="D21" s="2" t="s">
        <v>170</v>
      </c>
      <c r="E21" s="6" t="s">
        <v>171</v>
      </c>
      <c r="F21" s="4" t="str">
        <f ca="1">IFERROR(__xludf.DUMMYFUNCTION("GOOGLETRANSLATE(C21,""ja"",""vi"")"),"Đấu giá&gt; Khác&gt; Cho thuê&gt; Văn phòng, Cửa hàng cung cấp&gt; thiết bị OA")</f>
        <v>Đấu giá&gt; Khác&gt; Cho thuê&gt; Văn phòng, Cửa hàng cung cấp&gt; thiết bị OA</v>
      </c>
      <c r="G21" t="str">
        <f t="shared" si="0"/>
        <v>"2084307795" : "Thiết bị OA",</v>
      </c>
    </row>
    <row r="22" spans="1:7" ht="14.25" customHeight="1">
      <c r="A22" s="2">
        <v>2084307796</v>
      </c>
      <c r="B22" s="2" t="s">
        <v>177</v>
      </c>
      <c r="C22" s="2" t="s">
        <v>178</v>
      </c>
      <c r="D22" s="2" t="s">
        <v>179</v>
      </c>
      <c r="E22" s="6" t="s">
        <v>180</v>
      </c>
      <c r="F22" s="4" t="str">
        <f ca="1">IFERROR(__xludf.DUMMYFUNCTION("GOOGLETRANSLATE(C22,""ja"",""vi"")"),"Đấu giá&gt; Khác&gt; Cho thuê&gt; Văn phòng, Cửa hàng cung cấp&gt; Nội thất văn phòng")</f>
        <v>Đấu giá&gt; Khác&gt; Cho thuê&gt; Văn phòng, Cửa hàng cung cấp&gt; Nội thất văn phòng</v>
      </c>
      <c r="G22" t="str">
        <f t="shared" si="0"/>
        <v>"2084307796" : "Nội thất văn phòng",</v>
      </c>
    </row>
    <row r="23" spans="1:7" ht="14.25" customHeight="1">
      <c r="A23" s="2">
        <v>2084307799</v>
      </c>
      <c r="B23" s="2" t="s">
        <v>184</v>
      </c>
      <c r="C23" s="7" t="s">
        <v>185</v>
      </c>
      <c r="D23" s="2" t="s">
        <v>186</v>
      </c>
      <c r="E23" s="6" t="s">
        <v>187</v>
      </c>
      <c r="F23" s="4" t="str">
        <f ca="1">IFERROR(__xludf.DUMMYFUNCTION("GOOGLETRANSLATE(C23,""ja"",""vi"")"),"Đấu giá&gt; Khác&gt; Thuê&gt; nhà, nội thất&gt; Sản phẩm bé")</f>
        <v>Đấu giá&gt; Khác&gt; Thuê&gt; nhà, nội thất&gt; Sản phẩm bé</v>
      </c>
      <c r="G23" t="str">
        <f t="shared" si="0"/>
        <v>"2084307799" : "Sản phẩm cho bé",</v>
      </c>
    </row>
    <row r="24" spans="1:7" ht="14.25" customHeight="1">
      <c r="A24" s="2">
        <v>2084307800</v>
      </c>
      <c r="B24" s="2" t="s">
        <v>188</v>
      </c>
      <c r="C24" s="7" t="s">
        <v>190</v>
      </c>
      <c r="D24" s="2" t="s">
        <v>191</v>
      </c>
      <c r="E24" s="6" t="s">
        <v>180</v>
      </c>
      <c r="F24" s="4" t="str">
        <f ca="1">IFERROR(__xludf.DUMMYFUNCTION("GOOGLETRANSLATE(C24,""ja"",""vi"")"),"Đấu giá&gt; Khác&gt; Thuê&gt; nhà, nội thất&gt; nội thất, nội thất")</f>
        <v>Đấu giá&gt; Khác&gt; Thuê&gt; nhà, nội thất&gt; nội thất, nội thất</v>
      </c>
      <c r="G24" t="str">
        <f t="shared" si="0"/>
        <v>"2084307800" : "Nội thất văn phòng",</v>
      </c>
    </row>
    <row r="25" spans="1:7" ht="14.25" customHeight="1">
      <c r="A25" s="2">
        <v>2084307804</v>
      </c>
      <c r="B25" s="2" t="s">
        <v>197</v>
      </c>
      <c r="C25" s="7" t="s">
        <v>198</v>
      </c>
      <c r="D25" s="2" t="s">
        <v>199</v>
      </c>
      <c r="E25" s="5" t="str">
        <f ca="1">IFERROR(__xludf.DUMMYFUNCTION("GOOGLETRANSLATE(B25,""ja"",""vi"")"),"Công cụ, vật tư DIY")</f>
        <v>Công cụ, vật tư DIY</v>
      </c>
      <c r="F25" s="4" t="str">
        <f ca="1">IFERROR(__xludf.DUMMYFUNCTION("GOOGLETRANSLATE(C25,""ja"",""vi"")"),"Đấu giá&gt; Khác&gt; Thuê&gt; nhà, nội thất&gt; công cụ, vật tư DIY")</f>
        <v>Đấu giá&gt; Khác&gt; Thuê&gt; nhà, nội thất&gt; công cụ, vật tư DIY</v>
      </c>
      <c r="G25" t="str">
        <f t="shared" ca="1" si="0"/>
        <v>"2084307804" : "Công cụ, vật tư DIY",</v>
      </c>
    </row>
    <row r="26" spans="1:7" ht="14.25" customHeight="1">
      <c r="A26" s="2">
        <v>2084310198</v>
      </c>
      <c r="B26" s="2" t="s">
        <v>203</v>
      </c>
      <c r="C26" s="7" t="s">
        <v>205</v>
      </c>
      <c r="D26" s="2" t="s">
        <v>207</v>
      </c>
      <c r="E26" s="6" t="s">
        <v>208</v>
      </c>
      <c r="F26" s="4" t="str">
        <f ca="1">IFERROR(__xludf.DUMMYFUNCTION("GOOGLETRANSLATE(C26,""ja"",""vi"")"),"Đấu giá&gt; Khác&gt; Thuê&gt; nhà, nội thất&gt; mùa, sự kiện hàng năm")</f>
        <v>Đấu giá&gt; Khác&gt; Thuê&gt; nhà, nội thất&gt; mùa, sự kiện hàng năm</v>
      </c>
      <c r="G26" t="str">
        <f t="shared" si="0"/>
        <v>"2084310198" : "Tổ chức sự kiện",</v>
      </c>
    </row>
    <row r="27" spans="1:7" ht="14.25" customHeight="1">
      <c r="A27" s="2">
        <v>2084307730</v>
      </c>
      <c r="B27" s="2" t="s">
        <v>213</v>
      </c>
      <c r="C27" s="7" t="s">
        <v>214</v>
      </c>
      <c r="D27" s="2" t="s">
        <v>217</v>
      </c>
      <c r="E27" s="6" t="s">
        <v>218</v>
      </c>
      <c r="F27" s="4" t="str">
        <f ca="1">IFERROR(__xludf.DUMMYFUNCTION("GOOGLETRANSLATE(C27,""ja"",""vi"")"),"Đấu giá&gt; Khác&gt; kỹ năng, kiến ​​thức&gt; sản xuất nội dung&gt; Video")</f>
        <v>Đấu giá&gt; Khác&gt; kỹ năng, kiến ​​thức&gt; sản xuất nội dung&gt; Video</v>
      </c>
      <c r="G27" t="str">
        <f t="shared" si="0"/>
        <v>"2084307730" : "Video",</v>
      </c>
    </row>
    <row r="28" spans="1:7" ht="14.25" customHeight="1">
      <c r="A28" s="2">
        <v>2084307731</v>
      </c>
      <c r="B28" s="2" t="s">
        <v>223</v>
      </c>
      <c r="C28" s="7" t="s">
        <v>224</v>
      </c>
      <c r="D28" s="2" t="s">
        <v>225</v>
      </c>
      <c r="E28" s="6" t="s">
        <v>227</v>
      </c>
      <c r="F28" s="4" t="str">
        <f ca="1">IFERROR(__xludf.DUMMYFUNCTION("GOOGLETRANSLATE(C28,""ja"",""vi"")"),"Đấu giá&gt; Khác&gt; kỹ năng, kiến ​​thức&gt; tạo nội dung&gt; Ảnh")</f>
        <v>Đấu giá&gt; Khác&gt; kỹ năng, kiến ​​thức&gt; tạo nội dung&gt; Ảnh</v>
      </c>
      <c r="G28" t="str">
        <f t="shared" si="0"/>
        <v>"2084307731" : "Ảnh",</v>
      </c>
    </row>
    <row r="29" spans="1:7" ht="14.25" customHeight="1">
      <c r="A29" s="2">
        <v>2084307732</v>
      </c>
      <c r="B29" s="2" t="s">
        <v>232</v>
      </c>
      <c r="C29" s="7" t="s">
        <v>234</v>
      </c>
      <c r="D29" s="2" t="s">
        <v>235</v>
      </c>
      <c r="E29" s="6" t="s">
        <v>236</v>
      </c>
      <c r="F29" s="4" t="str">
        <f ca="1">IFERROR(__xludf.DUMMYFUNCTION("GOOGLETRANSLATE(C29,""ja"",""vi"")"),"Đấu giá&gt; Khác&gt; kỹ năng, kiến ​​thức&gt; Nội dung sáng tạo&gt; tường thuật, diễn viên lồng tiếng")</f>
        <v>Đấu giá&gt; Khác&gt; kỹ năng, kiến ​​thức&gt; Nội dung sáng tạo&gt; tường thuật, diễn viên lồng tiếng</v>
      </c>
      <c r="G29" t="str">
        <f t="shared" si="0"/>
        <v>"2084307732" : "Dịch thuật, phiên dịch",</v>
      </c>
    </row>
    <row r="30" spans="1:7" ht="14.25" customHeight="1">
      <c r="A30" s="2">
        <v>2084307733</v>
      </c>
      <c r="B30" s="2" t="s">
        <v>242</v>
      </c>
      <c r="C30" s="7" t="s">
        <v>244</v>
      </c>
      <c r="D30" s="2" t="s">
        <v>245</v>
      </c>
      <c r="E30" s="6" t="s">
        <v>246</v>
      </c>
      <c r="F30" s="4" t="str">
        <f ca="1">IFERROR(__xludf.DUMMYFUNCTION("GOOGLETRANSLATE(C30,""ja"",""vi"")"),"Đấu giá&gt; Khác&gt; kỹ năng, kiến ​​thức&gt; Nội dung sáng tạo&gt; dịch thuật, phiên dịch")</f>
        <v>Đấu giá&gt; Khác&gt; kỹ năng, kiến ​​thức&gt; Nội dung sáng tạo&gt; dịch thuật, phiên dịch</v>
      </c>
      <c r="G30" t="str">
        <f t="shared" si="0"/>
        <v>"2084307733" : "Phiên dịch",</v>
      </c>
    </row>
    <row r="31" spans="1:7" ht="14.25" customHeight="1">
      <c r="A31" s="2">
        <v>2084307734</v>
      </c>
      <c r="B31" s="2" t="s">
        <v>252</v>
      </c>
      <c r="C31" s="7" t="s">
        <v>254</v>
      </c>
      <c r="D31" s="2" t="s">
        <v>255</v>
      </c>
      <c r="E31" s="6" t="s">
        <v>256</v>
      </c>
      <c r="F31" s="4" t="str">
        <f ca="1">IFERROR(__xludf.DUMMYFUNCTION("GOOGLETRANSLATE(C31,""ja"",""vi"")"),"Đấu giá&gt; Khác&gt; kỹ năng, kiến ​​thức&gt; Nội dung sáng tạo&gt; ghi âm, sản xuất âm nhạc")</f>
        <v>Đấu giá&gt; Khác&gt; kỹ năng, kiến ​​thức&gt; Nội dung sáng tạo&gt; ghi âm, sản xuất âm nhạc</v>
      </c>
      <c r="G31" t="str">
        <f t="shared" si="0"/>
        <v>"2084307734" : "Ghi âm, sản xuất âm nhạc",</v>
      </c>
    </row>
    <row r="32" spans="1:7" ht="14.25" customHeight="1">
      <c r="A32" s="2">
        <v>2084307735</v>
      </c>
      <c r="B32" s="2" t="s">
        <v>257</v>
      </c>
      <c r="C32" s="7" t="s">
        <v>260</v>
      </c>
      <c r="D32" s="2" t="s">
        <v>262</v>
      </c>
      <c r="E32" s="5" t="str">
        <f ca="1">IFERROR(__xludf.DUMMYFUNCTION("GOOGLETRANSLATE(B32,""ja"",""vi"")"),"Minh hoạ, nghệ thuật")</f>
        <v>Minh hoạ, nghệ thuật</v>
      </c>
      <c r="F32" s="4" t="str">
        <f ca="1">IFERROR(__xludf.DUMMYFUNCTION("GOOGLETRANSLATE(C32,""ja"",""vi"")"),"Đấu giá&gt; Khác&gt; kỹ năng, kiến ​​thức&gt; Nội dung sáng tạo&gt; minh họa, nghệ thuật")</f>
        <v>Đấu giá&gt; Khác&gt; kỹ năng, kiến ​​thức&gt; Nội dung sáng tạo&gt; minh họa, nghệ thuật</v>
      </c>
      <c r="G32" t="str">
        <f t="shared" ca="1" si="0"/>
        <v>"2084307735" : "Minh hoạ, nghệ thuật",</v>
      </c>
    </row>
    <row r="33" spans="1:7" ht="14.25" customHeight="1">
      <c r="A33" s="2">
        <v>2084310201</v>
      </c>
      <c r="B33" s="2" t="s">
        <v>266</v>
      </c>
      <c r="C33" s="7" t="s">
        <v>268</v>
      </c>
      <c r="D33" s="2" t="s">
        <v>270</v>
      </c>
      <c r="E33" s="6" t="s">
        <v>271</v>
      </c>
      <c r="F33" s="4" t="str">
        <f ca="1">IFERROR(__xludf.DUMMYFUNCTION("GOOGLETRANSLATE(C33,""ja"",""vi"")"),"Đấu giá&gt; Khác&gt; kỹ năng, kiến ​​thức&gt; Content Creation&gt; Internet")</f>
        <v>Đấu giá&gt; Khác&gt; kỹ năng, kiến ​​thức&gt; Content Creation&gt; Internet</v>
      </c>
      <c r="G33" t="str">
        <f t="shared" si="0"/>
        <v>"2084310201" : "Mạng",</v>
      </c>
    </row>
    <row r="34" spans="1:7" ht="14.25" customHeight="1">
      <c r="A34" s="8">
        <v>2084307743</v>
      </c>
      <c r="B34" s="2" t="s">
        <v>275</v>
      </c>
      <c r="C34" s="2" t="s">
        <v>277</v>
      </c>
      <c r="D34" s="2" t="s">
        <v>278</v>
      </c>
      <c r="E34" s="6" t="s">
        <v>280</v>
      </c>
      <c r="F34" s="4" t="str">
        <f ca="1">IFERROR(__xludf.DUMMYFUNCTION("GOOGLETRANSLATE(C34,""ja"",""vi"")"),"Đấu giá&gt; Khác&gt; kỹ năng, kiến ​​thức&gt; học tập, các bài học&gt; nhạc cụ, âm nhạc")</f>
        <v>Đấu giá&gt; Khác&gt; kỹ năng, kiến ​​thức&gt; học tập, các bài học&gt; nhạc cụ, âm nhạc</v>
      </c>
      <c r="G34" t="str">
        <f t="shared" si="0"/>
        <v>"2084307743" : "Nhạc cụ, âm nhạc",</v>
      </c>
    </row>
    <row r="35" spans="1:7" ht="14.25" customHeight="1">
      <c r="A35" s="8">
        <v>2084307745</v>
      </c>
      <c r="B35" s="2" t="s">
        <v>283</v>
      </c>
      <c r="C35" s="2" t="s">
        <v>285</v>
      </c>
      <c r="D35" s="2" t="s">
        <v>288</v>
      </c>
      <c r="E35" s="5" t="str">
        <f ca="1">IFERROR(__xludf.DUMMYFUNCTION("GOOGLETRANSLATE(B35,""ja"",""vi"")"),"Sở thích, thể thao")</f>
        <v>Sở thích, thể thao</v>
      </c>
      <c r="F35" s="4" t="str">
        <f ca="1">IFERROR(__xludf.DUMMYFUNCTION("GOOGLETRANSLATE(C35,""ja"",""vi"")"),"Đấu giá&gt; Khác&gt; kỹ năng, kiến ​​thức&gt; học tập, các bài học&gt; sở thích, thể thao")</f>
        <v>Đấu giá&gt; Khác&gt; kỹ năng, kiến ​​thức&gt; học tập, các bài học&gt; sở thích, thể thao</v>
      </c>
      <c r="G35" t="str">
        <f t="shared" ca="1" si="0"/>
        <v>"2084307745" : "Sở thích, thể thao",</v>
      </c>
    </row>
    <row r="36" spans="1:7" ht="14.25" customHeight="1">
      <c r="A36" s="8">
        <v>2084310202</v>
      </c>
      <c r="B36" s="2" t="s">
        <v>292</v>
      </c>
      <c r="C36" s="2" t="s">
        <v>295</v>
      </c>
      <c r="D36" s="2" t="s">
        <v>297</v>
      </c>
      <c r="E36" s="5" t="str">
        <f ca="1">IFERROR(__xludf.DUMMYFUNCTION("GOOGLETRANSLATE(B36,""ja"",""vi"")"),"Este")</f>
        <v>Este</v>
      </c>
      <c r="F36" s="4" t="str">
        <f ca="1">IFERROR(__xludf.DUMMYFUNCTION("GOOGLETRANSLATE(C36,""ja"",""vi"")"),"Đấu giá&gt; Khác&gt; kỹ năng, kiến ​​thức&gt; học tập, các bài học&gt; Este")</f>
        <v>Đấu giá&gt; Khác&gt; kỹ năng, kiến ​​thức&gt; học tập, các bài học&gt; Este</v>
      </c>
      <c r="G36" t="str">
        <f t="shared" ca="1" si="0"/>
        <v>"2084310202" : "Este",</v>
      </c>
    </row>
    <row r="37" spans="1:7" ht="14.25" customHeight="1">
      <c r="A37" s="8">
        <v>2084310203</v>
      </c>
      <c r="B37" s="2" t="s">
        <v>302</v>
      </c>
      <c r="C37" s="2" t="s">
        <v>303</v>
      </c>
      <c r="D37" s="2" t="s">
        <v>305</v>
      </c>
      <c r="E37" s="6" t="s">
        <v>307</v>
      </c>
      <c r="F37" s="4" t="str">
        <f ca="1">IFERROR(__xludf.DUMMYFUNCTION("GOOGLETRANSLATE(C37,""ja"",""vi"")"),"Đấu giá&gt; Khác&gt; kỹ năng, kiến ​​thức&gt; học tập, các bài học&gt; Nấu ăn")</f>
        <v>Đấu giá&gt; Khác&gt; kỹ năng, kiến ​​thức&gt; học tập, các bài học&gt; Nấu ăn</v>
      </c>
      <c r="G37" t="str">
        <f t="shared" si="0"/>
        <v>"2084310203" : "Nấu ăn",</v>
      </c>
    </row>
    <row r="38" spans="1:7" ht="14.25" customHeight="1">
      <c r="A38" s="8">
        <v>2084310204</v>
      </c>
      <c r="B38" s="2" t="s">
        <v>308</v>
      </c>
      <c r="C38" s="2" t="s">
        <v>311</v>
      </c>
      <c r="D38" s="2" t="s">
        <v>314</v>
      </c>
      <c r="E38" s="6" t="s">
        <v>315</v>
      </c>
      <c r="F38" s="4" t="str">
        <f ca="1">IFERROR(__xludf.DUMMYFUNCTION("GOOGLETRANSLATE(C38,""ja"",""vi"")"),"Đấu giá&gt; Khác&gt; kỹ năng, kiến ​​thức&gt; học tập, các bài học&gt; học tập")</f>
        <v>Đấu giá&gt; Khác&gt; kỹ năng, kiến ​​thức&gt; học tập, các bài học&gt; học tập</v>
      </c>
      <c r="G38" t="str">
        <f t="shared" si="0"/>
        <v>"2084310204" : "Học tập",</v>
      </c>
    </row>
    <row r="39" spans="1:7" ht="14.25" customHeight="1">
      <c r="A39" s="2">
        <v>2084307747</v>
      </c>
      <c r="B39" s="2" t="s">
        <v>318</v>
      </c>
      <c r="C39" s="2" t="s">
        <v>319</v>
      </c>
      <c r="D39" s="2" t="s">
        <v>320</v>
      </c>
      <c r="E39" s="5" t="str">
        <f ca="1">IFERROR(__xludf.DUMMYFUNCTION("GOOGLETRANSLATE(B39,""ja"",""vi"")"),"Ca sĩ, chơi")</f>
        <v>Ca sĩ, chơi</v>
      </c>
      <c r="F39" s="4" t="str">
        <f ca="1">IFERROR(__xludf.DUMMYFUNCTION("GOOGLETRANSLATE(C39,""ja"",""vi"")"),"Đấu giá&gt; Khác&gt; kỹ năng, kiến ​​thức&gt; Entertainment&gt; ca sĩ, chơi")</f>
        <v>Đấu giá&gt; Khác&gt; kỹ năng, kiến ​​thức&gt; Entertainment&gt; ca sĩ, chơi</v>
      </c>
      <c r="G39" t="str">
        <f t="shared" ca="1" si="0"/>
        <v>"2084307747" : "Ca sĩ, chơi",</v>
      </c>
    </row>
    <row r="40" spans="1:7" ht="14.25" customHeight="1">
      <c r="A40" s="2">
        <v>2084307748</v>
      </c>
      <c r="B40" s="2" t="s">
        <v>323</v>
      </c>
      <c r="C40" s="2" t="s">
        <v>325</v>
      </c>
      <c r="D40" s="2" t="s">
        <v>327</v>
      </c>
      <c r="E40" s="6" t="s">
        <v>329</v>
      </c>
      <c r="F40" s="4" t="str">
        <f ca="1">IFERROR(__xludf.DUMMYFUNCTION("GOOGLETRANSLATE(C40,""ja"",""vi"")"),"Đấu giá&gt; Khác&gt; kỹ năng, kiến ​​thức&gt; Entertainment&gt; Chủ tịch")</f>
        <v>Đấu giá&gt; Khác&gt; kỹ năng, kiến ​​thức&gt; Entertainment&gt; Chủ tịch</v>
      </c>
      <c r="G40" t="str">
        <f t="shared" si="0"/>
        <v>"2084307748" : "Chức chủ tịch",</v>
      </c>
    </row>
    <row r="41" spans="1:7" ht="14.25" customHeight="1">
      <c r="A41" s="2">
        <v>2084307749</v>
      </c>
      <c r="B41" s="2" t="s">
        <v>331</v>
      </c>
      <c r="C41" s="2" t="s">
        <v>332</v>
      </c>
      <c r="D41" s="2" t="s">
        <v>334</v>
      </c>
      <c r="E41" s="6" t="s">
        <v>335</v>
      </c>
      <c r="F41" s="4" t="str">
        <f ca="1">IFERROR(__xludf.DUMMYFUNCTION("GOOGLETRANSLATE(C41,""ja"",""vi"")"),"Đấu giá&gt; Khác&gt; kỹ năng, kiến ​​thức&gt; Entertainment&gt; biểu diễn")</f>
        <v>Đấu giá&gt; Khác&gt; kỹ năng, kiến ​​thức&gt; Entertainment&gt; biểu diễn</v>
      </c>
      <c r="G41" t="str">
        <f t="shared" si="0"/>
        <v>"2084307749" : "Biểu diễn",</v>
      </c>
    </row>
    <row r="42" spans="1:7" ht="14.25" customHeight="1">
      <c r="A42" s="2">
        <v>2084307750</v>
      </c>
      <c r="B42" s="2" t="s">
        <v>340</v>
      </c>
      <c r="C42" s="2" t="s">
        <v>341</v>
      </c>
      <c r="D42" s="2" t="s">
        <v>343</v>
      </c>
      <c r="E42" s="5" t="str">
        <f ca="1">IFERROR(__xludf.DUMMYFUNCTION("GOOGLETRANSLATE(B42,""ja"",""vi"")"),"Hài kịch, tài năng")</f>
        <v>Hài kịch, tài năng</v>
      </c>
      <c r="F42" s="4" t="str">
        <f ca="1">IFERROR(__xludf.DUMMYFUNCTION("GOOGLETRANSLATE(C42,""ja"",""vi"")"),"Đấu giá&gt; Khác&gt; kỹ năng, kiến ​​thức&gt; Entertainment&gt; Comedy, tài năng")</f>
        <v>Đấu giá&gt; Khác&gt; kỹ năng, kiến ​​thức&gt; Entertainment&gt; Comedy, tài năng</v>
      </c>
      <c r="G42" t="str">
        <f t="shared" ca="1" si="0"/>
        <v>"2084307750" : "Hài kịch, tài năng",</v>
      </c>
    </row>
    <row r="43" spans="1:7" ht="14.25" customHeight="1">
      <c r="A43" s="2">
        <v>2084307751</v>
      </c>
      <c r="B43" s="2" t="s">
        <v>350</v>
      </c>
      <c r="C43" s="2" t="s">
        <v>351</v>
      </c>
      <c r="D43" s="2" t="s">
        <v>352</v>
      </c>
      <c r="E43" s="5" t="str">
        <f ca="1">IFERROR(__xludf.DUMMYFUNCTION("GOOGLETRANSLATE(B43,""ja"",""vi"")"),"Sự kiện, bài giảng")</f>
        <v>Sự kiện, bài giảng</v>
      </c>
      <c r="F43" s="4" t="str">
        <f ca="1">IFERROR(__xludf.DUMMYFUNCTION("GOOGLETRANSLATE(C43,""ja"",""vi"")"),"Đấu giá&gt; Khác&gt; kỹ năng, kiến ​​thức&gt; Giải trí&gt; Sự kiện, bài giảng")</f>
        <v>Đấu giá&gt; Khác&gt; kỹ năng, kiến ​​thức&gt; Giải trí&gt; Sự kiện, bài giảng</v>
      </c>
      <c r="G43" t="str">
        <f t="shared" ca="1" si="0"/>
        <v>"2084307751" : "Sự kiện, bài giảng",</v>
      </c>
    </row>
    <row r="44" spans="1:7" ht="14.25" customHeight="1">
      <c r="A44" s="2">
        <v>2084307758</v>
      </c>
      <c r="B44" s="2" t="s">
        <v>357</v>
      </c>
      <c r="C44" s="2" t="s">
        <v>359</v>
      </c>
      <c r="D44" s="2" t="s">
        <v>360</v>
      </c>
      <c r="E44" s="6" t="s">
        <v>361</v>
      </c>
      <c r="F44" s="4" t="str">
        <f ca="1">IFERROR(__xludf.DUMMYFUNCTION("GOOGLETRANSLATE(C44,""ja"",""vi"")"),"Đấu giá&gt; Khác&gt; kỹ năng, kiến ​​thức&gt; Quyền&gt; Điều phối thời trang")</f>
        <v>Đấu giá&gt; Khác&gt; kỹ năng, kiến ​​thức&gt; Quyền&gt; Điều phối thời trang</v>
      </c>
      <c r="G44" t="str">
        <f t="shared" si="0"/>
        <v>"2084307758" : "Điêù phối thời trang",</v>
      </c>
    </row>
    <row r="45" spans="1:7" ht="14.25" customHeight="1">
      <c r="A45" s="2">
        <v>2084307838</v>
      </c>
      <c r="B45" s="2" t="s">
        <v>365</v>
      </c>
      <c r="C45" s="2" t="s">
        <v>366</v>
      </c>
      <c r="D45" s="2" t="s">
        <v>368</v>
      </c>
      <c r="E45" s="6" t="s">
        <v>369</v>
      </c>
      <c r="F45" s="4" t="str">
        <f ca="1">IFERROR(__xludf.DUMMYFUNCTION("GOOGLETRANSLATE(C45,""ja"",""vi"")"),"Đấu giá&gt; Khác&gt; kỹ năng, kiến ​​thức&gt; đại lý&gt; vệ sinh")</f>
        <v>Đấu giá&gt; Khác&gt; kỹ năng, kiến ​​thức&gt; đại lý&gt; vệ sinh</v>
      </c>
      <c r="G45" t="str">
        <f t="shared" si="0"/>
        <v>"2084307838" : "Vệ sinh",</v>
      </c>
    </row>
    <row r="46" spans="1:7" ht="14.25" customHeight="1">
      <c r="A46" s="2">
        <v>2084307760</v>
      </c>
      <c r="B46" s="2" t="s">
        <v>370</v>
      </c>
      <c r="C46" s="2" t="s">
        <v>373</v>
      </c>
      <c r="D46" s="2" t="s">
        <v>376</v>
      </c>
      <c r="E46" s="6" t="s">
        <v>379</v>
      </c>
      <c r="F46" s="4" t="str">
        <f ca="1">IFERROR(__xludf.DUMMYFUNCTION("GOOGLETRANSLATE(C46,""ja"",""vi"")"),"Đấu giá&gt; Khác&gt; kỹ năng, kiến ​​thức&gt; Quyền&gt; thay đồ")</f>
        <v>Đấu giá&gt; Khác&gt; kỹ năng, kiến ​​thức&gt; Quyền&gt; thay đồ</v>
      </c>
      <c r="G46" t="str">
        <f t="shared" si="0"/>
        <v>"2084307760" : "Thay đồ",</v>
      </c>
    </row>
    <row r="47" spans="1:7" ht="14.25" customHeight="1">
      <c r="A47" s="2">
        <v>2084307759</v>
      </c>
      <c r="B47" s="2" t="s">
        <v>380</v>
      </c>
      <c r="C47" s="2" t="s">
        <v>381</v>
      </c>
      <c r="D47" s="2" t="s">
        <v>383</v>
      </c>
      <c r="E47" s="6" t="s">
        <v>384</v>
      </c>
      <c r="F47" s="4" t="str">
        <f ca="1">IFERROR(__xludf.DUMMYFUNCTION("GOOGLETRANSLATE(C47,""ja"",""vi"")"),"Đấu giá&gt; Khác&gt; kỹ năng, kiến ​​thức&gt; đại lý&gt; đại lý mua trong nước")</f>
        <v>Đấu giá&gt; Khác&gt; kỹ năng, kiến ​​thức&gt; đại lý&gt; đại lý mua trong nước</v>
      </c>
      <c r="G47" t="str">
        <f t="shared" si="0"/>
        <v>"2084307759" : "Đại lý mua trong nước",</v>
      </c>
    </row>
    <row r="48" spans="1:7" ht="14.25" customHeight="1">
      <c r="A48" s="2">
        <v>2084316144</v>
      </c>
      <c r="B48" s="2" t="s">
        <v>390</v>
      </c>
      <c r="C48" s="2" t="s">
        <v>391</v>
      </c>
      <c r="D48" s="2" t="s">
        <v>392</v>
      </c>
      <c r="E48" s="5" t="str">
        <f ca="1">IFERROR(__xludf.DUMMYFUNCTION("GOOGLETRANSLATE(B48,""ja"",""vi"")"),"Cơ quan mua sắm ở nước ngoài")</f>
        <v>Cơ quan mua sắm ở nước ngoài</v>
      </c>
      <c r="F48" s="4" t="str">
        <f ca="1">IFERROR(__xludf.DUMMYFUNCTION("GOOGLETRANSLATE(C48,""ja"",""vi"")"),"Đấu giá&gt; Khác&gt; kỹ năng, kiến ​​thức&gt; đại lý&gt; đại lý mua ở nước ngoài")</f>
        <v>Đấu giá&gt; Khác&gt; kỹ năng, kiến ​​thức&gt; đại lý&gt; đại lý mua ở nước ngoài</v>
      </c>
      <c r="G48" t="str">
        <f t="shared" ca="1" si="0"/>
        <v>"2084316144" : "Cơ quan mua sắm ở nước ngoài",</v>
      </c>
    </row>
    <row r="49" spans="1:7" ht="14.25" customHeight="1">
      <c r="A49" s="2">
        <v>2084310206</v>
      </c>
      <c r="B49" s="2" t="s">
        <v>399</v>
      </c>
      <c r="C49" s="2" t="s">
        <v>400</v>
      </c>
      <c r="D49" s="2" t="s">
        <v>401</v>
      </c>
      <c r="E49" s="6" t="s">
        <v>402</v>
      </c>
      <c r="F49" s="4" t="str">
        <f ca="1">IFERROR(__xludf.DUMMYFUNCTION("GOOGLETRANSLATE(C49,""ja"",""vi"")"),"Đấu giá&gt; Khác&gt; kỹ năng, kiến ​​thức&gt; Tư vấn&gt; Wedding")</f>
        <v>Đấu giá&gt; Khác&gt; kỹ năng, kiến ​​thức&gt; Tư vấn&gt; Wedding</v>
      </c>
      <c r="G49" t="str">
        <f t="shared" si="0"/>
        <v>"2084310206" : "Kết hôn",</v>
      </c>
    </row>
    <row r="50" spans="1:7" ht="14.25" customHeight="1">
      <c r="A50" s="2">
        <v>2084310207</v>
      </c>
      <c r="B50" s="2" t="s">
        <v>406</v>
      </c>
      <c r="C50" s="2" t="s">
        <v>409</v>
      </c>
      <c r="D50" s="2" t="s">
        <v>411</v>
      </c>
      <c r="E50" s="5" t="str">
        <f ca="1">IFERROR(__xludf.DUMMYFUNCTION("GOOGLETRANSLATE(B50,""ja"",""vi"")"),"nuôi dạy con cái")</f>
        <v>nuôi dạy con cái</v>
      </c>
      <c r="F50" s="4" t="str">
        <f ca="1">IFERROR(__xludf.DUMMYFUNCTION("GOOGLETRANSLATE(C50,""ja"",""vi"")"),"Đấu giá&gt; Khác&gt; kỹ năng, kiến ​​thức&gt; Tư vấn&gt; Nuôi dạy con")</f>
        <v>Đấu giá&gt; Khác&gt; kỹ năng, kiến ​​thức&gt; Tư vấn&gt; Nuôi dạy con</v>
      </c>
      <c r="G50" t="str">
        <f t="shared" ca="1" si="0"/>
        <v>"2084310207" : "nuôi dạy con cái",</v>
      </c>
    </row>
    <row r="51" spans="1:7" ht="14.25" customHeight="1">
      <c r="A51" s="2">
        <v>2084310208</v>
      </c>
      <c r="B51" s="2" t="s">
        <v>417</v>
      </c>
      <c r="C51" s="2" t="s">
        <v>418</v>
      </c>
      <c r="D51" s="2" t="s">
        <v>420</v>
      </c>
      <c r="E51" s="5" t="str">
        <f ca="1">IFERROR(__xludf.DUMMYFUNCTION("GOOGLETRANSLATE(B51,""ja"",""vi"")"),"Kế toán thuế")</f>
        <v>Kế toán thuế</v>
      </c>
      <c r="F51" s="4" t="str">
        <f ca="1">IFERROR(__xludf.DUMMYFUNCTION("GOOGLETRANSLATE(C51,""ja"",""vi"")"),"Đấu giá&gt; Khác&gt; kỹ năng, kiến ​​thức&gt; Tư vấn&gt; Thuế")</f>
        <v>Đấu giá&gt; Khác&gt; kỹ năng, kiến ​​thức&gt; Tư vấn&gt; Thuế</v>
      </c>
      <c r="G51" t="str">
        <f t="shared" ca="1" si="0"/>
        <v>"2084310208" : "Kế toán thuế",</v>
      </c>
    </row>
    <row r="52" spans="1:7" ht="14.25" customHeight="1">
      <c r="A52" s="2">
        <v>2084310209</v>
      </c>
      <c r="B52" s="2" t="s">
        <v>426</v>
      </c>
      <c r="C52" s="2" t="s">
        <v>427</v>
      </c>
      <c r="D52" s="2" t="s">
        <v>430</v>
      </c>
      <c r="E52" s="5" t="str">
        <f ca="1">IFERROR(__xludf.DUMMYFUNCTION("GOOGLETRANSLATE(B52,""ja"",""vi"")"),"Scrivener tư pháp")</f>
        <v>Scrivener tư pháp</v>
      </c>
      <c r="F52" s="4" t="str">
        <f ca="1">IFERROR(__xludf.DUMMYFUNCTION("GOOGLETRANSLATE(C52,""ja"",""vi"")"),"Đấu giá&gt; Khác&gt; kỹ năng, kiến ​​thức&gt; Tư vấn&gt; Scrivener tư pháp")</f>
        <v>Đấu giá&gt; Khác&gt; kỹ năng, kiến ​​thức&gt; Tư vấn&gt; Scrivener tư pháp</v>
      </c>
      <c r="G52" t="str">
        <f t="shared" ca="1" si="0"/>
        <v>"2084310209" : "Scrivener tư pháp",</v>
      </c>
    </row>
    <row r="53" spans="1:7" ht="14.25" customHeight="1">
      <c r="A53" s="2">
        <v>2084310210</v>
      </c>
      <c r="B53" s="2" t="s">
        <v>438</v>
      </c>
      <c r="C53" s="2" t="s">
        <v>440</v>
      </c>
      <c r="D53" s="2" t="s">
        <v>442</v>
      </c>
      <c r="E53" s="5" t="str">
        <f ca="1">IFERROR(__xludf.DUMMYFUNCTION("GOOGLETRANSLATE(B53,""ja"",""vi"")"),"luật sư")</f>
        <v>luật sư</v>
      </c>
      <c r="F53" s="4" t="str">
        <f ca="1">IFERROR(__xludf.DUMMYFUNCTION("GOOGLETRANSLATE(C53,""ja"",""vi"")"),"Đấu giá&gt; Khác&gt; kỹ năng, kiến ​​thức&gt; Tư vấn&gt; luật sư")</f>
        <v>Đấu giá&gt; Khác&gt; kỹ năng, kiến ​​thức&gt; Tư vấn&gt; luật sư</v>
      </c>
      <c r="G53" t="str">
        <f t="shared" ca="1" si="0"/>
        <v>"2084310210" : "luật sư",</v>
      </c>
    </row>
    <row r="54" spans="1:7" ht="14.25" customHeight="1">
      <c r="A54" s="2">
        <v>2084310211</v>
      </c>
      <c r="B54" s="2" t="s">
        <v>447</v>
      </c>
      <c r="C54" s="2" t="s">
        <v>449</v>
      </c>
      <c r="D54" s="2" t="s">
        <v>451</v>
      </c>
      <c r="E54" s="5" t="str">
        <f ca="1">IFERROR(__xludf.DUMMYFUNCTION("GOOGLETRANSLATE(B54,""ja"",""vi"")"),"Sharoshi")</f>
        <v>Sharoshi</v>
      </c>
      <c r="F54" s="4" t="str">
        <f ca="1">IFERROR(__xludf.DUMMYFUNCTION("GOOGLETRANSLATE(C54,""ja"",""vi"")"),"Đấu giá&gt; Khác&gt; kỹ năng, kiến ​​thức&gt; Tư vấn&gt; Sharoshi")</f>
        <v>Đấu giá&gt; Khác&gt; kỹ năng, kiến ​​thức&gt; Tư vấn&gt; Sharoshi</v>
      </c>
      <c r="G54" t="str">
        <f t="shared" ca="1" si="0"/>
        <v>"2084310211" : "Sharoshi",</v>
      </c>
    </row>
    <row r="55" spans="1:7" ht="14.25" customHeight="1">
      <c r="A55" s="2">
        <v>2084310212</v>
      </c>
      <c r="B55" s="2" t="s">
        <v>454</v>
      </c>
      <c r="C55" s="2" t="s">
        <v>455</v>
      </c>
      <c r="D55" s="2" t="s">
        <v>457</v>
      </c>
      <c r="E55" s="5" t="str">
        <f ca="1">IFERROR(__xludf.DUMMYFUNCTION("GOOGLETRANSLATE(B55,""ja"",""vi"")"),"Scrivener hành chính")</f>
        <v>Scrivener hành chính</v>
      </c>
      <c r="F55" s="4" t="str">
        <f ca="1">IFERROR(__xludf.DUMMYFUNCTION("GOOGLETRANSLATE(C55,""ja"",""vi"")"),"Đấu giá&gt; Khác&gt; kỹ năng, kiến ​​thức&gt; Tư vấn&gt; Scrivener hành chính")</f>
        <v>Đấu giá&gt; Khác&gt; kỹ năng, kiến ​​thức&gt; Tư vấn&gt; Scrivener hành chính</v>
      </c>
      <c r="G55" t="str">
        <f t="shared" ca="1" si="0"/>
        <v>"2084310212" : "Scrivener hành chính",</v>
      </c>
    </row>
    <row r="56" spans="1:7" ht="14.25" customHeight="1">
      <c r="A56" s="2">
        <v>2084214144</v>
      </c>
      <c r="B56" s="2" t="s">
        <v>463</v>
      </c>
      <c r="C56" s="2" t="s">
        <v>464</v>
      </c>
      <c r="D56" s="2" t="s">
        <v>465</v>
      </c>
      <c r="E56" s="5" t="str">
        <f ca="1">IFERROR(__xludf.DUMMYFUNCTION("GOOGLETRANSLATE(B56,""ja"",""vi"")"),"ETC gắn")</f>
        <v>ETC gắn</v>
      </c>
      <c r="F56" s="4" t="str">
        <f ca="1">IFERROR(__xludf.DUMMYFUNCTION("GOOGLETRANSLATE(C56,""ja"",""vi"")"),"Đấu giá&gt; Khác&gt; sửa chữa, lắp đặt&gt; ô tô, xe máy&gt; ETC gắn")</f>
        <v>Đấu giá&gt; Khác&gt; sửa chữa, lắp đặt&gt; ô tô, xe máy&gt; ETC gắn</v>
      </c>
      <c r="G56" t="str">
        <f t="shared" ca="1" si="0"/>
        <v>"2084214144" : "ETC gắn",</v>
      </c>
    </row>
    <row r="57" spans="1:7" ht="14.25" customHeight="1">
      <c r="A57" s="2">
        <v>2084214143</v>
      </c>
      <c r="B57" s="2" t="s">
        <v>470</v>
      </c>
      <c r="C57" s="2" t="s">
        <v>471</v>
      </c>
      <c r="D57" s="2" t="s">
        <v>472</v>
      </c>
      <c r="E57" s="5" t="str">
        <f ca="1">IFERROR(__xludf.DUMMYFUNCTION("GOOGLETRANSLATE(B57,""ja"",""vi"")"),"tập tin đính kèm âm thanh xe hơi")</f>
        <v>tập tin đính kèm âm thanh xe hơi</v>
      </c>
      <c r="F57" s="4" t="str">
        <f ca="1">IFERROR(__xludf.DUMMYFUNCTION("GOOGLETRANSLATE(C57,""ja"",""vi"")"),"Đấu giá&gt; Khác&gt; sửa chữa, lắp đặt&gt; ô tô, xe máy&gt; tập tin đính kèm âm thanh xe")</f>
        <v>Đấu giá&gt; Khác&gt; sửa chữa, lắp đặt&gt; ô tô, xe máy&gt; tập tin đính kèm âm thanh xe</v>
      </c>
      <c r="G57" t="str">
        <f t="shared" ca="1" si="0"/>
        <v>"2084214143" : "tập tin đính kèm âm thanh xe hơi",</v>
      </c>
    </row>
    <row r="58" spans="1:7" ht="14.25" customHeight="1">
      <c r="A58" s="2">
        <v>2084214142</v>
      </c>
      <c r="B58" s="2" t="s">
        <v>478</v>
      </c>
      <c r="C58" s="2" t="s">
        <v>479</v>
      </c>
      <c r="D58" s="2" t="s">
        <v>480</v>
      </c>
      <c r="E58" s="5" t="str">
        <f ca="1">IFERROR(__xludf.DUMMYFUNCTION("GOOGLETRANSLATE(B58,""ja"",""vi"")"),"xe chuyển hướng Gắn")</f>
        <v>xe chuyển hướng Gắn</v>
      </c>
      <c r="F58" s="4" t="str">
        <f ca="1">IFERROR(__xludf.DUMMYFUNCTION("GOOGLETRANSLATE(C58,""ja"",""vi"")"),"Đấu giá&gt; Khác&gt; sửa chữa, lắp đặt&gt; ô tô, xe máy&gt; xe chuyển hướng Gắn")</f>
        <v>Đấu giá&gt; Khác&gt; sửa chữa, lắp đặt&gt; ô tô, xe máy&gt; xe chuyển hướng Gắn</v>
      </c>
      <c r="G58" t="str">
        <f t="shared" ca="1" si="0"/>
        <v>"2084214142" : "xe chuyển hướng Gắn",</v>
      </c>
    </row>
    <row r="59" spans="1:7" ht="14.25" customHeight="1"/>
    <row r="60" spans="1:7" ht="14.25" customHeight="1"/>
    <row r="61" spans="1:7" ht="14.25" customHeight="1"/>
    <row r="62" spans="1:7" ht="14.25" customHeight="1"/>
    <row r="63" spans="1:7" ht="14.25" customHeight="1"/>
    <row r="64" spans="1:7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</sheetData>
  <mergeCells count="1">
    <mergeCell ref="A2:D2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9"/>
  <sheetViews>
    <sheetView workbookViewId="0">
      <selection activeCell="G2" sqref="G2"/>
    </sheetView>
  </sheetViews>
  <sheetFormatPr defaultColWidth="12.59765625" defaultRowHeight="15" customHeight="1"/>
  <cols>
    <col min="1" max="1" width="7.8984375" customWidth="1"/>
    <col min="2" max="2" width="9.09765625" customWidth="1"/>
    <col min="3" max="3" width="18.5" customWidth="1"/>
    <col min="4" max="4" width="23.5" customWidth="1"/>
    <col min="5" max="5" width="7.59765625" customWidth="1"/>
    <col min="6" max="6" width="50.8984375" customWidth="1"/>
    <col min="7" max="7" width="44.8984375" customWidth="1"/>
    <col min="8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2084060785</v>
      </c>
      <c r="B2" s="2" t="s">
        <v>10</v>
      </c>
      <c r="C2" s="2" t="s">
        <v>12</v>
      </c>
      <c r="D2" s="2" t="s">
        <v>15</v>
      </c>
      <c r="E2" s="5" t="str">
        <f ca="1">IFERROR(__xludf.DUMMYFUNCTION("GOOGLETRANSLATE(B2,""ja"",""vi"")"),"Aomori Prefecture")</f>
        <v>Aomori Prefecture</v>
      </c>
      <c r="F2" s="4" t="str">
        <f ca="1">IFERROR(__xludf.DUMMYFUNCTION("GOOGLETRANSLATE(C2,""ja"",""vi"")"),"Đấu giá&gt; bất động sản&gt; Căn hộ&gt; Tohoku&gt; Aomori Prefecture")</f>
        <v>Đấu giá&gt; bất động sản&gt; Căn hộ&gt; Tohoku&gt; Aomori Prefecture</v>
      </c>
      <c r="G2" t="str">
        <f ca="1">CONCATENATE(CHAR(34)&amp;"",A2,""&amp;CHAR(34)," : ", CHAR(34)&amp;"",E2,""&amp;CHAR(34),",")</f>
        <v>"2084060785" : "Aomori Prefecture",</v>
      </c>
    </row>
    <row r="3" spans="1:7" ht="14.25" customHeight="1">
      <c r="A3" s="2">
        <v>2084060786</v>
      </c>
      <c r="B3" s="2" t="s">
        <v>29</v>
      </c>
      <c r="C3" s="2" t="s">
        <v>30</v>
      </c>
      <c r="D3" s="2" t="s">
        <v>31</v>
      </c>
      <c r="E3" s="5" t="str">
        <f ca="1">IFERROR(__xludf.DUMMYFUNCTION("GOOGLETRANSLATE(B3,""ja"",""vi"")"),"Iwate Prefecture")</f>
        <v>Iwate Prefecture</v>
      </c>
      <c r="F3" s="4" t="str">
        <f ca="1">IFERROR(__xludf.DUMMYFUNCTION("GOOGLETRANSLATE(C3,""ja"",""vi"")"),"Đấu giá&gt; bất động sản&gt; Căn hộ&gt; Tohoku&gt; Iwate Prefecture")</f>
        <v>Đấu giá&gt; bất động sản&gt; Căn hộ&gt; Tohoku&gt; Iwate Prefecture</v>
      </c>
      <c r="G3" t="str">
        <f t="shared" ref="G3:G66" ca="1" si="0">CONCATENATE(CHAR(34)&amp;"",A3,""&amp;CHAR(34)," : ", CHAR(34)&amp;"",E3,""&amp;CHAR(34),",")</f>
        <v>"2084060786" : "Iwate Prefecture",</v>
      </c>
    </row>
    <row r="4" spans="1:7" ht="14.25" customHeight="1">
      <c r="A4" s="2">
        <v>2084060787</v>
      </c>
      <c r="B4" s="2" t="s">
        <v>36</v>
      </c>
      <c r="C4" s="2" t="s">
        <v>38</v>
      </c>
      <c r="D4" s="2" t="s">
        <v>40</v>
      </c>
      <c r="E4" s="5" t="str">
        <f ca="1">IFERROR(__xludf.DUMMYFUNCTION("GOOGLETRANSLATE(B4,""ja"",""vi"")"),"Miyagi Prefecture")</f>
        <v>Miyagi Prefecture</v>
      </c>
      <c r="F4" s="4" t="str">
        <f ca="1">IFERROR(__xludf.DUMMYFUNCTION("GOOGLETRANSLATE(C4,""ja"",""vi"")"),"Đấu giá&gt; bất động sản&gt; Căn hộ&gt; Tohoku&gt; Miyagi Prefecture")</f>
        <v>Đấu giá&gt; bất động sản&gt; Căn hộ&gt; Tohoku&gt; Miyagi Prefecture</v>
      </c>
      <c r="G4" t="str">
        <f t="shared" ca="1" si="0"/>
        <v>"2084060787" : "Miyagi Prefecture",</v>
      </c>
    </row>
    <row r="5" spans="1:7" ht="14.25" customHeight="1">
      <c r="A5" s="2">
        <v>2084060788</v>
      </c>
      <c r="B5" s="2" t="s">
        <v>43</v>
      </c>
      <c r="C5" s="2" t="s">
        <v>45</v>
      </c>
      <c r="D5" s="2" t="s">
        <v>47</v>
      </c>
      <c r="E5" s="5" t="str">
        <f ca="1">IFERROR(__xludf.DUMMYFUNCTION("GOOGLETRANSLATE(B5,""ja"",""vi"")"),"Akita Prefecture")</f>
        <v>Akita Prefecture</v>
      </c>
      <c r="F5" s="4" t="str">
        <f ca="1">IFERROR(__xludf.DUMMYFUNCTION("GOOGLETRANSLATE(C5,""ja"",""vi"")"),"Đấu giá&gt; bất động sản&gt; Căn hộ&gt; Tohoku&gt; Akita Prefecture")</f>
        <v>Đấu giá&gt; bất động sản&gt; Căn hộ&gt; Tohoku&gt; Akita Prefecture</v>
      </c>
      <c r="G5" t="str">
        <f t="shared" ca="1" si="0"/>
        <v>"2084060788" : "Akita Prefecture",</v>
      </c>
    </row>
    <row r="6" spans="1:7" ht="14.25" customHeight="1">
      <c r="A6" s="2">
        <v>2084060789</v>
      </c>
      <c r="B6" s="2" t="s">
        <v>57</v>
      </c>
      <c r="C6" s="2" t="s">
        <v>59</v>
      </c>
      <c r="D6" s="2" t="s">
        <v>61</v>
      </c>
      <c r="E6" s="5" t="str">
        <f ca="1">IFERROR(__xludf.DUMMYFUNCTION("GOOGLETRANSLATE(B6,""ja"",""vi"")"),"tỉnh Yamagata")</f>
        <v>tỉnh Yamagata</v>
      </c>
      <c r="F6" s="4" t="str">
        <f ca="1">IFERROR(__xludf.DUMMYFUNCTION("GOOGLETRANSLATE(C6,""ja"",""vi"")"),"Đấu giá&gt; bất động sản&gt; Căn hộ&gt; Tohoku&gt; tỉnh Yamagata")</f>
        <v>Đấu giá&gt; bất động sản&gt; Căn hộ&gt; Tohoku&gt; tỉnh Yamagata</v>
      </c>
      <c r="G6" t="str">
        <f t="shared" ca="1" si="0"/>
        <v>"2084060789" : "tỉnh Yamagata",</v>
      </c>
    </row>
    <row r="7" spans="1:7" ht="14.25" customHeight="1">
      <c r="A7" s="2">
        <v>2084060790</v>
      </c>
      <c r="B7" s="2" t="s">
        <v>68</v>
      </c>
      <c r="C7" s="2" t="s">
        <v>71</v>
      </c>
      <c r="D7" s="2" t="s">
        <v>74</v>
      </c>
      <c r="E7" s="5" t="str">
        <f ca="1">IFERROR(__xludf.DUMMYFUNCTION("GOOGLETRANSLATE(B7,""ja"",""vi"")"),"Fukushima Prefecture")</f>
        <v>Fukushima Prefecture</v>
      </c>
      <c r="F7" s="4" t="str">
        <f ca="1">IFERROR(__xludf.DUMMYFUNCTION("GOOGLETRANSLATE(C7,""ja"",""vi"")"),"Đấu giá&gt; bất động sản&gt; Căn hộ&gt; Tohoku&gt; Fukushima Prefecture")</f>
        <v>Đấu giá&gt; bất động sản&gt; Căn hộ&gt; Tohoku&gt; Fukushima Prefecture</v>
      </c>
      <c r="G7" t="str">
        <f t="shared" ca="1" si="0"/>
        <v>"2084060790" : "Fukushima Prefecture",</v>
      </c>
    </row>
    <row r="8" spans="1:7" ht="14.25" customHeight="1">
      <c r="A8" s="7">
        <v>2084060791</v>
      </c>
      <c r="B8" s="2" t="s">
        <v>92</v>
      </c>
      <c r="C8" s="2" t="s">
        <v>94</v>
      </c>
      <c r="D8" s="2" t="s">
        <v>98</v>
      </c>
      <c r="E8" s="5" t="str">
        <f ca="1">IFERROR(__xludf.DUMMYFUNCTION("GOOGLETRANSLATE(B8,""ja"",""vi"")"),"Tokyo")</f>
        <v>Tokyo</v>
      </c>
      <c r="F8" s="4" t="str">
        <f ca="1">IFERROR(__xludf.DUMMYFUNCTION("GOOGLETRANSLATE(C8,""ja"",""vi"")"),"Đấu giá&gt; bất động sản&gt; Căn hộ&gt; Kanto&gt; Tokyo")</f>
        <v>Đấu giá&gt; bất động sản&gt; Căn hộ&gt; Kanto&gt; Tokyo</v>
      </c>
      <c r="G8" t="str">
        <f t="shared" ca="1" si="0"/>
        <v>"2084060791" : "Tokyo",</v>
      </c>
    </row>
    <row r="9" spans="1:7" ht="14.25" customHeight="1">
      <c r="A9" s="7">
        <v>2084060792</v>
      </c>
      <c r="B9" s="2" t="s">
        <v>104</v>
      </c>
      <c r="C9" s="2" t="s">
        <v>107</v>
      </c>
      <c r="D9" s="2" t="s">
        <v>108</v>
      </c>
      <c r="E9" s="5" t="str">
        <f ca="1">IFERROR(__xludf.DUMMYFUNCTION("GOOGLETRANSLATE(B9,""ja"",""vi"")"),"Kanagawa Prefecture")</f>
        <v>Kanagawa Prefecture</v>
      </c>
      <c r="F9" s="4" t="str">
        <f ca="1">IFERROR(__xludf.DUMMYFUNCTION("GOOGLETRANSLATE(C9,""ja"",""vi"")"),"Đấu giá&gt; bất động sản&gt; Căn hộ&gt; Kanto&gt; Kanagawa Prefecture")</f>
        <v>Đấu giá&gt; bất động sản&gt; Căn hộ&gt; Kanto&gt; Kanagawa Prefecture</v>
      </c>
      <c r="G9" t="str">
        <f t="shared" ca="1" si="0"/>
        <v>"2084060792" : "Kanagawa Prefecture",</v>
      </c>
    </row>
    <row r="10" spans="1:7" ht="14.25" customHeight="1">
      <c r="A10" s="7">
        <v>2084060793</v>
      </c>
      <c r="B10" s="2" t="s">
        <v>116</v>
      </c>
      <c r="C10" s="2" t="s">
        <v>117</v>
      </c>
      <c r="D10" s="2" t="s">
        <v>118</v>
      </c>
      <c r="E10" s="5" t="str">
        <f ca="1">IFERROR(__xludf.DUMMYFUNCTION("GOOGLETRANSLATE(B10,""ja"",""vi"")"),"Saitama Prefecture")</f>
        <v>Saitama Prefecture</v>
      </c>
      <c r="F10" s="4" t="str">
        <f ca="1">IFERROR(__xludf.DUMMYFUNCTION("GOOGLETRANSLATE(C10,""ja"",""vi"")"),"Đấu giá&gt; bất động sản&gt; Căn hộ&gt; Kanto&gt; Saitama Prefecture")</f>
        <v>Đấu giá&gt; bất động sản&gt; Căn hộ&gt; Kanto&gt; Saitama Prefecture</v>
      </c>
      <c r="G10" t="str">
        <f t="shared" ca="1" si="0"/>
        <v>"2084060793" : "Saitama Prefecture",</v>
      </c>
    </row>
    <row r="11" spans="1:7" ht="14.25" customHeight="1">
      <c r="A11" s="7">
        <v>2084060794</v>
      </c>
      <c r="B11" s="2" t="s">
        <v>125</v>
      </c>
      <c r="C11" s="2" t="s">
        <v>127</v>
      </c>
      <c r="D11" s="2" t="s">
        <v>130</v>
      </c>
      <c r="E11" s="5" t="str">
        <f ca="1">IFERROR(__xludf.DUMMYFUNCTION("GOOGLETRANSLATE(B11,""ja"",""vi"")"),"Chiba Prefecture")</f>
        <v>Chiba Prefecture</v>
      </c>
      <c r="F11" s="4" t="str">
        <f ca="1">IFERROR(__xludf.DUMMYFUNCTION("GOOGLETRANSLATE(C11,""ja"",""vi"")"),"Đấu giá&gt; bất động sản&gt; Căn hộ&gt; Kanto&gt; Chiba Prefecture")</f>
        <v>Đấu giá&gt; bất động sản&gt; Căn hộ&gt; Kanto&gt; Chiba Prefecture</v>
      </c>
      <c r="G11" t="str">
        <f t="shared" ca="1" si="0"/>
        <v>"2084060794" : "Chiba Prefecture",</v>
      </c>
    </row>
    <row r="12" spans="1:7" ht="14.25" customHeight="1">
      <c r="A12" s="7">
        <v>2084060795</v>
      </c>
      <c r="B12" s="2" t="s">
        <v>136</v>
      </c>
      <c r="C12" s="2" t="s">
        <v>140</v>
      </c>
      <c r="D12" s="2" t="s">
        <v>142</v>
      </c>
      <c r="E12" s="5" t="str">
        <f ca="1">IFERROR(__xludf.DUMMYFUNCTION("GOOGLETRANSLATE(B12,""ja"",""vi"")"),"Ibaraki Prefecture")</f>
        <v>Ibaraki Prefecture</v>
      </c>
      <c r="F12" s="4" t="str">
        <f ca="1">IFERROR(__xludf.DUMMYFUNCTION("GOOGLETRANSLATE(C12,""ja"",""vi"")"),"Đấu giá&gt; bất động sản&gt; Căn hộ&gt; Kanto&gt; Ibaraki Prefecture")</f>
        <v>Đấu giá&gt; bất động sản&gt; Căn hộ&gt; Kanto&gt; Ibaraki Prefecture</v>
      </c>
      <c r="G12" t="str">
        <f t="shared" ca="1" si="0"/>
        <v>"2084060795" : "Ibaraki Prefecture",</v>
      </c>
    </row>
    <row r="13" spans="1:7" ht="14.25" customHeight="1">
      <c r="A13" s="7">
        <v>2084061323</v>
      </c>
      <c r="B13" s="2" t="s">
        <v>146</v>
      </c>
      <c r="C13" s="2" t="s">
        <v>149</v>
      </c>
      <c r="D13" s="2" t="s">
        <v>151</v>
      </c>
      <c r="E13" s="5" t="str">
        <f ca="1">IFERROR(__xludf.DUMMYFUNCTION("GOOGLETRANSLATE(B13,""ja"",""vi"")"),"Tochigi Prefecture")</f>
        <v>Tochigi Prefecture</v>
      </c>
      <c r="F13" s="4" t="str">
        <f ca="1">IFERROR(__xludf.DUMMYFUNCTION("GOOGLETRANSLATE(C13,""ja"",""vi"")"),"Đấu giá&gt; bất động sản&gt; Căn hộ&gt; Kanto&gt; Tochigi Prefecture")</f>
        <v>Đấu giá&gt; bất động sản&gt; Căn hộ&gt; Kanto&gt; Tochigi Prefecture</v>
      </c>
      <c r="G13" t="str">
        <f t="shared" ca="1" si="0"/>
        <v>"2084061323" : "Tochigi Prefecture",</v>
      </c>
    </row>
    <row r="14" spans="1:7" ht="14.25" customHeight="1">
      <c r="A14" s="7">
        <v>2084061324</v>
      </c>
      <c r="B14" s="2" t="s">
        <v>157</v>
      </c>
      <c r="C14" s="2" t="s">
        <v>165</v>
      </c>
      <c r="D14" s="2" t="s">
        <v>166</v>
      </c>
      <c r="E14" s="5" t="str">
        <f ca="1">IFERROR(__xludf.DUMMYFUNCTION("GOOGLETRANSLATE(B14,""ja"",""vi"")"),"Gunma Prefecture")</f>
        <v>Gunma Prefecture</v>
      </c>
      <c r="F14" s="4" t="str">
        <f ca="1">IFERROR(__xludf.DUMMYFUNCTION("GOOGLETRANSLATE(C14,""ja"",""vi"")"),"Đấu giá&gt; bất động sản&gt; Căn hộ&gt; Kanto&gt; Gunma Prefecture")</f>
        <v>Đấu giá&gt; bất động sản&gt; Căn hộ&gt; Kanto&gt; Gunma Prefecture</v>
      </c>
      <c r="G14" t="str">
        <f t="shared" ca="1" si="0"/>
        <v>"2084061324" : "Gunma Prefecture",</v>
      </c>
    </row>
    <row r="15" spans="1:7" ht="14.25" customHeight="1">
      <c r="A15" s="7">
        <v>2084061325</v>
      </c>
      <c r="B15" s="2" t="s">
        <v>172</v>
      </c>
      <c r="C15" s="2" t="s">
        <v>175</v>
      </c>
      <c r="D15" s="2" t="s">
        <v>176</v>
      </c>
      <c r="E15" s="5" t="str">
        <f ca="1">IFERROR(__xludf.DUMMYFUNCTION("GOOGLETRANSLATE(B15,""ja"",""vi"")"),"Yamanashi Prefecture")</f>
        <v>Yamanashi Prefecture</v>
      </c>
      <c r="F15" s="4" t="str">
        <f ca="1">IFERROR(__xludf.DUMMYFUNCTION("GOOGLETRANSLATE(C15,""ja"",""vi"")"),"Đấu giá&gt; bất động sản&gt; Căn hộ&gt; Kanto&gt; Yamanashi Prefecture")</f>
        <v>Đấu giá&gt; bất động sản&gt; Căn hộ&gt; Kanto&gt; Yamanashi Prefecture</v>
      </c>
      <c r="G15" t="str">
        <f t="shared" ca="1" si="0"/>
        <v>"2084061325" : "Yamanashi Prefecture",</v>
      </c>
    </row>
    <row r="16" spans="1:7" ht="14.25" customHeight="1">
      <c r="A16" s="8">
        <v>2084060796</v>
      </c>
      <c r="B16" s="2" t="s">
        <v>189</v>
      </c>
      <c r="C16" s="2" t="s">
        <v>193</v>
      </c>
      <c r="D16" s="2" t="s">
        <v>195</v>
      </c>
      <c r="E16" s="5" t="str">
        <f ca="1">IFERROR(__xludf.DUMMYFUNCTION("GOOGLETRANSLATE(B16,""ja"",""vi"")"),"Niigata Prefecture")</f>
        <v>Niigata Prefecture</v>
      </c>
      <c r="F16" s="4" t="str">
        <f ca="1">IFERROR(__xludf.DUMMYFUNCTION("GOOGLETRANSLATE(C16,""ja"",""vi"")"),"Đấu giá&gt; bất động sản&gt; Căn hộ&gt; Shin-Etsu&gt; Niigata Prefecture")</f>
        <v>Đấu giá&gt; bất động sản&gt; Căn hộ&gt; Shin-Etsu&gt; Niigata Prefecture</v>
      </c>
      <c r="G16" t="str">
        <f t="shared" ca="1" si="0"/>
        <v>"2084060796" : "Niigata Prefecture",</v>
      </c>
    </row>
    <row r="17" spans="1:7" ht="14.25" customHeight="1">
      <c r="A17" s="8">
        <v>2084060797</v>
      </c>
      <c r="B17" s="2" t="s">
        <v>204</v>
      </c>
      <c r="C17" s="2" t="s">
        <v>206</v>
      </c>
      <c r="D17" s="2" t="s">
        <v>209</v>
      </c>
      <c r="E17" s="5" t="str">
        <f ca="1">IFERROR(__xludf.DUMMYFUNCTION("GOOGLETRANSLATE(B17,""ja"",""vi"")"),"Nagano Prefecture")</f>
        <v>Nagano Prefecture</v>
      </c>
      <c r="F17" s="4" t="str">
        <f ca="1">IFERROR(__xludf.DUMMYFUNCTION("GOOGLETRANSLATE(C17,""ja"",""vi"")"),"Đấu giá&gt; bất động sản&gt; Căn hộ&gt; Shin-Etsu&gt; Nagano Prefecture")</f>
        <v>Đấu giá&gt; bất động sản&gt; Căn hộ&gt; Shin-Etsu&gt; Nagano Prefecture</v>
      </c>
      <c r="G17" t="str">
        <f t="shared" ca="1" si="0"/>
        <v>"2084060797" : "Nagano Prefecture",</v>
      </c>
    </row>
    <row r="18" spans="1:7" ht="14.25" customHeight="1">
      <c r="A18" s="8">
        <v>2084060798</v>
      </c>
      <c r="B18" s="2" t="s">
        <v>215</v>
      </c>
      <c r="C18" s="8" t="s">
        <v>216</v>
      </c>
      <c r="D18" s="2" t="s">
        <v>219</v>
      </c>
      <c r="E18" s="5" t="str">
        <f ca="1">IFERROR(__xludf.DUMMYFUNCTION("GOOGLETRANSLATE(B18,""ja"",""vi"")"),"Toyama")</f>
        <v>Toyama</v>
      </c>
      <c r="F18" s="4" t="str">
        <f ca="1">IFERROR(__xludf.DUMMYFUNCTION("GOOGLETRANSLATE(C18,""ja"",""vi"")"),"Đấu giá&gt; bất động sản&gt; Căn hộ&gt; Hokuriku&gt; Toyama")</f>
        <v>Đấu giá&gt; bất động sản&gt; Căn hộ&gt; Hokuriku&gt; Toyama</v>
      </c>
      <c r="G18" t="str">
        <f t="shared" ca="1" si="0"/>
        <v>"2084060798" : "Toyama",</v>
      </c>
    </row>
    <row r="19" spans="1:7" ht="14.25" customHeight="1">
      <c r="A19" s="8">
        <v>2084060799</v>
      </c>
      <c r="B19" s="2" t="s">
        <v>226</v>
      </c>
      <c r="C19" s="8" t="s">
        <v>228</v>
      </c>
      <c r="D19" s="2" t="s">
        <v>230</v>
      </c>
      <c r="E19" s="5" t="str">
        <f ca="1">IFERROR(__xludf.DUMMYFUNCTION("GOOGLETRANSLATE(B19,""ja"",""vi"")"),"Ishikawa Prefecture")</f>
        <v>Ishikawa Prefecture</v>
      </c>
      <c r="F19" s="4" t="str">
        <f ca="1">IFERROR(__xludf.DUMMYFUNCTION("GOOGLETRANSLATE(C19,""ja"",""vi"")"),"Đấu giá&gt; bất động sản&gt; Căn hộ&gt; Hokuriku&gt; Ishikawa Prefecture")</f>
        <v>Đấu giá&gt; bất động sản&gt; Căn hộ&gt; Hokuriku&gt; Ishikawa Prefecture</v>
      </c>
      <c r="G19" t="str">
        <f t="shared" ca="1" si="0"/>
        <v>"2084060799" : "Ishikawa Prefecture",</v>
      </c>
    </row>
    <row r="20" spans="1:7" ht="14.25" customHeight="1">
      <c r="A20" s="8">
        <v>2084060800</v>
      </c>
      <c r="B20" s="2" t="s">
        <v>237</v>
      </c>
      <c r="C20" s="8" t="s">
        <v>238</v>
      </c>
      <c r="D20" s="2" t="s">
        <v>240</v>
      </c>
      <c r="E20" s="5" t="str">
        <f ca="1">IFERROR(__xludf.DUMMYFUNCTION("GOOGLETRANSLATE(B20,""ja"",""vi"")"),"Fukui Prefecture")</f>
        <v>Fukui Prefecture</v>
      </c>
      <c r="F20" s="4" t="str">
        <f ca="1">IFERROR(__xludf.DUMMYFUNCTION("GOOGLETRANSLATE(C20,""ja"",""vi"")"),"Đấu giá&gt; bất động sản&gt; Căn hộ&gt; Hokuriku&gt; Fukui Prefecture")</f>
        <v>Đấu giá&gt; bất động sản&gt; Căn hộ&gt; Hokuriku&gt; Fukui Prefecture</v>
      </c>
      <c r="G20" t="str">
        <f t="shared" ca="1" si="0"/>
        <v>"2084060800" : "Fukui Prefecture",</v>
      </c>
    </row>
    <row r="21" spans="1:7" ht="14.25" customHeight="1">
      <c r="A21" s="2">
        <v>2084060801</v>
      </c>
      <c r="B21" s="2" t="s">
        <v>247</v>
      </c>
      <c r="C21" s="2" t="s">
        <v>248</v>
      </c>
      <c r="D21" s="2" t="s">
        <v>250</v>
      </c>
      <c r="E21" s="5" t="str">
        <f ca="1">IFERROR(__xludf.DUMMYFUNCTION("GOOGLETRANSLATE(B21,""ja"",""vi"")"),"Aichi Prefecture")</f>
        <v>Aichi Prefecture</v>
      </c>
      <c r="F21" s="4" t="str">
        <f ca="1">IFERROR(__xludf.DUMMYFUNCTION("GOOGLETRANSLATE(C21,""ja"",""vi"")"),"Đấu giá&gt; bất động sản&gt; Căn hộ&gt; Tokai&gt; Aichi Prefecture")</f>
        <v>Đấu giá&gt; bất động sản&gt; Căn hộ&gt; Tokai&gt; Aichi Prefecture</v>
      </c>
      <c r="G21" t="str">
        <f t="shared" ca="1" si="0"/>
        <v>"2084060801" : "Aichi Prefecture",</v>
      </c>
    </row>
    <row r="22" spans="1:7" ht="14.25" customHeight="1">
      <c r="A22" s="2">
        <v>2084060802</v>
      </c>
      <c r="B22" s="2" t="s">
        <v>258</v>
      </c>
      <c r="C22" s="2" t="s">
        <v>261</v>
      </c>
      <c r="D22" s="2" t="s">
        <v>263</v>
      </c>
      <c r="E22" s="5" t="str">
        <f ca="1">IFERROR(__xludf.DUMMYFUNCTION("GOOGLETRANSLATE(B22,""ja"",""vi"")"),"Gifu Prefecture")</f>
        <v>Gifu Prefecture</v>
      </c>
      <c r="F22" s="4" t="str">
        <f ca="1">IFERROR(__xludf.DUMMYFUNCTION("GOOGLETRANSLATE(C22,""ja"",""vi"")"),"Đấu giá&gt; bất động sản&gt; Căn hộ&gt; Tokai&gt; Gifu Prefecture")</f>
        <v>Đấu giá&gt; bất động sản&gt; Căn hộ&gt; Tokai&gt; Gifu Prefecture</v>
      </c>
      <c r="G22" t="str">
        <f t="shared" ca="1" si="0"/>
        <v>"2084060802" : "Gifu Prefecture",</v>
      </c>
    </row>
    <row r="23" spans="1:7" ht="14.25" customHeight="1">
      <c r="A23" s="2">
        <v>2084060803</v>
      </c>
      <c r="B23" s="2" t="s">
        <v>267</v>
      </c>
      <c r="C23" s="2" t="s">
        <v>269</v>
      </c>
      <c r="D23" s="2" t="s">
        <v>272</v>
      </c>
      <c r="E23" s="5" t="str">
        <f ca="1">IFERROR(__xludf.DUMMYFUNCTION("GOOGLETRANSLATE(B23,""ja"",""vi"")"),"Shizuoka Prefecture")</f>
        <v>Shizuoka Prefecture</v>
      </c>
      <c r="F23" s="4" t="str">
        <f ca="1">IFERROR(__xludf.DUMMYFUNCTION("GOOGLETRANSLATE(C23,""ja"",""vi"")"),"Đấu giá&gt; bất động sản&gt; Căn hộ&gt; Tokai&gt; Shizuoka Prefecture")</f>
        <v>Đấu giá&gt; bất động sản&gt; Căn hộ&gt; Tokai&gt; Shizuoka Prefecture</v>
      </c>
      <c r="G23" t="str">
        <f t="shared" ca="1" si="0"/>
        <v>"2084060803" : "Shizuoka Prefecture",</v>
      </c>
    </row>
    <row r="24" spans="1:7" ht="14.25" customHeight="1">
      <c r="A24" s="2">
        <v>2084060804</v>
      </c>
      <c r="B24" s="2" t="s">
        <v>279</v>
      </c>
      <c r="C24" s="2" t="s">
        <v>281</v>
      </c>
      <c r="D24" s="2" t="s">
        <v>282</v>
      </c>
      <c r="E24" s="5" t="str">
        <f ca="1">IFERROR(__xludf.DUMMYFUNCTION("GOOGLETRANSLATE(B24,""ja"",""vi"")"),"Mie Prefecture")</f>
        <v>Mie Prefecture</v>
      </c>
      <c r="F24" s="4" t="str">
        <f ca="1">IFERROR(__xludf.DUMMYFUNCTION("GOOGLETRANSLATE(C24,""ja"",""vi"")"),"Đấu giá&gt; bất động sản&gt; Căn hộ&gt; Tokai&gt; Mie Prefecture")</f>
        <v>Đấu giá&gt; bất động sản&gt; Căn hộ&gt; Tokai&gt; Mie Prefecture</v>
      </c>
      <c r="G24" t="str">
        <f t="shared" ca="1" si="0"/>
        <v>"2084060804" : "Mie Prefecture",</v>
      </c>
    </row>
    <row r="25" spans="1:7" ht="14.25" customHeight="1">
      <c r="A25" s="2">
        <v>2084060805</v>
      </c>
      <c r="B25" s="2" t="s">
        <v>286</v>
      </c>
      <c r="C25" s="2" t="s">
        <v>289</v>
      </c>
      <c r="D25" s="2" t="s">
        <v>290</v>
      </c>
      <c r="E25" s="5" t="str">
        <f ca="1">IFERROR(__xludf.DUMMYFUNCTION("GOOGLETRANSLATE(B25,""ja"",""vi"")"),"tỉnh Osaka")</f>
        <v>tỉnh Osaka</v>
      </c>
      <c r="F25" s="4" t="str">
        <f ca="1">IFERROR(__xludf.DUMMYFUNCTION("GOOGLETRANSLATE(C25,""ja"",""vi"")"),"Đấu giá&gt; bất động sản&gt; Căn hộ&gt; Kinki&gt; Osaka Prefecture")</f>
        <v>Đấu giá&gt; bất động sản&gt; Căn hộ&gt; Kinki&gt; Osaka Prefecture</v>
      </c>
      <c r="G25" t="str">
        <f t="shared" ca="1" si="0"/>
        <v>"2084060805" : "tỉnh Osaka",</v>
      </c>
    </row>
    <row r="26" spans="1:7" ht="14.25" customHeight="1">
      <c r="A26" s="2">
        <v>2084060806</v>
      </c>
      <c r="B26" s="2" t="s">
        <v>293</v>
      </c>
      <c r="C26" s="2" t="s">
        <v>294</v>
      </c>
      <c r="D26" s="2" t="s">
        <v>296</v>
      </c>
      <c r="E26" s="5" t="str">
        <f ca="1">IFERROR(__xludf.DUMMYFUNCTION("GOOGLETRANSLATE(B26,""ja"",""vi"")"),"Hyogo Prefecture")</f>
        <v>Hyogo Prefecture</v>
      </c>
      <c r="F26" s="4" t="str">
        <f ca="1">IFERROR(__xludf.DUMMYFUNCTION("GOOGLETRANSLATE(C26,""ja"",""vi"")"),"Đấu giá&gt; bất động sản&gt; Căn hộ&gt; Kinki&gt; Hyogo Prefecture")</f>
        <v>Đấu giá&gt; bất động sản&gt; Căn hộ&gt; Kinki&gt; Hyogo Prefecture</v>
      </c>
      <c r="G26" t="str">
        <f t="shared" ca="1" si="0"/>
        <v>"2084060806" : "Hyogo Prefecture",</v>
      </c>
    </row>
    <row r="27" spans="1:7" ht="14.25" customHeight="1">
      <c r="A27" s="2">
        <v>2084060807</v>
      </c>
      <c r="B27" s="2" t="s">
        <v>301</v>
      </c>
      <c r="C27" s="2" t="s">
        <v>304</v>
      </c>
      <c r="D27" s="2" t="s">
        <v>306</v>
      </c>
      <c r="E27" s="5" t="str">
        <f ca="1">IFERROR(__xludf.DUMMYFUNCTION("GOOGLETRANSLATE(B27,""ja"",""vi"")"),"tỉnh Kyoto")</f>
        <v>tỉnh Kyoto</v>
      </c>
      <c r="F27" s="4" t="str">
        <f ca="1">IFERROR(__xludf.DUMMYFUNCTION("GOOGLETRANSLATE(C27,""ja"",""vi"")"),"Đấu giá&gt; bất động sản&gt; Căn hộ&gt; Kinki&gt; tỉnh Kyoto")</f>
        <v>Đấu giá&gt; bất động sản&gt; Căn hộ&gt; Kinki&gt; tỉnh Kyoto</v>
      </c>
      <c r="G27" t="str">
        <f t="shared" ca="1" si="0"/>
        <v>"2084060807" : "tỉnh Kyoto",</v>
      </c>
    </row>
    <row r="28" spans="1:7" ht="14.25" customHeight="1">
      <c r="A28" s="2">
        <v>2084060808</v>
      </c>
      <c r="B28" s="2" t="s">
        <v>310</v>
      </c>
      <c r="C28" s="2" t="s">
        <v>312</v>
      </c>
      <c r="D28" s="2" t="s">
        <v>317</v>
      </c>
      <c r="E28" s="5" t="str">
        <f ca="1">IFERROR(__xludf.DUMMYFUNCTION("GOOGLETRANSLATE(B28,""ja"",""vi"")"),"Shiga Prefecture")</f>
        <v>Shiga Prefecture</v>
      </c>
      <c r="F28" s="4" t="str">
        <f ca="1">IFERROR(__xludf.DUMMYFUNCTION("GOOGLETRANSLATE(C28,""ja"",""vi"")"),"Đấu giá&gt; bất động sản&gt; Căn hộ&gt; Kinki&gt; Shiga Prefecture")</f>
        <v>Đấu giá&gt; bất động sản&gt; Căn hộ&gt; Kinki&gt; Shiga Prefecture</v>
      </c>
      <c r="G28" t="str">
        <f t="shared" ca="1" si="0"/>
        <v>"2084060808" : "Shiga Prefecture",</v>
      </c>
    </row>
    <row r="29" spans="1:7" ht="14.25" customHeight="1">
      <c r="A29" s="2">
        <v>2084060809</v>
      </c>
      <c r="B29" s="2" t="s">
        <v>322</v>
      </c>
      <c r="C29" s="2" t="s">
        <v>326</v>
      </c>
      <c r="D29" s="2" t="s">
        <v>330</v>
      </c>
      <c r="E29" s="5" t="str">
        <f ca="1">IFERROR(__xludf.DUMMYFUNCTION("GOOGLETRANSLATE(B29,""ja"",""vi"")"),"Nara Prefecture")</f>
        <v>Nara Prefecture</v>
      </c>
      <c r="F29" s="4" t="str">
        <f ca="1">IFERROR(__xludf.DUMMYFUNCTION("GOOGLETRANSLATE(C29,""ja"",""vi"")"),"Đấu giá&gt; bất động sản&gt; Căn hộ&gt; Kinki&gt; Nara Prefecture")</f>
        <v>Đấu giá&gt; bất động sản&gt; Căn hộ&gt; Kinki&gt; Nara Prefecture</v>
      </c>
      <c r="G29" t="str">
        <f t="shared" ca="1" si="0"/>
        <v>"2084060809" : "Nara Prefecture",</v>
      </c>
    </row>
    <row r="30" spans="1:7" ht="14.25" customHeight="1">
      <c r="A30" s="2">
        <v>2084060810</v>
      </c>
      <c r="B30" s="2" t="s">
        <v>336</v>
      </c>
      <c r="C30" s="2" t="s">
        <v>339</v>
      </c>
      <c r="D30" s="2" t="s">
        <v>342</v>
      </c>
      <c r="E30" s="5" t="str">
        <f ca="1">IFERROR(__xludf.DUMMYFUNCTION("GOOGLETRANSLATE(B30,""ja"",""vi"")"),"Wakayama")</f>
        <v>Wakayama</v>
      </c>
      <c r="F30" s="4" t="str">
        <f ca="1">IFERROR(__xludf.DUMMYFUNCTION("GOOGLETRANSLATE(C30,""ja"",""vi"")"),"Đấu giá&gt; bất động sản&gt; Căn hộ&gt; Kinki&gt; Wakayama")</f>
        <v>Đấu giá&gt; bất động sản&gt; Căn hộ&gt; Kinki&gt; Wakayama</v>
      </c>
      <c r="G30" t="str">
        <f t="shared" ca="1" si="0"/>
        <v>"2084060810" : "Wakayama",</v>
      </c>
    </row>
    <row r="31" spans="1:7" ht="14.25" customHeight="1">
      <c r="A31" s="2">
        <v>2084060811</v>
      </c>
      <c r="B31" s="2" t="s">
        <v>346</v>
      </c>
      <c r="C31" s="2" t="s">
        <v>348</v>
      </c>
      <c r="D31" s="2" t="s">
        <v>349</v>
      </c>
      <c r="E31" s="5" t="str">
        <f ca="1">IFERROR(__xludf.DUMMYFUNCTION("GOOGLETRANSLATE(B31,""ja"",""vi"")"),"Tottori")</f>
        <v>Tottori</v>
      </c>
      <c r="F31" s="4" t="str">
        <f ca="1">IFERROR(__xludf.DUMMYFUNCTION("GOOGLETRANSLATE(C31,""ja"",""vi"")"),"Đấu giá&gt; bất động sản&gt; Căn hộ&gt; Trung Quốc&gt; Tottori")</f>
        <v>Đấu giá&gt; bất động sản&gt; Căn hộ&gt; Trung Quốc&gt; Tottori</v>
      </c>
      <c r="G31" t="str">
        <f t="shared" ca="1" si="0"/>
        <v>"2084060811" : "Tottori",</v>
      </c>
    </row>
    <row r="32" spans="1:7" ht="14.25" customHeight="1">
      <c r="A32" s="2">
        <v>2084060812</v>
      </c>
      <c r="B32" s="2" t="s">
        <v>355</v>
      </c>
      <c r="C32" s="2" t="s">
        <v>358</v>
      </c>
      <c r="D32" s="2" t="s">
        <v>363</v>
      </c>
      <c r="E32" s="5" t="str">
        <f ca="1">IFERROR(__xludf.DUMMYFUNCTION("GOOGLETRANSLATE(B32,""ja"",""vi"")"),"quận Shimane")</f>
        <v>quận Shimane</v>
      </c>
      <c r="F32" s="4" t="str">
        <f ca="1">IFERROR(__xludf.DUMMYFUNCTION("GOOGLETRANSLATE(C32,""ja"",""vi"")"),"Đấu giá&gt; bất động sản&gt; Căn hộ&gt; Trung Quốc&gt; Quận Shimane")</f>
        <v>Đấu giá&gt; bất động sản&gt; Căn hộ&gt; Trung Quốc&gt; Quận Shimane</v>
      </c>
      <c r="G32" t="str">
        <f t="shared" ca="1" si="0"/>
        <v>"2084060812" : "quận Shimane",</v>
      </c>
    </row>
    <row r="33" spans="1:7" ht="14.25" customHeight="1">
      <c r="A33" s="2">
        <v>2084060813</v>
      </c>
      <c r="B33" s="2" t="s">
        <v>371</v>
      </c>
      <c r="C33" s="2" t="s">
        <v>374</v>
      </c>
      <c r="D33" s="2" t="s">
        <v>377</v>
      </c>
      <c r="E33" s="5" t="str">
        <f ca="1">IFERROR(__xludf.DUMMYFUNCTION("GOOGLETRANSLATE(B33,""ja"",""vi"")"),"Okayama Prefecture")</f>
        <v>Okayama Prefecture</v>
      </c>
      <c r="F33" s="4" t="str">
        <f ca="1">IFERROR(__xludf.DUMMYFUNCTION("GOOGLETRANSLATE(C33,""ja"",""vi"")"),"Đấu giá&gt; bất động sản&gt; Căn hộ&gt; Trung Quốc&gt; Okayama Prefecture")</f>
        <v>Đấu giá&gt; bất động sản&gt; Căn hộ&gt; Trung Quốc&gt; Okayama Prefecture</v>
      </c>
      <c r="G33" t="str">
        <f t="shared" ca="1" si="0"/>
        <v>"2084060813" : "Okayama Prefecture",</v>
      </c>
    </row>
    <row r="34" spans="1:7" ht="14.25" customHeight="1">
      <c r="A34" s="2">
        <v>2084060814</v>
      </c>
      <c r="B34" s="2" t="s">
        <v>385</v>
      </c>
      <c r="C34" s="2" t="s">
        <v>387</v>
      </c>
      <c r="D34" s="2" t="s">
        <v>389</v>
      </c>
      <c r="E34" s="5" t="str">
        <f ca="1">IFERROR(__xludf.DUMMYFUNCTION("GOOGLETRANSLATE(B34,""ja"",""vi"")"),"tỉnh Hiroshima")</f>
        <v>tỉnh Hiroshima</v>
      </c>
      <c r="F34" s="4" t="str">
        <f ca="1">IFERROR(__xludf.DUMMYFUNCTION("GOOGLETRANSLATE(C34,""ja"",""vi"")"),"Đấu giá&gt; bất động sản&gt; Căn hộ&gt; Trung Quốc&gt; Hiroshima Prefecture")</f>
        <v>Đấu giá&gt; bất động sản&gt; Căn hộ&gt; Trung Quốc&gt; Hiroshima Prefecture</v>
      </c>
      <c r="G34" t="str">
        <f t="shared" ca="1" si="0"/>
        <v>"2084060814" : "tỉnh Hiroshima",</v>
      </c>
    </row>
    <row r="35" spans="1:7" ht="14.25" customHeight="1">
      <c r="A35" s="2">
        <v>2084060815</v>
      </c>
      <c r="B35" s="2" t="s">
        <v>394</v>
      </c>
      <c r="C35" s="2" t="s">
        <v>396</v>
      </c>
      <c r="D35" s="2" t="s">
        <v>398</v>
      </c>
      <c r="E35" s="5" t="str">
        <f ca="1">IFERROR(__xludf.DUMMYFUNCTION("GOOGLETRANSLATE(B35,""ja"",""vi"")"),"tỉnh Yamaguchi")</f>
        <v>tỉnh Yamaguchi</v>
      </c>
      <c r="F35" s="4" t="str">
        <f ca="1">IFERROR(__xludf.DUMMYFUNCTION("GOOGLETRANSLATE(C35,""ja"",""vi"")"),"Đấu giá&gt; bất động sản&gt; Căn hộ&gt; Trung Quốc&gt; tỉnh Yamaguchi")</f>
        <v>Đấu giá&gt; bất động sản&gt; Căn hộ&gt; Trung Quốc&gt; tỉnh Yamaguchi</v>
      </c>
      <c r="G35" t="str">
        <f t="shared" ca="1" si="0"/>
        <v>"2084060815" : "tỉnh Yamaguchi",</v>
      </c>
    </row>
    <row r="36" spans="1:7" ht="14.25" customHeight="1">
      <c r="A36" s="2">
        <v>2084060816</v>
      </c>
      <c r="B36" s="2" t="s">
        <v>404</v>
      </c>
      <c r="C36" s="2" t="s">
        <v>407</v>
      </c>
      <c r="D36" s="2" t="s">
        <v>410</v>
      </c>
      <c r="E36" s="5" t="str">
        <f ca="1">IFERROR(__xludf.DUMMYFUNCTION("GOOGLETRANSLATE(B36,""ja"",""vi"")"),"Tokushima Prefecture")</f>
        <v>Tokushima Prefecture</v>
      </c>
      <c r="F36" s="4" t="str">
        <f ca="1">IFERROR(__xludf.DUMMYFUNCTION("GOOGLETRANSLATE(C36,""ja"",""vi"")"),"Đấu giá&gt; bất động sản&gt; Căn hộ&gt; Shikoku&gt; quận Tokushima")</f>
        <v>Đấu giá&gt; bất động sản&gt; Căn hộ&gt; Shikoku&gt; quận Tokushima</v>
      </c>
      <c r="G36" t="str">
        <f t="shared" ca="1" si="0"/>
        <v>"2084060816" : "Tokushima Prefecture",</v>
      </c>
    </row>
    <row r="37" spans="1:7" ht="14.25" customHeight="1">
      <c r="A37" s="2">
        <v>2084060817</v>
      </c>
      <c r="B37" s="2" t="s">
        <v>414</v>
      </c>
      <c r="C37" s="2" t="s">
        <v>416</v>
      </c>
      <c r="D37" s="2" t="s">
        <v>419</v>
      </c>
      <c r="E37" s="5" t="str">
        <f ca="1">IFERROR(__xludf.DUMMYFUNCTION("GOOGLETRANSLATE(B37,""ja"",""vi"")"),"Kagawa Prefecture")</f>
        <v>Kagawa Prefecture</v>
      </c>
      <c r="F37" s="4" t="str">
        <f ca="1">IFERROR(__xludf.DUMMYFUNCTION("GOOGLETRANSLATE(C37,""ja"",""vi"")"),"Đấu giá&gt; bất động sản&gt; Căn hộ&gt; Shikoku&gt; Kagawa Prefecture")</f>
        <v>Đấu giá&gt; bất động sản&gt; Căn hộ&gt; Shikoku&gt; Kagawa Prefecture</v>
      </c>
      <c r="G37" t="str">
        <f t="shared" ca="1" si="0"/>
        <v>"2084060817" : "Kagawa Prefecture",</v>
      </c>
    </row>
    <row r="38" spans="1:7" ht="14.25" customHeight="1">
      <c r="A38" s="2">
        <v>2084060818</v>
      </c>
      <c r="B38" s="2" t="s">
        <v>423</v>
      </c>
      <c r="C38" s="2" t="s">
        <v>425</v>
      </c>
      <c r="D38" s="2" t="s">
        <v>428</v>
      </c>
      <c r="E38" s="5" t="str">
        <f ca="1">IFERROR(__xludf.DUMMYFUNCTION("GOOGLETRANSLATE(B38,""ja"",""vi"")"),"Ehime Prefecture")</f>
        <v>Ehime Prefecture</v>
      </c>
      <c r="F38" s="4" t="str">
        <f ca="1">IFERROR(__xludf.DUMMYFUNCTION("GOOGLETRANSLATE(C38,""ja"",""vi"")"),"Đấu giá&gt; bất động sản&gt; Căn hộ&gt; Shikoku&gt; Ehime Prefecture")</f>
        <v>Đấu giá&gt; bất động sản&gt; Căn hộ&gt; Shikoku&gt; Ehime Prefecture</v>
      </c>
      <c r="G38" t="str">
        <f t="shared" ca="1" si="0"/>
        <v>"2084060818" : "Ehime Prefecture",</v>
      </c>
    </row>
    <row r="39" spans="1:7" ht="14.25" customHeight="1">
      <c r="A39" s="2">
        <v>2084060819</v>
      </c>
      <c r="B39" s="2" t="s">
        <v>433</v>
      </c>
      <c r="C39" s="2" t="s">
        <v>434</v>
      </c>
      <c r="D39" s="2" t="s">
        <v>435</v>
      </c>
      <c r="E39" s="5" t="str">
        <f ca="1">IFERROR(__xludf.DUMMYFUNCTION("GOOGLETRANSLATE(B39,""ja"",""vi"")"),"Kochi Prefecture")</f>
        <v>Kochi Prefecture</v>
      </c>
      <c r="F39" s="4" t="str">
        <f ca="1">IFERROR(__xludf.DUMMYFUNCTION("GOOGLETRANSLATE(C39,""ja"",""vi"")"),"Đấu giá&gt; bất động sản&gt; Căn hộ&gt; Shikoku&gt; Kochi Prefecture")</f>
        <v>Đấu giá&gt; bất động sản&gt; Căn hộ&gt; Shikoku&gt; Kochi Prefecture</v>
      </c>
      <c r="G39" t="str">
        <f t="shared" ca="1" si="0"/>
        <v>"2084060819" : "Kochi Prefecture",</v>
      </c>
    </row>
    <row r="40" spans="1:7" ht="14.25" customHeight="1">
      <c r="A40" s="2">
        <v>2084060820</v>
      </c>
      <c r="B40" s="2" t="s">
        <v>441</v>
      </c>
      <c r="C40" s="7" t="s">
        <v>443</v>
      </c>
      <c r="D40" s="2" t="s">
        <v>444</v>
      </c>
      <c r="E40" s="5" t="str">
        <f ca="1">IFERROR(__xludf.DUMMYFUNCTION("GOOGLETRANSLATE(B40,""ja"",""vi"")"),"Fukuoka Prefecture")</f>
        <v>Fukuoka Prefecture</v>
      </c>
      <c r="F40" s="4" t="str">
        <f ca="1">IFERROR(__xludf.DUMMYFUNCTION("GOOGLETRANSLATE(C40,""ja"",""vi"")"),"Đấu giá&gt; bất động sản&gt; Căn hộ&gt; Kyushu&gt; Fukuoka Prefecture")</f>
        <v>Đấu giá&gt; bất động sản&gt; Căn hộ&gt; Kyushu&gt; Fukuoka Prefecture</v>
      </c>
      <c r="G40" t="str">
        <f t="shared" ca="1" si="0"/>
        <v>"2084060820" : "Fukuoka Prefecture",</v>
      </c>
    </row>
    <row r="41" spans="1:7" ht="14.25" customHeight="1">
      <c r="A41" s="2">
        <v>2084060821</v>
      </c>
      <c r="B41" s="2" t="s">
        <v>450</v>
      </c>
      <c r="C41" s="7" t="s">
        <v>452</v>
      </c>
      <c r="D41" s="2" t="s">
        <v>453</v>
      </c>
      <c r="E41" s="5" t="str">
        <f ca="1">IFERROR(__xludf.DUMMYFUNCTION("GOOGLETRANSLATE(B41,""ja"",""vi"")"),"Saga Prefecture")</f>
        <v>Saga Prefecture</v>
      </c>
      <c r="F41" s="4" t="str">
        <f ca="1">IFERROR(__xludf.DUMMYFUNCTION("GOOGLETRANSLATE(C41,""ja"",""vi"")"),"Đấu giá&gt; bất động sản&gt; Căn hộ&gt; Kyushu&gt; Saga")</f>
        <v>Đấu giá&gt; bất động sản&gt; Căn hộ&gt; Kyushu&gt; Saga</v>
      </c>
      <c r="G41" t="str">
        <f t="shared" ca="1" si="0"/>
        <v>"2084060821" : "Saga Prefecture",</v>
      </c>
    </row>
    <row r="42" spans="1:7" ht="14.25" customHeight="1">
      <c r="A42" s="2">
        <v>2084060822</v>
      </c>
      <c r="B42" s="2" t="s">
        <v>456</v>
      </c>
      <c r="C42" s="7" t="s">
        <v>459</v>
      </c>
      <c r="D42" s="2" t="s">
        <v>461</v>
      </c>
      <c r="E42" s="5" t="str">
        <f ca="1">IFERROR(__xludf.DUMMYFUNCTION("GOOGLETRANSLATE(B42,""ja"",""vi"")"),"tỉnh Nagasaki")</f>
        <v>tỉnh Nagasaki</v>
      </c>
      <c r="F42" s="4" t="str">
        <f ca="1">IFERROR(__xludf.DUMMYFUNCTION("GOOGLETRANSLATE(C42,""ja"",""vi"")"),"Đấu giá&gt; bất động sản&gt; Căn hộ&gt; Kyushu&gt; Nagasaki Prefecture")</f>
        <v>Đấu giá&gt; bất động sản&gt; Căn hộ&gt; Kyushu&gt; Nagasaki Prefecture</v>
      </c>
      <c r="G42" t="str">
        <f t="shared" ca="1" si="0"/>
        <v>"2084060822" : "tỉnh Nagasaki",</v>
      </c>
    </row>
    <row r="43" spans="1:7" ht="14.25" customHeight="1">
      <c r="A43" s="2">
        <v>2084060823</v>
      </c>
      <c r="B43" s="2" t="s">
        <v>466</v>
      </c>
      <c r="C43" s="7" t="s">
        <v>467</v>
      </c>
      <c r="D43" s="2" t="s">
        <v>468</v>
      </c>
      <c r="E43" s="5" t="str">
        <f ca="1">IFERROR(__xludf.DUMMYFUNCTION("GOOGLETRANSLATE(B43,""ja"",""vi"")"),"Kumamoto Prefecture")</f>
        <v>Kumamoto Prefecture</v>
      </c>
      <c r="F43" s="4" t="str">
        <f ca="1">IFERROR(__xludf.DUMMYFUNCTION("GOOGLETRANSLATE(C43,""ja"",""vi"")"),"Đấu giá&gt; bất động sản&gt; Căn hộ&gt; Kyushu&gt; Kumamoto Prefecture")</f>
        <v>Đấu giá&gt; bất động sản&gt; Căn hộ&gt; Kyushu&gt; Kumamoto Prefecture</v>
      </c>
      <c r="G43" t="str">
        <f t="shared" ca="1" si="0"/>
        <v>"2084060823" : "Kumamoto Prefecture",</v>
      </c>
    </row>
    <row r="44" spans="1:7" ht="14.25" customHeight="1">
      <c r="A44" s="2">
        <v>2084060824</v>
      </c>
      <c r="B44" s="2" t="s">
        <v>474</v>
      </c>
      <c r="C44" s="7" t="s">
        <v>476</v>
      </c>
      <c r="D44" s="2" t="s">
        <v>477</v>
      </c>
      <c r="E44" s="5" t="str">
        <f ca="1">IFERROR(__xludf.DUMMYFUNCTION("GOOGLETRANSLATE(B44,""ja"",""vi"")"),"Oita Prefecture")</f>
        <v>Oita Prefecture</v>
      </c>
      <c r="F44" s="4" t="str">
        <f ca="1">IFERROR(__xludf.DUMMYFUNCTION("GOOGLETRANSLATE(C44,""ja"",""vi"")"),"Đấu giá&gt; bất động sản&gt; Căn hộ&gt; Kyushu&gt; Oita Prefecture")</f>
        <v>Đấu giá&gt; bất động sản&gt; Căn hộ&gt; Kyushu&gt; Oita Prefecture</v>
      </c>
      <c r="G44" t="str">
        <f t="shared" ca="1" si="0"/>
        <v>"2084060824" : "Oita Prefecture",</v>
      </c>
    </row>
    <row r="45" spans="1:7" ht="14.25" customHeight="1">
      <c r="A45" s="2">
        <v>2084060825</v>
      </c>
      <c r="B45" s="2" t="s">
        <v>481</v>
      </c>
      <c r="C45" s="7" t="s">
        <v>483</v>
      </c>
      <c r="D45" s="2" t="s">
        <v>485</v>
      </c>
      <c r="E45" s="5" t="str">
        <f ca="1">IFERROR(__xludf.DUMMYFUNCTION("GOOGLETRANSLATE(B45,""ja"",""vi"")"),"Miyazaki Prefecture")</f>
        <v>Miyazaki Prefecture</v>
      </c>
      <c r="F45" s="4" t="str">
        <f ca="1">IFERROR(__xludf.DUMMYFUNCTION("GOOGLETRANSLATE(C45,""ja"",""vi"")"),"Đấu giá&gt; bất động sản&gt; Căn hộ&gt; Kyushu&gt; Miyazaki Prefecture")</f>
        <v>Đấu giá&gt; bất động sản&gt; Căn hộ&gt; Kyushu&gt; Miyazaki Prefecture</v>
      </c>
      <c r="G45" t="str">
        <f t="shared" ca="1" si="0"/>
        <v>"2084060825" : "Miyazaki Prefecture",</v>
      </c>
    </row>
    <row r="46" spans="1:7" ht="14.25" customHeight="1">
      <c r="A46" s="2">
        <v>2084060826</v>
      </c>
      <c r="B46" s="2" t="s">
        <v>487</v>
      </c>
      <c r="C46" s="7" t="s">
        <v>488</v>
      </c>
      <c r="D46" s="2" t="s">
        <v>490</v>
      </c>
      <c r="E46" s="5" t="str">
        <f ca="1">IFERROR(__xludf.DUMMYFUNCTION("GOOGLETRANSLATE(B46,""ja"",""vi"")"),"Kagoshima Prefecture")</f>
        <v>Kagoshima Prefecture</v>
      </c>
      <c r="F46" s="4" t="str">
        <f ca="1">IFERROR(__xludf.DUMMYFUNCTION("GOOGLETRANSLATE(C46,""ja"",""vi"")"),"Đấu giá&gt; bất động sản&gt; Căn hộ&gt; Kyushu&gt; Kagoshima Prefecture")</f>
        <v>Đấu giá&gt; bất động sản&gt; Căn hộ&gt; Kyushu&gt; Kagoshima Prefecture</v>
      </c>
      <c r="G46" t="str">
        <f t="shared" ca="1" si="0"/>
        <v>"2084060826" : "Kagoshima Prefecture",</v>
      </c>
    </row>
    <row r="47" spans="1:7" ht="14.25" customHeight="1">
      <c r="A47" s="2">
        <v>2084060827</v>
      </c>
      <c r="B47" s="2" t="s">
        <v>10</v>
      </c>
      <c r="C47" s="8" t="s">
        <v>494</v>
      </c>
      <c r="D47" s="2" t="s">
        <v>497</v>
      </c>
      <c r="E47" s="5" t="str">
        <f ca="1">IFERROR(__xludf.DUMMYFUNCTION("GOOGLETRANSLATE(B47,""ja"",""vi"")"),"Aomori Prefecture")</f>
        <v>Aomori Prefecture</v>
      </c>
      <c r="F47" s="4" t="str">
        <f ca="1">IFERROR(__xludf.DUMMYFUNCTION("GOOGLETRANSLATE(C47,""ja"",""vi"")"),"Đấu giá&gt; Bất động sản&gt; Trang chủ&gt; Tohoku&gt; Aomori Prefecture")</f>
        <v>Đấu giá&gt; Bất động sản&gt; Trang chủ&gt; Tohoku&gt; Aomori Prefecture</v>
      </c>
      <c r="G47" t="str">
        <f t="shared" ca="1" si="0"/>
        <v>"2084060827" : "Aomori Prefecture",</v>
      </c>
    </row>
    <row r="48" spans="1:7" ht="14.25" customHeight="1">
      <c r="A48" s="2">
        <v>2084060828</v>
      </c>
      <c r="B48" s="2" t="s">
        <v>29</v>
      </c>
      <c r="C48" s="8" t="s">
        <v>501</v>
      </c>
      <c r="D48" s="2" t="s">
        <v>504</v>
      </c>
      <c r="E48" s="5" t="str">
        <f ca="1">IFERROR(__xludf.DUMMYFUNCTION("GOOGLETRANSLATE(B48,""ja"",""vi"")"),"Iwate Prefecture")</f>
        <v>Iwate Prefecture</v>
      </c>
      <c r="F48" s="4" t="str">
        <f ca="1">IFERROR(__xludf.DUMMYFUNCTION("GOOGLETRANSLATE(C48,""ja"",""vi"")"),"Đấu giá&gt; Bất động sản&gt; Trang chủ&gt; Tohoku&gt; Iwate Prefecture")</f>
        <v>Đấu giá&gt; Bất động sản&gt; Trang chủ&gt; Tohoku&gt; Iwate Prefecture</v>
      </c>
      <c r="G48" t="str">
        <f t="shared" ca="1" si="0"/>
        <v>"2084060828" : "Iwate Prefecture",</v>
      </c>
    </row>
    <row r="49" spans="1:7" ht="14.25" customHeight="1">
      <c r="A49" s="2">
        <v>2084060829</v>
      </c>
      <c r="B49" s="2" t="s">
        <v>36</v>
      </c>
      <c r="C49" s="8" t="s">
        <v>508</v>
      </c>
      <c r="D49" s="2" t="s">
        <v>510</v>
      </c>
      <c r="E49" s="5" t="str">
        <f ca="1">IFERROR(__xludf.DUMMYFUNCTION("GOOGLETRANSLATE(B49,""ja"",""vi"")"),"Miyagi Prefecture")</f>
        <v>Miyagi Prefecture</v>
      </c>
      <c r="F49" s="4" t="str">
        <f ca="1">IFERROR(__xludf.DUMMYFUNCTION("GOOGLETRANSLATE(C49,""ja"",""vi"")"),"Đấu giá&gt; Bất động sản&gt; Trang chủ&gt; Tohoku&gt; Miyagi Prefecture")</f>
        <v>Đấu giá&gt; Bất động sản&gt; Trang chủ&gt; Tohoku&gt; Miyagi Prefecture</v>
      </c>
      <c r="G49" t="str">
        <f t="shared" ca="1" si="0"/>
        <v>"2084060829" : "Miyagi Prefecture",</v>
      </c>
    </row>
    <row r="50" spans="1:7" ht="14.25" customHeight="1">
      <c r="A50" s="2">
        <v>2084060830</v>
      </c>
      <c r="B50" s="2" t="s">
        <v>43</v>
      </c>
      <c r="C50" s="8" t="s">
        <v>513</v>
      </c>
      <c r="D50" s="2" t="s">
        <v>515</v>
      </c>
      <c r="E50" s="5" t="str">
        <f ca="1">IFERROR(__xludf.DUMMYFUNCTION("GOOGLETRANSLATE(B50,""ja"",""vi"")"),"Akita Prefecture")</f>
        <v>Akita Prefecture</v>
      </c>
      <c r="F50" s="4" t="str">
        <f ca="1">IFERROR(__xludf.DUMMYFUNCTION("GOOGLETRANSLATE(C50,""ja"",""vi"")"),"Đấu giá&gt; Bất động sản&gt; Trang chủ&gt; Tohoku&gt; Akita Prefecture")</f>
        <v>Đấu giá&gt; Bất động sản&gt; Trang chủ&gt; Tohoku&gt; Akita Prefecture</v>
      </c>
      <c r="G50" t="str">
        <f t="shared" ca="1" si="0"/>
        <v>"2084060830" : "Akita Prefecture",</v>
      </c>
    </row>
    <row r="51" spans="1:7" ht="14.25" customHeight="1">
      <c r="A51" s="2">
        <v>2084060831</v>
      </c>
      <c r="B51" s="2" t="s">
        <v>57</v>
      </c>
      <c r="C51" s="8" t="s">
        <v>519</v>
      </c>
      <c r="D51" s="2" t="s">
        <v>520</v>
      </c>
      <c r="E51" s="5" t="str">
        <f ca="1">IFERROR(__xludf.DUMMYFUNCTION("GOOGLETRANSLATE(B51,""ja"",""vi"")"),"tỉnh Yamagata")</f>
        <v>tỉnh Yamagata</v>
      </c>
      <c r="F51" s="4" t="str">
        <f ca="1">IFERROR(__xludf.DUMMYFUNCTION("GOOGLETRANSLATE(C51,""ja"",""vi"")"),"Đấu giá&gt; Bất động sản&gt; Trang chủ&gt; Tohoku&gt; tỉnh Yamagata")</f>
        <v>Đấu giá&gt; Bất động sản&gt; Trang chủ&gt; Tohoku&gt; tỉnh Yamagata</v>
      </c>
      <c r="G51" t="str">
        <f t="shared" ca="1" si="0"/>
        <v>"2084060831" : "tỉnh Yamagata",</v>
      </c>
    </row>
    <row r="52" spans="1:7" ht="14.25" customHeight="1">
      <c r="A52" s="2">
        <v>2084060832</v>
      </c>
      <c r="B52" s="2" t="s">
        <v>68</v>
      </c>
      <c r="C52" s="8" t="s">
        <v>524</v>
      </c>
      <c r="D52" s="2" t="s">
        <v>525</v>
      </c>
      <c r="E52" s="5" t="str">
        <f ca="1">IFERROR(__xludf.DUMMYFUNCTION("GOOGLETRANSLATE(B52,""ja"",""vi"")"),"Fukushima Prefecture")</f>
        <v>Fukushima Prefecture</v>
      </c>
      <c r="F52" s="4" t="str">
        <f ca="1">IFERROR(__xludf.DUMMYFUNCTION("GOOGLETRANSLATE(C52,""ja"",""vi"")"),"Đấu giá&gt; Bất động sản&gt; Trang chủ&gt; Tohoku&gt; Fukushima Prefecture")</f>
        <v>Đấu giá&gt; Bất động sản&gt; Trang chủ&gt; Tohoku&gt; Fukushima Prefecture</v>
      </c>
      <c r="G52" t="str">
        <f t="shared" ca="1" si="0"/>
        <v>"2084060832" : "Fukushima Prefecture",</v>
      </c>
    </row>
    <row r="53" spans="1:7" ht="14.25" customHeight="1">
      <c r="A53" s="7">
        <v>2084060833</v>
      </c>
      <c r="B53" s="7" t="s">
        <v>92</v>
      </c>
      <c r="C53" s="2" t="s">
        <v>528</v>
      </c>
      <c r="D53" s="2" t="s">
        <v>530</v>
      </c>
      <c r="E53" s="5" t="str">
        <f ca="1">IFERROR(__xludf.DUMMYFUNCTION("GOOGLETRANSLATE(B53,""ja"",""vi"")"),"Tokyo")</f>
        <v>Tokyo</v>
      </c>
      <c r="F53" s="4" t="str">
        <f ca="1">IFERROR(__xludf.DUMMYFUNCTION("GOOGLETRANSLATE(C53,""ja"",""vi"")"),"Đấu giá&gt; Bất động sản&gt; Trang chủ&gt; Kanto&gt; Tokyo")</f>
        <v>Đấu giá&gt; Bất động sản&gt; Trang chủ&gt; Kanto&gt; Tokyo</v>
      </c>
      <c r="G53" t="str">
        <f t="shared" ca="1" si="0"/>
        <v>"2084060833" : "Tokyo",</v>
      </c>
    </row>
    <row r="54" spans="1:7" ht="14.25" customHeight="1">
      <c r="A54" s="7">
        <v>2084060834</v>
      </c>
      <c r="B54" s="7" t="s">
        <v>104</v>
      </c>
      <c r="C54" s="2" t="s">
        <v>533</v>
      </c>
      <c r="D54" s="2" t="s">
        <v>534</v>
      </c>
      <c r="E54" s="5" t="str">
        <f ca="1">IFERROR(__xludf.DUMMYFUNCTION("GOOGLETRANSLATE(B54,""ja"",""vi"")"),"Kanagawa Prefecture")</f>
        <v>Kanagawa Prefecture</v>
      </c>
      <c r="F54" s="4" t="str">
        <f ca="1">IFERROR(__xludf.DUMMYFUNCTION("GOOGLETRANSLATE(C54,""ja"",""vi"")"),"Đấu giá&gt; Bất động sản&gt; Trang chủ&gt; Kanto&gt; Kanagawa Prefecture")</f>
        <v>Đấu giá&gt; Bất động sản&gt; Trang chủ&gt; Kanto&gt; Kanagawa Prefecture</v>
      </c>
      <c r="G54" t="str">
        <f t="shared" ca="1" si="0"/>
        <v>"2084060834" : "Kanagawa Prefecture",</v>
      </c>
    </row>
    <row r="55" spans="1:7" ht="14.25" customHeight="1">
      <c r="A55" s="7">
        <v>2084060835</v>
      </c>
      <c r="B55" s="7" t="s">
        <v>116</v>
      </c>
      <c r="C55" s="2" t="s">
        <v>537</v>
      </c>
      <c r="D55" s="2" t="s">
        <v>539</v>
      </c>
      <c r="E55" s="5" t="str">
        <f ca="1">IFERROR(__xludf.DUMMYFUNCTION("GOOGLETRANSLATE(B55,""ja"",""vi"")"),"Saitama Prefecture")</f>
        <v>Saitama Prefecture</v>
      </c>
      <c r="F55" s="4" t="str">
        <f ca="1">IFERROR(__xludf.DUMMYFUNCTION("GOOGLETRANSLATE(C55,""ja"",""vi"")"),"Đấu giá&gt; Bất động sản&gt; Trang chủ&gt; Kanto&gt; Saitama Prefecture")</f>
        <v>Đấu giá&gt; Bất động sản&gt; Trang chủ&gt; Kanto&gt; Saitama Prefecture</v>
      </c>
      <c r="G55" t="str">
        <f t="shared" ca="1" si="0"/>
        <v>"2084060835" : "Saitama Prefecture",</v>
      </c>
    </row>
    <row r="56" spans="1:7" ht="14.25" customHeight="1">
      <c r="A56" s="7">
        <v>2084060836</v>
      </c>
      <c r="B56" s="7" t="s">
        <v>125</v>
      </c>
      <c r="C56" s="2" t="s">
        <v>541</v>
      </c>
      <c r="D56" s="2" t="s">
        <v>543</v>
      </c>
      <c r="E56" s="5" t="str">
        <f ca="1">IFERROR(__xludf.DUMMYFUNCTION("GOOGLETRANSLATE(B56,""ja"",""vi"")"),"Chiba Prefecture")</f>
        <v>Chiba Prefecture</v>
      </c>
      <c r="F56" s="4" t="str">
        <f ca="1">IFERROR(__xludf.DUMMYFUNCTION("GOOGLETRANSLATE(C56,""ja"",""vi"")"),"Đấu giá&gt; Bất động sản&gt; Trang chủ&gt; Kanto&gt; Chiba Prefecture")</f>
        <v>Đấu giá&gt; Bất động sản&gt; Trang chủ&gt; Kanto&gt; Chiba Prefecture</v>
      </c>
      <c r="G56" t="str">
        <f t="shared" ca="1" si="0"/>
        <v>"2084060836" : "Chiba Prefecture",</v>
      </c>
    </row>
    <row r="57" spans="1:7" ht="14.25" customHeight="1">
      <c r="A57" s="7">
        <v>2084060837</v>
      </c>
      <c r="B57" s="7" t="s">
        <v>136</v>
      </c>
      <c r="C57" s="2" t="s">
        <v>546</v>
      </c>
      <c r="D57" s="2" t="s">
        <v>547</v>
      </c>
      <c r="E57" s="5" t="str">
        <f ca="1">IFERROR(__xludf.DUMMYFUNCTION("GOOGLETRANSLATE(B57,""ja"",""vi"")"),"Ibaraki Prefecture")</f>
        <v>Ibaraki Prefecture</v>
      </c>
      <c r="F57" s="4" t="str">
        <f ca="1">IFERROR(__xludf.DUMMYFUNCTION("GOOGLETRANSLATE(C57,""ja"",""vi"")"),"Đấu giá&gt; Bất động sản&gt; Trang chủ&gt; Kanto&gt; Ibaraki Prefecture")</f>
        <v>Đấu giá&gt; Bất động sản&gt; Trang chủ&gt; Kanto&gt; Ibaraki Prefecture</v>
      </c>
      <c r="G57" t="str">
        <f t="shared" ca="1" si="0"/>
        <v>"2084060837" : "Ibaraki Prefecture",</v>
      </c>
    </row>
    <row r="58" spans="1:7" ht="14.25" customHeight="1">
      <c r="A58" s="7">
        <v>2084061326</v>
      </c>
      <c r="B58" s="7" t="s">
        <v>146</v>
      </c>
      <c r="C58" s="2" t="s">
        <v>551</v>
      </c>
      <c r="D58" s="2" t="s">
        <v>552</v>
      </c>
      <c r="E58" s="5" t="str">
        <f ca="1">IFERROR(__xludf.DUMMYFUNCTION("GOOGLETRANSLATE(B58,""ja"",""vi"")"),"Tochigi Prefecture")</f>
        <v>Tochigi Prefecture</v>
      </c>
      <c r="F58" s="4" t="str">
        <f ca="1">IFERROR(__xludf.DUMMYFUNCTION("GOOGLETRANSLATE(C58,""ja"",""vi"")"),"Đấu giá&gt; Bất động sản&gt; Trang chủ&gt; Kanto&gt; Tochigi Prefecture")</f>
        <v>Đấu giá&gt; Bất động sản&gt; Trang chủ&gt; Kanto&gt; Tochigi Prefecture</v>
      </c>
      <c r="G58" t="str">
        <f t="shared" ca="1" si="0"/>
        <v>"2084061326" : "Tochigi Prefecture",</v>
      </c>
    </row>
    <row r="59" spans="1:7" ht="14.25" customHeight="1">
      <c r="A59" s="7">
        <v>2084061327</v>
      </c>
      <c r="B59" s="7" t="s">
        <v>157</v>
      </c>
      <c r="C59" s="2" t="s">
        <v>559</v>
      </c>
      <c r="D59" s="2" t="s">
        <v>560</v>
      </c>
      <c r="E59" s="5" t="str">
        <f ca="1">IFERROR(__xludf.DUMMYFUNCTION("GOOGLETRANSLATE(B59,""ja"",""vi"")"),"Gunma Prefecture")</f>
        <v>Gunma Prefecture</v>
      </c>
      <c r="F59" s="4" t="str">
        <f ca="1">IFERROR(__xludf.DUMMYFUNCTION("GOOGLETRANSLATE(C59,""ja"",""vi"")"),"Đấu giá&gt; Bất động sản&gt; Trang chủ&gt; Kanto&gt; Gunma Prefecture")</f>
        <v>Đấu giá&gt; Bất động sản&gt; Trang chủ&gt; Kanto&gt; Gunma Prefecture</v>
      </c>
      <c r="G59" t="str">
        <f t="shared" ca="1" si="0"/>
        <v>"2084061327" : "Gunma Prefecture",</v>
      </c>
    </row>
    <row r="60" spans="1:7" ht="14.25" customHeight="1">
      <c r="A60" s="7">
        <v>2084061328</v>
      </c>
      <c r="B60" s="7" t="s">
        <v>172</v>
      </c>
      <c r="C60" s="2" t="s">
        <v>567</v>
      </c>
      <c r="D60" s="2" t="s">
        <v>568</v>
      </c>
      <c r="E60" s="5" t="str">
        <f ca="1">IFERROR(__xludf.DUMMYFUNCTION("GOOGLETRANSLATE(B60,""ja"",""vi"")"),"Yamanashi Prefecture")</f>
        <v>Yamanashi Prefecture</v>
      </c>
      <c r="F60" s="4" t="str">
        <f ca="1">IFERROR(__xludf.DUMMYFUNCTION("GOOGLETRANSLATE(C60,""ja"",""vi"")"),"Đấu giá&gt; Bất động sản&gt; Trang chủ&gt; Kanto&gt; Yamanashi Prefecture")</f>
        <v>Đấu giá&gt; Bất động sản&gt; Trang chủ&gt; Kanto&gt; Yamanashi Prefecture</v>
      </c>
      <c r="G60" t="str">
        <f t="shared" ca="1" si="0"/>
        <v>"2084061328" : "Yamanashi Prefecture",</v>
      </c>
    </row>
    <row r="61" spans="1:7" ht="14.25" customHeight="1">
      <c r="A61" s="2">
        <v>2084060838</v>
      </c>
      <c r="B61" s="2" t="s">
        <v>189</v>
      </c>
      <c r="C61" s="2" t="s">
        <v>575</v>
      </c>
      <c r="D61" s="2" t="s">
        <v>576</v>
      </c>
      <c r="E61" s="5" t="str">
        <f ca="1">IFERROR(__xludf.DUMMYFUNCTION("GOOGLETRANSLATE(B61,""ja"",""vi"")"),"Niigata Prefecture")</f>
        <v>Niigata Prefecture</v>
      </c>
      <c r="F61" s="4" t="str">
        <f ca="1">IFERROR(__xludf.DUMMYFUNCTION("GOOGLETRANSLATE(C61,""ja"",""vi"")"),"Đấu giá&gt; Bất động sản&gt; Trang chủ&gt; Shin-Etsu&gt; Niigata Prefecture")</f>
        <v>Đấu giá&gt; Bất động sản&gt; Trang chủ&gt; Shin-Etsu&gt; Niigata Prefecture</v>
      </c>
      <c r="G61" t="str">
        <f t="shared" ca="1" si="0"/>
        <v>"2084060838" : "Niigata Prefecture",</v>
      </c>
    </row>
    <row r="62" spans="1:7" ht="14.25" customHeight="1">
      <c r="A62" s="2">
        <v>2084060839</v>
      </c>
      <c r="B62" s="2" t="s">
        <v>204</v>
      </c>
      <c r="C62" s="2" t="s">
        <v>583</v>
      </c>
      <c r="D62" s="2" t="s">
        <v>585</v>
      </c>
      <c r="E62" s="5" t="str">
        <f ca="1">IFERROR(__xludf.DUMMYFUNCTION("GOOGLETRANSLATE(B62,""ja"",""vi"")"),"Nagano Prefecture")</f>
        <v>Nagano Prefecture</v>
      </c>
      <c r="F62" s="4" t="str">
        <f ca="1">IFERROR(__xludf.DUMMYFUNCTION("GOOGLETRANSLATE(C62,""ja"",""vi"")"),"Đấu giá&gt; Bất động sản&gt; Trang chủ&gt; Shin-Etsu&gt; Nagano Prefecture")</f>
        <v>Đấu giá&gt; Bất động sản&gt; Trang chủ&gt; Shin-Etsu&gt; Nagano Prefecture</v>
      </c>
      <c r="G62" t="str">
        <f t="shared" ca="1" si="0"/>
        <v>"2084060839" : "Nagano Prefecture",</v>
      </c>
    </row>
    <row r="63" spans="1:7" ht="14.25" customHeight="1">
      <c r="A63" s="2">
        <v>2084060840</v>
      </c>
      <c r="B63" s="2" t="s">
        <v>215</v>
      </c>
      <c r="C63" s="2" t="s">
        <v>594</v>
      </c>
      <c r="D63" s="2" t="s">
        <v>598</v>
      </c>
      <c r="E63" s="5" t="str">
        <f ca="1">IFERROR(__xludf.DUMMYFUNCTION("GOOGLETRANSLATE(B63,""ja"",""vi"")"),"Toyama")</f>
        <v>Toyama</v>
      </c>
      <c r="F63" s="4" t="str">
        <f ca="1">IFERROR(__xludf.DUMMYFUNCTION("GOOGLETRANSLATE(C63,""ja"",""vi"")"),"Đấu giá&gt; Bất động sản&gt; Trang chủ&gt; Hokuriku&gt; Toyama")</f>
        <v>Đấu giá&gt; Bất động sản&gt; Trang chủ&gt; Hokuriku&gt; Toyama</v>
      </c>
      <c r="G63" t="str">
        <f t="shared" ca="1" si="0"/>
        <v>"2084060840" : "Toyama",</v>
      </c>
    </row>
    <row r="64" spans="1:7" ht="14.25" customHeight="1">
      <c r="A64" s="2">
        <v>2084060841</v>
      </c>
      <c r="B64" s="2" t="s">
        <v>226</v>
      </c>
      <c r="C64" s="2" t="s">
        <v>605</v>
      </c>
      <c r="D64" s="2" t="s">
        <v>606</v>
      </c>
      <c r="E64" s="5" t="str">
        <f ca="1">IFERROR(__xludf.DUMMYFUNCTION("GOOGLETRANSLATE(B64,""ja"",""vi"")"),"Ishikawa Prefecture")</f>
        <v>Ishikawa Prefecture</v>
      </c>
      <c r="F64" s="4" t="str">
        <f ca="1">IFERROR(__xludf.DUMMYFUNCTION("GOOGLETRANSLATE(C64,""ja"",""vi"")"),"Đấu giá&gt; Bất động sản&gt; Trang chủ&gt; Hokuriku&gt; Ishikawa Prefecture")</f>
        <v>Đấu giá&gt; Bất động sản&gt; Trang chủ&gt; Hokuriku&gt; Ishikawa Prefecture</v>
      </c>
      <c r="G64" t="str">
        <f t="shared" ca="1" si="0"/>
        <v>"2084060841" : "Ishikawa Prefecture",</v>
      </c>
    </row>
    <row r="65" spans="1:7" ht="14.25" customHeight="1">
      <c r="A65" s="2">
        <v>2084060842</v>
      </c>
      <c r="B65" s="2" t="s">
        <v>237</v>
      </c>
      <c r="C65" s="2" t="s">
        <v>615</v>
      </c>
      <c r="D65" s="2" t="s">
        <v>618</v>
      </c>
      <c r="E65" s="5" t="str">
        <f ca="1">IFERROR(__xludf.DUMMYFUNCTION("GOOGLETRANSLATE(B65,""ja"",""vi"")"),"Fukui Prefecture")</f>
        <v>Fukui Prefecture</v>
      </c>
      <c r="F65" s="4" t="str">
        <f ca="1">IFERROR(__xludf.DUMMYFUNCTION("GOOGLETRANSLATE(C65,""ja"",""vi"")"),"Đấu giá&gt; Bất động sản&gt; Trang chủ&gt; Hokuriku&gt; Fukui Prefecture")</f>
        <v>Đấu giá&gt; Bất động sản&gt; Trang chủ&gt; Hokuriku&gt; Fukui Prefecture</v>
      </c>
      <c r="G65" t="str">
        <f t="shared" ca="1" si="0"/>
        <v>"2084060842" : "Fukui Prefecture",</v>
      </c>
    </row>
    <row r="66" spans="1:7" ht="14.25" customHeight="1">
      <c r="A66" s="2">
        <v>2084060843</v>
      </c>
      <c r="B66" s="2" t="s">
        <v>247</v>
      </c>
      <c r="C66" s="2" t="s">
        <v>623</v>
      </c>
      <c r="D66" s="2" t="s">
        <v>626</v>
      </c>
      <c r="E66" s="5" t="str">
        <f ca="1">IFERROR(__xludf.DUMMYFUNCTION("GOOGLETRANSLATE(B66,""ja"",""vi"")"),"Aichi Prefecture")</f>
        <v>Aichi Prefecture</v>
      </c>
      <c r="F66" s="4" t="str">
        <f ca="1">IFERROR(__xludf.DUMMYFUNCTION("GOOGLETRANSLATE(C66,""ja"",""vi"")"),"Đấu giá&gt; Bất động sản&gt; Trang chủ&gt; Tokai&gt; Aichi Prefecture")</f>
        <v>Đấu giá&gt; Bất động sản&gt; Trang chủ&gt; Tokai&gt; Aichi Prefecture</v>
      </c>
      <c r="G66" t="str">
        <f t="shared" ca="1" si="0"/>
        <v>"2084060843" : "Aichi Prefecture",</v>
      </c>
    </row>
    <row r="67" spans="1:7" ht="14.25" customHeight="1">
      <c r="A67" s="2">
        <v>2084060844</v>
      </c>
      <c r="B67" s="2" t="s">
        <v>258</v>
      </c>
      <c r="C67" s="2" t="s">
        <v>631</v>
      </c>
      <c r="D67" s="2" t="s">
        <v>634</v>
      </c>
      <c r="E67" s="5" t="str">
        <f ca="1">IFERROR(__xludf.DUMMYFUNCTION("GOOGLETRANSLATE(B67,""ja"",""vi"")"),"Gifu Prefecture")</f>
        <v>Gifu Prefecture</v>
      </c>
      <c r="F67" s="4" t="str">
        <f ca="1">IFERROR(__xludf.DUMMYFUNCTION("GOOGLETRANSLATE(C67,""ja"",""vi"")"),"Đấu giá&gt; Bất động sản&gt; Trang chủ&gt; Tokai&gt; Gifu Prefecture")</f>
        <v>Đấu giá&gt; Bất động sản&gt; Trang chủ&gt; Tokai&gt; Gifu Prefecture</v>
      </c>
      <c r="G67" t="str">
        <f t="shared" ref="G67:G130" ca="1" si="1">CONCATENATE(CHAR(34)&amp;"",A67,""&amp;CHAR(34)," : ", CHAR(34)&amp;"",E67,""&amp;CHAR(34),",")</f>
        <v>"2084060844" : "Gifu Prefecture",</v>
      </c>
    </row>
    <row r="68" spans="1:7" ht="14.25" customHeight="1">
      <c r="A68" s="2">
        <v>2084060845</v>
      </c>
      <c r="B68" s="2" t="s">
        <v>267</v>
      </c>
      <c r="C68" s="2" t="s">
        <v>639</v>
      </c>
      <c r="D68" s="2" t="s">
        <v>640</v>
      </c>
      <c r="E68" s="5" t="str">
        <f ca="1">IFERROR(__xludf.DUMMYFUNCTION("GOOGLETRANSLATE(B68,""ja"",""vi"")"),"Shizuoka Prefecture")</f>
        <v>Shizuoka Prefecture</v>
      </c>
      <c r="F68" s="4" t="str">
        <f ca="1">IFERROR(__xludf.DUMMYFUNCTION("GOOGLETRANSLATE(C68,""ja"",""vi"")"),"Đấu giá&gt; Bất động sản&gt; Trang chủ&gt; Tokai&gt; Shizuoka Prefecture")</f>
        <v>Đấu giá&gt; Bất động sản&gt; Trang chủ&gt; Tokai&gt; Shizuoka Prefecture</v>
      </c>
      <c r="G68" t="str">
        <f t="shared" ca="1" si="1"/>
        <v>"2084060845" : "Shizuoka Prefecture",</v>
      </c>
    </row>
    <row r="69" spans="1:7" ht="14.25" customHeight="1">
      <c r="A69" s="2">
        <v>2084060846</v>
      </c>
      <c r="B69" s="2" t="s">
        <v>279</v>
      </c>
      <c r="C69" s="2" t="s">
        <v>646</v>
      </c>
      <c r="D69" s="2" t="s">
        <v>647</v>
      </c>
      <c r="E69" s="5" t="str">
        <f ca="1">IFERROR(__xludf.DUMMYFUNCTION("GOOGLETRANSLATE(B69,""ja"",""vi"")"),"Mie Prefecture")</f>
        <v>Mie Prefecture</v>
      </c>
      <c r="F69" s="4" t="str">
        <f ca="1">IFERROR(__xludf.DUMMYFUNCTION("GOOGLETRANSLATE(C69,""ja"",""vi"")"),"Đấu giá&gt; Bất động sản&gt; Trang chủ&gt; Tokai&gt; Mie Prefecture")</f>
        <v>Đấu giá&gt; Bất động sản&gt; Trang chủ&gt; Tokai&gt; Mie Prefecture</v>
      </c>
      <c r="G69" t="str">
        <f t="shared" ca="1" si="1"/>
        <v>"2084060846" : "Mie Prefecture",</v>
      </c>
    </row>
    <row r="70" spans="1:7" ht="14.25" customHeight="1">
      <c r="A70" s="2">
        <v>2084060847</v>
      </c>
      <c r="B70" s="2" t="s">
        <v>286</v>
      </c>
      <c r="C70" s="2" t="s">
        <v>655</v>
      </c>
      <c r="D70" s="2" t="s">
        <v>658</v>
      </c>
      <c r="E70" s="5" t="str">
        <f ca="1">IFERROR(__xludf.DUMMYFUNCTION("GOOGLETRANSLATE(B70,""ja"",""vi"")"),"tỉnh Osaka")</f>
        <v>tỉnh Osaka</v>
      </c>
      <c r="F70" s="4" t="str">
        <f ca="1">IFERROR(__xludf.DUMMYFUNCTION("GOOGLETRANSLATE(C70,""ja"",""vi"")"),"Đấu giá&gt; Bất động sản&gt; Trang chủ&gt; Kinki&gt; Osaka Prefecture")</f>
        <v>Đấu giá&gt; Bất động sản&gt; Trang chủ&gt; Kinki&gt; Osaka Prefecture</v>
      </c>
      <c r="G70" t="str">
        <f t="shared" ca="1" si="1"/>
        <v>"2084060847" : "tỉnh Osaka",</v>
      </c>
    </row>
    <row r="71" spans="1:7" ht="14.25" customHeight="1">
      <c r="A71" s="2">
        <v>2084060848</v>
      </c>
      <c r="B71" s="2" t="s">
        <v>293</v>
      </c>
      <c r="C71" s="2" t="s">
        <v>663</v>
      </c>
      <c r="D71" s="2" t="s">
        <v>665</v>
      </c>
      <c r="E71" s="5" t="str">
        <f ca="1">IFERROR(__xludf.DUMMYFUNCTION("GOOGLETRANSLATE(B71,""ja"",""vi"")"),"Hyogo Prefecture")</f>
        <v>Hyogo Prefecture</v>
      </c>
      <c r="F71" s="4" t="str">
        <f ca="1">IFERROR(__xludf.DUMMYFUNCTION("GOOGLETRANSLATE(C71,""ja"",""vi"")"),"Đấu giá&gt; Bất động sản&gt; Trang chủ&gt; Kinki&gt; Hyogo Prefecture")</f>
        <v>Đấu giá&gt; Bất động sản&gt; Trang chủ&gt; Kinki&gt; Hyogo Prefecture</v>
      </c>
      <c r="G71" t="str">
        <f t="shared" ca="1" si="1"/>
        <v>"2084060848" : "Hyogo Prefecture",</v>
      </c>
    </row>
    <row r="72" spans="1:7" ht="14.25" customHeight="1">
      <c r="A72" s="2">
        <v>2084060849</v>
      </c>
      <c r="B72" s="2" t="s">
        <v>301</v>
      </c>
      <c r="C72" s="2" t="s">
        <v>671</v>
      </c>
      <c r="D72" s="2" t="s">
        <v>674</v>
      </c>
      <c r="E72" s="5" t="str">
        <f ca="1">IFERROR(__xludf.DUMMYFUNCTION("GOOGLETRANSLATE(B72,""ja"",""vi"")"),"tỉnh Kyoto")</f>
        <v>tỉnh Kyoto</v>
      </c>
      <c r="F72" s="4" t="str">
        <f ca="1">IFERROR(__xludf.DUMMYFUNCTION("GOOGLETRANSLATE(C72,""ja"",""vi"")"),"Đấu giá&gt; Bất động sản&gt; Trang chủ&gt; Kinki&gt; tỉnh Kyoto")</f>
        <v>Đấu giá&gt; Bất động sản&gt; Trang chủ&gt; Kinki&gt; tỉnh Kyoto</v>
      </c>
      <c r="G72" t="str">
        <f t="shared" ca="1" si="1"/>
        <v>"2084060849" : "tỉnh Kyoto",</v>
      </c>
    </row>
    <row r="73" spans="1:7" ht="14.25" customHeight="1">
      <c r="A73" s="2">
        <v>2084060850</v>
      </c>
      <c r="B73" s="2" t="s">
        <v>310</v>
      </c>
      <c r="C73" s="2" t="s">
        <v>681</v>
      </c>
      <c r="D73" s="2" t="s">
        <v>682</v>
      </c>
      <c r="E73" s="5" t="str">
        <f ca="1">IFERROR(__xludf.DUMMYFUNCTION("GOOGLETRANSLATE(B73,""ja"",""vi"")"),"Shiga Prefecture")</f>
        <v>Shiga Prefecture</v>
      </c>
      <c r="F73" s="4" t="str">
        <f ca="1">IFERROR(__xludf.DUMMYFUNCTION("GOOGLETRANSLATE(C73,""ja"",""vi"")"),"Đấu giá&gt; Bất động sản&gt; Trang chủ&gt; Kinki&gt; Shiga Prefecture")</f>
        <v>Đấu giá&gt; Bất động sản&gt; Trang chủ&gt; Kinki&gt; Shiga Prefecture</v>
      </c>
      <c r="G73" t="str">
        <f t="shared" ca="1" si="1"/>
        <v>"2084060850" : "Shiga Prefecture",</v>
      </c>
    </row>
    <row r="74" spans="1:7" ht="14.25" customHeight="1">
      <c r="A74" s="2">
        <v>2084060851</v>
      </c>
      <c r="B74" s="2" t="s">
        <v>322</v>
      </c>
      <c r="C74" s="2" t="s">
        <v>688</v>
      </c>
      <c r="D74" s="2" t="s">
        <v>691</v>
      </c>
      <c r="E74" s="5" t="str">
        <f ca="1">IFERROR(__xludf.DUMMYFUNCTION("GOOGLETRANSLATE(B74,""ja"",""vi"")"),"Nara Prefecture")</f>
        <v>Nara Prefecture</v>
      </c>
      <c r="F74" s="4" t="str">
        <f ca="1">IFERROR(__xludf.DUMMYFUNCTION("GOOGLETRANSLATE(C74,""ja"",""vi"")"),"Đấu giá&gt; Bất động sản&gt; Trang chủ&gt; Kinki&gt; Nara Prefecture")</f>
        <v>Đấu giá&gt; Bất động sản&gt; Trang chủ&gt; Kinki&gt; Nara Prefecture</v>
      </c>
      <c r="G74" t="str">
        <f t="shared" ca="1" si="1"/>
        <v>"2084060851" : "Nara Prefecture",</v>
      </c>
    </row>
    <row r="75" spans="1:7" ht="14.25" customHeight="1">
      <c r="A75" s="2">
        <v>2084060852</v>
      </c>
      <c r="B75" s="2" t="s">
        <v>336</v>
      </c>
      <c r="C75" s="2" t="s">
        <v>699</v>
      </c>
      <c r="D75" s="2" t="s">
        <v>701</v>
      </c>
      <c r="E75" s="5" t="str">
        <f ca="1">IFERROR(__xludf.DUMMYFUNCTION("GOOGLETRANSLATE(B75,""ja"",""vi"")"),"Wakayama")</f>
        <v>Wakayama</v>
      </c>
      <c r="F75" s="4" t="str">
        <f ca="1">IFERROR(__xludf.DUMMYFUNCTION("GOOGLETRANSLATE(C75,""ja"",""vi"")"),"Đấu giá&gt; Bất động sản&gt; Trang chủ&gt; Kinki&gt; Wakayama")</f>
        <v>Đấu giá&gt; Bất động sản&gt; Trang chủ&gt; Kinki&gt; Wakayama</v>
      </c>
      <c r="G75" t="str">
        <f t="shared" ca="1" si="1"/>
        <v>"2084060852" : "Wakayama",</v>
      </c>
    </row>
    <row r="76" spans="1:7" ht="14.25" customHeight="1">
      <c r="A76" s="2">
        <v>2084060853</v>
      </c>
      <c r="B76" s="2" t="s">
        <v>346</v>
      </c>
      <c r="C76" s="2" t="s">
        <v>707</v>
      </c>
      <c r="D76" s="2" t="s">
        <v>708</v>
      </c>
      <c r="E76" s="5" t="str">
        <f ca="1">IFERROR(__xludf.DUMMYFUNCTION("GOOGLETRANSLATE(B76,""ja"",""vi"")"),"Tottori")</f>
        <v>Tottori</v>
      </c>
      <c r="F76" s="4" t="str">
        <f ca="1">IFERROR(__xludf.DUMMYFUNCTION("GOOGLETRANSLATE(C76,""ja"",""vi"")"),"Đấu giá&gt; Bất động sản&gt; Trang chủ&gt; Trung Quốc&gt; Tottori")</f>
        <v>Đấu giá&gt; Bất động sản&gt; Trang chủ&gt; Trung Quốc&gt; Tottori</v>
      </c>
      <c r="G76" t="str">
        <f t="shared" ca="1" si="1"/>
        <v>"2084060853" : "Tottori",</v>
      </c>
    </row>
    <row r="77" spans="1:7" ht="14.25" customHeight="1">
      <c r="A77" s="2">
        <v>2084060854</v>
      </c>
      <c r="B77" s="2" t="s">
        <v>355</v>
      </c>
      <c r="C77" s="2" t="s">
        <v>714</v>
      </c>
      <c r="D77" s="2" t="s">
        <v>716</v>
      </c>
      <c r="E77" s="5" t="str">
        <f ca="1">IFERROR(__xludf.DUMMYFUNCTION("GOOGLETRANSLATE(B77,""ja"",""vi"")"),"quận Shimane")</f>
        <v>quận Shimane</v>
      </c>
      <c r="F77" s="4" t="str">
        <f ca="1">IFERROR(__xludf.DUMMYFUNCTION("GOOGLETRANSLATE(C77,""ja"",""vi"")"),"Đấu giá&gt; Bất động sản&gt; Trang chủ&gt; Trung Quốc&gt; Quận Shimane")</f>
        <v>Đấu giá&gt; Bất động sản&gt; Trang chủ&gt; Trung Quốc&gt; Quận Shimane</v>
      </c>
      <c r="G77" t="str">
        <f t="shared" ca="1" si="1"/>
        <v>"2084060854" : "quận Shimane",</v>
      </c>
    </row>
    <row r="78" spans="1:7" ht="14.25" customHeight="1">
      <c r="A78" s="2">
        <v>2084060855</v>
      </c>
      <c r="B78" s="2" t="s">
        <v>371</v>
      </c>
      <c r="C78" s="2" t="s">
        <v>723</v>
      </c>
      <c r="D78" s="2" t="s">
        <v>724</v>
      </c>
      <c r="E78" s="5" t="str">
        <f ca="1">IFERROR(__xludf.DUMMYFUNCTION("GOOGLETRANSLATE(B78,""ja"",""vi"")"),"Okayama Prefecture")</f>
        <v>Okayama Prefecture</v>
      </c>
      <c r="F78" s="4" t="str">
        <f ca="1">IFERROR(__xludf.DUMMYFUNCTION("GOOGLETRANSLATE(C78,""ja"",""vi"")"),"Đấu giá&gt; Bất động sản&gt; Trang chủ&gt; Trung Quốc&gt; Okayama Prefecture")</f>
        <v>Đấu giá&gt; Bất động sản&gt; Trang chủ&gt; Trung Quốc&gt; Okayama Prefecture</v>
      </c>
      <c r="G78" t="str">
        <f t="shared" ca="1" si="1"/>
        <v>"2084060855" : "Okayama Prefecture",</v>
      </c>
    </row>
    <row r="79" spans="1:7" ht="14.25" customHeight="1">
      <c r="A79" s="2">
        <v>2084060856</v>
      </c>
      <c r="B79" s="2" t="s">
        <v>385</v>
      </c>
      <c r="C79" s="2" t="s">
        <v>731</v>
      </c>
      <c r="D79" s="2" t="s">
        <v>733</v>
      </c>
      <c r="E79" s="5" t="str">
        <f ca="1">IFERROR(__xludf.DUMMYFUNCTION("GOOGLETRANSLATE(B79,""ja"",""vi"")"),"tỉnh Hiroshima")</f>
        <v>tỉnh Hiroshima</v>
      </c>
      <c r="F79" s="4" t="str">
        <f ca="1">IFERROR(__xludf.DUMMYFUNCTION("GOOGLETRANSLATE(C79,""ja"",""vi"")"),"Đấu giá&gt; Bất động sản&gt; Trang chủ&gt; Trung Quốc&gt; Hiroshima Prefecture")</f>
        <v>Đấu giá&gt; Bất động sản&gt; Trang chủ&gt; Trung Quốc&gt; Hiroshima Prefecture</v>
      </c>
      <c r="G79" t="str">
        <f t="shared" ca="1" si="1"/>
        <v>"2084060856" : "tỉnh Hiroshima",</v>
      </c>
    </row>
    <row r="80" spans="1:7" ht="14.25" customHeight="1">
      <c r="A80" s="2">
        <v>2084060857</v>
      </c>
      <c r="B80" s="2" t="s">
        <v>394</v>
      </c>
      <c r="C80" s="2" t="s">
        <v>739</v>
      </c>
      <c r="D80" s="2" t="s">
        <v>740</v>
      </c>
      <c r="E80" s="5" t="str">
        <f ca="1">IFERROR(__xludf.DUMMYFUNCTION("GOOGLETRANSLATE(B80,""ja"",""vi"")"),"tỉnh Yamaguchi")</f>
        <v>tỉnh Yamaguchi</v>
      </c>
      <c r="F80" s="4" t="str">
        <f ca="1">IFERROR(__xludf.DUMMYFUNCTION("GOOGLETRANSLATE(C80,""ja"",""vi"")"),"Đấu giá&gt; Bất động sản&gt; Trang chủ&gt; Trung Quốc&gt; tỉnh Yamaguchi")</f>
        <v>Đấu giá&gt; Bất động sản&gt; Trang chủ&gt; Trung Quốc&gt; tỉnh Yamaguchi</v>
      </c>
      <c r="G80" t="str">
        <f t="shared" ca="1" si="1"/>
        <v>"2084060857" : "tỉnh Yamaguchi",</v>
      </c>
    </row>
    <row r="81" spans="1:7" ht="14.25" customHeight="1">
      <c r="A81" s="2">
        <v>2084060858</v>
      </c>
      <c r="B81" s="2" t="s">
        <v>404</v>
      </c>
      <c r="C81" s="2" t="s">
        <v>746</v>
      </c>
      <c r="D81" s="2" t="s">
        <v>747</v>
      </c>
      <c r="E81" s="5" t="str">
        <f ca="1">IFERROR(__xludf.DUMMYFUNCTION("GOOGLETRANSLATE(B81,""ja"",""vi"")"),"Tokushima Prefecture")</f>
        <v>Tokushima Prefecture</v>
      </c>
      <c r="F81" s="4" t="str">
        <f ca="1">IFERROR(__xludf.DUMMYFUNCTION("GOOGLETRANSLATE(C81,""ja"",""vi"")"),"Đấu giá&gt; Bất động sản&gt; Trang chủ&gt; Shikoku&gt; quận Tokushima")</f>
        <v>Đấu giá&gt; Bất động sản&gt; Trang chủ&gt; Shikoku&gt; quận Tokushima</v>
      </c>
      <c r="G81" t="str">
        <f t="shared" ca="1" si="1"/>
        <v>"2084060858" : "Tokushima Prefecture",</v>
      </c>
    </row>
    <row r="82" spans="1:7" ht="14.25" customHeight="1">
      <c r="A82" s="2">
        <v>2084060859</v>
      </c>
      <c r="B82" s="2" t="s">
        <v>414</v>
      </c>
      <c r="C82" s="2" t="s">
        <v>753</v>
      </c>
      <c r="D82" s="2" t="s">
        <v>754</v>
      </c>
      <c r="E82" s="5" t="str">
        <f ca="1">IFERROR(__xludf.DUMMYFUNCTION("GOOGLETRANSLATE(B82,""ja"",""vi"")"),"Kagawa Prefecture")</f>
        <v>Kagawa Prefecture</v>
      </c>
      <c r="F82" s="4" t="str">
        <f ca="1">IFERROR(__xludf.DUMMYFUNCTION("GOOGLETRANSLATE(C82,""ja"",""vi"")"),"Đấu giá&gt; Bất động sản&gt; Trang chủ&gt; Shikoku&gt; Kagawa Prefecture")</f>
        <v>Đấu giá&gt; Bất động sản&gt; Trang chủ&gt; Shikoku&gt; Kagawa Prefecture</v>
      </c>
      <c r="G82" t="str">
        <f t="shared" ca="1" si="1"/>
        <v>"2084060859" : "Kagawa Prefecture",</v>
      </c>
    </row>
    <row r="83" spans="1:7" ht="14.25" customHeight="1">
      <c r="A83" s="2">
        <v>2084060860</v>
      </c>
      <c r="B83" s="2" t="s">
        <v>423</v>
      </c>
      <c r="C83" s="2" t="s">
        <v>760</v>
      </c>
      <c r="D83" s="2" t="s">
        <v>761</v>
      </c>
      <c r="E83" s="5" t="str">
        <f ca="1">IFERROR(__xludf.DUMMYFUNCTION("GOOGLETRANSLATE(B83,""ja"",""vi"")"),"Ehime Prefecture")</f>
        <v>Ehime Prefecture</v>
      </c>
      <c r="F83" s="4" t="str">
        <f ca="1">IFERROR(__xludf.DUMMYFUNCTION("GOOGLETRANSLATE(C83,""ja"",""vi"")"),"Đấu giá&gt; Bất động sản&gt; Trang chủ&gt; Shikoku&gt; Ehime Prefecture")</f>
        <v>Đấu giá&gt; Bất động sản&gt; Trang chủ&gt; Shikoku&gt; Ehime Prefecture</v>
      </c>
      <c r="G83" t="str">
        <f t="shared" ca="1" si="1"/>
        <v>"2084060860" : "Ehime Prefecture",</v>
      </c>
    </row>
    <row r="84" spans="1:7" ht="14.25" customHeight="1">
      <c r="A84" s="2">
        <v>2084060861</v>
      </c>
      <c r="B84" s="2" t="s">
        <v>433</v>
      </c>
      <c r="C84" s="2" t="s">
        <v>767</v>
      </c>
      <c r="D84" s="2" t="s">
        <v>768</v>
      </c>
      <c r="E84" s="5" t="str">
        <f ca="1">IFERROR(__xludf.DUMMYFUNCTION("GOOGLETRANSLATE(B84,""ja"",""vi"")"),"Kochi Prefecture")</f>
        <v>Kochi Prefecture</v>
      </c>
      <c r="F84" s="4" t="str">
        <f ca="1">IFERROR(__xludf.DUMMYFUNCTION("GOOGLETRANSLATE(C84,""ja"",""vi"")"),"Đấu giá&gt; Bất động sản&gt; Trang chủ&gt; Shikoku&gt; Kochi Prefecture")</f>
        <v>Đấu giá&gt; Bất động sản&gt; Trang chủ&gt; Shikoku&gt; Kochi Prefecture</v>
      </c>
      <c r="G84" t="str">
        <f t="shared" ca="1" si="1"/>
        <v>"2084060861" : "Kochi Prefecture",</v>
      </c>
    </row>
    <row r="85" spans="1:7" ht="14.25" customHeight="1">
      <c r="A85" s="2">
        <v>2084060862</v>
      </c>
      <c r="B85" s="2" t="s">
        <v>441</v>
      </c>
      <c r="C85" s="2" t="s">
        <v>774</v>
      </c>
      <c r="D85" s="2" t="s">
        <v>775</v>
      </c>
      <c r="E85" s="5" t="str">
        <f ca="1">IFERROR(__xludf.DUMMYFUNCTION("GOOGLETRANSLATE(B85,""ja"",""vi"")"),"Fukuoka Prefecture")</f>
        <v>Fukuoka Prefecture</v>
      </c>
      <c r="F85" s="4" t="str">
        <f ca="1">IFERROR(__xludf.DUMMYFUNCTION("GOOGLETRANSLATE(C85,""ja"",""vi"")"),"Đấu giá&gt; Bất động sản&gt; Trang chủ&gt; Kyushu&gt; Fukuoka Prefecture")</f>
        <v>Đấu giá&gt; Bất động sản&gt; Trang chủ&gt; Kyushu&gt; Fukuoka Prefecture</v>
      </c>
      <c r="G85" t="str">
        <f t="shared" ca="1" si="1"/>
        <v>"2084060862" : "Fukuoka Prefecture",</v>
      </c>
    </row>
    <row r="86" spans="1:7" ht="14.25" customHeight="1">
      <c r="A86" s="2">
        <v>2084060863</v>
      </c>
      <c r="B86" s="2" t="s">
        <v>450</v>
      </c>
      <c r="C86" s="2" t="s">
        <v>781</v>
      </c>
      <c r="D86" s="2" t="s">
        <v>782</v>
      </c>
      <c r="E86" s="5" t="str">
        <f ca="1">IFERROR(__xludf.DUMMYFUNCTION("GOOGLETRANSLATE(B86,""ja"",""vi"")"),"Saga Prefecture")</f>
        <v>Saga Prefecture</v>
      </c>
      <c r="F86" s="4" t="str">
        <f ca="1">IFERROR(__xludf.DUMMYFUNCTION("GOOGLETRANSLATE(C86,""ja"",""vi"")"),"Đấu giá&gt; Bất động sản&gt; Trang chủ&gt; Kyushu&gt; Saga")</f>
        <v>Đấu giá&gt; Bất động sản&gt; Trang chủ&gt; Kyushu&gt; Saga</v>
      </c>
      <c r="G86" t="str">
        <f t="shared" ca="1" si="1"/>
        <v>"2084060863" : "Saga Prefecture",</v>
      </c>
    </row>
    <row r="87" spans="1:7" ht="14.25" customHeight="1">
      <c r="A87" s="2">
        <v>2084060864</v>
      </c>
      <c r="B87" s="2" t="s">
        <v>456</v>
      </c>
      <c r="C87" s="2" t="s">
        <v>786</v>
      </c>
      <c r="D87" s="2" t="s">
        <v>787</v>
      </c>
      <c r="E87" s="5" t="str">
        <f ca="1">IFERROR(__xludf.DUMMYFUNCTION("GOOGLETRANSLATE(B87,""ja"",""vi"")"),"tỉnh Nagasaki")</f>
        <v>tỉnh Nagasaki</v>
      </c>
      <c r="F87" s="4" t="str">
        <f ca="1">IFERROR(__xludf.DUMMYFUNCTION("GOOGLETRANSLATE(C87,""ja"",""vi"")"),"Đấu giá&gt; Bất động sản&gt; Trang chủ&gt; Kyushu&gt; Nagasaki Prefecture")</f>
        <v>Đấu giá&gt; Bất động sản&gt; Trang chủ&gt; Kyushu&gt; Nagasaki Prefecture</v>
      </c>
      <c r="G87" t="str">
        <f t="shared" ca="1" si="1"/>
        <v>"2084060864" : "tỉnh Nagasaki",</v>
      </c>
    </row>
    <row r="88" spans="1:7" ht="14.25" customHeight="1">
      <c r="A88" s="2">
        <v>2084060865</v>
      </c>
      <c r="B88" s="2" t="s">
        <v>466</v>
      </c>
      <c r="C88" s="2" t="s">
        <v>793</v>
      </c>
      <c r="D88" s="2" t="s">
        <v>794</v>
      </c>
      <c r="E88" s="5" t="str">
        <f ca="1">IFERROR(__xludf.DUMMYFUNCTION("GOOGLETRANSLATE(B88,""ja"",""vi"")"),"Kumamoto Prefecture")</f>
        <v>Kumamoto Prefecture</v>
      </c>
      <c r="F88" s="4" t="str">
        <f ca="1">IFERROR(__xludf.DUMMYFUNCTION("GOOGLETRANSLATE(C88,""ja"",""vi"")"),"Đấu giá&gt; Bất động sản&gt; Trang chủ&gt; Kyushu&gt; Kumamoto Prefecture")</f>
        <v>Đấu giá&gt; Bất động sản&gt; Trang chủ&gt; Kyushu&gt; Kumamoto Prefecture</v>
      </c>
      <c r="G88" t="str">
        <f t="shared" ca="1" si="1"/>
        <v>"2084060865" : "Kumamoto Prefecture",</v>
      </c>
    </row>
    <row r="89" spans="1:7" ht="14.25" customHeight="1">
      <c r="A89" s="2">
        <v>2084060866</v>
      </c>
      <c r="B89" s="2" t="s">
        <v>474</v>
      </c>
      <c r="C89" s="2" t="s">
        <v>799</v>
      </c>
      <c r="D89" s="2" t="s">
        <v>800</v>
      </c>
      <c r="E89" s="5" t="str">
        <f ca="1">IFERROR(__xludf.DUMMYFUNCTION("GOOGLETRANSLATE(B89,""ja"",""vi"")"),"Oita Prefecture")</f>
        <v>Oita Prefecture</v>
      </c>
      <c r="F89" s="4" t="str">
        <f ca="1">IFERROR(__xludf.DUMMYFUNCTION("GOOGLETRANSLATE(C89,""ja"",""vi"")"),"Đấu giá&gt; Bất động sản&gt; Trang chủ&gt; Kyushu&gt; Oita Prefecture")</f>
        <v>Đấu giá&gt; Bất động sản&gt; Trang chủ&gt; Kyushu&gt; Oita Prefecture</v>
      </c>
      <c r="G89" t="str">
        <f t="shared" ca="1" si="1"/>
        <v>"2084060866" : "Oita Prefecture",</v>
      </c>
    </row>
    <row r="90" spans="1:7" ht="14.25" customHeight="1">
      <c r="A90" s="2">
        <v>2084060867</v>
      </c>
      <c r="B90" s="2" t="s">
        <v>481</v>
      </c>
      <c r="C90" s="2" t="s">
        <v>804</v>
      </c>
      <c r="D90" s="2" t="s">
        <v>806</v>
      </c>
      <c r="E90" s="5" t="str">
        <f ca="1">IFERROR(__xludf.DUMMYFUNCTION("GOOGLETRANSLATE(B90,""ja"",""vi"")"),"Miyazaki Prefecture")</f>
        <v>Miyazaki Prefecture</v>
      </c>
      <c r="F90" s="4" t="str">
        <f ca="1">IFERROR(__xludf.DUMMYFUNCTION("GOOGLETRANSLATE(C90,""ja"",""vi"")"),"Đấu giá&gt; Bất động sản&gt; Trang chủ&gt; Kyushu&gt; Miyazaki Prefecture")</f>
        <v>Đấu giá&gt; Bất động sản&gt; Trang chủ&gt; Kyushu&gt; Miyazaki Prefecture</v>
      </c>
      <c r="G90" t="str">
        <f t="shared" ca="1" si="1"/>
        <v>"2084060867" : "Miyazaki Prefecture",</v>
      </c>
    </row>
    <row r="91" spans="1:7" ht="14.25" customHeight="1">
      <c r="A91" s="2">
        <v>2084060868</v>
      </c>
      <c r="B91" s="2" t="s">
        <v>487</v>
      </c>
      <c r="C91" s="2" t="s">
        <v>811</v>
      </c>
      <c r="D91" s="2" t="s">
        <v>812</v>
      </c>
      <c r="E91" s="5" t="str">
        <f ca="1">IFERROR(__xludf.DUMMYFUNCTION("GOOGLETRANSLATE(B91,""ja"",""vi"")"),"Kagoshima Prefecture")</f>
        <v>Kagoshima Prefecture</v>
      </c>
      <c r="F91" s="4" t="str">
        <f ca="1">IFERROR(__xludf.DUMMYFUNCTION("GOOGLETRANSLATE(C91,""ja"",""vi"")"),"Đấu giá&gt; Bất động sản&gt; Trang chủ&gt; Kyushu&gt; Kagoshima Prefecture")</f>
        <v>Đấu giá&gt; Bất động sản&gt; Trang chủ&gt; Kyushu&gt; Kagoshima Prefecture</v>
      </c>
      <c r="G91" t="str">
        <f t="shared" ca="1" si="1"/>
        <v>"2084060868" : "Kagoshima Prefecture",</v>
      </c>
    </row>
    <row r="92" spans="1:7" ht="14.25" customHeight="1">
      <c r="A92" s="2">
        <v>2084060869</v>
      </c>
      <c r="B92" s="2" t="s">
        <v>10</v>
      </c>
      <c r="C92" s="2" t="s">
        <v>818</v>
      </c>
      <c r="D92" s="2" t="s">
        <v>819</v>
      </c>
      <c r="E92" s="5" t="str">
        <f ca="1">IFERROR(__xludf.DUMMYFUNCTION("GOOGLETRANSLATE(B92,""ja"",""vi"")"),"Aomori Prefecture")</f>
        <v>Aomori Prefecture</v>
      </c>
      <c r="F92" s="4" t="str">
        <f ca="1">IFERROR(__xludf.DUMMYFUNCTION("GOOGLETRANSLATE(C92,""ja"",""vi"")"),"Đấu giá&gt; Bất động sản&gt; Đất đai&gt; Tohoku&gt; Aomori Prefecture")</f>
        <v>Đấu giá&gt; Bất động sản&gt; Đất đai&gt; Tohoku&gt; Aomori Prefecture</v>
      </c>
      <c r="G92" t="str">
        <f t="shared" ca="1" si="1"/>
        <v>"2084060869" : "Aomori Prefecture",</v>
      </c>
    </row>
    <row r="93" spans="1:7" ht="14.25" customHeight="1">
      <c r="A93" s="2">
        <v>2084060870</v>
      </c>
      <c r="B93" s="2" t="s">
        <v>29</v>
      </c>
      <c r="C93" s="2" t="s">
        <v>825</v>
      </c>
      <c r="D93" s="2" t="s">
        <v>827</v>
      </c>
      <c r="E93" s="5" t="str">
        <f ca="1">IFERROR(__xludf.DUMMYFUNCTION("GOOGLETRANSLATE(B93,""ja"",""vi"")"),"Iwate Prefecture")</f>
        <v>Iwate Prefecture</v>
      </c>
      <c r="F93" s="4" t="str">
        <f ca="1">IFERROR(__xludf.DUMMYFUNCTION("GOOGLETRANSLATE(C93,""ja"",""vi"")"),"Đấu giá&gt; Bất động sản&gt; Đất đai&gt; Tohoku&gt; Iwate Prefecture")</f>
        <v>Đấu giá&gt; Bất động sản&gt; Đất đai&gt; Tohoku&gt; Iwate Prefecture</v>
      </c>
      <c r="G93" t="str">
        <f t="shared" ca="1" si="1"/>
        <v>"2084060870" : "Iwate Prefecture",</v>
      </c>
    </row>
    <row r="94" spans="1:7" ht="14.25" customHeight="1">
      <c r="A94" s="2">
        <v>2084060871</v>
      </c>
      <c r="B94" s="2" t="s">
        <v>36</v>
      </c>
      <c r="C94" s="2" t="s">
        <v>831</v>
      </c>
      <c r="D94" s="2" t="s">
        <v>833</v>
      </c>
      <c r="E94" s="5" t="str">
        <f ca="1">IFERROR(__xludf.DUMMYFUNCTION("GOOGLETRANSLATE(B94,""ja"",""vi"")"),"Miyagi Prefecture")</f>
        <v>Miyagi Prefecture</v>
      </c>
      <c r="F94" s="4" t="str">
        <f ca="1">IFERROR(__xludf.DUMMYFUNCTION("GOOGLETRANSLATE(C94,""ja"",""vi"")"),"Đấu giá&gt; Bất động sản&gt; Đất đai&gt; Tohoku&gt; Miyagi Prefecture")</f>
        <v>Đấu giá&gt; Bất động sản&gt; Đất đai&gt; Tohoku&gt; Miyagi Prefecture</v>
      </c>
      <c r="G94" t="str">
        <f t="shared" ca="1" si="1"/>
        <v>"2084060871" : "Miyagi Prefecture",</v>
      </c>
    </row>
    <row r="95" spans="1:7" ht="14.25" customHeight="1">
      <c r="A95" s="2">
        <v>2084060872</v>
      </c>
      <c r="B95" s="2" t="s">
        <v>43</v>
      </c>
      <c r="C95" s="2" t="s">
        <v>839</v>
      </c>
      <c r="D95" s="2" t="s">
        <v>841</v>
      </c>
      <c r="E95" s="5" t="str">
        <f ca="1">IFERROR(__xludf.DUMMYFUNCTION("GOOGLETRANSLATE(B95,""ja"",""vi"")"),"Akita Prefecture")</f>
        <v>Akita Prefecture</v>
      </c>
      <c r="F95" s="4" t="str">
        <f ca="1">IFERROR(__xludf.DUMMYFUNCTION("GOOGLETRANSLATE(C95,""ja"",""vi"")"),"Đấu giá&gt; Bất động sản&gt; Đất đai&gt; Tohoku&gt; Akita Prefecture")</f>
        <v>Đấu giá&gt; Bất động sản&gt; Đất đai&gt; Tohoku&gt; Akita Prefecture</v>
      </c>
      <c r="G95" t="str">
        <f t="shared" ca="1" si="1"/>
        <v>"2084060872" : "Akita Prefecture",</v>
      </c>
    </row>
    <row r="96" spans="1:7" ht="14.25" customHeight="1">
      <c r="A96" s="2">
        <v>2084060873</v>
      </c>
      <c r="B96" s="2" t="s">
        <v>57</v>
      </c>
      <c r="C96" s="2" t="s">
        <v>845</v>
      </c>
      <c r="D96" s="2" t="s">
        <v>846</v>
      </c>
      <c r="E96" s="5" t="str">
        <f ca="1">IFERROR(__xludf.DUMMYFUNCTION("GOOGLETRANSLATE(B96,""ja"",""vi"")"),"tỉnh Yamagata")</f>
        <v>tỉnh Yamagata</v>
      </c>
      <c r="F96" s="4" t="str">
        <f ca="1">IFERROR(__xludf.DUMMYFUNCTION("GOOGLETRANSLATE(C96,""ja"",""vi"")"),"Đấu giá&gt; Bất động sản&gt; Đất đai&gt; Tohoku&gt; tỉnh Yamagata")</f>
        <v>Đấu giá&gt; Bất động sản&gt; Đất đai&gt; Tohoku&gt; tỉnh Yamagata</v>
      </c>
      <c r="G96" t="str">
        <f t="shared" ca="1" si="1"/>
        <v>"2084060873" : "tỉnh Yamagata",</v>
      </c>
    </row>
    <row r="97" spans="1:7" ht="14.25" customHeight="1">
      <c r="A97" s="2">
        <v>2084060874</v>
      </c>
      <c r="B97" s="2" t="s">
        <v>68</v>
      </c>
      <c r="C97" s="2" t="s">
        <v>850</v>
      </c>
      <c r="D97" s="2" t="s">
        <v>852</v>
      </c>
      <c r="E97" s="5" t="str">
        <f ca="1">IFERROR(__xludf.DUMMYFUNCTION("GOOGLETRANSLATE(B97,""ja"",""vi"")"),"Fukushima Prefecture")</f>
        <v>Fukushima Prefecture</v>
      </c>
      <c r="F97" s="4" t="str">
        <f ca="1">IFERROR(__xludf.DUMMYFUNCTION("GOOGLETRANSLATE(C97,""ja"",""vi"")"),"Đấu giá&gt; Bất động sản&gt; Đất đai&gt; Tohoku&gt; Fukushima Prefecture")</f>
        <v>Đấu giá&gt; Bất động sản&gt; Đất đai&gt; Tohoku&gt; Fukushima Prefecture</v>
      </c>
      <c r="G97" t="str">
        <f t="shared" ca="1" si="1"/>
        <v>"2084060874" : "Fukushima Prefecture",</v>
      </c>
    </row>
    <row r="98" spans="1:7" ht="14.25" customHeight="1">
      <c r="A98" s="8">
        <v>2084060875</v>
      </c>
      <c r="B98" s="2" t="s">
        <v>92</v>
      </c>
      <c r="C98" s="2" t="s">
        <v>856</v>
      </c>
      <c r="D98" s="2" t="s">
        <v>860</v>
      </c>
      <c r="E98" s="5" t="str">
        <f ca="1">IFERROR(__xludf.DUMMYFUNCTION("GOOGLETRANSLATE(B98,""ja"",""vi"")"),"Tokyo")</f>
        <v>Tokyo</v>
      </c>
      <c r="F98" s="4" t="str">
        <f ca="1">IFERROR(__xludf.DUMMYFUNCTION("GOOGLETRANSLATE(C98,""ja"",""vi"")"),"Đấu giá&gt; Bất động sản&gt; Đất&gt; Kanto&gt; Tokyo")</f>
        <v>Đấu giá&gt; Bất động sản&gt; Đất&gt; Kanto&gt; Tokyo</v>
      </c>
      <c r="G98" t="str">
        <f t="shared" ca="1" si="1"/>
        <v>"2084060875" : "Tokyo",</v>
      </c>
    </row>
    <row r="99" spans="1:7" ht="14.25" customHeight="1">
      <c r="A99" s="8">
        <v>2084060876</v>
      </c>
      <c r="B99" s="2" t="s">
        <v>104</v>
      </c>
      <c r="C99" s="2" t="s">
        <v>863</v>
      </c>
      <c r="D99" s="2" t="s">
        <v>865</v>
      </c>
      <c r="E99" s="5" t="str">
        <f ca="1">IFERROR(__xludf.DUMMYFUNCTION("GOOGLETRANSLATE(B99,""ja"",""vi"")"),"Kanagawa Prefecture")</f>
        <v>Kanagawa Prefecture</v>
      </c>
      <c r="F99" s="4" t="str">
        <f ca="1">IFERROR(__xludf.DUMMYFUNCTION("GOOGLETRANSLATE(C99,""ja"",""vi"")"),"Đấu giá&gt; Bất động sản&gt; Đất&gt; Kanto&gt; Kanagawa Prefecture")</f>
        <v>Đấu giá&gt; Bất động sản&gt; Đất&gt; Kanto&gt; Kanagawa Prefecture</v>
      </c>
      <c r="G99" t="str">
        <f t="shared" ca="1" si="1"/>
        <v>"2084060876" : "Kanagawa Prefecture",</v>
      </c>
    </row>
    <row r="100" spans="1:7" ht="14.25" customHeight="1">
      <c r="A100" s="8">
        <v>2084060877</v>
      </c>
      <c r="B100" s="2" t="s">
        <v>116</v>
      </c>
      <c r="C100" s="2" t="s">
        <v>869</v>
      </c>
      <c r="D100" s="2" t="s">
        <v>871</v>
      </c>
      <c r="E100" s="5" t="str">
        <f ca="1">IFERROR(__xludf.DUMMYFUNCTION("GOOGLETRANSLATE(B100,""ja"",""vi"")"),"Saitama Prefecture")</f>
        <v>Saitama Prefecture</v>
      </c>
      <c r="F100" s="4" t="str">
        <f ca="1">IFERROR(__xludf.DUMMYFUNCTION("GOOGLETRANSLATE(C100,""ja"",""vi"")"),"Đấu giá&gt; Bất động sản&gt; Đất&gt; Kanto&gt; Saitama Prefecture")</f>
        <v>Đấu giá&gt; Bất động sản&gt; Đất&gt; Kanto&gt; Saitama Prefecture</v>
      </c>
      <c r="G100" t="str">
        <f t="shared" ca="1" si="1"/>
        <v>"2084060877" : "Saitama Prefecture",</v>
      </c>
    </row>
    <row r="101" spans="1:7" ht="14.25" customHeight="1">
      <c r="A101" s="8">
        <v>2084060878</v>
      </c>
      <c r="B101" s="2" t="s">
        <v>125</v>
      </c>
      <c r="C101" s="2" t="s">
        <v>875</v>
      </c>
      <c r="D101" s="2" t="s">
        <v>877</v>
      </c>
      <c r="E101" s="5" t="str">
        <f ca="1">IFERROR(__xludf.DUMMYFUNCTION("GOOGLETRANSLATE(B101,""ja"",""vi"")"),"Chiba Prefecture")</f>
        <v>Chiba Prefecture</v>
      </c>
      <c r="F101" s="4" t="str">
        <f ca="1">IFERROR(__xludf.DUMMYFUNCTION("GOOGLETRANSLATE(C101,""ja"",""vi"")"),"Đấu giá&gt; Bất động sản&gt; Đất&gt; Kanto&gt; Prefecture Chiba")</f>
        <v>Đấu giá&gt; Bất động sản&gt; Đất&gt; Kanto&gt; Prefecture Chiba</v>
      </c>
      <c r="G101" t="str">
        <f t="shared" ca="1" si="1"/>
        <v>"2084060878" : "Chiba Prefecture",</v>
      </c>
    </row>
    <row r="102" spans="1:7" ht="14.25" customHeight="1">
      <c r="A102" s="8">
        <v>2084060879</v>
      </c>
      <c r="B102" s="2" t="s">
        <v>136</v>
      </c>
      <c r="C102" s="2" t="s">
        <v>881</v>
      </c>
      <c r="D102" s="2" t="s">
        <v>884</v>
      </c>
      <c r="E102" s="5" t="str">
        <f ca="1">IFERROR(__xludf.DUMMYFUNCTION("GOOGLETRANSLATE(B102,""ja"",""vi"")"),"Ibaraki Prefecture")</f>
        <v>Ibaraki Prefecture</v>
      </c>
      <c r="F102" s="4" t="str">
        <f ca="1">IFERROR(__xludf.DUMMYFUNCTION("GOOGLETRANSLATE(C102,""ja"",""vi"")"),"Đấu giá&gt; Bất động sản&gt; Đất&gt; Kanto&gt; Ibaraki Prefecture")</f>
        <v>Đấu giá&gt; Bất động sản&gt; Đất&gt; Kanto&gt; Ibaraki Prefecture</v>
      </c>
      <c r="G102" t="str">
        <f t="shared" ca="1" si="1"/>
        <v>"2084060879" : "Ibaraki Prefecture",</v>
      </c>
    </row>
    <row r="103" spans="1:7" ht="14.25" customHeight="1">
      <c r="A103" s="8">
        <v>2084061329</v>
      </c>
      <c r="B103" s="2" t="s">
        <v>146</v>
      </c>
      <c r="C103" s="2" t="s">
        <v>889</v>
      </c>
      <c r="D103" s="2" t="s">
        <v>891</v>
      </c>
      <c r="E103" s="5" t="str">
        <f ca="1">IFERROR(__xludf.DUMMYFUNCTION("GOOGLETRANSLATE(B103,""ja"",""vi"")"),"Tochigi Prefecture")</f>
        <v>Tochigi Prefecture</v>
      </c>
      <c r="F103" s="4" t="str">
        <f ca="1">IFERROR(__xludf.DUMMYFUNCTION("GOOGLETRANSLATE(C103,""ja"",""vi"")"),"Đấu giá&gt; Bất động sản&gt; Đất&gt; Kanto&gt; Tochigi Prefecture")</f>
        <v>Đấu giá&gt; Bất động sản&gt; Đất&gt; Kanto&gt; Tochigi Prefecture</v>
      </c>
      <c r="G103" t="str">
        <f t="shared" ca="1" si="1"/>
        <v>"2084061329" : "Tochigi Prefecture",</v>
      </c>
    </row>
    <row r="104" spans="1:7" ht="14.25" customHeight="1">
      <c r="A104" s="8">
        <v>2084061330</v>
      </c>
      <c r="B104" s="2" t="s">
        <v>157</v>
      </c>
      <c r="C104" s="2" t="s">
        <v>895</v>
      </c>
      <c r="D104" s="2" t="s">
        <v>897</v>
      </c>
      <c r="E104" s="5" t="str">
        <f ca="1">IFERROR(__xludf.DUMMYFUNCTION("GOOGLETRANSLATE(B104,""ja"",""vi"")"),"Gunma Prefecture")</f>
        <v>Gunma Prefecture</v>
      </c>
      <c r="F104" s="4" t="str">
        <f ca="1">IFERROR(__xludf.DUMMYFUNCTION("GOOGLETRANSLATE(C104,""ja"",""vi"")"),"Đấu giá&gt; Bất động sản&gt; Đất&gt; Kanto&gt; Gunma Prefecture")</f>
        <v>Đấu giá&gt; Bất động sản&gt; Đất&gt; Kanto&gt; Gunma Prefecture</v>
      </c>
      <c r="G104" t="str">
        <f t="shared" ca="1" si="1"/>
        <v>"2084061330" : "Gunma Prefecture",</v>
      </c>
    </row>
    <row r="105" spans="1:7" ht="14.25" customHeight="1">
      <c r="A105" s="8">
        <v>2084061331</v>
      </c>
      <c r="B105" s="2" t="s">
        <v>172</v>
      </c>
      <c r="C105" s="2" t="s">
        <v>902</v>
      </c>
      <c r="D105" s="2" t="s">
        <v>905</v>
      </c>
      <c r="E105" s="5" t="str">
        <f ca="1">IFERROR(__xludf.DUMMYFUNCTION("GOOGLETRANSLATE(B105,""ja"",""vi"")"),"Yamanashi Prefecture")</f>
        <v>Yamanashi Prefecture</v>
      </c>
      <c r="F105" s="4" t="str">
        <f ca="1">IFERROR(__xludf.DUMMYFUNCTION("GOOGLETRANSLATE(C105,""ja"",""vi"")"),"Đấu giá&gt; Bất động sản&gt; Đất&gt; Kanto&gt; Yamanashi Prefecture")</f>
        <v>Đấu giá&gt; Bất động sản&gt; Đất&gt; Kanto&gt; Yamanashi Prefecture</v>
      </c>
      <c r="G105" t="str">
        <f t="shared" ca="1" si="1"/>
        <v>"2084061331" : "Yamanashi Prefecture",</v>
      </c>
    </row>
    <row r="106" spans="1:7" ht="14.25" customHeight="1">
      <c r="A106" s="2">
        <v>2084060880</v>
      </c>
      <c r="B106" s="2" t="s">
        <v>189</v>
      </c>
      <c r="C106" s="2" t="s">
        <v>909</v>
      </c>
      <c r="D106" s="2" t="s">
        <v>912</v>
      </c>
      <c r="E106" s="5" t="str">
        <f ca="1">IFERROR(__xludf.DUMMYFUNCTION("GOOGLETRANSLATE(B106,""ja"",""vi"")"),"Niigata Prefecture")</f>
        <v>Niigata Prefecture</v>
      </c>
      <c r="F106" s="4" t="str">
        <f ca="1">IFERROR(__xludf.DUMMYFUNCTION("GOOGLETRANSLATE(C106,""ja"",""vi"")"),"Đấu giá&gt; Bất động sản&gt; Đất đai&gt; Shin-Etsu&gt; Niigata Prefecture")</f>
        <v>Đấu giá&gt; Bất động sản&gt; Đất đai&gt; Shin-Etsu&gt; Niigata Prefecture</v>
      </c>
      <c r="G106" t="str">
        <f t="shared" ca="1" si="1"/>
        <v>"2084060880" : "Niigata Prefecture",</v>
      </c>
    </row>
    <row r="107" spans="1:7" ht="14.25" customHeight="1">
      <c r="A107" s="2">
        <v>2084060881</v>
      </c>
      <c r="B107" s="2" t="s">
        <v>204</v>
      </c>
      <c r="C107" s="2" t="s">
        <v>916</v>
      </c>
      <c r="D107" s="2" t="s">
        <v>918</v>
      </c>
      <c r="E107" s="5" t="str">
        <f ca="1">IFERROR(__xludf.DUMMYFUNCTION("GOOGLETRANSLATE(B107,""ja"",""vi"")"),"Nagano Prefecture")</f>
        <v>Nagano Prefecture</v>
      </c>
      <c r="F107" s="4" t="str">
        <f ca="1">IFERROR(__xludf.DUMMYFUNCTION("GOOGLETRANSLATE(C107,""ja"",""vi"")"),"Đấu giá&gt; Bất động sản&gt; Đất đai&gt; Shin-Etsu&gt; Nagano Prefecture")</f>
        <v>Đấu giá&gt; Bất động sản&gt; Đất đai&gt; Shin-Etsu&gt; Nagano Prefecture</v>
      </c>
      <c r="G107" t="str">
        <f t="shared" ca="1" si="1"/>
        <v>"2084060881" : "Nagano Prefecture",</v>
      </c>
    </row>
    <row r="108" spans="1:7" ht="14.25" customHeight="1">
      <c r="A108" s="2">
        <v>2084060882</v>
      </c>
      <c r="B108" s="2" t="s">
        <v>215</v>
      </c>
      <c r="C108" s="2" t="s">
        <v>923</v>
      </c>
      <c r="D108" s="2" t="s">
        <v>925</v>
      </c>
      <c r="E108" s="5" t="str">
        <f ca="1">IFERROR(__xludf.DUMMYFUNCTION("GOOGLETRANSLATE(B108,""ja"",""vi"")"),"Toyama")</f>
        <v>Toyama</v>
      </c>
      <c r="F108" s="4" t="str">
        <f ca="1">IFERROR(__xludf.DUMMYFUNCTION("GOOGLETRANSLATE(C108,""ja"",""vi"")"),"Đấu giá&gt; Bất động sản&gt; Đất đai&gt; Hokuriku&gt; Toyama")</f>
        <v>Đấu giá&gt; Bất động sản&gt; Đất đai&gt; Hokuriku&gt; Toyama</v>
      </c>
      <c r="G108" t="str">
        <f t="shared" ca="1" si="1"/>
        <v>"2084060882" : "Toyama",</v>
      </c>
    </row>
    <row r="109" spans="1:7" ht="14.25" customHeight="1">
      <c r="A109" s="2">
        <v>2084060883</v>
      </c>
      <c r="B109" s="2" t="s">
        <v>226</v>
      </c>
      <c r="C109" s="2" t="s">
        <v>929</v>
      </c>
      <c r="D109" s="2" t="s">
        <v>931</v>
      </c>
      <c r="E109" s="5" t="str">
        <f ca="1">IFERROR(__xludf.DUMMYFUNCTION("GOOGLETRANSLATE(B109,""ja"",""vi"")"),"Ishikawa Prefecture")</f>
        <v>Ishikawa Prefecture</v>
      </c>
      <c r="F109" s="4" t="str">
        <f ca="1">IFERROR(__xludf.DUMMYFUNCTION("GOOGLETRANSLATE(C109,""ja"",""vi"")"),"Đấu giá&gt; Bất động sản&gt; Đất đai&gt; Hokuriku&gt; Ishikawa Prefecture")</f>
        <v>Đấu giá&gt; Bất động sản&gt; Đất đai&gt; Hokuriku&gt; Ishikawa Prefecture</v>
      </c>
      <c r="G109" t="str">
        <f t="shared" ca="1" si="1"/>
        <v>"2084060883" : "Ishikawa Prefecture",</v>
      </c>
    </row>
    <row r="110" spans="1:7" ht="14.25" customHeight="1">
      <c r="A110" s="2">
        <v>2084060884</v>
      </c>
      <c r="B110" s="2" t="s">
        <v>237</v>
      </c>
      <c r="C110" s="2" t="s">
        <v>937</v>
      </c>
      <c r="D110" s="2" t="s">
        <v>938</v>
      </c>
      <c r="E110" s="5" t="str">
        <f ca="1">IFERROR(__xludf.DUMMYFUNCTION("GOOGLETRANSLATE(B110,""ja"",""vi"")"),"Fukui Prefecture")</f>
        <v>Fukui Prefecture</v>
      </c>
      <c r="F110" s="4" t="str">
        <f ca="1">IFERROR(__xludf.DUMMYFUNCTION("GOOGLETRANSLATE(C110,""ja"",""vi"")"),"Đấu giá&gt; Bất động sản&gt; Đất đai&gt; Hokuriku&gt; Fukui Prefecture")</f>
        <v>Đấu giá&gt; Bất động sản&gt; Đất đai&gt; Hokuriku&gt; Fukui Prefecture</v>
      </c>
      <c r="G110" t="str">
        <f t="shared" ca="1" si="1"/>
        <v>"2084060884" : "Fukui Prefecture",</v>
      </c>
    </row>
    <row r="111" spans="1:7" ht="14.25" customHeight="1">
      <c r="A111" s="2">
        <v>2084060885</v>
      </c>
      <c r="B111" s="2" t="s">
        <v>247</v>
      </c>
      <c r="C111" s="2" t="s">
        <v>946</v>
      </c>
      <c r="D111" s="2" t="s">
        <v>948</v>
      </c>
      <c r="E111" s="5" t="str">
        <f ca="1">IFERROR(__xludf.DUMMYFUNCTION("GOOGLETRANSLATE(B111,""ja"",""vi"")"),"Aichi Prefecture")</f>
        <v>Aichi Prefecture</v>
      </c>
      <c r="F111" s="4" t="str">
        <f ca="1">IFERROR(__xludf.DUMMYFUNCTION("GOOGLETRANSLATE(C111,""ja"",""vi"")"),"Đấu giá&gt; Bất động sản&gt; Đất đai&gt; Tokai&gt; Aichi Prefecture")</f>
        <v>Đấu giá&gt; Bất động sản&gt; Đất đai&gt; Tokai&gt; Aichi Prefecture</v>
      </c>
      <c r="G111" t="str">
        <f t="shared" ca="1" si="1"/>
        <v>"2084060885" : "Aichi Prefecture",</v>
      </c>
    </row>
    <row r="112" spans="1:7" ht="14.25" customHeight="1">
      <c r="A112" s="2">
        <v>2084060886</v>
      </c>
      <c r="B112" s="2" t="s">
        <v>258</v>
      </c>
      <c r="C112" s="2" t="s">
        <v>956</v>
      </c>
      <c r="D112" s="2" t="s">
        <v>957</v>
      </c>
      <c r="E112" s="5" t="str">
        <f ca="1">IFERROR(__xludf.DUMMYFUNCTION("GOOGLETRANSLATE(B112,""ja"",""vi"")"),"Gifu Prefecture")</f>
        <v>Gifu Prefecture</v>
      </c>
      <c r="F112" s="4" t="str">
        <f ca="1">IFERROR(__xludf.DUMMYFUNCTION("GOOGLETRANSLATE(C112,""ja"",""vi"")"),"Đấu giá&gt; Bất động sản&gt; Đất đai&gt; Tokai&gt; Gifu Prefecture")</f>
        <v>Đấu giá&gt; Bất động sản&gt; Đất đai&gt; Tokai&gt; Gifu Prefecture</v>
      </c>
      <c r="G112" t="str">
        <f t="shared" ca="1" si="1"/>
        <v>"2084060886" : "Gifu Prefecture",</v>
      </c>
    </row>
    <row r="113" spans="1:7" ht="14.25" customHeight="1">
      <c r="A113" s="2">
        <v>2084060887</v>
      </c>
      <c r="B113" s="2" t="s">
        <v>267</v>
      </c>
      <c r="C113" s="2" t="s">
        <v>962</v>
      </c>
      <c r="D113" s="2" t="s">
        <v>964</v>
      </c>
      <c r="E113" s="5" t="str">
        <f ca="1">IFERROR(__xludf.DUMMYFUNCTION("GOOGLETRANSLATE(B113,""ja"",""vi"")"),"Shizuoka Prefecture")</f>
        <v>Shizuoka Prefecture</v>
      </c>
      <c r="F113" s="4" t="str">
        <f ca="1">IFERROR(__xludf.DUMMYFUNCTION("GOOGLETRANSLATE(C113,""ja"",""vi"")"),"Đấu giá&gt; Bất động sản&gt; Đất đai&gt; Tokai&gt; Shizuoka Prefecture")</f>
        <v>Đấu giá&gt; Bất động sản&gt; Đất đai&gt; Tokai&gt; Shizuoka Prefecture</v>
      </c>
      <c r="G113" t="str">
        <f t="shared" ca="1" si="1"/>
        <v>"2084060887" : "Shizuoka Prefecture",</v>
      </c>
    </row>
    <row r="114" spans="1:7" ht="14.25" customHeight="1">
      <c r="A114" s="2">
        <v>2084060888</v>
      </c>
      <c r="B114" s="2" t="s">
        <v>279</v>
      </c>
      <c r="C114" s="2" t="s">
        <v>969</v>
      </c>
      <c r="D114" s="2" t="s">
        <v>971</v>
      </c>
      <c r="E114" s="5" t="str">
        <f ca="1">IFERROR(__xludf.DUMMYFUNCTION("GOOGLETRANSLATE(B114,""ja"",""vi"")"),"Mie Prefecture")</f>
        <v>Mie Prefecture</v>
      </c>
      <c r="F114" s="4" t="str">
        <f ca="1">IFERROR(__xludf.DUMMYFUNCTION("GOOGLETRANSLATE(C114,""ja"",""vi"")"),"Đấu giá&gt; Bất động sản&gt; Đất đai&gt; Tokai&gt; Mie Prefecture")</f>
        <v>Đấu giá&gt; Bất động sản&gt; Đất đai&gt; Tokai&gt; Mie Prefecture</v>
      </c>
      <c r="G114" t="str">
        <f t="shared" ca="1" si="1"/>
        <v>"2084060888" : "Mie Prefecture",</v>
      </c>
    </row>
    <row r="115" spans="1:7" ht="14.25" customHeight="1">
      <c r="A115" s="2" t="s">
        <v>286</v>
      </c>
      <c r="B115" s="2" t="s">
        <v>286</v>
      </c>
      <c r="C115" s="2" t="s">
        <v>975</v>
      </c>
      <c r="D115" s="2" t="s">
        <v>978</v>
      </c>
      <c r="E115" s="5" t="str">
        <f ca="1">IFERROR(__xludf.DUMMYFUNCTION("GOOGLETRANSLATE(B115,""ja"",""vi"")"),"tỉnh Osaka")</f>
        <v>tỉnh Osaka</v>
      </c>
      <c r="F115" s="4" t="str">
        <f ca="1">IFERROR(__xludf.DUMMYFUNCTION("GOOGLETRANSLATE(C115,""ja"",""vi"")"),"Đấu giá&gt; Bất động sản&gt; Đất&gt; Kinki&gt; Prefecture Osaka")</f>
        <v>Đấu giá&gt; Bất động sản&gt; Đất&gt; Kinki&gt; Prefecture Osaka</v>
      </c>
      <c r="G115" t="str">
        <f t="shared" ca="1" si="1"/>
        <v>"大阪府" : "tỉnh Osaka",</v>
      </c>
    </row>
    <row r="116" spans="1:7" ht="14.25" customHeight="1">
      <c r="A116" s="2" t="s">
        <v>293</v>
      </c>
      <c r="B116" s="2" t="s">
        <v>293</v>
      </c>
      <c r="C116" s="2" t="s">
        <v>979</v>
      </c>
      <c r="D116" s="2" t="s">
        <v>980</v>
      </c>
      <c r="E116" s="5" t="str">
        <f ca="1">IFERROR(__xludf.DUMMYFUNCTION("GOOGLETRANSLATE(B116,""ja"",""vi"")"),"Hyogo Prefecture")</f>
        <v>Hyogo Prefecture</v>
      </c>
      <c r="F116" s="4" t="str">
        <f ca="1">IFERROR(__xludf.DUMMYFUNCTION("GOOGLETRANSLATE(C116,""ja"",""vi"")"),"Đấu giá&gt; Bất động sản&gt; Đất&gt; Kinki&gt; Hyogo Prefecture")</f>
        <v>Đấu giá&gt; Bất động sản&gt; Đất&gt; Kinki&gt; Hyogo Prefecture</v>
      </c>
      <c r="G116" t="str">
        <f t="shared" ca="1" si="1"/>
        <v>"兵庫県" : "Hyogo Prefecture",</v>
      </c>
    </row>
    <row r="117" spans="1:7" ht="14.25" customHeight="1">
      <c r="A117" s="2" t="s">
        <v>301</v>
      </c>
      <c r="B117" s="2" t="s">
        <v>301</v>
      </c>
      <c r="C117" s="2" t="s">
        <v>985</v>
      </c>
      <c r="D117" s="2" t="s">
        <v>987</v>
      </c>
      <c r="E117" s="5" t="str">
        <f ca="1">IFERROR(__xludf.DUMMYFUNCTION("GOOGLETRANSLATE(B117,""ja"",""vi"")"),"tỉnh Kyoto")</f>
        <v>tỉnh Kyoto</v>
      </c>
      <c r="F117" s="4" t="str">
        <f ca="1">IFERROR(__xludf.DUMMYFUNCTION("GOOGLETRANSLATE(C117,""ja"",""vi"")"),"Đấu giá&gt; Bất động sản&gt; Đất&gt; Kinki&gt; tỉnh Kyoto")</f>
        <v>Đấu giá&gt; Bất động sản&gt; Đất&gt; Kinki&gt; tỉnh Kyoto</v>
      </c>
      <c r="G117" t="str">
        <f t="shared" ca="1" si="1"/>
        <v>"京都府" : "tỉnh Kyoto",</v>
      </c>
    </row>
    <row r="118" spans="1:7" ht="14.25" customHeight="1">
      <c r="A118" s="2" t="s">
        <v>310</v>
      </c>
      <c r="B118" s="2" t="s">
        <v>310</v>
      </c>
      <c r="C118" s="2" t="s">
        <v>989</v>
      </c>
      <c r="D118" s="2" t="s">
        <v>991</v>
      </c>
      <c r="E118" s="5" t="str">
        <f ca="1">IFERROR(__xludf.DUMMYFUNCTION("GOOGLETRANSLATE(B118,""ja"",""vi"")"),"Shiga Prefecture")</f>
        <v>Shiga Prefecture</v>
      </c>
      <c r="F118" s="4" t="str">
        <f ca="1">IFERROR(__xludf.DUMMYFUNCTION("GOOGLETRANSLATE(C118,""ja"",""vi"")"),"Đấu giá&gt; Bất động sản&gt; Đất&gt; Kinki&gt; Shiga Prefecture")</f>
        <v>Đấu giá&gt; Bất động sản&gt; Đất&gt; Kinki&gt; Shiga Prefecture</v>
      </c>
      <c r="G118" t="str">
        <f t="shared" ca="1" si="1"/>
        <v>"滋賀県" : "Shiga Prefecture",</v>
      </c>
    </row>
    <row r="119" spans="1:7" ht="14.25" customHeight="1">
      <c r="A119" s="2" t="s">
        <v>322</v>
      </c>
      <c r="B119" s="2" t="s">
        <v>322</v>
      </c>
      <c r="C119" s="2" t="s">
        <v>995</v>
      </c>
      <c r="D119" s="2" t="s">
        <v>997</v>
      </c>
      <c r="E119" s="5" t="str">
        <f ca="1">IFERROR(__xludf.DUMMYFUNCTION("GOOGLETRANSLATE(B119,""ja"",""vi"")"),"Nara Prefecture")</f>
        <v>Nara Prefecture</v>
      </c>
      <c r="F119" s="4" t="str">
        <f ca="1">IFERROR(__xludf.DUMMYFUNCTION("GOOGLETRANSLATE(C119,""ja"",""vi"")"),"Đấu giá&gt; Bất động sản&gt; Đất&gt; Kinki&gt; Nara Prefecture")</f>
        <v>Đấu giá&gt; Bất động sản&gt; Đất&gt; Kinki&gt; Nara Prefecture</v>
      </c>
      <c r="G119" t="str">
        <f t="shared" ca="1" si="1"/>
        <v>"奈良県" : "Nara Prefecture",</v>
      </c>
    </row>
    <row r="120" spans="1:7" ht="14.25" customHeight="1">
      <c r="A120" s="2" t="s">
        <v>336</v>
      </c>
      <c r="B120" s="2" t="s">
        <v>336</v>
      </c>
      <c r="C120" s="2" t="s">
        <v>1006</v>
      </c>
      <c r="D120" s="2" t="s">
        <v>1009</v>
      </c>
      <c r="E120" s="5" t="str">
        <f ca="1">IFERROR(__xludf.DUMMYFUNCTION("GOOGLETRANSLATE(B120,""ja"",""vi"")"),"Wakayama")</f>
        <v>Wakayama</v>
      </c>
      <c r="F120" s="4" t="str">
        <f ca="1">IFERROR(__xludf.DUMMYFUNCTION("GOOGLETRANSLATE(C120,""ja"",""vi"")"),"Đấu giá&gt; Bất động sản&gt; Đất&gt; Kinki&gt; Wakayama")</f>
        <v>Đấu giá&gt; Bất động sản&gt; Đất&gt; Kinki&gt; Wakayama</v>
      </c>
      <c r="G120" t="str">
        <f t="shared" ca="1" si="1"/>
        <v>"和歌山県" : "Wakayama",</v>
      </c>
    </row>
    <row r="121" spans="1:7" ht="14.25" customHeight="1">
      <c r="A121" s="2">
        <v>2084060895</v>
      </c>
      <c r="B121" s="2" t="s">
        <v>346</v>
      </c>
      <c r="C121" s="2" t="s">
        <v>1017</v>
      </c>
      <c r="D121" s="2" t="s">
        <v>1018</v>
      </c>
      <c r="E121" s="5" t="str">
        <f ca="1">IFERROR(__xludf.DUMMYFUNCTION("GOOGLETRANSLATE(B121,""ja"",""vi"")"),"Tottori")</f>
        <v>Tottori</v>
      </c>
      <c r="F121" s="4" t="str">
        <f ca="1">IFERROR(__xludf.DUMMYFUNCTION("GOOGLETRANSLATE(C121,""ja"",""vi"")"),"Đấu giá&gt; Bất động sản&gt; Đất đai&gt; Trung Quốc&gt; Tottori")</f>
        <v>Đấu giá&gt; Bất động sản&gt; Đất đai&gt; Trung Quốc&gt; Tottori</v>
      </c>
      <c r="G121" t="str">
        <f t="shared" ca="1" si="1"/>
        <v>"2084060895" : "Tottori",</v>
      </c>
    </row>
    <row r="122" spans="1:7" ht="14.25" customHeight="1">
      <c r="A122" s="2">
        <v>2084060896</v>
      </c>
      <c r="B122" s="2" t="s">
        <v>355</v>
      </c>
      <c r="C122" s="2" t="s">
        <v>1030</v>
      </c>
      <c r="D122" s="2" t="s">
        <v>1032</v>
      </c>
      <c r="E122" s="5" t="str">
        <f ca="1">IFERROR(__xludf.DUMMYFUNCTION("GOOGLETRANSLATE(B122,""ja"",""vi"")"),"quận Shimane")</f>
        <v>quận Shimane</v>
      </c>
      <c r="F122" s="4" t="str">
        <f ca="1">IFERROR(__xludf.DUMMYFUNCTION("GOOGLETRANSLATE(C122,""ja"",""vi"")"),"Đấu giá&gt; Bất động sản&gt; Đất đai&gt; Trung Quốc&gt; Quận Shimane")</f>
        <v>Đấu giá&gt; Bất động sản&gt; Đất đai&gt; Trung Quốc&gt; Quận Shimane</v>
      </c>
      <c r="G122" t="str">
        <f t="shared" ca="1" si="1"/>
        <v>"2084060896" : "quận Shimane",</v>
      </c>
    </row>
    <row r="123" spans="1:7" ht="14.25" customHeight="1">
      <c r="A123" s="2">
        <v>2084060897</v>
      </c>
      <c r="B123" s="2" t="s">
        <v>371</v>
      </c>
      <c r="C123" s="2" t="s">
        <v>1039</v>
      </c>
      <c r="D123" s="2" t="s">
        <v>1040</v>
      </c>
      <c r="E123" s="5" t="str">
        <f ca="1">IFERROR(__xludf.DUMMYFUNCTION("GOOGLETRANSLATE(B123,""ja"",""vi"")"),"Okayama Prefecture")</f>
        <v>Okayama Prefecture</v>
      </c>
      <c r="F123" s="4" t="str">
        <f ca="1">IFERROR(__xludf.DUMMYFUNCTION("GOOGLETRANSLATE(C123,""ja"",""vi"")"),"Đấu giá&gt; Bất động sản&gt; Đất đai&gt; Trung Quốc&gt; Okayama Prefecture")</f>
        <v>Đấu giá&gt; Bất động sản&gt; Đất đai&gt; Trung Quốc&gt; Okayama Prefecture</v>
      </c>
      <c r="G123" t="str">
        <f t="shared" ca="1" si="1"/>
        <v>"2084060897" : "Okayama Prefecture",</v>
      </c>
    </row>
    <row r="124" spans="1:7" ht="14.25" customHeight="1">
      <c r="A124" s="2">
        <v>2084060898</v>
      </c>
      <c r="B124" s="2" t="s">
        <v>385</v>
      </c>
      <c r="C124" s="2" t="s">
        <v>1047</v>
      </c>
      <c r="D124" s="2" t="s">
        <v>1048</v>
      </c>
      <c r="E124" s="5" t="str">
        <f ca="1">IFERROR(__xludf.DUMMYFUNCTION("GOOGLETRANSLATE(B124,""ja"",""vi"")"),"tỉnh Hiroshima")</f>
        <v>tỉnh Hiroshima</v>
      </c>
      <c r="F124" s="4" t="str">
        <f ca="1">IFERROR(__xludf.DUMMYFUNCTION("GOOGLETRANSLATE(C124,""ja"",""vi"")"),"Đấu giá&gt; Bất động sản&gt; Đất đai&gt; Trung Quốc&gt; Hiroshima Prefecture")</f>
        <v>Đấu giá&gt; Bất động sản&gt; Đất đai&gt; Trung Quốc&gt; Hiroshima Prefecture</v>
      </c>
      <c r="G124" t="str">
        <f t="shared" ca="1" si="1"/>
        <v>"2084060898" : "tỉnh Hiroshima",</v>
      </c>
    </row>
    <row r="125" spans="1:7" ht="14.25" customHeight="1">
      <c r="A125" s="2">
        <v>2084060899</v>
      </c>
      <c r="B125" s="2" t="s">
        <v>394</v>
      </c>
      <c r="C125" s="2" t="s">
        <v>1059</v>
      </c>
      <c r="D125" s="2" t="s">
        <v>1061</v>
      </c>
      <c r="E125" s="5" t="str">
        <f ca="1">IFERROR(__xludf.DUMMYFUNCTION("GOOGLETRANSLATE(B125,""ja"",""vi"")"),"tỉnh Yamaguchi")</f>
        <v>tỉnh Yamaguchi</v>
      </c>
      <c r="F125" s="4" t="str">
        <f ca="1">IFERROR(__xludf.DUMMYFUNCTION("GOOGLETRANSLATE(C125,""ja"",""vi"")"),"Đấu giá&gt; Bất động sản&gt; Đất đai&gt; Trung Quốc&gt; tỉnh Yamaguchi")</f>
        <v>Đấu giá&gt; Bất động sản&gt; Đất đai&gt; Trung Quốc&gt; tỉnh Yamaguchi</v>
      </c>
      <c r="G125" t="str">
        <f t="shared" ca="1" si="1"/>
        <v>"2084060899" : "tỉnh Yamaguchi",</v>
      </c>
    </row>
    <row r="126" spans="1:7" ht="14.25" customHeight="1">
      <c r="A126" s="2">
        <v>2084060900</v>
      </c>
      <c r="B126" s="2" t="s">
        <v>404</v>
      </c>
      <c r="C126" s="2" t="s">
        <v>1066</v>
      </c>
      <c r="D126" s="2" t="s">
        <v>1068</v>
      </c>
      <c r="E126" s="5" t="str">
        <f ca="1">IFERROR(__xludf.DUMMYFUNCTION("GOOGLETRANSLATE(B126,""ja"",""vi"")"),"Tokushima Prefecture")</f>
        <v>Tokushima Prefecture</v>
      </c>
      <c r="F126" s="4" t="str">
        <f ca="1">IFERROR(__xludf.DUMMYFUNCTION("GOOGLETRANSLATE(C126,""ja"",""vi"")"),"Đấu giá&gt; Bất động sản&gt; Đất đai&gt; Shikoku&gt; quận Tokushima")</f>
        <v>Đấu giá&gt; Bất động sản&gt; Đất đai&gt; Shikoku&gt; quận Tokushima</v>
      </c>
      <c r="G126" t="str">
        <f t="shared" ca="1" si="1"/>
        <v>"2084060900" : "Tokushima Prefecture",</v>
      </c>
    </row>
    <row r="127" spans="1:7" ht="14.25" customHeight="1">
      <c r="A127" s="2">
        <v>2084060901</v>
      </c>
      <c r="B127" s="2" t="s">
        <v>414</v>
      </c>
      <c r="C127" s="2" t="s">
        <v>1074</v>
      </c>
      <c r="D127" s="2" t="s">
        <v>1075</v>
      </c>
      <c r="E127" s="5" t="str">
        <f ca="1">IFERROR(__xludf.DUMMYFUNCTION("GOOGLETRANSLATE(B127,""ja"",""vi"")"),"Kagawa Prefecture")</f>
        <v>Kagawa Prefecture</v>
      </c>
      <c r="F127" s="4" t="str">
        <f ca="1">IFERROR(__xludf.DUMMYFUNCTION("GOOGLETRANSLATE(C127,""ja"",""vi"")"),"Đấu giá&gt; Bất động sản&gt; Đất đai&gt; Shikoku&gt; Kagawa Prefecture")</f>
        <v>Đấu giá&gt; Bất động sản&gt; Đất đai&gt; Shikoku&gt; Kagawa Prefecture</v>
      </c>
      <c r="G127" t="str">
        <f t="shared" ca="1" si="1"/>
        <v>"2084060901" : "Kagawa Prefecture",</v>
      </c>
    </row>
    <row r="128" spans="1:7" ht="14.25" customHeight="1">
      <c r="A128" s="2">
        <v>2084060902</v>
      </c>
      <c r="B128" s="2" t="s">
        <v>423</v>
      </c>
      <c r="C128" s="2" t="s">
        <v>1082</v>
      </c>
      <c r="D128" s="2" t="s">
        <v>1083</v>
      </c>
      <c r="E128" s="5" t="str">
        <f ca="1">IFERROR(__xludf.DUMMYFUNCTION("GOOGLETRANSLATE(B128,""ja"",""vi"")"),"Ehime Prefecture")</f>
        <v>Ehime Prefecture</v>
      </c>
      <c r="F128" s="4" t="str">
        <f ca="1">IFERROR(__xludf.DUMMYFUNCTION("GOOGLETRANSLATE(C128,""ja"",""vi"")"),"Đấu giá&gt; Bất động sản&gt; Đất đai&gt; Shikoku&gt; Ehime Prefecture")</f>
        <v>Đấu giá&gt; Bất động sản&gt; Đất đai&gt; Shikoku&gt; Ehime Prefecture</v>
      </c>
      <c r="G128" t="str">
        <f t="shared" ca="1" si="1"/>
        <v>"2084060902" : "Ehime Prefecture",</v>
      </c>
    </row>
    <row r="129" spans="1:7" ht="14.25" customHeight="1">
      <c r="A129" s="2">
        <v>2084060903</v>
      </c>
      <c r="B129" s="2" t="s">
        <v>433</v>
      </c>
      <c r="C129" s="2" t="s">
        <v>1090</v>
      </c>
      <c r="D129" s="2" t="s">
        <v>1091</v>
      </c>
      <c r="E129" s="5" t="str">
        <f ca="1">IFERROR(__xludf.DUMMYFUNCTION("GOOGLETRANSLATE(B129,""ja"",""vi"")"),"Kochi Prefecture")</f>
        <v>Kochi Prefecture</v>
      </c>
      <c r="F129" s="4" t="str">
        <f ca="1">IFERROR(__xludf.DUMMYFUNCTION("GOOGLETRANSLATE(C129,""ja"",""vi"")"),"Đấu giá&gt; Bất động sản&gt; Đất đai&gt; Shikoku&gt; Kochi Prefecture")</f>
        <v>Đấu giá&gt; Bất động sản&gt; Đất đai&gt; Shikoku&gt; Kochi Prefecture</v>
      </c>
      <c r="G129" t="str">
        <f t="shared" ca="1" si="1"/>
        <v>"2084060903" : "Kochi Prefecture",</v>
      </c>
    </row>
    <row r="130" spans="1:7" ht="14.25" customHeight="1">
      <c r="A130" s="2">
        <v>2084060904</v>
      </c>
      <c r="B130" s="2" t="s">
        <v>441</v>
      </c>
      <c r="C130" s="2" t="s">
        <v>1098</v>
      </c>
      <c r="D130" s="2" t="s">
        <v>1099</v>
      </c>
      <c r="E130" s="5" t="str">
        <f ca="1">IFERROR(__xludf.DUMMYFUNCTION("GOOGLETRANSLATE(B130,""ja"",""vi"")"),"Fukuoka Prefecture")</f>
        <v>Fukuoka Prefecture</v>
      </c>
      <c r="F130" s="4" t="str">
        <f ca="1">IFERROR(__xludf.DUMMYFUNCTION("GOOGLETRANSLATE(C130,""ja"",""vi"")"),"Đấu giá&gt; Bất động sản&gt; Đất đai&gt; Kyushu&gt; Fukuoka Prefecture")</f>
        <v>Đấu giá&gt; Bất động sản&gt; Đất đai&gt; Kyushu&gt; Fukuoka Prefecture</v>
      </c>
      <c r="G130" t="str">
        <f t="shared" ca="1" si="1"/>
        <v>"2084060904" : "Fukuoka Prefecture",</v>
      </c>
    </row>
    <row r="131" spans="1:7" ht="14.25" customHeight="1">
      <c r="A131" s="2">
        <v>2084060905</v>
      </c>
      <c r="B131" s="2" t="s">
        <v>450</v>
      </c>
      <c r="C131" s="2" t="s">
        <v>1106</v>
      </c>
      <c r="D131" s="2" t="s">
        <v>1107</v>
      </c>
      <c r="E131" s="5" t="str">
        <f ca="1">IFERROR(__xludf.DUMMYFUNCTION("GOOGLETRANSLATE(B131,""ja"",""vi"")"),"Saga Prefecture")</f>
        <v>Saga Prefecture</v>
      </c>
      <c r="F131" s="4" t="str">
        <f ca="1">IFERROR(__xludf.DUMMYFUNCTION("GOOGLETRANSLATE(C131,""ja"",""vi"")"),"Đấu giá&gt; Bất động sản&gt; Đất đai&gt; Kyushu&gt; Saga")</f>
        <v>Đấu giá&gt; Bất động sản&gt; Đất đai&gt; Kyushu&gt; Saga</v>
      </c>
      <c r="G131" t="str">
        <f t="shared" ref="G131:G181" ca="1" si="2">CONCATENATE(CHAR(34)&amp;"",A131,""&amp;CHAR(34)," : ", CHAR(34)&amp;"",E131,""&amp;CHAR(34),",")</f>
        <v>"2084060905" : "Saga Prefecture",</v>
      </c>
    </row>
    <row r="132" spans="1:7" ht="14.25" customHeight="1">
      <c r="A132" s="2">
        <v>2084060906</v>
      </c>
      <c r="B132" s="2" t="s">
        <v>456</v>
      </c>
      <c r="C132" s="2" t="s">
        <v>1112</v>
      </c>
      <c r="D132" s="2" t="s">
        <v>1114</v>
      </c>
      <c r="E132" s="5" t="str">
        <f ca="1">IFERROR(__xludf.DUMMYFUNCTION("GOOGLETRANSLATE(B132,""ja"",""vi"")"),"tỉnh Nagasaki")</f>
        <v>tỉnh Nagasaki</v>
      </c>
      <c r="F132" s="4" t="str">
        <f ca="1">IFERROR(__xludf.DUMMYFUNCTION("GOOGLETRANSLATE(C132,""ja"",""vi"")"),"Đấu giá&gt; Bất động sản&gt; Đất đai&gt; Kyushu&gt; Nagasaki Prefecture")</f>
        <v>Đấu giá&gt; Bất động sản&gt; Đất đai&gt; Kyushu&gt; Nagasaki Prefecture</v>
      </c>
      <c r="G132" t="str">
        <f t="shared" ca="1" si="2"/>
        <v>"2084060906" : "tỉnh Nagasaki",</v>
      </c>
    </row>
    <row r="133" spans="1:7" ht="14.25" customHeight="1">
      <c r="A133" s="2">
        <v>2084060907</v>
      </c>
      <c r="B133" s="2" t="s">
        <v>466</v>
      </c>
      <c r="C133" s="2" t="s">
        <v>1121</v>
      </c>
      <c r="D133" s="2" t="s">
        <v>1123</v>
      </c>
      <c r="E133" s="5" t="str">
        <f ca="1">IFERROR(__xludf.DUMMYFUNCTION("GOOGLETRANSLATE(B133,""ja"",""vi"")"),"Kumamoto Prefecture")</f>
        <v>Kumamoto Prefecture</v>
      </c>
      <c r="F133" s="4" t="str">
        <f ca="1">IFERROR(__xludf.DUMMYFUNCTION("GOOGLETRANSLATE(C133,""ja"",""vi"")"),"Đấu giá&gt; Bất động sản&gt; Đất đai&gt; Kyushu&gt; Kumamoto Prefecture")</f>
        <v>Đấu giá&gt; Bất động sản&gt; Đất đai&gt; Kyushu&gt; Kumamoto Prefecture</v>
      </c>
      <c r="G133" t="str">
        <f t="shared" ca="1" si="2"/>
        <v>"2084060907" : "Kumamoto Prefecture",</v>
      </c>
    </row>
    <row r="134" spans="1:7" ht="14.25" customHeight="1">
      <c r="A134" s="2">
        <v>2084060908</v>
      </c>
      <c r="B134" s="2" t="s">
        <v>474</v>
      </c>
      <c r="C134" s="2" t="s">
        <v>1130</v>
      </c>
      <c r="D134" s="2" t="s">
        <v>1131</v>
      </c>
      <c r="E134" s="5" t="str">
        <f ca="1">IFERROR(__xludf.DUMMYFUNCTION("GOOGLETRANSLATE(B134,""ja"",""vi"")"),"Oita Prefecture")</f>
        <v>Oita Prefecture</v>
      </c>
      <c r="F134" s="4" t="str">
        <f ca="1">IFERROR(__xludf.DUMMYFUNCTION("GOOGLETRANSLATE(C134,""ja"",""vi"")"),"Đấu giá&gt; Bất động sản&gt; Đất đai&gt; Kyushu&gt; Oita Prefecture")</f>
        <v>Đấu giá&gt; Bất động sản&gt; Đất đai&gt; Kyushu&gt; Oita Prefecture</v>
      </c>
      <c r="G134" t="str">
        <f t="shared" ca="1" si="2"/>
        <v>"2084060908" : "Oita Prefecture",</v>
      </c>
    </row>
    <row r="135" spans="1:7" ht="14.25" customHeight="1">
      <c r="A135" s="2">
        <v>2084060909</v>
      </c>
      <c r="B135" s="2" t="s">
        <v>481</v>
      </c>
      <c r="C135" s="2" t="s">
        <v>1137</v>
      </c>
      <c r="D135" s="2" t="s">
        <v>1138</v>
      </c>
      <c r="E135" s="5" t="str">
        <f ca="1">IFERROR(__xludf.DUMMYFUNCTION("GOOGLETRANSLATE(B135,""ja"",""vi"")"),"Miyazaki Prefecture")</f>
        <v>Miyazaki Prefecture</v>
      </c>
      <c r="F135" s="4" t="str">
        <f ca="1">IFERROR(__xludf.DUMMYFUNCTION("GOOGLETRANSLATE(C135,""ja"",""vi"")"),"Đấu giá&gt; Bất động sản&gt; Đất đai&gt; Kyushu&gt; Miyazaki Prefecture")</f>
        <v>Đấu giá&gt; Bất động sản&gt; Đất đai&gt; Kyushu&gt; Miyazaki Prefecture</v>
      </c>
      <c r="G135" t="str">
        <f t="shared" ca="1" si="2"/>
        <v>"2084060909" : "Miyazaki Prefecture",</v>
      </c>
    </row>
    <row r="136" spans="1:7" ht="14.25" customHeight="1">
      <c r="A136" s="2">
        <v>2084060910</v>
      </c>
      <c r="B136" s="2" t="s">
        <v>487</v>
      </c>
      <c r="C136" s="2" t="s">
        <v>1143</v>
      </c>
      <c r="D136" s="2" t="s">
        <v>1145</v>
      </c>
      <c r="E136" s="5" t="str">
        <f ca="1">IFERROR(__xludf.DUMMYFUNCTION("GOOGLETRANSLATE(B136,""ja"",""vi"")"),"Kagoshima Prefecture")</f>
        <v>Kagoshima Prefecture</v>
      </c>
      <c r="F136" s="4" t="str">
        <f ca="1">IFERROR(__xludf.DUMMYFUNCTION("GOOGLETRANSLATE(C136,""ja"",""vi"")"),"Đấu giá&gt; Bất động sản&gt; Đất đai&gt; Kyushu&gt; Kagoshima Prefecture")</f>
        <v>Đấu giá&gt; Bất động sản&gt; Đất đai&gt; Kyushu&gt; Kagoshima Prefecture</v>
      </c>
      <c r="G136" t="str">
        <f t="shared" ca="1" si="2"/>
        <v>"2084060910" : "Kagoshima Prefecture",</v>
      </c>
    </row>
    <row r="137" spans="1:7" ht="14.25" customHeight="1">
      <c r="A137" s="2">
        <v>2084060911</v>
      </c>
      <c r="B137" s="2" t="s">
        <v>10</v>
      </c>
      <c r="C137" s="2" t="s">
        <v>1150</v>
      </c>
      <c r="D137" s="2" t="s">
        <v>1151</v>
      </c>
      <c r="E137" s="5" t="str">
        <f ca="1">IFERROR(__xludf.DUMMYFUNCTION("GOOGLETRANSLATE(B137,""ja"",""vi"")"),"Aomori Prefecture")</f>
        <v>Aomori Prefecture</v>
      </c>
      <c r="F137" s="4" t="str">
        <f ca="1">IFERROR(__xludf.DUMMYFUNCTION("GOOGLETRANSLATE(C137,""ja"",""vi"")"),"Đấu giá&gt; Bất động sản&gt; Khác&gt; Tohoku&gt; Aomori Prefecture")</f>
        <v>Đấu giá&gt; Bất động sản&gt; Khác&gt; Tohoku&gt; Aomori Prefecture</v>
      </c>
      <c r="G137" t="str">
        <f t="shared" ca="1" si="2"/>
        <v>"2084060911" : "Aomori Prefecture",</v>
      </c>
    </row>
    <row r="138" spans="1:7" ht="14.25" customHeight="1">
      <c r="A138" s="2">
        <v>2084060912</v>
      </c>
      <c r="B138" s="2" t="s">
        <v>29</v>
      </c>
      <c r="C138" s="2" t="s">
        <v>1158</v>
      </c>
      <c r="D138" s="2" t="s">
        <v>1159</v>
      </c>
      <c r="E138" s="5" t="str">
        <f ca="1">IFERROR(__xludf.DUMMYFUNCTION("GOOGLETRANSLATE(B138,""ja"",""vi"")"),"Iwate Prefecture")</f>
        <v>Iwate Prefecture</v>
      </c>
      <c r="F138" s="4" t="str">
        <f ca="1">IFERROR(__xludf.DUMMYFUNCTION("GOOGLETRANSLATE(C138,""ja"",""vi"")"),"Đấu giá&gt; Bất động sản&gt; Khác&gt; Tohoku&gt; Iwate Prefecture")</f>
        <v>Đấu giá&gt; Bất động sản&gt; Khác&gt; Tohoku&gt; Iwate Prefecture</v>
      </c>
      <c r="G138" t="str">
        <f t="shared" ca="1" si="2"/>
        <v>"2084060912" : "Iwate Prefecture",</v>
      </c>
    </row>
    <row r="139" spans="1:7" ht="14.25" customHeight="1">
      <c r="A139" s="2">
        <v>2084060913</v>
      </c>
      <c r="B139" s="2" t="s">
        <v>36</v>
      </c>
      <c r="C139" s="2" t="s">
        <v>1166</v>
      </c>
      <c r="D139" s="2" t="s">
        <v>1167</v>
      </c>
      <c r="E139" s="5" t="str">
        <f ca="1">IFERROR(__xludf.DUMMYFUNCTION("GOOGLETRANSLATE(B139,""ja"",""vi"")"),"Miyagi Prefecture")</f>
        <v>Miyagi Prefecture</v>
      </c>
      <c r="F139" s="4" t="str">
        <f ca="1">IFERROR(__xludf.DUMMYFUNCTION("GOOGLETRANSLATE(C139,""ja"",""vi"")"),"Đấu giá&gt; Bất động sản&gt; Khác&gt; Tohoku&gt; Miyagi Prefecture")</f>
        <v>Đấu giá&gt; Bất động sản&gt; Khác&gt; Tohoku&gt; Miyagi Prefecture</v>
      </c>
      <c r="G139" t="str">
        <f t="shared" ca="1" si="2"/>
        <v>"2084060913" : "Miyagi Prefecture",</v>
      </c>
    </row>
    <row r="140" spans="1:7" ht="14.25" customHeight="1">
      <c r="A140" s="2">
        <v>2084060914</v>
      </c>
      <c r="B140" s="2" t="s">
        <v>43</v>
      </c>
      <c r="C140" s="2" t="s">
        <v>1174</v>
      </c>
      <c r="D140" s="2" t="s">
        <v>1175</v>
      </c>
      <c r="E140" s="5" t="str">
        <f ca="1">IFERROR(__xludf.DUMMYFUNCTION("GOOGLETRANSLATE(B140,""ja"",""vi"")"),"Akita Prefecture")</f>
        <v>Akita Prefecture</v>
      </c>
      <c r="F140" s="4" t="str">
        <f ca="1">IFERROR(__xludf.DUMMYFUNCTION("GOOGLETRANSLATE(C140,""ja"",""vi"")"),"Đấu giá&gt; Bất động sản&gt; Khác&gt; Tohoku&gt; Akita Prefecture")</f>
        <v>Đấu giá&gt; Bất động sản&gt; Khác&gt; Tohoku&gt; Akita Prefecture</v>
      </c>
      <c r="G140" t="str">
        <f t="shared" ca="1" si="2"/>
        <v>"2084060914" : "Akita Prefecture",</v>
      </c>
    </row>
    <row r="141" spans="1:7" ht="14.25" customHeight="1">
      <c r="A141" s="2">
        <v>2084060915</v>
      </c>
      <c r="B141" s="2" t="s">
        <v>57</v>
      </c>
      <c r="C141" s="2" t="s">
        <v>1182</v>
      </c>
      <c r="D141" s="2" t="s">
        <v>1185</v>
      </c>
      <c r="E141" s="5" t="str">
        <f ca="1">IFERROR(__xludf.DUMMYFUNCTION("GOOGLETRANSLATE(B141,""ja"",""vi"")"),"tỉnh Yamagata")</f>
        <v>tỉnh Yamagata</v>
      </c>
      <c r="F141" s="4" t="str">
        <f ca="1">IFERROR(__xludf.DUMMYFUNCTION("GOOGLETRANSLATE(C141,""ja"",""vi"")"),"Đấu giá&gt; Bất động sản&gt; Khác&gt; Tohoku&gt; tỉnh Yamagata")</f>
        <v>Đấu giá&gt; Bất động sản&gt; Khác&gt; Tohoku&gt; tỉnh Yamagata</v>
      </c>
      <c r="G141" t="str">
        <f t="shared" ca="1" si="2"/>
        <v>"2084060915" : "tỉnh Yamagata",</v>
      </c>
    </row>
    <row r="142" spans="1:7" ht="14.25" customHeight="1">
      <c r="A142" s="2">
        <v>2084060916</v>
      </c>
      <c r="B142" s="2" t="s">
        <v>68</v>
      </c>
      <c r="C142" s="2" t="s">
        <v>1190</v>
      </c>
      <c r="D142" s="2" t="s">
        <v>1192</v>
      </c>
      <c r="E142" s="5" t="str">
        <f ca="1">IFERROR(__xludf.DUMMYFUNCTION("GOOGLETRANSLATE(B142,""ja"",""vi"")"),"Fukushima Prefecture")</f>
        <v>Fukushima Prefecture</v>
      </c>
      <c r="F142" s="4" t="str">
        <f ca="1">IFERROR(__xludf.DUMMYFUNCTION("GOOGLETRANSLATE(C142,""ja"",""vi"")"),"Đấu giá&gt; Bất động sản&gt; Khác&gt; Tohoku&gt; Fukushima Prefecture")</f>
        <v>Đấu giá&gt; Bất động sản&gt; Khác&gt; Tohoku&gt; Fukushima Prefecture</v>
      </c>
      <c r="G142" t="str">
        <f t="shared" ca="1" si="2"/>
        <v>"2084060916" : "Fukushima Prefecture",</v>
      </c>
    </row>
    <row r="143" spans="1:7" ht="14.25" customHeight="1">
      <c r="A143" s="2">
        <v>2084060917</v>
      </c>
      <c r="B143" s="2" t="s">
        <v>92</v>
      </c>
      <c r="C143" s="2" t="s">
        <v>1198</v>
      </c>
      <c r="D143" s="2" t="s">
        <v>1199</v>
      </c>
      <c r="E143" s="5" t="str">
        <f ca="1">IFERROR(__xludf.DUMMYFUNCTION("GOOGLETRANSLATE(B143,""ja"",""vi"")"),"Tokyo")</f>
        <v>Tokyo</v>
      </c>
      <c r="F143" s="4" t="str">
        <f ca="1">IFERROR(__xludf.DUMMYFUNCTION("GOOGLETRANSLATE(C143,""ja"",""vi"")"),"Đấu giá&gt; Bất động sản&gt; Khác&gt; Kanto&gt; Tokyo")</f>
        <v>Đấu giá&gt; Bất động sản&gt; Khác&gt; Kanto&gt; Tokyo</v>
      </c>
      <c r="G143" t="str">
        <f t="shared" ca="1" si="2"/>
        <v>"2084060917" : "Tokyo",</v>
      </c>
    </row>
    <row r="144" spans="1:7" ht="14.25" customHeight="1">
      <c r="A144" s="2">
        <v>2084060918</v>
      </c>
      <c r="B144" s="2" t="s">
        <v>104</v>
      </c>
      <c r="C144" s="2" t="s">
        <v>1205</v>
      </c>
      <c r="D144" s="2" t="s">
        <v>1206</v>
      </c>
      <c r="E144" s="5" t="str">
        <f ca="1">IFERROR(__xludf.DUMMYFUNCTION("GOOGLETRANSLATE(B144,""ja"",""vi"")"),"Kanagawa Prefecture")</f>
        <v>Kanagawa Prefecture</v>
      </c>
      <c r="F144" s="4" t="str">
        <f ca="1">IFERROR(__xludf.DUMMYFUNCTION("GOOGLETRANSLATE(C144,""ja"",""vi"")"),"Đấu giá&gt; Bất động sản&gt; Khác&gt; Kanto&gt; Kanagawa Prefecture")</f>
        <v>Đấu giá&gt; Bất động sản&gt; Khác&gt; Kanto&gt; Kanagawa Prefecture</v>
      </c>
      <c r="G144" t="str">
        <f t="shared" ca="1" si="2"/>
        <v>"2084060918" : "Kanagawa Prefecture",</v>
      </c>
    </row>
    <row r="145" spans="1:7" ht="14.25" customHeight="1">
      <c r="A145" s="2">
        <v>2084060919</v>
      </c>
      <c r="B145" s="2" t="s">
        <v>116</v>
      </c>
      <c r="C145" s="2" t="s">
        <v>1225</v>
      </c>
      <c r="D145" s="2" t="s">
        <v>1226</v>
      </c>
      <c r="E145" s="5" t="str">
        <f ca="1">IFERROR(__xludf.DUMMYFUNCTION("GOOGLETRANSLATE(B145,""ja"",""vi"")"),"Saitama Prefecture")</f>
        <v>Saitama Prefecture</v>
      </c>
      <c r="F145" s="4" t="str">
        <f ca="1">IFERROR(__xludf.DUMMYFUNCTION("GOOGLETRANSLATE(C145,""ja"",""vi"")"),"Đấu giá&gt; Bất động sản&gt; Khác&gt; Kanto&gt; Saitama Prefecture")</f>
        <v>Đấu giá&gt; Bất động sản&gt; Khác&gt; Kanto&gt; Saitama Prefecture</v>
      </c>
      <c r="G145" t="str">
        <f t="shared" ca="1" si="2"/>
        <v>"2084060919" : "Saitama Prefecture",</v>
      </c>
    </row>
    <row r="146" spans="1:7" ht="14.25" customHeight="1">
      <c r="A146" s="2">
        <v>2084060920</v>
      </c>
      <c r="B146" s="2" t="s">
        <v>125</v>
      </c>
      <c r="C146" s="2" t="s">
        <v>1235</v>
      </c>
      <c r="D146" s="2" t="s">
        <v>1241</v>
      </c>
      <c r="E146" s="5" t="str">
        <f ca="1">IFERROR(__xludf.DUMMYFUNCTION("GOOGLETRANSLATE(B146,""ja"",""vi"")"),"Chiba Prefecture")</f>
        <v>Chiba Prefecture</v>
      </c>
      <c r="F146" s="4" t="str">
        <f ca="1">IFERROR(__xludf.DUMMYFUNCTION("GOOGLETRANSLATE(C146,""ja"",""vi"")"),"Đấu giá&gt; Bất động sản&gt; Khác&gt; Kanto&gt; Prefecture Chiba")</f>
        <v>Đấu giá&gt; Bất động sản&gt; Khác&gt; Kanto&gt; Prefecture Chiba</v>
      </c>
      <c r="G146" t="str">
        <f t="shared" ca="1" si="2"/>
        <v>"2084060920" : "Chiba Prefecture",</v>
      </c>
    </row>
    <row r="147" spans="1:7" ht="14.25" customHeight="1">
      <c r="A147" s="2">
        <v>2084060921</v>
      </c>
      <c r="B147" s="2" t="s">
        <v>136</v>
      </c>
      <c r="C147" s="2" t="s">
        <v>1249</v>
      </c>
      <c r="D147" s="2" t="s">
        <v>1250</v>
      </c>
      <c r="E147" s="5" t="str">
        <f ca="1">IFERROR(__xludf.DUMMYFUNCTION("GOOGLETRANSLATE(B147,""ja"",""vi"")"),"Ibaraki Prefecture")</f>
        <v>Ibaraki Prefecture</v>
      </c>
      <c r="F147" s="4" t="str">
        <f ca="1">IFERROR(__xludf.DUMMYFUNCTION("GOOGLETRANSLATE(C147,""ja"",""vi"")"),"Đấu giá&gt; Bất động sản&gt; Khác&gt; Kanto&gt; Ibaraki Prefecture")</f>
        <v>Đấu giá&gt; Bất động sản&gt; Khác&gt; Kanto&gt; Ibaraki Prefecture</v>
      </c>
      <c r="G147" t="str">
        <f t="shared" ca="1" si="2"/>
        <v>"2084060921" : "Ibaraki Prefecture",</v>
      </c>
    </row>
    <row r="148" spans="1:7" ht="14.25" customHeight="1">
      <c r="A148" s="2">
        <v>2084061320</v>
      </c>
      <c r="B148" s="2" t="s">
        <v>146</v>
      </c>
      <c r="C148" s="2" t="s">
        <v>1259</v>
      </c>
      <c r="D148" s="2" t="s">
        <v>1261</v>
      </c>
      <c r="E148" s="5" t="str">
        <f ca="1">IFERROR(__xludf.DUMMYFUNCTION("GOOGLETRANSLATE(B148,""ja"",""vi"")"),"Tochigi Prefecture")</f>
        <v>Tochigi Prefecture</v>
      </c>
      <c r="F148" s="4" t="str">
        <f ca="1">IFERROR(__xludf.DUMMYFUNCTION("GOOGLETRANSLATE(C148,""ja"",""vi"")"),"Đấu giá&gt; Bất động sản&gt; Khác&gt; Kanto&gt; Tochigi Prefecture")</f>
        <v>Đấu giá&gt; Bất động sản&gt; Khác&gt; Kanto&gt; Tochigi Prefecture</v>
      </c>
      <c r="G148" t="str">
        <f t="shared" ca="1" si="2"/>
        <v>"2084061320" : "Tochigi Prefecture",</v>
      </c>
    </row>
    <row r="149" spans="1:7" ht="14.25" customHeight="1">
      <c r="A149" s="2">
        <v>2084061321</v>
      </c>
      <c r="B149" s="2" t="s">
        <v>157</v>
      </c>
      <c r="C149" s="2" t="s">
        <v>1271</v>
      </c>
      <c r="D149" s="2" t="s">
        <v>1272</v>
      </c>
      <c r="E149" s="5" t="str">
        <f ca="1">IFERROR(__xludf.DUMMYFUNCTION("GOOGLETRANSLATE(B149,""ja"",""vi"")"),"Gunma Prefecture")</f>
        <v>Gunma Prefecture</v>
      </c>
      <c r="F149" s="4" t="str">
        <f ca="1">IFERROR(__xludf.DUMMYFUNCTION("GOOGLETRANSLATE(C149,""ja"",""vi"")"),"Đấu giá&gt; Bất động sản&gt; Khác&gt; Kanto&gt; Gunma Prefecture")</f>
        <v>Đấu giá&gt; Bất động sản&gt; Khác&gt; Kanto&gt; Gunma Prefecture</v>
      </c>
      <c r="G149" t="str">
        <f t="shared" ca="1" si="2"/>
        <v>"2084061321" : "Gunma Prefecture",</v>
      </c>
    </row>
    <row r="150" spans="1:7" ht="14.25" customHeight="1">
      <c r="A150" s="2">
        <v>2084061322</v>
      </c>
      <c r="B150" s="2" t="s">
        <v>172</v>
      </c>
      <c r="C150" s="2" t="s">
        <v>1278</v>
      </c>
      <c r="D150" s="2" t="s">
        <v>1281</v>
      </c>
      <c r="E150" s="5" t="str">
        <f ca="1">IFERROR(__xludf.DUMMYFUNCTION("GOOGLETRANSLATE(B150,""ja"",""vi"")"),"Yamanashi Prefecture")</f>
        <v>Yamanashi Prefecture</v>
      </c>
      <c r="F150" s="4" t="str">
        <f ca="1">IFERROR(__xludf.DUMMYFUNCTION("GOOGLETRANSLATE(C150,""ja"",""vi"")"),"Đấu giá&gt; Bất động sản&gt; Khác&gt; Kanto&gt; Yamanashi Prefecture")</f>
        <v>Đấu giá&gt; Bất động sản&gt; Khác&gt; Kanto&gt; Yamanashi Prefecture</v>
      </c>
      <c r="G150" t="str">
        <f t="shared" ca="1" si="2"/>
        <v>"2084061322" : "Yamanashi Prefecture",</v>
      </c>
    </row>
    <row r="151" spans="1:7" ht="14.25" customHeight="1">
      <c r="A151" s="2">
        <v>2084060922</v>
      </c>
      <c r="B151" s="2" t="s">
        <v>189</v>
      </c>
      <c r="C151" s="2" t="s">
        <v>1284</v>
      </c>
      <c r="D151" s="2" t="s">
        <v>1286</v>
      </c>
      <c r="E151" s="5" t="str">
        <f ca="1">IFERROR(__xludf.DUMMYFUNCTION("GOOGLETRANSLATE(B151,""ja"",""vi"")"),"Niigata Prefecture")</f>
        <v>Niigata Prefecture</v>
      </c>
      <c r="F151" s="4" t="str">
        <f ca="1">IFERROR(__xludf.DUMMYFUNCTION("GOOGLETRANSLATE(C151,""ja"",""vi"")"),"Đấu giá&gt; Bất động sản&gt; Khác&gt; Shin-Etsu&gt; Niigata Prefecture")</f>
        <v>Đấu giá&gt; Bất động sản&gt; Khác&gt; Shin-Etsu&gt; Niigata Prefecture</v>
      </c>
      <c r="G151" t="str">
        <f t="shared" ca="1" si="2"/>
        <v>"2084060922" : "Niigata Prefecture",</v>
      </c>
    </row>
    <row r="152" spans="1:7" ht="14.25" customHeight="1">
      <c r="A152" s="2">
        <v>2084060923</v>
      </c>
      <c r="B152" s="2" t="s">
        <v>204</v>
      </c>
      <c r="C152" s="2" t="s">
        <v>1292</v>
      </c>
      <c r="D152" s="2" t="s">
        <v>1293</v>
      </c>
      <c r="E152" s="5" t="str">
        <f ca="1">IFERROR(__xludf.DUMMYFUNCTION("GOOGLETRANSLATE(B152,""ja"",""vi"")"),"Nagano Prefecture")</f>
        <v>Nagano Prefecture</v>
      </c>
      <c r="F152" s="4" t="str">
        <f ca="1">IFERROR(__xludf.DUMMYFUNCTION("GOOGLETRANSLATE(C152,""ja"",""vi"")"),"Đấu giá&gt; Bất động sản&gt; Khác&gt; Shin-Etsu&gt; Nagano Prefecture")</f>
        <v>Đấu giá&gt; Bất động sản&gt; Khác&gt; Shin-Etsu&gt; Nagano Prefecture</v>
      </c>
      <c r="G152" t="str">
        <f t="shared" ca="1" si="2"/>
        <v>"2084060923" : "Nagano Prefecture",</v>
      </c>
    </row>
    <row r="153" spans="1:7" ht="14.25" customHeight="1">
      <c r="A153" s="2">
        <v>2084060924</v>
      </c>
      <c r="B153" s="2" t="s">
        <v>215</v>
      </c>
      <c r="C153" s="2" t="s">
        <v>1300</v>
      </c>
      <c r="D153" s="2" t="s">
        <v>1301</v>
      </c>
      <c r="E153" s="5" t="str">
        <f ca="1">IFERROR(__xludf.DUMMYFUNCTION("GOOGLETRANSLATE(B153,""ja"",""vi"")"),"Toyama")</f>
        <v>Toyama</v>
      </c>
      <c r="F153" s="4" t="str">
        <f ca="1">IFERROR(__xludf.DUMMYFUNCTION("GOOGLETRANSLATE(C153,""ja"",""vi"")"),"Đấu giá&gt; Bất động sản&gt; Khác&gt; Hokuriku&gt; Toyama")</f>
        <v>Đấu giá&gt; Bất động sản&gt; Khác&gt; Hokuriku&gt; Toyama</v>
      </c>
      <c r="G153" t="str">
        <f t="shared" ca="1" si="2"/>
        <v>"2084060924" : "Toyama",</v>
      </c>
    </row>
    <row r="154" spans="1:7" ht="14.25" customHeight="1">
      <c r="A154" s="2">
        <v>2084060925</v>
      </c>
      <c r="B154" s="2" t="s">
        <v>226</v>
      </c>
      <c r="C154" s="2" t="s">
        <v>1308</v>
      </c>
      <c r="D154" s="2" t="s">
        <v>1309</v>
      </c>
      <c r="E154" s="5" t="str">
        <f ca="1">IFERROR(__xludf.DUMMYFUNCTION("GOOGLETRANSLATE(B154,""ja"",""vi"")"),"Ishikawa Prefecture")</f>
        <v>Ishikawa Prefecture</v>
      </c>
      <c r="F154" s="4" t="str">
        <f ca="1">IFERROR(__xludf.DUMMYFUNCTION("GOOGLETRANSLATE(C154,""ja"",""vi"")"),"Đấu giá&gt; Bất động sản&gt; Khác&gt; Hokuriku&gt; Ishikawa Prefecture")</f>
        <v>Đấu giá&gt; Bất động sản&gt; Khác&gt; Hokuriku&gt; Ishikawa Prefecture</v>
      </c>
      <c r="G154" t="str">
        <f t="shared" ca="1" si="2"/>
        <v>"2084060925" : "Ishikawa Prefecture",</v>
      </c>
    </row>
    <row r="155" spans="1:7" ht="14.25" customHeight="1">
      <c r="A155" s="2">
        <v>2084060926</v>
      </c>
      <c r="B155" s="2" t="s">
        <v>237</v>
      </c>
      <c r="C155" s="2" t="s">
        <v>1316</v>
      </c>
      <c r="D155" s="2" t="s">
        <v>1317</v>
      </c>
      <c r="E155" s="5" t="str">
        <f ca="1">IFERROR(__xludf.DUMMYFUNCTION("GOOGLETRANSLATE(B155,""ja"",""vi"")"),"Fukui Prefecture")</f>
        <v>Fukui Prefecture</v>
      </c>
      <c r="F155" s="4" t="str">
        <f ca="1">IFERROR(__xludf.DUMMYFUNCTION("GOOGLETRANSLATE(C155,""ja"",""vi"")"),"Đấu giá&gt; Bất động sản&gt; Khác&gt; Hokuriku&gt; Fukui Prefecture")</f>
        <v>Đấu giá&gt; Bất động sản&gt; Khác&gt; Hokuriku&gt; Fukui Prefecture</v>
      </c>
      <c r="G155" t="str">
        <f t="shared" ca="1" si="2"/>
        <v>"2084060926" : "Fukui Prefecture",</v>
      </c>
    </row>
    <row r="156" spans="1:7" ht="14.25" customHeight="1">
      <c r="A156" s="2">
        <v>2084060927</v>
      </c>
      <c r="B156" s="2" t="s">
        <v>247</v>
      </c>
      <c r="C156" s="2" t="s">
        <v>1324</v>
      </c>
      <c r="D156" s="2" t="s">
        <v>1329</v>
      </c>
      <c r="E156" s="5" t="str">
        <f ca="1">IFERROR(__xludf.DUMMYFUNCTION("GOOGLETRANSLATE(B156,""ja"",""vi"")"),"Aichi Prefecture")</f>
        <v>Aichi Prefecture</v>
      </c>
      <c r="F156" s="4" t="str">
        <f ca="1">IFERROR(__xludf.DUMMYFUNCTION("GOOGLETRANSLATE(C156,""ja"",""vi"")"),"Đấu giá&gt; Bất động sản&gt; Khác&gt; Tokai&gt; Aichi Prefecture")</f>
        <v>Đấu giá&gt; Bất động sản&gt; Khác&gt; Tokai&gt; Aichi Prefecture</v>
      </c>
      <c r="G156" t="str">
        <f t="shared" ca="1" si="2"/>
        <v>"2084060927" : "Aichi Prefecture",</v>
      </c>
    </row>
    <row r="157" spans="1:7" ht="14.25" customHeight="1">
      <c r="A157" s="2">
        <v>2084060928</v>
      </c>
      <c r="B157" s="2" t="s">
        <v>258</v>
      </c>
      <c r="C157" s="2" t="s">
        <v>1337</v>
      </c>
      <c r="D157" s="2" t="s">
        <v>1339</v>
      </c>
      <c r="E157" s="5" t="str">
        <f ca="1">IFERROR(__xludf.DUMMYFUNCTION("GOOGLETRANSLATE(B157,""ja"",""vi"")"),"Gifu Prefecture")</f>
        <v>Gifu Prefecture</v>
      </c>
      <c r="F157" s="4" t="str">
        <f ca="1">IFERROR(__xludf.DUMMYFUNCTION("GOOGLETRANSLATE(C157,""ja"",""vi"")"),"Đấu giá&gt; Bất động sản&gt; Khác&gt; Tokai&gt; Gifu Prefecture")</f>
        <v>Đấu giá&gt; Bất động sản&gt; Khác&gt; Tokai&gt; Gifu Prefecture</v>
      </c>
      <c r="G157" t="str">
        <f t="shared" ca="1" si="2"/>
        <v>"2084060928" : "Gifu Prefecture",</v>
      </c>
    </row>
    <row r="158" spans="1:7" ht="14.25" customHeight="1">
      <c r="A158" s="2">
        <v>2084060929</v>
      </c>
      <c r="B158" s="2" t="s">
        <v>267</v>
      </c>
      <c r="C158" s="2" t="s">
        <v>1344</v>
      </c>
      <c r="D158" s="2" t="s">
        <v>1345</v>
      </c>
      <c r="E158" s="5" t="str">
        <f ca="1">IFERROR(__xludf.DUMMYFUNCTION("GOOGLETRANSLATE(B158,""ja"",""vi"")"),"Shizuoka Prefecture")</f>
        <v>Shizuoka Prefecture</v>
      </c>
      <c r="F158" s="4" t="str">
        <f ca="1">IFERROR(__xludf.DUMMYFUNCTION("GOOGLETRANSLATE(C158,""ja"",""vi"")"),"Đấu giá&gt; Bất động sản&gt; Khác&gt; Tokai&gt; Shizuoka Prefecture")</f>
        <v>Đấu giá&gt; Bất động sản&gt; Khác&gt; Tokai&gt; Shizuoka Prefecture</v>
      </c>
      <c r="G158" t="str">
        <f t="shared" ca="1" si="2"/>
        <v>"2084060929" : "Shizuoka Prefecture",</v>
      </c>
    </row>
    <row r="159" spans="1:7" ht="14.25" customHeight="1">
      <c r="A159" s="2">
        <v>2084060930</v>
      </c>
      <c r="B159" s="2" t="s">
        <v>279</v>
      </c>
      <c r="C159" s="2" t="s">
        <v>1352</v>
      </c>
      <c r="D159" s="2" t="s">
        <v>1355</v>
      </c>
      <c r="E159" s="5" t="str">
        <f ca="1">IFERROR(__xludf.DUMMYFUNCTION("GOOGLETRANSLATE(B159,""ja"",""vi"")"),"Mie Prefecture")</f>
        <v>Mie Prefecture</v>
      </c>
      <c r="F159" s="4" t="str">
        <f ca="1">IFERROR(__xludf.DUMMYFUNCTION("GOOGLETRANSLATE(C159,""ja"",""vi"")"),"Đấu giá&gt; Bất động sản&gt; Khác&gt; Tokai&gt; Mie Prefecture")</f>
        <v>Đấu giá&gt; Bất động sản&gt; Khác&gt; Tokai&gt; Mie Prefecture</v>
      </c>
      <c r="G159" t="str">
        <f t="shared" ca="1" si="2"/>
        <v>"2084060930" : "Mie Prefecture",</v>
      </c>
    </row>
    <row r="160" spans="1:7" ht="14.25" customHeight="1">
      <c r="A160" s="2">
        <v>2084060931</v>
      </c>
      <c r="B160" s="2" t="s">
        <v>286</v>
      </c>
      <c r="C160" s="2" t="s">
        <v>1358</v>
      </c>
      <c r="D160" s="2" t="s">
        <v>1361</v>
      </c>
      <c r="E160" s="5" t="str">
        <f ca="1">IFERROR(__xludf.DUMMYFUNCTION("GOOGLETRANSLATE(B160,""ja"",""vi"")"),"tỉnh Osaka")</f>
        <v>tỉnh Osaka</v>
      </c>
      <c r="F160" s="4" t="str">
        <f ca="1">IFERROR(__xludf.DUMMYFUNCTION("GOOGLETRANSLATE(C160,""ja"",""vi"")"),"Đấu giá&gt; Bất động sản&gt; Khác&gt; Kinki&gt; Prefecture Osaka")</f>
        <v>Đấu giá&gt; Bất động sản&gt; Khác&gt; Kinki&gt; Prefecture Osaka</v>
      </c>
      <c r="G160" t="str">
        <f t="shared" ca="1" si="2"/>
        <v>"2084060931" : "tỉnh Osaka",</v>
      </c>
    </row>
    <row r="161" spans="1:7" ht="14.25" customHeight="1">
      <c r="A161" s="2">
        <v>2084060932</v>
      </c>
      <c r="B161" s="2" t="s">
        <v>293</v>
      </c>
      <c r="C161" s="2" t="s">
        <v>1363</v>
      </c>
      <c r="D161" s="2" t="s">
        <v>1365</v>
      </c>
      <c r="E161" s="5" t="str">
        <f ca="1">IFERROR(__xludf.DUMMYFUNCTION("GOOGLETRANSLATE(B161,""ja"",""vi"")"),"Hyogo Prefecture")</f>
        <v>Hyogo Prefecture</v>
      </c>
      <c r="F161" s="4" t="str">
        <f ca="1">IFERROR(__xludf.DUMMYFUNCTION("GOOGLETRANSLATE(C161,""ja"",""vi"")"),"Đấu giá&gt; Bất động sản&gt; Khác&gt; Kinki&gt; Hyogo Prefecture")</f>
        <v>Đấu giá&gt; Bất động sản&gt; Khác&gt; Kinki&gt; Hyogo Prefecture</v>
      </c>
      <c r="G161" t="str">
        <f t="shared" ca="1" si="2"/>
        <v>"2084060932" : "Hyogo Prefecture",</v>
      </c>
    </row>
    <row r="162" spans="1:7" ht="14.25" customHeight="1">
      <c r="A162" s="2">
        <v>2084060933</v>
      </c>
      <c r="B162" s="2" t="s">
        <v>301</v>
      </c>
      <c r="C162" s="2" t="s">
        <v>1371</v>
      </c>
      <c r="D162" s="2" t="s">
        <v>1373</v>
      </c>
      <c r="E162" s="5" t="str">
        <f ca="1">IFERROR(__xludf.DUMMYFUNCTION("GOOGLETRANSLATE(B162,""ja"",""vi"")"),"tỉnh Kyoto")</f>
        <v>tỉnh Kyoto</v>
      </c>
      <c r="F162" s="4" t="str">
        <f ca="1">IFERROR(__xludf.DUMMYFUNCTION("GOOGLETRANSLATE(C162,""ja"",""vi"")"),"Đấu giá&gt; Bất động sản&gt; Khác&gt; Kinki&gt; tỉnh Kyoto")</f>
        <v>Đấu giá&gt; Bất động sản&gt; Khác&gt; Kinki&gt; tỉnh Kyoto</v>
      </c>
      <c r="G162" t="str">
        <f t="shared" ca="1" si="2"/>
        <v>"2084060933" : "tỉnh Kyoto",</v>
      </c>
    </row>
    <row r="163" spans="1:7" ht="14.25" customHeight="1">
      <c r="A163" s="2">
        <v>2084060934</v>
      </c>
      <c r="B163" s="2" t="s">
        <v>310</v>
      </c>
      <c r="C163" s="2" t="s">
        <v>1379</v>
      </c>
      <c r="D163" s="2" t="s">
        <v>1380</v>
      </c>
      <c r="E163" s="5" t="str">
        <f ca="1">IFERROR(__xludf.DUMMYFUNCTION("GOOGLETRANSLATE(B163,""ja"",""vi"")"),"Shiga Prefecture")</f>
        <v>Shiga Prefecture</v>
      </c>
      <c r="F163" s="4" t="str">
        <f ca="1">IFERROR(__xludf.DUMMYFUNCTION("GOOGLETRANSLATE(C163,""ja"",""vi"")"),"Đấu giá&gt; Bất động sản&gt; Khác&gt; Kinki&gt; Shiga Prefecture")</f>
        <v>Đấu giá&gt; Bất động sản&gt; Khác&gt; Kinki&gt; Shiga Prefecture</v>
      </c>
      <c r="G163" t="str">
        <f t="shared" ca="1" si="2"/>
        <v>"2084060934" : "Shiga Prefecture",</v>
      </c>
    </row>
    <row r="164" spans="1:7" ht="14.25" customHeight="1">
      <c r="A164" s="2">
        <v>2084060935</v>
      </c>
      <c r="B164" s="2" t="s">
        <v>322</v>
      </c>
      <c r="C164" s="2" t="s">
        <v>1386</v>
      </c>
      <c r="D164" s="2" t="s">
        <v>1387</v>
      </c>
      <c r="E164" s="5" t="str">
        <f ca="1">IFERROR(__xludf.DUMMYFUNCTION("GOOGLETRANSLATE(B164,""ja"",""vi"")"),"Nara Prefecture")</f>
        <v>Nara Prefecture</v>
      </c>
      <c r="F164" s="4" t="str">
        <f ca="1">IFERROR(__xludf.DUMMYFUNCTION("GOOGLETRANSLATE(C164,""ja"",""vi"")"),"Đấu giá&gt; Bất động sản&gt; Khác&gt; Kinki&gt; Nara Prefecture")</f>
        <v>Đấu giá&gt; Bất động sản&gt; Khác&gt; Kinki&gt; Nara Prefecture</v>
      </c>
      <c r="G164" t="str">
        <f t="shared" ca="1" si="2"/>
        <v>"2084060935" : "Nara Prefecture",</v>
      </c>
    </row>
    <row r="165" spans="1:7" ht="14.25" customHeight="1">
      <c r="A165" s="2">
        <v>2084060936</v>
      </c>
      <c r="B165" s="2" t="s">
        <v>336</v>
      </c>
      <c r="C165" s="2" t="s">
        <v>1393</v>
      </c>
      <c r="D165" s="2" t="s">
        <v>1395</v>
      </c>
      <c r="E165" s="5" t="str">
        <f ca="1">IFERROR(__xludf.DUMMYFUNCTION("GOOGLETRANSLATE(B165,""ja"",""vi"")"),"Wakayama")</f>
        <v>Wakayama</v>
      </c>
      <c r="F165" s="4" t="str">
        <f ca="1">IFERROR(__xludf.DUMMYFUNCTION("GOOGLETRANSLATE(C165,""ja"",""vi"")"),"Đấu giá&gt; Bất động sản&gt; Khác&gt; Kinki&gt; Wakayama")</f>
        <v>Đấu giá&gt; Bất động sản&gt; Khác&gt; Kinki&gt; Wakayama</v>
      </c>
      <c r="G165" t="str">
        <f t="shared" ca="1" si="2"/>
        <v>"2084060936" : "Wakayama",</v>
      </c>
    </row>
    <row r="166" spans="1:7" ht="14.25" customHeight="1">
      <c r="A166" s="2">
        <v>2084060937</v>
      </c>
      <c r="B166" s="2" t="s">
        <v>346</v>
      </c>
      <c r="C166" s="2" t="s">
        <v>1399</v>
      </c>
      <c r="D166" s="2" t="s">
        <v>1401</v>
      </c>
      <c r="E166" s="5" t="str">
        <f ca="1">IFERROR(__xludf.DUMMYFUNCTION("GOOGLETRANSLATE(B166,""ja"",""vi"")"),"Tottori")</f>
        <v>Tottori</v>
      </c>
      <c r="F166" s="4" t="str">
        <f ca="1">IFERROR(__xludf.DUMMYFUNCTION("GOOGLETRANSLATE(C166,""ja"",""vi"")"),"Đấu giá&gt; Bất động sản&gt; Khác&gt; Trung Quốc&gt; Tottori")</f>
        <v>Đấu giá&gt; Bất động sản&gt; Khác&gt; Trung Quốc&gt; Tottori</v>
      </c>
      <c r="G166" t="str">
        <f t="shared" ca="1" si="2"/>
        <v>"2084060937" : "Tottori",</v>
      </c>
    </row>
    <row r="167" spans="1:7" ht="14.25" customHeight="1">
      <c r="A167" s="2">
        <v>2084060938</v>
      </c>
      <c r="B167" s="2" t="s">
        <v>355</v>
      </c>
      <c r="C167" s="2" t="s">
        <v>1407</v>
      </c>
      <c r="D167" s="2" t="s">
        <v>1410</v>
      </c>
      <c r="E167" s="5" t="str">
        <f ca="1">IFERROR(__xludf.DUMMYFUNCTION("GOOGLETRANSLATE(B167,""ja"",""vi"")"),"quận Shimane")</f>
        <v>quận Shimane</v>
      </c>
      <c r="F167" s="4" t="str">
        <f ca="1">IFERROR(__xludf.DUMMYFUNCTION("GOOGLETRANSLATE(C167,""ja"",""vi"")"),"Đấu giá&gt; Bất động sản&gt; Khác&gt; Trung Quốc&gt; Quận Shimane")</f>
        <v>Đấu giá&gt; Bất động sản&gt; Khác&gt; Trung Quốc&gt; Quận Shimane</v>
      </c>
      <c r="G167" t="str">
        <f t="shared" ca="1" si="2"/>
        <v>"2084060938" : "quận Shimane",</v>
      </c>
    </row>
    <row r="168" spans="1:7" ht="14.25" customHeight="1">
      <c r="A168" s="2">
        <v>2084060939</v>
      </c>
      <c r="B168" s="2" t="s">
        <v>371</v>
      </c>
      <c r="C168" s="2" t="s">
        <v>1415</v>
      </c>
      <c r="D168" s="2" t="s">
        <v>1416</v>
      </c>
      <c r="E168" s="5" t="str">
        <f ca="1">IFERROR(__xludf.DUMMYFUNCTION("GOOGLETRANSLATE(B168,""ja"",""vi"")"),"Okayama Prefecture")</f>
        <v>Okayama Prefecture</v>
      </c>
      <c r="F168" s="4" t="str">
        <f ca="1">IFERROR(__xludf.DUMMYFUNCTION("GOOGLETRANSLATE(C168,""ja"",""vi"")"),"Đấu giá&gt; Bất động sản&gt; Khác&gt; Trung Quốc&gt; Okayama Prefecture")</f>
        <v>Đấu giá&gt; Bất động sản&gt; Khác&gt; Trung Quốc&gt; Okayama Prefecture</v>
      </c>
      <c r="G168" t="str">
        <f t="shared" ca="1" si="2"/>
        <v>"2084060939" : "Okayama Prefecture",</v>
      </c>
    </row>
    <row r="169" spans="1:7" ht="14.25" customHeight="1">
      <c r="A169" s="2">
        <v>2084060940</v>
      </c>
      <c r="B169" s="2" t="s">
        <v>385</v>
      </c>
      <c r="C169" s="2" t="s">
        <v>1422</v>
      </c>
      <c r="D169" s="2" t="s">
        <v>1423</v>
      </c>
      <c r="E169" s="5" t="str">
        <f ca="1">IFERROR(__xludf.DUMMYFUNCTION("GOOGLETRANSLATE(B169,""ja"",""vi"")"),"tỉnh Hiroshima")</f>
        <v>tỉnh Hiroshima</v>
      </c>
      <c r="F169" s="4" t="str">
        <f ca="1">IFERROR(__xludf.DUMMYFUNCTION("GOOGLETRANSLATE(C169,""ja"",""vi"")"),"Đấu giá&gt; Bất động sản&gt; Khác&gt; Trung Quốc&gt; Hiroshima Prefecture")</f>
        <v>Đấu giá&gt; Bất động sản&gt; Khác&gt; Trung Quốc&gt; Hiroshima Prefecture</v>
      </c>
      <c r="G169" t="str">
        <f t="shared" ca="1" si="2"/>
        <v>"2084060940" : "tỉnh Hiroshima",</v>
      </c>
    </row>
    <row r="170" spans="1:7" ht="14.25" customHeight="1">
      <c r="A170" s="2">
        <v>2084060941</v>
      </c>
      <c r="B170" s="2" t="s">
        <v>394</v>
      </c>
      <c r="C170" s="2" t="s">
        <v>1429</v>
      </c>
      <c r="D170" s="2" t="s">
        <v>1430</v>
      </c>
      <c r="E170" s="5" t="str">
        <f ca="1">IFERROR(__xludf.DUMMYFUNCTION("GOOGLETRANSLATE(B170,""ja"",""vi"")"),"tỉnh Yamaguchi")</f>
        <v>tỉnh Yamaguchi</v>
      </c>
      <c r="F170" s="4" t="str">
        <f ca="1">IFERROR(__xludf.DUMMYFUNCTION("GOOGLETRANSLATE(C170,""ja"",""vi"")"),"Đấu giá&gt; Bất động sản&gt; Khác&gt; Trung Quốc&gt; tỉnh Yamaguchi")</f>
        <v>Đấu giá&gt; Bất động sản&gt; Khác&gt; Trung Quốc&gt; tỉnh Yamaguchi</v>
      </c>
      <c r="G170" t="str">
        <f t="shared" ca="1" si="2"/>
        <v>"2084060941" : "tỉnh Yamaguchi",</v>
      </c>
    </row>
    <row r="171" spans="1:7" ht="14.25" customHeight="1">
      <c r="A171" s="2">
        <v>2084060942</v>
      </c>
      <c r="B171" s="2" t="s">
        <v>404</v>
      </c>
      <c r="C171" s="2" t="s">
        <v>1435</v>
      </c>
      <c r="D171" s="2" t="s">
        <v>1437</v>
      </c>
      <c r="E171" s="5" t="str">
        <f ca="1">IFERROR(__xludf.DUMMYFUNCTION("GOOGLETRANSLATE(B171,""ja"",""vi"")"),"Tokushima Prefecture")</f>
        <v>Tokushima Prefecture</v>
      </c>
      <c r="F171" s="4" t="str">
        <f ca="1">IFERROR(__xludf.DUMMYFUNCTION("GOOGLETRANSLATE(C171,""ja"",""vi"")"),"Đấu giá&gt; Bất động sản&gt; Khác&gt; Shikoku&gt; quận Tokushima")</f>
        <v>Đấu giá&gt; Bất động sản&gt; Khác&gt; Shikoku&gt; quận Tokushima</v>
      </c>
      <c r="G171" t="str">
        <f t="shared" ca="1" si="2"/>
        <v>"2084060942" : "Tokushima Prefecture",</v>
      </c>
    </row>
    <row r="172" spans="1:7" ht="14.25" customHeight="1">
      <c r="A172" s="2">
        <v>2084060943</v>
      </c>
      <c r="B172" s="2" t="s">
        <v>414</v>
      </c>
      <c r="C172" s="2" t="s">
        <v>1442</v>
      </c>
      <c r="D172" s="2" t="s">
        <v>1444</v>
      </c>
      <c r="E172" s="5" t="str">
        <f ca="1">IFERROR(__xludf.DUMMYFUNCTION("GOOGLETRANSLATE(B172,""ja"",""vi"")"),"Kagawa Prefecture")</f>
        <v>Kagawa Prefecture</v>
      </c>
      <c r="F172" s="4" t="str">
        <f ca="1">IFERROR(__xludf.DUMMYFUNCTION("GOOGLETRANSLATE(C172,""ja"",""vi"")"),"Đấu giá&gt; Bất động sản&gt; Khác&gt; Shikoku&gt; Kagawa Prefecture")</f>
        <v>Đấu giá&gt; Bất động sản&gt; Khác&gt; Shikoku&gt; Kagawa Prefecture</v>
      </c>
      <c r="G172" t="str">
        <f t="shared" ca="1" si="2"/>
        <v>"2084060943" : "Kagawa Prefecture",</v>
      </c>
    </row>
    <row r="173" spans="1:7" ht="14.25" customHeight="1">
      <c r="A173" s="2">
        <v>2084060944</v>
      </c>
      <c r="B173" s="2" t="s">
        <v>423</v>
      </c>
      <c r="C173" s="2" t="s">
        <v>1450</v>
      </c>
      <c r="D173" s="2" t="s">
        <v>1451</v>
      </c>
      <c r="E173" s="5" t="str">
        <f ca="1">IFERROR(__xludf.DUMMYFUNCTION("GOOGLETRANSLATE(B173,""ja"",""vi"")"),"Ehime Prefecture")</f>
        <v>Ehime Prefecture</v>
      </c>
      <c r="F173" s="4" t="str">
        <f ca="1">IFERROR(__xludf.DUMMYFUNCTION("GOOGLETRANSLATE(C173,""ja"",""vi"")"),"Đấu giá&gt; Bất động sản&gt; Khác&gt; Shikoku&gt; Ehime Prefecture")</f>
        <v>Đấu giá&gt; Bất động sản&gt; Khác&gt; Shikoku&gt; Ehime Prefecture</v>
      </c>
      <c r="G173" t="str">
        <f t="shared" ca="1" si="2"/>
        <v>"2084060944" : "Ehime Prefecture",</v>
      </c>
    </row>
    <row r="174" spans="1:7" ht="14.25" customHeight="1">
      <c r="A174" s="2">
        <v>2084060945</v>
      </c>
      <c r="B174" s="2" t="s">
        <v>433</v>
      </c>
      <c r="C174" s="2" t="s">
        <v>1457</v>
      </c>
      <c r="D174" s="2" t="s">
        <v>1460</v>
      </c>
      <c r="E174" s="5" t="str">
        <f ca="1">IFERROR(__xludf.DUMMYFUNCTION("GOOGLETRANSLATE(B174,""ja"",""vi"")"),"Kochi Prefecture")</f>
        <v>Kochi Prefecture</v>
      </c>
      <c r="F174" s="4" t="str">
        <f ca="1">IFERROR(__xludf.DUMMYFUNCTION("GOOGLETRANSLATE(C174,""ja"",""vi"")"),"Đấu giá&gt; Bất động sản&gt; Khác&gt; Shikoku&gt; Kochi Prefecture")</f>
        <v>Đấu giá&gt; Bất động sản&gt; Khác&gt; Shikoku&gt; Kochi Prefecture</v>
      </c>
      <c r="G174" t="str">
        <f t="shared" ca="1" si="2"/>
        <v>"2084060945" : "Kochi Prefecture",</v>
      </c>
    </row>
    <row r="175" spans="1:7" ht="14.25" customHeight="1">
      <c r="A175" s="2">
        <v>2084060946</v>
      </c>
      <c r="B175" s="2" t="s">
        <v>441</v>
      </c>
      <c r="C175" s="2" t="s">
        <v>1464</v>
      </c>
      <c r="D175" s="2" t="s">
        <v>1465</v>
      </c>
      <c r="E175" s="5" t="str">
        <f ca="1">IFERROR(__xludf.DUMMYFUNCTION("GOOGLETRANSLATE(B175,""ja"",""vi"")"),"Fukuoka Prefecture")</f>
        <v>Fukuoka Prefecture</v>
      </c>
      <c r="F175" s="4" t="str">
        <f ca="1">IFERROR(__xludf.DUMMYFUNCTION("GOOGLETRANSLATE(C175,""ja"",""vi"")"),"Đấu giá&gt; Bất động sản&gt; Khác&gt; Kyushu&gt; Fukuoka Prefecture")</f>
        <v>Đấu giá&gt; Bất động sản&gt; Khác&gt; Kyushu&gt; Fukuoka Prefecture</v>
      </c>
      <c r="G175" t="str">
        <f t="shared" ca="1" si="2"/>
        <v>"2084060946" : "Fukuoka Prefecture",</v>
      </c>
    </row>
    <row r="176" spans="1:7" ht="14.25" customHeight="1">
      <c r="A176" s="2">
        <v>2084060947</v>
      </c>
      <c r="B176" s="2" t="s">
        <v>450</v>
      </c>
      <c r="C176" s="2" t="s">
        <v>1469</v>
      </c>
      <c r="D176" s="2" t="s">
        <v>1471</v>
      </c>
      <c r="E176" s="5" t="str">
        <f ca="1">IFERROR(__xludf.DUMMYFUNCTION("GOOGLETRANSLATE(B176,""ja"",""vi"")"),"Saga Prefecture")</f>
        <v>Saga Prefecture</v>
      </c>
      <c r="F176" s="4" t="str">
        <f ca="1">IFERROR(__xludf.DUMMYFUNCTION("GOOGLETRANSLATE(C176,""ja"",""vi"")"),"Đấu giá&gt; Bất động sản&gt; Khác&gt; Kyushu&gt; Saga")</f>
        <v>Đấu giá&gt; Bất động sản&gt; Khác&gt; Kyushu&gt; Saga</v>
      </c>
      <c r="G176" t="str">
        <f t="shared" ca="1" si="2"/>
        <v>"2084060947" : "Saga Prefecture",</v>
      </c>
    </row>
    <row r="177" spans="1:7" ht="14.25" customHeight="1">
      <c r="A177" s="2">
        <v>2084060948</v>
      </c>
      <c r="B177" s="2" t="s">
        <v>456</v>
      </c>
      <c r="C177" s="2" t="s">
        <v>1475</v>
      </c>
      <c r="D177" s="2" t="s">
        <v>1476</v>
      </c>
      <c r="E177" s="5" t="str">
        <f ca="1">IFERROR(__xludf.DUMMYFUNCTION("GOOGLETRANSLATE(B177,""ja"",""vi"")"),"tỉnh Nagasaki")</f>
        <v>tỉnh Nagasaki</v>
      </c>
      <c r="F177" s="4" t="str">
        <f ca="1">IFERROR(__xludf.DUMMYFUNCTION("GOOGLETRANSLATE(C177,""ja"",""vi"")"),"Đấu giá&gt; Bất động sản&gt; Khác&gt; Kyushu&gt; Nagasaki Prefecture")</f>
        <v>Đấu giá&gt; Bất động sản&gt; Khác&gt; Kyushu&gt; Nagasaki Prefecture</v>
      </c>
      <c r="G177" t="str">
        <f t="shared" ca="1" si="2"/>
        <v>"2084060948" : "tỉnh Nagasaki",</v>
      </c>
    </row>
    <row r="178" spans="1:7" ht="14.25" customHeight="1">
      <c r="A178" s="2">
        <v>2084060949</v>
      </c>
      <c r="B178" s="2" t="s">
        <v>466</v>
      </c>
      <c r="C178" s="2" t="s">
        <v>1482</v>
      </c>
      <c r="D178" s="2" t="s">
        <v>1483</v>
      </c>
      <c r="E178" s="5" t="str">
        <f ca="1">IFERROR(__xludf.DUMMYFUNCTION("GOOGLETRANSLATE(B178,""ja"",""vi"")"),"Kumamoto Prefecture")</f>
        <v>Kumamoto Prefecture</v>
      </c>
      <c r="F178" s="4" t="str">
        <f ca="1">IFERROR(__xludf.DUMMYFUNCTION("GOOGLETRANSLATE(C178,""ja"",""vi"")"),"Đấu giá&gt; Bất động sản&gt; Khác&gt; Kyushu&gt; Kumamoto Prefecture")</f>
        <v>Đấu giá&gt; Bất động sản&gt; Khác&gt; Kyushu&gt; Kumamoto Prefecture</v>
      </c>
      <c r="G178" t="str">
        <f t="shared" ca="1" si="2"/>
        <v>"2084060949" : "Kumamoto Prefecture",</v>
      </c>
    </row>
    <row r="179" spans="1:7" ht="14.25" customHeight="1">
      <c r="A179" s="2">
        <v>2084060950</v>
      </c>
      <c r="B179" s="2" t="s">
        <v>474</v>
      </c>
      <c r="C179" s="2" t="s">
        <v>1487</v>
      </c>
      <c r="D179" s="2" t="s">
        <v>1488</v>
      </c>
      <c r="E179" s="5" t="str">
        <f ca="1">IFERROR(__xludf.DUMMYFUNCTION("GOOGLETRANSLATE(B179,""ja"",""vi"")"),"Oita Prefecture")</f>
        <v>Oita Prefecture</v>
      </c>
      <c r="F179" s="4" t="str">
        <f ca="1">IFERROR(__xludf.DUMMYFUNCTION("GOOGLETRANSLATE(C179,""ja"",""vi"")"),"Đấu giá&gt; Bất động sản&gt; Khác&gt; Kyushu&gt; Oita Prefecture")</f>
        <v>Đấu giá&gt; Bất động sản&gt; Khác&gt; Kyushu&gt; Oita Prefecture</v>
      </c>
      <c r="G179" t="str">
        <f t="shared" ca="1" si="2"/>
        <v>"2084060950" : "Oita Prefecture",</v>
      </c>
    </row>
    <row r="180" spans="1:7" ht="14.25" customHeight="1">
      <c r="A180" s="2">
        <v>2084060951</v>
      </c>
      <c r="B180" s="2" t="s">
        <v>481</v>
      </c>
      <c r="C180" s="2" t="s">
        <v>1493</v>
      </c>
      <c r="D180" s="2" t="s">
        <v>1495</v>
      </c>
      <c r="E180" s="5" t="str">
        <f ca="1">IFERROR(__xludf.DUMMYFUNCTION("GOOGLETRANSLATE(B180,""ja"",""vi"")"),"Miyazaki Prefecture")</f>
        <v>Miyazaki Prefecture</v>
      </c>
      <c r="F180" s="4" t="str">
        <f ca="1">IFERROR(__xludf.DUMMYFUNCTION("GOOGLETRANSLATE(C180,""ja"",""vi"")"),"Đấu giá&gt; Bất động sản&gt; Khác&gt; Kyushu&gt; Miyazaki Prefecture")</f>
        <v>Đấu giá&gt; Bất động sản&gt; Khác&gt; Kyushu&gt; Miyazaki Prefecture</v>
      </c>
      <c r="G180" t="str">
        <f t="shared" ca="1" si="2"/>
        <v>"2084060951" : "Miyazaki Prefecture",</v>
      </c>
    </row>
    <row r="181" spans="1:7" ht="14.25" customHeight="1">
      <c r="A181" s="2">
        <v>2084060952</v>
      </c>
      <c r="B181" s="2" t="s">
        <v>487</v>
      </c>
      <c r="C181" s="2" t="s">
        <v>1500</v>
      </c>
      <c r="D181" s="2" t="s">
        <v>1502</v>
      </c>
      <c r="E181" s="5" t="str">
        <f ca="1">IFERROR(__xludf.DUMMYFUNCTION("GOOGLETRANSLATE(B181,""ja"",""vi"")"),"Kagoshima Prefecture")</f>
        <v>Kagoshima Prefecture</v>
      </c>
      <c r="F181" s="4" t="str">
        <f ca="1">IFERROR(__xludf.DUMMYFUNCTION("GOOGLETRANSLATE(C181,""ja"",""vi"")"),"Đấu giá&gt; Bất động sản&gt; Khác&gt; Kyushu&gt; Kagoshima Prefecture")</f>
        <v>Đấu giá&gt; Bất động sản&gt; Khác&gt; Kyushu&gt; Kagoshima Prefecture</v>
      </c>
      <c r="G181" t="str">
        <f t="shared" ca="1" si="2"/>
        <v>"2084060952" : "Kagoshima Prefecture",</v>
      </c>
    </row>
    <row r="182" spans="1:7" ht="14.25" customHeight="1">
      <c r="F182" s="4"/>
    </row>
    <row r="183" spans="1:7" ht="14.25" customHeight="1">
      <c r="F183" s="4"/>
    </row>
    <row r="184" spans="1:7" ht="14.25" customHeight="1">
      <c r="F184" s="4"/>
    </row>
    <row r="185" spans="1:7" ht="14.25" customHeight="1">
      <c r="F185" s="4"/>
    </row>
    <row r="186" spans="1:7" ht="14.25" customHeight="1">
      <c r="F186" s="4"/>
    </row>
    <row r="187" spans="1:7" ht="14.25" customHeight="1">
      <c r="F187" s="4"/>
    </row>
    <row r="188" spans="1:7" ht="14.25" customHeight="1">
      <c r="F188" s="4"/>
    </row>
    <row r="189" spans="1:7" ht="14.25" customHeight="1">
      <c r="F189" s="4"/>
    </row>
    <row r="190" spans="1:7" ht="14.25" customHeight="1">
      <c r="F190" s="4"/>
    </row>
    <row r="191" spans="1:7" ht="14.25" customHeight="1">
      <c r="F191" s="4"/>
    </row>
    <row r="192" spans="1:7" ht="14.25" customHeight="1">
      <c r="F192" s="4"/>
    </row>
    <row r="193" spans="6:6" ht="14.25" customHeight="1">
      <c r="F193" s="4"/>
    </row>
    <row r="194" spans="6:6" ht="14.25" customHeight="1"/>
    <row r="195" spans="6:6" ht="14.25" customHeight="1"/>
    <row r="196" spans="6:6" ht="14.25" customHeight="1"/>
    <row r="197" spans="6:6" ht="14.25" customHeight="1"/>
    <row r="198" spans="6:6" ht="14.25" customHeight="1"/>
    <row r="199" spans="6:6" ht="14.25" customHeight="1"/>
    <row r="200" spans="6:6" ht="14.25" customHeight="1"/>
    <row r="201" spans="6:6" ht="14.25" customHeight="1"/>
    <row r="202" spans="6:6" ht="14.25" customHeight="1"/>
    <row r="203" spans="6:6" ht="14.25" customHeight="1"/>
    <row r="204" spans="6:6" ht="14.25" customHeight="1"/>
    <row r="205" spans="6:6" ht="14.25" customHeight="1"/>
    <row r="206" spans="6:6" ht="14.25" customHeight="1"/>
    <row r="207" spans="6:6" ht="14.25" customHeight="1"/>
    <row r="208" spans="6:6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9"/>
  <sheetViews>
    <sheetView topLeftCell="C1" workbookViewId="0">
      <selection activeCell="G2" sqref="G2"/>
    </sheetView>
  </sheetViews>
  <sheetFormatPr defaultColWidth="12.59765625" defaultRowHeight="15" customHeight="1"/>
  <cols>
    <col min="1" max="1" width="11.296875" customWidth="1"/>
    <col min="2" max="2" width="13.59765625" customWidth="1"/>
    <col min="3" max="3" width="31.69921875" customWidth="1"/>
    <col min="4" max="4" width="24.296875" customWidth="1"/>
    <col min="5" max="5" width="7.59765625" customWidth="1"/>
    <col min="6" max="6" width="97.0976562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2084311486</v>
      </c>
      <c r="B2" s="2" t="s">
        <v>4</v>
      </c>
      <c r="C2" s="2" t="s">
        <v>5</v>
      </c>
      <c r="D2" s="2" t="s">
        <v>6</v>
      </c>
      <c r="E2" s="4" t="str">
        <f ca="1">IFERROR(__xludf.DUMMYFUNCTION("GOOGLETRANSLATE(B2,""ja"",""vi"")"),"bộ trang phục")</f>
        <v>bộ trang phục</v>
      </c>
      <c r="F2" s="4" t="str">
        <f ca="1">IFERROR(__xludf.DUMMYFUNCTION("GOOGLETRANSLATE(C2,""ja"",""vi"")"),"Đấu giá&gt; truyện tranh, phim hoạt hình hàng hóa&gt; Cosplay Trang phục&gt; truyện tranh, hoạt hình, trò chơi nhân vật&gt; bộ trang phục")</f>
        <v>Đấu giá&gt; truyện tranh, phim hoạt hình hàng hóa&gt; Cosplay Trang phục&gt; truyện tranh, hoạt hình, trò chơi nhân vật&gt; bộ trang phục</v>
      </c>
      <c r="G2" t="str">
        <f ca="1">CONCATENATE(CHAR(34)&amp;"",A2,""&amp;CHAR(34)," : ", CHAR(34)&amp;"",E2,""&amp;CHAR(34),",")</f>
        <v>"2084311486" : "bộ trang phục",</v>
      </c>
    </row>
    <row r="3" spans="1:7" ht="14.25" customHeight="1">
      <c r="A3" s="2">
        <v>2084311485</v>
      </c>
      <c r="B3" s="2" t="s">
        <v>7</v>
      </c>
      <c r="C3" s="2" t="s">
        <v>8</v>
      </c>
      <c r="D3" s="2" t="s">
        <v>9</v>
      </c>
      <c r="E3" s="4" t="str">
        <f ca="1">IFERROR(__xludf.DUMMYFUNCTION("GOOGLETRANSLATE(B3,""ja"",""vi"")"),"cosplay trang phục")</f>
        <v>cosplay trang phục</v>
      </c>
      <c r="F3" s="4" t="str">
        <f ca="1">IFERROR(__xludf.DUMMYFUNCTION("GOOGLETRANSLATE(C3,""ja"",""vi"")"),"Đấu giá&gt; truyện tranh, phim hoạt hình hàng hóa&gt; Cosplay Trang phục&gt; truyện tranh, hoạt hình, nhân vật game&gt; Costume")</f>
        <v>Đấu giá&gt; truyện tranh, phim hoạt hình hàng hóa&gt; Cosplay Trang phục&gt; truyện tranh, hoạt hình, nhân vật game&gt; Costume</v>
      </c>
      <c r="G3" t="str">
        <f t="shared" ref="G3:G66" ca="1" si="0">CONCATENATE(CHAR(34)&amp;"",A3,""&amp;CHAR(34)," : ", CHAR(34)&amp;"",E3,""&amp;CHAR(34),",")</f>
        <v>"2084311485" : "cosplay trang phục",</v>
      </c>
    </row>
    <row r="4" spans="1:7" ht="14.25" customHeight="1">
      <c r="A4" s="2">
        <v>2084311488</v>
      </c>
      <c r="B4" s="2" t="s">
        <v>14</v>
      </c>
      <c r="C4" s="2" t="s">
        <v>17</v>
      </c>
      <c r="D4" s="2" t="s">
        <v>18</v>
      </c>
      <c r="E4" s="4" t="str">
        <f ca="1">IFERROR(__xludf.DUMMYFUNCTION("GOOGLETRANSLATE(B4,""ja"",""vi"")"),"nội")</f>
        <v>nội</v>
      </c>
      <c r="F4" s="4" t="str">
        <f ca="1">IFERROR(__xludf.DUMMYFUNCTION("GOOGLETRANSLATE(C4,""ja"",""vi"")"),"Đấu giá&gt; truyện tranh, phim hoạt hình hàng hóa&gt; Cosplay Trang phục&gt; truyện tranh, hoạt hình, nhân vật game&gt; nội")</f>
        <v>Đấu giá&gt; truyện tranh, phim hoạt hình hàng hóa&gt; Cosplay Trang phục&gt; truyện tranh, hoạt hình, nhân vật game&gt; nội</v>
      </c>
      <c r="G4" t="str">
        <f t="shared" ca="1" si="0"/>
        <v>"2084311488" : "nội",</v>
      </c>
    </row>
    <row r="5" spans="1:7" ht="14.25" customHeight="1">
      <c r="A5" s="2">
        <v>2084311487</v>
      </c>
      <c r="B5" s="2" t="s">
        <v>19</v>
      </c>
      <c r="C5" s="2" t="s">
        <v>20</v>
      </c>
      <c r="D5" s="2" t="s">
        <v>21</v>
      </c>
      <c r="E5" s="4" t="str">
        <f ca="1">IFERROR(__xludf.DUMMYFUNCTION("GOOGLETRANSLATE(B5,""ja"",""vi"")"),"Giày, giày")</f>
        <v>Giày, giày</v>
      </c>
      <c r="F5" s="4" t="str">
        <f ca="1">IFERROR(__xludf.DUMMYFUNCTION("GOOGLETRANSLATE(C5,""ja"",""vi"")"),"Đấu giá&gt; truyện tranh, phim hoạt hình hàng hóa&gt; Trang phục Cosplay&gt; truyện tranh, hoạt hình, trò chơi nhân vật&gt; giày, giày")</f>
        <v>Đấu giá&gt; truyện tranh, phim hoạt hình hàng hóa&gt; Trang phục Cosplay&gt; truyện tranh, hoạt hình, trò chơi nhân vật&gt; giày, giày</v>
      </c>
      <c r="G5" t="str">
        <f t="shared" ca="1" si="0"/>
        <v>"2084311487" : "Giày, giày",</v>
      </c>
    </row>
    <row r="6" spans="1:7" ht="14.25" customHeight="1">
      <c r="A6" s="2">
        <v>2084311489</v>
      </c>
      <c r="B6" s="2" t="s">
        <v>22</v>
      </c>
      <c r="C6" s="2" t="s">
        <v>24</v>
      </c>
      <c r="D6" s="2" t="s">
        <v>26</v>
      </c>
      <c r="E6" s="4" t="str">
        <f ca="1">IFERROR(__xludf.DUMMYFUNCTION("GOOGLETRANSLATE(B6,""ja"",""vi"")"),"Phụ kiện, phụ kiện")</f>
        <v>Phụ kiện, phụ kiện</v>
      </c>
      <c r="F6" s="4" t="str">
        <f ca="1">IFERROR(__xludf.DUMMYFUNCTION("GOOGLETRANSLATE(C6,""ja"",""vi"")"),"Đấu giá&gt; truyện tranh, phim hoạt hình hàng hóa&gt; Trang phục Cosplay&gt; truyện tranh, hoạt hình, trò chơi nhân vật&gt; Phụ kiện, phụ kiện")</f>
        <v>Đấu giá&gt; truyện tranh, phim hoạt hình hàng hóa&gt; Trang phục Cosplay&gt; truyện tranh, hoạt hình, trò chơi nhân vật&gt; Phụ kiện, phụ kiện</v>
      </c>
      <c r="G6" t="str">
        <f t="shared" ca="1" si="0"/>
        <v>"2084311489" : "Phụ kiện, phụ kiện",</v>
      </c>
    </row>
    <row r="7" spans="1:7" ht="14.25" customHeight="1">
      <c r="A7" s="2">
        <v>2084311490</v>
      </c>
      <c r="B7" s="2" t="s">
        <v>32</v>
      </c>
      <c r="C7" s="2" t="s">
        <v>33</v>
      </c>
      <c r="D7" s="2" t="s">
        <v>34</v>
      </c>
      <c r="E7" s="4" t="str">
        <f ca="1">IFERROR(__xludf.DUMMYFUNCTION("GOOGLETRANSLATE(B7,""ja"",""vi"")"),"Chobutsu")</f>
        <v>Chobutsu</v>
      </c>
      <c r="F7" s="4" t="str">
        <f ca="1">IFERROR(__xludf.DUMMYFUNCTION("GOOGLETRANSLATE(C7,""ja"",""vi"")"),"Đấu giá&gt; truyện tranh, phim hoạt hình hàng hóa&gt; Cosplay Trang phục&gt; truyện tranh, hoạt hình, nhân vật game&gt; Chobutsu")</f>
        <v>Đấu giá&gt; truyện tranh, phim hoạt hình hàng hóa&gt; Cosplay Trang phục&gt; truyện tranh, hoạt hình, nhân vật game&gt; Chobutsu</v>
      </c>
      <c r="G7" t="str">
        <f t="shared" ca="1" si="0"/>
        <v>"2084311490" : "Chobutsu",</v>
      </c>
    </row>
    <row r="8" spans="1:7" ht="14.25" customHeight="1">
      <c r="A8" s="2">
        <v>2084311491</v>
      </c>
      <c r="B8" s="2" t="s">
        <v>37</v>
      </c>
      <c r="C8" s="2" t="s">
        <v>39</v>
      </c>
      <c r="D8" s="2" t="s">
        <v>41</v>
      </c>
      <c r="E8" s="4" t="str">
        <f ca="1">IFERROR(__xludf.DUMMYFUNCTION("GOOGLETRANSLATE(B8,""ja"",""vi"")"),"tóc giả")</f>
        <v>tóc giả</v>
      </c>
      <c r="F8" s="4" t="str">
        <f ca="1">IFERROR(__xludf.DUMMYFUNCTION("GOOGLETRANSLATE(C8,""ja"",""vi"")"),"Đấu giá&gt; truyện tranh, phim hoạt hình hàng hóa&gt; Cosplay Trang phục&gt; truyện tranh, hoạt hình, nhân vật game&gt; Wig")</f>
        <v>Đấu giá&gt; truyện tranh, phim hoạt hình hàng hóa&gt; Cosplay Trang phục&gt; truyện tranh, hoạt hình, nhân vật game&gt; Wig</v>
      </c>
      <c r="G8" t="str">
        <f t="shared" ca="1" si="0"/>
        <v>"2084311491" : "tóc giả",</v>
      </c>
    </row>
    <row r="9" spans="1:7" ht="14.25" customHeight="1">
      <c r="A9" s="2">
        <v>2084311492</v>
      </c>
      <c r="B9" s="2" t="s">
        <v>46</v>
      </c>
      <c r="C9" s="2" t="s">
        <v>48</v>
      </c>
      <c r="D9" s="2" t="s">
        <v>49</v>
      </c>
      <c r="E9" s="4" t="str">
        <f ca="1">IFERROR(__xludf.DUMMYFUNCTION("GOOGLETRANSLATE(B9,""ja"",""vi"")"),"nếu không thì")</f>
        <v>nếu không thì</v>
      </c>
      <c r="F9" s="4" t="str">
        <f ca="1">IFERROR(__xludf.DUMMYFUNCTION("GOOGLETRANSLATE(C9,""ja"",""vi"")"),"Đấu giá&gt; truyện tranh, phim hoạt hình hàng hóa&gt; Trang phục Cosplay&gt; truyện tranh, hoạt hình, nhân vật trò chơi&gt; Khác")</f>
        <v>Đấu giá&gt; truyện tranh, phim hoạt hình hàng hóa&gt; Trang phục Cosplay&gt; truyện tranh, hoạt hình, nhân vật trò chơi&gt; Khác</v>
      </c>
      <c r="G9" t="str">
        <f t="shared" ca="1" si="0"/>
        <v>"2084311492" : "nếu không thì",</v>
      </c>
    </row>
    <row r="10" spans="1:7" ht="14.25" customHeight="1">
      <c r="A10" s="2">
        <v>2084309614</v>
      </c>
      <c r="B10" s="2" t="s">
        <v>54</v>
      </c>
      <c r="C10" s="2" t="s">
        <v>55</v>
      </c>
      <c r="D10" s="2" t="s">
        <v>56</v>
      </c>
      <c r="E10" s="4" t="str">
        <f ca="1">IFERROR(__xludf.DUMMYFUNCTION("GOOGLETRANSLATE(B10,""ja"",""vi"")"),"ARIA")</f>
        <v>ARIA</v>
      </c>
      <c r="F10" s="4" t="str">
        <f ca="1">IFERROR(__xludf.DUMMYFUNCTION("GOOGLETRANSLATE(C10,""ja"",""vi"")"),"Đấu giá&gt; truyện tranh, phim hoạt hình hàng hóa&gt; bởi công việc&gt; sub-row&gt; ARIA")</f>
        <v>Đấu giá&gt; truyện tranh, phim hoạt hình hàng hóa&gt; bởi công việc&gt; sub-row&gt; ARIA</v>
      </c>
      <c r="G10" t="str">
        <f t="shared" ca="1" si="0"/>
        <v>"2084309614" : "ARIA",</v>
      </c>
    </row>
    <row r="11" spans="1:7" ht="14.25" customHeight="1">
      <c r="A11" s="2">
        <v>2084309612</v>
      </c>
      <c r="B11" s="2" t="s">
        <v>64</v>
      </c>
      <c r="C11" s="2" t="s">
        <v>65</v>
      </c>
      <c r="D11" s="2" t="s">
        <v>66</v>
      </c>
      <c r="E11" s="4" t="str">
        <f ca="1">IFERROR(__xludf.DUMMYFUNCTION("GOOGLETRANSLATE(B11,""ja"",""vi"")"),"THE IDOLM @ STER")</f>
        <v>THE IDOLM @ STER</v>
      </c>
      <c r="F11" s="4" t="str">
        <f ca="1">IFERROR(__xludf.DUMMYFUNCTION("GOOGLETRANSLATE(C11,""ja"",""vi"")"),"Đấu giá&gt; truyện tranh, phim hoạt hình hàng hóa&gt; bởi công việc&gt; sub-row&gt; THE IDOLM @ STER")</f>
        <v>Đấu giá&gt; truyện tranh, phim hoạt hình hàng hóa&gt; bởi công việc&gt; sub-row&gt; THE IDOLM @ STER</v>
      </c>
      <c r="G11" t="str">
        <f t="shared" ca="1" si="0"/>
        <v>"2084309612" : "THE IDOLM @ STER",</v>
      </c>
    </row>
    <row r="12" spans="1:7" ht="14.25" customHeight="1">
      <c r="A12" s="2">
        <v>2084006260</v>
      </c>
      <c r="B12" s="2" t="s">
        <v>70</v>
      </c>
      <c r="C12" s="2" t="s">
        <v>73</v>
      </c>
      <c r="D12" s="2" t="s">
        <v>75</v>
      </c>
      <c r="E12" s="4" t="str">
        <f ca="1">IFERROR(__xludf.DUMMYFUNCTION("GOOGLETRANSLATE(B12,""ja"",""vi"")"),"My Goddess")</f>
        <v>My Goddess</v>
      </c>
      <c r="F12" s="4" t="str">
        <f ca="1">IFERROR(__xludf.DUMMYFUNCTION("GOOGLETRANSLATE(C12,""ja"",""vi"")"),"Đấu giá&gt; truyện tranh, phim hoạt hình hàng hóa&gt; bởi công việc&gt; sub-row&gt; Oh My Goddess!")</f>
        <v>Đấu giá&gt; truyện tranh, phim hoạt hình hàng hóa&gt; bởi công việc&gt; sub-row&gt; Oh My Goddess!</v>
      </c>
      <c r="G12" t="str">
        <f t="shared" ca="1" si="0"/>
        <v>"2084006260" : "My Goddess",</v>
      </c>
    </row>
    <row r="13" spans="1:7" ht="14.25" customHeight="1">
      <c r="A13" s="2">
        <v>2084034412</v>
      </c>
      <c r="B13" s="2" t="s">
        <v>78</v>
      </c>
      <c r="C13" s="2" t="s">
        <v>80</v>
      </c>
      <c r="D13" s="2" t="s">
        <v>81</v>
      </c>
      <c r="E13" s="4" t="str">
        <f ca="1">IFERROR(__xludf.DUMMYFUNCTION("GOOGLETRANSLATE(B13,""ja"",""vi"")"),"Joe ngày mai")</f>
        <v>Joe ngày mai</v>
      </c>
      <c r="F13" s="4" t="str">
        <f ca="1">IFERROR(__xludf.DUMMYFUNCTION("GOOGLETRANSLATE(C13,""ja"",""vi"")"),"Đấu giá&gt; truyện tranh, phim hoạt hình hàng hóa&gt; bởi công việc&gt; sub-row&gt; Ngày mai của Joe")</f>
        <v>Đấu giá&gt; truyện tranh, phim hoạt hình hàng hóa&gt; bởi công việc&gt; sub-row&gt; Ngày mai của Joe</v>
      </c>
      <c r="G13" t="str">
        <f t="shared" ca="1" si="0"/>
        <v>"2084034412" : "Joe ngày mai",</v>
      </c>
    </row>
    <row r="14" spans="1:7" ht="14.25" customHeight="1">
      <c r="A14" s="2">
        <v>2084034413</v>
      </c>
      <c r="B14" s="2" t="s">
        <v>84</v>
      </c>
      <c r="C14" s="2" t="s">
        <v>86</v>
      </c>
      <c r="D14" s="2" t="s">
        <v>87</v>
      </c>
      <c r="E14" s="4" t="str">
        <f ca="1">IFERROR(__xludf.DUMMYFUNCTION("GOOGLETRANSLATE(B14,""ja"",""vi"")"),"Azumanga")</f>
        <v>Azumanga</v>
      </c>
      <c r="F14" s="4" t="str">
        <f ca="1">IFERROR(__xludf.DUMMYFUNCTION("GOOGLETRANSLATE(C14,""ja"",""vi"")"),"Đấu giá&gt; truyện tranh, phim hoạt hình hàng hóa&gt; bởi công việc&gt; sub-row&gt; Azumanga")</f>
        <v>Đấu giá&gt; truyện tranh, phim hoạt hình hàng hóa&gt; bởi công việc&gt; sub-row&gt; Azumanga</v>
      </c>
      <c r="G14" t="str">
        <f t="shared" ca="1" si="0"/>
        <v>"2084034413" : "Azumanga",</v>
      </c>
    </row>
    <row r="15" spans="1:7" ht="14.25" customHeight="1">
      <c r="A15" s="2">
        <v>2084034415</v>
      </c>
      <c r="B15" s="2" t="s">
        <v>93</v>
      </c>
      <c r="C15" s="2" t="s">
        <v>95</v>
      </c>
      <c r="D15" s="2" t="s">
        <v>97</v>
      </c>
      <c r="E15" s="4" t="str">
        <f ca="1">IFERROR(__xludf.DUMMYFUNCTION("GOOGLETRANSLATE(B15,""ja"",""vi"")"),"Rascal Raccoon")</f>
        <v>Rascal Raccoon</v>
      </c>
      <c r="F15" s="4" t="str">
        <f ca="1">IFERROR(__xludf.DUMMYFUNCTION("GOOGLETRANSLATE(C15,""ja"",""vi"")"),"Đấu giá&gt; truyện tranh, phim hoạt hình hàng hóa&gt; bởi công việc&gt; sub-row&gt; Rascal Raccoon")</f>
        <v>Đấu giá&gt; truyện tranh, phim hoạt hình hàng hóa&gt; bởi công việc&gt; sub-row&gt; Rascal Raccoon</v>
      </c>
      <c r="G15" t="str">
        <f t="shared" ca="1" si="0"/>
        <v>"2084034415" : "Rascal Raccoon",</v>
      </c>
    </row>
    <row r="16" spans="1:7" ht="14.25" customHeight="1">
      <c r="A16" s="2">
        <v>2084309611</v>
      </c>
      <c r="B16" s="2" t="s">
        <v>109</v>
      </c>
      <c r="C16" s="2" t="s">
        <v>111</v>
      </c>
      <c r="D16" s="2" t="s">
        <v>114</v>
      </c>
      <c r="E16" s="4" t="str">
        <f ca="1">IFERROR(__xludf.DUMMYFUNCTION("GOOGLETRANSLATE(B16,""ja"",""vi"")"),"Sông ☆ Prince-sama ♪")</f>
        <v>Sông ☆ Prince-sama ♪</v>
      </c>
      <c r="F16" s="4" t="str">
        <f ca="1">IFERROR(__xludf.DUMMYFUNCTION("GOOGLETRANSLATE(C16,""ja"",""vi"")"),"Đấu giá&gt; truyện tranh, phim hoạt hình hàng hóa&gt; bởi công việc&gt; sub-row&gt; bài hát ☆ Prince-sama ♪")</f>
        <v>Đấu giá&gt; truyện tranh, phim hoạt hình hàng hóa&gt; bởi công việc&gt; sub-row&gt; bài hát ☆ Prince-sama ♪</v>
      </c>
      <c r="G16" t="str">
        <f t="shared" ca="1" si="0"/>
        <v>"2084309611" : "Sông ☆ Prince-sama ♪",</v>
      </c>
    </row>
    <row r="17" spans="1:7" ht="14.25" customHeight="1">
      <c r="A17" s="2">
        <v>2084034421</v>
      </c>
      <c r="B17" s="2" t="s">
        <v>122</v>
      </c>
      <c r="C17" s="2" t="s">
        <v>124</v>
      </c>
      <c r="D17" s="2" t="s">
        <v>126</v>
      </c>
      <c r="E17" s="4" t="str">
        <f ca="1">IFERROR(__xludf.DUMMYFUNCTION("GOOGLETRANSLATE(B17,""ja"",""vi"")"),"Urusei Yatsura")</f>
        <v>Urusei Yatsura</v>
      </c>
      <c r="F17" s="4" t="str">
        <f ca="1">IFERROR(__xludf.DUMMYFUNCTION("GOOGLETRANSLATE(C17,""ja"",""vi"")"),"Đấu giá&gt; truyện tranh, phim hoạt hình hàng hóa&gt; bởi công việc&gt; sub-row&gt; Urusei Yatsura")</f>
        <v>Đấu giá&gt; truyện tranh, phim hoạt hình hàng hóa&gt; bởi công việc&gt; sub-row&gt; Urusei Yatsura</v>
      </c>
      <c r="G17" t="str">
        <f t="shared" ca="1" si="0"/>
        <v>"2084034421" : "Urusei Yatsura",</v>
      </c>
    </row>
    <row r="18" spans="1:7" ht="14.25" customHeight="1">
      <c r="A18" s="2">
        <v>2084006263</v>
      </c>
      <c r="B18" s="2" t="s">
        <v>133</v>
      </c>
      <c r="C18" s="2" t="s">
        <v>135</v>
      </c>
      <c r="D18" s="2" t="s">
        <v>138</v>
      </c>
      <c r="E18" s="4" t="str">
        <f ca="1">IFERROR(__xludf.DUMMYFUNCTION("GOOGLETRANSLATE(B18,""ja"",""vi"")"),"Ojarumaru")</f>
        <v>Ojarumaru</v>
      </c>
      <c r="F18" s="4" t="str">
        <f ca="1">IFERROR(__xludf.DUMMYFUNCTION("GOOGLETRANSLATE(C18,""ja"",""vi"")"),"Đấu giá&gt; truyện tranh, phim hoạt hình hàng hóa&gt; bởi công việc&gt; sub-row&gt; Ojarumaru")</f>
        <v>Đấu giá&gt; truyện tranh, phim hoạt hình hàng hóa&gt; bởi công việc&gt; sub-row&gt; Ojarumaru</v>
      </c>
      <c r="G18" t="str">
        <f t="shared" ca="1" si="0"/>
        <v>"2084006263" : "Ojarumaru",</v>
      </c>
    </row>
    <row r="19" spans="1:7" ht="14.25" customHeight="1">
      <c r="A19" s="2">
        <v>2084315984</v>
      </c>
      <c r="B19" s="2" t="s">
        <v>148</v>
      </c>
      <c r="C19" s="2" t="s">
        <v>150</v>
      </c>
      <c r="D19" s="2" t="s">
        <v>153</v>
      </c>
      <c r="E19" s="4" t="str">
        <f ca="1">IFERROR(__xludf.DUMMYFUNCTION("GOOGLETRANSLATE(B19,""ja"",""vi"")"),"Osomatsu của")</f>
        <v>Osomatsu của</v>
      </c>
      <c r="F19" s="4" t="str">
        <f ca="1">IFERROR(__xludf.DUMMYFUNCTION("GOOGLETRANSLATE(C19,""ja"",""vi"")"),"Đấu giá&gt; truyện tranh, phim hoạt hình hàng hóa&gt; bởi công việc&gt; sub-row&gt; Osomatsu của")</f>
        <v>Đấu giá&gt; truyện tranh, phim hoạt hình hàng hóa&gt; bởi công việc&gt; sub-row&gt; Osomatsu của</v>
      </c>
      <c r="G19" t="str">
        <f t="shared" ca="1" si="0"/>
        <v>"2084315984" : "Osomatsu của",</v>
      </c>
    </row>
    <row r="20" spans="1:7" ht="14.25" customHeight="1">
      <c r="A20" s="2">
        <v>2084034425</v>
      </c>
      <c r="B20" s="2" t="s">
        <v>159</v>
      </c>
      <c r="C20" s="2" t="s">
        <v>162</v>
      </c>
      <c r="D20" s="2" t="s">
        <v>164</v>
      </c>
      <c r="E20" s="4" t="str">
        <f ca="1">IFERROR(__xludf.DUMMYFUNCTION("GOOGLETRANSLATE(B20,""ja"",""vi"")"),"Ojamajo")</f>
        <v>Ojamajo</v>
      </c>
      <c r="F20" s="4" t="str">
        <f ca="1">IFERROR(__xludf.DUMMYFUNCTION("GOOGLETRANSLATE(C20,""ja"",""vi"")"),"Đấu giá&gt; truyện tranh, phim hoạt hình hàng hóa&gt; bởi công việc&gt; sub-row&gt; Ojamajo")</f>
        <v>Đấu giá&gt; truyện tranh, phim hoạt hình hàng hóa&gt; bởi công việc&gt; sub-row&gt; Ojamajo</v>
      </c>
      <c r="G20" t="str">
        <f t="shared" ca="1" si="0"/>
        <v>"2084034425" : "Ojamajo",</v>
      </c>
    </row>
    <row r="21" spans="1:7" ht="14.25" customHeight="1">
      <c r="A21" s="2">
        <v>2084309615</v>
      </c>
      <c r="B21" s="2" t="s">
        <v>169</v>
      </c>
      <c r="C21" s="2" t="s">
        <v>173</v>
      </c>
      <c r="D21" s="2" t="s">
        <v>174</v>
      </c>
      <c r="E21" s="4" t="str">
        <f ca="1">IFERROR(__xludf.DUMMYFUNCTION("GOOGLETRANSLATE(B21,""ja"",""vi"")"),"Earl Jeunesse")</f>
        <v>Earl Jeunesse</v>
      </c>
      <c r="F21" s="4" t="str">
        <f ca="1">IFERROR(__xludf.DUMMYFUNCTION("GOOGLETRANSLATE(C21,""ja"",""vi"")"),"Đấu giá&gt; truyện tranh, phim hoạt hình hàng hóa&gt; bởi công việc&gt; sub-row&gt; Earl Junes")</f>
        <v>Đấu giá&gt; truyện tranh, phim hoạt hình hàng hóa&gt; bởi công việc&gt; sub-row&gt; Earl Junes</v>
      </c>
      <c r="G21" t="str">
        <f t="shared" ca="1" si="0"/>
        <v>"2084309615" : "Earl Jeunesse",</v>
      </c>
    </row>
    <row r="22" spans="1:7" ht="14.25" customHeight="1">
      <c r="A22" s="2">
        <v>2084034430</v>
      </c>
      <c r="B22" s="2" t="s">
        <v>181</v>
      </c>
      <c r="C22" s="2" t="s">
        <v>182</v>
      </c>
      <c r="D22" s="2" t="s">
        <v>183</v>
      </c>
      <c r="E22" s="4" t="str">
        <f ca="1">IFERROR(__xludf.DUMMYFUNCTION("GOOGLETRANSLATE(B22,""ja"",""vi"")"),"Cyber ​​Team Akihabara")</f>
        <v>Cyber ​​Team Akihabara</v>
      </c>
      <c r="F22" s="4" t="str">
        <f ca="1">IFERROR(__xludf.DUMMYFUNCTION("GOOGLETRANSLATE(C22,""ja"",""vi"")"),"Đấu giá&gt; truyện tranh, phim hoạt hình hàng hóa&gt; bởi công việc&gt; sub-row&gt; Cyber ​​Team Akihabara")</f>
        <v>Đấu giá&gt; truyện tranh, phim hoạt hình hàng hóa&gt; bởi công việc&gt; sub-row&gt; Cyber ​​Team Akihabara</v>
      </c>
      <c r="G22" t="str">
        <f t="shared" ca="1" si="0"/>
        <v>"2084034430" : "Cyber ​​Team Akihabara",</v>
      </c>
    </row>
    <row r="23" spans="1:7" ht="14.25" customHeight="1">
      <c r="A23" s="2">
        <v>2084309616</v>
      </c>
      <c r="B23" s="2" t="s">
        <v>192</v>
      </c>
      <c r="C23" s="2" t="s">
        <v>194</v>
      </c>
      <c r="D23" s="2" t="s">
        <v>196</v>
      </c>
      <c r="E23" s="4" t="str">
        <f ca="1">IFERROR(__xludf.DUMMYFUNCTION("GOOGLETRANSLATE(B23,""ja"",""vi"")"),"Accel World")</f>
        <v>Accel World</v>
      </c>
      <c r="F23" s="4" t="str">
        <f ca="1">IFERROR(__xludf.DUMMYFUNCTION("GOOGLETRANSLATE(C23,""ja"",""vi"")"),"Đấu giá&gt; truyện tranh, phim hoạt hình hàng hóa&gt; bởi công việc&gt; sub-row&gt; Accel World")</f>
        <v>Đấu giá&gt; truyện tranh, phim hoạt hình hàng hóa&gt; bởi công việc&gt; sub-row&gt; Accel World</v>
      </c>
      <c r="G23" t="str">
        <f t="shared" ca="1" si="0"/>
        <v>"2084309616" : "Accel World",</v>
      </c>
    </row>
    <row r="24" spans="1:7" ht="14.25" customHeight="1">
      <c r="A24" s="2">
        <v>2084035360</v>
      </c>
      <c r="B24" s="2" t="s">
        <v>200</v>
      </c>
      <c r="C24" s="2" t="s">
        <v>201</v>
      </c>
      <c r="D24" s="2" t="s">
        <v>202</v>
      </c>
      <c r="E24" s="4" t="str">
        <f ca="1">IFERROR(__xludf.DUMMYFUNCTION("GOOGLETRANSLATE(B24,""ja"",""vi"")"),"nguyên tử")</f>
        <v>nguyên tử</v>
      </c>
      <c r="F24" s="4" t="str">
        <f ca="1">IFERROR(__xludf.DUMMYFUNCTION("GOOGLETRANSLATE(C24,""ja"",""vi"")"),"Đấu giá&gt; truyện tranh, phim hoạt hình hàng hóa&gt; bởi công việc&gt; sub-row&gt; nguyên tử")</f>
        <v>Đấu giá&gt; truyện tranh, phim hoạt hình hàng hóa&gt; bởi công việc&gt; sub-row&gt; nguyên tử</v>
      </c>
      <c r="G24" t="str">
        <f t="shared" ca="1" si="0"/>
        <v>"2084035360" : "nguyên tử",</v>
      </c>
    </row>
    <row r="25" spans="1:7" ht="14.25" customHeight="1">
      <c r="A25" s="2">
        <v>2084035108</v>
      </c>
      <c r="B25" s="2" t="s">
        <v>210</v>
      </c>
      <c r="C25" s="2" t="s">
        <v>211</v>
      </c>
      <c r="D25" s="2" t="s">
        <v>212</v>
      </c>
      <c r="E25" s="4" t="str">
        <f ca="1">IFERROR(__xludf.DUMMYFUNCTION("GOOGLETRANSLATE(B25,""ja"",""vi"")"),"Anpanman")</f>
        <v>Anpanman</v>
      </c>
      <c r="F25" s="4" t="str">
        <f ca="1">IFERROR(__xludf.DUMMYFUNCTION("GOOGLETRANSLATE(C25,""ja"",""vi"")"),"Đấu giá&gt; truyện tranh, phim hoạt hình hàng hóa&gt; bởi công việc&gt; sub-row&gt; Anpanman")</f>
        <v>Đấu giá&gt; truyện tranh, phim hoạt hình hàng hóa&gt; bởi công việc&gt; sub-row&gt; Anpanman</v>
      </c>
      <c r="G25" t="str">
        <f t="shared" ca="1" si="0"/>
        <v>"2084035108" : "Anpanman",</v>
      </c>
    </row>
    <row r="26" spans="1:7" ht="14.25" customHeight="1">
      <c r="A26" s="2">
        <v>2084309617</v>
      </c>
      <c r="B26" s="2" t="s">
        <v>220</v>
      </c>
      <c r="C26" s="2" t="s">
        <v>221</v>
      </c>
      <c r="D26" s="2" t="s">
        <v>222</v>
      </c>
      <c r="E26" s="4" t="str">
        <f ca="1">IFERROR(__xludf.DUMMYFUNCTION("GOOGLETRANSLATE(B26,""ja"",""vi"")"),"con gái Squid")</f>
        <v>con gái Squid</v>
      </c>
      <c r="F26" s="4" t="str">
        <f ca="1">IFERROR(__xludf.DUMMYFUNCTION("GOOGLETRANSLATE(C26,""ja"",""vi"")"),"Đấu giá&gt; truyện tranh, phim hoạt hình hàng hóa&gt; bởi công việc&gt; sub-row&gt; con gái Squid")</f>
        <v>Đấu giá&gt; truyện tranh, phim hoạt hình hàng hóa&gt; bởi công việc&gt; sub-row&gt; con gái Squid</v>
      </c>
      <c r="G26" t="str">
        <f t="shared" ca="1" si="0"/>
        <v>"2084309617" : "con gái Squid",</v>
      </c>
    </row>
    <row r="27" spans="1:7" ht="14.25" customHeight="1">
      <c r="A27" s="2">
        <v>2084309613</v>
      </c>
      <c r="B27" s="2" t="s">
        <v>229</v>
      </c>
      <c r="C27" s="2" t="s">
        <v>231</v>
      </c>
      <c r="D27" s="2" t="s">
        <v>233</v>
      </c>
      <c r="E27" s="4" t="str">
        <f ca="1">IFERROR(__xludf.DUMMYFUNCTION("GOOGLETRANSLATE(B27,""ja"",""vi"")"),"Inazuma Eleven")</f>
        <v>Inazuma Eleven</v>
      </c>
      <c r="F27" s="4" t="str">
        <f ca="1">IFERROR(__xludf.DUMMYFUNCTION("GOOGLETRANSLATE(C27,""ja"",""vi"")"),"Đấu giá&gt; truyện tranh, phim hoạt hình hàng hóa&gt; bởi công việc&gt; sub-row&gt; Inazuma Eleven")</f>
        <v>Đấu giá&gt; truyện tranh, phim hoạt hình hàng hóa&gt; bởi công việc&gt; sub-row&gt; Inazuma Eleven</v>
      </c>
      <c r="G27" t="str">
        <f t="shared" ca="1" si="0"/>
        <v>"2084309613" : "Inazuma Eleven",</v>
      </c>
    </row>
    <row r="28" spans="1:7" ht="14.25" customHeight="1">
      <c r="A28" s="2">
        <v>2084046965</v>
      </c>
      <c r="B28" s="2" t="s">
        <v>239</v>
      </c>
      <c r="C28" s="2" t="s">
        <v>241</v>
      </c>
      <c r="D28" s="2" t="s">
        <v>243</v>
      </c>
      <c r="E28" s="4" t="str">
        <f ca="1">IFERROR(__xludf.DUMMYFUNCTION("GOOGLETRANSLATE(B28,""ja"",""vi"")"),"Wedding Peach")</f>
        <v>Wedding Peach</v>
      </c>
      <c r="F28" s="4" t="str">
        <f ca="1">IFERROR(__xludf.DUMMYFUNCTION("GOOGLETRANSLATE(C28,""ja"",""vi"")"),"Đấu giá&gt; truyện tranh, phim hoạt hình hàng hóa&gt; bởi công việc&gt; sub-row&gt; Wedding Peach")</f>
        <v>Đấu giá&gt; truyện tranh, phim hoạt hình hàng hóa&gt; bởi công việc&gt; sub-row&gt; Wedding Peach</v>
      </c>
      <c r="G28" t="str">
        <f t="shared" ca="1" si="0"/>
        <v>"2084046965" : "Wedding Peach",</v>
      </c>
    </row>
    <row r="29" spans="1:7" ht="14.25" customHeight="1">
      <c r="A29" s="2">
        <v>2084005072</v>
      </c>
      <c r="B29" s="2" t="s">
        <v>249</v>
      </c>
      <c r="C29" s="2" t="s">
        <v>251</v>
      </c>
      <c r="D29" s="2" t="s">
        <v>253</v>
      </c>
      <c r="E29" s="4" t="str">
        <f ca="1">IFERROR(__xludf.DUMMYFUNCTION("GOOGLETRANSLATE(B29,""ja"",""vi"")"),"Evangelion")</f>
        <v>Evangelion</v>
      </c>
      <c r="F29" s="4" t="str">
        <f ca="1">IFERROR(__xludf.DUMMYFUNCTION("GOOGLETRANSLATE(C29,""ja"",""vi"")"),"Đấu giá&gt; truyện tranh, phim hoạt hình hàng hóa&gt; bởi công việc&gt; sub-row&gt; Evangelion")</f>
        <v>Đấu giá&gt; truyện tranh, phim hoạt hình hàng hóa&gt; bởi công việc&gt; sub-row&gt; Evangelion</v>
      </c>
      <c r="G29" t="str">
        <f t="shared" ca="1" si="0"/>
        <v>"2084005072" : "Evangelion",</v>
      </c>
    </row>
    <row r="30" spans="1:7" ht="14.25" customHeight="1">
      <c r="A30" s="2">
        <v>2084044310</v>
      </c>
      <c r="B30" s="2" t="s">
        <v>259</v>
      </c>
      <c r="C30" s="2" t="s">
        <v>264</v>
      </c>
      <c r="D30" s="2" t="s">
        <v>265</v>
      </c>
      <c r="E30" s="4" t="str">
        <f ca="1">IFERROR(__xludf.DUMMYFUNCTION("GOOGLETRANSLATE(B30,""ja"",""vi"")"),"Weiss Kreuz")</f>
        <v>Weiss Kreuz</v>
      </c>
      <c r="F30" s="4" t="str">
        <f ca="1">IFERROR(__xludf.DUMMYFUNCTION("GOOGLETRANSLATE(C30,""ja"",""vi"")"),"Đấu giá&gt; truyện tranh, phim hoạt hình hàng hóa&gt; bởi công việc&gt; sub-row&gt; Weiss Kreuz")</f>
        <v>Đấu giá&gt; truyện tranh, phim hoạt hình hàng hóa&gt; bởi công việc&gt; sub-row&gt; Weiss Kreuz</v>
      </c>
      <c r="G30" t="str">
        <f t="shared" ca="1" si="0"/>
        <v>"2084044310" : "Weiss Kreuz",</v>
      </c>
    </row>
    <row r="31" spans="1:7" ht="14.25" customHeight="1">
      <c r="A31" s="2">
        <v>2084034419</v>
      </c>
      <c r="B31" s="2" t="s">
        <v>273</v>
      </c>
      <c r="C31" s="2" t="s">
        <v>274</v>
      </c>
      <c r="D31" s="2" t="s">
        <v>276</v>
      </c>
      <c r="E31" s="4" t="str">
        <f ca="1">IFERROR(__xludf.DUMMYFUNCTION("GOOGLETRANSLATE(B31,""ja"",""vi"")"),"Space Battleship Yamato")</f>
        <v>Space Battleship Yamato</v>
      </c>
      <c r="F31" s="4" t="str">
        <f ca="1">IFERROR(__xludf.DUMMYFUNCTION("GOOGLETRANSLATE(C31,""ja"",""vi"")"),"Đấu giá&gt; truyện tranh, phim hoạt hình hàng hóa&gt; bởi công việc&gt; sub-row&gt; Space Battleship Yamato")</f>
        <v>Đấu giá&gt; truyện tranh, phim hoạt hình hàng hóa&gt; bởi công việc&gt; sub-row&gt; Space Battleship Yamato</v>
      </c>
      <c r="G31" t="str">
        <f t="shared" ca="1" si="0"/>
        <v>"2084034419" : "Space Battleship Yamato",</v>
      </c>
    </row>
    <row r="32" spans="1:7" ht="14.25" customHeight="1">
      <c r="A32" s="2">
        <v>2084034418</v>
      </c>
      <c r="B32" s="2" t="s">
        <v>284</v>
      </c>
      <c r="C32" s="2" t="s">
        <v>287</v>
      </c>
      <c r="D32" s="2" t="s">
        <v>291</v>
      </c>
      <c r="E32" s="4" t="str">
        <f ca="1">IFERROR(__xludf.DUMMYFUNCTION("GOOGLETRANSLATE(B32,""ja"",""vi"")"),"Inuyasha")</f>
        <v>Inuyasha</v>
      </c>
      <c r="F32" s="4" t="str">
        <f ca="1">IFERROR(__xludf.DUMMYFUNCTION("GOOGLETRANSLATE(C32,""ja"",""vi"")"),"Đấu giá&gt; truyện tranh, phim hoạt hình hàng hóa&gt; bởi công việc&gt; sub-row&gt; Inuyasha")</f>
        <v>Đấu giá&gt; truyện tranh, phim hoạt hình hàng hóa&gt; bởi công việc&gt; sub-row&gt; Inuyasha</v>
      </c>
      <c r="G32" t="str">
        <f t="shared" ca="1" si="0"/>
        <v>"2084034418" : "Inuyasha",</v>
      </c>
    </row>
    <row r="33" spans="1:7" ht="14.25" customHeight="1">
      <c r="A33" s="2">
        <v>2084034424</v>
      </c>
      <c r="B33" s="2" t="s">
        <v>298</v>
      </c>
      <c r="C33" s="2" t="s">
        <v>299</v>
      </c>
      <c r="D33" s="2" t="s">
        <v>300</v>
      </c>
      <c r="E33" s="4" t="str">
        <f ca="1">IFERROR(__xludf.DUMMYFUNCTION("GOOGLETRANSLATE(B33,""ja"",""vi"")"),"Aura Dunbine")</f>
        <v>Aura Dunbine</v>
      </c>
      <c r="F33" s="4" t="str">
        <f ca="1">IFERROR(__xludf.DUMMYFUNCTION("GOOGLETRANSLATE(C33,""ja"",""vi"")"),"Đấu giá&gt; truyện tranh, phim hoạt hình hàng hóa&gt; bởi công việc&gt; sub-row&gt; Aura Dunbine")</f>
        <v>Đấu giá&gt; truyện tranh, phim hoạt hình hàng hóa&gt; bởi công việc&gt; sub-row&gt; Aura Dunbine</v>
      </c>
      <c r="G33" t="str">
        <f t="shared" ca="1" si="0"/>
        <v>"2084034424" : "Aura Dunbine",</v>
      </c>
    </row>
    <row r="34" spans="1:7" ht="14.25" customHeight="1">
      <c r="A34" s="2">
        <v>2084034429</v>
      </c>
      <c r="B34" s="2" t="s">
        <v>309</v>
      </c>
      <c r="C34" s="2" t="s">
        <v>313</v>
      </c>
      <c r="D34" s="2" t="s">
        <v>316</v>
      </c>
      <c r="E34" s="4" t="str">
        <f ca="1">IFERROR(__xludf.DUMMYFUNCTION("GOOGLETRANSLATE(B34,""ja"",""vi"")"),"Little Red Riding Hood Chacha")</f>
        <v>Little Red Riding Hood Chacha</v>
      </c>
      <c r="F34" s="4" t="str">
        <f ca="1">IFERROR(__xludf.DUMMYFUNCTION("GOOGLETRANSLATE(C34,""ja"",""vi"")"),"Đấu giá&gt; truyện tranh, phim hoạt hình hàng hóa&gt; bởi công việc&gt; sub-row&gt; Little Red Riding Hood Chacha")</f>
        <v>Đấu giá&gt; truyện tranh, phim hoạt hình hàng hóa&gt; bởi công việc&gt; sub-row&gt; Little Red Riding Hood Chacha</v>
      </c>
      <c r="G34" t="str">
        <f t="shared" ca="1" si="0"/>
        <v>"2084034429" : "Little Red Riding Hood Chacha",</v>
      </c>
    </row>
    <row r="35" spans="1:7" ht="14.25" customHeight="1">
      <c r="A35" s="2">
        <v>2084034428</v>
      </c>
      <c r="B35" s="2" t="s">
        <v>321</v>
      </c>
      <c r="C35" s="2" t="s">
        <v>324</v>
      </c>
      <c r="D35" s="2" t="s">
        <v>328</v>
      </c>
      <c r="E35" s="4" t="str">
        <f ca="1">IFERROR(__xludf.DUMMYFUNCTION("GOOGLETRANSLATE(B35,""ja"",""vi"")"),"Anne of Green Gables")</f>
        <v>Anne of Green Gables</v>
      </c>
      <c r="F35" s="4" t="str">
        <f ca="1">IFERROR(__xludf.DUMMYFUNCTION("GOOGLETRANSLATE(C35,""ja"",""vi"")"),"Đấu giá&gt; truyện tranh, phim hoạt hình hàng hóa&gt; bởi công việc&gt; sub-row&gt; Anne of Green Gables")</f>
        <v>Đấu giá&gt; truyện tranh, phim hoạt hình hàng hóa&gt; bởi công việc&gt; sub-row&gt; Anne of Green Gables</v>
      </c>
      <c r="G35" t="str">
        <f t="shared" ca="1" si="0"/>
        <v>"2084034428" : "Anne of Green Gables",</v>
      </c>
    </row>
    <row r="36" spans="1:7" ht="14.25" customHeight="1">
      <c r="A36" s="2">
        <v>2084034426</v>
      </c>
      <c r="B36" s="2" t="s">
        <v>333</v>
      </c>
      <c r="C36" s="2" t="s">
        <v>337</v>
      </c>
      <c r="D36" s="2" t="s">
        <v>338</v>
      </c>
      <c r="E36" s="4" t="str">
        <f ca="1">IFERROR(__xludf.DUMMYFUNCTION("GOOGLETRANSLATE(B36,""ja"",""vi"")"),"Aoki Ryusei SPT Layzner")</f>
        <v>Aoki Ryusei SPT Layzner</v>
      </c>
      <c r="F36" s="4" t="str">
        <f ca="1">IFERROR(__xludf.DUMMYFUNCTION("GOOGLETRANSLATE(C36,""ja"",""vi"")"),"Đấu giá&gt; truyện tranh, phim hoạt hình hàng hóa&gt; bởi công việc&gt; sub-row&gt; Xanh Comet SPT Layzner")</f>
        <v>Đấu giá&gt; truyện tranh, phim hoạt hình hàng hóa&gt; bởi công việc&gt; sub-row&gt; Xanh Comet SPT Layzner</v>
      </c>
      <c r="G36" t="str">
        <f t="shared" ca="1" si="0"/>
        <v>"2084034426" : "Aoki Ryusei SPT Layzner",</v>
      </c>
    </row>
    <row r="37" spans="1:7" ht="14.25" customHeight="1">
      <c r="A37" s="2">
        <v>2084034417</v>
      </c>
      <c r="B37" s="2" t="s">
        <v>344</v>
      </c>
      <c r="C37" s="2" t="s">
        <v>345</v>
      </c>
      <c r="D37" s="2" t="s">
        <v>347</v>
      </c>
      <c r="E37" s="4" t="str">
        <f ca="1">IFERROR(__xludf.DUMMYFUNCTION("GOOGLETRANSLATE(B37,""ja"",""vi"")"),"Initial D")</f>
        <v>Initial D</v>
      </c>
      <c r="F37" s="4" t="str">
        <f ca="1">IFERROR(__xludf.DUMMYFUNCTION("GOOGLETRANSLATE(C37,""ja"",""vi"")"),"Đấu giá&gt; truyện tranh, phim hoạt hình hàng hóa&gt; bởi công việc&gt; sub-row&gt; Initial D")</f>
        <v>Đấu giá&gt; truyện tranh, phim hoạt hình hàng hóa&gt; bởi công việc&gt; sub-row&gt; Initial D</v>
      </c>
      <c r="G37" t="str">
        <f t="shared" ca="1" si="0"/>
        <v>"2084034417" : "Initial D",</v>
      </c>
    </row>
    <row r="38" spans="1:7" ht="14.25" customHeight="1">
      <c r="A38" s="2">
        <v>2084309624</v>
      </c>
      <c r="B38" s="2" t="s">
        <v>353</v>
      </c>
      <c r="C38" s="2" t="s">
        <v>354</v>
      </c>
      <c r="D38" s="2" t="s">
        <v>356</v>
      </c>
      <c r="E38" s="4" t="str">
        <f ca="1">IFERROR(__xludf.DUMMYFUNCTION("GOOGLETRANSLATE(B38,""ja"",""vi"")"),"Clannad")</f>
        <v>Clannad</v>
      </c>
      <c r="F38" s="4" t="str">
        <f ca="1">IFERROR(__xludf.DUMMYFUNCTION("GOOGLETRANSLATE(C38,""ja"",""vi"")"),"Đấu giá&gt; truyện tranh, phim hoạt hình hàng hóa&gt; bởi công việc&gt; hoặc hàng&gt; Clannad")</f>
        <v>Đấu giá&gt; truyện tranh, phim hoạt hình hàng hóa&gt; bởi công việc&gt; hoặc hàng&gt; Clannad</v>
      </c>
      <c r="G38" t="str">
        <f t="shared" ca="1" si="0"/>
        <v>"2084309624" : "Clannad",</v>
      </c>
    </row>
    <row r="39" spans="1:7" ht="14.25" customHeight="1">
      <c r="A39" s="2">
        <v>2084034734</v>
      </c>
      <c r="B39" s="2" t="s">
        <v>362</v>
      </c>
      <c r="C39" s="2" t="s">
        <v>364</v>
      </c>
      <c r="D39" s="2" t="s">
        <v>367</v>
      </c>
      <c r="E39" s="4" t="str">
        <f ca="1">IFERROR(__xludf.DUMMYFUNCTION("GOOGLETRANSLATE(B39,""ja"",""vi"")"),"tải thất Orange ★")</f>
        <v>tải thất Orange ★</v>
      </c>
      <c r="F39" s="4" t="str">
        <f ca="1">IFERROR(__xludf.DUMMYFUNCTION("GOOGLETRANSLATE(C39,""ja"",""vi"")"),"Đấu giá&gt; truyện tranh, phim hoạt hình hàng hóa&gt; bởi công việc&gt; hoặc hàng&gt; thất Orange ★ tải")</f>
        <v>Đấu giá&gt; truyện tranh, phim hoạt hình hàng hóa&gt; bởi công việc&gt; hoặc hàng&gt; thất Orange ★ tải</v>
      </c>
      <c r="G39" t="str">
        <f t="shared" ca="1" si="0"/>
        <v>"2084034734" : "tải thất Orange ★",</v>
      </c>
    </row>
    <row r="40" spans="1:7" ht="14.25" customHeight="1">
      <c r="A40" s="2">
        <v>2084286824</v>
      </c>
      <c r="B40" s="2" t="s">
        <v>372</v>
      </c>
      <c r="C40" s="2" t="s">
        <v>375</v>
      </c>
      <c r="D40" s="2" t="s">
        <v>378</v>
      </c>
      <c r="E40" s="4" t="str">
        <f ca="1">IFERROR(__xludf.DUMMYFUNCTION("GOOGLETRANSLATE(B40,""ja"",""vi"")"),"K-ON!")</f>
        <v>K-ON!</v>
      </c>
      <c r="F40" s="4" t="str">
        <f ca="1">IFERROR(__xludf.DUMMYFUNCTION("GOOGLETRANSLATE(C40,""ja"",""vi"")"),"Đấu giá&gt; truyện tranh, phim hoạt hình hàng hóa&gt; bởi công việc&gt; hoặc hàng&gt; K-ON!")</f>
        <v>Đấu giá&gt; truyện tranh, phim hoạt hình hàng hóa&gt; bởi công việc&gt; hoặc hàng&gt; K-ON!</v>
      </c>
      <c r="G40" t="str">
        <f t="shared" ca="1" si="0"/>
        <v>"2084286824" : "K-ON!",</v>
      </c>
    </row>
    <row r="41" spans="1:7" ht="14.25" customHeight="1">
      <c r="A41" s="2">
        <v>2084034755</v>
      </c>
      <c r="B41" s="2" t="s">
        <v>382</v>
      </c>
      <c r="C41" s="2" t="s">
        <v>386</v>
      </c>
      <c r="D41" s="2" t="s">
        <v>388</v>
      </c>
      <c r="E41" s="4" t="str">
        <f ca="1">IFERROR(__xludf.DUMMYFUNCTION("GOOGLETRANSLATE(B41,""ja"",""vi"")"),"Dưới đây công viên Katsushika Kameari trước khi cảnh sát")</f>
        <v>Dưới đây công viên Katsushika Kameari trước khi cảnh sát</v>
      </c>
      <c r="F41" s="4" t="str">
        <f ca="1">IFERROR(__xludf.DUMMYFUNCTION("GOOGLETRANSLATE(C41,""ja"",""vi"")"),"Đấu giá&gt; truyện tranh, phim hoạt hình hàng hóa&gt; bởi công việc&gt; hoặc hàng&gt; đây Katsushika Kameari công viên trước khi cảnh sát")</f>
        <v>Đấu giá&gt; truyện tranh, phim hoạt hình hàng hóa&gt; bởi công việc&gt; hoặc hàng&gt; đây Katsushika Kameari công viên trước khi cảnh sát</v>
      </c>
      <c r="G41" t="str">
        <f t="shared" ca="1" si="0"/>
        <v>"2084034755" : "Dưới đây công viên Katsushika Kameari trước khi cảnh sát",</v>
      </c>
    </row>
    <row r="42" spans="1:7" ht="14.25" customHeight="1">
      <c r="A42" s="2">
        <v>2084006269</v>
      </c>
      <c r="B42" s="2" t="s">
        <v>393</v>
      </c>
      <c r="C42" s="2" t="s">
        <v>395</v>
      </c>
      <c r="D42" s="2" t="s">
        <v>397</v>
      </c>
      <c r="E42" s="4" t="str">
        <f ca="1">IFERROR(__xludf.DUMMYFUNCTION("GOOGLETRANSLATE(B42,""ja"",""vi"")"),"Cardcaptor Sakura")</f>
        <v>Cardcaptor Sakura</v>
      </c>
      <c r="F42" s="4" t="str">
        <f ca="1">IFERROR(__xludf.DUMMYFUNCTION("GOOGLETRANSLATE(C42,""ja"",""vi"")"),"Đấu giá&gt; truyện tranh, phim hoạt hình hàng hóa&gt; bởi công việc&gt; hoặc hàng&gt; Cardcaptor Sakura")</f>
        <v>Đấu giá&gt; truyện tranh, phim hoạt hình hàng hóa&gt; bởi công việc&gt; hoặc hàng&gt; Cardcaptor Sakura</v>
      </c>
      <c r="G42" t="str">
        <f t="shared" ca="1" si="0"/>
        <v>"2084006269" : "Cardcaptor Sakura",</v>
      </c>
    </row>
    <row r="43" spans="1:7" ht="14.25" customHeight="1">
      <c r="A43" s="2">
        <v>2084034722</v>
      </c>
      <c r="B43" s="2" t="s">
        <v>403</v>
      </c>
      <c r="C43" s="2" t="s">
        <v>405</v>
      </c>
      <c r="D43" s="2" t="s">
        <v>408</v>
      </c>
      <c r="E43" s="4" t="str">
        <f ca="1">IFERROR(__xludf.DUMMYFUNCTION("GOOGLETRANSLATE(B43,""ja"",""vi"")"),"Cowboy Bebop")</f>
        <v>Cowboy Bebop</v>
      </c>
      <c r="F43" s="4" t="str">
        <f ca="1">IFERROR(__xludf.DUMMYFUNCTION("GOOGLETRANSLATE(C43,""ja"",""vi"")"),"Đấu giá&gt; truyện tranh, phim hoạt hình hàng hóa&gt; bởi công việc&gt; hoặc hàng&gt; Cowboy Bebop")</f>
        <v>Đấu giá&gt; truyện tranh, phim hoạt hình hàng hóa&gt; bởi công việc&gt; hoặc hàng&gt; Cowboy Bebop</v>
      </c>
      <c r="G43" t="str">
        <f t="shared" ca="1" si="0"/>
        <v>"2084034722" : "Cowboy Bebop",</v>
      </c>
    </row>
    <row r="44" spans="1:7" ht="14.25" customHeight="1">
      <c r="A44" s="2">
        <v>2084036027</v>
      </c>
      <c r="B44" s="2" t="s">
        <v>412</v>
      </c>
      <c r="C44" s="2" t="s">
        <v>413</v>
      </c>
      <c r="D44" s="2" t="s">
        <v>415</v>
      </c>
      <c r="E44" s="4" t="str">
        <f ca="1">IFERROR(__xludf.DUMMYFUNCTION("GOOGLETRANSLATE(B44,""ja"",""vi"")"),"Gaogaigar")</f>
        <v>Gaogaigar</v>
      </c>
      <c r="F44" s="4" t="str">
        <f ca="1">IFERROR(__xludf.DUMMYFUNCTION("GOOGLETRANSLATE(C44,""ja"",""vi"")"),"Đấu giá&gt; truyện tranh, phim hoạt hình hàng hóa&gt; bởi công việc&gt; hoặc hàng&gt; Gaogaigar")</f>
        <v>Đấu giá&gt; truyện tranh, phim hoạt hình hàng hóa&gt; bởi công việc&gt; hoặc hàng&gt; Gaogaigar</v>
      </c>
      <c r="G44" t="str">
        <f t="shared" ca="1" si="0"/>
        <v>"2084036027" : "Gaogaigar",</v>
      </c>
    </row>
    <row r="45" spans="1:7" ht="14.25" customHeight="1">
      <c r="A45" s="2">
        <v>2084034724</v>
      </c>
      <c r="B45" s="2" t="s">
        <v>421</v>
      </c>
      <c r="C45" s="2" t="s">
        <v>422</v>
      </c>
      <c r="D45" s="2" t="s">
        <v>424</v>
      </c>
      <c r="E45" s="4" t="str">
        <f ca="1">IFERROR(__xludf.DUMMYFUNCTION("GOOGLETRANSLATE(B45,""ja"",""vi"")"),"Gasaraki")</f>
        <v>Gasaraki</v>
      </c>
      <c r="F45" s="4" t="str">
        <f ca="1">IFERROR(__xludf.DUMMYFUNCTION("GOOGLETRANSLATE(C45,""ja"",""vi"")"),"Đấu giá&gt; truyện tranh, phim hoạt hình hàng hóa&gt; bởi công việc&gt; hoặc hàng&gt; Gasaraki")</f>
        <v>Đấu giá&gt; truyện tranh, phim hoạt hình hàng hóa&gt; bởi công việc&gt; hoặc hàng&gt; Gasaraki</v>
      </c>
      <c r="G45" t="str">
        <f t="shared" ca="1" si="0"/>
        <v>"2084034724" : "Gasaraki",</v>
      </c>
    </row>
    <row r="46" spans="1:7" ht="14.25" customHeight="1">
      <c r="A46" s="2">
        <v>2084034728</v>
      </c>
      <c r="B46" s="2" t="s">
        <v>429</v>
      </c>
      <c r="C46" s="2" t="s">
        <v>431</v>
      </c>
      <c r="D46" s="2" t="s">
        <v>432</v>
      </c>
      <c r="E46" s="4" t="str">
        <f ca="1">IFERROR(__xludf.DUMMYFUNCTION("GOOGLETRANSLATE(B46,""ja"",""vi"")"),"Gall Force")</f>
        <v>Gall Force</v>
      </c>
      <c r="F46" s="4" t="str">
        <f ca="1">IFERROR(__xludf.DUMMYFUNCTION("GOOGLETRANSLATE(C46,""ja"",""vi"")"),"Đấu giá&gt; truyện tranh, phim hoạt hình hàng hóa&gt; bởi công việc&gt; hoặc hàng&gt; Gall Force")</f>
        <v>Đấu giá&gt; truyện tranh, phim hoạt hình hàng hóa&gt; bởi công việc&gt; hoặc hàng&gt; Gall Force</v>
      </c>
      <c r="G46" t="str">
        <f t="shared" ca="1" si="0"/>
        <v>"2084034728" : "Gall Force",</v>
      </c>
    </row>
    <row r="47" spans="1:7" ht="14.25" customHeight="1">
      <c r="A47" s="2">
        <v>2084005073</v>
      </c>
      <c r="B47" s="2" t="s">
        <v>436</v>
      </c>
      <c r="C47" s="2" t="s">
        <v>437</v>
      </c>
      <c r="D47" s="2" t="s">
        <v>439</v>
      </c>
      <c r="E47" s="4" t="str">
        <f ca="1">IFERROR(__xludf.DUMMYFUNCTION("GOOGLETRANSLATE(B47,""ja"",""vi"")"),"Gundam")</f>
        <v>Gundam</v>
      </c>
      <c r="F47" s="4" t="str">
        <f ca="1">IFERROR(__xludf.DUMMYFUNCTION("GOOGLETRANSLATE(C47,""ja"",""vi"")"),"Đấu giá&gt; truyện tranh, phim hoạt hình hàng hóa&gt; bởi công việc&gt; hoặc hàng&gt; Gundam")</f>
        <v>Đấu giá&gt; truyện tranh, phim hoạt hình hàng hóa&gt; bởi công việc&gt; hoặc hàng&gt; Gundam</v>
      </c>
      <c r="G47" t="str">
        <f t="shared" ca="1" si="0"/>
        <v>"2084005073" : "Gundam",</v>
      </c>
    </row>
    <row r="48" spans="1:7" ht="14.25" customHeight="1">
      <c r="A48" s="2">
        <v>2084034735</v>
      </c>
      <c r="B48" s="2" t="s">
        <v>445</v>
      </c>
      <c r="C48" s="2" t="s">
        <v>446</v>
      </c>
      <c r="D48" s="2" t="s">
        <v>448</v>
      </c>
      <c r="E48" s="4" t="str">
        <f ca="1">IFERROR(__xludf.DUMMYFUNCTION("GOOGLETRANSLATE(B48,""ja"",""vi"")"),"Captain Harlock")</f>
        <v>Captain Harlock</v>
      </c>
      <c r="F48" s="4" t="str">
        <f ca="1">IFERROR(__xludf.DUMMYFUNCTION("GOOGLETRANSLATE(C48,""ja"",""vi"")"),"Đấu giá&gt; truyện tranh, phim hoạt hình hàng hóa&gt; bởi công việc&gt; hoặc hàng&gt; Captain Harlock")</f>
        <v>Đấu giá&gt; truyện tranh, phim hoạt hình hàng hóa&gt; bởi công việc&gt; hoặc hàng&gt; Captain Harlock</v>
      </c>
      <c r="G48" t="str">
        <f t="shared" ca="1" si="0"/>
        <v>"2084034735" : "Captain Harlock",</v>
      </c>
    </row>
    <row r="49" spans="1:7" ht="14.25" customHeight="1">
      <c r="A49" s="2">
        <v>2084034736</v>
      </c>
      <c r="B49" s="2" t="s">
        <v>458</v>
      </c>
      <c r="C49" s="2" t="s">
        <v>460</v>
      </c>
      <c r="D49" s="2" t="s">
        <v>462</v>
      </c>
      <c r="E49" s="4" t="str">
        <f ca="1">IFERROR(__xludf.DUMMYFUNCTION("GOOGLETRANSLATE(B49,""ja"",""vi"")"),"Captain Tsubasa")</f>
        <v>Captain Tsubasa</v>
      </c>
      <c r="F49" s="4" t="str">
        <f ca="1">IFERROR(__xludf.DUMMYFUNCTION("GOOGLETRANSLATE(C49,""ja"",""vi"")"),"Đấu giá&gt; truyện tranh, phim hoạt hình hàng hóa&gt; bởi công việc&gt; hoặc hàng&gt; Captain Tsubasa")</f>
        <v>Đấu giá&gt; truyện tranh, phim hoạt hình hàng hóa&gt; bởi công việc&gt; hoặc hàng&gt; Captain Tsubasa</v>
      </c>
      <c r="G49" t="str">
        <f t="shared" ca="1" si="0"/>
        <v>"2084034736" : "Captain Tsubasa",</v>
      </c>
    </row>
    <row r="50" spans="1:7" ht="14.25" customHeight="1">
      <c r="A50" s="2">
        <v>2084044213</v>
      </c>
      <c r="B50" s="2" t="s">
        <v>469</v>
      </c>
      <c r="C50" s="2" t="s">
        <v>473</v>
      </c>
      <c r="D50" s="2" t="s">
        <v>475</v>
      </c>
      <c r="E50" s="4" t="str">
        <f ca="1">IFERROR(__xludf.DUMMYFUNCTION("GOOGLETRANSLATE(B50,""ja"",""vi"")"),"kẹo kẹo")</f>
        <v>kẹo kẹo</v>
      </c>
      <c r="F50" s="4" t="str">
        <f ca="1">IFERROR(__xludf.DUMMYFUNCTION("GOOGLETRANSLATE(C50,""ja"",""vi"")"),"Đấu giá&gt; truyện tranh, phim hoạt hình hàng hóa&gt; bởi công việc&gt; hoặc hàng&gt; Kẹo Kẹo")</f>
        <v>Đấu giá&gt; truyện tranh, phim hoạt hình hàng hóa&gt; bởi công việc&gt; hoặc hàng&gt; Kẹo Kẹo</v>
      </c>
      <c r="G50" t="str">
        <f t="shared" ca="1" si="0"/>
        <v>"2084044213" : "kẹo kẹo",</v>
      </c>
    </row>
    <row r="51" spans="1:7" ht="14.25" customHeight="1">
      <c r="A51" s="2">
        <v>2084034739</v>
      </c>
      <c r="B51" s="2" t="s">
        <v>482</v>
      </c>
      <c r="C51" s="2" t="s">
        <v>484</v>
      </c>
      <c r="D51" s="2" t="s">
        <v>486</v>
      </c>
      <c r="E51" s="4" t="str">
        <f ca="1">IFERROR(__xludf.DUMMYFUNCTION("GOOGLETRANSLATE(B51,""ja"",""vi"")"),"Cutie Honey")</f>
        <v>Cutie Honey</v>
      </c>
      <c r="F51" s="4" t="str">
        <f ca="1">IFERROR(__xludf.DUMMYFUNCTION("GOOGLETRANSLATE(C51,""ja"",""vi"")"),"Đấu giá&gt; truyện tranh, phim hoạt hình hàng hóa&gt; bởi công việc&gt; hoặc hàng&gt; Cutie Honey")</f>
        <v>Đấu giá&gt; truyện tranh, phim hoạt hình hàng hóa&gt; bởi công việc&gt; hoặc hàng&gt; Cutie Honey</v>
      </c>
      <c r="G51" t="str">
        <f t="shared" ca="1" si="0"/>
        <v>"2084034739" : "Cutie Honey",</v>
      </c>
    </row>
    <row r="52" spans="1:7" ht="14.25" customHeight="1">
      <c r="A52" s="2">
        <v>2084034745</v>
      </c>
      <c r="B52" s="2" t="s">
        <v>489</v>
      </c>
      <c r="C52" s="2" t="s">
        <v>491</v>
      </c>
      <c r="D52" s="2" t="s">
        <v>492</v>
      </c>
      <c r="E52" s="4" t="str">
        <f ca="1">IFERROR(__xludf.DUMMYFUNCTION("GOOGLETRANSLATE(B52,""ja"",""vi"")"),"Kinnikuman")</f>
        <v>Kinnikuman</v>
      </c>
      <c r="F52" s="4" t="str">
        <f ca="1">IFERROR(__xludf.DUMMYFUNCTION("GOOGLETRANSLATE(C52,""ja"",""vi"")"),"Đấu giá&gt; truyện tranh, phim hoạt hình hàng hóa&gt; bởi công việc&gt; hoặc hàng&gt; Kinnikuman")</f>
        <v>Đấu giá&gt; truyện tranh, phim hoạt hình hàng hóa&gt; bởi công việc&gt; hoặc hàng&gt; Kinnikuman</v>
      </c>
      <c r="G52" t="str">
        <f t="shared" ca="1" si="0"/>
        <v>"2084034745" : "Kinnikuman",</v>
      </c>
    </row>
    <row r="53" spans="1:7" ht="14.25" customHeight="1">
      <c r="A53" s="2">
        <v>2084044303</v>
      </c>
      <c r="B53" s="2" t="s">
        <v>493</v>
      </c>
      <c r="C53" s="2" t="s">
        <v>495</v>
      </c>
      <c r="D53" s="2" t="s">
        <v>496</v>
      </c>
      <c r="E53" s="4" t="str">
        <f ca="1">IFERROR(__xludf.DUMMYFUNCTION("GOOGLETRANSLATE(B53,""ja"",""vi"")"),"Crusher Joe")</f>
        <v>Crusher Joe</v>
      </c>
      <c r="F53" s="4" t="str">
        <f ca="1">IFERROR(__xludf.DUMMYFUNCTION("GOOGLETRANSLATE(C53,""ja"",""vi"")"),"Đấu giá&gt; truyện tranh, phim hoạt hình hàng hóa&gt; bởi công việc&gt; hoặc hàng&gt; Crusher Joe")</f>
        <v>Đấu giá&gt; truyện tranh, phim hoạt hình hàng hóa&gt; bởi công việc&gt; hoặc hàng&gt; Crusher Joe</v>
      </c>
      <c r="G53" t="str">
        <f t="shared" ca="1" si="0"/>
        <v>"2084044303" : "Crusher Joe",</v>
      </c>
    </row>
    <row r="54" spans="1:7" ht="14.25" customHeight="1">
      <c r="A54" s="2">
        <v>2084035911</v>
      </c>
      <c r="B54" s="2" t="s">
        <v>498</v>
      </c>
      <c r="C54" s="2" t="s">
        <v>499</v>
      </c>
      <c r="D54" s="2" t="s">
        <v>500</v>
      </c>
      <c r="E54" s="4" t="str">
        <f ca="1">IFERROR(__xludf.DUMMYFUNCTION("GOOGLETRANSLATE(B54,""ja"",""vi"")"),"kem Mami")</f>
        <v>kem Mami</v>
      </c>
      <c r="F54" s="4" t="str">
        <f ca="1">IFERROR(__xludf.DUMMYFUNCTION("GOOGLETRANSLATE(C54,""ja"",""vi"")"),"Đấu giá&gt; truyện tranh, phim hoạt hình hàng hóa&gt; bởi công việc&gt; hoặc hàng&gt; Kem Mami")</f>
        <v>Đấu giá&gt; truyện tranh, phim hoạt hình hàng hóa&gt; bởi công việc&gt; hoặc hàng&gt; Kem Mami</v>
      </c>
      <c r="G54" t="str">
        <f t="shared" ca="1" si="0"/>
        <v>"2084035911" : "kem Mami",</v>
      </c>
    </row>
    <row r="55" spans="1:7" ht="14.25" customHeight="1">
      <c r="A55" s="2">
        <v>2084034747</v>
      </c>
      <c r="B55" s="2" t="s">
        <v>502</v>
      </c>
      <c r="C55" s="2" t="s">
        <v>503</v>
      </c>
      <c r="D55" s="2" t="s">
        <v>505</v>
      </c>
      <c r="E55" s="4" t="str">
        <f ca="1">IFERROR(__xludf.DUMMYFUNCTION("GOOGLETRANSLATE(B55,""ja"",""vi"")"),"Crayon Shin-chan")</f>
        <v>Crayon Shin-chan</v>
      </c>
      <c r="F55" s="4" t="str">
        <f ca="1">IFERROR(__xludf.DUMMYFUNCTION("GOOGLETRANSLATE(C55,""ja"",""vi"")"),"Đấu giá&gt; truyện tranh, phim hoạt hình hàng hóa&gt; bởi công việc&gt; hoặc hàng&gt; Crayon Shin-chan")</f>
        <v>Đấu giá&gt; truyện tranh, phim hoạt hình hàng hóa&gt; bởi công việc&gt; hoặc hàng&gt; Crayon Shin-chan</v>
      </c>
      <c r="G55" t="str">
        <f t="shared" ca="1" si="0"/>
        <v>"2084034747" : "Crayon Shin-chan",</v>
      </c>
    </row>
    <row r="56" spans="1:7" ht="14.25" customHeight="1">
      <c r="A56" s="2">
        <v>2084044159</v>
      </c>
      <c r="B56" s="2" t="s">
        <v>506</v>
      </c>
      <c r="C56" s="2" t="s">
        <v>507</v>
      </c>
      <c r="D56" s="2" t="s">
        <v>509</v>
      </c>
      <c r="E56" s="4" t="str">
        <f ca="1">IFERROR(__xludf.DUMMYFUNCTION("GOOGLETRANSLATE(B56,""ja"",""vi"")"),"Baki")</f>
        <v>Baki</v>
      </c>
      <c r="F56" s="4" t="str">
        <f ca="1">IFERROR(__xludf.DUMMYFUNCTION("GOOGLETRANSLATE(C56,""ja"",""vi"")"),"Đấu giá&gt; truyện tranh, phim hoạt hình hàng hóa&gt; bởi công việc&gt; hoặc hàng&gt; Baki")</f>
        <v>Đấu giá&gt; truyện tranh, phim hoạt hình hàng hóa&gt; bởi công việc&gt; hoặc hàng&gt; Baki</v>
      </c>
      <c r="G56" t="str">
        <f t="shared" ca="1" si="0"/>
        <v>"2084044159" : "Baki",</v>
      </c>
    </row>
    <row r="57" spans="1:7" ht="14.25" customHeight="1">
      <c r="A57" s="2">
        <v>2084034748</v>
      </c>
      <c r="B57" s="2" t="s">
        <v>511</v>
      </c>
      <c r="C57" s="2" t="s">
        <v>512</v>
      </c>
      <c r="D57" s="2" t="s">
        <v>514</v>
      </c>
      <c r="E57" s="4" t="str">
        <f ca="1">IFERROR(__xludf.DUMMYFUNCTION("GOOGLETRANSLATE(B57,""ja"",""vi"")"),"Kitaro no Kitaro")</f>
        <v>Kitaro no Kitaro</v>
      </c>
      <c r="F57" s="4" t="str">
        <f ca="1">IFERROR(__xludf.DUMMYFUNCTION("GOOGLETRANSLATE(C57,""ja"",""vi"")"),"Đấu giá&gt; truyện tranh, phim hoạt hình hàng hóa&gt; bởi công việc&gt; hoặc hàng&gt; Gegege no Kitaro")</f>
        <v>Đấu giá&gt; truyện tranh, phim hoạt hình hàng hóa&gt; bởi công việc&gt; hoặc hàng&gt; Gegege no Kitaro</v>
      </c>
      <c r="G57" t="str">
        <f t="shared" ca="1" si="0"/>
        <v>"2084034748" : "Kitaro no Kitaro",</v>
      </c>
    </row>
    <row r="58" spans="1:7" ht="14.25" customHeight="1">
      <c r="A58" s="2">
        <v>2084034749</v>
      </c>
      <c r="B58" s="2" t="s">
        <v>516</v>
      </c>
      <c r="C58" s="2" t="s">
        <v>517</v>
      </c>
      <c r="D58" s="2" t="s">
        <v>518</v>
      </c>
      <c r="E58" s="4" t="str">
        <f ca="1">IFERROR(__xludf.DUMMYFUNCTION("GOOGLETRANSLATE(B58,""ja"",""vi"")"),"getter Robo")</f>
        <v>getter Robo</v>
      </c>
      <c r="F58" s="4" t="str">
        <f ca="1">IFERROR(__xludf.DUMMYFUNCTION("GOOGLETRANSLATE(C58,""ja"",""vi"")"),"Đấu giá&gt; truyện tranh, phim hoạt hình hàng hóa&gt; bởi công việc&gt; hoặc hàng&gt; Getter Robo")</f>
        <v>Đấu giá&gt; truyện tranh, phim hoạt hình hàng hóa&gt; bởi công việc&gt; hoặc hàng&gt; Getter Robo</v>
      </c>
      <c r="G58" t="str">
        <f t="shared" ca="1" si="0"/>
        <v>"2084034749" : "getter Robo",</v>
      </c>
    </row>
    <row r="59" spans="1:7" ht="14.25" customHeight="1">
      <c r="A59" s="2">
        <v>2084309621</v>
      </c>
      <c r="B59" s="2" t="s">
        <v>521</v>
      </c>
      <c r="C59" s="2" t="s">
        <v>522</v>
      </c>
      <c r="D59" s="2" t="s">
        <v>523</v>
      </c>
      <c r="E59" s="4" t="str">
        <f ca="1">IFERROR(__xludf.DUMMYFUNCTION("GOOGLETRANSLATE(B59,""ja"",""vi"")"),"Kokoro Connect")</f>
        <v>Kokoro Connect</v>
      </c>
      <c r="F59" s="4" t="str">
        <f ca="1">IFERROR(__xludf.DUMMYFUNCTION("GOOGLETRANSLATE(C59,""ja"",""vi"")"),"Đấu giá&gt; truyện tranh, phim hoạt hình hàng hóa&gt; bởi công việc&gt; hoặc hàng&gt; Kokoro Connect")</f>
        <v>Đấu giá&gt; truyện tranh, phim hoạt hình hàng hóa&gt; bởi công việc&gt; hoặc hàng&gt; Kokoro Connect</v>
      </c>
      <c r="G59" t="str">
        <f t="shared" ca="1" si="0"/>
        <v>"2084309621" : "Kokoro Connect",</v>
      </c>
    </row>
    <row r="60" spans="1:7" ht="14.25" customHeight="1">
      <c r="A60" s="2">
        <v>2084036119</v>
      </c>
      <c r="B60" s="2" t="s">
        <v>526</v>
      </c>
      <c r="C60" s="2" t="s">
        <v>527</v>
      </c>
      <c r="D60" s="2" t="s">
        <v>529</v>
      </c>
      <c r="E60" s="4" t="str">
        <f ca="1">IFERROR(__xludf.DUMMYFUNCTION("GOOGLETRANSLATE(B60,""ja"",""vi"")"),"Goddomazu")</f>
        <v>Goddomazu</v>
      </c>
      <c r="F60" s="4" t="str">
        <f ca="1">IFERROR(__xludf.DUMMYFUNCTION("GOOGLETRANSLATE(C60,""ja"",""vi"")"),"Đấu giá&gt; truyện tranh, phim hoạt hình hàng hóa&gt; bởi công việc&gt; hoặc hàng&gt; Goddomazu")</f>
        <v>Đấu giá&gt; truyện tranh, phim hoạt hình hàng hóa&gt; bởi công việc&gt; hoặc hàng&gt; Goddomazu</v>
      </c>
      <c r="G60" t="str">
        <f t="shared" ca="1" si="0"/>
        <v>"2084036119" : "Goddomazu",</v>
      </c>
    </row>
    <row r="61" spans="1:7" ht="14.25" customHeight="1">
      <c r="A61" s="2">
        <v>2084034757</v>
      </c>
      <c r="B61" s="2" t="s">
        <v>531</v>
      </c>
      <c r="C61" s="2" t="s">
        <v>532</v>
      </c>
      <c r="D61" s="2" t="s">
        <v>535</v>
      </c>
      <c r="E61" s="4" t="str">
        <f ca="1">IFERROR(__xludf.DUMMYFUNCTION("GOOGLETRANSLATE(B61,""ja"",""vi"")"),"Golgo 13")</f>
        <v>Golgo 13</v>
      </c>
      <c r="F61" s="4" t="str">
        <f ca="1">IFERROR(__xludf.DUMMYFUNCTION("GOOGLETRANSLATE(C61,""ja"",""vi"")"),"Đấu giá&gt; truyện tranh, phim hoạt hình hàng hóa&gt; bởi công việc&gt; hoặc hàng&gt; Golgo 13")</f>
        <v>Đấu giá&gt; truyện tranh, phim hoạt hình hàng hóa&gt; bởi công việc&gt; hoặc hàng&gt; Golgo 13</v>
      </c>
      <c r="G61" t="str">
        <f t="shared" ca="1" si="0"/>
        <v>"2084034757" : "Golgo 13",</v>
      </c>
    </row>
    <row r="62" spans="1:7" ht="14.25" customHeight="1">
      <c r="A62" s="2">
        <v>2084034723</v>
      </c>
      <c r="B62" s="2" t="s">
        <v>536</v>
      </c>
      <c r="C62" s="2" t="s">
        <v>538</v>
      </c>
      <c r="D62" s="2" t="s">
        <v>540</v>
      </c>
      <c r="E62" s="4" t="str">
        <f ca="1">IFERROR(__xludf.DUMMYFUNCTION("GOOGLETRANSLATE(B62,""ja"",""vi"")"),"Gatchaman")</f>
        <v>Gatchaman</v>
      </c>
      <c r="F62" s="4" t="str">
        <f ca="1">IFERROR(__xludf.DUMMYFUNCTION("GOOGLETRANSLATE(C62,""ja"",""vi"")"),"Đấu giá&gt; truyện tranh, phim hoạt hình hàng hóa&gt; bởi công việc&gt; hoặc hàng&gt; Gatchaman")</f>
        <v>Đấu giá&gt; truyện tranh, phim hoạt hình hàng hóa&gt; bởi công việc&gt; hoặc hàng&gt; Gatchaman</v>
      </c>
      <c r="G62" t="str">
        <f t="shared" ca="1" si="0"/>
        <v>"2084034723" : "Gatchaman",</v>
      </c>
    </row>
    <row r="63" spans="1:7" ht="14.25" customHeight="1">
      <c r="A63" s="2">
        <v>2084309619</v>
      </c>
      <c r="B63" s="2" t="s">
        <v>542</v>
      </c>
      <c r="C63" s="2" t="s">
        <v>544</v>
      </c>
      <c r="D63" s="2" t="s">
        <v>545</v>
      </c>
      <c r="E63" s="4" t="str">
        <f ca="1">IFERROR(__xludf.DUMMYFUNCTION("GOOGLETRANSLATE(B63,""ja"",""vi"")"),"Fatal Fury")</f>
        <v>Fatal Fury</v>
      </c>
      <c r="F63" s="4" t="str">
        <f ca="1">IFERROR(__xludf.DUMMYFUNCTION("GOOGLETRANSLATE(C63,""ja"",""vi"")"),"Đấu giá&gt; truyện tranh, phim hoạt hình hàng hóa&gt; bởi công việc&gt; hoặc hàng&gt; Fatal Fury")</f>
        <v>Đấu giá&gt; truyện tranh, phim hoạt hình hàng hóa&gt; bởi công việc&gt; hoặc hàng&gt; Fatal Fury</v>
      </c>
      <c r="G63" t="str">
        <f t="shared" ca="1" si="0"/>
        <v>"2084309619" : "Fatal Fury",</v>
      </c>
    </row>
    <row r="64" spans="1:7" ht="14.25" customHeight="1">
      <c r="A64" s="2">
        <v>2084034721</v>
      </c>
      <c r="B64" s="2" t="s">
        <v>548</v>
      </c>
      <c r="C64" s="2" t="s">
        <v>549</v>
      </c>
      <c r="D64" s="2" t="s">
        <v>550</v>
      </c>
      <c r="E64" s="4" t="str">
        <f ca="1">IFERROR(__xludf.DUMMYFUNCTION("GOOGLETRANSLATE(B64,""ja"",""vi"")"),"Saint Tail")</f>
        <v>Saint Tail</v>
      </c>
      <c r="F64" s="4" t="str">
        <f ca="1">IFERROR(__xludf.DUMMYFUNCTION("GOOGLETRANSLATE(C64,""ja"",""vi"")"),"Đấu giá&gt; truyện tranh, phim hoạt hình hàng hóa&gt; bởi công việc&gt; hoặc hàng&gt; Saint Tail")</f>
        <v>Đấu giá&gt; truyện tranh, phim hoạt hình hàng hóa&gt; bởi công việc&gt; hoặc hàng&gt; Saint Tail</v>
      </c>
      <c r="G64" t="str">
        <f t="shared" ca="1" si="0"/>
        <v>"2084034721" : "Saint Tail",</v>
      </c>
    </row>
    <row r="65" spans="1:7" ht="14.25" customHeight="1">
      <c r="A65" s="2">
        <v>2084034733</v>
      </c>
      <c r="B65" s="2" t="s">
        <v>553</v>
      </c>
      <c r="C65" s="2" t="s">
        <v>555</v>
      </c>
      <c r="D65" s="2" t="s">
        <v>557</v>
      </c>
      <c r="E65" s="4" t="str">
        <f ca="1">IFERROR(__xludf.DUMMYFUNCTION("GOOGLETRANSLATE(B65,""ja"",""vi"")"),"Patlabor")</f>
        <v>Patlabor</v>
      </c>
      <c r="F65" s="4" t="str">
        <f ca="1">IFERROR(__xludf.DUMMYFUNCTION("GOOGLETRANSLATE(C65,""ja"",""vi"")"),"Đấu giá&gt; truyện tranh, phim hoạt hình hàng hóa&gt; bởi công việc&gt; hoặc hàng&gt; Patlabor")</f>
        <v>Đấu giá&gt; truyện tranh, phim hoạt hình hàng hóa&gt; bởi công việc&gt; hoặc hàng&gt; Patlabor</v>
      </c>
      <c r="G65" t="str">
        <f t="shared" ca="1" si="0"/>
        <v>"2084034733" : "Patlabor",</v>
      </c>
    </row>
    <row r="66" spans="1:7" ht="14.25" customHeight="1">
      <c r="A66" s="2">
        <v>2084006278</v>
      </c>
      <c r="B66" s="2" t="s">
        <v>561</v>
      </c>
      <c r="C66" s="2" t="s">
        <v>563</v>
      </c>
      <c r="D66" s="2" t="s">
        <v>565</v>
      </c>
      <c r="E66" s="4" t="str">
        <f ca="1">IFERROR(__xludf.DUMMYFUNCTION("GOOGLETRANSLATE(B66,""ja"",""vi"")"),"Nadesico")</f>
        <v>Nadesico</v>
      </c>
      <c r="F66" s="4" t="str">
        <f ca="1">IFERROR(__xludf.DUMMYFUNCTION("GOOGLETRANSLATE(C66,""ja"",""vi"")"),"Đấu giá&gt; truyện tranh, phim hoạt hình hàng hóa&gt; bởi công việc&gt; hoặc hàng&gt; Nadesico")</f>
        <v>Đấu giá&gt; truyện tranh, phim hoạt hình hàng hóa&gt; bởi công việc&gt; hoặc hàng&gt; Nadesico</v>
      </c>
      <c r="G66" t="str">
        <f t="shared" ca="1" si="0"/>
        <v>"2084006278" : "Nadesico",</v>
      </c>
    </row>
    <row r="67" spans="1:7" ht="14.25" customHeight="1">
      <c r="A67" s="2">
        <v>2084034738</v>
      </c>
      <c r="B67" s="2" t="s">
        <v>569</v>
      </c>
      <c r="C67" s="2" t="s">
        <v>571</v>
      </c>
      <c r="D67" s="2" t="s">
        <v>573</v>
      </c>
      <c r="E67" s="4" t="str">
        <f ca="1">IFERROR(__xludf.DUMMYFUNCTION("GOOGLETRANSLATE(B67,""ja"",""vi"")"),"Vampire Princess Miyu")</f>
        <v>Vampire Princess Miyu</v>
      </c>
      <c r="F67" s="4" t="str">
        <f ca="1">IFERROR(__xludf.DUMMYFUNCTION("GOOGLETRANSLATE(C67,""ja"",""vi"")"),"Đấu giá&gt; truyện tranh, phim hoạt hình hàng hóa&gt; bởi công việc&gt; hoặc hàng&gt; Vampire Princess Miyu")</f>
        <v>Đấu giá&gt; truyện tranh, phim hoạt hình hàng hóa&gt; bởi công việc&gt; hoặc hàng&gt; Vampire Princess Miyu</v>
      </c>
      <c r="G67" t="str">
        <f t="shared" ref="G67:G130" ca="1" si="1">CONCATENATE(CHAR(34)&amp;"",A67,""&amp;CHAR(34)," : ", CHAR(34)&amp;"",E67,""&amp;CHAR(34),",")</f>
        <v>"2084034738" : "Vampire Princess Miyu",</v>
      </c>
    </row>
    <row r="68" spans="1:7" ht="14.25" customHeight="1">
      <c r="A68" s="2">
        <v>2084034741</v>
      </c>
      <c r="B68" s="2" t="s">
        <v>577</v>
      </c>
      <c r="C68" s="2" t="s">
        <v>579</v>
      </c>
      <c r="D68" s="2" t="s">
        <v>581</v>
      </c>
      <c r="E68" s="4" t="str">
        <f ca="1">IFERROR(__xludf.DUMMYFUNCTION("GOOGLETRANSLATE(B68,""ja"",""vi"")"),"Star of the Giants")</f>
        <v>Star of the Giants</v>
      </c>
      <c r="F68" s="4" t="str">
        <f ca="1">IFERROR(__xludf.DUMMYFUNCTION("GOOGLETRANSLATE(C68,""ja"",""vi"")"),"Đấu giá&gt; truyện tranh, phim hoạt hình hàng hóa&gt; bởi công việc&gt; hoặc hàng&gt; Star of the Giants")</f>
        <v>Đấu giá&gt; truyện tranh, phim hoạt hình hàng hóa&gt; bởi công việc&gt; hoặc hàng&gt; Star of the Giants</v>
      </c>
      <c r="G68" t="str">
        <f t="shared" ca="1" si="1"/>
        <v>"2084034741" : "Star of the Giants",</v>
      </c>
    </row>
    <row r="69" spans="1:7" ht="14.25" customHeight="1">
      <c r="A69" s="2">
        <v>2084034744</v>
      </c>
      <c r="B69" s="2" t="s">
        <v>584</v>
      </c>
      <c r="C69" s="2" t="s">
        <v>586</v>
      </c>
      <c r="D69" s="2" t="s">
        <v>588</v>
      </c>
      <c r="E69" s="4" t="str">
        <f ca="1">IFERROR(__xludf.DUMMYFUNCTION("GOOGLETRANSLATE(B69,""ja"",""vi"")"),"Kindaichi Case Files boy")</f>
        <v>Kindaichi Case Files boy</v>
      </c>
      <c r="F69" s="4" t="str">
        <f ca="1">IFERROR(__xludf.DUMMYFUNCTION("GOOGLETRANSLATE(C69,""ja"",""vi"")"),"Đấu giá&gt; truyện tranh, phim hoạt hình hàng hóa&gt; bởi công việc&gt; hoặc hàng&gt; Case Files Kindaichi boy")</f>
        <v>Đấu giá&gt; truyện tranh, phim hoạt hình hàng hóa&gt; bởi công việc&gt; hoặc hàng&gt; Case Files Kindaichi boy</v>
      </c>
      <c r="G69" t="str">
        <f t="shared" ca="1" si="1"/>
        <v>"2084034744" : "Kindaichi Case Files boy",</v>
      </c>
    </row>
    <row r="70" spans="1:7" ht="14.25" customHeight="1">
      <c r="A70" s="2">
        <v>2084044293</v>
      </c>
      <c r="B70" s="2" t="s">
        <v>591</v>
      </c>
      <c r="C70" s="2" t="s">
        <v>593</v>
      </c>
      <c r="D70" s="2" t="s">
        <v>596</v>
      </c>
      <c r="E70" s="4" t="str">
        <f ca="1">IFERROR(__xludf.DUMMYFUNCTION("GOOGLETRANSLATE(B70,""ja"",""vi"")"),"Legend of Heroes Galactic")</f>
        <v>Legend of Heroes Galactic</v>
      </c>
      <c r="F70" s="4" t="str">
        <f ca="1">IFERROR(__xludf.DUMMYFUNCTION("GOOGLETRANSLATE(C70,""ja"",""vi"")"),"Đấu giá&gt; truyện tranh, phim hoạt hình hàng hóa&gt; bởi công việc&gt; hoặc hàng&gt; Legend of Heroes Galactic")</f>
        <v>Đấu giá&gt; truyện tranh, phim hoạt hình hàng hóa&gt; bởi công việc&gt; hoặc hàng&gt; Legend of Heroes Galactic</v>
      </c>
      <c r="G70" t="str">
        <f t="shared" ca="1" si="1"/>
        <v>"2084044293" : "Legend of Heroes Galactic",</v>
      </c>
    </row>
    <row r="71" spans="1:7" ht="14.25" customHeight="1">
      <c r="A71" s="2">
        <v>2084034742</v>
      </c>
      <c r="B71" s="2" t="s">
        <v>599</v>
      </c>
      <c r="C71" s="2" t="s">
        <v>601</v>
      </c>
      <c r="D71" s="2" t="s">
        <v>603</v>
      </c>
      <c r="E71" s="4" t="str">
        <f ca="1">IFERROR(__xludf.DUMMYFUNCTION("GOOGLETRANSLATE(B71,""ja"",""vi"")"),"Galaxy Express 999")</f>
        <v>Galaxy Express 999</v>
      </c>
      <c r="F71" s="4" t="str">
        <f ca="1">IFERROR(__xludf.DUMMYFUNCTION("GOOGLETRANSLATE(C71,""ja"",""vi"")"),"Đấu giá&gt; truyện tranh, phim hoạt hình hàng hóa&gt; bởi công việc&gt; hoặc hàng&gt; Galaxy Express 999")</f>
        <v>Đấu giá&gt; truyện tranh, phim hoạt hình hàng hóa&gt; bởi công việc&gt; hoặc hàng&gt; Galaxy Express 999</v>
      </c>
      <c r="G71" t="str">
        <f t="shared" ca="1" si="1"/>
        <v>"2084034742" : "Galaxy Express 999",</v>
      </c>
    </row>
    <row r="72" spans="1:7" ht="14.25" customHeight="1">
      <c r="A72" s="2">
        <v>2084034743</v>
      </c>
      <c r="B72" s="2" t="s">
        <v>607</v>
      </c>
      <c r="C72" s="2" t="s">
        <v>609</v>
      </c>
      <c r="D72" s="2" t="s">
        <v>611</v>
      </c>
      <c r="E72" s="4" t="str">
        <f ca="1">IFERROR(__xludf.DUMMYFUNCTION("GOOGLETRANSLATE(B72,""ja"",""vi"")"),"Galaxy trôi Vifam")</f>
        <v>Galaxy trôi Vifam</v>
      </c>
      <c r="F72" s="4" t="str">
        <f ca="1">IFERROR(__xludf.DUMMYFUNCTION("GOOGLETRANSLATE(C72,""ja"",""vi"")"),"Đấu giá&gt; truyện tranh, phim hoạt hình hàng hóa&gt; bởi công việc&gt; hoặc hàng&gt; thiên hà trôi Vifam")</f>
        <v>Đấu giá&gt; truyện tranh, phim hoạt hình hàng hóa&gt; bởi công việc&gt; hoặc hàng&gt; thiên hà trôi Vifam</v>
      </c>
      <c r="G72" t="str">
        <f t="shared" ca="1" si="1"/>
        <v>"2084034743" : "Galaxy trôi Vifam",</v>
      </c>
    </row>
    <row r="73" spans="1:7" ht="14.25" customHeight="1">
      <c r="A73" s="2">
        <v>2084309623</v>
      </c>
      <c r="B73" s="2" t="s">
        <v>613</v>
      </c>
      <c r="C73" s="2" t="s">
        <v>616</v>
      </c>
      <c r="D73" s="2" t="s">
        <v>619</v>
      </c>
      <c r="E73" s="4" t="str">
        <f ca="1">IFERROR(__xludf.DUMMYFUNCTION("GOOGLETRANSLATE(B73,""ja"",""vi"")"),"Gintama")</f>
        <v>Gintama</v>
      </c>
      <c r="F73" s="4" t="str">
        <f ca="1">IFERROR(__xludf.DUMMYFUNCTION("GOOGLETRANSLATE(C73,""ja"",""vi"")"),"Đấu giá&gt; truyện tranh, phim hoạt hình hàng hóa&gt; bởi công việc&gt; hoặc hàng&gt; Gintama")</f>
        <v>Đấu giá&gt; truyện tranh, phim hoạt hình hàng hóa&gt; bởi công việc&gt; hoặc hàng&gt; Gintama</v>
      </c>
      <c r="G73" t="str">
        <f t="shared" ca="1" si="1"/>
        <v>"2084309623" : "Gintama",</v>
      </c>
    </row>
    <row r="74" spans="1:7" ht="14.25" customHeight="1">
      <c r="A74" s="2">
        <v>2084006281</v>
      </c>
      <c r="B74" s="2" t="s">
        <v>621</v>
      </c>
      <c r="C74" s="2" t="s">
        <v>622</v>
      </c>
      <c r="D74" s="2" t="s">
        <v>624</v>
      </c>
      <c r="E74" s="4" t="str">
        <f ca="1">IFERROR(__xludf.DUMMYFUNCTION("GOOGLETRANSLATE(B74,""ja"",""vi"")"),"Ảo Madden Saiyuki")</f>
        <v>Ảo Madden Saiyuki</v>
      </c>
      <c r="F74" s="4" t="str">
        <f ca="1">IFERROR(__xludf.DUMMYFUNCTION("GOOGLETRANSLATE(C74,""ja"",""vi"")"),"Đấu giá&gt; truyện tranh, phim hoạt hình hàng hóa&gt; bởi công việc&gt; hoặc hàng&gt; ảo tưởng Madden Saiyuki")</f>
        <v>Đấu giá&gt; truyện tranh, phim hoạt hình hàng hóa&gt; bởi công việc&gt; hoặc hàng&gt; ảo tưởng Madden Saiyuki</v>
      </c>
      <c r="G74" t="str">
        <f t="shared" ca="1" si="1"/>
        <v>"2084006281" : "Ảo Madden Saiyuki",</v>
      </c>
    </row>
    <row r="75" spans="1:7" ht="14.25" customHeight="1">
      <c r="A75" s="2">
        <v>2084034750</v>
      </c>
      <c r="B75" s="2" t="s">
        <v>628</v>
      </c>
      <c r="C75" s="2" t="s">
        <v>629</v>
      </c>
      <c r="D75" s="2" t="s">
        <v>630</v>
      </c>
      <c r="E75" s="4" t="str">
        <f ca="1">IFERROR(__xludf.DUMMYFUNCTION("GOOGLETRANSLATE(B75,""ja"",""vi"")"),"Ghost in the Shell")</f>
        <v>Ghost in the Shell</v>
      </c>
      <c r="F75" s="4" t="str">
        <f ca="1">IFERROR(__xludf.DUMMYFUNCTION("GOOGLETRANSLATE(C75,""ja"",""vi"")"),"Đấu giá&gt; truyện tranh, phim hoạt hình hàng hóa&gt; bởi công việc&gt; hoặc hàng&gt; Ghost in the Shell")</f>
        <v>Đấu giá&gt; truyện tranh, phim hoạt hình hàng hóa&gt; bởi công việc&gt; hoặc hàng&gt; Ghost in the Shell</v>
      </c>
      <c r="G75" t="str">
        <f t="shared" ca="1" si="1"/>
        <v>"2084034750" : "Ghost in the Shell",</v>
      </c>
    </row>
    <row r="76" spans="1:7" ht="14.25" customHeight="1">
      <c r="A76" s="2">
        <v>2084309625</v>
      </c>
      <c r="B76" s="2" t="s">
        <v>632</v>
      </c>
      <c r="C76" s="2" t="s">
        <v>633</v>
      </c>
      <c r="D76" s="2" t="s">
        <v>635</v>
      </c>
      <c r="E76" s="4" t="str">
        <f ca="1">IFERROR(__xludf.DUMMYFUNCTION("GOOGLETRANSLATE(B76,""ja"",""vi"")"),"Kuroko no Basuke")</f>
        <v>Kuroko no Basuke</v>
      </c>
      <c r="F76" s="4" t="str">
        <f ca="1">IFERROR(__xludf.DUMMYFUNCTION("GOOGLETRANSLATE(C76,""ja"",""vi"")"),"Đấu giá&gt; truyện tranh, phim hoạt hình hàng hóa&gt; bởi công việc&gt; hoặc hàng&gt; Kuroko của bóng rổ")</f>
        <v>Đấu giá&gt; truyện tranh, phim hoạt hình hàng hóa&gt; bởi công việc&gt; hoặc hàng&gt; Kuroko của bóng rổ</v>
      </c>
      <c r="G76" t="str">
        <f t="shared" ca="1" si="1"/>
        <v>"2084309625" : "Kuroko no Basuke",</v>
      </c>
    </row>
    <row r="77" spans="1:7" ht="14.25" customHeight="1">
      <c r="A77" s="2">
        <v>2084034725</v>
      </c>
      <c r="B77" s="2" t="s">
        <v>636</v>
      </c>
      <c r="C77" s="2" t="s">
        <v>637</v>
      </c>
      <c r="D77" s="2" t="s">
        <v>638</v>
      </c>
      <c r="E77" s="4" t="str">
        <f ca="1">IFERROR(__xludf.DUMMYFUNCTION("GOOGLETRANSLATE(B77,""ja"",""vi"")"),"Nausicaa of the Valley of the Wind")</f>
        <v>Nausicaa of the Valley of the Wind</v>
      </c>
      <c r="F77" s="4" t="str">
        <f ca="1">IFERROR(__xludf.DUMMYFUNCTION("GOOGLETRANSLATE(C77,""ja"",""vi"")"),"Đấu giá&gt; truyện tranh, phim hoạt hình hàng hóa&gt; bởi công việc&gt; hoặc hàng&gt; Nausicaa of the Valley of the Wind")</f>
        <v>Đấu giá&gt; truyện tranh, phim hoạt hình hàng hóa&gt; bởi công việc&gt; hoặc hàng&gt; Nausicaa of the Valley of the Wind</v>
      </c>
      <c r="G77" t="str">
        <f t="shared" ca="1" si="1"/>
        <v>"2084034725" : "Nausicaa of the Valley of the Wind",</v>
      </c>
    </row>
    <row r="78" spans="1:7" ht="14.25" customHeight="1">
      <c r="A78" s="2">
        <v>2084309620</v>
      </c>
      <c r="B78" s="2" t="s">
        <v>641</v>
      </c>
      <c r="C78" s="2" t="s">
        <v>644</v>
      </c>
      <c r="D78" s="2" t="s">
        <v>645</v>
      </c>
      <c r="E78" s="4" t="str">
        <f ca="1">IFERROR(__xludf.DUMMYFUNCTION("GOOGLETRANSLATE(B78,""ja"",""vi"")"),"Koishoku hôn nhân")</f>
        <v>Koishoku hôn nhân</v>
      </c>
      <c r="F78" s="4" t="str">
        <f ca="1">IFERROR(__xludf.DUMMYFUNCTION("GOOGLETRANSLATE(C78,""ja"",""vi"")"),"Đấu giá&gt; truyện tranh, phim hoạt hình hàng hóa&gt; bởi công việc&gt; hoặc hàng&gt; Koishoku hôn nhân")</f>
        <v>Đấu giá&gt; truyện tranh, phim hoạt hình hàng hóa&gt; bởi công việc&gt; hoặc hàng&gt; Koishoku hôn nhân</v>
      </c>
      <c r="G78" t="str">
        <f t="shared" ca="1" si="1"/>
        <v>"2084309620" : "Koishoku hôn nhân",</v>
      </c>
    </row>
    <row r="79" spans="1:7" ht="14.25" customHeight="1">
      <c r="A79" s="2">
        <v>2084309622</v>
      </c>
      <c r="B79" s="2" t="s">
        <v>648</v>
      </c>
      <c r="C79" s="2" t="s">
        <v>650</v>
      </c>
      <c r="D79" s="2" t="s">
        <v>652</v>
      </c>
      <c r="E79" s="4" t="str">
        <f ca="1">IFERROR(__xludf.DUMMYFUNCTION("GOOGLETRANSLATE(B79,""ja"",""vi"")"),"cà phê tầng lớp quý tộc")</f>
        <v>cà phê tầng lớp quý tộc</v>
      </c>
      <c r="F79" s="4" t="str">
        <f ca="1">IFERROR(__xludf.DUMMYFUNCTION("GOOGLETRANSLATE(C79,""ja"",""vi"")"),"Đấu giá&gt; truyện tranh, phim hoạt hình hàng hóa&gt; bởi công việc&gt; hoặc hàng&gt; cà phê tầng lớp quý tộc")</f>
        <v>Đấu giá&gt; truyện tranh, phim hoạt hình hàng hóa&gt; bởi công việc&gt; hoặc hàng&gt; cà phê tầng lớp quý tộc</v>
      </c>
      <c r="G79" t="str">
        <f t="shared" ca="1" si="1"/>
        <v>"2084309622" : "cà phê tầng lớp quý tộc",</v>
      </c>
    </row>
    <row r="80" spans="1:7" ht="14.25" customHeight="1">
      <c r="A80" s="2">
        <v>2084309631</v>
      </c>
      <c r="B80" s="2" t="s">
        <v>653</v>
      </c>
      <c r="C80" s="2" t="s">
        <v>656</v>
      </c>
      <c r="D80" s="2" t="s">
        <v>659</v>
      </c>
      <c r="E80" s="4" t="str">
        <f ca="1">IFERROR(__xludf.DUMMYFUNCTION("GOOGLETRANSLATE(B80,""ja"",""vi"")"),"siêu Sonico")</f>
        <v>siêu Sonico</v>
      </c>
      <c r="F80" s="4" t="str">
        <f ca="1">IFERROR(__xludf.DUMMYFUNCTION("GOOGLETRANSLATE(C80,""ja"",""vi"")"),"Đấu giá&gt; truyện tranh, phim hoạt hình hàng hóa&gt; bởi công việc&gt; chữ s&gt; Super Sonico")</f>
        <v>Đấu giá&gt; truyện tranh, phim hoạt hình hàng hóa&gt; bởi công việc&gt; chữ s&gt; Super Sonico</v>
      </c>
      <c r="G80" t="str">
        <f t="shared" ca="1" si="1"/>
        <v>"2084309631" : "siêu Sonico",</v>
      </c>
    </row>
    <row r="81" spans="1:7" ht="14.25" customHeight="1">
      <c r="A81" s="2">
        <v>2084035108</v>
      </c>
      <c r="B81" s="2" t="s">
        <v>662</v>
      </c>
      <c r="C81" s="2" t="s">
        <v>664</v>
      </c>
      <c r="D81" s="2" t="s">
        <v>666</v>
      </c>
      <c r="E81" s="4" t="str">
        <f ca="1">IFERROR(__xludf.DUMMYFUNCTION("GOOGLETRANSLATE(B81,""ja"",""vi"")"),"Đi nó! Anpanman")</f>
        <v>Đi nó! Anpanman</v>
      </c>
      <c r="F81" s="4" t="str">
        <f ca="1">IFERROR(__xludf.DUMMYFUNCTION("GOOGLETRANSLATE(C81,""ja"",""vi"")"),"Đấu giá&gt; truyện tranh, phim hoạt hình hàng hóa&gt; bởi công việc&gt; chữ s&gt; nó đi! Anpanman")</f>
        <v>Đấu giá&gt; truyện tranh, phim hoạt hình hàng hóa&gt; bởi công việc&gt; chữ s&gt; nó đi! Anpanman</v>
      </c>
      <c r="G81" t="str">
        <f t="shared" ca="1" si="1"/>
        <v>"2084035108" : "Đi nó! Anpanman",</v>
      </c>
    </row>
    <row r="82" spans="1:7" ht="14.25" customHeight="1">
      <c r="A82" s="2">
        <v>2084035109</v>
      </c>
      <c r="B82" s="2" t="s">
        <v>669</v>
      </c>
      <c r="C82" s="2" t="s">
        <v>673</v>
      </c>
      <c r="D82" s="2" t="s">
        <v>675</v>
      </c>
      <c r="E82" s="4" t="str">
        <f ca="1">IFERROR(__xludf.DUMMYFUNCTION("GOOGLETRANSLATE(B82,""ja"",""vi"")"),"Soreyuke! Space Battleship Yamamoto Yoko")</f>
        <v>Soreyuke! Space Battleship Yamamoto Yoko</v>
      </c>
      <c r="F82" s="4" t="str">
        <f ca="1">IFERROR(__xludf.DUMMYFUNCTION("GOOGLETRANSLATE(C82,""ja"",""vi"")"),"Đấu giá&gt; truyện tranh, phim hoạt hình hàng hóa&gt; bởi công việc&gt; chữ s&gt; Soreyuke! Space Battleship Yamamoto Yoko")</f>
        <v>Đấu giá&gt; truyện tranh, phim hoạt hình hàng hóa&gt; bởi công việc&gt; chữ s&gt; Soreyuke! Space Battleship Yamamoto Yoko</v>
      </c>
      <c r="G82" t="str">
        <f t="shared" ca="1" si="1"/>
        <v>"2084035109" : "Soreyuke! Space Battleship Yamamoto Yoko",</v>
      </c>
    </row>
    <row r="83" spans="1:7" ht="14.25" customHeight="1">
      <c r="A83" s="2">
        <v>2084035110</v>
      </c>
      <c r="B83" s="2" t="s">
        <v>678</v>
      </c>
      <c r="C83" s="2" t="s">
        <v>679</v>
      </c>
      <c r="D83" s="2" t="s">
        <v>680</v>
      </c>
      <c r="E83" s="4" t="str">
        <f ca="1">IFERROR(__xludf.DUMMYFUNCTION("GOOGLETRANSLATE(B83,""ja"",""vi"")"),"Cyborg 009")</f>
        <v>Cyborg 009</v>
      </c>
      <c r="F83" s="4" t="str">
        <f ca="1">IFERROR(__xludf.DUMMYFUNCTION("GOOGLETRANSLATE(C83,""ja"",""vi"")"),"Đấu giá&gt; truyện tranh, phim hoạt hình hàng hóa&gt; bởi công việc&gt; chữ s&gt; Cyborg 009")</f>
        <v>Đấu giá&gt; truyện tranh, phim hoạt hình hàng hóa&gt; bởi công việc&gt; chữ s&gt; Cyborg 009</v>
      </c>
      <c r="G83" t="str">
        <f t="shared" ca="1" si="1"/>
        <v>"2084035110" : "Cyborg 009",</v>
      </c>
    </row>
    <row r="84" spans="1:7" ht="14.25" customHeight="1">
      <c r="A84" s="2">
        <v>2084006297</v>
      </c>
      <c r="B84" s="2" t="s">
        <v>684</v>
      </c>
      <c r="C84" s="2" t="s">
        <v>686</v>
      </c>
      <c r="D84" s="2" t="s">
        <v>687</v>
      </c>
      <c r="E84" s="4" t="str">
        <f ca="1">IFERROR(__xludf.DUMMYFUNCTION("GOOGLETRANSLATE(B84,""ja"",""vi"")"),"Im lặng Mobius")</f>
        <v>Im lặng Mobius</v>
      </c>
      <c r="F84" s="4" t="str">
        <f ca="1">IFERROR(__xludf.DUMMYFUNCTION("GOOGLETRANSLATE(C84,""ja"",""vi"")"),"Đấu giá&gt; truyện tranh, phim hoạt hình hàng hóa&gt; bởi công việc&gt; chữ s&gt; Im lặng Mobius")</f>
        <v>Đấu giá&gt; truyện tranh, phim hoạt hình hàng hóa&gt; bởi công việc&gt; chữ s&gt; Im lặng Mobius</v>
      </c>
      <c r="G84" t="str">
        <f t="shared" ca="1" si="1"/>
        <v>"2084006297" : "Im lặng Mobius",</v>
      </c>
    </row>
    <row r="85" spans="1:7" ht="14.25" customHeight="1">
      <c r="A85" s="2">
        <v>2084035112</v>
      </c>
      <c r="B85" s="2" t="s">
        <v>693</v>
      </c>
      <c r="C85" s="2" t="s">
        <v>694</v>
      </c>
      <c r="D85" s="2" t="s">
        <v>695</v>
      </c>
      <c r="E85" s="4" t="str">
        <f ca="1">IFERROR(__xludf.DUMMYFUNCTION("GOOGLETRANSLATE(B85,""ja"",""vi"")"),"Sazae")</f>
        <v>Sazae</v>
      </c>
      <c r="F85" s="4" t="str">
        <f ca="1">IFERROR(__xludf.DUMMYFUNCTION("GOOGLETRANSLATE(C85,""ja"",""vi"")"),"Đấu giá&gt; truyện tranh, phim hoạt hình hàng hóa&gt; bởi công việc&gt; chữ s&gt; Sazae")</f>
        <v>Đấu giá&gt; truyện tranh, phim hoạt hình hàng hóa&gt; bởi công việc&gt; chữ s&gt; Sazae</v>
      </c>
      <c r="G85" t="str">
        <f t="shared" ca="1" si="1"/>
        <v>"2084035112" : "Sazae",</v>
      </c>
    </row>
    <row r="86" spans="1:7" ht="14.25" customHeight="1">
      <c r="A86" s="2">
        <v>2084036032</v>
      </c>
      <c r="B86" s="2" t="s">
        <v>700</v>
      </c>
      <c r="C86" s="2" t="s">
        <v>702</v>
      </c>
      <c r="D86" s="2" t="s">
        <v>703</v>
      </c>
      <c r="E86" s="4" t="str">
        <f ca="1">IFERROR(__xludf.DUMMYFUNCTION("GOOGLETRANSLATE(B86,""ja"",""vi"")"),"Samurai Trooper")</f>
        <v>Samurai Trooper</v>
      </c>
      <c r="F86" s="4" t="str">
        <f ca="1">IFERROR(__xludf.DUMMYFUNCTION("GOOGLETRANSLATE(C86,""ja"",""vi"")"),"Đấu giá&gt; truyện tranh, phim hoạt hình hàng hóa&gt; bởi công việc&gt; chữ s&gt; Samurai Trooper")</f>
        <v>Đấu giá&gt; truyện tranh, phim hoạt hình hàng hóa&gt; bởi công việc&gt; chữ s&gt; Samurai Trooper</v>
      </c>
      <c r="G86" t="str">
        <f t="shared" ca="1" si="1"/>
        <v>"2084036032" : "Samurai Trooper",</v>
      </c>
    </row>
    <row r="87" spans="1:7" ht="14.25" customHeight="1">
      <c r="A87" s="2">
        <v>2084044171</v>
      </c>
      <c r="B87" s="2" t="s">
        <v>706</v>
      </c>
      <c r="C87" s="2" t="s">
        <v>709</v>
      </c>
      <c r="D87" s="2" t="s">
        <v>710</v>
      </c>
      <c r="E87" s="4" t="str">
        <f ca="1">IFERROR(__xludf.DUMMYFUNCTION("GOOGLETRANSLATE(B87,""ja"",""vi"")"),"chị công chúa")</f>
        <v>chị công chúa</v>
      </c>
      <c r="F87" s="4" t="str">
        <f ca="1">IFERROR(__xludf.DUMMYFUNCTION("GOOGLETRANSLATE(C87,""ja"",""vi"")"),"Đấu giá&gt; truyện tranh, phim hoạt hình hàng hóa&gt; bởi công việc&gt; chữ s&gt; Chị công chúa")</f>
        <v>Đấu giá&gt; truyện tranh, phim hoạt hình hàng hóa&gt; bởi công việc&gt; chữ s&gt; Chị công chúa</v>
      </c>
      <c r="G87" t="str">
        <f t="shared" ca="1" si="1"/>
        <v>"2084044171" : "chị công chúa",</v>
      </c>
    </row>
    <row r="88" spans="1:7" ht="14.25" customHeight="1">
      <c r="A88" s="2">
        <v>2084035089</v>
      </c>
      <c r="B88" s="2" t="s">
        <v>712</v>
      </c>
      <c r="C88" s="2" t="s">
        <v>715</v>
      </c>
      <c r="D88" s="2" t="s">
        <v>717</v>
      </c>
      <c r="E88" s="4" t="str">
        <f ca="1">IFERROR(__xludf.DUMMYFUNCTION("GOOGLETRANSLATE(B88,""ja"",""vi"")"),"Thành phố hunter")</f>
        <v>Thành phố hunter</v>
      </c>
      <c r="F88" s="4" t="str">
        <f ca="1">IFERROR(__xludf.DUMMYFUNCTION("GOOGLETRANSLATE(C88,""ja"",""vi"")"),"Đấu giá&gt; truyện tranh, phim hoạt hình hàng hóa&gt; bởi công việc&gt; chữ s&gt; City Hunter")</f>
        <v>Đấu giá&gt; truyện tranh, phim hoạt hình hàng hóa&gt; bởi công việc&gt; chữ s&gt; City Hunter</v>
      </c>
      <c r="G88" t="str">
        <f t="shared" ca="1" si="1"/>
        <v>"2084035089" : "Thành phố hunter",</v>
      </c>
    </row>
    <row r="89" spans="1:7" ht="14.25" customHeight="1">
      <c r="A89" s="2">
        <v>2084035090</v>
      </c>
      <c r="B89" s="2" t="s">
        <v>720</v>
      </c>
      <c r="C89" s="2" t="s">
        <v>721</v>
      </c>
      <c r="D89" s="2" t="s">
        <v>722</v>
      </c>
      <c r="E89" s="4" t="str">
        <f ca="1">IFERROR(__xludf.DUMMYFUNCTION("GOOGLETRANSLATE(B89,""ja"",""vi"")"),"vua pháp sư")</f>
        <v>vua pháp sư</v>
      </c>
      <c r="F89" s="4" t="str">
        <f ca="1">IFERROR(__xludf.DUMMYFUNCTION("GOOGLETRANSLATE(C89,""ja"",""vi"")"),"Đấu giá&gt; truyện tranh, phim hoạt hình hàng hóa&gt; bởi công việc&gt; chữ s&gt; Shaman King")</f>
        <v>Đấu giá&gt; truyện tranh, phim hoạt hình hàng hóa&gt; bởi công việc&gt; chữ s&gt; Shaman King</v>
      </c>
      <c r="G89" t="str">
        <f t="shared" ca="1" si="1"/>
        <v>"2084035090" : "vua pháp sư",</v>
      </c>
    </row>
    <row r="90" spans="1:7" ht="14.25" customHeight="1">
      <c r="A90" s="2">
        <v>2084035091</v>
      </c>
      <c r="B90" s="2" t="s">
        <v>727</v>
      </c>
      <c r="C90" s="2" t="s">
        <v>728</v>
      </c>
      <c r="D90" s="2" t="s">
        <v>729</v>
      </c>
      <c r="E90" s="4" t="str">
        <f ca="1">IFERROR(__xludf.DUMMYFUNCTION("GOOGLETRANSLATE(B90,""ja"",""vi"")"),"Jungle Emperor Leo")</f>
        <v>Jungle Emperor Leo</v>
      </c>
      <c r="F90" s="4" t="str">
        <f ca="1">IFERROR(__xludf.DUMMYFUNCTION("GOOGLETRANSLATE(C90,""ja"",""vi"")"),"Đấu giá&gt; truyện tranh, phim hoạt hình hàng hóa&gt; bởi công việc&gt; chữ s&gt; Jungle Emperor Leo")</f>
        <v>Đấu giá&gt; truyện tranh, phim hoạt hình hàng hóa&gt; bởi công việc&gt; chữ s&gt; Jungle Emperor Leo</v>
      </c>
      <c r="G90" t="str">
        <f t="shared" ca="1" si="1"/>
        <v>"2084035091" : "Jungle Emperor Leo",</v>
      </c>
    </row>
    <row r="91" spans="1:7" ht="14.25" customHeight="1">
      <c r="A91" s="2">
        <v>2084035096</v>
      </c>
      <c r="B91" s="2" t="s">
        <v>734</v>
      </c>
      <c r="C91" s="2" t="s">
        <v>735</v>
      </c>
      <c r="D91" s="2" t="s">
        <v>737</v>
      </c>
      <c r="E91" s="4" t="str">
        <f ca="1">IFERROR(__xludf.DUMMYFUNCTION("GOOGLETRANSLATE(B91,""ja"",""vi"")"),"Bizarre Adventure JoJo")</f>
        <v>Bizarre Adventure JoJo</v>
      </c>
      <c r="F91" s="4" t="str">
        <f ca="1">IFERROR(__xludf.DUMMYFUNCTION("GOOGLETRANSLATE(C91,""ja"",""vi"")"),"Đấu giá&gt; truyện tranh, phim hoạt hình hàng hóa&gt; bởi công việc&gt; chữ s&gt; Bizarre Adventure JoJo")</f>
        <v>Đấu giá&gt; truyện tranh, phim hoạt hình hàng hóa&gt; bởi công việc&gt; chữ s&gt; Bizarre Adventure JoJo</v>
      </c>
      <c r="G91" t="str">
        <f t="shared" ca="1" si="1"/>
        <v>"2084035096" : "Bizarre Adventure JoJo",</v>
      </c>
    </row>
    <row r="92" spans="1:7" ht="14.25" customHeight="1">
      <c r="A92" s="2">
        <v>2084309628</v>
      </c>
      <c r="B92" s="2" t="s">
        <v>741</v>
      </c>
      <c r="C92" s="2" t="s">
        <v>743</v>
      </c>
      <c r="D92" s="2" t="s">
        <v>745</v>
      </c>
      <c r="E92" s="4" t="str">
        <f ca="1">IFERROR(__xludf.DUMMYFUNCTION("GOOGLETRANSLATE(B92,""ja"",""vi"")"),"Strike Witches")</f>
        <v>Strike Witches</v>
      </c>
      <c r="F92" s="4" t="str">
        <f ca="1">IFERROR(__xludf.DUMMYFUNCTION("GOOGLETRANSLATE(C92,""ja"",""vi"")"),"Đấu giá&gt; truyện tranh, phim hoạt hình hàng hóa&gt; bởi công việc&gt; chữ s&gt; Strike Witches")</f>
        <v>Đấu giá&gt; truyện tranh, phim hoạt hình hàng hóa&gt; bởi công việc&gt; chữ s&gt; Strike Witches</v>
      </c>
      <c r="G92" t="str">
        <f t="shared" ca="1" si="1"/>
        <v>"2084309628" : "Strike Witches",</v>
      </c>
    </row>
    <row r="93" spans="1:7" ht="14.25" customHeight="1">
      <c r="A93" s="2">
        <v>2084007397</v>
      </c>
      <c r="B93" s="2" t="s">
        <v>748</v>
      </c>
      <c r="C93" s="2" t="s">
        <v>749</v>
      </c>
      <c r="D93" s="2" t="s">
        <v>751</v>
      </c>
      <c r="E93" s="4" t="str">
        <f ca="1">IFERROR(__xludf.DUMMYFUNCTION("GOOGLETRANSLATE(B93,""ja"",""vi"")"),"Slam Dunk")</f>
        <v>Slam Dunk</v>
      </c>
      <c r="F93" s="4" t="str">
        <f ca="1">IFERROR(__xludf.DUMMYFUNCTION("GOOGLETRANSLATE(C93,""ja"",""vi"")"),"Đấu giá&gt; truyện tranh, phim hoạt hình hàng hóa&gt; bởi công việc&gt; chữ s&gt; Slam Dunk")</f>
        <v>Đấu giá&gt; truyện tranh, phim hoạt hình hàng hóa&gt; bởi công việc&gt; chữ s&gt; Slam Dunk</v>
      </c>
      <c r="G93" t="str">
        <f t="shared" ca="1" si="1"/>
        <v>"2084007397" : "Slam Dunk",</v>
      </c>
    </row>
    <row r="94" spans="1:7" ht="14.25" customHeight="1">
      <c r="A94" s="2">
        <v>2084006294</v>
      </c>
      <c r="B94" s="2" t="s">
        <v>755</v>
      </c>
      <c r="C94" s="2" t="s">
        <v>756</v>
      </c>
      <c r="D94" s="2" t="s">
        <v>757</v>
      </c>
      <c r="E94" s="4" t="str">
        <f ca="1">IFERROR(__xludf.DUMMYFUNCTION("GOOGLETRANSLATE(B94,""ja"",""vi"")"),"Slayers")</f>
        <v>Slayers</v>
      </c>
      <c r="F94" s="4" t="str">
        <f ca="1">IFERROR(__xludf.DUMMYFUNCTION("GOOGLETRANSLATE(C94,""ja"",""vi"")"),"Đấu giá&gt; truyện tranh, phim hoạt hình hàng hóa&gt; bởi công việc&gt; chữ s&gt; Slayers")</f>
        <v>Đấu giá&gt; truyện tranh, phim hoạt hình hàng hóa&gt; bởi công việc&gt; chữ s&gt; Slayers</v>
      </c>
      <c r="G94" t="str">
        <f t="shared" ca="1" si="1"/>
        <v>"2084006294" : "Slayers",</v>
      </c>
    </row>
    <row r="95" spans="1:7" ht="14.25" customHeight="1">
      <c r="A95" s="2">
        <v>25971</v>
      </c>
      <c r="B95" s="2" t="s">
        <v>762</v>
      </c>
      <c r="C95" s="2" t="s">
        <v>763</v>
      </c>
      <c r="D95" s="2" t="s">
        <v>764</v>
      </c>
      <c r="E95" s="4" t="str">
        <f ca="1">IFERROR(__xludf.DUMMYFUNCTION("GOOGLETRANSLATE(B95,""ja"",""vi"")"),"sailor Moon")</f>
        <v>sailor Moon</v>
      </c>
      <c r="F95" s="4" t="str">
        <f ca="1">IFERROR(__xludf.DUMMYFUNCTION("GOOGLETRANSLATE(C95,""ja"",""vi"")"),"Đấu giá&gt; truyện tranh, phim hoạt hình hàng hóa&gt; bởi công việc&gt; chữ s&gt; Sailor Moon")</f>
        <v>Đấu giá&gt; truyện tranh, phim hoạt hình hàng hóa&gt; bởi công việc&gt; chữ s&gt; Sailor Moon</v>
      </c>
      <c r="G95" t="str">
        <f t="shared" ca="1" si="1"/>
        <v>"25971" : "sailor Moon",</v>
      </c>
    </row>
    <row r="96" spans="1:7" ht="14.25" customHeight="1">
      <c r="A96" s="2">
        <v>2084309630</v>
      </c>
      <c r="B96" s="2" t="s">
        <v>769</v>
      </c>
      <c r="C96" s="2" t="s">
        <v>770</v>
      </c>
      <c r="D96" s="2" t="s">
        <v>772</v>
      </c>
      <c r="E96" s="4" t="str">
        <f ca="1">IFERROR(__xludf.DUMMYFUNCTION("GOOGLETRANSLATE(B96,""ja"",""vi"")"),"Zero no Tsukaima")</f>
        <v>Zero no Tsukaima</v>
      </c>
      <c r="F96" s="4" t="str">
        <f ca="1">IFERROR(__xludf.DUMMYFUNCTION("GOOGLETRANSLATE(C96,""ja"",""vi"")"),"Đấu giá&gt; truyện tranh, phim hoạt hình hàng hóa&gt; bởi công việc&gt; chữ s&gt; Zero no Tsukaima")</f>
        <v>Đấu giá&gt; truyện tranh, phim hoạt hình hàng hóa&gt; bởi công việc&gt; chữ s&gt; Zero no Tsukaima</v>
      </c>
      <c r="G96" t="str">
        <f t="shared" ca="1" si="1"/>
        <v>"2084309630" : "Zero no Tsukaima",</v>
      </c>
    </row>
    <row r="97" spans="1:7" ht="14.25" customHeight="1">
      <c r="A97" s="2">
        <v>2084309626</v>
      </c>
      <c r="B97" s="2" t="s">
        <v>776</v>
      </c>
      <c r="C97" s="2" t="s">
        <v>778</v>
      </c>
      <c r="D97" s="2" t="s">
        <v>780</v>
      </c>
      <c r="E97" s="4" t="str">
        <f ca="1">IFERROR(__xludf.DUMMYFUNCTION("GOOGLETRANSLATE(B97,""ja"",""vi"")"),"Sword Art Online")</f>
        <v>Sword Art Online</v>
      </c>
      <c r="F97" s="4" t="str">
        <f ca="1">IFERROR(__xludf.DUMMYFUNCTION("GOOGLETRANSLATE(C97,""ja"",""vi"")"),"Đấu giá&gt; truyện tranh, phim hoạt hình hàng hóa&gt; bởi công việc&gt; chữ s&gt; Sword Art Online")</f>
        <v>Đấu giá&gt; truyện tranh, phim hoạt hình hàng hóa&gt; bởi công việc&gt; chữ s&gt; Sword Art Online</v>
      </c>
      <c r="G97" t="str">
        <f t="shared" ca="1" si="1"/>
        <v>"2084309626" : "Sword Art Online",</v>
      </c>
    </row>
    <row r="98" spans="1:7" ht="14.25" customHeight="1">
      <c r="A98" s="2">
        <v>2084035092</v>
      </c>
      <c r="B98" s="2" t="s">
        <v>783</v>
      </c>
      <c r="C98" s="2" t="s">
        <v>784</v>
      </c>
      <c r="D98" s="2" t="s">
        <v>785</v>
      </c>
      <c r="E98" s="4" t="str">
        <f ca="1">IFERROR(__xludf.DUMMYFUNCTION("GOOGLETRANSLATE(B98,""ja"",""vi"")"),"Con thú Thiên Chúa Liger")</f>
        <v>Con thú Thiên Chúa Liger</v>
      </c>
      <c r="F98" s="4" t="str">
        <f ca="1">IFERROR(__xludf.DUMMYFUNCTION("GOOGLETRANSLATE(C98,""ja"",""vi"")"),"Đấu giá&gt; truyện tranh, phim hoạt hình hàng hóa&gt; bởi công việc&gt; chữ s&gt; con thú Thiên Chúa Liger")</f>
        <v>Đấu giá&gt; truyện tranh, phim hoạt hình hàng hóa&gt; bởi công việc&gt; chữ s&gt; con thú Thiên Chúa Liger</v>
      </c>
      <c r="G98" t="str">
        <f t="shared" ca="1" si="1"/>
        <v>"2084035092" : "Con thú Thiên Chúa Liger",</v>
      </c>
    </row>
    <row r="99" spans="1:7" ht="14.25" customHeight="1">
      <c r="A99" s="2">
        <v>2084035093</v>
      </c>
      <c r="B99" s="2" t="s">
        <v>789</v>
      </c>
      <c r="C99" s="2" t="s">
        <v>791</v>
      </c>
      <c r="D99" s="2" t="s">
        <v>792</v>
      </c>
      <c r="E99" s="4" t="str">
        <f ca="1">IFERROR(__xludf.DUMMYFUNCTION("GOOGLETRANSLATE(B99,""ja"",""vi"")"),"Heavy Metal L-Gaim")</f>
        <v>Heavy Metal L-Gaim</v>
      </c>
      <c r="F99" s="4" t="str">
        <f ca="1">IFERROR(__xludf.DUMMYFUNCTION("GOOGLETRANSLATE(C99,""ja"",""vi"")"),"Đấu giá&gt; truyện tranh, phim hoạt hình hàng hóa&gt; bởi công việc&gt; chữ s&gt; Heavy Metal L-Gaim")</f>
        <v>Đấu giá&gt; truyện tranh, phim hoạt hình hàng hóa&gt; bởi công việc&gt; chữ s&gt; Heavy Metal L-Gaim</v>
      </c>
      <c r="G99" t="str">
        <f t="shared" ca="1" si="1"/>
        <v>"2084035093" : "Heavy Metal L-Gaim",</v>
      </c>
    </row>
    <row r="100" spans="1:7" ht="14.25" customHeight="1">
      <c r="A100" s="2">
        <v>2084006285</v>
      </c>
      <c r="B100" s="2" t="s">
        <v>796</v>
      </c>
      <c r="C100" s="2" t="s">
        <v>798</v>
      </c>
      <c r="D100" s="2" t="s">
        <v>801</v>
      </c>
      <c r="E100" s="4" t="str">
        <f ca="1">IFERROR(__xludf.DUMMYFUNCTION("GOOGLETRANSLATE(B100,""ja"",""vi"")"),"Revolutionary Cô gái Utena")</f>
        <v>Revolutionary Cô gái Utena</v>
      </c>
      <c r="F100" s="4" t="str">
        <f ca="1">IFERROR(__xludf.DUMMYFUNCTION("GOOGLETRANSLATE(C100,""ja"",""vi"")"),"Đấu giá&gt; truyện tranh, phim hoạt hình hàng hóa&gt; bởi công việc&gt; chữ s&gt; Revolutionary Cô gái Utena")</f>
        <v>Đấu giá&gt; truyện tranh, phim hoạt hình hàng hóa&gt; bởi công việc&gt; chữ s&gt; Revolutionary Cô gái Utena</v>
      </c>
      <c r="G100" t="str">
        <f t="shared" ca="1" si="1"/>
        <v>"2084006285" : "Revolutionary Cô gái Utena",</v>
      </c>
    </row>
    <row r="101" spans="1:7" ht="14.25" customHeight="1">
      <c r="A101" s="2">
        <v>2084035095</v>
      </c>
      <c r="B101" s="2" t="s">
        <v>805</v>
      </c>
      <c r="C101" s="2" t="s">
        <v>807</v>
      </c>
      <c r="D101" s="2" t="s">
        <v>808</v>
      </c>
      <c r="E101" s="4" t="str">
        <f ca="1">IFERROR(__xludf.DUMMYFUNCTION("GOOGLETRANSLATE(B101,""ja"",""vi"")"),"Boy Ashibe")</f>
        <v>Boy Ashibe</v>
      </c>
      <c r="F101" s="4" t="str">
        <f ca="1">IFERROR(__xludf.DUMMYFUNCTION("GOOGLETRANSLATE(C101,""ja"",""vi"")"),"Đấu giá&gt; truyện tranh, phim hoạt hình hàng hóa&gt; bởi công việc&gt; chữ s&gt; boy Ashibe")</f>
        <v>Đấu giá&gt; truyện tranh, phim hoạt hình hàng hóa&gt; bởi công việc&gt; chữ s&gt; boy Ashibe</v>
      </c>
      <c r="G101" t="str">
        <f t="shared" ca="1" si="1"/>
        <v>"2084035095" : "Boy Ashibe",</v>
      </c>
    </row>
    <row r="102" spans="1:7" ht="14.25" customHeight="1">
      <c r="A102" s="2">
        <v>2084309617</v>
      </c>
      <c r="B102" s="2" t="s">
        <v>813</v>
      </c>
      <c r="C102" s="2" t="s">
        <v>814</v>
      </c>
      <c r="D102" s="2" t="s">
        <v>815</v>
      </c>
      <c r="E102" s="4" t="str">
        <f ca="1">IFERROR(__xludf.DUMMYFUNCTION("GOOGLETRANSLATE(B102,""ja"",""vi"")"),"Cuộc xâm lược! con gái Squid")</f>
        <v>Cuộc xâm lược! con gái Squid</v>
      </c>
      <c r="F102" s="4" t="str">
        <f ca="1">IFERROR(__xludf.DUMMYFUNCTION("GOOGLETRANSLATE(C102,""ja"",""vi"")"),"Đấu giá&gt; truyện tranh, phim hoạt hình hàng hóa&gt; bởi công việc&gt; chữ s&gt; xâm lược! con gái Squid")</f>
        <v>Đấu giá&gt; truyện tranh, phim hoạt hình hàng hóa&gt; bởi công việc&gt; chữ s&gt; xâm lược! con gái Squid</v>
      </c>
      <c r="G102" t="str">
        <f t="shared" ca="1" si="1"/>
        <v>"2084309617" : "Cuộc xâm lược! con gái Squid",</v>
      </c>
    </row>
    <row r="103" spans="1:7" ht="14.25" customHeight="1">
      <c r="A103" s="2">
        <v>2084007227</v>
      </c>
      <c r="B103" s="2" t="s">
        <v>820</v>
      </c>
      <c r="C103" s="2" t="s">
        <v>821</v>
      </c>
      <c r="D103" s="2" t="s">
        <v>822</v>
      </c>
      <c r="E103" s="4" t="str">
        <f ca="1">IFERROR(__xludf.DUMMYFUNCTION("GOOGLETRANSLATE(B103,""ja"",""vi"")"),"Tương lai GPX Cyber ​​Formula")</f>
        <v>Tương lai GPX Cyber ​​Formula</v>
      </c>
      <c r="F103" s="4" t="str">
        <f ca="1">IFERROR(__xludf.DUMMYFUNCTION("GOOGLETRANSLATE(C103,""ja"",""vi"")"),"Đấu giá&gt; truyện tranh, phim hoạt hình hàng hóa&gt; bởi công việc&gt; chữ s&gt; Future GPX Cyber ​​Formula")</f>
        <v>Đấu giá&gt; truyện tranh, phim hoạt hình hàng hóa&gt; bởi công việc&gt; chữ s&gt; Future GPX Cyber ​​Formula</v>
      </c>
      <c r="G103" t="str">
        <f t="shared" ca="1" si="1"/>
        <v>"2084007227" : "Tương lai GPX Cyber ​​Formula",</v>
      </c>
    </row>
    <row r="104" spans="1:7" ht="14.25" customHeight="1">
      <c r="A104" s="2">
        <v>2084005072</v>
      </c>
      <c r="B104" s="2" t="s">
        <v>826</v>
      </c>
      <c r="C104" s="2" t="s">
        <v>828</v>
      </c>
      <c r="D104" s="2" t="s">
        <v>829</v>
      </c>
      <c r="E104" s="4" t="str">
        <f ca="1">IFERROR(__xludf.DUMMYFUNCTION("GOOGLETRANSLATE(B104,""ja"",""vi"")"),"Neon Genesis Evangelion")</f>
        <v>Neon Genesis Evangelion</v>
      </c>
      <c r="F104" s="4" t="str">
        <f ca="1">IFERROR(__xludf.DUMMYFUNCTION("GOOGLETRANSLATE(C104,""ja"",""vi"")"),"Đấu giá&gt; truyện tranh, phim hoạt hình hàng hóa&gt; bởi công việc&gt; chữ s&gt; Neon Genesis Evangelion")</f>
        <v>Đấu giá&gt; truyện tranh, phim hoạt hình hàng hóa&gt; bởi công việc&gt; chữ s&gt; Neon Genesis Evangelion</v>
      </c>
      <c r="G104" t="str">
        <f t="shared" ca="1" si="1"/>
        <v>"2084005072" : "Neon Genesis Evangelion",</v>
      </c>
    </row>
    <row r="105" spans="1:7" ht="14.25" customHeight="1">
      <c r="A105" s="2">
        <v>2084035098</v>
      </c>
      <c r="B105" s="2" t="s">
        <v>834</v>
      </c>
      <c r="C105" s="2" t="s">
        <v>835</v>
      </c>
      <c r="D105" s="2" t="s">
        <v>836</v>
      </c>
      <c r="E105" s="4" t="str">
        <f ca="1">IFERROR(__xludf.DUMMYFUNCTION("GOOGLETRANSLATE(B105,""ja"",""vi"")"),"El-Hazard")</f>
        <v>El-Hazard</v>
      </c>
      <c r="F105" s="4" t="str">
        <f ca="1">IFERROR(__xludf.DUMMYFUNCTION("GOOGLETRANSLATE(C105,""ja"",""vi"")"),"Đấu giá&gt; truyện tranh, phim hoạt hình hàng hóa&gt; bởi công việc&gt; chữ s&gt; El-Hazard")</f>
        <v>Đấu giá&gt; truyện tranh, phim hoạt hình hàng hóa&gt; bởi công việc&gt; chữ s&gt; El-Hazard</v>
      </c>
      <c r="G105" t="str">
        <f t="shared" ca="1" si="1"/>
        <v>"2084035098" : "El-Hazard",</v>
      </c>
    </row>
    <row r="106" spans="1:7" ht="14.25" customHeight="1">
      <c r="A106" s="2">
        <v>2084035102</v>
      </c>
      <c r="B106" s="2" t="s">
        <v>842</v>
      </c>
      <c r="C106" s="2" t="s">
        <v>843</v>
      </c>
      <c r="D106" s="2" t="s">
        <v>844</v>
      </c>
      <c r="E106" s="4" t="str">
        <f ca="1">IFERROR(__xludf.DUMMYFUNCTION("GOOGLETRANSLATE(B106,""ja"",""vi"")"),"Saint Seiya")</f>
        <v>Saint Seiya</v>
      </c>
      <c r="F106" s="4" t="str">
        <f ca="1">IFERROR(__xludf.DUMMYFUNCTION("GOOGLETRANSLATE(C106,""ja"",""vi"")"),"Đấu giá&gt; truyện tranh, phim hoạt hình hàng hóa&gt; bởi công việc&gt; chữ s&gt; Saint Seiya")</f>
        <v>Đấu giá&gt; truyện tranh, phim hoạt hình hàng hóa&gt; bởi công việc&gt; chữ s&gt; Saint Seiya</v>
      </c>
      <c r="G106" t="str">
        <f t="shared" ca="1" si="1"/>
        <v>"2084035102" : "Saint Seiya",</v>
      </c>
    </row>
    <row r="107" spans="1:7" ht="14.25" customHeight="1">
      <c r="A107" s="2">
        <v>2084035103</v>
      </c>
      <c r="B107" s="2" t="s">
        <v>847</v>
      </c>
      <c r="C107" s="2" t="s">
        <v>848</v>
      </c>
      <c r="D107" s="2" t="s">
        <v>849</v>
      </c>
      <c r="E107" s="4" t="str">
        <f ca="1">IFERROR(__xludf.DUMMYFUNCTION("GOOGLETRANSLATE(B107,""ja"",""vi"")"),"Vô song Raijin-Oh")</f>
        <v>Vô song Raijin-Oh</v>
      </c>
      <c r="F107" s="4" t="str">
        <f ca="1">IFERROR(__xludf.DUMMYFUNCTION("GOOGLETRANSLATE(C107,""ja"",""vi"")"),"Đấu giá&gt; truyện tranh, phim hoạt hình hàng hóa&gt; bởi công việc&gt; chữ s&gt; vô song Raijin-Oh")</f>
        <v>Đấu giá&gt; truyện tranh, phim hoạt hình hàng hóa&gt; bởi công việc&gt; chữ s&gt; vô song Raijin-Oh</v>
      </c>
      <c r="G107" t="str">
        <f t="shared" ca="1" si="1"/>
        <v>"2084035103" : "Vô song Raijin-Oh",</v>
      </c>
    </row>
    <row r="108" spans="1:7" ht="14.25" customHeight="1">
      <c r="A108" s="2">
        <v>2084309627</v>
      </c>
      <c r="B108" s="2" t="s">
        <v>851</v>
      </c>
      <c r="C108" s="2" t="s">
        <v>853</v>
      </c>
      <c r="D108" s="2" t="s">
        <v>854</v>
      </c>
      <c r="E108" s="4" t="str">
        <f ca="1">IFERROR(__xludf.DUMMYFUNCTION("GOOGLETRANSLATE(B108,""ja"",""vi"")"),"Sengoku Basara")</f>
        <v>Sengoku Basara</v>
      </c>
      <c r="F108" s="4" t="str">
        <f ca="1">IFERROR(__xludf.DUMMYFUNCTION("GOOGLETRANSLATE(C108,""ja"",""vi"")"),"Đấu giá&gt; truyện tranh, phim hoạt hình hàng hóa&gt; bởi công việc&gt; chữ s&gt; Sengoku BASABA")</f>
        <v>Đấu giá&gt; truyện tranh, phim hoạt hình hàng hóa&gt; bởi công việc&gt; chữ s&gt; Sengoku BASABA</v>
      </c>
      <c r="G108" t="str">
        <f t="shared" ca="1" si="1"/>
        <v>"2084309627" : "Sengoku Basara",</v>
      </c>
    </row>
    <row r="109" spans="1:7" ht="14.25" customHeight="1">
      <c r="A109" s="2">
        <v>2084035105</v>
      </c>
      <c r="B109" s="2" t="s">
        <v>855</v>
      </c>
      <c r="C109" s="2" t="s">
        <v>857</v>
      </c>
      <c r="D109" s="2" t="s">
        <v>861</v>
      </c>
      <c r="E109" s="4" t="str">
        <f ca="1">IFERROR(__xludf.DUMMYFUNCTION("GOOGLETRANSLATE(B109,""ja"",""vi"")"),"Xabungle")</f>
        <v>Xabungle</v>
      </c>
      <c r="F109" s="4" t="str">
        <f ca="1">IFERROR(__xludf.DUMMYFUNCTION("GOOGLETRANSLATE(C109,""ja"",""vi"")"),"Đấu giá&gt; truyện tranh, phim hoạt hình hàng hóa&gt; bởi công việc&gt; chữ s&gt; Xabungle")</f>
        <v>Đấu giá&gt; truyện tranh, phim hoạt hình hàng hóa&gt; bởi công việc&gt; chữ s&gt; Xabungle</v>
      </c>
      <c r="G109" t="str">
        <f t="shared" ca="1" si="1"/>
        <v>"2084035105" : "Xabungle",</v>
      </c>
    </row>
    <row r="110" spans="1:7" ht="14.25" customHeight="1">
      <c r="A110" s="2">
        <v>2084035106</v>
      </c>
      <c r="B110" s="2" t="s">
        <v>864</v>
      </c>
      <c r="C110" s="2" t="s">
        <v>867</v>
      </c>
      <c r="D110" s="2" t="s">
        <v>868</v>
      </c>
      <c r="E110" s="4" t="str">
        <f ca="1">IFERROR(__xludf.DUMMYFUNCTION("GOOGLETRANSLATE(B110,""ja"",""vi"")"),"Votoms")</f>
        <v>Votoms</v>
      </c>
      <c r="F110" s="4" t="str">
        <f ca="1">IFERROR(__xludf.DUMMYFUNCTION("GOOGLETRANSLATE(C110,""ja"",""vi"")"),"Đấu giá&gt; truyện tranh, phim hoạt hình hàng hóa&gt; bởi công việc&gt; chữ s&gt; Votoms")</f>
        <v>Đấu giá&gt; truyện tranh, phim hoạt hình hàng hóa&gt; bởi công việc&gt; chữ s&gt; Votoms</v>
      </c>
      <c r="G110" t="str">
        <f t="shared" ca="1" si="1"/>
        <v>"2084035106" : "Votoms",</v>
      </c>
    </row>
    <row r="111" spans="1:7" ht="14.25" customHeight="1">
      <c r="A111" s="2">
        <v>2084309629</v>
      </c>
      <c r="B111" s="2" t="s">
        <v>873</v>
      </c>
      <c r="C111" s="2" t="s">
        <v>874</v>
      </c>
      <c r="D111" s="2" t="s">
        <v>876</v>
      </c>
      <c r="E111" s="4" t="str">
        <f ca="1">IFERROR(__xludf.DUMMYFUNCTION("GOOGLETRANSLATE(B111,""ja"",""vi"")"),"The Melancholy")</f>
        <v>The Melancholy</v>
      </c>
      <c r="F111" s="4" t="str">
        <f ca="1">IFERROR(__xludf.DUMMYFUNCTION("GOOGLETRANSLATE(C111,""ja"",""vi"")"),"Đấu giá&gt; truyện tranh, phim hoạt hình hàng hóa&gt; bởi công việc&gt; chữ s&gt; The Melancholy")</f>
        <v>Đấu giá&gt; truyện tranh, phim hoạt hình hàng hóa&gt; bởi công việc&gt; chữ s&gt; The Melancholy</v>
      </c>
      <c r="G111" t="str">
        <f t="shared" ca="1" si="1"/>
        <v>"2084309629" : "The Melancholy",</v>
      </c>
    </row>
    <row r="112" spans="1:7" ht="14.25" customHeight="1">
      <c r="A112" s="2">
        <v>2084309632</v>
      </c>
      <c r="B112" s="2" t="s">
        <v>880</v>
      </c>
      <c r="C112" s="2" t="s">
        <v>882</v>
      </c>
      <c r="D112" s="2" t="s">
        <v>885</v>
      </c>
      <c r="E112" s="4" t="str">
        <f ca="1">IFERROR(__xludf.DUMMYFUNCTION("GOOGLETRANSLATE(B112,""ja"",""vi"")"),"TIGER &amp; BUNNY")</f>
        <v>TIGER &amp; BUNNY</v>
      </c>
      <c r="F112" s="4" t="str">
        <f ca="1">IFERROR(__xludf.DUMMYFUNCTION("GOOGLETRANSLATE(C112,""ja"",""vi"")"),"Đấu giá&gt; truyện tranh, phim hoạt hình hàng hóa&gt; bởi công việc&gt; Tagyo&gt; TIGER &amp; BUNNY")</f>
        <v>Đấu giá&gt; truyện tranh, phim hoạt hình hàng hóa&gt; bởi công việc&gt; Tagyo&gt; TIGER &amp; BUNNY</v>
      </c>
      <c r="G112" t="str">
        <f t="shared" ca="1" si="1"/>
        <v>"2084309632" : "TIGER &amp; BUNNY",</v>
      </c>
    </row>
    <row r="113" spans="1:7" ht="14.25" customHeight="1">
      <c r="A113" s="2">
        <v>2084309693</v>
      </c>
      <c r="B113" s="2" t="s">
        <v>887</v>
      </c>
      <c r="C113" s="2" t="s">
        <v>888</v>
      </c>
      <c r="D113" s="2" t="s">
        <v>890</v>
      </c>
      <c r="E113" s="4" t="str">
        <f ca="1">IFERROR(__xludf.DUMMYFUNCTION("GOOGLETRANSLATE(B113,""ja"",""vi"")"),"Ru Để TÌNH YÊU")</f>
        <v>Ru Để TÌNH YÊU</v>
      </c>
      <c r="F113" s="4" t="str">
        <f ca="1">IFERROR(__xludf.DUMMYFUNCTION("GOOGLETRANSLATE(C113,""ja"",""vi"")"),"Đấu giá&gt; truyện tranh, Ru Anime&gt; By trình&gt; Tagyo&gt; Để TÌNH YÊU")</f>
        <v>Đấu giá&gt; truyện tranh, Ru Anime&gt; By trình&gt; Tagyo&gt; Để TÌNH YÊU</v>
      </c>
      <c r="G113" t="str">
        <f t="shared" ca="1" si="1"/>
        <v>"2084309693" : "Ru Để TÌNH YÊU",</v>
      </c>
    </row>
    <row r="114" spans="1:7" ht="14.25" customHeight="1">
      <c r="A114" s="2">
        <v>2084035350</v>
      </c>
      <c r="B114" s="2" t="s">
        <v>894</v>
      </c>
      <c r="C114" s="2" t="s">
        <v>896</v>
      </c>
      <c r="D114" s="2" t="s">
        <v>898</v>
      </c>
      <c r="E114" s="4" t="str">
        <f ca="1">IFERROR(__xludf.DUMMYFUNCTION("GOOGLETRANSLATE(B114,""ja"",""vi"")"),"Nhóc Maruko")</f>
        <v>Nhóc Maruko</v>
      </c>
      <c r="F114" s="4" t="str">
        <f ca="1">IFERROR(__xludf.DUMMYFUNCTION("GOOGLETRANSLATE(C114,""ja"",""vi"")"),"Đấu giá&gt; truyện tranh, phim hoạt hình hàng hóa&gt; bởi công việc&gt; Tagyo&gt; Nhóc Maruko")</f>
        <v>Đấu giá&gt; truyện tranh, phim hoạt hình hàng hóa&gt; bởi công việc&gt; Tagyo&gt; Nhóc Maruko</v>
      </c>
      <c r="G114" t="str">
        <f t="shared" ca="1" si="1"/>
        <v>"2084035350" : "Nhóc Maruko",</v>
      </c>
    </row>
    <row r="115" spans="1:7" ht="14.25" customHeight="1">
      <c r="A115" s="2">
        <v>2084035355</v>
      </c>
      <c r="B115" s="2" t="s">
        <v>901</v>
      </c>
      <c r="C115" s="2" t="s">
        <v>903</v>
      </c>
      <c r="D115" s="2" t="s">
        <v>906</v>
      </c>
      <c r="E115" s="4" t="str">
        <f ca="1">IFERROR(__xludf.DUMMYFUNCTION("GOOGLETRANSLATE(B115,""ja"",""vi"")"),"Chobits")</f>
        <v>Chobits</v>
      </c>
      <c r="F115" s="4" t="str">
        <f ca="1">IFERROR(__xludf.DUMMYFUNCTION("GOOGLETRANSLATE(C115,""ja"",""vi"")"),"Đấu giá&gt; truyện tranh, phim hoạt hình hàng hóa&gt; bởi công việc&gt; Tagyo&gt; Chobits")</f>
        <v>Đấu giá&gt; truyện tranh, phim hoạt hình hàng hóa&gt; bởi công việc&gt; Tagyo&gt; Chobits</v>
      </c>
      <c r="G115" t="str">
        <f t="shared" ca="1" si="1"/>
        <v>"2084035355" : "Chobits",</v>
      </c>
    </row>
    <row r="116" spans="1:7" ht="14.25" customHeight="1">
      <c r="A116" s="2">
        <v>2084309692</v>
      </c>
      <c r="B116" s="2" t="s">
        <v>908</v>
      </c>
      <c r="C116" s="2" t="s">
        <v>910</v>
      </c>
      <c r="D116" s="2" t="s">
        <v>913</v>
      </c>
      <c r="E116" s="4" t="str">
        <f ca="1">IFERROR(__xludf.DUMMYFUNCTION("GOOGLETRANSLATE(B116,""ja"",""vi"")"),"Memorial Tokimeki")</f>
        <v>Memorial Tokimeki</v>
      </c>
      <c r="F116" s="4" t="str">
        <f ca="1">IFERROR(__xludf.DUMMYFUNCTION("GOOGLETRANSLATE(C116,""ja"",""vi"")"),"Đấu giá&gt; truyện tranh, phim hoạt hình hàng hóa&gt; bởi công việc&gt; Tagyo&gt; Memorial Tokimeki")</f>
        <v>Đấu giá&gt; truyện tranh, phim hoạt hình hàng hóa&gt; bởi công việc&gt; Tagyo&gt; Memorial Tokimeki</v>
      </c>
      <c r="G116" t="str">
        <f t="shared" ca="1" si="1"/>
        <v>"2084309692" : "Memorial Tokimeki",</v>
      </c>
    </row>
    <row r="117" spans="1:7" ht="14.25" customHeight="1">
      <c r="A117" s="2">
        <v>2084044236</v>
      </c>
      <c r="B117" s="2" t="s">
        <v>915</v>
      </c>
      <c r="C117" s="2" t="s">
        <v>917</v>
      </c>
      <c r="D117" s="2" t="s">
        <v>919</v>
      </c>
      <c r="E117" s="4" t="str">
        <f ca="1">IFERROR(__xludf.DUMMYFUNCTION("GOOGLETRANSLATE(B117,""ja"",""vi"")"),"Hamtaro")</f>
        <v>Hamtaro</v>
      </c>
      <c r="F117" s="4" t="str">
        <f ca="1">IFERROR(__xludf.DUMMYFUNCTION("GOOGLETRANSLATE(C117,""ja"",""vi"")"),"Đấu giá&gt; truyện tranh, phim hoạt hình hàng hóa&gt; bởi công việc&gt; Tagyo&gt; Hamtaro")</f>
        <v>Đấu giá&gt; truyện tranh, phim hoạt hình hàng hóa&gt; bởi công việc&gt; Tagyo&gt; Hamtaro</v>
      </c>
      <c r="G117" t="str">
        <f t="shared" ca="1" si="1"/>
        <v>"2084044236" : "Hamtaro",</v>
      </c>
    </row>
    <row r="118" spans="1:7" ht="14.25" customHeight="1">
      <c r="A118" s="2">
        <v>2084035372</v>
      </c>
      <c r="B118" s="2" t="s">
        <v>922</v>
      </c>
      <c r="C118" s="2" t="s">
        <v>924</v>
      </c>
      <c r="D118" s="2" t="s">
        <v>926</v>
      </c>
      <c r="E118" s="4" t="str">
        <f ca="1">IFERROR(__xludf.DUMMYFUNCTION("GOOGLETRANSLATE(B118,""ja"",""vi"")"),"My Neighbor Totoro")</f>
        <v>My Neighbor Totoro</v>
      </c>
      <c r="F118" s="4" t="str">
        <f ca="1">IFERROR(__xludf.DUMMYFUNCTION("GOOGLETRANSLATE(C118,""ja"",""vi"")"),"Đấu giá&gt; truyện tranh, phim hoạt hình hàng hóa&gt; bởi công việc&gt; Tagyo&gt; My Neighbor Totoro")</f>
        <v>Đấu giá&gt; truyện tranh, phim hoạt hình hàng hóa&gt; bởi công việc&gt; Tagyo&gt; My Neighbor Totoro</v>
      </c>
      <c r="G118" t="str">
        <f t="shared" ca="1" si="1"/>
        <v>"2084035372" : "My Neighbor Totoro",</v>
      </c>
    </row>
    <row r="119" spans="1:7" ht="14.25" customHeight="1">
      <c r="A119" s="2">
        <v>2084035348</v>
      </c>
      <c r="B119" s="2" t="s">
        <v>930</v>
      </c>
      <c r="C119" s="2" t="s">
        <v>932</v>
      </c>
      <c r="D119" s="2" t="s">
        <v>933</v>
      </c>
      <c r="E119" s="4" t="str">
        <f ca="1">IFERROR(__xludf.DUMMYFUNCTION("GOOGLETRANSLATE(B119,""ja"",""vi"")"),"Time Bokan loạt")</f>
        <v>Time Bokan loạt</v>
      </c>
      <c r="F119" s="4" t="str">
        <f ca="1">IFERROR(__xludf.DUMMYFUNCTION("GOOGLETRANSLATE(C119,""ja"",""vi"")"),"Đấu giá&gt; truyện tranh, phim hoạt hình hàng hóa&gt; bởi công việc&gt; Tagyo&gt; Time Bokan loạt")</f>
        <v>Đấu giá&gt; truyện tranh, phim hoạt hình hàng hóa&gt; bởi công việc&gt; Tagyo&gt; Time Bokan loạt</v>
      </c>
      <c r="G119" t="str">
        <f t="shared" ca="1" si="1"/>
        <v>"2084035348" : "Time Bokan loạt",</v>
      </c>
    </row>
    <row r="120" spans="1:7" ht="14.25" customHeight="1">
      <c r="A120" s="2">
        <v>2084044219</v>
      </c>
      <c r="B120" s="2" t="s">
        <v>939</v>
      </c>
      <c r="C120" s="2" t="s">
        <v>940</v>
      </c>
      <c r="D120" s="2" t="s">
        <v>941</v>
      </c>
      <c r="E120" s="4" t="str">
        <f ca="1">IFERROR(__xludf.DUMMYFUNCTION("GOOGLETRANSLATE(B120,""ja"",""vi"")"),"liên lạc")</f>
        <v>liên lạc</v>
      </c>
      <c r="F120" s="4" t="str">
        <f ca="1">IFERROR(__xludf.DUMMYFUNCTION("GOOGLETRANSLATE(C120,""ja"",""vi"")"),"Đấu giá&gt; truyện tranh, phim hoạt hình hàng hóa&gt; bởi công việc&gt; Tagyo&gt; Chạm")</f>
        <v>Đấu giá&gt; truyện tranh, phim hoạt hình hàng hóa&gt; bởi công việc&gt; Tagyo&gt; Chạm</v>
      </c>
      <c r="G120" t="str">
        <f t="shared" ca="1" si="1"/>
        <v>"2084044219" : "liên lạc",</v>
      </c>
    </row>
    <row r="121" spans="1:7" ht="14.25" customHeight="1">
      <c r="A121" s="2">
        <v>2084035345</v>
      </c>
      <c r="B121" s="2" t="s">
        <v>945</v>
      </c>
      <c r="C121" s="2" t="s">
        <v>947</v>
      </c>
      <c r="D121" s="2" t="s">
        <v>949</v>
      </c>
      <c r="E121" s="4" t="str">
        <f ca="1">IFERROR(__xludf.DUMMYFUNCTION("GOOGLETRANSLATE(B121,""ja"",""vi"")"),"bẩn Pair")</f>
        <v>bẩn Pair</v>
      </c>
      <c r="F121" s="4" t="str">
        <f ca="1">IFERROR(__xludf.DUMMYFUNCTION("GOOGLETRANSLATE(C121,""ja"",""vi"")"),"Đấu giá&gt; truyện tranh, phim hoạt hình hàng hóa&gt; bởi công việc&gt; Tagyo&gt; bẩn Pair")</f>
        <v>Đấu giá&gt; truyện tranh, phim hoạt hình hàng hóa&gt; bởi công việc&gt; Tagyo&gt; bẩn Pair</v>
      </c>
      <c r="G121" t="str">
        <f t="shared" ca="1" si="1"/>
        <v>"2084035345" : "bẩn Pair",</v>
      </c>
    </row>
    <row r="122" spans="1:7" ht="14.25" customHeight="1">
      <c r="A122" s="2">
        <v>2084034424</v>
      </c>
      <c r="B122" s="2" t="s">
        <v>952</v>
      </c>
      <c r="C122" s="2" t="s">
        <v>954</v>
      </c>
      <c r="D122" s="2" t="s">
        <v>955</v>
      </c>
      <c r="E122" s="4" t="str">
        <f ca="1">IFERROR(__xludf.DUMMYFUNCTION("GOOGLETRANSLATE(B122,""ja"",""vi"")"),"Dunbine")</f>
        <v>Dunbine</v>
      </c>
      <c r="F122" s="4" t="str">
        <f ca="1">IFERROR(__xludf.DUMMYFUNCTION("GOOGLETRANSLATE(C122,""ja"",""vi"")"),"Đấu giá&gt; truyện tranh, phim hoạt hình hàng hóa&gt; bởi công việc&gt; Tagyo&gt; Dunbine")</f>
        <v>Đấu giá&gt; truyện tranh, phim hoạt hình hàng hóa&gt; bởi công việc&gt; Tagyo&gt; Dunbine</v>
      </c>
      <c r="G122" t="str">
        <f t="shared" ca="1" si="1"/>
        <v>"2084034424" : "Dunbine",</v>
      </c>
    </row>
    <row r="123" spans="1:7" ht="14.25" customHeight="1">
      <c r="A123" s="2">
        <v>2084309634</v>
      </c>
      <c r="B123" s="2" t="s">
        <v>959</v>
      </c>
      <c r="C123" s="2" t="s">
        <v>961</v>
      </c>
      <c r="D123" s="2" t="s">
        <v>963</v>
      </c>
      <c r="E123" s="4" t="str">
        <f ca="1">IFERROR(__xludf.DUMMYFUNCTION("GOOGLETRANSLATE(B123,""ja"",""vi"")"),"Tales")</f>
        <v>Tales</v>
      </c>
      <c r="F123" s="4" t="str">
        <f ca="1">IFERROR(__xludf.DUMMYFUNCTION("GOOGLETRANSLATE(C123,""ja"",""vi"")"),"Đấu giá&gt; truyện tranh, phim hoạt hình hàng hóa&gt; bởi công việc&gt; Tagyo&gt; Tales")</f>
        <v>Đấu giá&gt; truyện tranh, phim hoạt hình hàng hóa&gt; bởi công việc&gt; Tagyo&gt; Tales</v>
      </c>
      <c r="G123" t="str">
        <f t="shared" ca="1" si="1"/>
        <v>"2084309634" : "Tales",</v>
      </c>
    </row>
    <row r="124" spans="1:7" ht="14.25" customHeight="1">
      <c r="A124" s="2">
        <v>2084035358</v>
      </c>
      <c r="B124" s="2" t="s">
        <v>965</v>
      </c>
      <c r="C124" s="2" t="s">
        <v>966</v>
      </c>
      <c r="D124" s="2" t="s">
        <v>970</v>
      </c>
      <c r="E124" s="4" t="str">
        <f ca="1">IFERROR(__xludf.DUMMYFUNCTION("GOOGLETRANSLATE(B124,""ja"",""vi"")"),"Tekkaman")</f>
        <v>Tekkaman</v>
      </c>
      <c r="F124" s="4" t="str">
        <f ca="1">IFERROR(__xludf.DUMMYFUNCTION("GOOGLETRANSLATE(C124,""ja"",""vi"")"),"Đấu giá&gt; truyện tranh, phim hoạt hình hàng hóa&gt; bởi công việc&gt; Tagyo&gt; Tekkaman")</f>
        <v>Đấu giá&gt; truyện tranh, phim hoạt hình hàng hóa&gt; bởi công việc&gt; Tagyo&gt; Tekkaman</v>
      </c>
      <c r="G124" t="str">
        <f t="shared" ca="1" si="1"/>
        <v>"2084035358" : "Tekkaman",</v>
      </c>
    </row>
    <row r="125" spans="1:7" ht="14.25" customHeight="1">
      <c r="A125" s="2">
        <v>2084035361</v>
      </c>
      <c r="B125" s="2" t="s">
        <v>972</v>
      </c>
      <c r="C125" s="2" t="s">
        <v>974</v>
      </c>
      <c r="D125" s="2" t="s">
        <v>977</v>
      </c>
      <c r="E125" s="4" t="str">
        <f ca="1">IFERROR(__xludf.DUMMYFUNCTION("GOOGLETRANSLATE(B125,""ja"",""vi"")"),"The Prince of Tennis")</f>
        <v>The Prince of Tennis</v>
      </c>
      <c r="F125" s="4" t="str">
        <f ca="1">IFERROR(__xludf.DUMMYFUNCTION("GOOGLETRANSLATE(C125,""ja"",""vi"")"),"Đấu giá&gt; truyện tranh, phim hoạt hình hàng hóa&gt; bởi công việc&gt; Tagyo&gt; The Prince of Tennis")</f>
        <v>Đấu giá&gt; truyện tranh, phim hoạt hình hàng hóa&gt; bởi công việc&gt; Tagyo&gt; The Prince of Tennis</v>
      </c>
      <c r="G125" t="str">
        <f t="shared" ca="1" si="1"/>
        <v>"2084035361" : "The Prince of Tennis",</v>
      </c>
    </row>
    <row r="126" spans="1:7" ht="14.25" customHeight="1">
      <c r="A126" s="2">
        <v>2084006303</v>
      </c>
      <c r="B126" s="2" t="s">
        <v>981</v>
      </c>
      <c r="C126" s="2" t="s">
        <v>982</v>
      </c>
      <c r="D126" s="2" t="s">
        <v>983</v>
      </c>
      <c r="E126" s="4" t="str">
        <f ca="1">IFERROR(__xludf.DUMMYFUNCTION("GOOGLETRANSLATE(B126,""ja"",""vi"")"),"Di Gi Charat")</f>
        <v>Di Gi Charat</v>
      </c>
      <c r="F126" s="4" t="str">
        <f ca="1">IFERROR(__xludf.DUMMYFUNCTION("GOOGLETRANSLATE(C126,""ja"",""vi"")"),"Đấu giá&gt; truyện tranh, phim hoạt hình hàng hóa&gt; bởi công việc&gt; Tagyo&gt; Di Gi Charat")</f>
        <v>Đấu giá&gt; truyện tranh, phim hoạt hình hàng hóa&gt; bởi công việc&gt; Tagyo&gt; Di Gi Charat</v>
      </c>
      <c r="G126" t="str">
        <f t="shared" ca="1" si="1"/>
        <v>"2084006303" : "Di Gi Charat",</v>
      </c>
    </row>
    <row r="127" spans="1:7" ht="14.25" customHeight="1">
      <c r="A127" s="2">
        <v>2084035357</v>
      </c>
      <c r="B127" s="2" t="s">
        <v>992</v>
      </c>
      <c r="C127" s="2" t="s">
        <v>993</v>
      </c>
      <c r="D127" s="2" t="s">
        <v>994</v>
      </c>
      <c r="E127" s="4" t="str">
        <f ca="1">IFERROR(__xludf.DUMMYFUNCTION("GOOGLETRANSLATE(B127,""ja"",""vi"")"),"quái vật kỹ thuật số")</f>
        <v>quái vật kỹ thuật số</v>
      </c>
      <c r="F127" s="4" t="str">
        <f ca="1">IFERROR(__xludf.DUMMYFUNCTION("GOOGLETRANSLATE(C127,""ja"",""vi"")"),"Đấu giá&gt; truyện tranh, phim hoạt hình hàng hóa&gt; bởi công việc&gt; Tagyo&gt; Monsters kỹ thuật số")</f>
        <v>Đấu giá&gt; truyện tranh, phim hoạt hình hàng hóa&gt; bởi công việc&gt; Tagyo&gt; Monsters kỹ thuật số</v>
      </c>
      <c r="G127" t="str">
        <f t="shared" ca="1" si="1"/>
        <v>"2084035357" : "quái vật kỹ thuật số",</v>
      </c>
    </row>
    <row r="128" spans="1:7" ht="14.25" customHeight="1">
      <c r="A128" s="2">
        <v>2084063669</v>
      </c>
      <c r="B128" s="2" t="s">
        <v>1000</v>
      </c>
      <c r="C128" s="2" t="s">
        <v>1001</v>
      </c>
      <c r="D128" s="2" t="s">
        <v>1002</v>
      </c>
      <c r="E128" s="4" t="str">
        <f ca="1">IFERROR(__xludf.DUMMYFUNCTION("GOOGLETRANSLATE(B128,""ja"",""vi"")"),"Death Note")</f>
        <v>Death Note</v>
      </c>
      <c r="F128" s="4" t="str">
        <f ca="1">IFERROR(__xludf.DUMMYFUNCTION("GOOGLETRANSLATE(C128,""ja"",""vi"")"),"Đấu giá&gt; truyện tranh, phim hoạt hình hàng hóa&gt; bởi công việc&gt; Tagyo&gt; Death Note")</f>
        <v>Đấu giá&gt; truyện tranh, phim hoạt hình hàng hóa&gt; bởi công việc&gt; Tagyo&gt; Death Note</v>
      </c>
      <c r="G128" t="str">
        <f t="shared" ca="1" si="1"/>
        <v>"2084063669" : "Death Note",</v>
      </c>
    </row>
    <row r="129" spans="1:7" ht="14.25" customHeight="1">
      <c r="A129" s="2">
        <v>2084035362</v>
      </c>
      <c r="B129" s="2" t="s">
        <v>1007</v>
      </c>
      <c r="C129" s="2" t="s">
        <v>1008</v>
      </c>
      <c r="D129" s="2" t="s">
        <v>1010</v>
      </c>
      <c r="E129" s="4" t="str">
        <f ca="1">IFERROR(__xludf.DUMMYFUNCTION("GOOGLETRANSLATE(B129,""ja"",""vi"")"),"devilman")</f>
        <v>devilman</v>
      </c>
      <c r="F129" s="4" t="str">
        <f ca="1">IFERROR(__xludf.DUMMYFUNCTION("GOOGLETRANSLATE(C129,""ja"",""vi"")"),"Đấu giá&gt; truyện tranh, phim hoạt hình hàng hóa&gt; bởi công việc&gt; Tagyo&gt; Devilman")</f>
        <v>Đấu giá&gt; truyện tranh, phim hoạt hình hàng hóa&gt; bởi công việc&gt; Tagyo&gt; Devilman</v>
      </c>
      <c r="G129" t="str">
        <f t="shared" ca="1" si="1"/>
        <v>"2084035362" : "devilman",</v>
      </c>
    </row>
    <row r="130" spans="1:7" ht="14.25" customHeight="1">
      <c r="A130" s="2">
        <v>2084309635</v>
      </c>
      <c r="B130" s="2" t="s">
        <v>1013</v>
      </c>
      <c r="C130" s="2" t="s">
        <v>1015</v>
      </c>
      <c r="D130" s="2" t="s">
        <v>1016</v>
      </c>
      <c r="E130" s="4" t="str">
        <f ca="1">IFERROR(__xludf.DUMMYFUNCTION("GOOGLETRANSLATE(B130,""ja"",""vi"")"),"Durarara !!")</f>
        <v>Durarara !!</v>
      </c>
      <c r="F130" s="4" t="str">
        <f ca="1">IFERROR(__xludf.DUMMYFUNCTION("GOOGLETRANSLATE(C130,""ja"",""vi"")"),"Đấu giá&gt; truyện tranh, phim hoạt hình hàng hóa&gt; bởi công việc&gt; Tagyo&gt; Durarara !!")</f>
        <v>Đấu giá&gt; truyện tranh, phim hoạt hình hàng hóa&gt; bởi công việc&gt; Tagyo&gt; Durarara !!</v>
      </c>
      <c r="G130" t="str">
        <f t="shared" ca="1" si="1"/>
        <v>"2084309635" : "Durarara !!",</v>
      </c>
    </row>
    <row r="131" spans="1:7" ht="14.25" customHeight="1">
      <c r="A131" s="2">
        <v>2084063758</v>
      </c>
      <c r="B131" s="2" t="s">
        <v>1021</v>
      </c>
      <c r="C131" s="2" t="s">
        <v>1023</v>
      </c>
      <c r="D131" s="2" t="s">
        <v>1024</v>
      </c>
      <c r="E131" s="4" t="str">
        <f ca="1">IFERROR(__xludf.DUMMYFUNCTION("GOOGLETRANSLATE(B131,""ja"",""vi"")"),"Toy Story")</f>
        <v>Toy Story</v>
      </c>
      <c r="F131" s="4" t="str">
        <f ca="1">IFERROR(__xludf.DUMMYFUNCTION("GOOGLETRANSLATE(C131,""ja"",""vi"")"),"Đấu giá&gt; truyện tranh, phim hoạt hình hàng hóa&gt; bởi công việc&gt; Tagyo&gt; Toy Story")</f>
        <v>Đấu giá&gt; truyện tranh, phim hoạt hình hàng hóa&gt; bởi công việc&gt; Tagyo&gt; Toy Story</v>
      </c>
      <c r="G131" t="str">
        <f t="shared" ref="G131:G194" ca="1" si="2">CONCATENATE(CHAR(34)&amp;"",A131,""&amp;CHAR(34)," : ", CHAR(34)&amp;"",E131,""&amp;CHAR(34),",")</f>
        <v>"2084063758" : "Toy Story",</v>
      </c>
    </row>
    <row r="132" spans="1:7" ht="14.25" customHeight="1">
      <c r="A132" s="2">
        <v>2084044255</v>
      </c>
      <c r="B132" s="2" t="s">
        <v>1027</v>
      </c>
      <c r="C132" s="2" t="s">
        <v>1029</v>
      </c>
      <c r="D132" s="2" t="s">
        <v>1031</v>
      </c>
      <c r="E132" s="4" t="str">
        <f ca="1">IFERROR(__xludf.DUMMYFUNCTION("GOOGLETRANSLATE(B132,""ja"",""vi"")"),"Transformers")</f>
        <v>Transformers</v>
      </c>
      <c r="F132" s="4" t="str">
        <f ca="1">IFERROR(__xludf.DUMMYFUNCTION("GOOGLETRANSLATE(C132,""ja"",""vi"")"),"Đấu giá&gt; truyện tranh, phim hoạt hình hàng hóa&gt; bởi công việc&gt; Tagyo&gt; Transformers")</f>
        <v>Đấu giá&gt; truyện tranh, phim hoạt hình hàng hóa&gt; bởi công việc&gt; Tagyo&gt; Transformers</v>
      </c>
      <c r="G132" t="str">
        <f t="shared" ca="1" si="2"/>
        <v>"2084044255" : "Transformers",</v>
      </c>
    </row>
    <row r="133" spans="1:7" ht="14.25" customHeight="1">
      <c r="A133" s="2">
        <v>2084035369</v>
      </c>
      <c r="B133" s="2" t="s">
        <v>1033</v>
      </c>
      <c r="C133" s="2" t="s">
        <v>1035</v>
      </c>
      <c r="D133" s="2" t="s">
        <v>1037</v>
      </c>
      <c r="E133" s="4" t="str">
        <f ca="1">IFERROR(__xludf.DUMMYFUNCTION("GOOGLETRANSLATE(B133,""ja"",""vi"")"),"Dokaben")</f>
        <v>Dokaben</v>
      </c>
      <c r="F133" s="4" t="str">
        <f ca="1">IFERROR(__xludf.DUMMYFUNCTION("GOOGLETRANSLATE(C133,""ja"",""vi"")"),"Đấu giá&gt; truyện tranh, phim hoạt hình hàng hóa&gt; bởi công việc&gt; Tagyo&gt; dokaben")</f>
        <v>Đấu giá&gt; truyện tranh, phim hoạt hình hàng hóa&gt; bởi công việc&gt; Tagyo&gt; dokaben</v>
      </c>
      <c r="G133" t="str">
        <f t="shared" ca="1" si="2"/>
        <v>"2084035369" : "Dokaben",</v>
      </c>
    </row>
    <row r="134" spans="1:7" ht="14.25" customHeight="1">
      <c r="A134" s="2">
        <v>2084035370</v>
      </c>
      <c r="B134" s="2" t="s">
        <v>1041</v>
      </c>
      <c r="C134" s="2" t="s">
        <v>1042</v>
      </c>
      <c r="D134" s="2" t="s">
        <v>1044</v>
      </c>
      <c r="E134" s="4" t="str">
        <f ca="1">IFERROR(__xludf.DUMMYFUNCTION("GOOGLETRANSLATE(B134,""ja"",""vi"")"),"Dokutasuranpu")</f>
        <v>Dokutasuranpu</v>
      </c>
      <c r="F134" s="4" t="str">
        <f ca="1">IFERROR(__xludf.DUMMYFUNCTION("GOOGLETRANSLATE(C134,""ja"",""vi"")"),"Đấu giá&gt; truyện tranh, phim hoạt hình hàng hóa&gt; bởi công việc&gt; Tagyo&gt; Dokutasuranpu")</f>
        <v>Đấu giá&gt; truyện tranh, phim hoạt hình hàng hóa&gt; bởi công việc&gt; Tagyo&gt; Dokutasuranpu</v>
      </c>
      <c r="G134" t="str">
        <f t="shared" ca="1" si="2"/>
        <v>"2084035370" : "Dokutasuranpu",</v>
      </c>
    </row>
    <row r="135" spans="1:7" ht="14.25" customHeight="1">
      <c r="A135" s="2">
        <v>2084005071</v>
      </c>
      <c r="B135" s="2" t="s">
        <v>1049</v>
      </c>
      <c r="C135" s="2" t="s">
        <v>1050</v>
      </c>
      <c r="D135" s="2" t="s">
        <v>1052</v>
      </c>
      <c r="E135" s="4" t="str">
        <f ca="1">IFERROR(__xludf.DUMMYFUNCTION("GOOGLETRANSLATE(B135,""ja"",""vi"")"),"Doraemon")</f>
        <v>Doraemon</v>
      </c>
      <c r="F135" s="4" t="str">
        <f ca="1">IFERROR(__xludf.DUMMYFUNCTION("GOOGLETRANSLATE(C135,""ja"",""vi"")"),"Đấu giá&gt; truyện tranh, phim hoạt hình hàng hóa&gt; bởi công việc&gt; Tagyo&gt; Doraemon")</f>
        <v>Đấu giá&gt; truyện tranh, phim hoạt hình hàng hóa&gt; bởi công việc&gt; Tagyo&gt; Doraemon</v>
      </c>
      <c r="G135" t="str">
        <f t="shared" ca="1" si="2"/>
        <v>"2084005071" : "Doraemon",</v>
      </c>
    </row>
    <row r="136" spans="1:7" ht="14.25" customHeight="1">
      <c r="A136" s="2">
        <v>2084000111</v>
      </c>
      <c r="B136" s="2" t="s">
        <v>1055</v>
      </c>
      <c r="C136" s="2" t="s">
        <v>1056</v>
      </c>
      <c r="D136" s="2" t="s">
        <v>1058</v>
      </c>
      <c r="E136" s="4" t="str">
        <f ca="1">IFERROR(__xludf.DUMMYFUNCTION("GOOGLETRANSLATE(B136,""ja"",""vi"")"),"dragon ball")</f>
        <v>dragon ball</v>
      </c>
      <c r="F136" s="4" t="str">
        <f ca="1">IFERROR(__xludf.DUMMYFUNCTION("GOOGLETRANSLATE(C136,""ja"",""vi"")"),"Đấu giá&gt; truyện tranh, phim hoạt hình hàng hóa&gt; bởi công việc&gt; Tagyo&gt; Dragon Ball")</f>
        <v>Đấu giá&gt; truyện tranh, phim hoạt hình hàng hóa&gt; bởi công việc&gt; Tagyo&gt; Dragon Ball</v>
      </c>
      <c r="G136" t="str">
        <f t="shared" ca="1" si="2"/>
        <v>"2084000111" : "dragon ball",</v>
      </c>
    </row>
    <row r="137" spans="1:7" ht="14.25" customHeight="1">
      <c r="A137" s="2">
        <v>2084006288</v>
      </c>
      <c r="B137" s="2" t="s">
        <v>1063</v>
      </c>
      <c r="C137" s="2" t="s">
        <v>1064</v>
      </c>
      <c r="D137" s="2" t="s">
        <v>1065</v>
      </c>
      <c r="E137" s="4" t="str">
        <f ca="1">IFERROR(__xludf.DUMMYFUNCTION("GOOGLETRANSLATE(B137,""ja"",""vi"")"),"Bạn đang bị quản thúc")</f>
        <v>Bạn đang bị quản thúc</v>
      </c>
      <c r="F137" s="4" t="str">
        <f ca="1">IFERROR(__xludf.DUMMYFUNCTION("GOOGLETRANSLATE(C137,""ja"",""vi"")"),"Đấu giá&gt; truyện tranh, phim hoạt hình hàng hóa&gt; bởi công việc&gt; Tagyo&gt; Bạn đang bị quản thúc")</f>
        <v>Đấu giá&gt; truyện tranh, phim hoạt hình hàng hóa&gt; bởi công việc&gt; Tagyo&gt; Bạn đang bị quản thúc</v>
      </c>
      <c r="G137" t="str">
        <f t="shared" ca="1" si="2"/>
        <v>"2084006288" : "Bạn đang bị quản thúc",</v>
      </c>
    </row>
    <row r="138" spans="1:7" ht="14.25" customHeight="1">
      <c r="A138" s="2">
        <v>2084035347</v>
      </c>
      <c r="B138" s="2" t="s">
        <v>1071</v>
      </c>
      <c r="C138" s="2" t="s">
        <v>1072</v>
      </c>
      <c r="D138" s="2" t="s">
        <v>1073</v>
      </c>
      <c r="E138" s="4" t="str">
        <f ca="1">IFERROR(__xludf.DUMMYFUNCTION("GOOGLETRANSLATE(B138,""ja"",""vi"")"),"Gaiking")</f>
        <v>Gaiking</v>
      </c>
      <c r="F138" s="4" t="str">
        <f ca="1">IFERROR(__xludf.DUMMYFUNCTION("GOOGLETRANSLATE(C138,""ja"",""vi"")"),"Đấu giá&gt; truyện tranh, phim hoạt hình hàng hóa&gt; bởi công việc&gt; Tagyo&gt; Gaiking")</f>
        <v>Đấu giá&gt; truyện tranh, phim hoạt hình hàng hóa&gt; bởi công việc&gt; Tagyo&gt; Gaiking</v>
      </c>
      <c r="G138" t="str">
        <f t="shared" ca="1" si="2"/>
        <v>"2084035347" : "Gaiking",</v>
      </c>
    </row>
    <row r="139" spans="1:7" ht="14.25" customHeight="1">
      <c r="A139" s="2">
        <v>2084006272</v>
      </c>
      <c r="B139" s="2" t="s">
        <v>1078</v>
      </c>
      <c r="C139" s="2" t="s">
        <v>1080</v>
      </c>
      <c r="D139" s="2" t="s">
        <v>1081</v>
      </c>
      <c r="E139" s="4" t="str">
        <f ca="1">IFERROR(__xludf.DUMMYFUNCTION("GOOGLETRANSLATE(B139,""ja"",""vi"")"),"The Super Dimension Fortress Macross")</f>
        <v>The Super Dimension Fortress Macross</v>
      </c>
      <c r="F139" s="4" t="str">
        <f ca="1">IFERROR(__xludf.DUMMYFUNCTION("GOOGLETRANSLATE(C139,""ja"",""vi"")"),"Đấu giá&gt; truyện tranh, phim hoạt hình hàng hóa&gt; bởi công việc&gt; Tagyo&gt; Macross")</f>
        <v>Đấu giá&gt; truyện tranh, phim hoạt hình hàng hóa&gt; bởi công việc&gt; Tagyo&gt; Macross</v>
      </c>
      <c r="G139" t="str">
        <f t="shared" ca="1" si="2"/>
        <v>"2084006272" : "The Super Dimension Fortress Macross",</v>
      </c>
    </row>
    <row r="140" spans="1:7" ht="14.25" customHeight="1">
      <c r="A140" s="2">
        <v>2084035359</v>
      </c>
      <c r="B140" s="2" t="s">
        <v>1086</v>
      </c>
      <c r="C140" s="2" t="s">
        <v>1088</v>
      </c>
      <c r="D140" s="2" t="s">
        <v>1089</v>
      </c>
      <c r="E140" s="4" t="str">
        <f ca="1">IFERROR(__xludf.DUMMYFUNCTION("GOOGLETRANSLATE(B140,""ja"",""vi"")"),"Tetsujin 28-go")</f>
        <v>Tetsujin 28-go</v>
      </c>
      <c r="F140" s="4" t="str">
        <f ca="1">IFERROR(__xludf.DUMMYFUNCTION("GOOGLETRANSLATE(C140,""ja"",""vi"")"),"Đấu giá&gt; truyện tranh, phim hoạt hình hàng hóa&gt; bởi công việc&gt; Tagyo&gt; Tetsujin 28-go")</f>
        <v>Đấu giá&gt; truyện tranh, phim hoạt hình hàng hóa&gt; bởi công việc&gt; Tagyo&gt; Tetsujin 28-go</v>
      </c>
      <c r="G140" t="str">
        <f t="shared" ca="1" si="2"/>
        <v>"2084035359" : "Tetsujin 28-go",</v>
      </c>
    </row>
    <row r="141" spans="1:7" ht="14.25" customHeight="1">
      <c r="A141" s="2">
        <v>2084035360</v>
      </c>
      <c r="B141" s="2" t="s">
        <v>1093</v>
      </c>
      <c r="C141" s="2" t="s">
        <v>1095</v>
      </c>
      <c r="D141" s="2" t="s">
        <v>1097</v>
      </c>
      <c r="E141" s="4" t="str">
        <f ca="1">IFERROR(__xludf.DUMMYFUNCTION("GOOGLETRANSLATE(B141,""ja"",""vi"")"),"ASTRO BOY")</f>
        <v>ASTRO BOY</v>
      </c>
      <c r="F141" s="4" t="str">
        <f ca="1">IFERROR(__xludf.DUMMYFUNCTION("GOOGLETRANSLATE(C141,""ja"",""vi"")"),"Đấu giá&gt; truyện tranh, phim hoạt hình hàng hóa&gt; bởi công việc&gt; Tagyo&gt; Astro Boy")</f>
        <v>Đấu giá&gt; truyện tranh, phim hoạt hình hàng hóa&gt; bởi công việc&gt; Tagyo&gt; Astro Boy</v>
      </c>
      <c r="G141" t="str">
        <f t="shared" ca="1" si="2"/>
        <v>"2084035360" : "ASTRO BOY",</v>
      </c>
    </row>
    <row r="142" spans="1:7" ht="14.25" customHeight="1">
      <c r="A142" s="2">
        <v>2084035365</v>
      </c>
      <c r="B142" s="2" t="s">
        <v>1102</v>
      </c>
      <c r="C142" s="2" t="s">
        <v>1104</v>
      </c>
      <c r="D142" s="2" t="s">
        <v>1105</v>
      </c>
      <c r="E142" s="4" t="str">
        <f ca="1">IFERROR(__xludf.DUMMYFUNCTION("GOOGLETRANSLATE(B142,""ja"",""vi"")"),"Tầm nhìn của Escaflowne")</f>
        <v>Tầm nhìn của Escaflowne</v>
      </c>
      <c r="F142" s="4" t="str">
        <f ca="1">IFERROR(__xludf.DUMMYFUNCTION("GOOGLETRANSLATE(C142,""ja"",""vi"")"),"Đấu giá&gt; truyện tranh, phim hoạt hình hàng hóa&gt; bởi công việc&gt; Tagyo&gt; Tầm nhìn của Escaflowne")</f>
        <v>Đấu giá&gt; truyện tranh, phim hoạt hình hàng hóa&gt; bởi công việc&gt; Tagyo&gt; Tầm nhìn của Escaflowne</v>
      </c>
      <c r="G142" t="str">
        <f t="shared" ca="1" si="2"/>
        <v>"2084035365" : "Tầm nhìn của Escaflowne",</v>
      </c>
    </row>
    <row r="143" spans="1:7" ht="14.25" customHeight="1">
      <c r="A143" s="2">
        <v>2084035364</v>
      </c>
      <c r="B143" s="2" t="s">
        <v>1111</v>
      </c>
      <c r="C143" s="2" t="s">
        <v>1113</v>
      </c>
      <c r="D143" s="2" t="s">
        <v>1115</v>
      </c>
      <c r="E143" s="4" t="str">
        <f ca="1">IFERROR(__xludf.DUMMYFUNCTION("GOOGLETRANSLATE(B143,""ja"",""vi"")"),"Legend of Heavenly Sphere Shurato")</f>
        <v>Legend of Heavenly Sphere Shurato</v>
      </c>
      <c r="F143" s="4" t="str">
        <f ca="1">IFERROR(__xludf.DUMMYFUNCTION("GOOGLETRANSLATE(C143,""ja"",""vi"")"),"Đấu giá&gt; truyện tranh, phim hoạt hình hàng hóa&gt; bởi công việc&gt; Tagyo&gt; Legend of Heavenly Sphere Shurato")</f>
        <v>Đấu giá&gt; truyện tranh, phim hoạt hình hàng hóa&gt; bởi công việc&gt; Tagyo&gt; Legend of Heavenly Sphere Shurato</v>
      </c>
      <c r="G143" t="str">
        <f t="shared" ca="1" si="2"/>
        <v>"2084035364" : "Legend of Heavenly Sphere Shurato",</v>
      </c>
    </row>
    <row r="144" spans="1:7" ht="14.25" customHeight="1">
      <c r="A144" s="2">
        <v>2084035366</v>
      </c>
      <c r="B144" s="2" t="s">
        <v>1119</v>
      </c>
      <c r="C144" s="2" t="s">
        <v>1120</v>
      </c>
      <c r="D144" s="2" t="s">
        <v>1122</v>
      </c>
      <c r="E144" s="4" t="str">
        <f ca="1">IFERROR(__xludf.DUMMYFUNCTION("GOOGLETRANSLATE(B144,""ja"",""vi"")"),"Genius Bakabon")</f>
        <v>Genius Bakabon</v>
      </c>
      <c r="F144" s="4" t="str">
        <f ca="1">IFERROR(__xludf.DUMMYFUNCTION("GOOGLETRANSLATE(C144,""ja"",""vi"")"),"Đấu giá&gt; truyện tranh, phim hoạt hình hàng hóa&gt; bởi công việc&gt; Tagyo&gt; thiên tài Bakabon")</f>
        <v>Đấu giá&gt; truyện tranh, phim hoạt hình hàng hóa&gt; bởi công việc&gt; Tagyo&gt; thiên tài Bakabon</v>
      </c>
      <c r="G144" t="str">
        <f t="shared" ca="1" si="2"/>
        <v>"2084035366" : "Genius Bakabon",</v>
      </c>
    </row>
    <row r="145" spans="1:7" ht="14.25" customHeight="1">
      <c r="A145" s="2">
        <v>2084007231</v>
      </c>
      <c r="B145" s="2" t="s">
        <v>1127</v>
      </c>
      <c r="C145" s="2" t="s">
        <v>1128</v>
      </c>
      <c r="D145" s="2" t="s">
        <v>1129</v>
      </c>
      <c r="E145" s="4" t="str">
        <f ca="1">IFERROR(__xludf.DUMMYFUNCTION("GOOGLETRANSLATE(B145,""ja"",""vi"")"),"Tenchi Muyo!")</f>
        <v>Tenchi Muyo!</v>
      </c>
      <c r="F145" s="4" t="str">
        <f ca="1">IFERROR(__xludf.DUMMYFUNCTION("GOOGLETRANSLATE(C145,""ja"",""vi"")"),"Đấu giá&gt; truyện tranh, phim hoạt hình hàng hóa&gt; bởi công việc&gt; Tagyo&gt; Tenchi Muyo!")</f>
        <v>Đấu giá&gt; truyện tranh, phim hoạt hình hàng hóa&gt; bởi công việc&gt; Tagyo&gt; Tenchi Muyo!</v>
      </c>
      <c r="G145" t="str">
        <f t="shared" ca="1" si="2"/>
        <v>"2084007231" : "Tenchi Muyo!",</v>
      </c>
    </row>
    <row r="146" spans="1:7" ht="14.25" customHeight="1">
      <c r="A146" s="2">
        <v>2084035368</v>
      </c>
      <c r="B146" s="2" t="s">
        <v>1134</v>
      </c>
      <c r="C146" s="2" t="s">
        <v>1135</v>
      </c>
      <c r="D146" s="2" t="s">
        <v>1136</v>
      </c>
      <c r="E146" s="4" t="str">
        <f ca="1">IFERROR(__xludf.DUMMYFUNCTION("GOOGLETRANSLATE(B146,""ja"",""vi"")"),"Space Runaway Ideon")</f>
        <v>Space Runaway Ideon</v>
      </c>
      <c r="F146" s="4" t="str">
        <f ca="1">IFERROR(__xludf.DUMMYFUNCTION("GOOGLETRANSLATE(C146,""ja"",""vi"")"),"Đấu giá&gt; truyện tranh, phim hoạt hình hàng hóa&gt; bởi công việc&gt; Tagyo&gt; Space Runaway Ideon")</f>
        <v>Đấu giá&gt; truyện tranh, phim hoạt hình hàng hóa&gt; bởi công việc&gt; Tagyo&gt; Space Runaway Ideon</v>
      </c>
      <c r="G146" t="str">
        <f t="shared" ca="1" si="2"/>
        <v>"2084035368" : "Space Runaway Ideon",</v>
      </c>
    </row>
    <row r="147" spans="1:7" ht="14.25" customHeight="1">
      <c r="A147" s="2">
        <v>2084309633</v>
      </c>
      <c r="B147" s="2" t="s">
        <v>1142</v>
      </c>
      <c r="C147" s="2" t="s">
        <v>1144</v>
      </c>
      <c r="D147" s="2" t="s">
        <v>1146</v>
      </c>
      <c r="E147" s="4" t="str">
        <f ca="1">IFERROR(__xludf.DUMMYFUNCTION("GOOGLETRANSLATE(B147,""ja"",""vi"")"),"Dự án Đông")</f>
        <v>Dự án Đông</v>
      </c>
      <c r="F147" s="4" t="str">
        <f ca="1">IFERROR(__xludf.DUMMYFUNCTION("GOOGLETRANSLATE(C147,""ja"",""vi"")"),"Đấu giá&gt; truyện tranh, phim hoạt hình hàng hóa&gt; bởi công việc&gt; Tagyo&gt; Touhou Project")</f>
        <v>Đấu giá&gt; truyện tranh, phim hoạt hình hàng hóa&gt; bởi công việc&gt; Tagyo&gt; Touhou Project</v>
      </c>
      <c r="G147" t="str">
        <f t="shared" ca="1" si="2"/>
        <v>"2084309633" : "Dự án Đông",</v>
      </c>
    </row>
    <row r="148" spans="1:7" ht="14.25" customHeight="1">
      <c r="A148" s="2">
        <v>2084035442</v>
      </c>
      <c r="B148" s="2" t="s">
        <v>1152</v>
      </c>
      <c r="C148" s="2" t="s">
        <v>1153</v>
      </c>
      <c r="D148" s="2" t="s">
        <v>1155</v>
      </c>
      <c r="E148" s="4" t="str">
        <f ca="1">IFERROR(__xludf.DUMMYFUNCTION("GOOGLETRANSLATE(B148,""ja"",""vi"")"),"NARUTO")</f>
        <v>NARUTO</v>
      </c>
      <c r="F148" s="4" t="str">
        <f ca="1">IFERROR(__xludf.DUMMYFUNCTION("GOOGLETRANSLATE(C148,""ja"",""vi"")"),"Đấu giá&gt; truyện tranh, phim hoạt hình hàng hóa&gt; bởi công việc&gt; một dòng&gt; NARUTO")</f>
        <v>Đấu giá&gt; truyện tranh, phim hoạt hình hàng hóa&gt; bởi công việc&gt; một dòng&gt; NARUTO</v>
      </c>
      <c r="G148" t="str">
        <f t="shared" ca="1" si="2"/>
        <v>"2084035442" : "NARUTO",</v>
      </c>
    </row>
    <row r="149" spans="1:7" ht="14.25" customHeight="1">
      <c r="A149" s="2">
        <v>2084309696</v>
      </c>
      <c r="B149" s="2" t="s">
        <v>1160</v>
      </c>
      <c r="C149" s="2" t="s">
        <v>1161</v>
      </c>
      <c r="D149" s="2" t="s">
        <v>1163</v>
      </c>
      <c r="E149" s="4" t="str">
        <f ca="1">IFERROR(__xludf.DUMMYFUNCTION("GOOGLETRANSLATE(B149,""ja"",""vi"")"),"Mago")</f>
        <v>Mago</v>
      </c>
      <c r="F149" s="4" t="str">
        <f ca="1">IFERROR(__xludf.DUMMYFUNCTION("GOOGLETRANSLATE(C149,""ja"",""vi"")"),"Đấu giá&gt; truyện tranh, phim hoạt hình hàng hóa&gt; bởi công việc&gt; một dòng&gt; Mago")</f>
        <v>Đấu giá&gt; truyện tranh, phim hoạt hình hàng hóa&gt; bởi công việc&gt; một dòng&gt; Mago</v>
      </c>
      <c r="G149" t="str">
        <f t="shared" ca="1" si="2"/>
        <v>"2084309696" : "Mago",</v>
      </c>
    </row>
    <row r="150" spans="1:7" ht="14.25" customHeight="1">
      <c r="A150" s="2">
        <v>2084309695</v>
      </c>
      <c r="B150" s="2" t="s">
        <v>1168</v>
      </c>
      <c r="C150" s="2" t="s">
        <v>1169</v>
      </c>
      <c r="D150" s="2" t="s">
        <v>1171</v>
      </c>
      <c r="E150" s="4" t="str">
        <f ca="1">IFERROR(__xludf.DUMMYFUNCTION("GOOGLETRANSLATE(B150,""ja"",""vi"")"),"Natsume Yuujin Chou")</f>
        <v>Natsume Yuujin Chou</v>
      </c>
      <c r="F150" s="4" t="str">
        <f ca="1">IFERROR(__xludf.DUMMYFUNCTION("GOOGLETRANSLATE(C150,""ja"",""vi"")"),"Đấu giá&gt; truyện tranh, phim hoạt hình hàng hóa&gt; bởi công việc&gt; một dòng&gt; Natsume Yuujin Chou")</f>
        <v>Đấu giá&gt; truyện tranh, phim hoạt hình hàng hóa&gt; bởi công việc&gt; một dòng&gt; Natsume Yuujin Chou</v>
      </c>
      <c r="G150" t="str">
        <f t="shared" ca="1" si="2"/>
        <v>"2084309695" : "Natsume Yuujin Chou",</v>
      </c>
    </row>
    <row r="151" spans="1:7" ht="14.25" customHeight="1">
      <c r="A151" s="2">
        <v>2084035443</v>
      </c>
      <c r="B151" s="2" t="s">
        <v>1177</v>
      </c>
      <c r="C151" s="2" t="s">
        <v>1179</v>
      </c>
      <c r="D151" s="2" t="s">
        <v>1181</v>
      </c>
      <c r="E151" s="4" t="str">
        <f ca="1">IFERROR(__xludf.DUMMYFUNCTION("GOOGLETRANSLATE(B151,""ja"",""vi"")"),"Papuwa")</f>
        <v>Papuwa</v>
      </c>
      <c r="F151" s="4" t="str">
        <f ca="1">IFERROR(__xludf.DUMMYFUNCTION("GOOGLETRANSLATE(C151,""ja"",""vi"")"),"Đấu giá&gt; truyện tranh, phim hoạt hình hàng hóa&gt; bởi công việc&gt; một dòng&gt; Papuwa")</f>
        <v>Đấu giá&gt; truyện tranh, phim hoạt hình hàng hóa&gt; bởi công việc&gt; một dòng&gt; Papuwa</v>
      </c>
      <c r="G151" t="str">
        <f t="shared" ca="1" si="2"/>
        <v>"2084035443" : "Papuwa",</v>
      </c>
    </row>
    <row r="152" spans="1:7" ht="14.25" customHeight="1">
      <c r="A152" s="2">
        <v>2084309694</v>
      </c>
      <c r="B152" s="2" t="s">
        <v>1184</v>
      </c>
      <c r="C152" s="2" t="s">
        <v>1187</v>
      </c>
      <c r="D152" s="2" t="s">
        <v>1189</v>
      </c>
      <c r="E152" s="4" t="str">
        <f ca="1">IFERROR(__xludf.DUMMYFUNCTION("GOOGLETRANSLATE(B152,""ja"",""vi"")"),"hằng ngày")</f>
        <v>hằng ngày</v>
      </c>
      <c r="F152" s="4" t="str">
        <f ca="1">IFERROR(__xludf.DUMMYFUNCTION("GOOGLETRANSLATE(C152,""ja"",""vi"")"),"Đấu giá&gt; truyện tranh, phim hoạt hình hàng hóa&gt; bởi công việc&gt; một dòng&gt; hàng ngày")</f>
        <v>Đấu giá&gt; truyện tranh, phim hoạt hình hàng hóa&gt; bởi công việc&gt; một dòng&gt; hàng ngày</v>
      </c>
      <c r="G152" t="str">
        <f t="shared" ca="1" si="2"/>
        <v>"2084309694" : "hằng ngày",</v>
      </c>
    </row>
    <row r="153" spans="1:7" ht="14.25" customHeight="1">
      <c r="A153" s="2">
        <v>2084035445</v>
      </c>
      <c r="B153" s="2" t="s">
        <v>1194</v>
      </c>
      <c r="C153" s="2" t="s">
        <v>1196</v>
      </c>
      <c r="D153" s="2" t="s">
        <v>1197</v>
      </c>
      <c r="E153" s="4" t="str">
        <f ca="1">IFERROR(__xludf.DUMMYFUNCTION("GOOGLETRANSLATE(B153,""ja"",""vi"")"),"Nintama Rantaro")</f>
        <v>Nintama Rantaro</v>
      </c>
      <c r="F153" s="4" t="str">
        <f ca="1">IFERROR(__xludf.DUMMYFUNCTION("GOOGLETRANSLATE(C153,""ja"",""vi"")"),"Đấu giá&gt; truyện tranh, phim hoạt hình hàng hóa&gt; bởi công việc&gt; một dòng&gt; Nintama Rantaro")</f>
        <v>Đấu giá&gt; truyện tranh, phim hoạt hình hàng hóa&gt; bởi công việc&gt; một dòng&gt; Nintama Rantaro</v>
      </c>
      <c r="G153" t="str">
        <f t="shared" ca="1" si="2"/>
        <v>"2084035445" : "Nintama Rantaro",</v>
      </c>
    </row>
    <row r="154" spans="1:7" ht="14.25" customHeight="1">
      <c r="A154" s="2">
        <v>2084063831</v>
      </c>
      <c r="B154" s="2" t="s">
        <v>1202</v>
      </c>
      <c r="C154" s="2" t="s">
        <v>1203</v>
      </c>
      <c r="D154" s="2" t="s">
        <v>1204</v>
      </c>
      <c r="E154" s="4" t="str">
        <f ca="1">IFERROR(__xludf.DUMMYFUNCTION("GOOGLETRANSLATE(B154,""ja"",""vi"")"),"THUỐC TẨY")</f>
        <v>THUỐC TẨY</v>
      </c>
      <c r="F154" s="4" t="str">
        <f ca="1">IFERROR(__xludf.DUMMYFUNCTION("GOOGLETRANSLATE(C154,""ja"",""vi"")"),"Đấu giá&gt; truyện tranh, phim hoạt hình hàng hóa&gt; bởi công việc&gt; row&gt; BLEACH")</f>
        <v>Đấu giá&gt; truyện tranh, phim hoạt hình hàng hóa&gt; bởi công việc&gt; row&gt; BLEACH</v>
      </c>
      <c r="G154" t="str">
        <f t="shared" ca="1" si="2"/>
        <v>"2084063831" : "THUỐC TẨY",</v>
      </c>
    </row>
    <row r="155" spans="1:7" ht="14.25" customHeight="1">
      <c r="A155" s="2">
        <v>2084309697</v>
      </c>
      <c r="B155" s="2" t="s">
        <v>1210</v>
      </c>
      <c r="C155" s="2" t="s">
        <v>1211</v>
      </c>
      <c r="D155" s="2" t="s">
        <v>1212</v>
      </c>
      <c r="E155" s="4" t="str">
        <f ca="1">IFERROR(__xludf.DUMMYFUNCTION("GOOGLETRANSLATE(B155,""ja"",""vi"")"),"FAIRY TAIL")</f>
        <v>FAIRY TAIL</v>
      </c>
      <c r="F155" s="4" t="str">
        <f ca="1">IFERROR(__xludf.DUMMYFUNCTION("GOOGLETRANSLATE(C155,""ja"",""vi"")"),"Đấu giá&gt; truyện tranh, phim hoạt hình hàng hóa&gt; bởi công việc&gt; row&gt; FAIRY TAIL")</f>
        <v>Đấu giá&gt; truyện tranh, phim hoạt hình hàng hóa&gt; bởi công việc&gt; row&gt; FAIRY TAIL</v>
      </c>
      <c r="G155" t="str">
        <f t="shared" ca="1" si="2"/>
        <v>"2084309697" : "FAIRY TAIL",</v>
      </c>
    </row>
    <row r="156" spans="1:7" ht="14.25" customHeight="1">
      <c r="A156" s="2">
        <v>2084309699</v>
      </c>
      <c r="B156" s="2" t="s">
        <v>1216</v>
      </c>
      <c r="C156" s="2" t="s">
        <v>1217</v>
      </c>
      <c r="D156" s="2" t="s">
        <v>1218</v>
      </c>
      <c r="E156" s="4" t="str">
        <f ca="1">IFERROR(__xludf.DUMMYFUNCTION("GOOGLETRANSLATE(B156,""ja"",""vi"")"),"FORTUNE động mạch")</f>
        <v>FORTUNE động mạch</v>
      </c>
      <c r="F156" s="4" t="str">
        <f ca="1">IFERROR(__xludf.DUMMYFUNCTION("GOOGLETRANSLATE(C156,""ja"",""vi"")"),"Đấu giá&gt; truyện tranh, phim hoạt hình hàng hóa&gt; bởi công việc&gt; row&gt; FORTUNE động mạch")</f>
        <v>Đấu giá&gt; truyện tranh, phim hoạt hình hàng hóa&gt; bởi công việc&gt; row&gt; FORTUNE động mạch</v>
      </c>
      <c r="G156" t="str">
        <f t="shared" ca="1" si="2"/>
        <v>"2084309699" : "FORTUNE động mạch",</v>
      </c>
    </row>
    <row r="157" spans="1:7" ht="14.25" customHeight="1">
      <c r="A157" s="2">
        <v>2084006257</v>
      </c>
      <c r="B157" s="2" t="s">
        <v>1222</v>
      </c>
      <c r="C157" s="2" t="s">
        <v>1223</v>
      </c>
      <c r="D157" s="2" t="s">
        <v>1224</v>
      </c>
      <c r="E157" s="4" t="str">
        <f ca="1">IFERROR(__xludf.DUMMYFUNCTION("GOOGLETRANSLATE(B157,""ja"",""vi"")"),"HUNTER × HUNTER")</f>
        <v>HUNTER × HUNTER</v>
      </c>
      <c r="F157" s="4" t="str">
        <f ca="1">IFERROR(__xludf.DUMMYFUNCTION("GOOGLETRANSLATE(C157,""ja"",""vi"")"),"Đấu giá&gt; truyện tranh, phim hoạt hình hàng hóa&gt; bởi công việc&gt; row&gt; HUNTER × HUNTER")</f>
        <v>Đấu giá&gt; truyện tranh, phim hoạt hình hàng hóa&gt; bởi công việc&gt; row&gt; HUNTER × HUNTER</v>
      </c>
      <c r="G157" t="str">
        <f t="shared" ca="1" si="2"/>
        <v>"2084006257" : "HUNTER × HUNTER",</v>
      </c>
    </row>
    <row r="158" spans="1:7" ht="14.25" customHeight="1">
      <c r="A158" s="2">
        <v>2084035715</v>
      </c>
      <c r="B158" s="2" t="s">
        <v>1229</v>
      </c>
      <c r="C158" s="2" t="s">
        <v>1230</v>
      </c>
      <c r="D158" s="2" t="s">
        <v>1231</v>
      </c>
      <c r="E158" s="4" t="str">
        <f ca="1">IFERROR(__xludf.DUMMYFUNCTION("GOOGLETRANSLATE(B158,""ja"",""vi"")"),"Thần chiến đấu")</f>
        <v>Thần chiến đấu</v>
      </c>
      <c r="F158" s="4" t="str">
        <f ca="1">IFERROR(__xludf.DUMMYFUNCTION("GOOGLETRANSLATE(C158,""ja"",""vi"")"),"Đấu giá&gt; truyện tranh, phim hoạt hình hàng hóa&gt; bởi công việc&gt; row&gt; Fighting Spirit")</f>
        <v>Đấu giá&gt; truyện tranh, phim hoạt hình hàng hóa&gt; bởi công việc&gt; row&gt; Fighting Spirit</v>
      </c>
      <c r="G158" t="str">
        <f t="shared" ca="1" si="2"/>
        <v>"2084035715" : "Thần chiến đấu",</v>
      </c>
    </row>
    <row r="159" spans="1:7" ht="14.25" customHeight="1">
      <c r="A159" s="2">
        <v>2084309701</v>
      </c>
      <c r="B159" s="2" t="s">
        <v>1236</v>
      </c>
      <c r="C159" s="2" t="s">
        <v>1238</v>
      </c>
      <c r="D159" s="2" t="s">
        <v>1240</v>
      </c>
      <c r="E159" s="4" t="str">
        <f ca="1">IFERROR(__xludf.DUMMYFUNCTION("GOOGLETRANSLATE(B159,""ja"",""vi"")"),"Khi Họ Cry")</f>
        <v>Khi Họ Cry</v>
      </c>
      <c r="F159" s="4" t="str">
        <f ca="1">IFERROR(__xludf.DUMMYFUNCTION("GOOGLETRANSLATE(C159,""ja"",""vi"")"),"Đấu giá&gt; truyện tranh, phim hoạt hình hàng hóa&gt; bởi công việc&gt; row&gt; Higurashi")</f>
        <v>Đấu giá&gt; truyện tranh, phim hoạt hình hàng hóa&gt; bởi công việc&gt; row&gt; Higurashi</v>
      </c>
      <c r="G159" t="str">
        <f t="shared" ca="1" si="2"/>
        <v>"2084309701" : "Khi Họ Cry",</v>
      </c>
    </row>
    <row r="160" spans="1:7" ht="14.25" customHeight="1">
      <c r="A160" s="2">
        <v>2084035700</v>
      </c>
      <c r="B160" s="2" t="s">
        <v>1243</v>
      </c>
      <c r="C160" s="2" t="s">
        <v>1244</v>
      </c>
      <c r="D160" s="2" t="s">
        <v>1245</v>
      </c>
      <c r="E160" s="4" t="str">
        <f ca="1">IFERROR(__xludf.DUMMYFUNCTION("GOOGLETRANSLATE(B160,""ja"",""vi"")"),"Nadia, The Secret of Blue Water")</f>
        <v>Nadia, The Secret of Blue Water</v>
      </c>
      <c r="F160" s="4" t="str">
        <f ca="1">IFERROR(__xludf.DUMMYFUNCTION("GOOGLETRANSLATE(C160,""ja"",""vi"")"),"Đấu giá&gt; truyện tranh, phim hoạt hình hàng hóa&gt; bởi công việc&gt; row&gt; Nadia, The Secret of Blue Water")</f>
        <v>Đấu giá&gt; truyện tranh, phim hoạt hình hàng hóa&gt; bởi công việc&gt; row&gt; Nadia, The Secret of Blue Water</v>
      </c>
      <c r="G160" t="str">
        <f t="shared" ca="1" si="2"/>
        <v>"2084035700" : "Nadia, The Secret of Blue Water",</v>
      </c>
    </row>
    <row r="161" spans="1:7" ht="14.25" customHeight="1">
      <c r="A161" s="2">
        <v>2084035701</v>
      </c>
      <c r="B161" s="2" t="s">
        <v>1251</v>
      </c>
      <c r="C161" s="2" t="s">
        <v>1252</v>
      </c>
      <c r="D161" s="2" t="s">
        <v>1253</v>
      </c>
      <c r="E161" s="4" t="str">
        <f ca="1">IFERROR(__xludf.DUMMYFUNCTION("GOOGLETRANSLATE(B161,""ja"",""vi"")"),"Fushigi Yugi")</f>
        <v>Fushigi Yugi</v>
      </c>
      <c r="F161" s="4" t="str">
        <f ca="1">IFERROR(__xludf.DUMMYFUNCTION("GOOGLETRANSLATE(C161,""ja"",""vi"")"),"Đấu giá&gt; truyện tranh, phim hoạt hình hàng hóa&gt; bởi công việc&gt; row&gt; Fushigi Yugi")</f>
        <v>Đấu giá&gt; truyện tranh, phim hoạt hình hàng hóa&gt; bởi công việc&gt; row&gt; Fushigi Yugi</v>
      </c>
      <c r="G161" t="str">
        <f t="shared" ca="1" si="2"/>
        <v>"2084035701" : "Fushigi Yugi",</v>
      </c>
    </row>
    <row r="162" spans="1:7" ht="14.25" customHeight="1">
      <c r="A162" s="2">
        <v>2084063922</v>
      </c>
      <c r="B162" s="2" t="s">
        <v>1257</v>
      </c>
      <c r="C162" s="2" t="s">
        <v>1258</v>
      </c>
      <c r="D162" s="2" t="s">
        <v>1260</v>
      </c>
      <c r="E162" s="4" t="str">
        <f ca="1">IFERROR(__xludf.DUMMYFUNCTION("GOOGLETRANSLATE(B162,""ja"",""vi"")"),"Pretty Cure")</f>
        <v>Pretty Cure</v>
      </c>
      <c r="F162" s="4" t="str">
        <f ca="1">IFERROR(__xludf.DUMMYFUNCTION("GOOGLETRANSLATE(C162,""ja"",""vi"")"),"Đấu giá&gt; truyện tranh, phim hoạt hình hàng hóa&gt; bởi công việc&gt; row&gt; Pretty Cure")</f>
        <v>Đấu giá&gt; truyện tranh, phim hoạt hình hàng hóa&gt; bởi công việc&gt; row&gt; Pretty Cure</v>
      </c>
      <c r="G162" t="str">
        <f t="shared" ca="1" si="2"/>
        <v>"2084063922" : "Pretty Cure",</v>
      </c>
    </row>
    <row r="163" spans="1:7" ht="14.25" customHeight="1">
      <c r="A163" s="2">
        <v>2084000112</v>
      </c>
      <c r="B163" s="2" t="s">
        <v>1265</v>
      </c>
      <c r="C163" s="2" t="s">
        <v>1266</v>
      </c>
      <c r="D163" s="2" t="s">
        <v>1267</v>
      </c>
      <c r="E163" s="4" t="str">
        <f ca="1">IFERROR(__xludf.DUMMYFUNCTION("GOOGLETRANSLATE(B163,""ja"",""vi"")"),"Hello Kitty")</f>
        <v>Hello Kitty</v>
      </c>
      <c r="F163" s="4" t="str">
        <f ca="1">IFERROR(__xludf.DUMMYFUNCTION("GOOGLETRANSLATE(C163,""ja"",""vi"")"),"Đấu giá&gt; truyện tranh, phim hoạt hình hàng hóa&gt; bởi công việc&gt; a row&gt; Hello Kitty")</f>
        <v>Đấu giá&gt; truyện tranh, phim hoạt hình hàng hóa&gt; bởi công việc&gt; a row&gt; Hello Kitty</v>
      </c>
      <c r="G163" t="str">
        <f t="shared" ca="1" si="2"/>
        <v>"2084000112" : "Hello Kitty",</v>
      </c>
    </row>
    <row r="164" spans="1:7" ht="14.25" customHeight="1">
      <c r="A164" s="2">
        <v>2084309706</v>
      </c>
      <c r="B164" s="2" t="s">
        <v>1273</v>
      </c>
      <c r="C164" s="2" t="s">
        <v>1274</v>
      </c>
      <c r="D164" s="2" t="s">
        <v>1275</v>
      </c>
      <c r="E164" s="4" t="str">
        <f ca="1">IFERROR(__xludf.DUMMYFUNCTION("GOOGLETRANSLATE(B164,""ja"",""vi"")"),"Baka để thử nghiệm")</f>
        <v>Baka để thử nghiệm</v>
      </c>
      <c r="F164" s="4" t="str">
        <f ca="1">IFERROR(__xludf.DUMMYFUNCTION("GOOGLETRANSLATE(C164,""ja"",""vi"")"),"Đấu giá&gt; truyện tranh, phim hoạt hình hàng hóa&gt; bởi công việc&gt; row&gt; Baka để thử nghiệm")</f>
        <v>Đấu giá&gt; truyện tranh, phim hoạt hình hàng hóa&gt; bởi công việc&gt; row&gt; Baka để thử nghiệm</v>
      </c>
      <c r="G164" t="str">
        <f t="shared" ca="1" si="2"/>
        <v>"2084309706" : "Baka để thử nghiệm",</v>
      </c>
    </row>
    <row r="165" spans="1:7" ht="14.25" customHeight="1">
      <c r="A165" s="2">
        <v>2084035366</v>
      </c>
      <c r="B165" s="2" t="s">
        <v>1280</v>
      </c>
      <c r="C165" s="2" t="s">
        <v>1282</v>
      </c>
      <c r="D165" s="2" t="s">
        <v>1283</v>
      </c>
      <c r="E165" s="4" t="str">
        <f ca="1">IFERROR(__xludf.DUMMYFUNCTION("GOOGLETRANSLATE(B165,""ja"",""vi"")"),"Bakabon")</f>
        <v>Bakabon</v>
      </c>
      <c r="F165" s="4" t="str">
        <f ca="1">IFERROR(__xludf.DUMMYFUNCTION("GOOGLETRANSLATE(C165,""ja"",""vi"")"),"Đấu giá&gt; truyện tranh, phim hoạt hình hàng hóa&gt; bởi công việc&gt; row&gt; Bakabon")</f>
        <v>Đấu giá&gt; truyện tranh, phim hoạt hình hàng hóa&gt; bởi công việc&gt; row&gt; Bakabon</v>
      </c>
      <c r="G165" t="str">
        <f t="shared" ca="1" si="2"/>
        <v>"2084035366" : "Bakabon",</v>
      </c>
    </row>
    <row r="166" spans="1:7" ht="14.25" customHeight="1">
      <c r="A166" s="2">
        <v>2084044159</v>
      </c>
      <c r="B166" s="2" t="s">
        <v>1285</v>
      </c>
      <c r="C166" s="2" t="s">
        <v>1287</v>
      </c>
      <c r="D166" s="2" t="s">
        <v>1289</v>
      </c>
      <c r="E166" s="4" t="str">
        <f ca="1">IFERROR(__xludf.DUMMYFUNCTION("GOOGLETRANSLATE(B166,""ja"",""vi"")"),"Baki")</f>
        <v>Baki</v>
      </c>
      <c r="F166" s="4" t="str">
        <f ca="1">IFERROR(__xludf.DUMMYFUNCTION("GOOGLETRANSLATE(C166,""ja"",""vi"")"),"Đấu giá&gt; truyện tranh, phim hoạt hình hàng hóa&gt; bởi công việc&gt; row&gt; Baki")</f>
        <v>Đấu giá&gt; truyện tranh, phim hoạt hình hàng hóa&gt; bởi công việc&gt; row&gt; Baki</v>
      </c>
      <c r="G166" t="str">
        <f t="shared" ca="1" si="2"/>
        <v>"2084044159" : "Baki",</v>
      </c>
    </row>
    <row r="167" spans="1:7" ht="14.25" customHeight="1">
      <c r="A167" s="2">
        <v>2084035718</v>
      </c>
      <c r="B167" s="2" t="s">
        <v>1296</v>
      </c>
      <c r="C167" s="2" t="s">
        <v>1298</v>
      </c>
      <c r="D167" s="2" t="s">
        <v>1299</v>
      </c>
      <c r="E167" s="4" t="str">
        <f ca="1">IFERROR(__xludf.DUMMYFUNCTION("GOOGLETRANSLATE(B167,""ja"",""vi"")"),"Các vận động viên chiến")</f>
        <v>Các vận động viên chiến</v>
      </c>
      <c r="F167" s="4" t="str">
        <f ca="1">IFERROR(__xludf.DUMMYFUNCTION("GOOGLETRANSLATE(C167,""ja"",""vi"")"),"Đấu giá&gt; truyện tranh, phim hoạt hình hàng hóa&gt; bởi công việc&gt; a row&gt; Các vận động viên Trận")</f>
        <v>Đấu giá&gt; truyện tranh, phim hoạt hình hàng hóa&gt; bởi công việc&gt; a row&gt; Các vận động viên Trận</v>
      </c>
      <c r="G167" t="str">
        <f t="shared" ca="1" si="2"/>
        <v>"2084035718" : "Các vận động viên chiến",</v>
      </c>
    </row>
    <row r="168" spans="1:7" ht="14.25" customHeight="1">
      <c r="A168" s="2">
        <v>2084044269</v>
      </c>
      <c r="B168" s="2" t="s">
        <v>1303</v>
      </c>
      <c r="C168" s="2" t="s">
        <v>1305</v>
      </c>
      <c r="D168" s="2" t="s">
        <v>1307</v>
      </c>
      <c r="E168" s="4" t="str">
        <f ca="1">IFERROR(__xludf.DUMMYFUNCTION("GOOGLETRANSLATE(B168,""ja"",""vi"")"),"Powerpuff Girls")</f>
        <v>Powerpuff Girls</v>
      </c>
      <c r="F168" s="4" t="str">
        <f ca="1">IFERROR(__xludf.DUMMYFUNCTION("GOOGLETRANSLATE(C168,""ja"",""vi"")"),"Đấu giá&gt; truyện tranh, phim hoạt hình hàng hóa&gt; bởi công việc&gt; row&gt; Powerpuff Girls")</f>
        <v>Đấu giá&gt; truyện tranh, phim hoạt hình hàng hóa&gt; bởi công việc&gt; row&gt; Powerpuff Girls</v>
      </c>
      <c r="G168" t="str">
        <f t="shared" ca="1" si="2"/>
        <v>"2084044269" : "Powerpuff Girls",</v>
      </c>
    </row>
    <row r="169" spans="1:7" ht="14.25" customHeight="1">
      <c r="A169" s="2">
        <v>2084035698</v>
      </c>
      <c r="B169" s="2" t="s">
        <v>1310</v>
      </c>
      <c r="C169" s="2" t="s">
        <v>1312</v>
      </c>
      <c r="D169" s="2" t="s">
        <v>1314</v>
      </c>
      <c r="E169" s="4" t="str">
        <f ca="1">IFERROR(__xludf.DUMMYFUNCTION("GOOGLETRANSLATE(B169,""ja"",""vi"")"),"Stories Five Star")</f>
        <v>Stories Five Star</v>
      </c>
      <c r="F169" s="4" t="str">
        <f ca="1">IFERROR(__xludf.DUMMYFUNCTION("GOOGLETRANSLATE(C169,""ja"",""vi"")"),"Đấu giá&gt; truyện tranh, phim hoạt hình hàng hóa&gt; bởi công việc&gt; row&gt; Các Câu chuyện Five Star")</f>
        <v>Đấu giá&gt; truyện tranh, phim hoạt hình hàng hóa&gt; bởi công việc&gt; row&gt; Các Câu chuyện Five Star</v>
      </c>
      <c r="G169" t="str">
        <f t="shared" ca="1" si="2"/>
        <v>"2084035698" : "Stories Five Star",</v>
      </c>
    </row>
    <row r="170" spans="1:7" ht="14.25" customHeight="1">
      <c r="A170" s="2">
        <v>2084035703</v>
      </c>
      <c r="B170" s="2" t="s">
        <v>1318</v>
      </c>
      <c r="C170" s="2" t="s">
        <v>1320</v>
      </c>
      <c r="D170" s="2" t="s">
        <v>1322</v>
      </c>
      <c r="E170" s="4" t="str">
        <f ca="1">IFERROR(__xludf.DUMMYFUNCTION("GOOGLETRANSLATE(B170,""ja"",""vi"")"),"Chó của Flanders")</f>
        <v>Chó của Flanders</v>
      </c>
      <c r="F170" s="4" t="str">
        <f ca="1">IFERROR(__xludf.DUMMYFUNCTION("GOOGLETRANSLATE(C170,""ja"",""vi"")"),"Đấu giá&gt; truyện tranh, phim hoạt hình hàng hóa&gt; bởi công việc&gt; row&gt; Chó của Flanders")</f>
        <v>Đấu giá&gt; truyện tranh, phim hoạt hình hàng hóa&gt; bởi công việc&gt; row&gt; Chó của Flanders</v>
      </c>
      <c r="G170" t="str">
        <f t="shared" ca="1" si="2"/>
        <v>"2084035703" : "Chó của Flanders",</v>
      </c>
    </row>
    <row r="171" spans="1:7" ht="14.25" customHeight="1">
      <c r="A171" s="2">
        <v>2084035702</v>
      </c>
      <c r="B171" s="2" t="s">
        <v>1325</v>
      </c>
      <c r="C171" s="2" t="s">
        <v>1326</v>
      </c>
      <c r="D171" s="2" t="s">
        <v>1327</v>
      </c>
      <c r="E171" s="4" t="str">
        <f ca="1">IFERROR(__xludf.DUMMYFUNCTION("GOOGLETRANSLATE(B171,""ja"",""vi"")"),"Blackjack")</f>
        <v>Blackjack</v>
      </c>
      <c r="F171" s="4" t="str">
        <f ca="1">IFERROR(__xludf.DUMMYFUNCTION("GOOGLETRANSLATE(C171,""ja"",""vi"")"),"Đấu giá&gt; truyện tranh, phim hoạt hình hàng hóa&gt; bởi công việc&gt; row&gt; Blackjack")</f>
        <v>Đấu giá&gt; truyện tranh, phim hoạt hình hàng hóa&gt; bởi công việc&gt; row&gt; Blackjack</v>
      </c>
      <c r="G171" t="str">
        <f t="shared" ca="1" si="2"/>
        <v>"2084035702" : "Blackjack",</v>
      </c>
    </row>
    <row r="172" spans="1:7" ht="14.25" customHeight="1">
      <c r="A172" s="2">
        <v>2084309700</v>
      </c>
      <c r="B172" s="2" t="s">
        <v>1331</v>
      </c>
      <c r="C172" s="2" t="s">
        <v>1332</v>
      </c>
      <c r="D172" s="2" t="s">
        <v>1333</v>
      </c>
      <c r="E172" s="4" t="str">
        <f ca="1">IFERROR(__xludf.DUMMYFUNCTION("GOOGLETRANSLATE(B172,""ja"",""vi"")"),"Pretty Cure")</f>
        <v>Pretty Cure</v>
      </c>
      <c r="F172" s="4" t="str">
        <f ca="1">IFERROR(__xludf.DUMMYFUNCTION("GOOGLETRANSLATE(C172,""ja"",""vi"")"),"Đấu giá&gt; truyện tranh, phim hoạt hình hàng hóa&gt; bởi công việc&gt; row&gt; Pretty Cure")</f>
        <v>Đấu giá&gt; truyện tranh, phim hoạt hình hàng hóa&gt; bởi công việc&gt; row&gt; Pretty Cure</v>
      </c>
      <c r="G172" t="str">
        <f t="shared" ca="1" si="2"/>
        <v>"2084309700" : "Pretty Cure",</v>
      </c>
    </row>
    <row r="173" spans="1:7" ht="14.25" customHeight="1">
      <c r="A173" s="2">
        <v>2084309702</v>
      </c>
      <c r="B173" s="2" t="s">
        <v>1338</v>
      </c>
      <c r="C173" s="2" t="s">
        <v>1340</v>
      </c>
      <c r="D173" s="2" t="s">
        <v>1341</v>
      </c>
      <c r="E173" s="4" t="str">
        <f ca="1">IFERROR(__xludf.DUMMYFUNCTION("GOOGLETRANSLATE(B173,""ja"",""vi"")"),"Hetalia")</f>
        <v>Hetalia</v>
      </c>
      <c r="F173" s="4" t="str">
        <f ca="1">IFERROR(__xludf.DUMMYFUNCTION("GOOGLETRANSLATE(C173,""ja"",""vi"")"),"Đấu giá&gt; truyện tranh, phim hoạt hình hàng hóa&gt; bởi công việc&gt; row&gt; Hetalia")</f>
        <v>Đấu giá&gt; truyện tranh, phim hoạt hình hàng hóa&gt; bởi công việc&gt; row&gt; Hetalia</v>
      </c>
      <c r="G173" t="str">
        <f t="shared" ca="1" si="2"/>
        <v>"2084309702" : "Hetalia",</v>
      </c>
    </row>
    <row r="174" spans="1:7" ht="14.25" customHeight="1">
      <c r="A174" s="2">
        <v>2084035707</v>
      </c>
      <c r="B174" s="2" t="s">
        <v>1347</v>
      </c>
      <c r="C174" s="2" t="s">
        <v>1349</v>
      </c>
      <c r="D174" s="2" t="s">
        <v>1350</v>
      </c>
      <c r="E174" s="4" t="str">
        <f ca="1">IFERROR(__xludf.DUMMYFUNCTION("GOOGLETRANSLATE(B174,""ja"",""vi"")"),"The Rose of Versailles")</f>
        <v>The Rose of Versailles</v>
      </c>
      <c r="F174" s="4" t="str">
        <f ca="1">IFERROR(__xludf.DUMMYFUNCTION("GOOGLETRANSLATE(C174,""ja"",""vi"")"),"Đấu giá&gt; truyện tranh, phim hoạt hình hàng hóa&gt; bởi công việc&gt; hàng&gt; The Rose of Versailles")</f>
        <v>Đấu giá&gt; truyện tranh, phim hoạt hình hàng hóa&gt; bởi công việc&gt; hàng&gt; The Rose of Versailles</v>
      </c>
      <c r="G174" t="str">
        <f t="shared" ca="1" si="2"/>
        <v>"2084035707" : "The Rose of Versailles",</v>
      </c>
    </row>
    <row r="175" spans="1:7" ht="14.25" customHeight="1">
      <c r="A175" s="2">
        <v>2084035708</v>
      </c>
      <c r="B175" s="2" t="s">
        <v>1356</v>
      </c>
      <c r="C175" s="2" t="s">
        <v>1357</v>
      </c>
      <c r="D175" s="2" t="s">
        <v>1360</v>
      </c>
      <c r="E175" s="4" t="str">
        <f ca="1">IFERROR(__xludf.DUMMYFUNCTION("GOOGLETRANSLATE(B175,""ja"",""vi"")"),"điên khùng")</f>
        <v>điên khùng</v>
      </c>
      <c r="F175" s="4" t="str">
        <f ca="1">IFERROR(__xludf.DUMMYFUNCTION("GOOGLETRANSLATE(C175,""ja"",""vi"")"),"Đấu giá&gt; truyện tranh, phim hoạt hình hàng hóa&gt; bởi công việc&gt; row&gt; Berserk")</f>
        <v>Đấu giá&gt; truyện tranh, phim hoạt hình hàng hóa&gt; bởi công việc&gt; row&gt; Berserk</v>
      </c>
      <c r="G175" t="str">
        <f t="shared" ca="1" si="2"/>
        <v>"2084035708" : "điên khùng",</v>
      </c>
    </row>
    <row r="176" spans="1:7" ht="14.25" customHeight="1">
      <c r="A176" s="2">
        <v>2084309703</v>
      </c>
      <c r="B176" s="2" t="s">
        <v>1364</v>
      </c>
      <c r="C176" s="2" t="s">
        <v>1366</v>
      </c>
      <c r="D176" s="2" t="s">
        <v>1370</v>
      </c>
      <c r="E176" s="4" t="str">
        <f ca="1">IFERROR(__xludf.DUMMYFUNCTION("GOOGLETRANSLATE(B176,""ja"",""vi"")"),"Vocaloid")</f>
        <v>Vocaloid</v>
      </c>
      <c r="F176" s="4" t="str">
        <f ca="1">IFERROR(__xludf.DUMMYFUNCTION("GOOGLETRANSLATE(C176,""ja"",""vi"")"),"Đấu giá&gt; truyện tranh, phim hoạt hình hàng hóa&gt; bởi công việc&gt; row&gt; Vocaloid")</f>
        <v>Đấu giá&gt; truyện tranh, phim hoạt hình hàng hóa&gt; bởi công việc&gt; row&gt; Vocaloid</v>
      </c>
      <c r="G176" t="str">
        <f t="shared" ca="1" si="2"/>
        <v>"2084309703" : "Vocaloid",</v>
      </c>
    </row>
    <row r="177" spans="1:7" ht="14.25" customHeight="1">
      <c r="A177" s="2">
        <v>2084035106</v>
      </c>
      <c r="B177" s="2" t="s">
        <v>1375</v>
      </c>
      <c r="C177" s="2" t="s">
        <v>1377</v>
      </c>
      <c r="D177" s="2" t="s">
        <v>1378</v>
      </c>
      <c r="E177" s="4" t="str">
        <f ca="1">IFERROR(__xludf.DUMMYFUNCTION("GOOGLETRANSLATE(B177,""ja"",""vi"")"),"đáy")</f>
        <v>đáy</v>
      </c>
      <c r="F177" s="4" t="str">
        <f ca="1">IFERROR(__xludf.DUMMYFUNCTION("GOOGLETRANSLATE(C177,""ja"",""vi"")"),"Đấu giá&gt; truyện tranh, phim hoạt hình hàng hóa&gt; bởi công việc&gt; row&gt; Bottoms")</f>
        <v>Đấu giá&gt; truyện tranh, phim hoạt hình hàng hóa&gt; bởi công việc&gt; row&gt; Bottoms</v>
      </c>
      <c r="G177" t="str">
        <f t="shared" ca="1" si="2"/>
        <v>"2084035106" : "đáy",</v>
      </c>
    </row>
    <row r="178" spans="1:7" ht="14.25" customHeight="1">
      <c r="A178" s="2">
        <v>27813</v>
      </c>
      <c r="B178" s="2" t="s">
        <v>1382</v>
      </c>
      <c r="C178" s="2" t="s">
        <v>1383</v>
      </c>
      <c r="D178" s="2" t="s">
        <v>1384</v>
      </c>
      <c r="E178" s="4" t="str">
        <f ca="1">IFERROR(__xludf.DUMMYFUNCTION("GOOGLETRANSLATE(B178,""ja"",""vi"")"),"Pokemon")</f>
        <v>Pokemon</v>
      </c>
      <c r="F178" s="4" t="str">
        <f ca="1">IFERROR(__xludf.DUMMYFUNCTION("GOOGLETRANSLATE(C178,""ja"",""vi"")"),"Đấu giá&gt; truyện tranh, phim hoạt hình hàng hóa&gt; bởi công việc&gt; row&gt; Pokemon")</f>
        <v>Đấu giá&gt; truyện tranh, phim hoạt hình hàng hóa&gt; bởi công việc&gt; row&gt; Pokemon</v>
      </c>
      <c r="G178" t="str">
        <f t="shared" ca="1" si="2"/>
        <v>"27813" : "Pokemon",</v>
      </c>
    </row>
    <row r="179" spans="1:7" ht="14.25" customHeight="1">
      <c r="A179" s="2">
        <v>2084044310</v>
      </c>
      <c r="B179" s="2" t="s">
        <v>259</v>
      </c>
      <c r="C179" s="2" t="s">
        <v>1388</v>
      </c>
      <c r="D179" s="2" t="s">
        <v>1389</v>
      </c>
      <c r="E179" s="4" t="str">
        <f ca="1">IFERROR(__xludf.DUMMYFUNCTION("GOOGLETRANSLATE(B179,""ja"",""vi"")"),"Weiss Kreuz")</f>
        <v>Weiss Kreuz</v>
      </c>
      <c r="F179" s="4" t="str">
        <f ca="1">IFERROR(__xludf.DUMMYFUNCTION("GOOGLETRANSLATE(C179,""ja"",""vi"")"),"Đấu giá&gt; truyện tranh, phim hoạt hình hàng hóa&gt; bởi công việc&gt; row&gt; Weiss Kreuz")</f>
        <v>Đấu giá&gt; truyện tranh, phim hoạt hình hàng hóa&gt; bởi công việc&gt; row&gt; Weiss Kreuz</v>
      </c>
      <c r="G179" t="str">
        <f t="shared" ca="1" si="2"/>
        <v>"2084044310" : "Weiss Kreuz",</v>
      </c>
    </row>
    <row r="180" spans="1:7" ht="14.25" customHeight="1">
      <c r="A180" s="2">
        <v>2084051266</v>
      </c>
      <c r="B180" s="2" t="s">
        <v>1392</v>
      </c>
      <c r="C180" s="2" t="s">
        <v>1394</v>
      </c>
      <c r="D180" s="2" t="s">
        <v>1396</v>
      </c>
      <c r="E180" s="4" t="str">
        <f ca="1">IFERROR(__xludf.DUMMYFUNCTION("GOOGLETRANSLATE(B180,""ja"",""vi"")"),"Fullmetal Alchemist")</f>
        <v>Fullmetal Alchemist</v>
      </c>
      <c r="F180" s="4" t="str">
        <f ca="1">IFERROR(__xludf.DUMMYFUNCTION("GOOGLETRANSLATE(C180,""ja"",""vi"")"),"Đấu giá&gt; truyện tranh, phim hoạt hình hàng hóa&gt; bởi công việc&gt; row&gt; Alchemist")</f>
        <v>Đấu giá&gt; truyện tranh, phim hoạt hình hàng hóa&gt; bởi công việc&gt; row&gt; Alchemist</v>
      </c>
      <c r="G180" t="str">
        <f t="shared" ca="1" si="2"/>
        <v>"2084051266" : "Fullmetal Alchemist",</v>
      </c>
    </row>
    <row r="181" spans="1:7" ht="14.25" customHeight="1">
      <c r="A181" s="2">
        <v>2084035712</v>
      </c>
      <c r="B181" s="2" t="s">
        <v>1402</v>
      </c>
      <c r="C181" s="2" t="s">
        <v>1404</v>
      </c>
      <c r="D181" s="2" t="s">
        <v>1405</v>
      </c>
      <c r="E181" s="4" t="str">
        <f ca="1">IFERROR(__xludf.DUMMYFUNCTION("GOOGLETRANSLATE(B181,""ja"",""vi"")"),"Hảo Taikei Ryu Hiệp sĩ")</f>
        <v>Hảo Taikei Ryu Hiệp sĩ</v>
      </c>
      <c r="F181" s="4" t="str">
        <f ca="1">IFERROR(__xludf.DUMMYFUNCTION("GOOGLETRANSLATE(C181,""ja"",""vi"")"),"Đấu giá&gt; truyện tranh, phim hoạt hình hàng hóa&gt; bởi công việc&gt; row&gt; Hảo Taikei Ryu Hiệp sĩ")</f>
        <v>Đấu giá&gt; truyện tranh, phim hoạt hình hàng hóa&gt; bởi công việc&gt; row&gt; Hảo Taikei Ryu Hiệp sĩ</v>
      </c>
      <c r="G181" t="str">
        <f t="shared" ca="1" si="2"/>
        <v>"2084035712" : "Hảo Taikei Ryu Hiệp sĩ",</v>
      </c>
    </row>
    <row r="182" spans="1:7" ht="14.25" customHeight="1">
      <c r="A182" s="2">
        <v>2084035693</v>
      </c>
      <c r="B182" s="2" t="s">
        <v>1408</v>
      </c>
      <c r="C182" s="2" t="s">
        <v>1411</v>
      </c>
      <c r="D182" s="2" t="s">
        <v>1412</v>
      </c>
      <c r="E182" s="4" t="str">
        <f ca="1">IFERROR(__xludf.DUMMYFUNCTION("GOOGLETRANSLATE(B182,""ja"",""vi"")"),"bão Polymar")</f>
        <v>bão Polymar</v>
      </c>
      <c r="F182" s="4" t="str">
        <f ca="1">IFERROR(__xludf.DUMMYFUNCTION("GOOGLETRANSLATE(C182,""ja"",""vi"")"),"Đấu giá&gt; truyện tranh, phim hoạt hình hàng hóa&gt; bởi công việc&gt; row&gt; Bão Polymar")</f>
        <v>Đấu giá&gt; truyện tranh, phim hoạt hình hàng hóa&gt; bởi công việc&gt; row&gt; Bão Polymar</v>
      </c>
      <c r="G182" t="str">
        <f t="shared" ca="1" si="2"/>
        <v>"2084035693" : "bão Polymar",</v>
      </c>
    </row>
    <row r="183" spans="1:7" ht="14.25" customHeight="1">
      <c r="A183" s="2">
        <v>2084309698</v>
      </c>
      <c r="B183" s="2" t="s">
        <v>1417</v>
      </c>
      <c r="C183" s="2" t="s">
        <v>1418</v>
      </c>
      <c r="D183" s="2" t="s">
        <v>1420</v>
      </c>
      <c r="E183" s="4" t="str">
        <f ca="1">IFERROR(__xludf.DUMMYFUNCTION("GOOGLETRANSLATE(B183,""ja"",""vi"")"),"Hakuoki")</f>
        <v>Hakuoki</v>
      </c>
      <c r="F183" s="4" t="str">
        <f ca="1">IFERROR(__xludf.DUMMYFUNCTION("GOOGLETRANSLATE(C183,""ja"",""vi"")"),"Đấu giá&gt; truyện tranh, phim hoạt hình hàng hóa&gt; bởi công việc&gt; row&gt; Hakuoki")</f>
        <v>Đấu giá&gt; truyện tranh, phim hoạt hình hàng hóa&gt; bởi công việc&gt; row&gt; Hakuoki</v>
      </c>
      <c r="G183" t="str">
        <f t="shared" ca="1" si="2"/>
        <v>"2084309698" : "Hakuoki",</v>
      </c>
    </row>
    <row r="184" spans="1:7" ht="14.25" customHeight="1">
      <c r="A184" s="2">
        <v>2084035713</v>
      </c>
      <c r="B184" s="2" t="s">
        <v>1424</v>
      </c>
      <c r="C184" s="2" t="s">
        <v>1425</v>
      </c>
      <c r="D184" s="2" t="s">
        <v>1427</v>
      </c>
      <c r="E184" s="4" t="str">
        <f ca="1">IFERROR(__xludf.DUMMYFUNCTION("GOOGLETRANSLATE(B184,""ja"",""vi"")"),"Roaring Brothers Hãy &amp; Go !!")</f>
        <v>Roaring Brothers Hãy &amp; Go !!</v>
      </c>
      <c r="F184" s="4" t="str">
        <f ca="1">IFERROR(__xludf.DUMMYFUNCTION("GOOGLETRANSLATE(C184,""ja"",""vi"")"),"Đấu giá&gt; truyện tranh, phim hoạt hình hàng hóa&gt; bởi công việc&gt; row&gt; Bakusou Brothers Hãy &amp; Go !!")</f>
        <v>Đấu giá&gt; truyện tranh, phim hoạt hình hàng hóa&gt; bởi công việc&gt; row&gt; Bakusou Brothers Hãy &amp; Go !!</v>
      </c>
      <c r="G184" t="str">
        <f t="shared" ca="1" si="2"/>
        <v>"2084035713" : "Roaring Brothers Hãy &amp; Go !!",</v>
      </c>
    </row>
    <row r="185" spans="1:7" ht="14.25" customHeight="1">
      <c r="A185" s="2">
        <v>2084007400</v>
      </c>
      <c r="B185" s="2" t="s">
        <v>1432</v>
      </c>
      <c r="C185" s="2" t="s">
        <v>1434</v>
      </c>
      <c r="D185" s="2" t="s">
        <v>1436</v>
      </c>
      <c r="E185" s="4" t="str">
        <f ca="1">IFERROR(__xludf.DUMMYFUNCTION("GOOGLETRANSLATE(B185,""ja"",""vi"")"),"Hoshin Engi")</f>
        <v>Hoshin Engi</v>
      </c>
      <c r="F185" s="4" t="str">
        <f ca="1">IFERROR(__xludf.DUMMYFUNCTION("GOOGLETRANSLATE(C185,""ja"",""vi"")"),"Đấu giá&gt; truyện tranh, phim hoạt hình hàng hóa&gt; bởi công việc&gt; row&gt; Hoshin Engi")</f>
        <v>Đấu giá&gt; truyện tranh, phim hoạt hình hàng hóa&gt; bởi công việc&gt; row&gt; Hoshin Engi</v>
      </c>
      <c r="G185" t="str">
        <f t="shared" ca="1" si="2"/>
        <v>"2084007400" : "Hoshin Engi",</v>
      </c>
    </row>
    <row r="186" spans="1:7" ht="14.25" customHeight="1">
      <c r="A186" s="2">
        <v>2084035719</v>
      </c>
      <c r="B186" s="2" t="s">
        <v>1440</v>
      </c>
      <c r="C186" s="2" t="s">
        <v>1441</v>
      </c>
      <c r="D186" s="2" t="s">
        <v>1443</v>
      </c>
      <c r="E186" s="4" t="str">
        <f ca="1">IFERROR(__xludf.DUMMYFUNCTION("GOOGLETRANSLATE(B186,""ja"",""vi"")"),"3000 Giải đấu trong tìm kiếm của Mẹ")</f>
        <v>3000 Giải đấu trong tìm kiếm của Mẹ</v>
      </c>
      <c r="F186" s="4" t="str">
        <f ca="1">IFERROR(__xludf.DUMMYFUNCTION("GOOGLETRANSLATE(C186,""ja"",""vi"")"),"Đấu giá&gt; truyện tranh, ba hỏi những hàng hóa phim hoạt hình&gt; bởi công việc&gt; row&gt; mẹ Chisato")</f>
        <v>Đấu giá&gt; truyện tranh, ba hỏi những hàng hóa phim hoạt hình&gt; bởi công việc&gt; row&gt; mẹ Chisato</v>
      </c>
      <c r="G186" t="str">
        <f t="shared" ca="1" si="2"/>
        <v>"2084035719" : "3000 Giải đấu trong tìm kiếm của Mẹ",</v>
      </c>
    </row>
    <row r="187" spans="1:7" ht="14.25" customHeight="1">
      <c r="A187" s="2">
        <v>2084035710</v>
      </c>
      <c r="B187" s="2" t="s">
        <v>1447</v>
      </c>
      <c r="C187" s="2" t="s">
        <v>1448</v>
      </c>
      <c r="D187" s="2" t="s">
        <v>1449</v>
      </c>
      <c r="E187" s="4" t="str">
        <f ca="1">IFERROR(__xludf.DUMMYFUNCTION("GOOGLETRANSLATE(B187,""ja"",""vi"")"),"Fist of the North Star")</f>
        <v>Fist of the North Star</v>
      </c>
      <c r="F187" s="4" t="str">
        <f ca="1">IFERROR(__xludf.DUMMYFUNCTION("GOOGLETRANSLATE(C187,""ja"",""vi"")"),"Đấu giá&gt; truyện tranh, nắm tay của anime hàng&gt; bởi công việc&gt; row&gt; Hokuto")</f>
        <v>Đấu giá&gt; truyện tranh, nắm tay của anime hàng&gt; bởi công việc&gt; row&gt; Hokuto</v>
      </c>
      <c r="G187" t="str">
        <f t="shared" ca="1" si="2"/>
        <v>"2084035710" : "Fist of the North Star",</v>
      </c>
    </row>
    <row r="188" spans="1:7" ht="14.25" customHeight="1">
      <c r="A188" s="2">
        <v>2084035694</v>
      </c>
      <c r="B188" s="2" t="s">
        <v>1454</v>
      </c>
      <c r="C188" s="2" t="s">
        <v>1455</v>
      </c>
      <c r="D188" s="2" t="s">
        <v>1456</v>
      </c>
      <c r="E188" s="4" t="str">
        <f ca="1">IFERROR(__xludf.DUMMYFUNCTION("GOOGLETRANSLATE(B188,""ja"",""vi"")"),"Tất cả các mục đích văn hóa Cát Cô gái Nuku Nuku")</f>
        <v>Tất cả các mục đích văn hóa Cát Cô gái Nuku Nuku</v>
      </c>
      <c r="F188" s="4" t="str">
        <f ca="1">IFERROR(__xludf.DUMMYFUNCTION("GOOGLETRANSLATE(C188,""ja"",""vi"")"),"Đấu giá&gt; truyện tranh, phim hoạt hình hàng hóa&gt; bởi công việc&gt; row&gt; All Purpose văn hóa Cát Cô gái Nuku Nuku")</f>
        <v>Đấu giá&gt; truyện tranh, phim hoạt hình hàng hóa&gt; bởi công việc&gt; row&gt; All Purpose văn hóa Cát Cô gái Nuku Nuku</v>
      </c>
      <c r="G188" t="str">
        <f t="shared" ca="1" si="2"/>
        <v>"2084035694" : "Tất cả các mục đích văn hóa Cát Cô gái Nuku Nuku",</v>
      </c>
    </row>
    <row r="189" spans="1:7" ht="14.25" customHeight="1">
      <c r="A189" s="2">
        <v>2084006266</v>
      </c>
      <c r="B189" s="2" t="s">
        <v>1461</v>
      </c>
      <c r="C189" s="2" t="s">
        <v>1462</v>
      </c>
      <c r="D189" s="2" t="s">
        <v>1463</v>
      </c>
      <c r="E189" s="4" t="str">
        <f ca="1">IFERROR(__xludf.DUMMYFUNCTION("GOOGLETRANSLATE(B189,""ja"",""vi"")"),"Mamotte tháng trời bổn mạng")</f>
        <v>Mamotte tháng trời bổn mạng</v>
      </c>
      <c r="F189" s="4" t="str">
        <f ca="1">IFERROR(__xludf.DUMMYFUNCTION("GOOGLETRANSLATE(C189,""ja"",""vi"")"),"Đấu giá&gt; truyện tranh, phim hoạt hình hàng hóa&gt; bởi công việc&gt; hoặc hàng&gt; tháng trời Mamotte bổn mạng")</f>
        <v>Đấu giá&gt; truyện tranh, phim hoạt hình hàng hóa&gt; bởi công việc&gt; hoặc hàng&gt; tháng trời Mamotte bổn mạng</v>
      </c>
      <c r="G189" t="str">
        <f t="shared" ca="1" si="2"/>
        <v>"2084006266" : "Mamotte tháng trời bổn mạng",</v>
      </c>
    </row>
    <row r="190" spans="1:7" ht="14.25" customHeight="1">
      <c r="A190" s="2">
        <v>2084035924</v>
      </c>
      <c r="B190" s="2" t="s">
        <v>1468</v>
      </c>
      <c r="C190" s="2" t="s">
        <v>1470</v>
      </c>
      <c r="D190" s="2" t="s">
        <v>1473</v>
      </c>
      <c r="E190" s="4" t="str">
        <f ca="1">IFERROR(__xludf.DUMMYFUNCTION("GOOGLETRANSLATE(B190,""ja"",""vi"")"),"Maison Ikkoku")</f>
        <v>Maison Ikkoku</v>
      </c>
      <c r="F190" s="4" t="str">
        <f ca="1">IFERROR(__xludf.DUMMYFUNCTION("GOOGLETRANSLATE(C190,""ja"",""vi"")"),"Đấu giá&gt; truyện tranh, phim hoạt hình hàng hóa&gt; bởi công việc&gt; hoặc dòng&gt; Maison Ikkoku")</f>
        <v>Đấu giá&gt; truyện tranh, phim hoạt hình hàng hóa&gt; bởi công việc&gt; hoặc dòng&gt; Maison Ikkoku</v>
      </c>
      <c r="G190" t="str">
        <f t="shared" ca="1" si="2"/>
        <v>"2084035924" : "Maison Ikkoku",</v>
      </c>
    </row>
    <row r="191" spans="1:7" ht="14.25" customHeight="1">
      <c r="A191" s="2">
        <v>2084035925</v>
      </c>
      <c r="B191" s="2" t="s">
        <v>1479</v>
      </c>
      <c r="C191" s="2" t="s">
        <v>1480</v>
      </c>
      <c r="D191" s="2" t="s">
        <v>1481</v>
      </c>
      <c r="E191" s="4" t="str">
        <f ca="1">IFERROR(__xludf.DUMMYFUNCTION("GOOGLETRANSLATE(B191,""ja"",""vi"")"),"princess Mononoke")</f>
        <v>princess Mononoke</v>
      </c>
      <c r="F191" s="4" t="str">
        <f ca="1">IFERROR(__xludf.DUMMYFUNCTION("GOOGLETRANSLATE(C191,""ja"",""vi"")"),"Đấu giá&gt; truyện tranh, phim hoạt hình hàng hóa&gt; bởi công việc&gt; hoặc hàng&gt; Princess Mononoke")</f>
        <v>Đấu giá&gt; truyện tranh, phim hoạt hình hàng hóa&gt; bởi công việc&gt; hoặc hàng&gt; Princess Mononoke</v>
      </c>
      <c r="G191" t="str">
        <f t="shared" ca="1" si="2"/>
        <v>"2084035925" : "princess Mononoke",</v>
      </c>
    </row>
    <row r="192" spans="1:7" ht="14.25" customHeight="1">
      <c r="A192" s="2">
        <v>2084309708</v>
      </c>
      <c r="B192" s="2" t="s">
        <v>1486</v>
      </c>
      <c r="C192" s="2" t="s">
        <v>1489</v>
      </c>
      <c r="D192" s="2" t="s">
        <v>1490</v>
      </c>
      <c r="E192" s="4" t="str">
        <f ca="1">IFERROR(__xludf.DUMMYFUNCTION("GOOGLETRANSLATE(B192,""ja"",""vi"")"),"Magi")</f>
        <v>Magi</v>
      </c>
      <c r="F192" s="4" t="str">
        <f ca="1">IFERROR(__xludf.DUMMYFUNCTION("GOOGLETRANSLATE(C192,""ja"",""vi"")"),"Đấu giá&gt; truyện tranh, phim hoạt hình hàng hóa&gt; bởi công việc&gt; hoặc hàng&gt; Magi")</f>
        <v>Đấu giá&gt; truyện tranh, phim hoạt hình hàng hóa&gt; bởi công việc&gt; hoặc hàng&gt; Magi</v>
      </c>
      <c r="G192" t="str">
        <f t="shared" ca="1" si="2"/>
        <v>"2084309708" : "Magi",</v>
      </c>
    </row>
    <row r="193" spans="1:7" ht="14.25" customHeight="1">
      <c r="A193" s="2">
        <v>2084006272</v>
      </c>
      <c r="B193" s="2" t="s">
        <v>1494</v>
      </c>
      <c r="C193" s="2" t="s">
        <v>1496</v>
      </c>
      <c r="D193" s="2" t="s">
        <v>1498</v>
      </c>
      <c r="E193" s="4" t="str">
        <f ca="1">IFERROR(__xludf.DUMMYFUNCTION("GOOGLETRANSLATE(B193,""ja"",""vi"")"),"Macross")</f>
        <v>Macross</v>
      </c>
      <c r="F193" s="4" t="str">
        <f ca="1">IFERROR(__xludf.DUMMYFUNCTION("GOOGLETRANSLATE(C193,""ja"",""vi"")"),"Đấu giá&gt; truyện tranh, phim hoạt hình hàng hóa&gt; bởi công việc&gt; hoặc hàng&gt; Macross")</f>
        <v>Đấu giá&gt; truyện tranh, phim hoạt hình hàng hóa&gt; bởi công việc&gt; hoặc hàng&gt; Macross</v>
      </c>
      <c r="G193" t="str">
        <f t="shared" ca="1" si="2"/>
        <v>"2084006272" : "Macross",</v>
      </c>
    </row>
    <row r="194" spans="1:7" ht="14.25" customHeight="1">
      <c r="A194" s="2">
        <v>2084035930</v>
      </c>
      <c r="B194" s="2" t="s">
        <v>1501</v>
      </c>
      <c r="C194" s="2" t="s">
        <v>1503</v>
      </c>
      <c r="D194" s="2" t="s">
        <v>1505</v>
      </c>
      <c r="E194" s="4" t="str">
        <f ca="1">IFERROR(__xludf.DUMMYFUNCTION("GOOGLETRANSLATE(B194,""ja"",""vi"")"),"Mazinger Z")</f>
        <v>Mazinger Z</v>
      </c>
      <c r="F194" s="4" t="str">
        <f ca="1">IFERROR(__xludf.DUMMYFUNCTION("GOOGLETRANSLATE(C194,""ja"",""vi"")"),"Đấu giá&gt; truyện tranh, phim hoạt hình hàng hóa&gt; bởi công việc&gt; hoặc hàng&gt; Mazinger Z")</f>
        <v>Đấu giá&gt; truyện tranh, phim hoạt hình hàng hóa&gt; bởi công việc&gt; hoặc hàng&gt; Mazinger Z</v>
      </c>
      <c r="G194" t="str">
        <f t="shared" ca="1" si="2"/>
        <v>"2084035930" : "Mazinger Z",</v>
      </c>
    </row>
    <row r="195" spans="1:7" ht="14.25" customHeight="1">
      <c r="A195" s="2">
        <v>2084035913</v>
      </c>
      <c r="B195" s="2" t="s">
        <v>1507</v>
      </c>
      <c r="C195" s="2" t="s">
        <v>1509</v>
      </c>
      <c r="D195" s="2" t="s">
        <v>1511</v>
      </c>
      <c r="E195" s="4" t="str">
        <f ca="1">IFERROR(__xludf.DUMMYFUNCTION("GOOGLETRANSLATE(B195,""ja"",""vi"")"),"Marmalade Boy")</f>
        <v>Marmalade Boy</v>
      </c>
      <c r="F195" s="4" t="str">
        <f ca="1">IFERROR(__xludf.DUMMYFUNCTION("GOOGLETRANSLATE(C195,""ja"",""vi"")"),"Đấu giá&gt; truyện tranh, phim hoạt hình hàng hóa&gt; bởi công việc&gt; hoặc hàng&gt; Marmalade Boy")</f>
        <v>Đấu giá&gt; truyện tranh, phim hoạt hình hàng hóa&gt; bởi công việc&gt; hoặc hàng&gt; Marmalade Boy</v>
      </c>
      <c r="G195" t="str">
        <f t="shared" ref="G195:G258" ca="1" si="3">CONCATENATE(CHAR(34)&amp;"",A195,""&amp;CHAR(34)," : ", CHAR(34)&amp;"",E195,""&amp;CHAR(34),",")</f>
        <v>"2084035913" : "Marmalade Boy",</v>
      </c>
    </row>
    <row r="196" spans="1:7" ht="14.25" customHeight="1">
      <c r="A196" s="2">
        <v>2084063751</v>
      </c>
      <c r="B196" s="2" t="s">
        <v>1512</v>
      </c>
      <c r="C196" s="2" t="s">
        <v>1513</v>
      </c>
      <c r="D196" s="2" t="s">
        <v>1514</v>
      </c>
      <c r="E196" s="4" t="str">
        <f ca="1">IFERROR(__xludf.DUMMYFUNCTION("GOOGLETRANSLATE(B196,""ja"",""vi"")"),"Mickey Mouse")</f>
        <v>Mickey Mouse</v>
      </c>
      <c r="F196" s="4" t="str">
        <f ca="1">IFERROR(__xludf.DUMMYFUNCTION("GOOGLETRANSLATE(C196,""ja"",""vi"")"),"Đấu giá&gt; truyện tranh, phim hoạt hình hàng hóa&gt; bởi công việc&gt; hoặc hàng&gt; Mickey Mouse")</f>
        <v>Đấu giá&gt; truyện tranh, phim hoạt hình hàng hóa&gt; bởi công việc&gt; hoặc hàng&gt; Mickey Mouse</v>
      </c>
      <c r="G196" t="str">
        <f t="shared" ca="1" si="3"/>
        <v>"2084063751" : "Mickey Mouse",</v>
      </c>
    </row>
    <row r="197" spans="1:7" ht="14.25" customHeight="1">
      <c r="A197" s="2">
        <v>2084044754</v>
      </c>
      <c r="B197" s="2" t="s">
        <v>1517</v>
      </c>
      <c r="C197" s="2" t="s">
        <v>1518</v>
      </c>
      <c r="D197" s="2" t="s">
        <v>1519</v>
      </c>
      <c r="E197" s="4" t="str">
        <f ca="1">IFERROR(__xludf.DUMMYFUNCTION("GOOGLETRANSLATE(B197,""ja"",""vi"")"),"Moomin")</f>
        <v>Moomin</v>
      </c>
      <c r="F197" s="4" t="str">
        <f ca="1">IFERROR(__xludf.DUMMYFUNCTION("GOOGLETRANSLATE(C197,""ja"",""vi"")"),"Đấu giá&gt; truyện tranh, phim hoạt hình hàng hóa&gt; bởi công việc&gt; hoặc hàng&gt; Moomin")</f>
        <v>Đấu giá&gt; truyện tranh, phim hoạt hình hàng hóa&gt; bởi công việc&gt; hoặc hàng&gt; Moomin</v>
      </c>
      <c r="G197" t="str">
        <f t="shared" ca="1" si="3"/>
        <v>"2084044754" : "Moomin",</v>
      </c>
    </row>
    <row r="198" spans="1:7" ht="14.25" customHeight="1">
      <c r="A198" s="2">
        <v>2084035923</v>
      </c>
      <c r="B198" s="2" t="s">
        <v>1522</v>
      </c>
      <c r="C198" s="2" t="s">
        <v>1523</v>
      </c>
      <c r="D198" s="2" t="s">
        <v>1524</v>
      </c>
      <c r="E198" s="4" t="str">
        <f ca="1">IFERROR(__xludf.DUMMYFUNCTION("GOOGLETRANSLATE(B198,""ja"",""vi"")"),"Megazone 23")</f>
        <v>Megazone 23</v>
      </c>
      <c r="F198" s="4" t="str">
        <f ca="1">IFERROR(__xludf.DUMMYFUNCTION("GOOGLETRANSLATE(C198,""ja"",""vi"")"),"Đấu giá&gt; truyện tranh, phim hoạt hình hàng hóa&gt; bởi công việc&gt; hoặc hàng&gt; Megazone 23")</f>
        <v>Đấu giá&gt; truyện tranh, phim hoạt hình hàng hóa&gt; bởi công việc&gt; hoặc hàng&gt; Megazone 23</v>
      </c>
      <c r="G198" t="str">
        <f t="shared" ca="1" si="3"/>
        <v>"2084035923" : "Megazone 23",</v>
      </c>
    </row>
    <row r="199" spans="1:7" ht="14.25" customHeight="1">
      <c r="A199" s="2">
        <v>2084035926</v>
      </c>
      <c r="B199" s="2" t="s">
        <v>1527</v>
      </c>
      <c r="C199" s="2" t="s">
        <v>1529</v>
      </c>
      <c r="D199" s="2" t="s">
        <v>1531</v>
      </c>
      <c r="E199" s="4" t="str">
        <f ca="1">IFERROR(__xludf.DUMMYFUNCTION("GOOGLETRANSLATE(B199,""ja"",""vi"")"),"Sorcerous Orphen")</f>
        <v>Sorcerous Orphen</v>
      </c>
      <c r="F199" s="4" t="str">
        <f ca="1">IFERROR(__xludf.DUMMYFUNCTION("GOOGLETRANSLATE(C199,""ja"",""vi"")"),"Đấu giá&gt; truyện tranh, phim hoạt hình hàng hóa&gt; bởi công việc&gt; hoặc hàng&gt; Sorcerous Orphen")</f>
        <v>Đấu giá&gt; truyện tranh, phim hoạt hình hàng hóa&gt; bởi công việc&gt; hoặc hàng&gt; Sorcerous Orphen</v>
      </c>
      <c r="G199" t="str">
        <f t="shared" ca="1" si="3"/>
        <v>"2084035926" : "Sorcerous Orphen",</v>
      </c>
    </row>
    <row r="200" spans="1:7" ht="14.25" customHeight="1">
      <c r="A200" s="2">
        <v>2084035928</v>
      </c>
      <c r="B200" s="2" t="s">
        <v>1534</v>
      </c>
      <c r="C200" s="2" t="s">
        <v>1535</v>
      </c>
      <c r="D200" s="2" t="s">
        <v>1536</v>
      </c>
      <c r="E200" s="4" t="str">
        <f ca="1">IFERROR(__xludf.DUMMYFUNCTION("GOOGLETRANSLATE(B200,""ja"",""vi"")"),"Dịch vụ giao hàng Kiki")</f>
        <v>Dịch vụ giao hàng Kiki</v>
      </c>
      <c r="F200" s="4" t="str">
        <f ca="1">IFERROR(__xludf.DUMMYFUNCTION("GOOGLETRANSLATE(C200,""ja"",""vi"")"),"Đấu giá&gt; truyện tranh, phim hoạt hình hàng hóa&gt; bởi công việc&gt; hoặc hàng&gt; Dịch vụ giao hàng Kiki")</f>
        <v>Đấu giá&gt; truyện tranh, phim hoạt hình hàng hóa&gt; bởi công việc&gt; hoặc hàng&gt; Dịch vụ giao hàng Kiki</v>
      </c>
      <c r="G200" t="str">
        <f t="shared" ca="1" si="3"/>
        <v>"2084035928" : "Dịch vụ giao hàng Kiki",</v>
      </c>
    </row>
    <row r="201" spans="1:7" ht="14.25" customHeight="1">
      <c r="A201" s="2">
        <v>2084035929</v>
      </c>
      <c r="B201" s="2" t="s">
        <v>1539</v>
      </c>
      <c r="C201" s="2" t="s">
        <v>1540</v>
      </c>
      <c r="D201" s="2" t="s">
        <v>1541</v>
      </c>
      <c r="E201" s="4" t="str">
        <f ca="1">IFERROR(__xludf.DUMMYFUNCTION("GOOGLETRANSLATE(B201,""ja"",""vi"")"),"Majin Anh hùng Wataru")</f>
        <v>Majin Anh hùng Wataru</v>
      </c>
      <c r="F201" s="4" t="str">
        <f ca="1">IFERROR(__xludf.DUMMYFUNCTION("GOOGLETRANSLATE(C201,""ja"",""vi"")"),"Đấu giá&gt; truyện tranh, phim hoạt hình hàng hóa&gt; bởi công việc&gt; hoặc hàng&gt; Majin Anh hùng Wataru")</f>
        <v>Đấu giá&gt; truyện tranh, phim hoạt hình hàng hóa&gt; bởi công việc&gt; hoặc hàng&gt; Majin Anh hùng Wataru</v>
      </c>
      <c r="G201" t="str">
        <f t="shared" ca="1" si="3"/>
        <v>"2084035929" : "Majin Anh hùng Wataru",</v>
      </c>
    </row>
    <row r="202" spans="1:7" ht="14.25" customHeight="1">
      <c r="A202" s="2">
        <v>2084035932</v>
      </c>
      <c r="B202" s="2" t="s">
        <v>1544</v>
      </c>
      <c r="C202" s="2" t="s">
        <v>1545</v>
      </c>
      <c r="D202" s="2" t="s">
        <v>1547</v>
      </c>
      <c r="E202" s="4" t="str">
        <f ca="1">IFERROR(__xludf.DUMMYFUNCTION("GOOGLETRANSLATE(B202,""ja"",""vi"")"),"Mado Granzort")</f>
        <v>Mado Granzort</v>
      </c>
      <c r="F202" s="4" t="str">
        <f ca="1">IFERROR(__xludf.DUMMYFUNCTION("GOOGLETRANSLATE(C202,""ja"",""vi"")"),"Đấu giá&gt; truyện tranh, phim hoạt hình hàng hóa&gt; bởi công việc&gt; hoặc hàng&gt; Mado Granzort")</f>
        <v>Đấu giá&gt; truyện tranh, phim hoạt hình hàng hóa&gt; bởi công việc&gt; hoặc hàng&gt; Mado Granzort</v>
      </c>
      <c r="G202" t="str">
        <f t="shared" ca="1" si="3"/>
        <v>"2084035932" : "Mado Granzort",</v>
      </c>
    </row>
    <row r="203" spans="1:7" ht="14.25" customHeight="1">
      <c r="A203" s="2">
        <v>2084035910</v>
      </c>
      <c r="B203" s="2" t="s">
        <v>1549</v>
      </c>
      <c r="C203" s="2" t="s">
        <v>1550</v>
      </c>
      <c r="D203" s="2" t="s">
        <v>1552</v>
      </c>
      <c r="E203" s="4" t="str">
        <f ca="1">IFERROR(__xludf.DUMMYFUNCTION("GOOGLETRANSLATE(B203,""ja"",""vi"")"),"Sự kỳ diệu của giai đoạn Fancy Lala")</f>
        <v>Sự kỳ diệu của giai đoạn Fancy Lala</v>
      </c>
      <c r="F203" s="4" t="str">
        <f ca="1">IFERROR(__xludf.DUMMYFUNCTION("GOOGLETRANSLATE(C203,""ja"",""vi"")"),"Đấu giá&gt; truyện tranh, phim hoạt hình hàng hóa&gt; bởi công việc&gt; hoặc hàng&gt; kỳ diệu của giai đoạn Fancy Lala")</f>
        <v>Đấu giá&gt; truyện tranh, phim hoạt hình hàng hóa&gt; bởi công việc&gt; hoặc hàng&gt; kỳ diệu của giai đoạn Fancy Lala</v>
      </c>
      <c r="G203" t="str">
        <f t="shared" ca="1" si="3"/>
        <v>"2084035910" : "Sự kỳ diệu của giai đoạn Fancy Lala",</v>
      </c>
    </row>
    <row r="204" spans="1:7" ht="14.25" customHeight="1">
      <c r="A204" s="2">
        <v>2084035912</v>
      </c>
      <c r="B204" s="2" t="s">
        <v>1554</v>
      </c>
      <c r="C204" s="2" t="s">
        <v>1555</v>
      </c>
      <c r="D204" s="2" t="s">
        <v>1557</v>
      </c>
      <c r="E204" s="4" t="str">
        <f ca="1">IFERROR(__xludf.DUMMYFUNCTION("GOOGLETRANSLATE(B204,""ja"",""vi"")"),"Magical công chúa Minky Momo")</f>
        <v>Magical công chúa Minky Momo</v>
      </c>
      <c r="F204" s="4" t="str">
        <f ca="1">IFERROR(__xludf.DUMMYFUNCTION("GOOGLETRANSLATE(C204,""ja"",""vi"")"),"Đấu giá&gt; truyện tranh, phim hoạt hình hàng hóa&gt; bởi công việc&gt; hoặc hàng&gt; Magical công chúa Minky Momo")</f>
        <v>Đấu giá&gt; truyện tranh, phim hoạt hình hàng hóa&gt; bởi công việc&gt; hoặc hàng&gt; Magical công chúa Minky Momo</v>
      </c>
      <c r="G204" t="str">
        <f t="shared" ca="1" si="3"/>
        <v>"2084035912" : "Magical công chúa Minky Momo",</v>
      </c>
    </row>
    <row r="205" spans="1:7" ht="14.25" customHeight="1">
      <c r="A205" s="2">
        <v>2084035911</v>
      </c>
      <c r="B205" s="2" t="s">
        <v>1561</v>
      </c>
      <c r="C205" s="2" t="s">
        <v>1562</v>
      </c>
      <c r="D205" s="2" t="s">
        <v>1563</v>
      </c>
      <c r="E205" s="4" t="str">
        <f ca="1">IFERROR(__xludf.DUMMYFUNCTION("GOOGLETRANSLATE(B205,""ja"",""vi"")"),"Magical Thiên thần Kem Mami")</f>
        <v>Magical Thiên thần Kem Mami</v>
      </c>
      <c r="F205" s="4" t="str">
        <f ca="1">IFERROR(__xludf.DUMMYFUNCTION("GOOGLETRANSLATE(C205,""ja"",""vi"")"),"Đấu giá&gt; truyện tranh, phim hoạt hình hàng hóa&gt; bởi công việc&gt; hoặc hàng&gt; Magical Thiên thần Kem Mami")</f>
        <v>Đấu giá&gt; truyện tranh, phim hoạt hình hàng hóa&gt; bởi công việc&gt; hoặc hàng&gt; Magical Thiên thần Kem Mami</v>
      </c>
      <c r="G205" t="str">
        <f t="shared" ca="1" si="3"/>
        <v>"2084035911" : "Magical Thiên thần Kem Mami",</v>
      </c>
    </row>
    <row r="206" spans="1:7" ht="14.25" customHeight="1">
      <c r="A206" s="2">
        <v>2084006291</v>
      </c>
      <c r="B206" s="2" t="s">
        <v>1565</v>
      </c>
      <c r="C206" s="2" t="s">
        <v>1567</v>
      </c>
      <c r="D206" s="2" t="s">
        <v>1568</v>
      </c>
      <c r="E206" s="4" t="str">
        <f ca="1">IFERROR(__xludf.DUMMYFUNCTION("GOOGLETRANSLATE(B206,""ja"",""vi"")"),"Magic Knight Rayearth")</f>
        <v>Magic Knight Rayearth</v>
      </c>
      <c r="F206" s="4" t="str">
        <f ca="1">IFERROR(__xludf.DUMMYFUNCTION("GOOGLETRANSLATE(C206,""ja"",""vi"")"),"Đấu giá&gt; truyện tranh, phim hoạt hình hàng hóa&gt; bởi công việc&gt; hoặc hàng&gt; Magic Knight Rayearth")</f>
        <v>Đấu giá&gt; truyện tranh, phim hoạt hình hàng hóa&gt; bởi công việc&gt; hoặc hàng&gt; Magic Knight Rayearth</v>
      </c>
      <c r="G206" t="str">
        <f t="shared" ca="1" si="3"/>
        <v>"2084006291" : "Magic Knight Rayearth",</v>
      </c>
    </row>
    <row r="207" spans="1:7" ht="14.25" customHeight="1">
      <c r="A207" s="2">
        <v>2084035111</v>
      </c>
      <c r="B207" s="2" t="s">
        <v>1569</v>
      </c>
      <c r="C207" s="2" t="s">
        <v>1570</v>
      </c>
      <c r="D207" s="2" t="s">
        <v>1571</v>
      </c>
      <c r="E207" s="4" t="str">
        <f ca="1">IFERROR(__xludf.DUMMYFUNCTION("GOOGLETRANSLATE(B207,""ja"",""vi"")"),"Sally the Witch")</f>
        <v>Sally the Witch</v>
      </c>
      <c r="F207" s="4" t="str">
        <f ca="1">IFERROR(__xludf.DUMMYFUNCTION("GOOGLETRANSLATE(C207,""ja"",""vi"")"),"Đấu giá&gt; truyện tranh, phim hoạt hình hàng hóa&gt; bởi công việc&gt; hoặc hàng&gt; Sally the Witch")</f>
        <v>Đấu giá&gt; truyện tranh, phim hoạt hình hàng hóa&gt; bởi công việc&gt; hoặc hàng&gt; Sally the Witch</v>
      </c>
      <c r="G207" t="str">
        <f t="shared" ca="1" si="3"/>
        <v>"2084035111" : "Sally the Witch",</v>
      </c>
    </row>
    <row r="208" spans="1:7" ht="14.25" customHeight="1">
      <c r="A208" s="2">
        <v>2084309707</v>
      </c>
      <c r="B208" s="2" t="s">
        <v>1576</v>
      </c>
      <c r="C208" s="2" t="s">
        <v>1577</v>
      </c>
      <c r="D208" s="2" t="s">
        <v>1578</v>
      </c>
      <c r="E208" s="4" t="str">
        <f ca="1">IFERROR(__xludf.DUMMYFUNCTION("GOOGLETRANSLATE(B208,""ja"",""vi"")"),"Magical Girl Madoka ☆ Magica")</f>
        <v>Magical Girl Madoka ☆ Magica</v>
      </c>
      <c r="F208" s="4" t="str">
        <f ca="1">IFERROR(__xludf.DUMMYFUNCTION("GOOGLETRANSLATE(C208,""ja"",""vi"")"),"Đấu giá&gt; truyện tranh, phim hoạt hình hàng hóa&gt; bởi công việc&gt; hoặc hàng&gt; Magical Girl Madoka ☆ Magica")</f>
        <v>Đấu giá&gt; truyện tranh, phim hoạt hình hàng hóa&gt; bởi công việc&gt; hoặc hàng&gt; Magical Girl Madoka ☆ Magica</v>
      </c>
      <c r="G208" t="str">
        <f t="shared" ca="1" si="3"/>
        <v>"2084309707" : "Magical Girl Madoka ☆ Magica",</v>
      </c>
    </row>
    <row r="209" spans="1:7" ht="14.25" customHeight="1">
      <c r="A209" s="2">
        <v>2084035906</v>
      </c>
      <c r="B209" s="2" t="s">
        <v>1581</v>
      </c>
      <c r="C209" s="2" t="s">
        <v>1583</v>
      </c>
      <c r="D209" s="2" t="s">
        <v>1584</v>
      </c>
      <c r="E209" s="4" t="str">
        <f ca="1">IFERROR(__xludf.DUMMYFUNCTION("GOOGLETRANSLATE(B209,""ja"",""vi"")"),"Magical Girl Khá Sammy")</f>
        <v>Magical Girl Khá Sammy</v>
      </c>
      <c r="F209" s="4" t="str">
        <f ca="1">IFERROR(__xludf.DUMMYFUNCTION("GOOGLETRANSLATE(C209,""ja"",""vi"")"),"Đấu giá&gt; truyện tranh, phim hoạt hình hàng hóa&gt; bởi công việc&gt; hoặc hàng&gt; Magical Girl Khá Sammy")</f>
        <v>Đấu giá&gt; truyện tranh, phim hoạt hình hàng hóa&gt; bởi công việc&gt; hoặc hàng&gt; Magical Girl Khá Sammy</v>
      </c>
      <c r="G209" t="str">
        <f t="shared" ca="1" si="3"/>
        <v>"2084035906" : "Magical Girl Khá Sammy",</v>
      </c>
    </row>
    <row r="210" spans="1:7" ht="14.25" customHeight="1">
      <c r="A210" s="2">
        <v>2084309709</v>
      </c>
      <c r="B210" s="2" t="s">
        <v>1588</v>
      </c>
      <c r="C210" s="2" t="s">
        <v>1589</v>
      </c>
      <c r="D210" s="2" t="s">
        <v>1590</v>
      </c>
      <c r="E210" s="4" t="str">
        <f ca="1">IFERROR(__xludf.DUMMYFUNCTION("GOOGLETRANSLATE(B210,""ja"",""vi"")"),"Magical Girl Lyrical")</f>
        <v>Magical Girl Lyrical</v>
      </c>
      <c r="F210" s="4" t="str">
        <f ca="1">IFERROR(__xludf.DUMMYFUNCTION("GOOGLETRANSLATE(C210,""ja"",""vi"")"),"Đấu giá&gt; truyện tranh, phim hoạt hình hàng hóa&gt; bởi công việc&gt; hoặc hàng&gt; Magical Girl Lyrical")</f>
        <v>Đấu giá&gt; truyện tranh, phim hoạt hình hàng hóa&gt; bởi công việc&gt; hoặc hàng&gt; Magical Girl Lyrical</v>
      </c>
      <c r="G210" t="str">
        <f t="shared" ca="1" si="3"/>
        <v>"2084309709" : "Magical Girl Lyrical",</v>
      </c>
    </row>
    <row r="211" spans="1:7" ht="14.25" customHeight="1">
      <c r="A211" s="2">
        <v>2084035907</v>
      </c>
      <c r="B211" s="2" t="s">
        <v>1593</v>
      </c>
      <c r="C211" s="2" t="s">
        <v>1594</v>
      </c>
      <c r="D211" s="2" t="s">
        <v>1596</v>
      </c>
      <c r="E211" s="4" t="str">
        <f ca="1">IFERROR(__xludf.DUMMYFUNCTION("GOOGLETRANSLATE(B211,""ja"",""vi"")"),"magic tròn")</f>
        <v>magic tròn</v>
      </c>
      <c r="F211" s="4" t="str">
        <f ca="1">IFERROR(__xludf.DUMMYFUNCTION("GOOGLETRANSLATE(C211,""ja"",""vi"")"),"Đấu giá&gt; truyện tranh, phim hoạt hình hàng hóa&gt; bởi công việc&gt; hoặc hàng&gt; tròn ma thuật")</f>
        <v>Đấu giá&gt; truyện tranh, phim hoạt hình hàng hóa&gt; bởi công việc&gt; hoặc hàng&gt; tròn ma thuật</v>
      </c>
      <c r="G211" t="str">
        <f t="shared" ca="1" si="3"/>
        <v>"2084035907" : "magic tròn",</v>
      </c>
    </row>
    <row r="212" spans="1:7" ht="14.25" customHeight="1">
      <c r="A212" s="2">
        <v>2084035916</v>
      </c>
      <c r="B212" s="2" t="s">
        <v>1599</v>
      </c>
      <c r="C212" s="2" t="s">
        <v>1602</v>
      </c>
      <c r="D212" s="2" t="s">
        <v>1603</v>
      </c>
      <c r="E212" s="4" t="str">
        <f ca="1">IFERROR(__xludf.DUMMYFUNCTION("GOOGLETRANSLATE(B212,""ja"",""vi"")"),"Future Boy Conan")</f>
        <v>Future Boy Conan</v>
      </c>
      <c r="F212" s="4" t="str">
        <f ca="1">IFERROR(__xludf.DUMMYFUNCTION("GOOGLETRANSLATE(C212,""ja"",""vi"")"),"Đấu giá&gt; truyện tranh, phim hoạt hình hàng hóa&gt; bởi công việc&gt; hoặc hàng&gt; Future Boy Conan")</f>
        <v>Đấu giá&gt; truyện tranh, phim hoạt hình hàng hóa&gt; bởi công việc&gt; hoặc hàng&gt; Future Boy Conan</v>
      </c>
      <c r="G212" t="str">
        <f t="shared" ca="1" si="3"/>
        <v>"2084035916" : "Future Boy Conan",</v>
      </c>
    </row>
    <row r="213" spans="1:7" ht="14.25" customHeight="1">
      <c r="A213" s="2">
        <v>2084035921</v>
      </c>
      <c r="B213" s="2" t="s">
        <v>1606</v>
      </c>
      <c r="C213" s="2" t="s">
        <v>1608</v>
      </c>
      <c r="D213" s="2" t="s">
        <v>1611</v>
      </c>
      <c r="E213" s="4" t="str">
        <f ca="1">IFERROR(__xludf.DUMMYFUNCTION("GOOGLETRANSLATE(B213,""ja"",""vi"")"),"thám tử Conan")</f>
        <v>thám tử Conan</v>
      </c>
      <c r="F213" s="4" t="str">
        <f ca="1">IFERROR(__xludf.DUMMYFUNCTION("GOOGLETRANSLATE(C213,""ja"",""vi"")"),"Đấu giá&gt; truyện tranh, phim hoạt hình hàng hóa&gt; bởi công việc&gt; hoặc hàng&gt; Detective Conan")</f>
        <v>Đấu giá&gt; truyện tranh, phim hoạt hình hàng hóa&gt; bởi công việc&gt; hoặc hàng&gt; Detective Conan</v>
      </c>
      <c r="G213" t="str">
        <f t="shared" ca="1" si="3"/>
        <v>"2084035921" : "thám tử Conan",</v>
      </c>
    </row>
    <row r="214" spans="1:7" ht="14.25" customHeight="1">
      <c r="A214" s="2">
        <v>2084036031</v>
      </c>
      <c r="B214" s="2" t="s">
        <v>1613</v>
      </c>
      <c r="C214" s="2" t="s">
        <v>1616</v>
      </c>
      <c r="D214" s="2" t="s">
        <v>1617</v>
      </c>
      <c r="E214" s="4" t="str">
        <f ca="1">IFERROR(__xludf.DUMMYFUNCTION("GOOGLETRANSLATE(B214,""ja"",""vi"")"),"UFO Robot Grendizer")</f>
        <v>UFO Robot Grendizer</v>
      </c>
      <c r="F214" s="4" t="str">
        <f ca="1">IFERROR(__xludf.DUMMYFUNCTION("GOOGLETRANSLATE(C214,""ja"",""vi"")"),"Đấu giá&gt; truyện tranh, phim hoạt hình hàng hóa&gt; bởi công việc&gt; hoặc hàng&gt; UFO Robo Grendizer")</f>
        <v>Đấu giá&gt; truyện tranh, phim hoạt hình hàng hóa&gt; bởi công việc&gt; hoặc hàng&gt; UFO Robo Grendizer</v>
      </c>
      <c r="G214" t="str">
        <f t="shared" ca="1" si="3"/>
        <v>"2084036031" : "UFO Robot Grendizer",</v>
      </c>
    </row>
    <row r="215" spans="1:7" ht="14.25" customHeight="1">
      <c r="A215" s="2">
        <v>2084036026</v>
      </c>
      <c r="B215" s="2" t="s">
        <v>1619</v>
      </c>
      <c r="C215" s="2" t="s">
        <v>1620</v>
      </c>
      <c r="D215" s="2" t="s">
        <v>1622</v>
      </c>
      <c r="E215" s="4" t="str">
        <f ca="1">IFERROR(__xludf.DUMMYFUNCTION("GOOGLETRANSLATE(B215,""ja"",""vi"")"),"YAWARA!")</f>
        <v>YAWARA!</v>
      </c>
      <c r="F215" s="4" t="str">
        <f ca="1">IFERROR(__xludf.DUMMYFUNCTION("GOOGLETRANSLATE(C215,""ja"",""vi"")"),"Đấu giá&gt; truyện tranh, phim hoạt hình hàng hóa&gt; bởi công việc&gt; hoặc hàng&gt; YAWARA!")</f>
        <v>Đấu giá&gt; truyện tranh, phim hoạt hình hàng hóa&gt; bởi công việc&gt; hoặc hàng&gt; YAWARA!</v>
      </c>
      <c r="G215" t="str">
        <f t="shared" ca="1" si="3"/>
        <v>"2084036026" : "YAWARA!",</v>
      </c>
    </row>
    <row r="216" spans="1:7" ht="14.25" customHeight="1">
      <c r="A216" s="2">
        <v>2084309710</v>
      </c>
      <c r="B216" s="2" t="s">
        <v>1626</v>
      </c>
      <c r="C216" s="2" t="s">
        <v>1628</v>
      </c>
      <c r="D216" s="2" t="s">
        <v>1629</v>
      </c>
      <c r="E216" s="4" t="str">
        <f ca="1">IFERROR(__xludf.DUMMYFUNCTION("GOOGLETRANSLATE(B216,""ja"",""vi"")"),"YuruYuri")</f>
        <v>YuruYuri</v>
      </c>
      <c r="F216" s="4" t="str">
        <f ca="1">IFERROR(__xludf.DUMMYFUNCTION("GOOGLETRANSLATE(C216,""ja"",""vi"")"),"Đấu giá&gt; truyện tranh, phim hoạt hình hàng hóa&gt; bởi công việc&gt; hoặc hàng&gt; YuruYuri")</f>
        <v>Đấu giá&gt; truyện tranh, phim hoạt hình hàng hóa&gt; bởi công việc&gt; hoặc hàng&gt; YuruYuri</v>
      </c>
      <c r="G216" t="str">
        <f t="shared" ca="1" si="3"/>
        <v>"2084309710" : "YuruYuri",</v>
      </c>
    </row>
    <row r="217" spans="1:7" ht="14.25" customHeight="1">
      <c r="A217" s="2">
        <v>2084036025</v>
      </c>
      <c r="B217" s="2" t="s">
        <v>1633</v>
      </c>
      <c r="C217" s="2" t="s">
        <v>1635</v>
      </c>
      <c r="D217" s="2" t="s">
        <v>1636</v>
      </c>
      <c r="E217" s="4" t="str">
        <f ca="1">IFERROR(__xludf.DUMMYFUNCTION("GOOGLETRANSLATE(B217,""ja"",""vi"")"),"Descendants of Darkness")</f>
        <v>Descendants of Darkness</v>
      </c>
      <c r="F217" s="4" t="str">
        <f ca="1">IFERROR(__xludf.DUMMYFUNCTION("GOOGLETRANSLATE(C217,""ja"",""vi"")"),"Đấu giá&gt; truyện tranh, phim hoạt hình hàng hóa&gt; bởi công việc&gt; hoặc hàng&gt; Descendants of Darkness")</f>
        <v>Đấu giá&gt; truyện tranh, phim hoạt hình hàng hóa&gt; bởi công việc&gt; hoặc hàng&gt; Descendants of Darkness</v>
      </c>
      <c r="G217" t="str">
        <f t="shared" ca="1" si="3"/>
        <v>"2084036025" : "Descendants of Darkness",</v>
      </c>
    </row>
    <row r="218" spans="1:7" ht="14.25" customHeight="1">
      <c r="A218" s="2">
        <v>2084036032</v>
      </c>
      <c r="B218" s="2" t="s">
        <v>1638</v>
      </c>
      <c r="C218" s="2" t="s">
        <v>1640</v>
      </c>
      <c r="D218" s="2" t="s">
        <v>1642</v>
      </c>
      <c r="E218" s="4" t="str">
        <f ca="1">IFERROR(__xludf.DUMMYFUNCTION("GOOGLETRANSLATE(B218,""ja"",""vi"")"),"Ronin chiến binh")</f>
        <v>Ronin chiến binh</v>
      </c>
      <c r="F218" s="4" t="str">
        <f ca="1">IFERROR(__xludf.DUMMYFUNCTION("GOOGLETRANSLATE(C218,""ja"",""vi"")"),"Đấu giá&gt; truyện tranh, phim hoạt hình hàng hóa&gt; bởi công việc&gt; hoặc hàng&gt; Ronin chiến binh")</f>
        <v>Đấu giá&gt; truyện tranh, phim hoạt hình hàng hóa&gt; bởi công việc&gt; hoặc hàng&gt; Ronin chiến binh</v>
      </c>
      <c r="G218" t="str">
        <f t="shared" ca="1" si="3"/>
        <v>"2084036032" : "Ronin chiến binh",</v>
      </c>
    </row>
    <row r="219" spans="1:7" ht="14.25" customHeight="1">
      <c r="A219" s="2">
        <v>2084036024</v>
      </c>
      <c r="B219" s="2" t="s">
        <v>1643</v>
      </c>
      <c r="C219" s="2" t="s">
        <v>1644</v>
      </c>
      <c r="D219" s="2" t="s">
        <v>1645</v>
      </c>
      <c r="E219" s="4" t="str">
        <f ca="1">IFERROR(__xludf.DUMMYFUNCTION("GOOGLETRANSLATE(B219,""ja"",""vi"")"),"đứng Yakumo")</f>
        <v>đứng Yakumo</v>
      </c>
      <c r="F219" s="4" t="str">
        <f ca="1">IFERROR(__xludf.DUMMYFUNCTION("GOOGLETRANSLATE(C219,""ja"",""vi"")"),"Đấu giá&gt; truyện tranh, đứng Anime&gt; By trình&gt; hoặc hàng&gt; Yakumo")</f>
        <v>Đấu giá&gt; truyện tranh, đứng Anime&gt; By trình&gt; hoặc hàng&gt; Yakumo</v>
      </c>
      <c r="G219" t="str">
        <f t="shared" ca="1" si="3"/>
        <v>"2084036024" : "đứng Yakumo",</v>
      </c>
    </row>
    <row r="220" spans="1:7" ht="14.25" customHeight="1">
      <c r="A220" s="2">
        <v>2084036023</v>
      </c>
      <c r="B220" s="2" t="s">
        <v>1650</v>
      </c>
      <c r="C220" s="2" t="s">
        <v>1651</v>
      </c>
      <c r="D220" s="2" t="s">
        <v>1652</v>
      </c>
      <c r="E220" s="4" t="str">
        <f ca="1">IFERROR(__xludf.DUMMYFUNCTION("GOOGLETRANSLATE(B220,""ja"",""vi"")"),"Thơ của những người đam mê bóng chày")</f>
        <v>Thơ của những người đam mê bóng chày</v>
      </c>
      <c r="F220" s="4" t="str">
        <f ca="1">IFERROR(__xludf.DUMMYFUNCTION("GOOGLETRANSLATE(C220,""ja"",""vi"")"),"Đấu giá&gt; truyện tranh, phim hoạt hình hàng hóa&gt; bởi công việc&gt; hoặc hàng&gt; người đam mê bóng chày của thơ")</f>
        <v>Đấu giá&gt; truyện tranh, phim hoạt hình hàng hóa&gt; bởi công việc&gt; hoặc hàng&gt; người đam mê bóng chày của thơ</v>
      </c>
      <c r="G220" t="str">
        <f t="shared" ca="1" si="3"/>
        <v>"2084036023" : "Thơ của những người đam mê bóng chày",</v>
      </c>
    </row>
    <row r="221" spans="1:7" ht="14.25" customHeight="1">
      <c r="A221" s="2">
        <v>2084036112</v>
      </c>
      <c r="B221" s="2" t="s">
        <v>1654</v>
      </c>
      <c r="C221" s="2" t="s">
        <v>1655</v>
      </c>
      <c r="D221" s="2" t="s">
        <v>1656</v>
      </c>
      <c r="E221" s="4" t="str">
        <f ca="1">IFERROR(__xludf.DUMMYFUNCTION("GOOGLETRANSLATE(B221,""ja"",""vi"")"),"Brave Raideen")</f>
        <v>Brave Raideen</v>
      </c>
      <c r="F221" s="4" t="str">
        <f ca="1">IFERROR(__xludf.DUMMYFUNCTION("GOOGLETRANSLATE(C221,""ja"",""vi"")"),"Đấu giá&gt; truyện tranh, phim hoạt hình hàng hóa&gt; bởi công việc&gt; hoặc hàng&gt; Brave Raideen")</f>
        <v>Đấu giá&gt; truyện tranh, phim hoạt hình hàng hóa&gt; bởi công việc&gt; hoặc hàng&gt; Brave Raideen</v>
      </c>
      <c r="G221" t="str">
        <f t="shared" ca="1" si="3"/>
        <v>"2084036112" : "Brave Raideen",</v>
      </c>
    </row>
    <row r="222" spans="1:7" ht="14.25" customHeight="1">
      <c r="A222" s="2">
        <v>2084036027</v>
      </c>
      <c r="B222" s="2" t="s">
        <v>1661</v>
      </c>
      <c r="C222" s="2" t="s">
        <v>1662</v>
      </c>
      <c r="D222" s="2" t="s">
        <v>1663</v>
      </c>
      <c r="E222" s="4" t="str">
        <f ca="1">IFERROR(__xludf.DUMMYFUNCTION("GOOGLETRANSLATE(B222,""ja"",""vi"")"),"Gaogaigar")</f>
        <v>Gaogaigar</v>
      </c>
      <c r="F222" s="4" t="str">
        <f ca="1">IFERROR(__xludf.DUMMYFUNCTION("GOOGLETRANSLATE(C222,""ja"",""vi"")"),"Đấu giá&gt; truyện tranh, phim hoạt hình hàng hóa&gt; bởi công việc&gt; hoặc hàng&gt; Gaogaigar")</f>
        <v>Đấu giá&gt; truyện tranh, phim hoạt hình hàng hóa&gt; bởi công việc&gt; hoặc hàng&gt; Gaogaigar</v>
      </c>
      <c r="G222" t="str">
        <f t="shared" ca="1" si="3"/>
        <v>"2084036027" : "Gaogaigar",</v>
      </c>
    </row>
    <row r="223" spans="1:7" ht="14.25" customHeight="1">
      <c r="A223" s="2">
        <v>2084036028</v>
      </c>
      <c r="B223" s="2" t="s">
        <v>1666</v>
      </c>
      <c r="C223" s="2" t="s">
        <v>1667</v>
      </c>
      <c r="D223" s="2" t="s">
        <v>1669</v>
      </c>
      <c r="E223" s="4" t="str">
        <f ca="1">IFERROR(__xludf.DUMMYFUNCTION("GOOGLETRANSLATE(B223,""ja"",""vi"")"),"Brave Police J-Decker")</f>
        <v>Brave Police J-Decker</v>
      </c>
      <c r="F223" s="4" t="str">
        <f ca="1">IFERROR(__xludf.DUMMYFUNCTION("GOOGLETRANSLATE(C223,""ja"",""vi"")"),"Đấu giá&gt; truyện tranh, phim hoạt hình hàng hóa&gt; bởi công việc&gt; hoặc hàng&gt; Brave Police J-Decker")</f>
        <v>Đấu giá&gt; truyện tranh, phim hoạt hình hàng hóa&gt; bởi công việc&gt; hoặc hàng&gt; Brave Police J-Decker</v>
      </c>
      <c r="G223" t="str">
        <f t="shared" ca="1" si="3"/>
        <v>"2084036028" : "Brave Police J-Decker",</v>
      </c>
    </row>
    <row r="224" spans="1:7" ht="14.25" customHeight="1">
      <c r="A224" s="2">
        <v>2084036029</v>
      </c>
      <c r="B224" s="2" t="s">
        <v>1673</v>
      </c>
      <c r="C224" s="2" t="s">
        <v>1674</v>
      </c>
      <c r="D224" s="2" t="s">
        <v>1675</v>
      </c>
      <c r="E224" s="4" t="str">
        <f ca="1">IFERROR(__xludf.DUMMYFUNCTION("GOOGLETRANSLATE(B224,""ja"",""vi"")"),"Brave huy Daguon")</f>
        <v>Brave huy Daguon</v>
      </c>
      <c r="F224" s="4" t="str">
        <f ca="1">IFERROR(__xludf.DUMMYFUNCTION("GOOGLETRANSLATE(C224,""ja"",""vi"")"),"Đấu giá&gt; truyện tranh, phim hoạt hình hàng hóa&gt; bởi công việc&gt; hoặc hàng&gt; chỉ huy dũng cảm Daguon")</f>
        <v>Đấu giá&gt; truyện tranh, phim hoạt hình hàng hóa&gt; bởi công việc&gt; hoặc hàng&gt; chỉ huy dũng cảm Daguon</v>
      </c>
      <c r="G224" t="str">
        <f t="shared" ca="1" si="3"/>
        <v>"2084036029" : "Brave huy Daguon",</v>
      </c>
    </row>
    <row r="225" spans="1:7" ht="14.25" customHeight="1">
      <c r="A225" s="2">
        <v>2084036030</v>
      </c>
      <c r="B225" s="2" t="s">
        <v>1679</v>
      </c>
      <c r="C225" s="2" t="s">
        <v>1681</v>
      </c>
      <c r="D225" s="2" t="s">
        <v>1682</v>
      </c>
      <c r="E225" s="4" t="str">
        <f ca="1">IFERROR(__xludf.DUMMYFUNCTION("GOOGLETRANSLATE(B225,""ja"",""vi"")"),"The Brave nhanh Might Gaine")</f>
        <v>The Brave nhanh Might Gaine</v>
      </c>
      <c r="F225" s="4" t="str">
        <f ca="1">IFERROR(__xludf.DUMMYFUNCTION("GOOGLETRANSLATE(C225,""ja"",""vi"")"),"Đấu giá&gt; truyện tranh, phim hoạt hình hàng hóa&gt; bởi công việc&gt; hoặc hàng&gt; The Brave nhanh Might Gaine")</f>
        <v>Đấu giá&gt; truyện tranh, phim hoạt hình hàng hóa&gt; bởi công việc&gt; hoặc hàng&gt; The Brave nhanh Might Gaine</v>
      </c>
      <c r="G225" t="str">
        <f t="shared" ca="1" si="3"/>
        <v>"2084036030" : "The Brave nhanh Might Gaine",</v>
      </c>
    </row>
    <row r="226" spans="1:7" ht="14.25" customHeight="1">
      <c r="A226" s="2">
        <v>2084006300</v>
      </c>
      <c r="B226" s="2" t="s">
        <v>1684</v>
      </c>
      <c r="C226" s="2" t="s">
        <v>1687</v>
      </c>
      <c r="D226" s="2" t="s">
        <v>1689</v>
      </c>
      <c r="E226" s="4" t="str">
        <f ca="1">IFERROR(__xludf.DUMMYFUNCTION("GOOGLETRANSLATE(B226,""ja"",""vi"")"),"Yu Yu Hakusho")</f>
        <v>Yu Yu Hakusho</v>
      </c>
      <c r="F226" s="4" t="str">
        <f ca="1">IFERROR(__xludf.DUMMYFUNCTION("GOOGLETRANSLATE(C226,""ja"",""vi"")"),"Đấu giá&gt; truyện tranh, phim hoạt hình hàng hóa&gt; bởi công việc&gt; hoặc hàng&gt; Yu Yu Hakusho")</f>
        <v>Đấu giá&gt; truyện tranh, phim hoạt hình hàng hóa&gt; bởi công việc&gt; hoặc hàng&gt; Yu Yu Hakusho</v>
      </c>
      <c r="G226" t="str">
        <f t="shared" ca="1" si="3"/>
        <v>"2084006300" : "Yu Yu Hakusho",</v>
      </c>
    </row>
    <row r="227" spans="1:7" ht="14.25" customHeight="1">
      <c r="A227" s="2">
        <v>2084205732</v>
      </c>
      <c r="B227" s="2" t="s">
        <v>1690</v>
      </c>
      <c r="C227" s="2" t="s">
        <v>1691</v>
      </c>
      <c r="D227" s="2" t="s">
        <v>1694</v>
      </c>
      <c r="E227" s="4" t="str">
        <f ca="1">IFERROR(__xludf.DUMMYFUNCTION("GOOGLETRANSLATE(B227,""ja"",""vi"")"),"Yu-Gi-Oh!")</f>
        <v>Yu-Gi-Oh!</v>
      </c>
      <c r="F227" s="4" t="str">
        <f ca="1">IFERROR(__xludf.DUMMYFUNCTION("GOOGLETRANSLATE(C227,""ja"",""vi"")"),"Đấu giá&gt; truyện tranh, phim hoạt hình hàng hóa&gt; bởi công việc&gt; hoặc hàng&gt; Yu-Gi-Oh!")</f>
        <v>Đấu giá&gt; truyện tranh, phim hoạt hình hàng hóa&gt; bởi công việc&gt; hoặc hàng&gt; Yu-Gi-Oh!</v>
      </c>
      <c r="G227" t="str">
        <f t="shared" ca="1" si="3"/>
        <v>"2084205732" : "Yu-Gi-Oh!",</v>
      </c>
    </row>
    <row r="228" spans="1:7" ht="14.25" customHeight="1">
      <c r="A228" s="2">
        <v>2084044122</v>
      </c>
      <c r="B228" s="2" t="s">
        <v>1697</v>
      </c>
      <c r="C228" s="2" t="s">
        <v>1698</v>
      </c>
      <c r="D228" s="2" t="s">
        <v>1699</v>
      </c>
      <c r="E228" s="4" t="str">
        <f ca="1">IFERROR(__xludf.DUMMYFUNCTION("GOOGLETRANSLATE(B228,""ja"",""vi"")"),"ROOKIES")</f>
        <v>ROOKIES</v>
      </c>
      <c r="F228" s="4" t="str">
        <f ca="1">IFERROR(__xludf.DUMMYFUNCTION("GOOGLETRANSLATE(C228,""ja"",""vi"")"),"Đấu giá&gt; truyện tranh, phim hoạt hình hàng hóa&gt; bởi công việc&gt; et al. / I đường&gt; ROOKIES")</f>
        <v>Đấu giá&gt; truyện tranh, phim hoạt hình hàng hóa&gt; bởi công việc&gt; et al. / I đường&gt; ROOKIES</v>
      </c>
      <c r="G228" t="str">
        <f t="shared" ca="1" si="3"/>
        <v>"2084044122" : "ROOKIES",</v>
      </c>
    </row>
    <row r="229" spans="1:7" ht="14.25" customHeight="1">
      <c r="A229" s="2">
        <v>2084036114</v>
      </c>
      <c r="B229" s="2" t="s">
        <v>1702</v>
      </c>
      <c r="C229" s="2" t="s">
        <v>1704</v>
      </c>
      <c r="D229" s="2" t="s">
        <v>1706</v>
      </c>
      <c r="E229" s="4" t="str">
        <f ca="1">IFERROR(__xludf.DUMMYFUNCTION("GOOGLETRANSLATE(B229,""ja"",""vi"")"),"Ranma 1/2")</f>
        <v>Ranma 1/2</v>
      </c>
      <c r="F229" s="4" t="str">
        <f ca="1">IFERROR(__xludf.DUMMYFUNCTION("GOOGLETRANSLATE(C229,""ja"",""vi"")"),"Đấu giá&gt; truyện tranh, phim hoạt hình hàng hóa&gt; bởi công việc&gt; et al. / I đường&gt; Ranma 1/2")</f>
        <v>Đấu giá&gt; truyện tranh, phim hoạt hình hàng hóa&gt; bởi công việc&gt; et al. / I đường&gt; Ranma 1/2</v>
      </c>
      <c r="G229" t="str">
        <f t="shared" ca="1" si="3"/>
        <v>"2084036114" : "Ranma 1/2",</v>
      </c>
    </row>
    <row r="230" spans="1:7" ht="14.25" customHeight="1">
      <c r="A230" s="2">
        <v>2084036116</v>
      </c>
      <c r="B230" s="2" t="s">
        <v>1709</v>
      </c>
      <c r="C230" s="2" t="s">
        <v>1710</v>
      </c>
      <c r="D230" s="2" t="s">
        <v>1711</v>
      </c>
      <c r="E230" s="4" t="str">
        <f ca="1">IFERROR(__xludf.DUMMYFUNCTION("GOOGLETRANSLATE(B230,""ja"",""vi"")"),"Rurouni Kenshin")</f>
        <v>Rurouni Kenshin</v>
      </c>
      <c r="F230" s="4" t="str">
        <f ca="1">IFERROR(__xludf.DUMMYFUNCTION("GOOGLETRANSLATE(C230,""ja"",""vi"")"),"Đấu giá&gt; truyện tranh, phim hoạt hình hàng hóa&gt; bởi công việc&gt; et al. / I đường&gt; Rurouni Kenshin")</f>
        <v>Đấu giá&gt; truyện tranh, phim hoạt hình hàng hóa&gt; bởi công việc&gt; et al. / I đường&gt; Rurouni Kenshin</v>
      </c>
      <c r="G230" t="str">
        <f t="shared" ca="1" si="3"/>
        <v>"2084036116" : "Rurouni Kenshin",</v>
      </c>
    </row>
    <row r="231" spans="1:7" ht="14.25" customHeight="1">
      <c r="A231" s="2">
        <v>2084036112</v>
      </c>
      <c r="B231" s="2" t="s">
        <v>1714</v>
      </c>
      <c r="C231" s="2" t="s">
        <v>1715</v>
      </c>
      <c r="D231" s="2" t="s">
        <v>1717</v>
      </c>
      <c r="E231" s="4" t="str">
        <f ca="1">IFERROR(__xludf.DUMMYFUNCTION("GOOGLETRANSLATE(B231,""ja"",""vi"")"),"Reideen")</f>
        <v>Reideen</v>
      </c>
      <c r="F231" s="4" t="str">
        <f ca="1">IFERROR(__xludf.DUMMYFUNCTION("GOOGLETRANSLATE(C231,""ja"",""vi"")"),"Đấu giá&gt; truyện tranh, phim hoạt hình hàng hóa&gt; bởi công việc&gt; et al. / I đường&gt; Reideen")</f>
        <v>Đấu giá&gt; truyện tranh, phim hoạt hình hàng hóa&gt; bởi công việc&gt; et al. / I đường&gt; Reideen</v>
      </c>
      <c r="G231" t="str">
        <f t="shared" ca="1" si="3"/>
        <v>"2084036112" : "Reideen",</v>
      </c>
    </row>
    <row r="232" spans="1:7" ht="14.25" customHeight="1">
      <c r="A232" s="2">
        <v>2084006275</v>
      </c>
      <c r="B232" s="2" t="s">
        <v>1720</v>
      </c>
      <c r="C232" s="2" t="s">
        <v>1721</v>
      </c>
      <c r="D232" s="2" t="s">
        <v>1723</v>
      </c>
      <c r="E232" s="4" t="str">
        <f ca="1">IFERROR(__xludf.DUMMYFUNCTION("GOOGLETRANSLATE(B232,""ja"",""vi"")"),"love Hina")</f>
        <v>love Hina</v>
      </c>
      <c r="F232" s="4" t="str">
        <f ca="1">IFERROR(__xludf.DUMMYFUNCTION("GOOGLETRANSLATE(C232,""ja"",""vi"")"),"Đấu giá&gt; truyện tranh, phim hoạt hình hàng hóa&gt; bởi công việc&gt; et al. / I đường&gt; Love Hina")</f>
        <v>Đấu giá&gt; truyện tranh, phim hoạt hình hàng hóa&gt; bởi công việc&gt; et al. / I đường&gt; Love Hina</v>
      </c>
      <c r="G232" t="str">
        <f t="shared" ca="1" si="3"/>
        <v>"2084006275" : "love Hina",</v>
      </c>
    </row>
    <row r="233" spans="1:7" ht="14.25" customHeight="1">
      <c r="A233" s="2">
        <v>2084036113</v>
      </c>
      <c r="B233" s="2" t="s">
        <v>1726</v>
      </c>
      <c r="C233" s="2" t="s">
        <v>1727</v>
      </c>
      <c r="D233" s="2" t="s">
        <v>1728</v>
      </c>
      <c r="E233" s="4" t="str">
        <f ca="1">IFERROR(__xludf.DUMMYFUNCTION("GOOGLETRANSLATE(B233,""ja"",""vi"")"),"Ramune &amp; 40")</f>
        <v>Ramune &amp; 40</v>
      </c>
      <c r="F233" s="4" t="str">
        <f ca="1">IFERROR(__xludf.DUMMYFUNCTION("GOOGLETRANSLATE(C233,""ja"",""vi"")"),"Đấu giá&gt; truyện tranh, phim hoạt hình hàng hóa&gt; bởi công việc&gt; et al. / I đường&gt; Ramune &amp; 40")</f>
        <v>Đấu giá&gt; truyện tranh, phim hoạt hình hàng hóa&gt; bởi công việc&gt; et al. / I đường&gt; Ramune &amp; 40</v>
      </c>
      <c r="G233" t="str">
        <f t="shared" ca="1" si="3"/>
        <v>"2084036113" : "Ramune &amp; 40",</v>
      </c>
    </row>
    <row r="234" spans="1:7" ht="14.25" customHeight="1">
      <c r="A234" s="2">
        <v>2084036115</v>
      </c>
      <c r="B234" s="2" t="s">
        <v>1733</v>
      </c>
      <c r="C234" s="2" t="s">
        <v>1734</v>
      </c>
      <c r="D234" s="2" t="s">
        <v>1736</v>
      </c>
      <c r="E234" s="4" t="str">
        <f ca="1">IFERROR(__xludf.DUMMYFUNCTION("GOOGLETRANSLATE(B234,""ja"",""vi"")"),"princess knight")</f>
        <v>princess knight</v>
      </c>
      <c r="F234" s="4" t="str">
        <f ca="1">IFERROR(__xludf.DUMMYFUNCTION("GOOGLETRANSLATE(C234,""ja"",""vi"")"),"Đấu giá&gt; truyện tranh, phim hoạt hình hàng hóa&gt; bởi công việc&gt; et al. / I đường&gt; Princess Knight")</f>
        <v>Đấu giá&gt; truyện tranh, phim hoạt hình hàng hóa&gt; bởi công việc&gt; et al. / I đường&gt; Princess Knight</v>
      </c>
      <c r="G234" t="str">
        <f t="shared" ca="1" si="3"/>
        <v>"2084036115" : "princess knight",</v>
      </c>
    </row>
    <row r="235" spans="1:7" ht="14.25" customHeight="1">
      <c r="A235" s="2">
        <v>2084005070</v>
      </c>
      <c r="B235" s="2" t="s">
        <v>1740</v>
      </c>
      <c r="C235" s="2" t="s">
        <v>1742</v>
      </c>
      <c r="D235" s="2" t="s">
        <v>1744</v>
      </c>
      <c r="E235" s="4" t="str">
        <f ca="1">IFERROR(__xludf.DUMMYFUNCTION("GOOGLETRANSLATE(B235,""ja"",""vi"")"),"Lupin III")</f>
        <v>Lupin III</v>
      </c>
      <c r="F235" s="4" t="str">
        <f ca="1">IFERROR(__xludf.DUMMYFUNCTION("GOOGLETRANSLATE(C235,""ja"",""vi"")"),"Đấu giá&gt; truyện tranh, phim hoạt hình hàng hóa&gt; bởi công việc&gt; et al. / I đường&gt; Lupin III")</f>
        <v>Đấu giá&gt; truyện tranh, phim hoạt hình hàng hóa&gt; bởi công việc&gt; et al. / I đường&gt; Lupin III</v>
      </c>
      <c r="G235" t="str">
        <f t="shared" ca="1" si="3"/>
        <v>"2084005070" : "Lupin III",</v>
      </c>
    </row>
    <row r="236" spans="1:7" ht="14.25" customHeight="1">
      <c r="A236" s="2">
        <v>2084006291</v>
      </c>
      <c r="B236" s="2" t="s">
        <v>1749</v>
      </c>
      <c r="C236" s="2" t="s">
        <v>1750</v>
      </c>
      <c r="D236" s="2" t="s">
        <v>1752</v>
      </c>
      <c r="E236" s="4" t="str">
        <f ca="1">IFERROR(__xludf.DUMMYFUNCTION("GOOGLETRANSLATE(B236,""ja"",""vi"")"),"Rayearth")</f>
        <v>Rayearth</v>
      </c>
      <c r="F236" s="4" t="str">
        <f ca="1">IFERROR(__xludf.DUMMYFUNCTION("GOOGLETRANSLATE(C236,""ja"",""vi"")"),"Đấu giá&gt; truyện tranh, phim hoạt hình hàng hóa&gt; bởi công việc&gt; et al. / I đường&gt; Rayearth")</f>
        <v>Đấu giá&gt; truyện tranh, phim hoạt hình hàng hóa&gt; bởi công việc&gt; et al. / I đường&gt; Rayearth</v>
      </c>
      <c r="G236" t="str">
        <f t="shared" ca="1" si="3"/>
        <v>"2084006291" : "Rayearth",</v>
      </c>
    </row>
    <row r="237" spans="1:7" ht="14.25" customHeight="1">
      <c r="A237" s="2">
        <v>2084034426</v>
      </c>
      <c r="B237" s="2" t="s">
        <v>1756</v>
      </c>
      <c r="C237" s="2" t="s">
        <v>1758</v>
      </c>
      <c r="D237" s="2" t="s">
        <v>1759</v>
      </c>
      <c r="E237" s="4" t="str">
        <f ca="1">IFERROR(__xludf.DUMMYFUNCTION("GOOGLETRANSLATE(B237,""ja"",""vi"")"),"Layzner")</f>
        <v>Layzner</v>
      </c>
      <c r="F237" s="4" t="str">
        <f ca="1">IFERROR(__xludf.DUMMYFUNCTION("GOOGLETRANSLATE(C237,""ja"",""vi"")"),"Đấu giá&gt; truyện tranh, phim hoạt hình hàng hóa&gt; bởi công việc&gt; et al. / I đường&gt; Layzner")</f>
        <v>Đấu giá&gt; truyện tranh, phim hoạt hình hàng hóa&gt; bởi công việc&gt; et al. / I đường&gt; Layzner</v>
      </c>
      <c r="G237" t="str">
        <f t="shared" ca="1" si="3"/>
        <v>"2084034426" : "Layzner",</v>
      </c>
    </row>
    <row r="238" spans="1:7" ht="14.25" customHeight="1">
      <c r="A238" s="2">
        <v>2084036118</v>
      </c>
      <c r="B238" s="2" t="s">
        <v>1762</v>
      </c>
      <c r="C238" s="2" t="s">
        <v>1764</v>
      </c>
      <c r="D238" s="2" t="s">
        <v>1766</v>
      </c>
      <c r="E238" s="4" t="str">
        <f ca="1">IFERROR(__xludf.DUMMYFUNCTION("GOOGLETRANSLATE(B238,""ja"",""vi"")"),"Record of Lodoss War")</f>
        <v>Record of Lodoss War</v>
      </c>
      <c r="F238" s="4" t="str">
        <f ca="1">IFERROR(__xludf.DUMMYFUNCTION("GOOGLETRANSLATE(C238,""ja"",""vi"")"),"Đấu giá&gt; truyện tranh, phim hoạt hình hàng hóa&gt; bởi công việc&gt; et al. / I đường&gt; Rhodes Senki")</f>
        <v>Đấu giá&gt; truyện tranh, phim hoạt hình hàng hóa&gt; bởi công việc&gt; et al. / I đường&gt; Rhodes Senki</v>
      </c>
      <c r="G238" t="str">
        <f t="shared" ca="1" si="3"/>
        <v>"2084036118" : "Record of Lodoss War",</v>
      </c>
    </row>
    <row r="239" spans="1:7" ht="14.25" customHeight="1">
      <c r="A239" s="2">
        <v>2084036117</v>
      </c>
      <c r="B239" s="2" t="s">
        <v>1767</v>
      </c>
      <c r="C239" s="2" t="s">
        <v>1768</v>
      </c>
      <c r="D239" s="2" t="s">
        <v>1769</v>
      </c>
      <c r="E239" s="4" t="str">
        <f ca="1">IFERROR(__xludf.DUMMYFUNCTION("GOOGLETRANSLATE(B239,""ja"",""vi"")"),"Flame of Recca")</f>
        <v>Flame of Recca</v>
      </c>
      <c r="F239" s="4" t="str">
        <f ca="1">IFERROR(__xludf.DUMMYFUNCTION("GOOGLETRANSLATE(C239,""ja"",""vi"")"),"Đấu giá&gt; truyện tranh, phim hoạt hình hàng hóa&gt; bởi công việc&gt; et al. / I đường&gt; Flame of Recca")</f>
        <v>Đấu giá&gt; truyện tranh, phim hoạt hình hàng hóa&gt; bởi công việc&gt; et al. / I đường&gt; Flame of Recca</v>
      </c>
      <c r="G239" t="str">
        <f t="shared" ca="1" si="3"/>
        <v>"2084036117" : "Flame of Recca",</v>
      </c>
    </row>
    <row r="240" spans="1:7" ht="14.25" customHeight="1">
      <c r="A240" s="2">
        <v>2084036119</v>
      </c>
      <c r="B240" s="2" t="s">
        <v>1775</v>
      </c>
      <c r="C240" s="2" t="s">
        <v>1776</v>
      </c>
      <c r="D240" s="2" t="s">
        <v>1777</v>
      </c>
      <c r="E240" s="4" t="str">
        <f ca="1">IFERROR(__xludf.DUMMYFUNCTION("GOOGLETRANSLATE(B240,""ja"",""vi"")"),"Godmars")</f>
        <v>Godmars</v>
      </c>
      <c r="F240" s="4" t="str">
        <f ca="1">IFERROR(__xludf.DUMMYFUNCTION("GOOGLETRANSLATE(C240,""ja"",""vi"")"),"Đấu giá&gt; truyện tranh, phim hoạt hình hàng hóa&gt; bởi công việc&gt; et al. / I đường&gt; Godmars")</f>
        <v>Đấu giá&gt; truyện tranh, phim hoạt hình hàng hóa&gt; bởi công việc&gt; et al. / I đường&gt; Godmars</v>
      </c>
      <c r="G240" t="str">
        <f t="shared" ca="1" si="3"/>
        <v>"2084036119" : "Godmars",</v>
      </c>
    </row>
    <row r="241" spans="1:7" ht="14.25" customHeight="1">
      <c r="A241" s="2">
        <v>2084036120</v>
      </c>
      <c r="B241" s="2" t="s">
        <v>1783</v>
      </c>
      <c r="C241" s="2" t="s">
        <v>1784</v>
      </c>
      <c r="D241" s="2" t="s">
        <v>1785</v>
      </c>
      <c r="E241" s="4" t="str">
        <f ca="1">IFERROR(__xludf.DUMMYFUNCTION("GOOGLETRANSLATE(B241,""ja"",""vi"")"),"Môn Colle Knights")</f>
        <v>Môn Colle Knights</v>
      </c>
      <c r="F241" s="4" t="str">
        <f ca="1">IFERROR(__xludf.DUMMYFUNCTION("GOOGLETRANSLATE(C241,""ja"",""vi"")"),"Đấu giá&gt; truyện tranh, phim hoạt hình hàng hóa&gt; bởi công việc&gt; et al. / I đường&gt; Môn Colle Knights")</f>
        <v>Đấu giá&gt; truyện tranh, phim hoạt hình hàng hóa&gt; bởi công việc&gt; et al. / I đường&gt; Môn Colle Knights</v>
      </c>
      <c r="G241" t="str">
        <f t="shared" ca="1" si="3"/>
        <v>"2084036120" : "Môn Colle Knights",</v>
      </c>
    </row>
    <row r="242" spans="1:7" ht="14.25" customHeight="1">
      <c r="A242" s="2">
        <v>2084007394</v>
      </c>
      <c r="B242" s="2" t="s">
        <v>1791</v>
      </c>
      <c r="C242" s="2" t="s">
        <v>1792</v>
      </c>
      <c r="D242" s="2" t="s">
        <v>1793</v>
      </c>
      <c r="E242" s="4" t="str">
        <f ca="1">IFERROR(__xludf.DUMMYFUNCTION("GOOGLETRANSLATE(B242,""ja"",""vi"")"),"ONE PIECE")</f>
        <v>ONE PIECE</v>
      </c>
      <c r="F242" s="4" t="str">
        <f ca="1">IFERROR(__xludf.DUMMYFUNCTION("GOOGLETRANSLATE(C242,""ja"",""vi"")"),"Đấu giá&gt; truyện tranh, phim hoạt hình hàng hóa&gt; bởi công việc&gt; et al. / I đường&gt; ONE PIECE")</f>
        <v>Đấu giá&gt; truyện tranh, phim hoạt hình hàng hóa&gt; bởi công việc&gt; et al. / I đường&gt; ONE PIECE</v>
      </c>
      <c r="G242" t="str">
        <f t="shared" ca="1" si="3"/>
        <v>"2084007394" : "ONE PIECE",</v>
      </c>
    </row>
    <row r="243" spans="1:7" ht="14.25" customHeight="1">
      <c r="A243" s="2">
        <v>2084034309</v>
      </c>
      <c r="B243" s="2" t="s">
        <v>70</v>
      </c>
      <c r="C243" s="2" t="s">
        <v>1796</v>
      </c>
      <c r="D243" s="2" t="s">
        <v>1798</v>
      </c>
      <c r="E243" s="4" t="str">
        <f ca="1">IFERROR(__xludf.DUMMYFUNCTION("GOOGLETRANSLATE(B243,""ja"",""vi"")"),"My Goddess")</f>
        <v>My Goddess</v>
      </c>
      <c r="F243" s="4" t="str">
        <f ca="1">IFERROR(__xludf.DUMMYFUNCTION("GOOGLETRANSLATE(C243,""ja"",""vi"")"),"Đấu giá&gt; truyện tranh, phim hoạt hình hàng hóa&gt; bức tranh di động&gt; sub-row&gt; Oh My Goddess!")</f>
        <v>Đấu giá&gt; truyện tranh, phim hoạt hình hàng hóa&gt; bức tranh di động&gt; sub-row&gt; Oh My Goddess!</v>
      </c>
      <c r="G243" t="str">
        <f t="shared" ca="1" si="3"/>
        <v>"2084034309" : "My Goddess",</v>
      </c>
    </row>
    <row r="244" spans="1:7" ht="14.25" customHeight="1">
      <c r="A244" s="2">
        <v>2084034317</v>
      </c>
      <c r="B244" s="2" t="s">
        <v>78</v>
      </c>
      <c r="C244" s="2" t="s">
        <v>1801</v>
      </c>
      <c r="D244" s="2" t="s">
        <v>1802</v>
      </c>
      <c r="E244" s="4" t="str">
        <f ca="1">IFERROR(__xludf.DUMMYFUNCTION("GOOGLETRANSLATE(B244,""ja"",""vi"")"),"Joe ngày mai")</f>
        <v>Joe ngày mai</v>
      </c>
      <c r="F244" s="4" t="str">
        <f ca="1">IFERROR(__xludf.DUMMYFUNCTION("GOOGLETRANSLATE(C244,""ja"",""vi"")"),"Đấu giá&gt; truyện tranh, phim hoạt hình hàng hóa&gt; bức tranh di động&gt; sub-row&gt; Ngày mai của Joe")</f>
        <v>Đấu giá&gt; truyện tranh, phim hoạt hình hàng hóa&gt; bức tranh di động&gt; sub-row&gt; Ngày mai của Joe</v>
      </c>
      <c r="G244" t="str">
        <f t="shared" ca="1" si="3"/>
        <v>"2084034317" : "Joe ngày mai",</v>
      </c>
    </row>
    <row r="245" spans="1:7" ht="14.25" customHeight="1">
      <c r="A245" s="2">
        <v>2084034318</v>
      </c>
      <c r="B245" s="2" t="s">
        <v>93</v>
      </c>
      <c r="C245" s="2" t="s">
        <v>1804</v>
      </c>
      <c r="D245" s="2" t="s">
        <v>1805</v>
      </c>
      <c r="E245" s="4" t="str">
        <f ca="1">IFERROR(__xludf.DUMMYFUNCTION("GOOGLETRANSLATE(B245,""ja"",""vi"")"),"Rascal Raccoon")</f>
        <v>Rascal Raccoon</v>
      </c>
      <c r="F245" s="4" t="str">
        <f ca="1">IFERROR(__xludf.DUMMYFUNCTION("GOOGLETRANSLATE(C245,""ja"",""vi"")"),"Đấu giá&gt; truyện tranh, phim hoạt hình hàng hóa&gt; bức tranh di động&gt; sub-row&gt; Rascal Raccoon")</f>
        <v>Đấu giá&gt; truyện tranh, phim hoạt hình hàng hóa&gt; bức tranh di động&gt; sub-row&gt; Rascal Raccoon</v>
      </c>
      <c r="G245" t="str">
        <f t="shared" ca="1" si="3"/>
        <v>"2084034318" : "Rascal Raccoon",</v>
      </c>
    </row>
    <row r="246" spans="1:7" ht="14.25" customHeight="1">
      <c r="A246" s="2">
        <v>2084034324</v>
      </c>
      <c r="B246" s="2" t="s">
        <v>122</v>
      </c>
      <c r="C246" s="2" t="s">
        <v>1808</v>
      </c>
      <c r="D246" s="2" t="s">
        <v>1809</v>
      </c>
      <c r="E246" s="4" t="str">
        <f ca="1">IFERROR(__xludf.DUMMYFUNCTION("GOOGLETRANSLATE(B246,""ja"",""vi"")"),"Urusei Yatsura")</f>
        <v>Urusei Yatsura</v>
      </c>
      <c r="F246" s="4" t="str">
        <f ca="1">IFERROR(__xludf.DUMMYFUNCTION("GOOGLETRANSLATE(C246,""ja"",""vi"")"),"Đấu giá&gt; truyện tranh, phim hoạt hình hàng hóa&gt; bức tranh di động&gt; sub-row&gt; Urusei Yatsura")</f>
        <v>Đấu giá&gt; truyện tranh, phim hoạt hình hàng hóa&gt; bức tranh di động&gt; sub-row&gt; Urusei Yatsura</v>
      </c>
      <c r="G246" t="str">
        <f t="shared" ca="1" si="3"/>
        <v>"2084034324" : "Urusei Yatsura",</v>
      </c>
    </row>
    <row r="247" spans="1:7" ht="14.25" customHeight="1">
      <c r="A247" s="2">
        <v>2084034315</v>
      </c>
      <c r="B247" s="2" t="s">
        <v>181</v>
      </c>
      <c r="C247" s="2" t="s">
        <v>1812</v>
      </c>
      <c r="D247" s="2" t="s">
        <v>1813</v>
      </c>
      <c r="E247" s="4" t="str">
        <f ca="1">IFERROR(__xludf.DUMMYFUNCTION("GOOGLETRANSLATE(B247,""ja"",""vi"")"),"Cyber ​​Team Akihabara")</f>
        <v>Cyber ​​Team Akihabara</v>
      </c>
      <c r="F247" s="4" t="str">
        <f ca="1">IFERROR(__xludf.DUMMYFUNCTION("GOOGLETRANSLATE(C247,""ja"",""vi"")"),"Đấu giá&gt; truyện tranh, phim hoạt hình hàng hóa&gt; bức tranh di động&gt; sub-row&gt; Cyber ​​Team Akihabara")</f>
        <v>Đấu giá&gt; truyện tranh, phim hoạt hình hàng hóa&gt; bức tranh di động&gt; sub-row&gt; Cyber ​​Team Akihabara</v>
      </c>
      <c r="G247" t="str">
        <f t="shared" ca="1" si="3"/>
        <v>"2084034315" : "Cyber ​​Team Akihabara",</v>
      </c>
    </row>
    <row r="248" spans="1:7" ht="14.25" customHeight="1">
      <c r="A248" s="2">
        <v>2084034319</v>
      </c>
      <c r="B248" s="2" t="s">
        <v>1815</v>
      </c>
      <c r="C248" s="2" t="s">
        <v>1816</v>
      </c>
      <c r="D248" s="2" t="s">
        <v>1817</v>
      </c>
      <c r="E248" s="4" t="str">
        <f ca="1">IFERROR(__xludf.DUMMYFUNCTION("GOOGLETRANSLATE(B248,""ja"",""vi"")"),"Heidi, cô gái của dãy Alps")</f>
        <v>Heidi, cô gái của dãy Alps</v>
      </c>
      <c r="F248" s="4" t="str">
        <f ca="1">IFERROR(__xludf.DUMMYFUNCTION("GOOGLETRANSLATE(C248,""ja"",""vi"")"),"Đấu giá&gt; truyện tranh, phim hoạt hình hàng hóa&gt; bức tranh di động&gt; sub-row&gt; Heidi, cô gái của dãy Alps")</f>
        <v>Đấu giá&gt; truyện tranh, phim hoạt hình hàng hóa&gt; bức tranh di động&gt; sub-row&gt; Heidi, cô gái của dãy Alps</v>
      </c>
      <c r="G248" t="str">
        <f t="shared" ca="1" si="3"/>
        <v>"2084034319" : "Heidi, cô gái của dãy Alps",</v>
      </c>
    </row>
    <row r="249" spans="1:7" ht="14.25" customHeight="1">
      <c r="A249" s="2">
        <v>2084045592</v>
      </c>
      <c r="B249" s="2" t="s">
        <v>239</v>
      </c>
      <c r="C249" s="2" t="s">
        <v>1820</v>
      </c>
      <c r="D249" s="2" t="s">
        <v>1821</v>
      </c>
      <c r="E249" s="4" t="str">
        <f ca="1">IFERROR(__xludf.DUMMYFUNCTION("GOOGLETRANSLATE(B249,""ja"",""vi"")"),"Wedding Peach")</f>
        <v>Wedding Peach</v>
      </c>
      <c r="F249" s="4" t="str">
        <f ca="1">IFERROR(__xludf.DUMMYFUNCTION("GOOGLETRANSLATE(C249,""ja"",""vi"")"),"Đấu giá&gt; truyện tranh, phim hoạt hình hàng hóa&gt; bức tranh di động&gt; sub-row&gt; Wedding Peach")</f>
        <v>Đấu giá&gt; truyện tranh, phim hoạt hình hàng hóa&gt; bức tranh di động&gt; sub-row&gt; Wedding Peach</v>
      </c>
      <c r="G249" t="str">
        <f t="shared" ca="1" si="3"/>
        <v>"2084045592" : "Wedding Peach",</v>
      </c>
    </row>
    <row r="250" spans="1:7" ht="14.25" customHeight="1">
      <c r="A250" s="2">
        <v>2084034326</v>
      </c>
      <c r="B250" s="2" t="s">
        <v>1823</v>
      </c>
      <c r="C250" s="2" t="s">
        <v>1824</v>
      </c>
      <c r="D250" s="2" t="s">
        <v>1825</v>
      </c>
      <c r="E250" s="4" t="str">
        <f ca="1">IFERROR(__xludf.DUMMYFUNCTION("GOOGLETRANSLATE(B250,""ja"",""vi"")"),"Siêu nhân Mami")</f>
        <v>Siêu nhân Mami</v>
      </c>
      <c r="F250" s="4" t="str">
        <f ca="1">IFERROR(__xludf.DUMMYFUNCTION("GOOGLETRANSLATE(C250,""ja"",""vi"")"),"Đấu giá&gt; truyện tranh, phim hoạt hình hàng hóa&gt; bức tranh di động&gt; sub-row&gt; Siêu nhân Mami")</f>
        <v>Đấu giá&gt; truyện tranh, phim hoạt hình hàng hóa&gt; bức tranh di động&gt; sub-row&gt; Siêu nhân Mami</v>
      </c>
      <c r="G250" t="str">
        <f t="shared" ca="1" si="3"/>
        <v>"2084034326" : "Siêu nhân Mami",</v>
      </c>
    </row>
    <row r="251" spans="1:7" ht="14.25" customHeight="1">
      <c r="A251" s="2">
        <v>2084034322</v>
      </c>
      <c r="B251" s="2" t="s">
        <v>273</v>
      </c>
      <c r="C251" s="2" t="s">
        <v>1827</v>
      </c>
      <c r="D251" s="2" t="s">
        <v>1828</v>
      </c>
      <c r="E251" s="4" t="str">
        <f ca="1">IFERROR(__xludf.DUMMYFUNCTION("GOOGLETRANSLATE(B251,""ja"",""vi"")"),"Space Battleship Yamato")</f>
        <v>Space Battleship Yamato</v>
      </c>
      <c r="F251" s="4" t="str">
        <f ca="1">IFERROR(__xludf.DUMMYFUNCTION("GOOGLETRANSLATE(C251,""ja"",""vi"")"),"Đấu giá&gt; truyện tranh, phim hoạt hình hàng hóa&gt; bức tranh di động&gt; sub-row&gt; Space Battleship Yamato")</f>
        <v>Đấu giá&gt; truyện tranh, phim hoạt hình hàng hóa&gt; bức tranh di động&gt; sub-row&gt; Space Battleship Yamato</v>
      </c>
      <c r="G251" t="str">
        <f t="shared" ca="1" si="3"/>
        <v>"2084034322" : "Space Battleship Yamato",</v>
      </c>
    </row>
    <row r="252" spans="1:7" ht="14.25" customHeight="1">
      <c r="A252" s="2">
        <v>2084034327</v>
      </c>
      <c r="B252" s="2" t="s">
        <v>1831</v>
      </c>
      <c r="C252" s="2" t="s">
        <v>1832</v>
      </c>
      <c r="D252" s="2" t="s">
        <v>1833</v>
      </c>
      <c r="E252" s="4" t="str">
        <f ca="1">IFERROR(__xludf.DUMMYFUNCTION("GOOGLETRANSLATE(B252,""ja"",""vi"")"),"The Brave of Gold Goldran")</f>
        <v>The Brave of Gold Goldran</v>
      </c>
      <c r="F252" s="4" t="str">
        <f ca="1">IFERROR(__xludf.DUMMYFUNCTION("GOOGLETRANSLATE(C252,""ja"",""vi"")"),"Đấu giá&gt; truyện tranh, phim hoạt hình hàng hóa&gt; bức tranh di động&gt; sub-row&gt; The Brave of Gold Goldran")</f>
        <v>Đấu giá&gt; truyện tranh, phim hoạt hình hàng hóa&gt; bức tranh di động&gt; sub-row&gt; The Brave of Gold Goldran</v>
      </c>
      <c r="G252" t="str">
        <f t="shared" ca="1" si="3"/>
        <v>"2084034327" : "The Brave of Gold Goldran",</v>
      </c>
    </row>
    <row r="253" spans="1:7" ht="14.25" customHeight="1">
      <c r="A253" s="2">
        <v>2084034320</v>
      </c>
      <c r="B253" s="2" t="s">
        <v>1835</v>
      </c>
      <c r="C253" s="2" t="s">
        <v>1836</v>
      </c>
      <c r="D253" s="2" t="s">
        <v>1837</v>
      </c>
      <c r="E253" s="4" t="str">
        <f ca="1">IFERROR(__xludf.DUMMYFUNCTION("GOOGLETRANSLATE(B253,""ja"",""vi"")"),"đứa trẻ vô gia cư")</f>
        <v>đứa trẻ vô gia cư</v>
      </c>
      <c r="F253" s="4" t="str">
        <f ca="1">IFERROR(__xludf.DUMMYFUNCTION("GOOGLETRANSLATE(C253,""ja"",""vi"")"),"Đấu giá&gt; truyện tranh, phim hoạt hình hàng hóa&gt; bức tranh di động&gt; sub-row&gt; trẻ vô gia cư")</f>
        <v>Đấu giá&gt; truyện tranh, phim hoạt hình hàng hóa&gt; bức tranh di động&gt; sub-row&gt; trẻ vô gia cư</v>
      </c>
      <c r="G253" t="str">
        <f t="shared" ca="1" si="3"/>
        <v>"2084034320" : "đứa trẻ vô gia cư",</v>
      </c>
    </row>
    <row r="254" spans="1:7" ht="14.25" customHeight="1">
      <c r="A254" s="2">
        <v>2084034328</v>
      </c>
      <c r="B254" s="2" t="s">
        <v>298</v>
      </c>
      <c r="C254" s="2" t="s">
        <v>1840</v>
      </c>
      <c r="D254" s="2" t="s">
        <v>1841</v>
      </c>
      <c r="E254" s="4" t="str">
        <f ca="1">IFERROR(__xludf.DUMMYFUNCTION("GOOGLETRANSLATE(B254,""ja"",""vi"")"),"Aura Dunbine")</f>
        <v>Aura Dunbine</v>
      </c>
      <c r="F254" s="4" t="str">
        <f ca="1">IFERROR(__xludf.DUMMYFUNCTION("GOOGLETRANSLATE(C254,""ja"",""vi"")"),"Đấu giá&gt; truyện tranh, phim hoạt hình hàng hóa&gt; bức tranh di động&gt; sub-row&gt; Aura Dunbine")</f>
        <v>Đấu giá&gt; truyện tranh, phim hoạt hình hàng hóa&gt; bức tranh di động&gt; sub-row&gt; Aura Dunbine</v>
      </c>
      <c r="G254" t="str">
        <f t="shared" ca="1" si="3"/>
        <v>"2084034328" : "Aura Dunbine",</v>
      </c>
    </row>
    <row r="255" spans="1:7" ht="14.25" customHeight="1">
      <c r="A255" s="2">
        <v>2084034313</v>
      </c>
      <c r="B255" s="2" t="s">
        <v>309</v>
      </c>
      <c r="C255" s="2" t="s">
        <v>1844</v>
      </c>
      <c r="D255" s="2" t="s">
        <v>1845</v>
      </c>
      <c r="E255" s="4" t="str">
        <f ca="1">IFERROR(__xludf.DUMMYFUNCTION("GOOGLETRANSLATE(B255,""ja"",""vi"")"),"Little Red Riding Hood Chacha")</f>
        <v>Little Red Riding Hood Chacha</v>
      </c>
      <c r="F255" s="4" t="str">
        <f ca="1">IFERROR(__xludf.DUMMYFUNCTION("GOOGLETRANSLATE(C255,""ja"",""vi"")"),"Đấu giá&gt; truyện tranh, phim hoạt hình hàng hóa&gt; bức tranh di động&gt; sub-row&gt; Little Red Riding Hood Chacha")</f>
        <v>Đấu giá&gt; truyện tranh, phim hoạt hình hàng hóa&gt; bức tranh di động&gt; sub-row&gt; Little Red Riding Hood Chacha</v>
      </c>
      <c r="G255" t="str">
        <f t="shared" ca="1" si="3"/>
        <v>"2084034313" : "Little Red Riding Hood Chacha",</v>
      </c>
    </row>
    <row r="256" spans="1:7" ht="14.25" customHeight="1">
      <c r="A256" s="2">
        <v>2084034312</v>
      </c>
      <c r="B256" s="2" t="s">
        <v>321</v>
      </c>
      <c r="C256" s="2" t="s">
        <v>1850</v>
      </c>
      <c r="D256" s="2" t="s">
        <v>1852</v>
      </c>
      <c r="E256" s="4" t="str">
        <f ca="1">IFERROR(__xludf.DUMMYFUNCTION("GOOGLETRANSLATE(B256,""ja"",""vi"")"),"Anne of Green Gables")</f>
        <v>Anne of Green Gables</v>
      </c>
      <c r="F256" s="4" t="str">
        <f ca="1">IFERROR(__xludf.DUMMYFUNCTION("GOOGLETRANSLATE(C256,""ja"",""vi"")"),"Đấu giá&gt; truyện tranh, phim hoạt hình hàng hóa&gt; bức tranh di động&gt; sub-row&gt; Anne of Green Gables")</f>
        <v>Đấu giá&gt; truyện tranh, phim hoạt hình hàng hóa&gt; bức tranh di động&gt; sub-row&gt; Anne of Green Gables</v>
      </c>
      <c r="G256" t="str">
        <f t="shared" ca="1" si="3"/>
        <v>"2084034312" : "Anne of Green Gables",</v>
      </c>
    </row>
    <row r="257" spans="1:7" ht="14.25" customHeight="1">
      <c r="A257" s="2">
        <v>2084034310</v>
      </c>
      <c r="B257" s="2" t="s">
        <v>333</v>
      </c>
      <c r="C257" s="2" t="s">
        <v>1857</v>
      </c>
      <c r="D257" s="2" t="s">
        <v>1858</v>
      </c>
      <c r="E257" s="4" t="str">
        <f ca="1">IFERROR(__xludf.DUMMYFUNCTION("GOOGLETRANSLATE(B257,""ja"",""vi"")"),"Aoki Ryusei SPT Layzner")</f>
        <v>Aoki Ryusei SPT Layzner</v>
      </c>
      <c r="F257" s="4" t="str">
        <f ca="1">IFERROR(__xludf.DUMMYFUNCTION("GOOGLETRANSLATE(C257,""ja"",""vi"")"),"Đấu giá&gt; truyện tranh, phim hoạt hình hàng hóa&gt; bức tranh di động&gt; sub-row&gt; Xanh Comet SPT Layzner")</f>
        <v>Đấu giá&gt; truyện tranh, phim hoạt hình hàng hóa&gt; bức tranh di động&gt; sub-row&gt; Xanh Comet SPT Layzner</v>
      </c>
      <c r="G257" t="str">
        <f t="shared" ca="1" si="3"/>
        <v>"2084034310" : "Aoki Ryusei SPT Layzner",</v>
      </c>
    </row>
    <row r="258" spans="1:7" ht="14.25" customHeight="1">
      <c r="A258" s="2">
        <v>2084034316</v>
      </c>
      <c r="B258" s="2" t="s">
        <v>46</v>
      </c>
      <c r="C258" s="2" t="s">
        <v>1863</v>
      </c>
      <c r="D258" s="2" t="s">
        <v>1864</v>
      </c>
      <c r="E258" s="4" t="str">
        <f ca="1">IFERROR(__xludf.DUMMYFUNCTION("GOOGLETRANSLATE(B258,""ja"",""vi"")"),"nếu không thì")</f>
        <v>nếu không thì</v>
      </c>
      <c r="F258" s="4" t="str">
        <f ca="1">IFERROR(__xludf.DUMMYFUNCTION("GOOGLETRANSLATE(C258,""ja"",""vi"")"),"Đấu giá&gt; truyện tranh, phim hoạt hình hàng hóa&gt; bức tranh di động&gt; sub-Line&gt; Khác")</f>
        <v>Đấu giá&gt; truyện tranh, phim hoạt hình hàng hóa&gt; bức tranh di động&gt; sub-Line&gt; Khác</v>
      </c>
      <c r="G258" t="str">
        <f t="shared" ca="1" si="3"/>
        <v>"2084034316" : "nếu không thì",</v>
      </c>
    </row>
    <row r="259" spans="1:7" ht="14.25" customHeight="1">
      <c r="A259" s="2">
        <v>2084045596</v>
      </c>
      <c r="B259" s="2" t="s">
        <v>1866</v>
      </c>
      <c r="C259" s="2" t="s">
        <v>1868</v>
      </c>
      <c r="D259" s="2" t="s">
        <v>1870</v>
      </c>
      <c r="E259" s="4" t="str">
        <f ca="1">IFERROR(__xludf.DUMMYFUNCTION("GOOGLETRANSLATE(B259,""ja"",""vi"")"),"Key the Metal Idol")</f>
        <v>Key the Metal Idol</v>
      </c>
      <c r="F259" s="4" t="str">
        <f ca="1">IFERROR(__xludf.DUMMYFUNCTION("GOOGLETRANSLATE(C259,""ja"",""vi"")"),"Đấu giá&gt; truyện tranh, phim hoạt hình hàng hóa&gt; bức tranh di động&gt; hoặc hàng&gt; Key the Metal Idol")</f>
        <v>Đấu giá&gt; truyện tranh, phim hoạt hình hàng hóa&gt; bức tranh di động&gt; hoặc hàng&gt; Key the Metal Idol</v>
      </c>
      <c r="G259" t="str">
        <f t="shared" ref="G259:G322" ca="1" si="4">CONCATENATE(CHAR(34)&amp;"",A259,""&amp;CHAR(34)," : ", CHAR(34)&amp;"",E259,""&amp;CHAR(34),",")</f>
        <v>"2084045596" : "Key the Metal Idol",</v>
      </c>
    </row>
    <row r="260" spans="1:7" ht="14.25" customHeight="1">
      <c r="A260" s="2">
        <v>2084034543</v>
      </c>
      <c r="B260" s="2" t="s">
        <v>362</v>
      </c>
      <c r="C260" s="2" t="s">
        <v>1874</v>
      </c>
      <c r="D260" s="2" t="s">
        <v>1875</v>
      </c>
      <c r="E260" s="4" t="str">
        <f ca="1">IFERROR(__xludf.DUMMYFUNCTION("GOOGLETRANSLATE(B260,""ja"",""vi"")"),"tải thất Orange ★")</f>
        <v>tải thất Orange ★</v>
      </c>
      <c r="F260" s="4" t="str">
        <f ca="1">IFERROR(__xludf.DUMMYFUNCTION("GOOGLETRANSLATE(C260,""ja"",""vi"")"),"Đấu giá&gt; truyện tranh, phim hoạt hình hàng hóa&gt; bức tranh di động&gt; hoặc hàng&gt; thất Orange ★ tải")</f>
        <v>Đấu giá&gt; truyện tranh, phim hoạt hình hàng hóa&gt; bức tranh di động&gt; hoặc hàng&gt; thất Orange ★ tải</v>
      </c>
      <c r="G260" t="str">
        <f t="shared" ca="1" si="4"/>
        <v>"2084034543" : "tải thất Orange ★",</v>
      </c>
    </row>
    <row r="261" spans="1:7" ht="14.25" customHeight="1">
      <c r="A261" s="2">
        <v>2084034562</v>
      </c>
      <c r="B261" s="2" t="s">
        <v>382</v>
      </c>
      <c r="C261" s="2" t="s">
        <v>1879</v>
      </c>
      <c r="D261" s="2" t="s">
        <v>1880</v>
      </c>
      <c r="E261" s="4" t="str">
        <f ca="1">IFERROR(__xludf.DUMMYFUNCTION("GOOGLETRANSLATE(B261,""ja"",""vi"")"),"Dưới đây công viên Katsushika Kameari trước khi cảnh sát")</f>
        <v>Dưới đây công viên Katsushika Kameari trước khi cảnh sát</v>
      </c>
      <c r="F261" s="4" t="str">
        <f ca="1">IFERROR(__xludf.DUMMYFUNCTION("GOOGLETRANSLATE(C261,""ja"",""vi"")"),"Đấu giá&gt; truyện tranh, phim hoạt hình hàng hóa&gt; bức tranh di động&gt; hoặc hàng&gt; đây Katsushika Kameari công viên trước khi cảnh sát")</f>
        <v>Đấu giá&gt; truyện tranh, phim hoạt hình hàng hóa&gt; bức tranh di động&gt; hoặc hàng&gt; đây Katsushika Kameari công viên trước khi cảnh sát</v>
      </c>
      <c r="G261" t="str">
        <f t="shared" ca="1" si="4"/>
        <v>"2084034562" : "Dưới đây công viên Katsushika Kameari trước khi cảnh sát",</v>
      </c>
    </row>
    <row r="262" spans="1:7" ht="14.25" customHeight="1">
      <c r="A262" s="2">
        <v>2084034560</v>
      </c>
      <c r="B262" s="2" t="s">
        <v>1886</v>
      </c>
      <c r="C262" s="2" t="s">
        <v>1887</v>
      </c>
      <c r="D262" s="2" t="s">
        <v>1888</v>
      </c>
      <c r="E262" s="4" t="str">
        <f ca="1">IFERROR(__xludf.DUMMYFUNCTION("GOOGLETRANSLATE(B262,""ja"",""vi"")"),"Vùng lân cận Câu chuyện")</f>
        <v>Vùng lân cận Câu chuyện</v>
      </c>
      <c r="F262" s="4" t="str">
        <f ca="1">IFERROR(__xludf.DUMMYFUNCTION("GOOGLETRANSLATE(C262,""ja"",""vi"")"),"Đấu giá&gt; truyện tranh, phim hoạt hình hàng hóa&gt; bức tranh di động&gt; hoặc hàng&gt; Vùng lân cận Câu chuyện")</f>
        <v>Đấu giá&gt; truyện tranh, phim hoạt hình hàng hóa&gt; bức tranh di động&gt; hoặc hàng&gt; Vùng lân cận Câu chuyện</v>
      </c>
      <c r="G262" t="str">
        <f t="shared" ca="1" si="4"/>
        <v>"2084034560" : "Vùng lân cận Câu chuyện",</v>
      </c>
    </row>
    <row r="263" spans="1:7" ht="14.25" customHeight="1">
      <c r="A263" s="2">
        <v>2084034535</v>
      </c>
      <c r="B263" s="2" t="s">
        <v>393</v>
      </c>
      <c r="C263" s="2" t="s">
        <v>1894</v>
      </c>
      <c r="D263" s="2" t="s">
        <v>1895</v>
      </c>
      <c r="E263" s="4" t="str">
        <f ca="1">IFERROR(__xludf.DUMMYFUNCTION("GOOGLETRANSLATE(B263,""ja"",""vi"")"),"Cardcaptor Sakura")</f>
        <v>Cardcaptor Sakura</v>
      </c>
      <c r="F263" s="4" t="str">
        <f ca="1">IFERROR(__xludf.DUMMYFUNCTION("GOOGLETRANSLATE(C263,""ja"",""vi"")"),"Đấu giá&gt; truyện tranh, phim hoạt hình hàng hóa&gt; bức tranh di động&gt; hoặc hàng&gt; Cardcaptor Sakura")</f>
        <v>Đấu giá&gt; truyện tranh, phim hoạt hình hàng hóa&gt; bức tranh di động&gt; hoặc hàng&gt; Cardcaptor Sakura</v>
      </c>
      <c r="G263" t="str">
        <f t="shared" ca="1" si="4"/>
        <v>"2084034535" : "Cardcaptor Sakura",</v>
      </c>
    </row>
    <row r="264" spans="1:7" ht="14.25" customHeight="1">
      <c r="A264" s="2">
        <v>2084034539</v>
      </c>
      <c r="B264" s="2" t="s">
        <v>403</v>
      </c>
      <c r="C264" s="2" t="s">
        <v>1898</v>
      </c>
      <c r="D264" s="2" t="s">
        <v>1901</v>
      </c>
      <c r="E264" s="4" t="str">
        <f ca="1">IFERROR(__xludf.DUMMYFUNCTION("GOOGLETRANSLATE(B264,""ja"",""vi"")"),"Cowboy Bebop")</f>
        <v>Cowboy Bebop</v>
      </c>
      <c r="F264" s="4" t="str">
        <f ca="1">IFERROR(__xludf.DUMMYFUNCTION("GOOGLETRANSLATE(C264,""ja"",""vi"")"),"Đấu giá&gt; truyện tranh, phim hoạt hình hàng hóa&gt; bức tranh di động&gt; hoặc hàng&gt; Cowboy Bebop")</f>
        <v>Đấu giá&gt; truyện tranh, phim hoạt hình hàng hóa&gt; bức tranh di động&gt; hoặc hàng&gt; Cowboy Bebop</v>
      </c>
      <c r="G264" t="str">
        <f t="shared" ca="1" si="4"/>
        <v>"2084034539" : "Cowboy Bebop",</v>
      </c>
    </row>
    <row r="265" spans="1:7" ht="14.25" customHeight="1">
      <c r="A265" s="2">
        <v>2084034541</v>
      </c>
      <c r="B265" s="2" t="s">
        <v>421</v>
      </c>
      <c r="C265" s="2" t="s">
        <v>1905</v>
      </c>
      <c r="D265" s="2" t="s">
        <v>1907</v>
      </c>
      <c r="E265" s="4" t="str">
        <f ca="1">IFERROR(__xludf.DUMMYFUNCTION("GOOGLETRANSLATE(B265,""ja"",""vi"")"),"Gasaraki")</f>
        <v>Gasaraki</v>
      </c>
      <c r="F265" s="4" t="str">
        <f ca="1">IFERROR(__xludf.DUMMYFUNCTION("GOOGLETRANSLATE(C265,""ja"",""vi"")"),"Đấu giá&gt; truyện tranh, phim hoạt hình hàng hóa&gt; bức tranh di động&gt; hoặc hàng&gt; Gasaraki")</f>
        <v>Đấu giá&gt; truyện tranh, phim hoạt hình hàng hóa&gt; bức tranh di động&gt; hoặc hàng&gt; Gasaraki</v>
      </c>
      <c r="G265" t="str">
        <f t="shared" ca="1" si="4"/>
        <v>"2084034541" : "Gasaraki",</v>
      </c>
    </row>
    <row r="266" spans="1:7" ht="14.25" customHeight="1">
      <c r="A266" s="2">
        <v>2084034564</v>
      </c>
      <c r="B266" s="2" t="s">
        <v>429</v>
      </c>
      <c r="C266" s="2" t="s">
        <v>1910</v>
      </c>
      <c r="D266" s="2" t="s">
        <v>1912</v>
      </c>
      <c r="E266" s="4" t="str">
        <f ca="1">IFERROR(__xludf.DUMMYFUNCTION("GOOGLETRANSLATE(B266,""ja"",""vi"")"),"Gall Force")</f>
        <v>Gall Force</v>
      </c>
      <c r="F266" s="4" t="str">
        <f ca="1">IFERROR(__xludf.DUMMYFUNCTION("GOOGLETRANSLATE(C266,""ja"",""vi"")"),"Đấu giá&gt; truyện tranh, phim hoạt hình hàng hóa&gt; bức tranh di động&gt; hoặc hàng&gt; Gall Force")</f>
        <v>Đấu giá&gt; truyện tranh, phim hoạt hình hàng hóa&gt; bức tranh di động&gt; hoặc hàng&gt; Gall Force</v>
      </c>
      <c r="G266" t="str">
        <f t="shared" ca="1" si="4"/>
        <v>"2084034564" : "Gall Force",</v>
      </c>
    </row>
    <row r="267" spans="1:7" ht="14.25" customHeight="1">
      <c r="A267" s="2">
        <v>2084034565</v>
      </c>
      <c r="B267" s="2" t="s">
        <v>436</v>
      </c>
      <c r="C267" s="2" t="s">
        <v>1916</v>
      </c>
      <c r="D267" s="2" t="s">
        <v>1917</v>
      </c>
      <c r="E267" s="4" t="str">
        <f ca="1">IFERROR(__xludf.DUMMYFUNCTION("GOOGLETRANSLATE(B267,""ja"",""vi"")"),"Gundam")</f>
        <v>Gundam</v>
      </c>
      <c r="F267" s="4" t="str">
        <f ca="1">IFERROR(__xludf.DUMMYFUNCTION("GOOGLETRANSLATE(C267,""ja"",""vi"")"),"Đấu giá&gt; truyện tranh, phim hoạt hình hàng hóa&gt; bức tranh di động&gt; hoặc hàng&gt; Gundam")</f>
        <v>Đấu giá&gt; truyện tranh, phim hoạt hình hàng hóa&gt; bức tranh di động&gt; hoặc hàng&gt; Gundam</v>
      </c>
      <c r="G267" t="str">
        <f t="shared" ca="1" si="4"/>
        <v>"2084034565" : "Gundam",</v>
      </c>
    </row>
    <row r="268" spans="1:7" ht="14.25" customHeight="1">
      <c r="A268" s="2">
        <v>2084034544</v>
      </c>
      <c r="B268" s="2" t="s">
        <v>1920</v>
      </c>
      <c r="C268" s="2" t="s">
        <v>1923</v>
      </c>
      <c r="D268" s="2" t="s">
        <v>1924</v>
      </c>
      <c r="E268" s="4" t="str">
        <f ca="1">IFERROR(__xludf.DUMMYFUNCTION("GOOGLETRANSLATE(B268,""ja"",""vi"")"),"Cat's mắt")</f>
        <v>Cat's mắt</v>
      </c>
      <c r="F268" s="4" t="str">
        <f ca="1">IFERROR(__xludf.DUMMYFUNCTION("GOOGLETRANSLATE(C268,""ja"",""vi"")"),"Đấu giá&gt; truyện tranh, phim hoạt hình hàng hóa&gt; bức tranh di động&gt; hoặc hàng&gt; Mắt Mèo của")</f>
        <v>Đấu giá&gt; truyện tranh, phim hoạt hình hàng hóa&gt; bức tranh di động&gt; hoặc hàng&gt; Mắt Mèo của</v>
      </c>
      <c r="G268" t="str">
        <f t="shared" ca="1" si="4"/>
        <v>"2084034544" : "Cat's mắt",</v>
      </c>
    </row>
    <row r="269" spans="1:7" ht="14.25" customHeight="1">
      <c r="A269" s="2">
        <v>2084034545</v>
      </c>
      <c r="B269" s="2" t="s">
        <v>445</v>
      </c>
      <c r="C269" s="2" t="s">
        <v>1926</v>
      </c>
      <c r="D269" s="2" t="s">
        <v>1928</v>
      </c>
      <c r="E269" s="4" t="str">
        <f ca="1">IFERROR(__xludf.DUMMYFUNCTION("GOOGLETRANSLATE(B269,""ja"",""vi"")"),"Captain Harlock")</f>
        <v>Captain Harlock</v>
      </c>
      <c r="F269" s="4" t="str">
        <f ca="1">IFERROR(__xludf.DUMMYFUNCTION("GOOGLETRANSLATE(C269,""ja"",""vi"")"),"Đấu giá&gt; truyện tranh, phim hoạt hình hàng hóa&gt; Cel&gt; hoặc hàng&gt; Captain Harlock")</f>
        <v>Đấu giá&gt; truyện tranh, phim hoạt hình hàng hóa&gt; Cel&gt; hoặc hàng&gt; Captain Harlock</v>
      </c>
      <c r="G269" t="str">
        <f t="shared" ca="1" si="4"/>
        <v>"2084034545" : "Captain Harlock",</v>
      </c>
    </row>
    <row r="270" spans="1:7" ht="14.25" customHeight="1">
      <c r="A270" s="2">
        <v>2084034546</v>
      </c>
      <c r="B270" s="2" t="s">
        <v>458</v>
      </c>
      <c r="C270" s="2" t="s">
        <v>1932</v>
      </c>
      <c r="D270" s="2" t="s">
        <v>1933</v>
      </c>
      <c r="E270" s="4" t="str">
        <f ca="1">IFERROR(__xludf.DUMMYFUNCTION("GOOGLETRANSLATE(B270,""ja"",""vi"")"),"Captain Tsubasa")</f>
        <v>Captain Tsubasa</v>
      </c>
      <c r="F270" s="4" t="str">
        <f ca="1">IFERROR(__xludf.DUMMYFUNCTION("GOOGLETRANSLATE(C270,""ja"",""vi"")"),"Đấu giá&gt; truyện tranh, phim hoạt hình hàng hóa&gt; bức tranh di động&gt; hoặc hàng&gt; Captain Tsubasa")</f>
        <v>Đấu giá&gt; truyện tranh, phim hoạt hình hàng hóa&gt; bức tranh di động&gt; hoặc hàng&gt; Captain Tsubasa</v>
      </c>
      <c r="G270" t="str">
        <f t="shared" ca="1" si="4"/>
        <v>"2084034546" : "Captain Tsubasa",</v>
      </c>
    </row>
    <row r="271" spans="1:7" ht="14.25" customHeight="1">
      <c r="A271" s="2">
        <v>2084034548</v>
      </c>
      <c r="B271" s="2" t="s">
        <v>482</v>
      </c>
      <c r="C271" s="2" t="s">
        <v>1939</v>
      </c>
      <c r="D271" s="2" t="s">
        <v>1940</v>
      </c>
      <c r="E271" s="4" t="str">
        <f ca="1">IFERROR(__xludf.DUMMYFUNCTION("GOOGLETRANSLATE(B271,""ja"",""vi"")"),"Cutie Honey")</f>
        <v>Cutie Honey</v>
      </c>
      <c r="F271" s="4" t="str">
        <f ca="1">IFERROR(__xludf.DUMMYFUNCTION("GOOGLETRANSLATE(C271,""ja"",""vi"")"),"Đấu giá&gt; truyện tranh, phim hoạt hình hàng hóa&gt; bức tranh di động&gt; hoặc hàng&gt; Cutie Honey")</f>
        <v>Đấu giá&gt; truyện tranh, phim hoạt hình hàng hóa&gt; bức tranh di động&gt; hoặc hàng&gt; Cutie Honey</v>
      </c>
      <c r="G271" t="str">
        <f t="shared" ca="1" si="4"/>
        <v>"2084034548" : "Cutie Honey",</v>
      </c>
    </row>
    <row r="272" spans="1:7" ht="14.25" customHeight="1">
      <c r="A272" s="2">
        <v>2084034554</v>
      </c>
      <c r="B272" s="2" t="s">
        <v>489</v>
      </c>
      <c r="C272" s="2" t="s">
        <v>1942</v>
      </c>
      <c r="D272" s="2" t="s">
        <v>1944</v>
      </c>
      <c r="E272" s="4" t="str">
        <f ca="1">IFERROR(__xludf.DUMMYFUNCTION("GOOGLETRANSLATE(B272,""ja"",""vi"")"),"Kinnikuman")</f>
        <v>Kinnikuman</v>
      </c>
      <c r="F272" s="4" t="str">
        <f ca="1">IFERROR(__xludf.DUMMYFUNCTION("GOOGLETRANSLATE(C272,""ja"",""vi"")"),"Đấu giá&gt; truyện tranh, phim hoạt hình hàng hóa&gt; bức tranh di động&gt; hoặc hàng&gt; Kinnikuman")</f>
        <v>Đấu giá&gt; truyện tranh, phim hoạt hình hàng hóa&gt; bức tranh di động&gt; hoặc hàng&gt; Kinnikuman</v>
      </c>
      <c r="G272" t="str">
        <f t="shared" ca="1" si="4"/>
        <v>"2084034554" : "Kinnikuman",</v>
      </c>
    </row>
    <row r="273" spans="1:7" ht="14.25" customHeight="1">
      <c r="A273" s="2">
        <v>2084044306</v>
      </c>
      <c r="B273" s="2" t="s">
        <v>493</v>
      </c>
      <c r="C273" s="2" t="s">
        <v>1947</v>
      </c>
      <c r="D273" s="2" t="s">
        <v>1948</v>
      </c>
      <c r="E273" s="4" t="str">
        <f ca="1">IFERROR(__xludf.DUMMYFUNCTION("GOOGLETRANSLATE(B273,""ja"",""vi"")"),"Crusher Joe")</f>
        <v>Crusher Joe</v>
      </c>
      <c r="F273" s="4" t="str">
        <f ca="1">IFERROR(__xludf.DUMMYFUNCTION("GOOGLETRANSLATE(C273,""ja"",""vi"")"),"Đấu giá&gt; truyện tranh, phim hoạt hình hàng hóa&gt; bức tranh di động&gt; hoặc hàng&gt; Crusher Joe")</f>
        <v>Đấu giá&gt; truyện tranh, phim hoạt hình hàng hóa&gt; bức tranh di động&gt; hoặc hàng&gt; Crusher Joe</v>
      </c>
      <c r="G273" t="str">
        <f t="shared" ca="1" si="4"/>
        <v>"2084044306" : "Crusher Joe",</v>
      </c>
    </row>
    <row r="274" spans="1:7" ht="14.25" customHeight="1">
      <c r="A274" s="2">
        <v>2084034555</v>
      </c>
      <c r="B274" s="2" t="s">
        <v>502</v>
      </c>
      <c r="C274" s="2" t="s">
        <v>1953</v>
      </c>
      <c r="D274" s="2" t="s">
        <v>1954</v>
      </c>
      <c r="E274" s="4" t="str">
        <f ca="1">IFERROR(__xludf.DUMMYFUNCTION("GOOGLETRANSLATE(B274,""ja"",""vi"")"),"Crayon Shin-chan")</f>
        <v>Crayon Shin-chan</v>
      </c>
      <c r="F274" s="4" t="str">
        <f ca="1">IFERROR(__xludf.DUMMYFUNCTION("GOOGLETRANSLATE(C274,""ja"",""vi"")"),"Đấu giá&gt; truyện tranh, phim hoạt hình hàng hóa&gt; bức tranh di động&gt; hoặc hàng&gt; Crayon Shin-chan")</f>
        <v>Đấu giá&gt; truyện tranh, phim hoạt hình hàng hóa&gt; bức tranh di động&gt; hoặc hàng&gt; Crayon Shin-chan</v>
      </c>
      <c r="G274" t="str">
        <f t="shared" ca="1" si="4"/>
        <v>"2084034555" : "Crayon Shin-chan",</v>
      </c>
    </row>
    <row r="275" spans="1:7" ht="14.25" customHeight="1">
      <c r="A275" s="2">
        <v>2084034556</v>
      </c>
      <c r="B275" s="2" t="s">
        <v>511</v>
      </c>
      <c r="C275" s="2" t="s">
        <v>1960</v>
      </c>
      <c r="D275" s="2" t="s">
        <v>1962</v>
      </c>
      <c r="E275" s="4" t="str">
        <f ca="1">IFERROR(__xludf.DUMMYFUNCTION("GOOGLETRANSLATE(B275,""ja"",""vi"")"),"Kitaro no Kitaro")</f>
        <v>Kitaro no Kitaro</v>
      </c>
      <c r="F275" s="4" t="str">
        <f ca="1">IFERROR(__xludf.DUMMYFUNCTION("GOOGLETRANSLATE(C275,""ja"",""vi"")"),"Đấu giá&gt; truyện tranh, phim hoạt hình hàng hóa&gt; bức tranh di động&gt; hoặc hàng&gt; Gegege no Kitaro")</f>
        <v>Đấu giá&gt; truyện tranh, phim hoạt hình hàng hóa&gt; bức tranh di động&gt; hoặc hàng&gt; Gegege no Kitaro</v>
      </c>
      <c r="G275" t="str">
        <f t="shared" ca="1" si="4"/>
        <v>"2084034556" : "Kitaro no Kitaro",</v>
      </c>
    </row>
    <row r="276" spans="1:7" ht="14.25" customHeight="1">
      <c r="A276" s="2">
        <v>2084034557</v>
      </c>
      <c r="B276" s="2" t="s">
        <v>516</v>
      </c>
      <c r="C276" s="2" t="s">
        <v>1968</v>
      </c>
      <c r="D276" s="2" t="s">
        <v>1969</v>
      </c>
      <c r="E276" s="4" t="str">
        <f ca="1">IFERROR(__xludf.DUMMYFUNCTION("GOOGLETRANSLATE(B276,""ja"",""vi"")"),"getter Robo")</f>
        <v>getter Robo</v>
      </c>
      <c r="F276" s="4" t="str">
        <f ca="1">IFERROR(__xludf.DUMMYFUNCTION("GOOGLETRANSLATE(C276,""ja"",""vi"")"),"Đấu giá&gt; truyện tranh, phim hoạt hình hàng hóa&gt; bức tranh di động&gt; hoặc hàng&gt; Getter Robo")</f>
        <v>Đấu giá&gt; truyện tranh, phim hoạt hình hàng hóa&gt; bức tranh di động&gt; hoặc hàng&gt; Getter Robo</v>
      </c>
      <c r="G276" t="str">
        <f t="shared" ca="1" si="4"/>
        <v>"2084034557" : "getter Robo",</v>
      </c>
    </row>
    <row r="277" spans="1:7" ht="14.25" customHeight="1">
      <c r="A277" s="2">
        <v>2084044290</v>
      </c>
      <c r="B277" s="2" t="s">
        <v>536</v>
      </c>
      <c r="C277" s="2" t="s">
        <v>1974</v>
      </c>
      <c r="D277" s="2" t="s">
        <v>1976</v>
      </c>
      <c r="E277" s="4" t="str">
        <f ca="1">IFERROR(__xludf.DUMMYFUNCTION("GOOGLETRANSLATE(B277,""ja"",""vi"")"),"Gatchaman")</f>
        <v>Gatchaman</v>
      </c>
      <c r="F277" s="4" t="str">
        <f ca="1">IFERROR(__xludf.DUMMYFUNCTION("GOOGLETRANSLATE(C277,""ja"",""vi"")"),"Đấu giá&gt; truyện tranh, phim hoạt hình hàng hóa&gt; bức tranh di động&gt; hoặc hàng&gt; Gatchaman")</f>
        <v>Đấu giá&gt; truyện tranh, phim hoạt hình hàng hóa&gt; bức tranh di động&gt; hoặc hàng&gt; Gatchaman</v>
      </c>
      <c r="G277" t="str">
        <f t="shared" ca="1" si="4"/>
        <v>"2084044290" : "Gatchaman",</v>
      </c>
    </row>
    <row r="278" spans="1:7" ht="14.25" customHeight="1">
      <c r="A278" s="2">
        <v>2084034538</v>
      </c>
      <c r="B278" s="2" t="s">
        <v>548</v>
      </c>
      <c r="C278" s="2" t="s">
        <v>1980</v>
      </c>
      <c r="D278" s="2" t="s">
        <v>1982</v>
      </c>
      <c r="E278" s="4" t="str">
        <f ca="1">IFERROR(__xludf.DUMMYFUNCTION("GOOGLETRANSLATE(B278,""ja"",""vi"")"),"Saint Tail")</f>
        <v>Saint Tail</v>
      </c>
      <c r="F278" s="4" t="str">
        <f ca="1">IFERROR(__xludf.DUMMYFUNCTION("GOOGLETRANSLATE(C278,""ja"",""vi"")"),"Đấu giá&gt; truyện tranh, phim hoạt hình hàng hóa&gt; bức tranh di động&gt; hoặc hàng&gt; Saint Tail")</f>
        <v>Đấu giá&gt; truyện tranh, phim hoạt hình hàng hóa&gt; bức tranh di động&gt; hoặc hàng&gt; Saint Tail</v>
      </c>
      <c r="G278" t="str">
        <f t="shared" ca="1" si="4"/>
        <v>"2084034538" : "Saint Tail",</v>
      </c>
    </row>
    <row r="279" spans="1:7" ht="14.25" customHeight="1">
      <c r="A279" s="2">
        <v>2084034569</v>
      </c>
      <c r="B279" s="2" t="s">
        <v>553</v>
      </c>
      <c r="C279" s="2" t="s">
        <v>1985</v>
      </c>
      <c r="D279" s="2" t="s">
        <v>1987</v>
      </c>
      <c r="E279" s="4" t="str">
        <f ca="1">IFERROR(__xludf.DUMMYFUNCTION("GOOGLETRANSLATE(B279,""ja"",""vi"")"),"Patlabor")</f>
        <v>Patlabor</v>
      </c>
      <c r="F279" s="4" t="str">
        <f ca="1">IFERROR(__xludf.DUMMYFUNCTION("GOOGLETRANSLATE(C279,""ja"",""vi"")"),"Đấu giá&gt; truyện tranh, phim hoạt hình hàng hóa&gt; bức tranh di động&gt; hoặc hàng&gt; Patlabor")</f>
        <v>Đấu giá&gt; truyện tranh, phim hoạt hình hàng hóa&gt; bức tranh di động&gt; hoặc hàng&gt; Patlabor</v>
      </c>
      <c r="G279" t="str">
        <f t="shared" ca="1" si="4"/>
        <v>"2084034569" : "Patlabor",</v>
      </c>
    </row>
    <row r="280" spans="1:7" ht="14.25" customHeight="1">
      <c r="A280" s="2">
        <v>2084034570</v>
      </c>
      <c r="B280" s="2" t="s">
        <v>561</v>
      </c>
      <c r="C280" s="2" t="s">
        <v>1991</v>
      </c>
      <c r="D280" s="2" t="s">
        <v>1992</v>
      </c>
      <c r="E280" s="4" t="str">
        <f ca="1">IFERROR(__xludf.DUMMYFUNCTION("GOOGLETRANSLATE(B280,""ja"",""vi"")"),"Nadesico")</f>
        <v>Nadesico</v>
      </c>
      <c r="F280" s="4" t="str">
        <f ca="1">IFERROR(__xludf.DUMMYFUNCTION("GOOGLETRANSLATE(C280,""ja"",""vi"")"),"Đấu giá&gt; truyện tranh, phim hoạt hình hàng hóa&gt; bức tranh di động&gt; hoặc hàng&gt; Nadesico")</f>
        <v>Đấu giá&gt; truyện tranh, phim hoạt hình hàng hóa&gt; bức tranh di động&gt; hoặc hàng&gt; Nadesico</v>
      </c>
      <c r="G280" t="str">
        <f t="shared" ca="1" si="4"/>
        <v>"2084034570" : "Nadesico",</v>
      </c>
    </row>
    <row r="281" spans="1:7" ht="14.25" customHeight="1">
      <c r="A281" s="2">
        <v>2084034547</v>
      </c>
      <c r="B281" s="2" t="s">
        <v>569</v>
      </c>
      <c r="C281" s="2" t="s">
        <v>1998</v>
      </c>
      <c r="D281" s="2" t="s">
        <v>1999</v>
      </c>
      <c r="E281" s="4" t="str">
        <f ca="1">IFERROR(__xludf.DUMMYFUNCTION("GOOGLETRANSLATE(B281,""ja"",""vi"")"),"Vampire Princess Miyu")</f>
        <v>Vampire Princess Miyu</v>
      </c>
      <c r="F281" s="4" t="str">
        <f ca="1">IFERROR(__xludf.DUMMYFUNCTION("GOOGLETRANSLATE(C281,""ja"",""vi"")"),"Đấu giá&gt; truyện tranh, phim hoạt hình hàng hóa&gt; bức tranh di động&gt; hoặc hàng&gt; Vampire Princess Miyu")</f>
        <v>Đấu giá&gt; truyện tranh, phim hoạt hình hàng hóa&gt; bức tranh di động&gt; hoặc hàng&gt; Vampire Princess Miyu</v>
      </c>
      <c r="G281" t="str">
        <f t="shared" ca="1" si="4"/>
        <v>"2084034547" : "Vampire Princess Miyu",</v>
      </c>
    </row>
    <row r="282" spans="1:7" ht="14.25" customHeight="1">
      <c r="A282" s="2">
        <v>2084034550</v>
      </c>
      <c r="B282" s="2" t="s">
        <v>577</v>
      </c>
      <c r="C282" s="2" t="s">
        <v>2003</v>
      </c>
      <c r="D282" s="2" t="s">
        <v>2005</v>
      </c>
      <c r="E282" s="4" t="str">
        <f ca="1">IFERROR(__xludf.DUMMYFUNCTION("GOOGLETRANSLATE(B282,""ja"",""vi"")"),"Star of the Giants")</f>
        <v>Star of the Giants</v>
      </c>
      <c r="F282" s="4" t="str">
        <f ca="1">IFERROR(__xludf.DUMMYFUNCTION("GOOGLETRANSLATE(C282,""ja"",""vi"")"),"Đấu giá&gt; truyện tranh, phim hoạt hình hàng hóa&gt; bức tranh di động&gt; hoặc hàng&gt; Star of the Giants")</f>
        <v>Đấu giá&gt; truyện tranh, phim hoạt hình hàng hóa&gt; bức tranh di động&gt; hoặc hàng&gt; Star of the Giants</v>
      </c>
      <c r="G282" t="str">
        <f t="shared" ca="1" si="4"/>
        <v>"2084034550" : "Star of the Giants",</v>
      </c>
    </row>
    <row r="283" spans="1:7" ht="14.25" customHeight="1">
      <c r="A283" s="2">
        <v>2084034553</v>
      </c>
      <c r="B283" s="2" t="s">
        <v>584</v>
      </c>
      <c r="C283" s="2" t="s">
        <v>2007</v>
      </c>
      <c r="D283" s="2" t="s">
        <v>2008</v>
      </c>
      <c r="E283" s="4" t="str">
        <f ca="1">IFERROR(__xludf.DUMMYFUNCTION("GOOGLETRANSLATE(B283,""ja"",""vi"")"),"Kindaichi Case Files boy")</f>
        <v>Kindaichi Case Files boy</v>
      </c>
      <c r="F283" s="4" t="str">
        <f ca="1">IFERROR(__xludf.DUMMYFUNCTION("GOOGLETRANSLATE(C283,""ja"",""vi"")"),"Đấu giá&gt; truyện tranh, phim hoạt hình hàng hóa&gt; bức tranh di động&gt; hoặc hàng&gt; Case Files Kindaichi boy")</f>
        <v>Đấu giá&gt; truyện tranh, phim hoạt hình hàng hóa&gt; bức tranh di động&gt; hoặc hàng&gt; Case Files Kindaichi boy</v>
      </c>
      <c r="G283" t="str">
        <f t="shared" ca="1" si="4"/>
        <v>"2084034553" : "Kindaichi Case Files boy",</v>
      </c>
    </row>
    <row r="284" spans="1:7" ht="14.25" customHeight="1">
      <c r="A284" s="2">
        <v>2084044292</v>
      </c>
      <c r="B284" s="2" t="s">
        <v>591</v>
      </c>
      <c r="C284" s="2" t="s">
        <v>2014</v>
      </c>
      <c r="D284" s="2" t="s">
        <v>2015</v>
      </c>
      <c r="E284" s="4" t="str">
        <f ca="1">IFERROR(__xludf.DUMMYFUNCTION("GOOGLETRANSLATE(B284,""ja"",""vi"")"),"Legend of Heroes Galactic")</f>
        <v>Legend of Heroes Galactic</v>
      </c>
      <c r="F284" s="4" t="str">
        <f ca="1">IFERROR(__xludf.DUMMYFUNCTION("GOOGLETRANSLATE(C284,""ja"",""vi"")"),"Đấu giá&gt; truyện tranh, phim hoạt hình hàng hóa&gt; bức tranh di động&gt; hoặc hàng&gt; Legend of Heroes Galactic")</f>
        <v>Đấu giá&gt; truyện tranh, phim hoạt hình hàng hóa&gt; bức tranh di động&gt; hoặc hàng&gt; Legend of Heroes Galactic</v>
      </c>
      <c r="G284" t="str">
        <f t="shared" ca="1" si="4"/>
        <v>"2084044292" : "Legend of Heroes Galactic",</v>
      </c>
    </row>
    <row r="285" spans="1:7" ht="14.25" customHeight="1">
      <c r="A285" s="2">
        <v>2084034551</v>
      </c>
      <c r="B285" s="2" t="s">
        <v>599</v>
      </c>
      <c r="C285" s="2" t="s">
        <v>2020</v>
      </c>
      <c r="D285" s="2" t="s">
        <v>2022</v>
      </c>
      <c r="E285" s="4" t="str">
        <f ca="1">IFERROR(__xludf.DUMMYFUNCTION("GOOGLETRANSLATE(B285,""ja"",""vi"")"),"Galaxy Express 999")</f>
        <v>Galaxy Express 999</v>
      </c>
      <c r="F285" s="4" t="str">
        <f ca="1">IFERROR(__xludf.DUMMYFUNCTION("GOOGLETRANSLATE(C285,""ja"",""vi"")"),"Đấu giá&gt; truyện tranh, phim hoạt hình hàng hóa&gt; bức tranh di động&gt; hoặc hàng&gt; Galaxy Express 999")</f>
        <v>Đấu giá&gt; truyện tranh, phim hoạt hình hàng hóa&gt; bức tranh di động&gt; hoặc hàng&gt; Galaxy Express 999</v>
      </c>
      <c r="G285" t="str">
        <f t="shared" ca="1" si="4"/>
        <v>"2084034551" : "Galaxy Express 999",</v>
      </c>
    </row>
    <row r="286" spans="1:7" ht="14.25" customHeight="1">
      <c r="A286" s="2">
        <v>2084034552</v>
      </c>
      <c r="B286" s="2" t="s">
        <v>607</v>
      </c>
      <c r="C286" s="2" t="s">
        <v>2024</v>
      </c>
      <c r="D286" s="2" t="s">
        <v>2025</v>
      </c>
      <c r="E286" s="4" t="str">
        <f ca="1">IFERROR(__xludf.DUMMYFUNCTION("GOOGLETRANSLATE(B286,""ja"",""vi"")"),"Galaxy trôi Vifam")</f>
        <v>Galaxy trôi Vifam</v>
      </c>
      <c r="F286" s="4" t="str">
        <f ca="1">IFERROR(__xludf.DUMMYFUNCTION("GOOGLETRANSLATE(C286,""ja"",""vi"")"),"Đấu giá&gt; truyện tranh, phim hoạt hình hàng hóa&gt; bức tranh di động&gt; hoặc hàng&gt; thiên hà trôi Vifam")</f>
        <v>Đấu giá&gt; truyện tranh, phim hoạt hình hàng hóa&gt; bức tranh di động&gt; hoặc hàng&gt; thiên hà trôi Vifam</v>
      </c>
      <c r="G286" t="str">
        <f t="shared" ca="1" si="4"/>
        <v>"2084034552" : "Galaxy trôi Vifam",</v>
      </c>
    </row>
    <row r="287" spans="1:7" ht="14.25" customHeight="1">
      <c r="A287" s="2">
        <v>2084034558</v>
      </c>
      <c r="B287" s="2" t="s">
        <v>628</v>
      </c>
      <c r="C287" s="2" t="s">
        <v>2030</v>
      </c>
      <c r="D287" s="2" t="s">
        <v>2032</v>
      </c>
      <c r="E287" s="4" t="str">
        <f ca="1">IFERROR(__xludf.DUMMYFUNCTION("GOOGLETRANSLATE(B287,""ja"",""vi"")"),"Ghost in the Shell")</f>
        <v>Ghost in the Shell</v>
      </c>
      <c r="F287" s="4" t="str">
        <f ca="1">IFERROR(__xludf.DUMMYFUNCTION("GOOGLETRANSLATE(C287,""ja"",""vi"")"),"Đấu giá&gt; truyện tranh, phim hoạt hình hàng hóa&gt; bức tranh di động&gt; hoặc hàng&gt; Ghost in the Shell")</f>
        <v>Đấu giá&gt; truyện tranh, phim hoạt hình hàng hóa&gt; bức tranh di động&gt; hoặc hàng&gt; Ghost in the Shell</v>
      </c>
      <c r="G287" t="str">
        <f t="shared" ca="1" si="4"/>
        <v>"2084034558" : "Ghost in the Shell",</v>
      </c>
    </row>
    <row r="288" spans="1:7" ht="14.25" customHeight="1">
      <c r="A288" s="2">
        <v>2084034542</v>
      </c>
      <c r="B288" s="2" t="s">
        <v>636</v>
      </c>
      <c r="C288" s="2" t="s">
        <v>2035</v>
      </c>
      <c r="D288" s="2" t="s">
        <v>2037</v>
      </c>
      <c r="E288" s="4" t="str">
        <f ca="1">IFERROR(__xludf.DUMMYFUNCTION("GOOGLETRANSLATE(B288,""ja"",""vi"")"),"Nausicaa of the Valley of the Wind")</f>
        <v>Nausicaa of the Valley of the Wind</v>
      </c>
      <c r="F288" s="4" t="str">
        <f ca="1">IFERROR(__xludf.DUMMYFUNCTION("GOOGLETRANSLATE(C288,""ja"",""vi"")"),"Đấu giá&gt; truyện tranh, phim hoạt hình hàng hóa&gt; bức tranh di động&gt; hoặc hàng&gt; Nausicaa of the Valley of the Wind")</f>
        <v>Đấu giá&gt; truyện tranh, phim hoạt hình hàng hóa&gt; bức tranh di động&gt; hoặc hàng&gt; Nausicaa of the Valley of the Wind</v>
      </c>
      <c r="G288" t="str">
        <f t="shared" ca="1" si="4"/>
        <v>"2084034542" : "Nausicaa of the Valley of the Wind",</v>
      </c>
    </row>
    <row r="289" spans="1:7" ht="14.25" customHeight="1">
      <c r="A289" s="2">
        <v>2084034540</v>
      </c>
      <c r="B289" s="2" t="s">
        <v>46</v>
      </c>
      <c r="C289" s="2" t="s">
        <v>2040</v>
      </c>
      <c r="D289" s="2" t="s">
        <v>2041</v>
      </c>
      <c r="E289" s="4" t="str">
        <f ca="1">IFERROR(__xludf.DUMMYFUNCTION("GOOGLETRANSLATE(B289,""ja"",""vi"")"),"nếu không thì")</f>
        <v>nếu không thì</v>
      </c>
      <c r="F289" s="4" t="str">
        <f ca="1">IFERROR(__xludf.DUMMYFUNCTION("GOOGLETRANSLATE(C289,""ja"",""vi"")"),"Đấu giá&gt; truyện tranh, phim hoạt hình hàng hóa&gt; bức tranh di động&gt; hoặc hàng&gt; Khác")</f>
        <v>Đấu giá&gt; truyện tranh, phim hoạt hình hàng hóa&gt; bức tranh di động&gt; hoặc hàng&gt; Khác</v>
      </c>
      <c r="G289" t="str">
        <f t="shared" ca="1" si="4"/>
        <v>"2084034540" : "nếu không thì",</v>
      </c>
    </row>
    <row r="290" spans="1:7" ht="14.25" customHeight="1">
      <c r="A290" s="2">
        <v>2084034865</v>
      </c>
      <c r="B290" s="2" t="s">
        <v>669</v>
      </c>
      <c r="C290" s="2" t="s">
        <v>2047</v>
      </c>
      <c r="D290" s="2" t="s">
        <v>2048</v>
      </c>
      <c r="E290" s="4" t="str">
        <f ca="1">IFERROR(__xludf.DUMMYFUNCTION("GOOGLETRANSLATE(B290,""ja"",""vi"")"),"Soreyuke! Space Battleship Yamamoto Yoko")</f>
        <v>Soreyuke! Space Battleship Yamamoto Yoko</v>
      </c>
      <c r="F290" s="4" t="str">
        <f ca="1">IFERROR(__xludf.DUMMYFUNCTION("GOOGLETRANSLATE(C290,""ja"",""vi"")"),"Đấu giá&gt; truyện tranh, phim hoạt hình hàng hóa&gt; bức tranh di động&gt; chữ s&gt; Soreyuke! Space Battleship Yamamoto Yoko")</f>
        <v>Đấu giá&gt; truyện tranh, phim hoạt hình hàng hóa&gt; bức tranh di động&gt; chữ s&gt; Soreyuke! Space Battleship Yamamoto Yoko</v>
      </c>
      <c r="G290" t="str">
        <f t="shared" ca="1" si="4"/>
        <v>"2084034865" : "Soreyuke! Space Battleship Yamamoto Yoko",</v>
      </c>
    </row>
    <row r="291" spans="1:7" ht="14.25" customHeight="1">
      <c r="A291" s="2">
        <v>2084034838</v>
      </c>
      <c r="B291" s="2" t="s">
        <v>678</v>
      </c>
      <c r="C291" s="2" t="s">
        <v>2053</v>
      </c>
      <c r="D291" s="2" t="s">
        <v>2054</v>
      </c>
      <c r="E291" s="4" t="str">
        <f ca="1">IFERROR(__xludf.DUMMYFUNCTION("GOOGLETRANSLATE(B291,""ja"",""vi"")"),"Cyborg 009")</f>
        <v>Cyborg 009</v>
      </c>
      <c r="F291" s="4" t="str">
        <f ca="1">IFERROR(__xludf.DUMMYFUNCTION("GOOGLETRANSLATE(C291,""ja"",""vi"")"),"Đấu giá&gt; truyện tranh, phim hoạt hình hàng hóa&gt; bức tranh di động&gt; chữ s&gt; Cyborg 009")</f>
        <v>Đấu giá&gt; truyện tranh, phim hoạt hình hàng hóa&gt; bức tranh di động&gt; chữ s&gt; Cyborg 009</v>
      </c>
      <c r="G291" t="str">
        <f t="shared" ca="1" si="4"/>
        <v>"2084034838" : "Cyborg 009",</v>
      </c>
    </row>
    <row r="292" spans="1:7" ht="14.25" customHeight="1">
      <c r="A292" s="2">
        <v>2084034839</v>
      </c>
      <c r="B292" s="2" t="s">
        <v>684</v>
      </c>
      <c r="C292" s="2" t="s">
        <v>2058</v>
      </c>
      <c r="D292" s="2" t="s">
        <v>2059</v>
      </c>
      <c r="E292" s="4" t="str">
        <f ca="1">IFERROR(__xludf.DUMMYFUNCTION("GOOGLETRANSLATE(B292,""ja"",""vi"")"),"Im lặng Mobius")</f>
        <v>Im lặng Mobius</v>
      </c>
      <c r="F292" s="4" t="str">
        <f ca="1">IFERROR(__xludf.DUMMYFUNCTION("GOOGLETRANSLATE(C292,""ja"",""vi"")"),"Đấu giá&gt; truyện tranh, phim hoạt hình hàng hóa&gt; bức tranh di động&gt; chữ s&gt; Im lặng Mobius")</f>
        <v>Đấu giá&gt; truyện tranh, phim hoạt hình hàng hóa&gt; bức tranh di động&gt; chữ s&gt; Im lặng Mobius</v>
      </c>
      <c r="G292" t="str">
        <f t="shared" ca="1" si="4"/>
        <v>"2084034839" : "Im lặng Mobius",</v>
      </c>
    </row>
    <row r="293" spans="1:7" ht="14.25" customHeight="1">
      <c r="A293" s="2">
        <v>2084044299</v>
      </c>
      <c r="B293" s="2" t="s">
        <v>2061</v>
      </c>
      <c r="C293" s="2" t="s">
        <v>2063</v>
      </c>
      <c r="D293" s="2" t="s">
        <v>2064</v>
      </c>
      <c r="E293" s="4" t="str">
        <f ca="1">IFERROR(__xludf.DUMMYFUNCTION("GOOGLETRANSLATE(B293,""ja"",""vi"")"),"Sakura Wars")</f>
        <v>Sakura Wars</v>
      </c>
      <c r="F293" s="4" t="str">
        <f ca="1">IFERROR(__xludf.DUMMYFUNCTION("GOOGLETRANSLATE(C293,""ja"",""vi"")"),"Đấu giá&gt; truyện tranh, phim hoạt hình hàng hóa&gt; bức tranh di động&gt; chữ s&gt; Sakura Wars")</f>
        <v>Đấu giá&gt; truyện tranh, phim hoạt hình hàng hóa&gt; bức tranh di động&gt; chữ s&gt; Sakura Wars</v>
      </c>
      <c r="G293" t="str">
        <f t="shared" ca="1" si="4"/>
        <v>"2084044299" : "Sakura Wars",</v>
      </c>
    </row>
    <row r="294" spans="1:7" ht="14.25" customHeight="1">
      <c r="A294" s="2">
        <v>2084034842</v>
      </c>
      <c r="B294" s="2" t="s">
        <v>693</v>
      </c>
      <c r="C294" s="2" t="s">
        <v>2066</v>
      </c>
      <c r="D294" s="2" t="s">
        <v>2067</v>
      </c>
      <c r="E294" s="4" t="str">
        <f ca="1">IFERROR(__xludf.DUMMYFUNCTION("GOOGLETRANSLATE(B294,""ja"",""vi"")"),"Sazae")</f>
        <v>Sazae</v>
      </c>
      <c r="F294" s="4" t="str">
        <f ca="1">IFERROR(__xludf.DUMMYFUNCTION("GOOGLETRANSLATE(C294,""ja"",""vi"")"),"Đấu giá&gt; truyện tranh, phim hoạt hình hàng hóa&gt; bức tranh di động&gt; chữ s&gt; Sazae")</f>
        <v>Đấu giá&gt; truyện tranh, phim hoạt hình hàng hóa&gt; bức tranh di động&gt; chữ s&gt; Sazae</v>
      </c>
      <c r="G294" t="str">
        <f t="shared" ca="1" si="4"/>
        <v>"2084034842" : "Sazae",</v>
      </c>
    </row>
    <row r="295" spans="1:7" ht="14.25" customHeight="1">
      <c r="A295" s="2">
        <v>2084034846</v>
      </c>
      <c r="B295" s="2" t="s">
        <v>712</v>
      </c>
      <c r="C295" s="2" t="s">
        <v>2069</v>
      </c>
      <c r="D295" s="2" t="s">
        <v>2070</v>
      </c>
      <c r="E295" s="4" t="str">
        <f ca="1">IFERROR(__xludf.DUMMYFUNCTION("GOOGLETRANSLATE(B295,""ja"",""vi"")"),"Thành phố hunter")</f>
        <v>Thành phố hunter</v>
      </c>
      <c r="F295" s="4" t="str">
        <f ca="1">IFERROR(__xludf.DUMMYFUNCTION("GOOGLETRANSLATE(C295,""ja"",""vi"")"),"Đấu giá&gt; truyện tranh, phim hoạt hình hàng hóa&gt; bức tranh di động&gt; chữ s&gt; City Hunter")</f>
        <v>Đấu giá&gt; truyện tranh, phim hoạt hình hàng hóa&gt; bức tranh di động&gt; chữ s&gt; City Hunter</v>
      </c>
      <c r="G295" t="str">
        <f t="shared" ca="1" si="4"/>
        <v>"2084034846" : "Thành phố hunter",</v>
      </c>
    </row>
    <row r="296" spans="1:7" ht="14.25" customHeight="1">
      <c r="A296" s="2">
        <v>2084034847</v>
      </c>
      <c r="B296" s="2" t="s">
        <v>727</v>
      </c>
      <c r="C296" s="2" t="s">
        <v>2072</v>
      </c>
      <c r="D296" s="2" t="s">
        <v>2073</v>
      </c>
      <c r="E296" s="4" t="str">
        <f ca="1">IFERROR(__xludf.DUMMYFUNCTION("GOOGLETRANSLATE(B296,""ja"",""vi"")"),"Jungle Emperor Leo")</f>
        <v>Jungle Emperor Leo</v>
      </c>
      <c r="F296" s="4" t="str">
        <f ca="1">IFERROR(__xludf.DUMMYFUNCTION("GOOGLETRANSLATE(C296,""ja"",""vi"")"),"Đấu giá&gt; truyện tranh, phim hoạt hình hàng hóa&gt; bức tranh di động&gt; chữ s&gt; Jungle Emperor Leo")</f>
        <v>Đấu giá&gt; truyện tranh, phim hoạt hình hàng hóa&gt; bức tranh di động&gt; chữ s&gt; Jungle Emperor Leo</v>
      </c>
      <c r="G296" t="str">
        <f t="shared" ca="1" si="4"/>
        <v>"2084034847" : "Jungle Emperor Leo",</v>
      </c>
    </row>
    <row r="297" spans="1:7" ht="14.25" customHeight="1">
      <c r="A297" s="2">
        <v>2084034857</v>
      </c>
      <c r="B297" s="2" t="s">
        <v>748</v>
      </c>
      <c r="C297" s="2" t="s">
        <v>2075</v>
      </c>
      <c r="D297" s="2" t="s">
        <v>2076</v>
      </c>
      <c r="E297" s="4" t="str">
        <f ca="1">IFERROR(__xludf.DUMMYFUNCTION("GOOGLETRANSLATE(B297,""ja"",""vi"")"),"Slam Dunk")</f>
        <v>Slam Dunk</v>
      </c>
      <c r="F297" s="4" t="str">
        <f ca="1">IFERROR(__xludf.DUMMYFUNCTION("GOOGLETRANSLATE(C297,""ja"",""vi"")"),"Đấu giá&gt; truyện tranh, phim hoạt hình hàng hóa&gt; bức tranh di động&gt; chữ s&gt; Slam Dunk")</f>
        <v>Đấu giá&gt; truyện tranh, phim hoạt hình hàng hóa&gt; bức tranh di động&gt; chữ s&gt; Slam Dunk</v>
      </c>
      <c r="G297" t="str">
        <f t="shared" ca="1" si="4"/>
        <v>"2084034857" : "Slam Dunk",</v>
      </c>
    </row>
    <row r="298" spans="1:7" ht="14.25" customHeight="1">
      <c r="A298" s="2">
        <v>2084034858</v>
      </c>
      <c r="B298" s="2" t="s">
        <v>755</v>
      </c>
      <c r="C298" s="2" t="s">
        <v>2079</v>
      </c>
      <c r="D298" s="2" t="s">
        <v>2080</v>
      </c>
      <c r="E298" s="4" t="str">
        <f ca="1">IFERROR(__xludf.DUMMYFUNCTION("GOOGLETRANSLATE(B298,""ja"",""vi"")"),"Slayers")</f>
        <v>Slayers</v>
      </c>
      <c r="F298" s="4" t="str">
        <f ca="1">IFERROR(__xludf.DUMMYFUNCTION("GOOGLETRANSLATE(C298,""ja"",""vi"")"),"Đấu giá&gt; truyện tranh, phim hoạt hình hàng hóa&gt; bức tranh di động&gt; chữ s&gt; Slayers")</f>
        <v>Đấu giá&gt; truyện tranh, phim hoạt hình hàng hóa&gt; bức tranh di động&gt; chữ s&gt; Slayers</v>
      </c>
      <c r="G298" t="str">
        <f t="shared" ca="1" si="4"/>
        <v>"2084034858" : "Slayers",</v>
      </c>
    </row>
    <row r="299" spans="1:7" ht="14.25" customHeight="1">
      <c r="A299" s="2">
        <v>2084034860</v>
      </c>
      <c r="B299" s="2" t="s">
        <v>762</v>
      </c>
      <c r="C299" s="2" t="s">
        <v>2083</v>
      </c>
      <c r="D299" s="2" t="s">
        <v>2084</v>
      </c>
      <c r="E299" s="4" t="str">
        <f ca="1">IFERROR(__xludf.DUMMYFUNCTION("GOOGLETRANSLATE(B299,""ja"",""vi"")"),"sailor Moon")</f>
        <v>sailor Moon</v>
      </c>
      <c r="F299" s="4" t="str">
        <f ca="1">IFERROR(__xludf.DUMMYFUNCTION("GOOGLETRANSLATE(C299,""ja"",""vi"")"),"Đấu giá&gt; truyện tranh, phim hoạt hình hàng hóa&gt; bức tranh di động&gt; chữ s&gt; Sailor Moon")</f>
        <v>Đấu giá&gt; truyện tranh, phim hoạt hình hàng hóa&gt; bức tranh di động&gt; chữ s&gt; Sailor Moon</v>
      </c>
      <c r="G299" t="str">
        <f t="shared" ca="1" si="4"/>
        <v>"2084034860" : "sailor Moon",</v>
      </c>
    </row>
    <row r="300" spans="1:7" ht="14.25" customHeight="1">
      <c r="A300" s="2">
        <v>2084034848</v>
      </c>
      <c r="B300" s="2" t="s">
        <v>783</v>
      </c>
      <c r="C300" s="2" t="s">
        <v>2086</v>
      </c>
      <c r="D300" s="2" t="s">
        <v>2087</v>
      </c>
      <c r="E300" s="4" t="str">
        <f ca="1">IFERROR(__xludf.DUMMYFUNCTION("GOOGLETRANSLATE(B300,""ja"",""vi"")"),"Con thú Thiên Chúa Liger")</f>
        <v>Con thú Thiên Chúa Liger</v>
      </c>
      <c r="F300" s="4" t="str">
        <f ca="1">IFERROR(__xludf.DUMMYFUNCTION("GOOGLETRANSLATE(C300,""ja"",""vi"")"),"Đấu giá&gt; truyện tranh, phim hoạt hình hàng hóa&gt; bức tranh di động&gt; chữ s&gt; con thú Thiên Chúa Liger")</f>
        <v>Đấu giá&gt; truyện tranh, phim hoạt hình hàng hóa&gt; bức tranh di động&gt; chữ s&gt; con thú Thiên Chúa Liger</v>
      </c>
      <c r="G300" t="str">
        <f t="shared" ca="1" si="4"/>
        <v>"2084034848" : "Con thú Thiên Chúa Liger",</v>
      </c>
    </row>
    <row r="301" spans="1:7" ht="14.25" customHeight="1">
      <c r="A301" s="2">
        <v>2084034849</v>
      </c>
      <c r="B301" s="2" t="s">
        <v>789</v>
      </c>
      <c r="C301" s="2" t="s">
        <v>2089</v>
      </c>
      <c r="D301" s="2" t="s">
        <v>2090</v>
      </c>
      <c r="E301" s="4" t="str">
        <f ca="1">IFERROR(__xludf.DUMMYFUNCTION("GOOGLETRANSLATE(B301,""ja"",""vi"")"),"Heavy Metal L-Gaim")</f>
        <v>Heavy Metal L-Gaim</v>
      </c>
      <c r="F301" s="4" t="str">
        <f ca="1">IFERROR(__xludf.DUMMYFUNCTION("GOOGLETRANSLATE(C301,""ja"",""vi"")"),"Đấu giá&gt; truyện tranh, phim hoạt hình hàng hóa&gt; bức tranh di động&gt; chữ s&gt; Heavy Metal L-Gaim")</f>
        <v>Đấu giá&gt; truyện tranh, phim hoạt hình hàng hóa&gt; bức tranh di động&gt; chữ s&gt; Heavy Metal L-Gaim</v>
      </c>
      <c r="G301" t="str">
        <f t="shared" ca="1" si="4"/>
        <v>"2084034849" : "Heavy Metal L-Gaim",</v>
      </c>
    </row>
    <row r="302" spans="1:7" ht="14.25" customHeight="1">
      <c r="A302" s="2">
        <v>2084034851</v>
      </c>
      <c r="B302" s="2" t="s">
        <v>805</v>
      </c>
      <c r="C302" s="2" t="s">
        <v>2092</v>
      </c>
      <c r="D302" s="2" t="s">
        <v>2093</v>
      </c>
      <c r="E302" s="4" t="str">
        <f ca="1">IFERROR(__xludf.DUMMYFUNCTION("GOOGLETRANSLATE(B302,""ja"",""vi"")"),"Boy Ashibe")</f>
        <v>Boy Ashibe</v>
      </c>
      <c r="F302" s="4" t="str">
        <f ca="1">IFERROR(__xludf.DUMMYFUNCTION("GOOGLETRANSLATE(C302,""ja"",""vi"")"),"Đấu giá&gt; truyện tranh, phim hoạt hình hàng hóa&gt; bức tranh di động&gt; chữ s&gt; boy Ashibe")</f>
        <v>Đấu giá&gt; truyện tranh, phim hoạt hình hàng hóa&gt; bức tranh di động&gt; chữ s&gt; boy Ashibe</v>
      </c>
      <c r="G302" t="str">
        <f t="shared" ca="1" si="4"/>
        <v>"2084034851" : "Boy Ashibe",</v>
      </c>
    </row>
    <row r="303" spans="1:7" ht="14.25" customHeight="1">
      <c r="A303" s="2">
        <v>2084034852</v>
      </c>
      <c r="B303" s="2" t="s">
        <v>820</v>
      </c>
      <c r="C303" s="2" t="s">
        <v>2096</v>
      </c>
      <c r="D303" s="2" t="s">
        <v>2098</v>
      </c>
      <c r="E303" s="4" t="str">
        <f ca="1">IFERROR(__xludf.DUMMYFUNCTION("GOOGLETRANSLATE(B303,""ja"",""vi"")"),"Tương lai GPX Cyber ​​Formula")</f>
        <v>Tương lai GPX Cyber ​​Formula</v>
      </c>
      <c r="F303" s="4" t="str">
        <f ca="1">IFERROR(__xludf.DUMMYFUNCTION("GOOGLETRANSLATE(C303,""ja"",""vi"")"),"Đấu giá&gt; truyện tranh, phim hoạt hình hàng hóa&gt; bức tranh di động&gt; chữ s&gt; Future GPX Cyber ​​Formula")</f>
        <v>Đấu giá&gt; truyện tranh, phim hoạt hình hàng hóa&gt; bức tranh di động&gt; chữ s&gt; Future GPX Cyber ​​Formula</v>
      </c>
      <c r="G303" t="str">
        <f t="shared" ca="1" si="4"/>
        <v>"2084034852" : "Tương lai GPX Cyber ​​Formula",</v>
      </c>
    </row>
    <row r="304" spans="1:7" ht="14.25" customHeight="1">
      <c r="A304" s="2">
        <v>2084034853</v>
      </c>
      <c r="B304" s="2" t="s">
        <v>826</v>
      </c>
      <c r="C304" s="2" t="s">
        <v>2099</v>
      </c>
      <c r="D304" s="2" t="s">
        <v>2100</v>
      </c>
      <c r="E304" s="4" t="str">
        <f ca="1">IFERROR(__xludf.DUMMYFUNCTION("GOOGLETRANSLATE(B304,""ja"",""vi"")"),"Neon Genesis Evangelion")</f>
        <v>Neon Genesis Evangelion</v>
      </c>
      <c r="F304" s="4" t="str">
        <f ca="1">IFERROR(__xludf.DUMMYFUNCTION("GOOGLETRANSLATE(C304,""ja"",""vi"")"),"Đấu giá&gt; truyện tranh, phim hoạt hình hàng hóa&gt; bức tranh di động&gt; chữ s&gt; Neon Genesis Evangelion")</f>
        <v>Đấu giá&gt; truyện tranh, phim hoạt hình hàng hóa&gt; bức tranh di động&gt; chữ s&gt; Neon Genesis Evangelion</v>
      </c>
      <c r="G304" t="str">
        <f t="shared" ca="1" si="4"/>
        <v>"2084034853" : "Neon Genesis Evangelion",</v>
      </c>
    </row>
    <row r="305" spans="1:7" ht="14.25" customHeight="1">
      <c r="A305" s="2">
        <v>2084034855</v>
      </c>
      <c r="B305" s="2" t="s">
        <v>834</v>
      </c>
      <c r="C305" s="2" t="s">
        <v>2102</v>
      </c>
      <c r="D305" s="2" t="s">
        <v>2103</v>
      </c>
      <c r="E305" s="4" t="str">
        <f ca="1">IFERROR(__xludf.DUMMYFUNCTION("GOOGLETRANSLATE(B305,""ja"",""vi"")"),"El-Hazard")</f>
        <v>El-Hazard</v>
      </c>
      <c r="F305" s="4" t="str">
        <f ca="1">IFERROR(__xludf.DUMMYFUNCTION("GOOGLETRANSLATE(C305,""ja"",""vi"")"),"Đấu giá&gt; truyện tranh, phim hoạt hình hàng hóa&gt; bức tranh di động&gt; chữ s&gt; El-Hazard")</f>
        <v>Đấu giá&gt; truyện tranh, phim hoạt hình hàng hóa&gt; bức tranh di động&gt; chữ s&gt; El-Hazard</v>
      </c>
      <c r="G305" t="str">
        <f t="shared" ca="1" si="4"/>
        <v>"2084034855" : "El-Hazard",</v>
      </c>
    </row>
    <row r="306" spans="1:7" ht="14.25" customHeight="1">
      <c r="A306" s="2">
        <v>2084034859</v>
      </c>
      <c r="B306" s="2" t="s">
        <v>842</v>
      </c>
      <c r="C306" s="2" t="s">
        <v>2106</v>
      </c>
      <c r="D306" s="2" t="s">
        <v>2107</v>
      </c>
      <c r="E306" s="4" t="str">
        <f ca="1">IFERROR(__xludf.DUMMYFUNCTION("GOOGLETRANSLATE(B306,""ja"",""vi"")"),"Saint Seiya")</f>
        <v>Saint Seiya</v>
      </c>
      <c r="F306" s="4" t="str">
        <f ca="1">IFERROR(__xludf.DUMMYFUNCTION("GOOGLETRANSLATE(C306,""ja"",""vi"")"),"Đấu giá&gt; truyện tranh, phim hoạt hình hàng hóa&gt; bức tranh di động&gt; chữ s&gt; Saint Seiya")</f>
        <v>Đấu giá&gt; truyện tranh, phim hoạt hình hàng hóa&gt; bức tranh di động&gt; chữ s&gt; Saint Seiya</v>
      </c>
      <c r="G306" t="str">
        <f t="shared" ca="1" si="4"/>
        <v>"2084034859" : "Saint Seiya",</v>
      </c>
    </row>
    <row r="307" spans="1:7" ht="14.25" customHeight="1">
      <c r="A307" s="2">
        <v>2084034861</v>
      </c>
      <c r="B307" s="2" t="s">
        <v>847</v>
      </c>
      <c r="C307" s="2" t="s">
        <v>2110</v>
      </c>
      <c r="D307" s="2" t="s">
        <v>2111</v>
      </c>
      <c r="E307" s="4" t="str">
        <f ca="1">IFERROR(__xludf.DUMMYFUNCTION("GOOGLETRANSLATE(B307,""ja"",""vi"")"),"Vô song Raijin-Oh")</f>
        <v>Vô song Raijin-Oh</v>
      </c>
      <c r="F307" s="4" t="str">
        <f ca="1">IFERROR(__xludf.DUMMYFUNCTION("GOOGLETRANSLATE(C307,""ja"",""vi"")"),"Đấu giá&gt; truyện tranh, phim hoạt hình hàng hóa&gt; bức tranh di động&gt; chữ s&gt; vô song Raijin-Oh")</f>
        <v>Đấu giá&gt; truyện tranh, phim hoạt hình hàng hóa&gt; bức tranh di động&gt; chữ s&gt; vô song Raijin-Oh</v>
      </c>
      <c r="G307" t="str">
        <f t="shared" ca="1" si="4"/>
        <v>"2084034861" : "Vô song Raijin-Oh",</v>
      </c>
    </row>
    <row r="308" spans="1:7" ht="14.25" customHeight="1">
      <c r="A308" s="2">
        <v>2084034863</v>
      </c>
      <c r="B308" s="2" t="s">
        <v>855</v>
      </c>
      <c r="C308" s="2" t="s">
        <v>2113</v>
      </c>
      <c r="D308" s="2" t="s">
        <v>2115</v>
      </c>
      <c r="E308" s="4" t="str">
        <f ca="1">IFERROR(__xludf.DUMMYFUNCTION("GOOGLETRANSLATE(B308,""ja"",""vi"")"),"Xabungle")</f>
        <v>Xabungle</v>
      </c>
      <c r="F308" s="4" t="str">
        <f ca="1">IFERROR(__xludf.DUMMYFUNCTION("GOOGLETRANSLATE(C308,""ja"",""vi"")"),"Đấu giá&gt; truyện tranh, phim hoạt hình hàng hóa&gt; bức tranh di động&gt; chữ s&gt; Xabungle")</f>
        <v>Đấu giá&gt; truyện tranh, phim hoạt hình hàng hóa&gt; bức tranh di động&gt; chữ s&gt; Xabungle</v>
      </c>
      <c r="G308" t="str">
        <f t="shared" ca="1" si="4"/>
        <v>"2084034863" : "Xabungle",</v>
      </c>
    </row>
    <row r="309" spans="1:7" ht="14.25" customHeight="1">
      <c r="A309" s="2">
        <v>2084034864</v>
      </c>
      <c r="B309" s="2" t="s">
        <v>864</v>
      </c>
      <c r="C309" s="2" t="s">
        <v>2119</v>
      </c>
      <c r="D309" s="2" t="s">
        <v>2121</v>
      </c>
      <c r="E309" s="4" t="str">
        <f ca="1">IFERROR(__xludf.DUMMYFUNCTION("GOOGLETRANSLATE(B309,""ja"",""vi"")"),"Votoms")</f>
        <v>Votoms</v>
      </c>
      <c r="F309" s="4" t="str">
        <f ca="1">IFERROR(__xludf.DUMMYFUNCTION("GOOGLETRANSLATE(C309,""ja"",""vi"")"),"Đấu giá&gt; truyện tranh, phim hoạt hình hàng hóa&gt; bức tranh di động&gt; chữ s&gt; Votoms")</f>
        <v>Đấu giá&gt; truyện tranh, phim hoạt hình hàng hóa&gt; bức tranh di động&gt; chữ s&gt; Votoms</v>
      </c>
      <c r="G309" t="str">
        <f t="shared" ca="1" si="4"/>
        <v>"2084034864" : "Votoms",</v>
      </c>
    </row>
    <row r="310" spans="1:7" ht="14.25" customHeight="1">
      <c r="A310" s="2">
        <v>2084034840</v>
      </c>
      <c r="B310" s="2" t="s">
        <v>1569</v>
      </c>
      <c r="C310" s="2" t="s">
        <v>2126</v>
      </c>
      <c r="D310" s="2" t="s">
        <v>2128</v>
      </c>
      <c r="E310" s="4" t="str">
        <f ca="1">IFERROR(__xludf.DUMMYFUNCTION("GOOGLETRANSLATE(B310,""ja"",""vi"")"),"Sally the Witch")</f>
        <v>Sally the Witch</v>
      </c>
      <c r="F310" s="4" t="str">
        <f ca="1">IFERROR(__xludf.DUMMYFUNCTION("GOOGLETRANSLATE(C310,""ja"",""vi"")"),"Đấu giá&gt; truyện tranh, phim hoạt hình hàng hóa&gt; bức tranh di động&gt; chữ s&gt; Sally the Witch")</f>
        <v>Đấu giá&gt; truyện tranh, phim hoạt hình hàng hóa&gt; bức tranh di động&gt; chữ s&gt; Sally the Witch</v>
      </c>
      <c r="G310" t="str">
        <f t="shared" ca="1" si="4"/>
        <v>"2084034840" : "Sally the Witch",</v>
      </c>
    </row>
    <row r="311" spans="1:7" ht="14.25" customHeight="1">
      <c r="A311" s="2">
        <v>2084034841</v>
      </c>
      <c r="B311" s="2" t="s">
        <v>46</v>
      </c>
      <c r="C311" s="2" t="s">
        <v>2130</v>
      </c>
      <c r="D311" s="2" t="s">
        <v>2133</v>
      </c>
      <c r="E311" s="4" t="str">
        <f ca="1">IFERROR(__xludf.DUMMYFUNCTION("GOOGLETRANSLATE(B311,""ja"",""vi"")"),"nếu không thì")</f>
        <v>nếu không thì</v>
      </c>
      <c r="F311" s="4" t="str">
        <f ca="1">IFERROR(__xludf.DUMMYFUNCTION("GOOGLETRANSLATE(C311,""ja"",""vi"")"),"Đấu giá&gt; truyện tranh, phim hoạt hình hàng hóa&gt; bức tranh di động&gt; chữ s&gt; Khác")</f>
        <v>Đấu giá&gt; truyện tranh, phim hoạt hình hàng hóa&gt; bức tranh di động&gt; chữ s&gt; Khác</v>
      </c>
      <c r="G311" t="str">
        <f t="shared" ca="1" si="4"/>
        <v>"2084034841" : "nếu không thì",</v>
      </c>
    </row>
    <row r="312" spans="1:7" ht="14.25" customHeight="1">
      <c r="A312" s="2">
        <v>2084035197</v>
      </c>
      <c r="B312" s="2" t="s">
        <v>894</v>
      </c>
      <c r="C312" s="2" t="s">
        <v>2136</v>
      </c>
      <c r="D312" s="2" t="s">
        <v>2139</v>
      </c>
      <c r="E312" s="4" t="str">
        <f ca="1">IFERROR(__xludf.DUMMYFUNCTION("GOOGLETRANSLATE(B312,""ja"",""vi"")"),"Nhóc Maruko")</f>
        <v>Nhóc Maruko</v>
      </c>
      <c r="F312" s="4" t="str">
        <f ca="1">IFERROR(__xludf.DUMMYFUNCTION("GOOGLETRANSLATE(C312,""ja"",""vi"")"),"Đấu giá&gt; truyện tranh, phim hoạt hình hàng hóa&gt; bức tranh di động&gt; Tagyo&gt; Nhóc Maruko")</f>
        <v>Đấu giá&gt; truyện tranh, phim hoạt hình hàng hóa&gt; bức tranh di động&gt; Tagyo&gt; Nhóc Maruko</v>
      </c>
      <c r="G312" t="str">
        <f t="shared" ca="1" si="4"/>
        <v>"2084035197" : "Nhóc Maruko",</v>
      </c>
    </row>
    <row r="313" spans="1:7" ht="14.25" customHeight="1">
      <c r="A313" s="2">
        <v>2084035212</v>
      </c>
      <c r="B313" s="2" t="s">
        <v>2141</v>
      </c>
      <c r="C313" s="2" t="s">
        <v>2143</v>
      </c>
      <c r="D313" s="2" t="s">
        <v>2144</v>
      </c>
      <c r="E313" s="4" t="str">
        <f ca="1">IFERROR(__xludf.DUMMYFUNCTION("GOOGLETRANSLATE(B313,""ja"",""vi"")"),"Dokonjō Gaeru")</f>
        <v>Dokonjō Gaeru</v>
      </c>
      <c r="F313" s="4" t="str">
        <f ca="1">IFERROR(__xludf.DUMMYFUNCTION("GOOGLETRANSLATE(C313,""ja"",""vi"")"),"Đấu giá&gt; truyện tranh, phim hoạt hình hàng hóa&gt; bức tranh di động&gt; Tagyo&gt; Dokonjō Gaeru")</f>
        <v>Đấu giá&gt; truyện tranh, phim hoạt hình hàng hóa&gt; bức tranh di động&gt; Tagyo&gt; Dokonjō Gaeru</v>
      </c>
      <c r="G313" t="str">
        <f t="shared" ca="1" si="4"/>
        <v>"2084035212" : "Dokonjō Gaeru",</v>
      </c>
    </row>
    <row r="314" spans="1:7" ht="14.25" customHeight="1">
      <c r="A314" s="2">
        <v>2084035193</v>
      </c>
      <c r="B314" s="2" t="s">
        <v>930</v>
      </c>
      <c r="C314" s="2" t="s">
        <v>2148</v>
      </c>
      <c r="D314" s="2" t="s">
        <v>2149</v>
      </c>
      <c r="E314" s="4" t="str">
        <f ca="1">IFERROR(__xludf.DUMMYFUNCTION("GOOGLETRANSLATE(B314,""ja"",""vi"")"),"Time Bokan loạt")</f>
        <v>Time Bokan loạt</v>
      </c>
      <c r="F314" s="4" t="str">
        <f ca="1">IFERROR(__xludf.DUMMYFUNCTION("GOOGLETRANSLATE(C314,""ja"",""vi"")"),"Đấu giá&gt; truyện tranh, phim hoạt hình hàng hóa&gt; bức tranh di động&gt; Tagyo&gt; Time Bokan loạt")</f>
        <v>Đấu giá&gt; truyện tranh, phim hoạt hình hàng hóa&gt; bức tranh di động&gt; Tagyo&gt; Time Bokan loạt</v>
      </c>
      <c r="G314" t="str">
        <f t="shared" ca="1" si="4"/>
        <v>"2084035193" : "Time Bokan loạt",</v>
      </c>
    </row>
    <row r="315" spans="1:7" ht="14.25" customHeight="1">
      <c r="A315" s="2">
        <v>2084044226</v>
      </c>
      <c r="B315" s="2" t="s">
        <v>939</v>
      </c>
      <c r="C315" s="2" t="s">
        <v>2153</v>
      </c>
      <c r="D315" s="2" t="s">
        <v>2154</v>
      </c>
      <c r="E315" s="4" t="str">
        <f ca="1">IFERROR(__xludf.DUMMYFUNCTION("GOOGLETRANSLATE(B315,""ja"",""vi"")"),"liên lạc")</f>
        <v>liên lạc</v>
      </c>
      <c r="F315" s="4" t="str">
        <f ca="1">IFERROR(__xludf.DUMMYFUNCTION("GOOGLETRANSLATE(C315,""ja"",""vi"")"),"Đấu giá&gt; truyện tranh, phim hoạt hình hàng hóa&gt; bức tranh di động&gt; Tagyo&gt; Chạm")</f>
        <v>Đấu giá&gt; truyện tranh, phim hoạt hình hàng hóa&gt; bức tranh di động&gt; Tagyo&gt; Chạm</v>
      </c>
      <c r="G315" t="str">
        <f t="shared" ca="1" si="4"/>
        <v>"2084044226" : "liên lạc",</v>
      </c>
    </row>
    <row r="316" spans="1:7" ht="14.25" customHeight="1">
      <c r="A316" s="2">
        <v>2084035189</v>
      </c>
      <c r="B316" s="2" t="s">
        <v>945</v>
      </c>
      <c r="C316" s="2" t="s">
        <v>2159</v>
      </c>
      <c r="D316" s="2" t="s">
        <v>2160</v>
      </c>
      <c r="E316" s="4" t="str">
        <f ca="1">IFERROR(__xludf.DUMMYFUNCTION("GOOGLETRANSLATE(B316,""ja"",""vi"")"),"bẩn Pair")</f>
        <v>bẩn Pair</v>
      </c>
      <c r="F316" s="4" t="str">
        <f ca="1">IFERROR(__xludf.DUMMYFUNCTION("GOOGLETRANSLATE(C316,""ja"",""vi"")"),"Đấu giá&gt; truyện tranh, phim hoạt hình hàng hóa&gt; bức tranh di động&gt; Tagyo&gt; bẩn Pair")</f>
        <v>Đấu giá&gt; truyện tranh, phim hoạt hình hàng hóa&gt; bức tranh di động&gt; Tagyo&gt; bẩn Pair</v>
      </c>
      <c r="G316" t="str">
        <f t="shared" ca="1" si="4"/>
        <v>"2084035189" : "bẩn Pair",</v>
      </c>
    </row>
    <row r="317" spans="1:7" ht="14.25" customHeight="1">
      <c r="A317" s="2">
        <v>2084035217</v>
      </c>
      <c r="B317" s="2" t="s">
        <v>981</v>
      </c>
      <c r="C317" s="2" t="s">
        <v>2163</v>
      </c>
      <c r="D317" s="2" t="s">
        <v>2165</v>
      </c>
      <c r="E317" s="4" t="str">
        <f ca="1">IFERROR(__xludf.DUMMYFUNCTION("GOOGLETRANSLATE(B317,""ja"",""vi"")"),"Di Gi Charat")</f>
        <v>Di Gi Charat</v>
      </c>
      <c r="F317" s="4" t="str">
        <f ca="1">IFERROR(__xludf.DUMMYFUNCTION("GOOGLETRANSLATE(C317,""ja"",""vi"")"),"Đấu giá&gt; truyện tranh, phim hoạt hình hàng hóa&gt; bức tranh di động&gt; Tagyo&gt; Di Gi Charat")</f>
        <v>Đấu giá&gt; truyện tranh, phim hoạt hình hàng hóa&gt; bức tranh di động&gt; Tagyo&gt; Di Gi Charat</v>
      </c>
      <c r="G317" t="str">
        <f t="shared" ca="1" si="4"/>
        <v>"2084035217" : "Di Gi Charat",</v>
      </c>
    </row>
    <row r="318" spans="1:7" ht="14.25" customHeight="1">
      <c r="A318" s="2">
        <v>2084035203</v>
      </c>
      <c r="B318" s="2" t="s">
        <v>1007</v>
      </c>
      <c r="C318" s="2" t="s">
        <v>2170</v>
      </c>
      <c r="D318" s="2" t="s">
        <v>2171</v>
      </c>
      <c r="E318" s="4" t="str">
        <f ca="1">IFERROR(__xludf.DUMMYFUNCTION("GOOGLETRANSLATE(B318,""ja"",""vi"")"),"devilman")</f>
        <v>devilman</v>
      </c>
      <c r="F318" s="4" t="str">
        <f ca="1">IFERROR(__xludf.DUMMYFUNCTION("GOOGLETRANSLATE(C318,""ja"",""vi"")"),"Đấu giá&gt; truyện tranh, phim hoạt hình hàng hóa&gt; bức tranh di động&gt; Tagyo&gt; Devilman")</f>
        <v>Đấu giá&gt; truyện tranh, phim hoạt hình hàng hóa&gt; bức tranh di động&gt; Tagyo&gt; Devilman</v>
      </c>
      <c r="G318" t="str">
        <f t="shared" ca="1" si="4"/>
        <v>"2084035203" : "devilman",</v>
      </c>
    </row>
    <row r="319" spans="1:7" ht="14.25" customHeight="1">
      <c r="A319" s="2">
        <v>2084035210</v>
      </c>
      <c r="B319" s="2" t="s">
        <v>1033</v>
      </c>
      <c r="C319" s="2" t="s">
        <v>2175</v>
      </c>
      <c r="D319" s="2" t="s">
        <v>2176</v>
      </c>
      <c r="E319" s="4" t="str">
        <f ca="1">IFERROR(__xludf.DUMMYFUNCTION("GOOGLETRANSLATE(B319,""ja"",""vi"")"),"Dokaben")</f>
        <v>Dokaben</v>
      </c>
      <c r="F319" s="4" t="str">
        <f ca="1">IFERROR(__xludf.DUMMYFUNCTION("GOOGLETRANSLATE(C319,""ja"",""vi"")"),"Đấu giá&gt; truyện tranh, phim hoạt hình hàng hóa&gt; bức tranh di động&gt; Tagyo&gt; dokaben")</f>
        <v>Đấu giá&gt; truyện tranh, phim hoạt hình hàng hóa&gt; bức tranh di động&gt; Tagyo&gt; dokaben</v>
      </c>
      <c r="G319" t="str">
        <f t="shared" ca="1" si="4"/>
        <v>"2084035210" : "Dokaben",</v>
      </c>
    </row>
    <row r="320" spans="1:7" ht="14.25" customHeight="1">
      <c r="A320" s="2">
        <v>2084035211</v>
      </c>
      <c r="B320" s="2" t="s">
        <v>1041</v>
      </c>
      <c r="C320" s="2" t="s">
        <v>2181</v>
      </c>
      <c r="D320" s="2" t="s">
        <v>2182</v>
      </c>
      <c r="E320" s="4" t="str">
        <f ca="1">IFERROR(__xludf.DUMMYFUNCTION("GOOGLETRANSLATE(B320,""ja"",""vi"")"),"Dokutasuranpu")</f>
        <v>Dokutasuranpu</v>
      </c>
      <c r="F320" s="4" t="str">
        <f ca="1">IFERROR(__xludf.DUMMYFUNCTION("GOOGLETRANSLATE(C320,""ja"",""vi"")"),"Đấu giá&gt; truyện tranh, phim hoạt hình hàng hóa&gt; bức tranh di động&gt; Tagyo&gt; Dokutasuranpu")</f>
        <v>Đấu giá&gt; truyện tranh, phim hoạt hình hàng hóa&gt; bức tranh di động&gt; Tagyo&gt; Dokutasuranpu</v>
      </c>
      <c r="G320" t="str">
        <f t="shared" ca="1" si="4"/>
        <v>"2084035211" : "Dokutasuranpu",</v>
      </c>
    </row>
    <row r="321" spans="1:7" ht="14.25" customHeight="1">
      <c r="A321" s="2">
        <v>2084035214</v>
      </c>
      <c r="B321" s="2" t="s">
        <v>1049</v>
      </c>
      <c r="C321" s="2" t="s">
        <v>2186</v>
      </c>
      <c r="D321" s="2" t="s">
        <v>2187</v>
      </c>
      <c r="E321" s="4" t="str">
        <f ca="1">IFERROR(__xludf.DUMMYFUNCTION("GOOGLETRANSLATE(B321,""ja"",""vi"")"),"Doraemon")</f>
        <v>Doraemon</v>
      </c>
      <c r="F321" s="4" t="str">
        <f ca="1">IFERROR(__xludf.DUMMYFUNCTION("GOOGLETRANSLATE(C321,""ja"",""vi"")"),"Đấu giá&gt; truyện tranh, phim hoạt hình hàng hóa&gt; bức tranh di động&gt; Tagyo&gt; Doraemon")</f>
        <v>Đấu giá&gt; truyện tranh, phim hoạt hình hàng hóa&gt; bức tranh di động&gt; Tagyo&gt; Doraemon</v>
      </c>
      <c r="G321" t="str">
        <f t="shared" ca="1" si="4"/>
        <v>"2084035214" : "Doraemon",</v>
      </c>
    </row>
    <row r="322" spans="1:7" ht="14.25" customHeight="1">
      <c r="A322" s="2">
        <v>2084035215</v>
      </c>
      <c r="B322" s="2" t="s">
        <v>1055</v>
      </c>
      <c r="C322" s="2" t="s">
        <v>2192</v>
      </c>
      <c r="D322" s="2" t="s">
        <v>2193</v>
      </c>
      <c r="E322" s="4" t="str">
        <f ca="1">IFERROR(__xludf.DUMMYFUNCTION("GOOGLETRANSLATE(B322,""ja"",""vi"")"),"dragon ball")</f>
        <v>dragon ball</v>
      </c>
      <c r="F322" s="4" t="str">
        <f ca="1">IFERROR(__xludf.DUMMYFUNCTION("GOOGLETRANSLATE(C322,""ja"",""vi"")"),"Đấu giá&gt; truyện tranh, phim hoạt hình hàng hóa&gt; bức tranh di động&gt; Tagyo&gt; Dragon Ball")</f>
        <v>Đấu giá&gt; truyện tranh, phim hoạt hình hàng hóa&gt; bức tranh di động&gt; Tagyo&gt; Dragon Ball</v>
      </c>
      <c r="G322" t="str">
        <f t="shared" ca="1" si="4"/>
        <v>"2084035215" : "dragon ball",</v>
      </c>
    </row>
    <row r="323" spans="1:7" ht="14.25" customHeight="1">
      <c r="A323" s="2">
        <v>2084035195</v>
      </c>
      <c r="B323" s="2" t="s">
        <v>2198</v>
      </c>
      <c r="C323" s="2" t="s">
        <v>2199</v>
      </c>
      <c r="D323" s="2" t="s">
        <v>2201</v>
      </c>
      <c r="E323" s="4" t="str">
        <f ca="1">IFERROR(__xludf.DUMMYFUNCTION("GOOGLETRANSLATE(B323,""ja"",""vi"")"),"The Brave Fighter của Sun Fighbird")</f>
        <v>The Brave Fighter của Sun Fighbird</v>
      </c>
      <c r="F323" s="4" t="str">
        <f ca="1">IFERROR(__xludf.DUMMYFUNCTION("GOOGLETRANSLATE(C323,""ja"",""vi"")"),"Đấu giá&gt; truyện tranh, phim hoạt hình hàng hóa&gt; bức tranh di động&gt; Tagyo&gt; anh hùng của sợi nắng de")</f>
        <v>Đấu giá&gt; truyện tranh, phim hoạt hình hàng hóa&gt; bức tranh di động&gt; Tagyo&gt; anh hùng của sợi nắng de</v>
      </c>
      <c r="G323" t="str">
        <f t="shared" ref="G323:G386" ca="1" si="5">CONCATENATE(CHAR(34)&amp;"",A323,""&amp;CHAR(34)," : ", CHAR(34)&amp;"",E323,""&amp;CHAR(34),",")</f>
        <v>"2084035195" : "The Brave Fighter của Sun Fighbird",</v>
      </c>
    </row>
    <row r="324" spans="1:7" ht="14.25" customHeight="1">
      <c r="A324" s="2">
        <v>2084035192</v>
      </c>
      <c r="B324" s="2" t="s">
        <v>1063</v>
      </c>
      <c r="C324" s="2" t="s">
        <v>2208</v>
      </c>
      <c r="D324" s="2" t="s">
        <v>2209</v>
      </c>
      <c r="E324" s="4" t="str">
        <f ca="1">IFERROR(__xludf.DUMMYFUNCTION("GOOGLETRANSLATE(B324,""ja"",""vi"")"),"Bạn đang bị quản thúc")</f>
        <v>Bạn đang bị quản thúc</v>
      </c>
      <c r="F324" s="4" t="str">
        <f ca="1">IFERROR(__xludf.DUMMYFUNCTION("GOOGLETRANSLATE(C324,""ja"",""vi"")"),"Đấu giá&gt; truyện tranh, phim hoạt hình hàng hóa&gt; bức tranh di động&gt; Tagyo&gt; Bạn đang bắt giữ Under")</f>
        <v>Đấu giá&gt; truyện tranh, phim hoạt hình hàng hóa&gt; bức tranh di động&gt; Tagyo&gt; Bạn đang bắt giữ Under</v>
      </c>
      <c r="G324" t="str">
        <f t="shared" ca="1" si="5"/>
        <v>"2084035192" : "Bạn đang bị quản thúc",</v>
      </c>
    </row>
    <row r="325" spans="1:7" ht="14.25" customHeight="1">
      <c r="A325" s="2">
        <v>2084035191</v>
      </c>
      <c r="B325" s="2" t="s">
        <v>1071</v>
      </c>
      <c r="C325" s="2" t="s">
        <v>2215</v>
      </c>
      <c r="D325" s="2" t="s">
        <v>2216</v>
      </c>
      <c r="E325" s="4" t="str">
        <f ca="1">IFERROR(__xludf.DUMMYFUNCTION("GOOGLETRANSLATE(B325,""ja"",""vi"")"),"Gaiking")</f>
        <v>Gaiking</v>
      </c>
      <c r="F325" s="4" t="str">
        <f ca="1">IFERROR(__xludf.DUMMYFUNCTION("GOOGLETRANSLATE(C325,""ja"",""vi"")"),"Đấu giá&gt; truyện tranh, phim hoạt hình hàng hóa&gt; bức tranh di động&gt; Tagyo&gt; Gaiking")</f>
        <v>Đấu giá&gt; truyện tranh, phim hoạt hình hàng hóa&gt; bức tranh di động&gt; Tagyo&gt; Gaiking</v>
      </c>
      <c r="G325" t="str">
        <f t="shared" ca="1" si="5"/>
        <v>"2084035191" : "Gaiking",</v>
      </c>
    </row>
    <row r="326" spans="1:7" ht="14.25" customHeight="1">
      <c r="A326" s="2">
        <v>2084035216</v>
      </c>
      <c r="B326" s="2" t="s">
        <v>2219</v>
      </c>
      <c r="C326" s="2" t="s">
        <v>2221</v>
      </c>
      <c r="D326" s="2" t="s">
        <v>2222</v>
      </c>
      <c r="E326" s="4" t="str">
        <f ca="1">IFERROR(__xludf.DUMMYFUNCTION("GOOGLETRANSLATE(B326,""ja"",""vi"")"),"Chōdenji Máy Voltes V")</f>
        <v>Chōdenji Máy Voltes V</v>
      </c>
      <c r="F326" s="4" t="str">
        <f ca="1">IFERROR(__xludf.DUMMYFUNCTION("GOOGLETRANSLATE(C326,""ja"",""vi"")"),"Đấu giá&gt; truyện tranh, phim hoạt hình hàng hóa&gt; bức tranh di động&gt; Tagyo&gt; Chōdenji Máy Voltes V")</f>
        <v>Đấu giá&gt; truyện tranh, phim hoạt hình hàng hóa&gt; bức tranh di động&gt; Tagyo&gt; Chōdenji Máy Voltes V</v>
      </c>
      <c r="G326" t="str">
        <f t="shared" ca="1" si="5"/>
        <v>"2084035216" : "Chōdenji Máy Voltes V",</v>
      </c>
    </row>
    <row r="327" spans="1:7" ht="14.25" customHeight="1">
      <c r="A327" s="2">
        <v>2084035567</v>
      </c>
      <c r="B327" s="2" t="s">
        <v>2225</v>
      </c>
      <c r="C327" s="2" t="s">
        <v>2226</v>
      </c>
      <c r="D327" s="2" t="s">
        <v>2228</v>
      </c>
      <c r="E327" s="4" t="str">
        <f ca="1">IFERROR(__xludf.DUMMYFUNCTION("GOOGLETRANSLATE(B327,""ja"",""vi"")"),"Siêu điện từ Robo-Côn Butler V")</f>
        <v>Siêu điện từ Robo-Côn Butler V</v>
      </c>
      <c r="F327" s="4" t="str">
        <f ca="1">IFERROR(__xludf.DUMMYFUNCTION("GOOGLETRANSLATE(C327,""ja"",""vi"")"),"Đấu giá&gt; truyện tranh, phim hoạt hình hàng hóa&gt; bức tranh di động&gt; Tagyo&gt; siêu điện từ Robo-Côn Butler V")</f>
        <v>Đấu giá&gt; truyện tranh, phim hoạt hình hàng hóa&gt; bức tranh di động&gt; Tagyo&gt; siêu điện từ Robo-Côn Butler V</v>
      </c>
      <c r="G327" t="str">
        <f t="shared" ca="1" si="5"/>
        <v>"2084035567" : "Siêu điện từ Robo-Côn Butler V",</v>
      </c>
    </row>
    <row r="328" spans="1:7" ht="14.25" customHeight="1">
      <c r="A328" s="2">
        <v>2084035218</v>
      </c>
      <c r="B328" s="2" t="s">
        <v>1086</v>
      </c>
      <c r="C328" s="2" t="s">
        <v>2230</v>
      </c>
      <c r="D328" s="2" t="s">
        <v>2233</v>
      </c>
      <c r="E328" s="4" t="str">
        <f ca="1">IFERROR(__xludf.DUMMYFUNCTION("GOOGLETRANSLATE(B328,""ja"",""vi"")"),"Tetsujin 28-go")</f>
        <v>Tetsujin 28-go</v>
      </c>
      <c r="F328" s="4" t="str">
        <f ca="1">IFERROR(__xludf.DUMMYFUNCTION("GOOGLETRANSLATE(C328,""ja"",""vi"")"),"Đấu giá&gt; truyện tranh, phim hoạt hình hàng hóa&gt; bức tranh di động&gt; Tagyo&gt; Tetsujin 28-go")</f>
        <v>Đấu giá&gt; truyện tranh, phim hoạt hình hàng hóa&gt; bức tranh di động&gt; Tagyo&gt; Tetsujin 28-go</v>
      </c>
      <c r="G328" t="str">
        <f t="shared" ca="1" si="5"/>
        <v>"2084035218" : "Tetsujin 28-go",</v>
      </c>
    </row>
    <row r="329" spans="1:7" ht="14.25" customHeight="1">
      <c r="A329" s="2">
        <v>2084035202</v>
      </c>
      <c r="B329" s="2" t="s">
        <v>1093</v>
      </c>
      <c r="C329" s="2" t="s">
        <v>2236</v>
      </c>
      <c r="D329" s="2" t="s">
        <v>2237</v>
      </c>
      <c r="E329" s="4" t="str">
        <f ca="1">IFERROR(__xludf.DUMMYFUNCTION("GOOGLETRANSLATE(B329,""ja"",""vi"")"),"ASTRO BOY")</f>
        <v>ASTRO BOY</v>
      </c>
      <c r="F329" s="4" t="str">
        <f ca="1">IFERROR(__xludf.DUMMYFUNCTION("GOOGLETRANSLATE(C329,""ja"",""vi"")"),"Đấu giá&gt; truyện tranh, phim hoạt hình hàng hóa&gt; bức tranh di động&gt; Tagyo&gt; Astro Boy")</f>
        <v>Đấu giá&gt; truyện tranh, phim hoạt hình hàng hóa&gt; bức tranh di động&gt; Tagyo&gt; Astro Boy</v>
      </c>
      <c r="G329" t="str">
        <f t="shared" ca="1" si="5"/>
        <v>"2084035202" : "ASTRO BOY",</v>
      </c>
    </row>
    <row r="330" spans="1:7" ht="14.25" customHeight="1">
      <c r="A330" s="2">
        <v>2084035206</v>
      </c>
      <c r="B330" s="2" t="s">
        <v>1102</v>
      </c>
      <c r="C330" s="2" t="s">
        <v>2240</v>
      </c>
      <c r="D330" s="2" t="s">
        <v>2242</v>
      </c>
      <c r="E330" s="4" t="str">
        <f ca="1">IFERROR(__xludf.DUMMYFUNCTION("GOOGLETRANSLATE(B330,""ja"",""vi"")"),"Tầm nhìn của Escaflowne")</f>
        <v>Tầm nhìn của Escaflowne</v>
      </c>
      <c r="F330" s="4" t="str">
        <f ca="1">IFERROR(__xludf.DUMMYFUNCTION("GOOGLETRANSLATE(C330,""ja"",""vi"")"),"Đấu giá&gt; truyện tranh, phim hoạt hình hàng hóa&gt; bức tranh di động&gt; Tagyo&gt; Tầm nhìn của Escaflowne")</f>
        <v>Đấu giá&gt; truyện tranh, phim hoạt hình hàng hóa&gt; bức tranh di động&gt; Tagyo&gt; Tầm nhìn của Escaflowne</v>
      </c>
      <c r="G330" t="str">
        <f t="shared" ca="1" si="5"/>
        <v>"2084035206" : "Tầm nhìn của Escaflowne",</v>
      </c>
    </row>
    <row r="331" spans="1:7" ht="14.25" customHeight="1">
      <c r="A331" s="2">
        <v>2084035205</v>
      </c>
      <c r="B331" s="2" t="s">
        <v>1111</v>
      </c>
      <c r="C331" s="2" t="s">
        <v>2247</v>
      </c>
      <c r="D331" s="2" t="s">
        <v>2249</v>
      </c>
      <c r="E331" s="4" t="str">
        <f ca="1">IFERROR(__xludf.DUMMYFUNCTION("GOOGLETRANSLATE(B331,""ja"",""vi"")"),"Legend of Heavenly Sphere Shurato")</f>
        <v>Legend of Heavenly Sphere Shurato</v>
      </c>
      <c r="F331" s="4" t="str">
        <f ca="1">IFERROR(__xludf.DUMMYFUNCTION("GOOGLETRANSLATE(C331,""ja"",""vi"")"),"Đấu giá&gt; truyện tranh, phim hoạt hình hàng hóa&gt; bức tranh di động&gt; Tagyo&gt; Legend of Heavenly Sphere Shurato")</f>
        <v>Đấu giá&gt; truyện tranh, phim hoạt hình hàng hóa&gt; bức tranh di động&gt; Tagyo&gt; Legend of Heavenly Sphere Shurato</v>
      </c>
      <c r="G331" t="str">
        <f t="shared" ca="1" si="5"/>
        <v>"2084035205" : "Legend of Heavenly Sphere Shurato",</v>
      </c>
    </row>
    <row r="332" spans="1:7" ht="14.25" customHeight="1">
      <c r="A332" s="2">
        <v>2084035209</v>
      </c>
      <c r="B332" s="2" t="s">
        <v>1127</v>
      </c>
      <c r="C332" s="2" t="s">
        <v>2254</v>
      </c>
      <c r="D332" s="2" t="s">
        <v>2255</v>
      </c>
      <c r="E332" s="4" t="str">
        <f ca="1">IFERROR(__xludf.DUMMYFUNCTION("GOOGLETRANSLATE(B332,""ja"",""vi"")"),"Tenchi Muyo!")</f>
        <v>Tenchi Muyo!</v>
      </c>
      <c r="F332" s="4" t="str">
        <f ca="1">IFERROR(__xludf.DUMMYFUNCTION("GOOGLETRANSLATE(C332,""ja"",""vi"")"),"Đấu giá&gt; truyện tranh, phim hoạt hình hàng hóa&gt; bức tranh di động&gt; Tagyo&gt; Tenchi Muyo!")</f>
        <v>Đấu giá&gt; truyện tranh, phim hoạt hình hàng hóa&gt; bức tranh di động&gt; Tagyo&gt; Tenchi Muyo!</v>
      </c>
      <c r="G332" t="str">
        <f t="shared" ca="1" si="5"/>
        <v>"2084035209" : "Tenchi Muyo!",</v>
      </c>
    </row>
    <row r="333" spans="1:7" ht="14.25" customHeight="1">
      <c r="A333" s="2">
        <v>2084035208</v>
      </c>
      <c r="B333" s="2" t="s">
        <v>1134</v>
      </c>
      <c r="C333" s="2" t="s">
        <v>2259</v>
      </c>
      <c r="D333" s="2" t="s">
        <v>2260</v>
      </c>
      <c r="E333" s="4" t="str">
        <f ca="1">IFERROR(__xludf.DUMMYFUNCTION("GOOGLETRANSLATE(B333,""ja"",""vi"")"),"Space Runaway Ideon")</f>
        <v>Space Runaway Ideon</v>
      </c>
      <c r="F333" s="4" t="str">
        <f ca="1">IFERROR(__xludf.DUMMYFUNCTION("GOOGLETRANSLATE(C333,""ja"",""vi"")"),"Đấu giá&gt; truyện tranh, phim hoạt hình hàng hóa&gt; bức tranh di động&gt; Tagyo&gt; Space Runaway Ideon")</f>
        <v>Đấu giá&gt; truyện tranh, phim hoạt hình hàng hóa&gt; bức tranh di động&gt; Tagyo&gt; Space Runaway Ideon</v>
      </c>
      <c r="G333" t="str">
        <f t="shared" ca="1" si="5"/>
        <v>"2084035208" : "Space Runaway Ideon",</v>
      </c>
    </row>
    <row r="334" spans="1:7" ht="14.25" customHeight="1">
      <c r="A334" s="2">
        <v>2084035196</v>
      </c>
      <c r="B334" s="2" t="s">
        <v>46</v>
      </c>
      <c r="C334" s="2" t="s">
        <v>2263</v>
      </c>
      <c r="D334" s="2" t="s">
        <v>2265</v>
      </c>
      <c r="E334" s="4" t="str">
        <f ca="1">IFERROR(__xludf.DUMMYFUNCTION("GOOGLETRANSLATE(B334,""ja"",""vi"")"),"nếu không thì")</f>
        <v>nếu không thì</v>
      </c>
      <c r="F334" s="4" t="str">
        <f ca="1">IFERROR(__xludf.DUMMYFUNCTION("GOOGLETRANSLATE(C334,""ja"",""vi"")"),"Đấu giá&gt; truyện tranh, phim hoạt hình hàng hóa&gt; bức tranh di động&gt; Tagyo&gt; Khác")</f>
        <v>Đấu giá&gt; truyện tranh, phim hoạt hình hàng hóa&gt; bức tranh di động&gt; Tagyo&gt; Khác</v>
      </c>
      <c r="G334" t="str">
        <f t="shared" ca="1" si="5"/>
        <v>"2084035196" : "nếu không thì",</v>
      </c>
    </row>
    <row r="335" spans="1:7" ht="14.25" customHeight="1">
      <c r="A335" s="2">
        <v>2084035425</v>
      </c>
      <c r="B335" s="2" t="s">
        <v>1177</v>
      </c>
      <c r="C335" s="2" t="s">
        <v>2273</v>
      </c>
      <c r="D335" s="2" t="s">
        <v>2274</v>
      </c>
      <c r="E335" s="4" t="str">
        <f ca="1">IFERROR(__xludf.DUMMYFUNCTION("GOOGLETRANSLATE(B335,""ja"",""vi"")"),"Papuwa")</f>
        <v>Papuwa</v>
      </c>
      <c r="F335" s="4" t="str">
        <f ca="1">IFERROR(__xludf.DUMMYFUNCTION("GOOGLETRANSLATE(C335,""ja"",""vi"")"),"Đấu giá&gt; truyện tranh, phim hoạt hình hàng hóa&gt; tế bào hình ảnh&gt; một dòng&gt; Papuwa")</f>
        <v>Đấu giá&gt; truyện tranh, phim hoạt hình hàng hóa&gt; tế bào hình ảnh&gt; một dòng&gt; Papuwa</v>
      </c>
      <c r="G335" t="str">
        <f t="shared" ca="1" si="5"/>
        <v>"2084035425" : "Papuwa",</v>
      </c>
    </row>
    <row r="336" spans="1:7" ht="14.25" customHeight="1">
      <c r="A336" s="2">
        <v>2084035424</v>
      </c>
      <c r="B336" s="2" t="s">
        <v>46</v>
      </c>
      <c r="C336" s="2" t="s">
        <v>2278</v>
      </c>
      <c r="D336" s="2" t="s">
        <v>2279</v>
      </c>
      <c r="E336" s="4" t="str">
        <f ca="1">IFERROR(__xludf.DUMMYFUNCTION("GOOGLETRANSLATE(B336,""ja"",""vi"")"),"nếu không thì")</f>
        <v>nếu không thì</v>
      </c>
      <c r="F336" s="4" t="str">
        <f ca="1">IFERROR(__xludf.DUMMYFUNCTION("GOOGLETRANSLATE(C336,""ja"",""vi"")"),"Đấu giá&gt; truyện tranh, phim hoạt hình hàng hóa&gt; tế bào hình ảnh&gt; một dòng&gt; Khác")</f>
        <v>Đấu giá&gt; truyện tranh, phim hoạt hình hàng hóa&gt; tế bào hình ảnh&gt; một dòng&gt; Khác</v>
      </c>
      <c r="G336" t="str">
        <f t="shared" ca="1" si="5"/>
        <v>"2084035424" : "nếu không thì",</v>
      </c>
    </row>
    <row r="337" spans="1:7" ht="14.25" customHeight="1">
      <c r="A337" s="2">
        <v>2084035555</v>
      </c>
      <c r="B337" s="2" t="s">
        <v>1222</v>
      </c>
      <c r="C337" s="2" t="s">
        <v>2284</v>
      </c>
      <c r="D337" s="2" t="s">
        <v>2286</v>
      </c>
      <c r="E337" s="4" t="str">
        <f ca="1">IFERROR(__xludf.DUMMYFUNCTION("GOOGLETRANSLATE(B337,""ja"",""vi"")"),"HUNTER × HUNTER")</f>
        <v>HUNTER × HUNTER</v>
      </c>
      <c r="F337" s="4" t="str">
        <f ca="1">IFERROR(__xludf.DUMMYFUNCTION("GOOGLETRANSLATE(C337,""ja"",""vi"")"),"Đấu giá&gt; truyện tranh, phim hoạt hình hàng hóa&gt; bức tranh di động&gt; row&gt; HUNTER × HUNTER")</f>
        <v>Đấu giá&gt; truyện tranh, phim hoạt hình hàng hóa&gt; bức tranh di động&gt; row&gt; HUNTER × HUNTER</v>
      </c>
      <c r="G337" t="str">
        <f t="shared" ca="1" si="5"/>
        <v>"2084035555" : "HUNTER × HUNTER",</v>
      </c>
    </row>
    <row r="338" spans="1:7" ht="14.25" customHeight="1">
      <c r="A338" s="2">
        <v>2084035560</v>
      </c>
      <c r="B338" s="2" t="s">
        <v>1243</v>
      </c>
      <c r="C338" s="2" t="s">
        <v>2291</v>
      </c>
      <c r="D338" s="2" t="s">
        <v>2293</v>
      </c>
      <c r="E338" s="4" t="str">
        <f ca="1">IFERROR(__xludf.DUMMYFUNCTION("GOOGLETRANSLATE(B338,""ja"",""vi"")"),"Nadia, The Secret of Blue Water")</f>
        <v>Nadia, The Secret of Blue Water</v>
      </c>
      <c r="F338" s="4" t="str">
        <f ca="1">IFERROR(__xludf.DUMMYFUNCTION("GOOGLETRANSLATE(C338,""ja"",""vi"")"),"Đấu giá&gt; truyện tranh, phim hoạt hình hàng hóa&gt; bức tranh di động&gt; row&gt; Nadia, The Secret of Blue Water")</f>
        <v>Đấu giá&gt; truyện tranh, phim hoạt hình hàng hóa&gt; bức tranh di động&gt; row&gt; Nadia, The Secret of Blue Water</v>
      </c>
      <c r="G338" t="str">
        <f t="shared" ca="1" si="5"/>
        <v>"2084035560" : "Nadia, The Secret of Blue Water",</v>
      </c>
    </row>
    <row r="339" spans="1:7" ht="14.25" customHeight="1">
      <c r="A339" s="2">
        <v>2084035561</v>
      </c>
      <c r="B339" s="2" t="s">
        <v>1251</v>
      </c>
      <c r="C339" s="2" t="s">
        <v>2297</v>
      </c>
      <c r="D339" s="2" t="s">
        <v>2301</v>
      </c>
      <c r="E339" s="4" t="str">
        <f ca="1">IFERROR(__xludf.DUMMYFUNCTION("GOOGLETRANSLATE(B339,""ja"",""vi"")"),"Fushigi Yugi")</f>
        <v>Fushigi Yugi</v>
      </c>
      <c r="F339" s="4" t="str">
        <f ca="1">IFERROR(__xludf.DUMMYFUNCTION("GOOGLETRANSLATE(C339,""ja"",""vi"")"),"Đấu giá&gt; truyện tranh, phim hoạt hình hàng hóa&gt; bức tranh di động&gt; row&gt; Fushigi Yugi")</f>
        <v>Đấu giá&gt; truyện tranh, phim hoạt hình hàng hóa&gt; bức tranh di động&gt; row&gt; Fushigi Yugi</v>
      </c>
      <c r="G339" t="str">
        <f t="shared" ca="1" si="5"/>
        <v>"2084035561" : "Fushigi Yugi",</v>
      </c>
    </row>
    <row r="340" spans="1:7" ht="14.25" customHeight="1">
      <c r="A340" s="2">
        <v>2084035551</v>
      </c>
      <c r="B340" s="2" t="s">
        <v>1296</v>
      </c>
      <c r="C340" s="2" t="s">
        <v>2303</v>
      </c>
      <c r="D340" s="2" t="s">
        <v>2306</v>
      </c>
      <c r="E340" s="4" t="str">
        <f ca="1">IFERROR(__xludf.DUMMYFUNCTION("GOOGLETRANSLATE(B340,""ja"",""vi"")"),"Các vận động viên chiến")</f>
        <v>Các vận động viên chiến</v>
      </c>
      <c r="F340" s="4" t="str">
        <f ca="1">IFERROR(__xludf.DUMMYFUNCTION("GOOGLETRANSLATE(C340,""ja"",""vi"")"),"Đấu giá&gt; truyện tranh, phim hoạt hình hàng hóa&gt; bức tranh di động&gt; row&gt; Các vận động viên Trận")</f>
        <v>Đấu giá&gt; truyện tranh, phim hoạt hình hàng hóa&gt; bức tranh di động&gt; row&gt; Các vận động viên Trận</v>
      </c>
      <c r="G340" t="str">
        <f t="shared" ca="1" si="5"/>
        <v>"2084035551" : "Các vận động viên chiến",</v>
      </c>
    </row>
    <row r="341" spans="1:7" ht="14.25" customHeight="1">
      <c r="A341" s="2">
        <v>2084035558</v>
      </c>
      <c r="B341" s="2" t="s">
        <v>1310</v>
      </c>
      <c r="C341" s="2" t="s">
        <v>2310</v>
      </c>
      <c r="D341" s="2" t="s">
        <v>2311</v>
      </c>
      <c r="E341" s="4" t="str">
        <f ca="1">IFERROR(__xludf.DUMMYFUNCTION("GOOGLETRANSLATE(B341,""ja"",""vi"")"),"Stories Five Star")</f>
        <v>Stories Five Star</v>
      </c>
      <c r="F341" s="4" t="str">
        <f ca="1">IFERROR(__xludf.DUMMYFUNCTION("GOOGLETRANSLATE(C341,""ja"",""vi"")"),"Đấu giá&gt; truyện tranh, phim hoạt hình hàng hóa&gt; bức tranh di động&gt; row&gt; Các Câu chuyện Five Star")</f>
        <v>Đấu giá&gt; truyện tranh, phim hoạt hình hàng hóa&gt; bức tranh di động&gt; row&gt; Các Câu chuyện Five Star</v>
      </c>
      <c r="G341" t="str">
        <f t="shared" ca="1" si="5"/>
        <v>"2084035558" : "Stories Five Star",</v>
      </c>
    </row>
    <row r="342" spans="1:7" ht="14.25" customHeight="1">
      <c r="A342" s="2">
        <v>2084035562</v>
      </c>
      <c r="B342" s="2" t="s">
        <v>1318</v>
      </c>
      <c r="C342" s="2" t="s">
        <v>2314</v>
      </c>
      <c r="D342" s="2" t="s">
        <v>2315</v>
      </c>
      <c r="E342" s="4" t="str">
        <f ca="1">IFERROR(__xludf.DUMMYFUNCTION("GOOGLETRANSLATE(B342,""ja"",""vi"")"),"Chó của Flanders")</f>
        <v>Chó của Flanders</v>
      </c>
      <c r="F342" s="4" t="str">
        <f ca="1">IFERROR(__xludf.DUMMYFUNCTION("GOOGLETRANSLATE(C342,""ja"",""vi"")"),"Đấu giá&gt; truyện tranh, phim hoạt hình hàng hóa&gt; bức tranh di động&gt; row&gt; Chó của Flanders")</f>
        <v>Đấu giá&gt; truyện tranh, phim hoạt hình hàng hóa&gt; bức tranh di động&gt; row&gt; Chó của Flanders</v>
      </c>
      <c r="G342" t="str">
        <f t="shared" ca="1" si="5"/>
        <v>"2084035562" : "Chó của Flanders",</v>
      </c>
    </row>
    <row r="343" spans="1:7" ht="14.25" customHeight="1">
      <c r="A343" s="2">
        <v>2084035565</v>
      </c>
      <c r="B343" s="2" t="s">
        <v>1347</v>
      </c>
      <c r="C343" s="2" t="s">
        <v>2317</v>
      </c>
      <c r="D343" s="2" t="s">
        <v>2319</v>
      </c>
      <c r="E343" s="4" t="str">
        <f ca="1">IFERROR(__xludf.DUMMYFUNCTION("GOOGLETRANSLATE(B343,""ja"",""vi"")"),"The Rose of Versailles")</f>
        <v>The Rose of Versailles</v>
      </c>
      <c r="F343" s="4" t="str">
        <f ca="1">IFERROR(__xludf.DUMMYFUNCTION("GOOGLETRANSLATE(C343,""ja"",""vi"")"),"Đấu giá&gt; truyện tranh, phim hoạt hình hàng hóa&gt; bức tranh di động&gt; hàng&gt; The Rose of Versailles")</f>
        <v>Đấu giá&gt; truyện tranh, phim hoạt hình hàng hóa&gt; bức tranh di động&gt; hàng&gt; The Rose of Versailles</v>
      </c>
      <c r="G343" t="str">
        <f t="shared" ca="1" si="5"/>
        <v>"2084035565" : "The Rose of Versailles",</v>
      </c>
    </row>
    <row r="344" spans="1:7" ht="14.25" customHeight="1">
      <c r="A344" s="2">
        <v>2084035566</v>
      </c>
      <c r="B344" s="2" t="s">
        <v>1356</v>
      </c>
      <c r="C344" s="2" t="s">
        <v>2322</v>
      </c>
      <c r="D344" s="2" t="s">
        <v>2324</v>
      </c>
      <c r="E344" s="4" t="str">
        <f ca="1">IFERROR(__xludf.DUMMYFUNCTION("GOOGLETRANSLATE(B344,""ja"",""vi"")"),"điên khùng")</f>
        <v>điên khùng</v>
      </c>
      <c r="F344" s="4" t="str">
        <f ca="1">IFERROR(__xludf.DUMMYFUNCTION("GOOGLETRANSLATE(C344,""ja"",""vi"")"),"Đấu giá&gt; truyện tranh, phim hoạt hình hàng hóa&gt; bức tranh di động&gt; row&gt; Berserk")</f>
        <v>Đấu giá&gt; truyện tranh, phim hoạt hình hàng hóa&gt; bức tranh di động&gt; row&gt; Berserk</v>
      </c>
      <c r="G344" t="str">
        <f t="shared" ca="1" si="5"/>
        <v>"2084035566" : "điên khùng",</v>
      </c>
    </row>
    <row r="345" spans="1:7" ht="14.25" customHeight="1">
      <c r="A345" s="2">
        <v>2084035547</v>
      </c>
      <c r="B345" s="2" t="s">
        <v>1402</v>
      </c>
      <c r="C345" s="2" t="s">
        <v>2326</v>
      </c>
      <c r="D345" s="2" t="s">
        <v>2327</v>
      </c>
      <c r="E345" s="4" t="str">
        <f ca="1">IFERROR(__xludf.DUMMYFUNCTION("GOOGLETRANSLATE(B345,""ja"",""vi"")"),"Hảo Taikei Ryu Hiệp sĩ")</f>
        <v>Hảo Taikei Ryu Hiệp sĩ</v>
      </c>
      <c r="F345" s="4" t="str">
        <f ca="1">IFERROR(__xludf.DUMMYFUNCTION("GOOGLETRANSLATE(C345,""ja"",""vi"")"),"Đấu giá&gt; truyện tranh, phim hoạt hình hàng hóa&gt; bức tranh di động&gt; row&gt; Hảo Taikei Ryu Hiệp sĩ")</f>
        <v>Đấu giá&gt; truyện tranh, phim hoạt hình hàng hóa&gt; bức tranh di động&gt; row&gt; Hảo Taikei Ryu Hiệp sĩ</v>
      </c>
      <c r="G345" t="str">
        <f t="shared" ca="1" si="5"/>
        <v>"2084035547" : "Hảo Taikei Ryu Hiệp sĩ",</v>
      </c>
    </row>
    <row r="346" spans="1:7" ht="14.25" customHeight="1">
      <c r="A346" s="2">
        <v>2084035554</v>
      </c>
      <c r="B346" s="2" t="s">
        <v>1408</v>
      </c>
      <c r="C346" s="2" t="s">
        <v>2331</v>
      </c>
      <c r="D346" s="2" t="s">
        <v>2332</v>
      </c>
      <c r="E346" s="4" t="str">
        <f ca="1">IFERROR(__xludf.DUMMYFUNCTION("GOOGLETRANSLATE(B346,""ja"",""vi"")"),"bão Polymar")</f>
        <v>bão Polymar</v>
      </c>
      <c r="F346" s="4" t="str">
        <f ca="1">IFERROR(__xludf.DUMMYFUNCTION("GOOGLETRANSLATE(C346,""ja"",""vi"")"),"Đấu giá&gt; truyện tranh, phim hoạt hình hàng hóa&gt; bức tranh di động&gt; row&gt; Bão Polymar")</f>
        <v>Đấu giá&gt; truyện tranh, phim hoạt hình hàng hóa&gt; bức tranh di động&gt; row&gt; Bão Polymar</v>
      </c>
      <c r="G346" t="str">
        <f t="shared" ca="1" si="5"/>
        <v>"2084035554" : "bão Polymar",</v>
      </c>
    </row>
    <row r="347" spans="1:7" ht="14.25" customHeight="1">
      <c r="A347" s="2">
        <v>2084035549</v>
      </c>
      <c r="B347" s="2" t="s">
        <v>1424</v>
      </c>
      <c r="C347" s="2" t="s">
        <v>2336</v>
      </c>
      <c r="D347" s="2" t="s">
        <v>2338</v>
      </c>
      <c r="E347" s="4" t="str">
        <f ca="1">IFERROR(__xludf.DUMMYFUNCTION("GOOGLETRANSLATE(B347,""ja"",""vi"")"),"Roaring Brothers Hãy &amp; Go !!")</f>
        <v>Roaring Brothers Hãy &amp; Go !!</v>
      </c>
      <c r="F347" s="4" t="str">
        <f ca="1">IFERROR(__xludf.DUMMYFUNCTION("GOOGLETRANSLATE(C347,""ja"",""vi"")"),"Đấu giá&gt; truyện tranh, phim hoạt hình hàng hóa&gt; bức tranh di động&gt; row&gt; Bakusou Brothers Hãy &amp; Go !!")</f>
        <v>Đấu giá&gt; truyện tranh, phim hoạt hình hàng hóa&gt; bức tranh di động&gt; row&gt; Bakusou Brothers Hãy &amp; Go !!</v>
      </c>
      <c r="G347" t="str">
        <f t="shared" ca="1" si="5"/>
        <v>"2084035549" : "Roaring Brothers Hãy &amp; Go !!",</v>
      </c>
    </row>
    <row r="348" spans="1:7" ht="14.25" customHeight="1">
      <c r="A348" s="2">
        <v>2084035552</v>
      </c>
      <c r="B348" s="2" t="s">
        <v>1440</v>
      </c>
      <c r="C348" s="2" t="s">
        <v>2344</v>
      </c>
      <c r="D348" s="2" t="s">
        <v>2346</v>
      </c>
      <c r="E348" s="4" t="str">
        <f ca="1">IFERROR(__xludf.DUMMYFUNCTION("GOOGLETRANSLATE(B348,""ja"",""vi"")"),"3000 Giải đấu trong tìm kiếm của Mẹ")</f>
        <v>3000 Giải đấu trong tìm kiếm của Mẹ</v>
      </c>
      <c r="F348" s="4" t="str">
        <f ca="1">IFERROR(__xludf.DUMMYFUNCTION("GOOGLETRANSLATE(C348,""ja"",""vi"")"),"Đấu giá&gt; truyện tranh, phim hoạt hình hàng hóa&gt; bức tranh di động&gt; row&gt; ba hỏi mẹ Chisato")</f>
        <v>Đấu giá&gt; truyện tranh, phim hoạt hình hàng hóa&gt; bức tranh di động&gt; row&gt; ba hỏi mẹ Chisato</v>
      </c>
      <c r="G348" t="str">
        <f t="shared" ca="1" si="5"/>
        <v>"2084035552" : "3000 Giải đấu trong tìm kiếm của Mẹ",</v>
      </c>
    </row>
    <row r="349" spans="1:7" ht="14.25" customHeight="1">
      <c r="A349" s="2">
        <v>2084035568</v>
      </c>
      <c r="B349" s="2" t="s">
        <v>1447</v>
      </c>
      <c r="C349" s="2" t="s">
        <v>2349</v>
      </c>
      <c r="D349" s="2" t="s">
        <v>2350</v>
      </c>
      <c r="E349" s="4" t="str">
        <f ca="1">IFERROR(__xludf.DUMMYFUNCTION("GOOGLETRANSLATE(B349,""ja"",""vi"")"),"Fist of the North Star")</f>
        <v>Fist of the North Star</v>
      </c>
      <c r="F349" s="4" t="str">
        <f ca="1">IFERROR(__xludf.DUMMYFUNCTION("GOOGLETRANSLATE(C349,""ja"",""vi"")"),"Đấu giá&gt; truyện tranh, phim hoạt hình hàng hóa&gt; bức tranh di động&gt; row&gt; Fist of The North Star của")</f>
        <v>Đấu giá&gt; truyện tranh, phim hoạt hình hàng hóa&gt; bức tranh di động&gt; row&gt; Fist of The North Star của</v>
      </c>
      <c r="G349" t="str">
        <f t="shared" ca="1" si="5"/>
        <v>"2084035568" : "Fist of the North Star",</v>
      </c>
    </row>
    <row r="350" spans="1:7" ht="14.25" customHeight="1">
      <c r="A350" s="2">
        <v>2084035556</v>
      </c>
      <c r="B350" s="2" t="s">
        <v>1454</v>
      </c>
      <c r="C350" s="2" t="s">
        <v>2356</v>
      </c>
      <c r="D350" s="2" t="s">
        <v>2357</v>
      </c>
      <c r="E350" s="4" t="str">
        <f ca="1">IFERROR(__xludf.DUMMYFUNCTION("GOOGLETRANSLATE(B350,""ja"",""vi"")"),"Tất cả các mục đích văn hóa Cát Cô gái Nuku Nuku")</f>
        <v>Tất cả các mục đích văn hóa Cát Cô gái Nuku Nuku</v>
      </c>
      <c r="F350" s="4" t="str">
        <f ca="1">IFERROR(__xludf.DUMMYFUNCTION("GOOGLETRANSLATE(C350,""ja"",""vi"")"),"Đấu giá&gt; truyện tranh, phim hoạt hình hàng hóa&gt; bức tranh di động&gt; row&gt; All Purpose văn hóa Cát Cô gái Nuku Nuku")</f>
        <v>Đấu giá&gt; truyện tranh, phim hoạt hình hàng hóa&gt; bức tranh di động&gt; row&gt; All Purpose văn hóa Cát Cô gái Nuku Nuku</v>
      </c>
      <c r="G350" t="str">
        <f t="shared" ca="1" si="5"/>
        <v>"2084035556" : "Tất cả các mục đích văn hóa Cát Cô gái Nuku Nuku",</v>
      </c>
    </row>
    <row r="351" spans="1:7" ht="14.25" customHeight="1">
      <c r="A351" s="2">
        <v>2084035548</v>
      </c>
      <c r="B351" s="2" t="s">
        <v>46</v>
      </c>
      <c r="C351" s="2" t="s">
        <v>2364</v>
      </c>
      <c r="D351" s="2" t="s">
        <v>2366</v>
      </c>
      <c r="E351" s="4" t="str">
        <f ca="1">IFERROR(__xludf.DUMMYFUNCTION("GOOGLETRANSLATE(B351,""ja"",""vi"")"),"nếu không thì")</f>
        <v>nếu không thì</v>
      </c>
      <c r="F351" s="4" t="str">
        <f ca="1">IFERROR(__xludf.DUMMYFUNCTION("GOOGLETRANSLATE(C351,""ja"",""vi"")"),"Đấu giá&gt; truyện tranh, phim hoạt hình hàng hóa&gt; bức tranh di động&gt; hàng&gt; Khác")</f>
        <v>Đấu giá&gt; truyện tranh, phim hoạt hình hàng hóa&gt; bức tranh di động&gt; hàng&gt; Khác</v>
      </c>
      <c r="G351" t="str">
        <f t="shared" ca="1" si="5"/>
        <v>"2084035548" : "nếu không thì",</v>
      </c>
    </row>
    <row r="352" spans="1:7" ht="14.25" customHeight="1">
      <c r="A352" s="2">
        <v>2084035806</v>
      </c>
      <c r="B352" s="2" t="s">
        <v>1468</v>
      </c>
      <c r="C352" s="2" t="s">
        <v>2371</v>
      </c>
      <c r="D352" s="2" t="s">
        <v>2373</v>
      </c>
      <c r="E352" s="4" t="str">
        <f ca="1">IFERROR(__xludf.DUMMYFUNCTION("GOOGLETRANSLATE(B352,""ja"",""vi"")"),"Maison Ikkoku")</f>
        <v>Maison Ikkoku</v>
      </c>
      <c r="F352" s="4" t="str">
        <f ca="1">IFERROR(__xludf.DUMMYFUNCTION("GOOGLETRANSLATE(C352,""ja"",""vi"")"),"Đấu giá&gt; truyện tranh, phim hoạt hình hàng hóa&gt; bức tranh di động&gt; hoặc dòng&gt; Maison Ikkoku")</f>
        <v>Đấu giá&gt; truyện tranh, phim hoạt hình hàng hóa&gt; bức tranh di động&gt; hoặc dòng&gt; Maison Ikkoku</v>
      </c>
      <c r="G352" t="str">
        <f t="shared" ca="1" si="5"/>
        <v>"2084035806" : "Maison Ikkoku",</v>
      </c>
    </row>
    <row r="353" spans="1:7" ht="14.25" customHeight="1">
      <c r="A353" s="2">
        <v>2084035780</v>
      </c>
      <c r="B353" s="2" t="s">
        <v>1479</v>
      </c>
      <c r="C353" s="2" t="s">
        <v>2377</v>
      </c>
      <c r="D353" s="2" t="s">
        <v>2380</v>
      </c>
      <c r="E353" s="4" t="str">
        <f ca="1">IFERROR(__xludf.DUMMYFUNCTION("GOOGLETRANSLATE(B353,""ja"",""vi"")"),"princess Mononoke")</f>
        <v>princess Mononoke</v>
      </c>
      <c r="F353" s="4" t="str">
        <f ca="1">IFERROR(__xludf.DUMMYFUNCTION("GOOGLETRANSLATE(C353,""ja"",""vi"")"),"Đấu giá&gt; truyện tranh, phim hoạt hình hàng hóa&gt; bức tranh di động&gt; hoặc hàng&gt; Princess Mononoke")</f>
        <v>Đấu giá&gt; truyện tranh, phim hoạt hình hàng hóa&gt; bức tranh di động&gt; hoặc hàng&gt; Princess Mononoke</v>
      </c>
      <c r="G353" t="str">
        <f t="shared" ca="1" si="5"/>
        <v>"2084035780" : "princess Mononoke",</v>
      </c>
    </row>
    <row r="354" spans="1:7" ht="14.25" customHeight="1">
      <c r="A354" s="2">
        <v>2084035782</v>
      </c>
      <c r="B354" s="2" t="s">
        <v>1494</v>
      </c>
      <c r="C354" s="2" t="s">
        <v>2383</v>
      </c>
      <c r="D354" s="2" t="s">
        <v>2384</v>
      </c>
      <c r="E354" s="4" t="str">
        <f ca="1">IFERROR(__xludf.DUMMYFUNCTION("GOOGLETRANSLATE(B354,""ja"",""vi"")"),"Macross")</f>
        <v>Macross</v>
      </c>
      <c r="F354" s="4" t="str">
        <f ca="1">IFERROR(__xludf.DUMMYFUNCTION("GOOGLETRANSLATE(C354,""ja"",""vi"")"),"Đấu giá&gt; truyện tranh, phim hoạt hình hàng hóa&gt; bức tranh di động&gt; hoặc hàng&gt; Macross")</f>
        <v>Đấu giá&gt; truyện tranh, phim hoạt hình hàng hóa&gt; bức tranh di động&gt; hoặc hàng&gt; Macross</v>
      </c>
      <c r="G354" t="str">
        <f t="shared" ca="1" si="5"/>
        <v>"2084035782" : "Macross",</v>
      </c>
    </row>
    <row r="355" spans="1:7" ht="14.25" customHeight="1">
      <c r="A355" s="2">
        <v>2084035788</v>
      </c>
      <c r="B355" s="2" t="s">
        <v>1501</v>
      </c>
      <c r="C355" s="2" t="s">
        <v>2389</v>
      </c>
      <c r="D355" s="2" t="s">
        <v>2390</v>
      </c>
      <c r="E355" s="4" t="str">
        <f ca="1">IFERROR(__xludf.DUMMYFUNCTION("GOOGLETRANSLATE(B355,""ja"",""vi"")"),"Mazinger Z")</f>
        <v>Mazinger Z</v>
      </c>
      <c r="F355" s="4" t="str">
        <f ca="1">IFERROR(__xludf.DUMMYFUNCTION("GOOGLETRANSLATE(C355,""ja"",""vi"")"),"Đấu giá&gt; truyện tranh, phim hoạt hình hàng hóa&gt; bức tranh di động&gt; hoặc hàng&gt; Mazinger Z")</f>
        <v>Đấu giá&gt; truyện tranh, phim hoạt hình hàng hóa&gt; bức tranh di động&gt; hoặc hàng&gt; Mazinger Z</v>
      </c>
      <c r="G355" t="str">
        <f t="shared" ca="1" si="5"/>
        <v>"2084035788" : "Mazinger Z",</v>
      </c>
    </row>
    <row r="356" spans="1:7" ht="14.25" customHeight="1">
      <c r="A356" s="2">
        <v>2084035796</v>
      </c>
      <c r="B356" s="2" t="s">
        <v>1507</v>
      </c>
      <c r="C356" s="2" t="s">
        <v>2394</v>
      </c>
      <c r="D356" s="2" t="s">
        <v>2396</v>
      </c>
      <c r="E356" s="4" t="str">
        <f ca="1">IFERROR(__xludf.DUMMYFUNCTION("GOOGLETRANSLATE(B356,""ja"",""vi"")"),"Marmalade Boy")</f>
        <v>Marmalade Boy</v>
      </c>
      <c r="F356" s="4" t="str">
        <f ca="1">IFERROR(__xludf.DUMMYFUNCTION("GOOGLETRANSLATE(C356,""ja"",""vi"")"),"Đấu giá&gt; truyện tranh, phim hoạt hình hàng hóa&gt; bức tranh di động&gt; hoặc hàng&gt; Marmalade Boy")</f>
        <v>Đấu giá&gt; truyện tranh, phim hoạt hình hàng hóa&gt; bức tranh di động&gt; hoặc hàng&gt; Marmalade Boy</v>
      </c>
      <c r="G356" t="str">
        <f t="shared" ca="1" si="5"/>
        <v>"2084035796" : "Marmalade Boy",</v>
      </c>
    </row>
    <row r="357" spans="1:7" ht="14.25" customHeight="1">
      <c r="A357" s="2">
        <v>2084035797</v>
      </c>
      <c r="B357" s="2" t="s">
        <v>2400</v>
      </c>
      <c r="C357" s="2" t="s">
        <v>2401</v>
      </c>
      <c r="D357" s="2" t="s">
        <v>2403</v>
      </c>
      <c r="E357" s="4" t="str">
        <f ca="1">IFERROR(__xludf.DUMMYFUNCTION("GOOGLETRANSLATE(B357,""ja"",""vi"")"),"Mister Ajikko")</f>
        <v>Mister Ajikko</v>
      </c>
      <c r="F357" s="4" t="str">
        <f ca="1">IFERROR(__xludf.DUMMYFUNCTION("GOOGLETRANSLATE(C357,""ja"",""vi"")"),"Đấu giá&gt; truyện tranh, phim hoạt hình hàng hóa&gt; bức tranh di động&gt; hoặc hàng&gt; Mister Ajikko")</f>
        <v>Đấu giá&gt; truyện tranh, phim hoạt hình hàng hóa&gt; bức tranh di động&gt; hoặc hàng&gt; Mister Ajikko</v>
      </c>
      <c r="G357" t="str">
        <f t="shared" ca="1" si="5"/>
        <v>"2084035797" : "Mister Ajikko",</v>
      </c>
    </row>
    <row r="358" spans="1:7" ht="14.25" customHeight="1">
      <c r="A358" s="2">
        <v>2084035805</v>
      </c>
      <c r="B358" s="2" t="s">
        <v>1522</v>
      </c>
      <c r="C358" s="2" t="s">
        <v>2409</v>
      </c>
      <c r="D358" s="2" t="s">
        <v>2410</v>
      </c>
      <c r="E358" s="4" t="str">
        <f ca="1">IFERROR(__xludf.DUMMYFUNCTION("GOOGLETRANSLATE(B358,""ja"",""vi"")"),"Megazone 23")</f>
        <v>Megazone 23</v>
      </c>
      <c r="F358" s="4" t="str">
        <f ca="1">IFERROR(__xludf.DUMMYFUNCTION("GOOGLETRANSLATE(C358,""ja"",""vi"")"),"Đấu giá&gt; truyện tranh, phim hoạt hình hàng hóa&gt; bức tranh di động&gt; hoặc hàng&gt; Megazone 23")</f>
        <v>Đấu giá&gt; truyện tranh, phim hoạt hình hàng hóa&gt; bức tranh di động&gt; hoặc hàng&gt; Megazone 23</v>
      </c>
      <c r="G358" t="str">
        <f t="shared" ca="1" si="5"/>
        <v>"2084035805" : "Megazone 23",</v>
      </c>
    </row>
    <row r="359" spans="1:7" ht="14.25" customHeight="1">
      <c r="A359" s="2">
        <v>2084035779</v>
      </c>
      <c r="B359" s="2" t="s">
        <v>2415</v>
      </c>
      <c r="C359" s="2" t="s">
        <v>2416</v>
      </c>
      <c r="D359" s="2" t="s">
        <v>2417</v>
      </c>
      <c r="E359" s="4" t="str">
        <f ca="1">IFERROR(__xludf.DUMMYFUNCTION("GOOGLETRANSLATE(B359,""ja"",""vi"")"),"Medarot")</f>
        <v>Medarot</v>
      </c>
      <c r="F359" s="4" t="str">
        <f ca="1">IFERROR(__xludf.DUMMYFUNCTION("GOOGLETRANSLATE(C359,""ja"",""vi"")"),"Đấu giá&gt; truyện tranh, phim hoạt hình hàng hóa&gt; bức tranh di động&gt; hoặc hàng&gt; Medarot")</f>
        <v>Đấu giá&gt; truyện tranh, phim hoạt hình hàng hóa&gt; bức tranh di động&gt; hoặc hàng&gt; Medarot</v>
      </c>
      <c r="G359" t="str">
        <f t="shared" ca="1" si="5"/>
        <v>"2084035779" : "Medarot",</v>
      </c>
    </row>
    <row r="360" spans="1:7" ht="14.25" customHeight="1">
      <c r="A360" s="2">
        <v>2084044302</v>
      </c>
      <c r="B360" s="2" t="s">
        <v>2421</v>
      </c>
      <c r="C360" s="2" t="s">
        <v>2422</v>
      </c>
      <c r="D360" s="2" t="s">
        <v>2423</v>
      </c>
      <c r="E360" s="4" t="str">
        <f ca="1">IFERROR(__xludf.DUMMYFUNCTION("GOOGLETRANSLATE(B360,""ja"",""vi"")"),"kỷ nguyên màu xanh nhạt")</f>
        <v>kỷ nguyên màu xanh nhạt</v>
      </c>
      <c r="F360" s="4" t="str">
        <f ca="1">IFERROR(__xludf.DUMMYFUNCTION("GOOGLETRANSLATE(C360,""ja"",""vi"")"),"Đấu giá&gt; truyện tranh, phim hoạt hình hàng hóa&gt; bức tranh di động&gt; hoặc hàng&gt; kỷ nguyên màu xanh nhạt")</f>
        <v>Đấu giá&gt; truyện tranh, phim hoạt hình hàng hóa&gt; bức tranh di động&gt; hoặc hàng&gt; kỷ nguyên màu xanh nhạt</v>
      </c>
      <c r="G360" t="str">
        <f t="shared" ca="1" si="5"/>
        <v>"2084044302" : "kỷ nguyên màu xanh nhạt",</v>
      </c>
    </row>
    <row r="361" spans="1:7" ht="14.25" customHeight="1">
      <c r="A361" s="2">
        <v>2084035784</v>
      </c>
      <c r="B361" s="2" t="s">
        <v>1527</v>
      </c>
      <c r="C361" s="2" t="s">
        <v>2431</v>
      </c>
      <c r="D361" s="2" t="s">
        <v>2432</v>
      </c>
      <c r="E361" s="4" t="str">
        <f ca="1">IFERROR(__xludf.DUMMYFUNCTION("GOOGLETRANSLATE(B361,""ja"",""vi"")"),"Sorcerous Orphen")</f>
        <v>Sorcerous Orphen</v>
      </c>
      <c r="F361" s="4" t="str">
        <f ca="1">IFERROR(__xludf.DUMMYFUNCTION("GOOGLETRANSLATE(C361,""ja"",""vi"")"),"Đấu giá&gt; truyện tranh, phim hoạt hình hàng hóa&gt; bức tranh di động&gt; hoặc hàng&gt; Sorcerous Orphen")</f>
        <v>Đấu giá&gt; truyện tranh, phim hoạt hình hàng hóa&gt; bức tranh di động&gt; hoặc hàng&gt; Sorcerous Orphen</v>
      </c>
      <c r="G361" t="str">
        <f t="shared" ca="1" si="5"/>
        <v>"2084035784" : "Sorcerous Orphen",</v>
      </c>
    </row>
    <row r="362" spans="1:7" ht="14.25" customHeight="1">
      <c r="A362" s="2">
        <v>2084035786</v>
      </c>
      <c r="B362" s="2" t="s">
        <v>1534</v>
      </c>
      <c r="C362" s="2" t="s">
        <v>2437</v>
      </c>
      <c r="D362" s="2" t="s">
        <v>2439</v>
      </c>
      <c r="E362" s="4" t="str">
        <f ca="1">IFERROR(__xludf.DUMMYFUNCTION("GOOGLETRANSLATE(B362,""ja"",""vi"")"),"Dịch vụ giao hàng Kiki")</f>
        <v>Dịch vụ giao hàng Kiki</v>
      </c>
      <c r="F362" s="4" t="str">
        <f ca="1">IFERROR(__xludf.DUMMYFUNCTION("GOOGLETRANSLATE(C362,""ja"",""vi"")"),"Đấu giá&gt; truyện tranh, phim hoạt hình hàng hóa&gt; bức tranh di động&gt; hoặc hàng&gt; Dịch vụ giao hàng Kiki")</f>
        <v>Đấu giá&gt; truyện tranh, phim hoạt hình hàng hóa&gt; bức tranh di động&gt; hoặc hàng&gt; Dịch vụ giao hàng Kiki</v>
      </c>
      <c r="G362" t="str">
        <f t="shared" ca="1" si="5"/>
        <v>"2084035786" : "Dịch vụ giao hàng Kiki",</v>
      </c>
    </row>
    <row r="363" spans="1:7" ht="14.25" customHeight="1">
      <c r="A363" s="2">
        <v>2084035787</v>
      </c>
      <c r="B363" s="2" t="s">
        <v>1539</v>
      </c>
      <c r="C363" s="2" t="s">
        <v>2444</v>
      </c>
      <c r="D363" s="2" t="s">
        <v>2446</v>
      </c>
      <c r="E363" s="4" t="str">
        <f ca="1">IFERROR(__xludf.DUMMYFUNCTION("GOOGLETRANSLATE(B363,""ja"",""vi"")"),"Majin Anh hùng Wataru")</f>
        <v>Majin Anh hùng Wataru</v>
      </c>
      <c r="F363" s="4" t="str">
        <f ca="1">IFERROR(__xludf.DUMMYFUNCTION("GOOGLETRANSLATE(C363,""ja"",""vi"")"),"Đấu giá&gt; truyện tranh, phim hoạt hình hàng hóa&gt; bức tranh di động&gt; hoặc hàng&gt; Majin Anh hùng Wataru")</f>
        <v>Đấu giá&gt; truyện tranh, phim hoạt hình hàng hóa&gt; bức tranh di động&gt; hoặc hàng&gt; Majin Anh hùng Wataru</v>
      </c>
      <c r="G363" t="str">
        <f t="shared" ca="1" si="5"/>
        <v>"2084035787" : "Majin Anh hùng Wataru",</v>
      </c>
    </row>
    <row r="364" spans="1:7" ht="14.25" customHeight="1">
      <c r="A364" s="2">
        <v>2084035789</v>
      </c>
      <c r="B364" s="2" t="s">
        <v>1544</v>
      </c>
      <c r="C364" s="2" t="s">
        <v>2449</v>
      </c>
      <c r="D364" s="2" t="s">
        <v>2451</v>
      </c>
      <c r="E364" s="4" t="str">
        <f ca="1">IFERROR(__xludf.DUMMYFUNCTION("GOOGLETRANSLATE(B364,""ja"",""vi"")"),"Mado Granzort")</f>
        <v>Mado Granzort</v>
      </c>
      <c r="F364" s="4" t="str">
        <f ca="1">IFERROR(__xludf.DUMMYFUNCTION("GOOGLETRANSLATE(C364,""ja"",""vi"")"),"Đấu giá&gt; truyện tranh, phim hoạt hình hàng hóa&gt; bức tranh di động&gt; hoặc hàng&gt; Mado Granzort")</f>
        <v>Đấu giá&gt; truyện tranh, phim hoạt hình hàng hóa&gt; bức tranh di động&gt; hoặc hàng&gt; Mado Granzort</v>
      </c>
      <c r="G364" t="str">
        <f t="shared" ca="1" si="5"/>
        <v>"2084035789" : "Mado Granzort",</v>
      </c>
    </row>
    <row r="365" spans="1:7" ht="14.25" customHeight="1">
      <c r="A365" s="2">
        <v>2084035793</v>
      </c>
      <c r="B365" s="2" t="s">
        <v>1549</v>
      </c>
      <c r="C365" s="2" t="s">
        <v>2456</v>
      </c>
      <c r="D365" s="2" t="s">
        <v>2459</v>
      </c>
      <c r="E365" s="4" t="str">
        <f ca="1">IFERROR(__xludf.DUMMYFUNCTION("GOOGLETRANSLATE(B365,""ja"",""vi"")"),"Sự kỳ diệu của giai đoạn Fancy Lala")</f>
        <v>Sự kỳ diệu của giai đoạn Fancy Lala</v>
      </c>
      <c r="F365" s="4" t="str">
        <f ca="1">IFERROR(__xludf.DUMMYFUNCTION("GOOGLETRANSLATE(C365,""ja"",""vi"")"),"Đấu giá&gt; truyện tranh, phim hoạt hình hàng hóa&gt; bức tranh di động&gt; hoặc hàng&gt; kỳ diệu của giai đoạn Fancy Lala")</f>
        <v>Đấu giá&gt; truyện tranh, phim hoạt hình hàng hóa&gt; bức tranh di động&gt; hoặc hàng&gt; kỳ diệu của giai đoạn Fancy Lala</v>
      </c>
      <c r="G365" t="str">
        <f t="shared" ca="1" si="5"/>
        <v>"2084035793" : "Sự kỳ diệu của giai đoạn Fancy Lala",</v>
      </c>
    </row>
    <row r="366" spans="1:7" ht="14.25" customHeight="1">
      <c r="A366" s="2">
        <v>2084035795</v>
      </c>
      <c r="B366" s="2" t="s">
        <v>1554</v>
      </c>
      <c r="C366" s="2" t="s">
        <v>2463</v>
      </c>
      <c r="D366" s="2" t="s">
        <v>2464</v>
      </c>
      <c r="E366" s="4" t="str">
        <f ca="1">IFERROR(__xludf.DUMMYFUNCTION("GOOGLETRANSLATE(B366,""ja"",""vi"")"),"Magical công chúa Minky Momo")</f>
        <v>Magical công chúa Minky Momo</v>
      </c>
      <c r="F366" s="4" t="str">
        <f ca="1">IFERROR(__xludf.DUMMYFUNCTION("GOOGLETRANSLATE(C366,""ja"",""vi"")"),"Đấu giá&gt; truyện tranh, phim hoạt hình hàng hóa&gt; bức tranh di động&gt; hoặc hàng&gt; Magical công chúa Minky Momo")</f>
        <v>Đấu giá&gt; truyện tranh, phim hoạt hình hàng hóa&gt; bức tranh di động&gt; hoặc hàng&gt; Magical công chúa Minky Momo</v>
      </c>
      <c r="G366" t="str">
        <f t="shared" ca="1" si="5"/>
        <v>"2084035795" : "Magical công chúa Minky Momo",</v>
      </c>
    </row>
    <row r="367" spans="1:7" ht="14.25" customHeight="1">
      <c r="A367" s="2">
        <v>2084035794</v>
      </c>
      <c r="B367" s="2" t="s">
        <v>1561</v>
      </c>
      <c r="C367" s="2" t="s">
        <v>2471</v>
      </c>
      <c r="D367" s="2" t="s">
        <v>2473</v>
      </c>
      <c r="E367" s="4" t="str">
        <f ca="1">IFERROR(__xludf.DUMMYFUNCTION("GOOGLETRANSLATE(B367,""ja"",""vi"")"),"Magical Thiên thần Kem Mami")</f>
        <v>Magical Thiên thần Kem Mami</v>
      </c>
      <c r="F367" s="4" t="str">
        <f ca="1">IFERROR(__xludf.DUMMYFUNCTION("GOOGLETRANSLATE(C367,""ja"",""vi"")"),"Đấu giá&gt; truyện tranh, phim hoạt hình hàng hóa&gt; bức tranh di động&gt; hoặc hàng&gt; Magical Thiên thần Kem Mami")</f>
        <v>Đấu giá&gt; truyện tranh, phim hoạt hình hàng hóa&gt; bức tranh di động&gt; hoặc hàng&gt; Magical Thiên thần Kem Mami</v>
      </c>
      <c r="G367" t="str">
        <f t="shared" ca="1" si="5"/>
        <v>"2084035794" : "Magical Thiên thần Kem Mami",</v>
      </c>
    </row>
    <row r="368" spans="1:7" ht="14.25" customHeight="1">
      <c r="A368" s="2">
        <v>2084035783</v>
      </c>
      <c r="B368" s="2" t="s">
        <v>1565</v>
      </c>
      <c r="C368" s="2" t="s">
        <v>2480</v>
      </c>
      <c r="D368" s="2" t="s">
        <v>2481</v>
      </c>
      <c r="E368" s="4" t="str">
        <f ca="1">IFERROR(__xludf.DUMMYFUNCTION("GOOGLETRANSLATE(B368,""ja"",""vi"")"),"Magic Knight Rayearth")</f>
        <v>Magic Knight Rayearth</v>
      </c>
      <c r="F368" s="4" t="str">
        <f ca="1">IFERROR(__xludf.DUMMYFUNCTION("GOOGLETRANSLATE(C368,""ja"",""vi"")"),"Đấu giá&gt; truyện tranh, phim hoạt hình hàng hóa&gt; bức tranh di động&gt; hoặc hàng&gt; Magic Knight Rayearth")</f>
        <v>Đấu giá&gt; truyện tranh, phim hoạt hình hàng hóa&gt; bức tranh di động&gt; hoặc hàng&gt; Magic Knight Rayearth</v>
      </c>
      <c r="G368" t="str">
        <f t="shared" ca="1" si="5"/>
        <v>"2084035783" : "Magic Knight Rayearth",</v>
      </c>
    </row>
    <row r="369" spans="1:7" ht="14.25" customHeight="1">
      <c r="A369" s="2">
        <v>2084035790</v>
      </c>
      <c r="B369" s="2" t="s">
        <v>1581</v>
      </c>
      <c r="C369" s="2" t="s">
        <v>2486</v>
      </c>
      <c r="D369" s="2" t="s">
        <v>2488</v>
      </c>
      <c r="E369" s="4" t="str">
        <f ca="1">IFERROR(__xludf.DUMMYFUNCTION("GOOGLETRANSLATE(B369,""ja"",""vi"")"),"Magical Girl Khá Sammy")</f>
        <v>Magical Girl Khá Sammy</v>
      </c>
      <c r="F369" s="4" t="str">
        <f ca="1">IFERROR(__xludf.DUMMYFUNCTION("GOOGLETRANSLATE(C369,""ja"",""vi"")"),"Đấu giá&gt; truyện tranh, phim hoạt hình hàng hóa&gt; bức tranh di động&gt; hoặc hàng&gt; Magical Girl Khá Sammy")</f>
        <v>Đấu giá&gt; truyện tranh, phim hoạt hình hàng hóa&gt; bức tranh di động&gt; hoặc hàng&gt; Magical Girl Khá Sammy</v>
      </c>
      <c r="G369" t="str">
        <f t="shared" ca="1" si="5"/>
        <v>"2084035790" : "Magical Girl Khá Sammy",</v>
      </c>
    </row>
    <row r="370" spans="1:7" ht="14.25" customHeight="1">
      <c r="A370" s="2">
        <v>2084035791</v>
      </c>
      <c r="B370" s="2" t="s">
        <v>1593</v>
      </c>
      <c r="C370" s="2" t="s">
        <v>2494</v>
      </c>
      <c r="D370" s="2" t="s">
        <v>2495</v>
      </c>
      <c r="E370" s="4" t="str">
        <f ca="1">IFERROR(__xludf.DUMMYFUNCTION("GOOGLETRANSLATE(B370,""ja"",""vi"")"),"magic tròn")</f>
        <v>magic tròn</v>
      </c>
      <c r="F370" s="4" t="str">
        <f ca="1">IFERROR(__xludf.DUMMYFUNCTION("GOOGLETRANSLATE(C370,""ja"",""vi"")"),"Đấu giá&gt; truyện tranh, phim hoạt hình hàng hóa&gt; bức tranh di động&gt; hoặc hàng&gt; tròn ma thuật")</f>
        <v>Đấu giá&gt; truyện tranh, phim hoạt hình hàng hóa&gt; bức tranh di động&gt; hoặc hàng&gt; tròn ma thuật</v>
      </c>
      <c r="G370" t="str">
        <f t="shared" ca="1" si="5"/>
        <v>"2084035791" : "magic tròn",</v>
      </c>
    </row>
    <row r="371" spans="1:7" ht="14.25" customHeight="1">
      <c r="A371" s="2">
        <v>2084035799</v>
      </c>
      <c r="B371" s="2" t="s">
        <v>1599</v>
      </c>
      <c r="C371" s="2" t="s">
        <v>2505</v>
      </c>
      <c r="D371" s="2" t="s">
        <v>2506</v>
      </c>
      <c r="E371" s="4" t="str">
        <f ca="1">IFERROR(__xludf.DUMMYFUNCTION("GOOGLETRANSLATE(B371,""ja"",""vi"")"),"Future Boy Conan")</f>
        <v>Future Boy Conan</v>
      </c>
      <c r="F371" s="4" t="str">
        <f ca="1">IFERROR(__xludf.DUMMYFUNCTION("GOOGLETRANSLATE(C371,""ja"",""vi"")"),"Đấu giá&gt; truyện tranh, phim hoạt hình hàng hóa&gt; bức tranh di động&gt; hoặc hàng&gt; Future Boy Conan")</f>
        <v>Đấu giá&gt; truyện tranh, phim hoạt hình hàng hóa&gt; bức tranh di động&gt; hoặc hàng&gt; Future Boy Conan</v>
      </c>
      <c r="G371" t="str">
        <f t="shared" ca="1" si="5"/>
        <v>"2084035799" : "Future Boy Conan",</v>
      </c>
    </row>
    <row r="372" spans="1:7" ht="14.25" customHeight="1">
      <c r="A372" s="2">
        <v>2084035803</v>
      </c>
      <c r="B372" s="2" t="s">
        <v>1606</v>
      </c>
      <c r="C372" s="2" t="s">
        <v>2511</v>
      </c>
      <c r="D372" s="2" t="s">
        <v>2513</v>
      </c>
      <c r="E372" s="4" t="str">
        <f ca="1">IFERROR(__xludf.DUMMYFUNCTION("GOOGLETRANSLATE(B372,""ja"",""vi"")"),"thám tử Conan")</f>
        <v>thám tử Conan</v>
      </c>
      <c r="F372" s="4" t="str">
        <f ca="1">IFERROR(__xludf.DUMMYFUNCTION("GOOGLETRANSLATE(C372,""ja"",""vi"")"),"Đấu giá&gt; truyện tranh, phim hoạt hình hàng hóa&gt; bức tranh di động&gt; hoặc hàng&gt; Detective Conan")</f>
        <v>Đấu giá&gt; truyện tranh, phim hoạt hình hàng hóa&gt; bức tranh di động&gt; hoặc hàng&gt; Detective Conan</v>
      </c>
      <c r="G372" t="str">
        <f t="shared" ca="1" si="5"/>
        <v>"2084035803" : "thám tử Conan",</v>
      </c>
    </row>
    <row r="373" spans="1:7" ht="14.25" customHeight="1">
      <c r="A373" s="2">
        <v>2084035781</v>
      </c>
      <c r="B373" s="2" t="s">
        <v>46</v>
      </c>
      <c r="C373" s="2" t="s">
        <v>2518</v>
      </c>
      <c r="D373" s="2" t="s">
        <v>2520</v>
      </c>
      <c r="E373" s="4" t="str">
        <f ca="1">IFERROR(__xludf.DUMMYFUNCTION("GOOGLETRANSLATE(B373,""ja"",""vi"")"),"nếu không thì")</f>
        <v>nếu không thì</v>
      </c>
      <c r="F373" s="4" t="str">
        <f ca="1">IFERROR(__xludf.DUMMYFUNCTION("GOOGLETRANSLATE(C373,""ja"",""vi"")"),"Đấu giá&gt; truyện tranh, phim hoạt hình hàng hóa&gt; bức tranh di động&gt; hoặc hàng&gt; Khác")</f>
        <v>Đấu giá&gt; truyện tranh, phim hoạt hình hàng hóa&gt; bức tranh di động&gt; hoặc hàng&gt; Khác</v>
      </c>
      <c r="G373" t="str">
        <f t="shared" ca="1" si="5"/>
        <v>"2084035781" : "nếu không thì",</v>
      </c>
    </row>
    <row r="374" spans="1:7" ht="14.25" customHeight="1">
      <c r="A374" s="2">
        <v>2084035984</v>
      </c>
      <c r="B374" s="2" t="s">
        <v>1613</v>
      </c>
      <c r="C374" s="2" t="s">
        <v>2526</v>
      </c>
      <c r="D374" s="2" t="s">
        <v>2527</v>
      </c>
      <c r="E374" s="4" t="str">
        <f ca="1">IFERROR(__xludf.DUMMYFUNCTION("GOOGLETRANSLATE(B374,""ja"",""vi"")"),"UFO Robot Grendizer")</f>
        <v>UFO Robot Grendizer</v>
      </c>
      <c r="F374" s="4" t="str">
        <f ca="1">IFERROR(__xludf.DUMMYFUNCTION("GOOGLETRANSLATE(C374,""ja"",""vi"")"),"Đấu giá&gt; truyện tranh, phim hoạt hình hàng hóa&gt; bức tranh di động&gt; hoặc hàng&gt; UFO Robo Grendizer")</f>
        <v>Đấu giá&gt; truyện tranh, phim hoạt hình hàng hóa&gt; bức tranh di động&gt; hoặc hàng&gt; UFO Robo Grendizer</v>
      </c>
      <c r="G374" t="str">
        <f t="shared" ca="1" si="5"/>
        <v>"2084035984" : "UFO Robot Grendizer",</v>
      </c>
    </row>
    <row r="375" spans="1:7" ht="14.25" customHeight="1">
      <c r="A375" s="2">
        <v>2084035979</v>
      </c>
      <c r="B375" s="2" t="s">
        <v>1619</v>
      </c>
      <c r="C375" s="2" t="s">
        <v>2535</v>
      </c>
      <c r="D375" s="2" t="s">
        <v>2536</v>
      </c>
      <c r="E375" s="4" t="str">
        <f ca="1">IFERROR(__xludf.DUMMYFUNCTION("GOOGLETRANSLATE(B375,""ja"",""vi"")"),"YAWARA!")</f>
        <v>YAWARA!</v>
      </c>
      <c r="F375" s="4" t="str">
        <f ca="1">IFERROR(__xludf.DUMMYFUNCTION("GOOGLETRANSLATE(C375,""ja"",""vi"")"),"Đấu giá&gt; truyện tranh, phim hoạt hình hàng hóa&gt; bức tranh di động&gt; hoặc hàng&gt; YAWARA!")</f>
        <v>Đấu giá&gt; truyện tranh, phim hoạt hình hàng hóa&gt; bức tranh di động&gt; hoặc hàng&gt; YAWARA!</v>
      </c>
      <c r="G375" t="str">
        <f t="shared" ca="1" si="5"/>
        <v>"2084035979" : "YAWARA!",</v>
      </c>
    </row>
    <row r="376" spans="1:7" ht="14.25" customHeight="1">
      <c r="A376" s="2">
        <v>2084035986</v>
      </c>
      <c r="B376" s="2" t="s">
        <v>1638</v>
      </c>
      <c r="C376" s="2" t="s">
        <v>2542</v>
      </c>
      <c r="D376" s="2" t="s">
        <v>2545</v>
      </c>
      <c r="E376" s="4" t="str">
        <f ca="1">IFERROR(__xludf.DUMMYFUNCTION("GOOGLETRANSLATE(B376,""ja"",""vi"")"),"Ronin chiến binh")</f>
        <v>Ronin chiến binh</v>
      </c>
      <c r="F376" s="4" t="str">
        <f ca="1">IFERROR(__xludf.DUMMYFUNCTION("GOOGLETRANSLATE(C376,""ja"",""vi"")"),"Đấu giá&gt; truyện tranh, phim hoạt hình hàng hóa&gt; bức tranh di động&gt; hoặc hàng&gt; Ronin chiến binh")</f>
        <v>Đấu giá&gt; truyện tranh, phim hoạt hình hàng hóa&gt; bức tranh di động&gt; hoặc hàng&gt; Ronin chiến binh</v>
      </c>
      <c r="G376" t="str">
        <f t="shared" ca="1" si="5"/>
        <v>"2084035986" : "Ronin chiến binh",</v>
      </c>
    </row>
    <row r="377" spans="1:7" ht="14.25" customHeight="1">
      <c r="A377" s="2">
        <v>2084035980</v>
      </c>
      <c r="B377" s="2" t="s">
        <v>1661</v>
      </c>
      <c r="C377" s="2" t="s">
        <v>2551</v>
      </c>
      <c r="D377" s="2" t="s">
        <v>2552</v>
      </c>
      <c r="E377" s="4" t="str">
        <f ca="1">IFERROR(__xludf.DUMMYFUNCTION("GOOGLETRANSLATE(B377,""ja"",""vi"")"),"Gaogaigar")</f>
        <v>Gaogaigar</v>
      </c>
      <c r="F377" s="4" t="str">
        <f ca="1">IFERROR(__xludf.DUMMYFUNCTION("GOOGLETRANSLATE(C377,""ja"",""vi"")"),"Đấu giá&gt; truyện tranh, phim hoạt hình hàng hóa&gt; bức tranh di động&gt; hoặc hàng&gt; Gaogaigar")</f>
        <v>Đấu giá&gt; truyện tranh, phim hoạt hình hàng hóa&gt; bức tranh di động&gt; hoặc hàng&gt; Gaogaigar</v>
      </c>
      <c r="G377" t="str">
        <f t="shared" ca="1" si="5"/>
        <v>"2084035980" : "Gaogaigar",</v>
      </c>
    </row>
    <row r="378" spans="1:7" ht="14.25" customHeight="1">
      <c r="A378" s="2">
        <v>2084035981</v>
      </c>
      <c r="B378" s="2" t="s">
        <v>1666</v>
      </c>
      <c r="C378" s="2" t="s">
        <v>2557</v>
      </c>
      <c r="D378" s="2" t="s">
        <v>2560</v>
      </c>
      <c r="E378" s="4" t="str">
        <f ca="1">IFERROR(__xludf.DUMMYFUNCTION("GOOGLETRANSLATE(B378,""ja"",""vi"")"),"Brave Police J-Decker")</f>
        <v>Brave Police J-Decker</v>
      </c>
      <c r="F378" s="4" t="str">
        <f ca="1">IFERROR(__xludf.DUMMYFUNCTION("GOOGLETRANSLATE(C378,""ja"",""vi"")"),"Đấu giá&gt; truyện tranh, phim hoạt hình hàng hóa&gt; bức tranh di động&gt; hoặc hàng&gt; Brave Police J-Decker")</f>
        <v>Đấu giá&gt; truyện tranh, phim hoạt hình hàng hóa&gt; bức tranh di động&gt; hoặc hàng&gt; Brave Police J-Decker</v>
      </c>
      <c r="G378" t="str">
        <f t="shared" ca="1" si="5"/>
        <v>"2084035981" : "Brave Police J-Decker",</v>
      </c>
    </row>
    <row r="379" spans="1:7" ht="14.25" customHeight="1">
      <c r="A379" s="2">
        <v>2084035982</v>
      </c>
      <c r="B379" s="2" t="s">
        <v>1673</v>
      </c>
      <c r="C379" s="2" t="s">
        <v>2567</v>
      </c>
      <c r="D379" s="2" t="s">
        <v>2569</v>
      </c>
      <c r="E379" s="4" t="str">
        <f ca="1">IFERROR(__xludf.DUMMYFUNCTION("GOOGLETRANSLATE(B379,""ja"",""vi"")"),"Brave huy Daguon")</f>
        <v>Brave huy Daguon</v>
      </c>
      <c r="F379" s="4" t="str">
        <f ca="1">IFERROR(__xludf.DUMMYFUNCTION("GOOGLETRANSLATE(C379,""ja"",""vi"")"),"Đấu giá&gt; truyện tranh, phim hoạt hình hàng hóa&gt; bức tranh di động&gt; hoặc hàng&gt; chỉ huy dũng cảm Daguon")</f>
        <v>Đấu giá&gt; truyện tranh, phim hoạt hình hàng hóa&gt; bức tranh di động&gt; hoặc hàng&gt; chỉ huy dũng cảm Daguon</v>
      </c>
      <c r="G379" t="str">
        <f t="shared" ca="1" si="5"/>
        <v>"2084035982" : "Brave huy Daguon",</v>
      </c>
    </row>
    <row r="380" spans="1:7" ht="14.25" customHeight="1">
      <c r="A380" s="2">
        <v>2084035983</v>
      </c>
      <c r="B380" s="2" t="s">
        <v>1679</v>
      </c>
      <c r="C380" s="2" t="s">
        <v>2574</v>
      </c>
      <c r="D380" s="2" t="s">
        <v>2575</v>
      </c>
      <c r="E380" s="4" t="str">
        <f ca="1">IFERROR(__xludf.DUMMYFUNCTION("GOOGLETRANSLATE(B380,""ja"",""vi"")"),"The Brave nhanh Might Gaine")</f>
        <v>The Brave nhanh Might Gaine</v>
      </c>
      <c r="F380" s="4" t="str">
        <f ca="1">IFERROR(__xludf.DUMMYFUNCTION("GOOGLETRANSLATE(C380,""ja"",""vi"")"),"Đấu giá&gt; truyện tranh, phim hoạt hình hàng hóa&gt; bức tranh di động&gt; hoặc hàng&gt; The Brave nhanh Might Gaine")</f>
        <v>Đấu giá&gt; truyện tranh, phim hoạt hình hàng hóa&gt; bức tranh di động&gt; hoặc hàng&gt; The Brave nhanh Might Gaine</v>
      </c>
      <c r="G380" t="str">
        <f t="shared" ca="1" si="5"/>
        <v>"2084035983" : "The Brave nhanh Might Gaine",</v>
      </c>
    </row>
    <row r="381" spans="1:7" ht="14.25" customHeight="1">
      <c r="A381" s="2">
        <v>2084035985</v>
      </c>
      <c r="B381" s="2" t="s">
        <v>1684</v>
      </c>
      <c r="C381" s="2" t="s">
        <v>2580</v>
      </c>
      <c r="D381" s="2" t="s">
        <v>2582</v>
      </c>
      <c r="E381" s="4" t="str">
        <f ca="1">IFERROR(__xludf.DUMMYFUNCTION("GOOGLETRANSLATE(B381,""ja"",""vi"")"),"Yu Yu Hakusho")</f>
        <v>Yu Yu Hakusho</v>
      </c>
      <c r="F381" s="4" t="str">
        <f ca="1">IFERROR(__xludf.DUMMYFUNCTION("GOOGLETRANSLATE(C381,""ja"",""vi"")"),"Đấu giá&gt; truyện tranh, phim hoạt hình hàng hóa&gt; bức tranh di động&gt; hoặc hàng&gt; Yu Yu Hakusho")</f>
        <v>Đấu giá&gt; truyện tranh, phim hoạt hình hàng hóa&gt; bức tranh di động&gt; hoặc hàng&gt; Yu Yu Hakusho</v>
      </c>
      <c r="G381" t="str">
        <f t="shared" ca="1" si="5"/>
        <v>"2084035985" : "Yu Yu Hakusho",</v>
      </c>
    </row>
    <row r="382" spans="1:7" ht="14.25" customHeight="1">
      <c r="A382" s="2">
        <v>2084035978</v>
      </c>
      <c r="B382" s="2" t="s">
        <v>46</v>
      </c>
      <c r="C382" s="2" t="s">
        <v>2585</v>
      </c>
      <c r="D382" s="2" t="s">
        <v>2588</v>
      </c>
      <c r="E382" s="4" t="str">
        <f ca="1">IFERROR(__xludf.DUMMYFUNCTION("GOOGLETRANSLATE(B382,""ja"",""vi"")"),"nếu không thì")</f>
        <v>nếu không thì</v>
      </c>
      <c r="F382" s="4" t="str">
        <f ca="1">IFERROR(__xludf.DUMMYFUNCTION("GOOGLETRANSLATE(C382,""ja"",""vi"")"),"Đấu giá&gt; truyện tranh, phim hoạt hình hàng hóa&gt; bức tranh di động&gt; hoặc hàng&gt; Khác")</f>
        <v>Đấu giá&gt; truyện tranh, phim hoạt hình hàng hóa&gt; bức tranh di động&gt; hoặc hàng&gt; Khác</v>
      </c>
      <c r="G382" t="str">
        <f t="shared" ca="1" si="5"/>
        <v>"2084035978" : "nếu không thì",</v>
      </c>
    </row>
    <row r="383" spans="1:7" ht="14.25" customHeight="1">
      <c r="A383" s="2">
        <v>2084036056</v>
      </c>
      <c r="B383" s="2" t="s">
        <v>1702</v>
      </c>
      <c r="C383" s="2" t="s">
        <v>2592</v>
      </c>
      <c r="D383" s="2" t="s">
        <v>2595</v>
      </c>
      <c r="E383" s="4" t="str">
        <f ca="1">IFERROR(__xludf.DUMMYFUNCTION("GOOGLETRANSLATE(B383,""ja"",""vi"")"),"Ranma 1/2")</f>
        <v>Ranma 1/2</v>
      </c>
      <c r="F383" s="4" t="str">
        <f ca="1">IFERROR(__xludf.DUMMYFUNCTION("GOOGLETRANSLATE(C383,""ja"",""vi"")"),"Đấu giá&gt; truyện tranh, phim hoạt hình hàng hóa&gt; bức tranh di động&gt; Racovian&gt; Ranma 1/2")</f>
        <v>Đấu giá&gt; truyện tranh, phim hoạt hình hàng hóa&gt; bức tranh di động&gt; Racovian&gt; Ranma 1/2</v>
      </c>
      <c r="G383" t="str">
        <f t="shared" ca="1" si="5"/>
        <v>"2084036056" : "Ranma 1/2",</v>
      </c>
    </row>
    <row r="384" spans="1:7" ht="14.25" customHeight="1">
      <c r="A384" s="2">
        <v>2084036059</v>
      </c>
      <c r="B384" s="2" t="s">
        <v>1709</v>
      </c>
      <c r="C384" s="2" t="s">
        <v>2598</v>
      </c>
      <c r="D384" s="2" t="s">
        <v>2600</v>
      </c>
      <c r="E384" s="4" t="str">
        <f ca="1">IFERROR(__xludf.DUMMYFUNCTION("GOOGLETRANSLATE(B384,""ja"",""vi"")"),"Rurouni Kenshin")</f>
        <v>Rurouni Kenshin</v>
      </c>
      <c r="F384" s="4" t="str">
        <f ca="1">IFERROR(__xludf.DUMMYFUNCTION("GOOGLETRANSLATE(C384,""ja"",""vi"")"),"Đấu giá&gt; truyện tranh, phim hoạt hình hàng hóa&gt; bức tranh di động&gt; Racovian&gt; Rurouni Kenshin")</f>
        <v>Đấu giá&gt; truyện tranh, phim hoạt hình hàng hóa&gt; bức tranh di động&gt; Racovian&gt; Rurouni Kenshin</v>
      </c>
      <c r="G384" t="str">
        <f t="shared" ca="1" si="5"/>
        <v>"2084036059" : "Rurouni Kenshin",</v>
      </c>
    </row>
    <row r="385" spans="1:7" ht="14.25" customHeight="1">
      <c r="A385" s="2">
        <v>2084036053</v>
      </c>
      <c r="B385" s="2" t="s">
        <v>1714</v>
      </c>
      <c r="C385" s="2" t="s">
        <v>2603</v>
      </c>
      <c r="D385" s="2" t="s">
        <v>2605</v>
      </c>
      <c r="E385" s="4" t="str">
        <f ca="1">IFERROR(__xludf.DUMMYFUNCTION("GOOGLETRANSLATE(B385,""ja"",""vi"")"),"Reideen")</f>
        <v>Reideen</v>
      </c>
      <c r="F385" s="4" t="str">
        <f ca="1">IFERROR(__xludf.DUMMYFUNCTION("GOOGLETRANSLATE(C385,""ja"",""vi"")"),"Đấu giá&gt; truyện tranh, phim hoạt hình hàng hóa&gt; bức tranh di động&gt; Racovian&gt; Reideen")</f>
        <v>Đấu giá&gt; truyện tranh, phim hoạt hình hàng hóa&gt; bức tranh di động&gt; Racovian&gt; Reideen</v>
      </c>
      <c r="G385" t="str">
        <f t="shared" ca="1" si="5"/>
        <v>"2084036053" : "Reideen",</v>
      </c>
    </row>
    <row r="386" spans="1:7" ht="14.25" customHeight="1">
      <c r="A386" s="2">
        <v>2084036055</v>
      </c>
      <c r="B386" s="2" t="s">
        <v>1726</v>
      </c>
      <c r="C386" s="2" t="s">
        <v>2608</v>
      </c>
      <c r="D386" s="2" t="s">
        <v>2610</v>
      </c>
      <c r="E386" s="4" t="str">
        <f ca="1">IFERROR(__xludf.DUMMYFUNCTION("GOOGLETRANSLATE(B386,""ja"",""vi"")"),"Ramune &amp; 40")</f>
        <v>Ramune &amp; 40</v>
      </c>
      <c r="F386" s="4" t="str">
        <f ca="1">IFERROR(__xludf.DUMMYFUNCTION("GOOGLETRANSLATE(C386,""ja"",""vi"")"),"Đấu giá&gt; truyện tranh, phim hoạt hình hàng hóa&gt; bức tranh di động&gt; Racovian&gt; Ramune &amp; 40")</f>
        <v>Đấu giá&gt; truyện tranh, phim hoạt hình hàng hóa&gt; bức tranh di động&gt; Racovian&gt; Ramune &amp; 40</v>
      </c>
      <c r="G386" t="str">
        <f t="shared" ca="1" si="5"/>
        <v>"2084036055" : "Ramune &amp; 40",</v>
      </c>
    </row>
    <row r="387" spans="1:7" ht="14.25" customHeight="1">
      <c r="A387" s="2">
        <v>2084036057</v>
      </c>
      <c r="B387" s="2" t="s">
        <v>1733</v>
      </c>
      <c r="C387" s="2" t="s">
        <v>2615</v>
      </c>
      <c r="D387" s="2" t="s">
        <v>2616</v>
      </c>
      <c r="E387" s="4" t="str">
        <f ca="1">IFERROR(__xludf.DUMMYFUNCTION("GOOGLETRANSLATE(B387,""ja"",""vi"")"),"princess knight")</f>
        <v>princess knight</v>
      </c>
      <c r="F387" s="4" t="str">
        <f ca="1">IFERROR(__xludf.DUMMYFUNCTION("GOOGLETRANSLATE(C387,""ja"",""vi"")"),"Đấu giá&gt; truyện tranh, phim hoạt hình hàng hóa&gt; bức tranh di động&gt; Racovian&gt; Princess Knight")</f>
        <v>Đấu giá&gt; truyện tranh, phim hoạt hình hàng hóa&gt; bức tranh di động&gt; Racovian&gt; Princess Knight</v>
      </c>
      <c r="G387" t="str">
        <f t="shared" ref="G387:G450" ca="1" si="6">CONCATENATE(CHAR(34)&amp;"",A387,""&amp;CHAR(34)," : ", CHAR(34)&amp;"",E387,""&amp;CHAR(34),",")</f>
        <v>"2084036057" : "princess knight",</v>
      </c>
    </row>
    <row r="388" spans="1:7" ht="14.25" customHeight="1">
      <c r="A388" s="2">
        <v>2084036058</v>
      </c>
      <c r="B388" s="2" t="s">
        <v>1740</v>
      </c>
      <c r="C388" s="2" t="s">
        <v>2621</v>
      </c>
      <c r="D388" s="2" t="s">
        <v>2622</v>
      </c>
      <c r="E388" s="4" t="str">
        <f ca="1">IFERROR(__xludf.DUMMYFUNCTION("GOOGLETRANSLATE(B388,""ja"",""vi"")"),"Lupin III")</f>
        <v>Lupin III</v>
      </c>
      <c r="F388" s="4" t="str">
        <f ca="1">IFERROR(__xludf.DUMMYFUNCTION("GOOGLETRANSLATE(C388,""ja"",""vi"")"),"Đấu giá&gt; truyện tranh, phim hoạt hình hàng hóa&gt; bức tranh di động&gt; Racovian&gt; Lupin the Third")</f>
        <v>Đấu giá&gt; truyện tranh, phim hoạt hình hàng hóa&gt; bức tranh di động&gt; Racovian&gt; Lupin the Third</v>
      </c>
      <c r="G388" t="str">
        <f t="shared" ca="1" si="6"/>
        <v>"2084036058" : "Lupin III",</v>
      </c>
    </row>
    <row r="389" spans="1:7" ht="14.25" customHeight="1">
      <c r="A389" s="2">
        <v>2084036060</v>
      </c>
      <c r="B389" s="2" t="s">
        <v>1762</v>
      </c>
      <c r="C389" s="2" t="s">
        <v>2626</v>
      </c>
      <c r="D389" s="2" t="s">
        <v>2628</v>
      </c>
      <c r="E389" s="4" t="str">
        <f ca="1">IFERROR(__xludf.DUMMYFUNCTION("GOOGLETRANSLATE(B389,""ja"",""vi"")"),"Record of Lodoss War")</f>
        <v>Record of Lodoss War</v>
      </c>
      <c r="F389" s="4" t="str">
        <f ca="1">IFERROR(__xludf.DUMMYFUNCTION("GOOGLETRANSLATE(C389,""ja"",""vi"")"),"Đấu giá&gt; truyện tranh, phim hoạt hình hàng hóa&gt; bức tranh di động&gt; Racovian&gt; Rhodes Senki")</f>
        <v>Đấu giá&gt; truyện tranh, phim hoạt hình hàng hóa&gt; bức tranh di động&gt; Racovian&gt; Rhodes Senki</v>
      </c>
      <c r="G389" t="str">
        <f t="shared" ca="1" si="6"/>
        <v>"2084036060" : "Record of Lodoss War",</v>
      </c>
    </row>
    <row r="390" spans="1:7" ht="14.25" customHeight="1">
      <c r="A390" s="2">
        <v>2084036061</v>
      </c>
      <c r="B390" s="2" t="s">
        <v>1775</v>
      </c>
      <c r="C390" s="2" t="s">
        <v>2633</v>
      </c>
      <c r="D390" s="2" t="s">
        <v>2635</v>
      </c>
      <c r="E390" s="4" t="str">
        <f ca="1">IFERROR(__xludf.DUMMYFUNCTION("GOOGLETRANSLATE(B390,""ja"",""vi"")"),"Godmars")</f>
        <v>Godmars</v>
      </c>
      <c r="F390" s="4" t="str">
        <f ca="1">IFERROR(__xludf.DUMMYFUNCTION("GOOGLETRANSLATE(C390,""ja"",""vi"")"),"Đấu giá&gt; truyện tranh, phim hoạt hình hàng hóa&gt; bức tranh di động&gt; Racovian&gt; Godmars")</f>
        <v>Đấu giá&gt; truyện tranh, phim hoạt hình hàng hóa&gt; bức tranh di động&gt; Racovian&gt; Godmars</v>
      </c>
      <c r="G390" t="str">
        <f t="shared" ca="1" si="6"/>
        <v>"2084036061" : "Godmars",</v>
      </c>
    </row>
    <row r="391" spans="1:7" ht="14.25" customHeight="1">
      <c r="A391" s="2">
        <v>2084036062</v>
      </c>
      <c r="B391" s="2" t="s">
        <v>1783</v>
      </c>
      <c r="C391" s="2" t="s">
        <v>2640</v>
      </c>
      <c r="D391" s="2" t="s">
        <v>2643</v>
      </c>
      <c r="E391" s="4" t="str">
        <f ca="1">IFERROR(__xludf.DUMMYFUNCTION("GOOGLETRANSLATE(B391,""ja"",""vi"")"),"Môn Colle Knights")</f>
        <v>Môn Colle Knights</v>
      </c>
      <c r="F391" s="4" t="str">
        <f ca="1">IFERROR(__xludf.DUMMYFUNCTION("GOOGLETRANSLATE(C391,""ja"",""vi"")"),"Đấu giá&gt; truyện tranh, phim hoạt hình hàng hóa&gt; bức tranh di động&gt; Racovian&gt; Môn Colle Knights")</f>
        <v>Đấu giá&gt; truyện tranh, phim hoạt hình hàng hóa&gt; bức tranh di động&gt; Racovian&gt; Môn Colle Knights</v>
      </c>
      <c r="G391" t="str">
        <f t="shared" ca="1" si="6"/>
        <v>"2084036062" : "Môn Colle Knights",</v>
      </c>
    </row>
    <row r="392" spans="1:7" ht="14.25" customHeight="1">
      <c r="A392" s="2">
        <v>2084036054</v>
      </c>
      <c r="B392" s="2" t="s">
        <v>46</v>
      </c>
      <c r="C392" s="2" t="s">
        <v>2646</v>
      </c>
      <c r="D392" s="2" t="s">
        <v>2648</v>
      </c>
      <c r="E392" s="4" t="str">
        <f ca="1">IFERROR(__xludf.DUMMYFUNCTION("GOOGLETRANSLATE(B392,""ja"",""vi"")"),"nếu không thì")</f>
        <v>nếu không thì</v>
      </c>
      <c r="F392" s="4" t="str">
        <f ca="1">IFERROR(__xludf.DUMMYFUNCTION("GOOGLETRANSLATE(C392,""ja"",""vi"")"),"Đấu giá&gt; truyện tranh, phim hoạt hình hàng hóa&gt; bức tranh di động&gt; Racovian&gt; Khác")</f>
        <v>Đấu giá&gt; truyện tranh, phim hoạt hình hàng hóa&gt; bức tranh di động&gt; Racovian&gt; Khác</v>
      </c>
      <c r="G392" t="str">
        <f t="shared" ca="1" si="6"/>
        <v>"2084036054" : "nếu không thì",</v>
      </c>
    </row>
    <row r="393" spans="1:7" ht="14.25" customHeight="1">
      <c r="A393" s="2">
        <v>2084036128</v>
      </c>
      <c r="B393" s="2" t="s">
        <v>1791</v>
      </c>
      <c r="C393" s="2" t="s">
        <v>2652</v>
      </c>
      <c r="D393" s="2" t="s">
        <v>2653</v>
      </c>
      <c r="E393" s="4" t="str">
        <f ca="1">IFERROR(__xludf.DUMMYFUNCTION("GOOGLETRANSLATE(B393,""ja"",""vi"")"),"ONE PIECE")</f>
        <v>ONE PIECE</v>
      </c>
      <c r="F393" s="4" t="str">
        <f ca="1">IFERROR(__xludf.DUMMYFUNCTION("GOOGLETRANSLATE(C393,""ja"",""vi"")"),"Đấu giá&gt; truyện tranh, phim hoạt hình hàng hóa&gt; bức tranh di động&gt; Tôi dòng&gt; ONE PIECE")</f>
        <v>Đấu giá&gt; truyện tranh, phim hoạt hình hàng hóa&gt; bức tranh di động&gt; Tôi dòng&gt; ONE PIECE</v>
      </c>
      <c r="G393" t="str">
        <f t="shared" ca="1" si="6"/>
        <v>"2084036128" : "ONE PIECE",</v>
      </c>
    </row>
    <row r="394" spans="1:7" ht="14.25" customHeight="1">
      <c r="A394" s="2">
        <v>2084036127</v>
      </c>
      <c r="B394" s="2" t="s">
        <v>46</v>
      </c>
      <c r="C394" s="2" t="s">
        <v>2658</v>
      </c>
      <c r="D394" s="2" t="s">
        <v>2660</v>
      </c>
      <c r="E394" s="4" t="str">
        <f ca="1">IFERROR(__xludf.DUMMYFUNCTION("GOOGLETRANSLATE(B394,""ja"",""vi"")"),"nếu không thì")</f>
        <v>nếu không thì</v>
      </c>
      <c r="F394" s="4" t="str">
        <f ca="1">IFERROR(__xludf.DUMMYFUNCTION("GOOGLETRANSLATE(C394,""ja"",""vi"")"),"Đấu giá&gt; truyện tranh, phim hoạt hình hàng hóa&gt; bức tranh di động&gt; Tôi dòng&gt; Khác")</f>
        <v>Đấu giá&gt; truyện tranh, phim hoạt hình hàng hóa&gt; bức tranh di động&gt; Tôi dòng&gt; Khác</v>
      </c>
      <c r="G394" t="str">
        <f t="shared" ca="1" si="6"/>
        <v>"2084036127" : "nếu không thì",</v>
      </c>
    </row>
    <row r="395" spans="1:7" ht="14.25" customHeight="1">
      <c r="A395" s="2">
        <v>2084040574</v>
      </c>
      <c r="B395" s="2" t="s">
        <v>2664</v>
      </c>
      <c r="C395" s="2" t="s">
        <v>2666</v>
      </c>
      <c r="D395" s="2" t="s">
        <v>2667</v>
      </c>
      <c r="E395" s="4" t="str">
        <f ca="1">IFERROR(__xludf.DUMMYFUNCTION("GOOGLETRANSLATE(B395,""ja"",""vi"")"),"AKIRA")</f>
        <v>AKIRA</v>
      </c>
      <c r="F395" s="4" t="str">
        <f ca="1">IFERROR(__xludf.DUMMYFUNCTION("GOOGLETRANSLATE(C395,""ja"",""vi"")"),"Đấu giá&gt; đồ chơi, trò chơi&gt; hình&gt; truyện tranh, hoạt hình&gt; AKIRA")</f>
        <v>Đấu giá&gt; đồ chơi, trò chơi&gt; hình&gt; truyện tranh, hoạt hình&gt; AKIRA</v>
      </c>
      <c r="G395" t="str">
        <f t="shared" ca="1" si="6"/>
        <v>"2084040574" : "AKIRA",</v>
      </c>
    </row>
    <row r="396" spans="1:7" ht="14.25" customHeight="1">
      <c r="A396" s="2">
        <v>2084305367</v>
      </c>
      <c r="B396" s="2" t="s">
        <v>2675</v>
      </c>
      <c r="C396" s="2" t="s">
        <v>2676</v>
      </c>
      <c r="D396" s="2" t="s">
        <v>2677</v>
      </c>
      <c r="E396" s="4" t="str">
        <f ca="1">IFERROR(__xludf.DUMMYFUNCTION("GOOGLETRANSLATE(B396,""ja"",""vi"")"),"IS &lt;Infinite Stratos&gt;")</f>
        <v>IS &lt;Infinite Stratos&gt;</v>
      </c>
      <c r="F396" s="4" t="str">
        <f ca="1">IFERROR(__xludf.DUMMYFUNCTION("GOOGLETRANSLATE(C396,""ja"",""vi"")"),"Đấu giá&gt; đồ chơi, trò chơi&gt; hình&gt; truyện tranh, hoạt hình&gt; IS &lt;Infinite Stratos&gt;")</f>
        <v>Đấu giá&gt; đồ chơi, trò chơi&gt; hình&gt; truyện tranh, hoạt hình&gt; IS &lt;Infinite Stratos&gt;</v>
      </c>
      <c r="G396" t="str">
        <f t="shared" ca="1" si="6"/>
        <v>"2084305367" : "IS &lt;Infinite Stratos&gt;",</v>
      </c>
    </row>
    <row r="397" spans="1:7" ht="14.25" customHeight="1">
      <c r="A397" s="2">
        <v>2084023784</v>
      </c>
      <c r="B397" s="2" t="s">
        <v>122</v>
      </c>
      <c r="C397" s="2" t="s">
        <v>2682</v>
      </c>
      <c r="D397" s="2" t="s">
        <v>2683</v>
      </c>
      <c r="E397" s="4" t="str">
        <f ca="1">IFERROR(__xludf.DUMMYFUNCTION("GOOGLETRANSLATE(B397,""ja"",""vi"")"),"Urusei Yatsura")</f>
        <v>Urusei Yatsura</v>
      </c>
      <c r="F397" s="4" t="str">
        <f ca="1">IFERROR(__xludf.DUMMYFUNCTION("GOOGLETRANSLATE(C397,""ja"",""vi"")"),"Đấu giá&gt; đồ chơi, trò chơi&gt; hình&gt; truyện tranh, hoạt hình&gt; Urusei Yatsura")</f>
        <v>Đấu giá&gt; đồ chơi, trò chơi&gt; hình&gt; truyện tranh, hoạt hình&gt; Urusei Yatsura</v>
      </c>
      <c r="G397" t="str">
        <f t="shared" ca="1" si="6"/>
        <v>"2084023784" : "Urusei Yatsura",</v>
      </c>
    </row>
    <row r="398" spans="1:7" ht="14.25" customHeight="1">
      <c r="A398" s="2">
        <v>2084222804</v>
      </c>
      <c r="B398" s="2" t="s">
        <v>2687</v>
      </c>
      <c r="C398" s="2" t="s">
        <v>2688</v>
      </c>
      <c r="D398" s="2" t="s">
        <v>2689</v>
      </c>
      <c r="E398" s="4" t="str">
        <f ca="1">IFERROR(__xludf.DUMMYFUNCTION("GOOGLETRANSLATE(B398,""ja"",""vi"")"),"Ikki")</f>
        <v>Ikki</v>
      </c>
      <c r="F398" s="4" t="str">
        <f ca="1">IFERROR(__xludf.DUMMYFUNCTION("GOOGLETRANSLATE(C398,""ja"",""vi"")"),"Đấu giá&gt; đồ chơi, trò chơi&gt; hình&gt; truyện tranh, hoạt hình&gt; Ikki")</f>
        <v>Đấu giá&gt; đồ chơi, trò chơi&gt; hình&gt; truyện tranh, hoạt hình&gt; Ikki</v>
      </c>
      <c r="G398" t="str">
        <f t="shared" ca="1" si="6"/>
        <v>"2084222804" : "Ikki",</v>
      </c>
    </row>
    <row r="399" spans="1:7" ht="14.25" customHeight="1">
      <c r="A399" s="2">
        <v>2084040580</v>
      </c>
      <c r="B399" s="2" t="s">
        <v>273</v>
      </c>
      <c r="C399" s="2" t="s">
        <v>2692</v>
      </c>
      <c r="D399" s="2" t="s">
        <v>2694</v>
      </c>
      <c r="E399" s="4" t="str">
        <f ca="1">IFERROR(__xludf.DUMMYFUNCTION("GOOGLETRANSLATE(B399,""ja"",""vi"")"),"Space Battleship Yamato")</f>
        <v>Space Battleship Yamato</v>
      </c>
      <c r="F399" s="4" t="str">
        <f ca="1">IFERROR(__xludf.DUMMYFUNCTION("GOOGLETRANSLATE(C399,""ja"",""vi"")"),"Đấu giá&gt; đồ chơi, trò chơi&gt; hình&gt; truyện tranh, hoạt hình&gt; Space Battleship Yamato")</f>
        <v>Đấu giá&gt; đồ chơi, trò chơi&gt; hình&gt; truyện tranh, hoạt hình&gt; Space Battleship Yamato</v>
      </c>
      <c r="G399" t="str">
        <f t="shared" ca="1" si="6"/>
        <v>"2084040580" : "Space Battleship Yamato",</v>
      </c>
    </row>
    <row r="400" spans="1:7" ht="14.25" customHeight="1">
      <c r="A400" s="2">
        <v>2084315983</v>
      </c>
      <c r="B400" s="2" t="s">
        <v>148</v>
      </c>
      <c r="C400" s="2" t="s">
        <v>2698</v>
      </c>
      <c r="D400" s="2" t="s">
        <v>2700</v>
      </c>
      <c r="E400" s="4" t="str">
        <f ca="1">IFERROR(__xludf.DUMMYFUNCTION("GOOGLETRANSLATE(B400,""ja"",""vi"")"),"Osomatsu của")</f>
        <v>Osomatsu của</v>
      </c>
      <c r="F400" s="4" t="str">
        <f ca="1">IFERROR(__xludf.DUMMYFUNCTION("GOOGLETRANSLATE(C400,""ja"",""vi"")"),"Đấu giá&gt; đồ chơi, trò chơi&gt; hình&gt; truyện tranh, hoạt hình&gt; Osomatsu của")</f>
        <v>Đấu giá&gt; đồ chơi, trò chơi&gt; hình&gt; truyện tranh, hoạt hình&gt; Osomatsu của</v>
      </c>
      <c r="G400" t="str">
        <f t="shared" ca="1" si="6"/>
        <v>"2084315983" : "Osomatsu của",</v>
      </c>
    </row>
    <row r="401" spans="1:7" ht="14.25" customHeight="1">
      <c r="A401" s="2">
        <v>2084305368</v>
      </c>
      <c r="B401" s="2" t="s">
        <v>2702</v>
      </c>
      <c r="C401" s="2" t="s">
        <v>2705</v>
      </c>
      <c r="D401" s="2" t="s">
        <v>2708</v>
      </c>
      <c r="E401" s="4" t="str">
        <f ca="1">IFERROR(__xludf.DUMMYFUNCTION("GOOGLETRANSLATE(B401,""ja"",""vi"")"),"Chị không có lý do rất dễ thương")</f>
        <v>Chị không có lý do rất dễ thương</v>
      </c>
      <c r="F401" s="4" t="str">
        <f ca="1">IFERROR(__xludf.DUMMYFUNCTION("GOOGLETRANSLATE(C401,""ja"",""vi"")"),"Đấu giá&gt; đồ chơi, trò chơi&gt; hình&gt; truyện tranh, hoạt hình&gt; chị không có lý do rất dễ thương")</f>
        <v>Đấu giá&gt; đồ chơi, trò chơi&gt; hình&gt; truyện tranh, hoạt hình&gt; chị không có lý do rất dễ thương</v>
      </c>
      <c r="G401" t="str">
        <f t="shared" ca="1" si="6"/>
        <v>"2084305368" : "Chị không có lý do rất dễ thương",</v>
      </c>
    </row>
    <row r="402" spans="1:7" ht="14.25" customHeight="1">
      <c r="A402" s="2">
        <v>2084259896</v>
      </c>
      <c r="B402" s="2" t="s">
        <v>372</v>
      </c>
      <c r="C402" s="2" t="s">
        <v>2713</v>
      </c>
      <c r="D402" s="2" t="s">
        <v>2714</v>
      </c>
      <c r="E402" s="4" t="str">
        <f ca="1">IFERROR(__xludf.DUMMYFUNCTION("GOOGLETRANSLATE(B402,""ja"",""vi"")"),"K-ON!")</f>
        <v>K-ON!</v>
      </c>
      <c r="F402" s="4" t="str">
        <f ca="1">IFERROR(__xludf.DUMMYFUNCTION("GOOGLETRANSLATE(C402,""ja"",""vi"")"),"Đấu giá&gt; đồ chơi, trò chơi&gt; hình&gt; truyện tranh, phim hoạt hình&gt; K-ON!")</f>
        <v>Đấu giá&gt; đồ chơi, trò chơi&gt; hình&gt; truyện tranh, phim hoạt hình&gt; K-ON!</v>
      </c>
      <c r="G402" t="str">
        <f t="shared" ca="1" si="6"/>
        <v>"2084259896" : "K-ON!",</v>
      </c>
    </row>
    <row r="403" spans="1:7" ht="14.25" customHeight="1">
      <c r="A403" s="2">
        <v>2084023728</v>
      </c>
      <c r="B403" s="2" t="s">
        <v>436</v>
      </c>
      <c r="C403" s="2" t="s">
        <v>2718</v>
      </c>
      <c r="D403" s="2" t="s">
        <v>2720</v>
      </c>
      <c r="E403" s="4" t="str">
        <f ca="1">IFERROR(__xludf.DUMMYFUNCTION("GOOGLETRANSLATE(B403,""ja"",""vi"")"),"Gundam")</f>
        <v>Gundam</v>
      </c>
      <c r="F403" s="4" t="str">
        <f ca="1">IFERROR(__xludf.DUMMYFUNCTION("GOOGLETRANSLATE(C403,""ja"",""vi"")"),"Đấu giá&gt; đồ chơi, trò chơi&gt; hình&gt; truyện tranh, phim hoạt hình&gt; Gundam")</f>
        <v>Đấu giá&gt; đồ chơi, trò chơi&gt; hình&gt; truyện tranh, phim hoạt hình&gt; Gundam</v>
      </c>
      <c r="G403" t="str">
        <f t="shared" ca="1" si="6"/>
        <v>"2084023728" : "Gundam",</v>
      </c>
    </row>
    <row r="404" spans="1:7" ht="14.25" customHeight="1">
      <c r="A404" s="2">
        <v>2084040582</v>
      </c>
      <c r="B404" s="2" t="s">
        <v>482</v>
      </c>
      <c r="C404" s="2" t="s">
        <v>2724</v>
      </c>
      <c r="D404" s="2" t="s">
        <v>2725</v>
      </c>
      <c r="E404" s="4" t="str">
        <f ca="1">IFERROR(__xludf.DUMMYFUNCTION("GOOGLETRANSLATE(B404,""ja"",""vi"")"),"Cutie Honey")</f>
        <v>Cutie Honey</v>
      </c>
      <c r="F404" s="4" t="str">
        <f ca="1">IFERROR(__xludf.DUMMYFUNCTION("GOOGLETRANSLATE(C404,""ja"",""vi"")"),"Đấu giá&gt; đồ chơi, trò chơi&gt; hình&gt; truyện tranh, hoạt hình&gt; Cutie Honey")</f>
        <v>Đấu giá&gt; đồ chơi, trò chơi&gt; hình&gt; truyện tranh, hoạt hình&gt; Cutie Honey</v>
      </c>
      <c r="G404" t="str">
        <f t="shared" ca="1" si="6"/>
        <v>"2084040582" : "Cutie Honey",</v>
      </c>
    </row>
    <row r="405" spans="1:7" ht="14.25" customHeight="1">
      <c r="A405" s="2">
        <v>2084023766</v>
      </c>
      <c r="B405" s="2" t="s">
        <v>489</v>
      </c>
      <c r="C405" s="2" t="s">
        <v>2730</v>
      </c>
      <c r="D405" s="2" t="s">
        <v>2732</v>
      </c>
      <c r="E405" s="4" t="str">
        <f ca="1">IFERROR(__xludf.DUMMYFUNCTION("GOOGLETRANSLATE(B405,""ja"",""vi"")"),"Kinnikuman")</f>
        <v>Kinnikuman</v>
      </c>
      <c r="F405" s="4" t="str">
        <f ca="1">IFERROR(__xludf.DUMMYFUNCTION("GOOGLETRANSLATE(C405,""ja"",""vi"")"),"Đấu giá&gt; đồ chơi, trò chơi&gt; hình&gt; truyện tranh, phim hoạt hình&gt; Kinnikuman")</f>
        <v>Đấu giá&gt; đồ chơi, trò chơi&gt; hình&gt; truyện tranh, phim hoạt hình&gt; Kinnikuman</v>
      </c>
      <c r="G405" t="str">
        <f t="shared" ca="1" si="6"/>
        <v>"2084023766" : "Kinnikuman",</v>
      </c>
    </row>
    <row r="406" spans="1:7" ht="14.25" customHeight="1">
      <c r="A406" s="2">
        <v>2084236114</v>
      </c>
      <c r="B406" s="2" t="s">
        <v>2736</v>
      </c>
      <c r="C406" s="2" t="s">
        <v>2738</v>
      </c>
      <c r="D406" s="2" t="s">
        <v>2739</v>
      </c>
      <c r="E406" s="4" t="str">
        <f ca="1">IFERROR(__xludf.DUMMYFUNCTION("GOOGLETRANSLATE(B406,""ja"",""vi"")"),"Đóng WORST")</f>
        <v>Đóng WORST</v>
      </c>
      <c r="F406" s="4" t="str">
        <f ca="1">IFERROR(__xludf.DUMMYFUNCTION("GOOGLETRANSLATE(C406,""ja"",""vi"")"),"Đấu giá&gt; đồ chơi, trò chơi&gt; hình&gt; truyện tranh, hoạt hình&gt; close WORST")</f>
        <v>Đấu giá&gt; đồ chơi, trò chơi&gt; hình&gt; truyện tranh, hoạt hình&gt; close WORST</v>
      </c>
      <c r="G406" t="str">
        <f t="shared" ca="1" si="6"/>
        <v>"2084236114" : "Đóng WORST",</v>
      </c>
    </row>
    <row r="407" spans="1:7" ht="14.25" customHeight="1">
      <c r="A407" s="2">
        <v>2084062241</v>
      </c>
      <c r="B407" s="2" t="s">
        <v>2743</v>
      </c>
      <c r="C407" s="2" t="s">
        <v>2745</v>
      </c>
      <c r="D407" s="2" t="s">
        <v>2746</v>
      </c>
      <c r="E407" s="4" t="str">
        <f ca="1">IFERROR(__xludf.DUMMYFUNCTION("GOOGLETRANSLATE(B407,""ja"",""vi"")"),"Keroro")</f>
        <v>Keroro</v>
      </c>
      <c r="F407" s="4" t="str">
        <f ca="1">IFERROR(__xludf.DUMMYFUNCTION("GOOGLETRANSLATE(C407,""ja"",""vi"")"),"Đấu giá&gt; đồ chơi, trò chơi&gt; hình&gt; truyện tranh, hoạt hình&gt; Trung sĩ Keroro")</f>
        <v>Đấu giá&gt; đồ chơi, trò chơi&gt; hình&gt; truyện tranh, hoạt hình&gt; Trung sĩ Keroro</v>
      </c>
      <c r="G407" t="str">
        <f t="shared" ca="1" si="6"/>
        <v>"2084062241" : "Keroro",</v>
      </c>
    </row>
    <row r="408" spans="1:7" ht="14.25" customHeight="1">
      <c r="A408" s="2">
        <v>2084236120</v>
      </c>
      <c r="B408" s="2" t="s">
        <v>2751</v>
      </c>
      <c r="C408" s="2" t="s">
        <v>2752</v>
      </c>
      <c r="D408" s="2" t="s">
        <v>2753</v>
      </c>
      <c r="E408" s="4" t="str">
        <f ca="1">IFERROR(__xludf.DUMMYFUNCTION("GOOGLETRANSLATE(B408,""ja"",""vi"")"),"Code Geass")</f>
        <v>Code Geass</v>
      </c>
      <c r="F408" s="4" t="str">
        <f ca="1">IFERROR(__xludf.DUMMYFUNCTION("GOOGLETRANSLATE(C408,""ja"",""vi"")"),"Đấu giá&gt; đồ chơi, trò chơi&gt; hình&gt; truyện tranh, hoạt hình&gt; Code Geass")</f>
        <v>Đấu giá&gt; đồ chơi, trò chơi&gt; hình&gt; truyện tranh, hoạt hình&gt; Code Geass</v>
      </c>
      <c r="G408" t="str">
        <f t="shared" ca="1" si="6"/>
        <v>"2084236120" : "Code Geass",</v>
      </c>
    </row>
    <row r="409" spans="1:7" ht="14.25" customHeight="1">
      <c r="A409" s="2">
        <v>2084236116</v>
      </c>
      <c r="B409" s="2" t="s">
        <v>2758</v>
      </c>
      <c r="C409" s="2" t="s">
        <v>2760</v>
      </c>
      <c r="D409" s="2" t="s">
        <v>2763</v>
      </c>
      <c r="E409" s="4" t="str">
        <f ca="1">IFERROR(__xludf.DUMMYFUNCTION("GOOGLETRANSLATE(B409,""ja"",""vi"")"),"Hitman Reborn!")</f>
        <v>Hitman Reborn!</v>
      </c>
      <c r="F409" s="4" t="str">
        <f ca="1">IFERROR(__xludf.DUMMYFUNCTION("GOOGLETRANSLATE(C409,""ja"",""vi"")"),"Đấu giá&gt; đồ chơi, trò chơi&gt; hình&gt; truyện tranh, hoạt hình&gt; Hitman Reborn!")</f>
        <v>Đấu giá&gt; đồ chơi, trò chơi&gt; hình&gt; truyện tranh, hoạt hình&gt; Hitman Reborn!</v>
      </c>
      <c r="G409" t="str">
        <f t="shared" ca="1" si="6"/>
        <v>"2084236116" : "Hitman Reborn!",</v>
      </c>
    </row>
    <row r="410" spans="1:7" ht="14.25" customHeight="1">
      <c r="A410" s="2">
        <v>2084236106</v>
      </c>
      <c r="B410" s="2" t="s">
        <v>613</v>
      </c>
      <c r="C410" s="2" t="s">
        <v>2766</v>
      </c>
      <c r="D410" s="2" t="s">
        <v>2768</v>
      </c>
      <c r="E410" s="4" t="str">
        <f ca="1">IFERROR(__xludf.DUMMYFUNCTION("GOOGLETRANSLATE(B410,""ja"",""vi"")"),"Gintama")</f>
        <v>Gintama</v>
      </c>
      <c r="F410" s="4" t="str">
        <f ca="1">IFERROR(__xludf.DUMMYFUNCTION("GOOGLETRANSLATE(C410,""ja"",""vi"")"),"Đấu giá&gt; đồ chơi, trò chơi&gt; hình&gt; truyện tranh, phim hoạt hình&gt; Gintama")</f>
        <v>Đấu giá&gt; đồ chơi, trò chơi&gt; hình&gt; truyện tranh, phim hoạt hình&gt; Gintama</v>
      </c>
      <c r="G410" t="str">
        <f t="shared" ca="1" si="6"/>
        <v>"2084236106" : "Gintama",</v>
      </c>
    </row>
    <row r="411" spans="1:7" ht="14.25" customHeight="1">
      <c r="A411" s="2">
        <v>2084040583</v>
      </c>
      <c r="B411" s="2" t="s">
        <v>734</v>
      </c>
      <c r="C411" s="2" t="s">
        <v>2774</v>
      </c>
      <c r="D411" s="2" t="s">
        <v>2776</v>
      </c>
      <c r="E411" s="4" t="str">
        <f ca="1">IFERROR(__xludf.DUMMYFUNCTION("GOOGLETRANSLATE(B411,""ja"",""vi"")"),"Bizarre Adventure JoJo")</f>
        <v>Bizarre Adventure JoJo</v>
      </c>
      <c r="F411" s="4" t="str">
        <f ca="1">IFERROR(__xludf.DUMMYFUNCTION("GOOGLETRANSLATE(C411,""ja"",""vi"")"),"Đấu giá&gt; đồ chơi, trò chơi&gt; hình&gt; truyện tranh, phim hoạt hình&gt; Bizarre Adventure JoJo")</f>
        <v>Đấu giá&gt; đồ chơi, trò chơi&gt; hình&gt; truyện tranh, phim hoạt hình&gt; Bizarre Adventure JoJo</v>
      </c>
      <c r="G411" t="str">
        <f t="shared" ca="1" si="6"/>
        <v>"2084040583" : "Bizarre Adventure JoJo",</v>
      </c>
    </row>
    <row r="412" spans="1:7" ht="14.25" customHeight="1">
      <c r="A412" s="2">
        <v>2084305376</v>
      </c>
      <c r="B412" s="2" t="s">
        <v>741</v>
      </c>
      <c r="C412" s="2" t="s">
        <v>2781</v>
      </c>
      <c r="D412" s="2" t="s">
        <v>2782</v>
      </c>
      <c r="E412" s="4" t="str">
        <f ca="1">IFERROR(__xludf.DUMMYFUNCTION("GOOGLETRANSLATE(B412,""ja"",""vi"")"),"Strike Witches")</f>
        <v>Strike Witches</v>
      </c>
      <c r="F412" s="4" t="str">
        <f ca="1">IFERROR(__xludf.DUMMYFUNCTION("GOOGLETRANSLATE(C412,""ja"",""vi"")"),"Đấu giá&gt; đồ chơi, trò chơi&gt; hình&gt; truyện tranh, hoạt hình&gt; Strike Witches")</f>
        <v>Đấu giá&gt; đồ chơi, trò chơi&gt; hình&gt; truyện tranh, hoạt hình&gt; Strike Witches</v>
      </c>
      <c r="G412" t="str">
        <f t="shared" ca="1" si="6"/>
        <v>"2084305376" : "Strike Witches",</v>
      </c>
    </row>
    <row r="413" spans="1:7" ht="14.25" customHeight="1">
      <c r="A413" s="2">
        <v>2084236111</v>
      </c>
      <c r="B413" s="2" t="s">
        <v>2790</v>
      </c>
      <c r="C413" s="2" t="s">
        <v>2791</v>
      </c>
      <c r="D413" s="2" t="s">
        <v>2792</v>
      </c>
      <c r="E413" s="4" t="str">
        <f ca="1">IFERROR(__xludf.DUMMYFUNCTION("GOOGLETRANSLATE(B413,""ja"",""vi"")"),"Shana")</f>
        <v>Shana</v>
      </c>
      <c r="F413" s="4" t="str">
        <f ca="1">IFERROR(__xludf.DUMMYFUNCTION("GOOGLETRANSLATE(C413,""ja"",""vi"")"),"Đấu giá&gt; đồ chơi, trò chơi&gt; hình&gt; truyện tranh, hoạt hình&gt; Shana")</f>
        <v>Đấu giá&gt; đồ chơi, trò chơi&gt; hình&gt; truyện tranh, hoạt hình&gt; Shana</v>
      </c>
      <c r="G413" t="str">
        <f t="shared" ca="1" si="6"/>
        <v>"2084236111" : "Shana",</v>
      </c>
    </row>
    <row r="414" spans="1:7" ht="14.25" customHeight="1">
      <c r="A414" s="2">
        <v>2084305375</v>
      </c>
      <c r="B414" s="2" t="s">
        <v>2797</v>
      </c>
      <c r="C414" s="2" t="s">
        <v>2799</v>
      </c>
      <c r="D414" s="2" t="s">
        <v>2800</v>
      </c>
      <c r="E414" s="4" t="str">
        <f ca="1">IFERROR(__xludf.DUMMYFUNCTION("GOOGLETRANSLATE(B414,""ja"",""vi"")"),"Xâm lược !? Squid con gái")</f>
        <v>Xâm lược !? Squid con gái</v>
      </c>
      <c r="F414" s="4" t="str">
        <f ca="1">IFERROR(__xludf.DUMMYFUNCTION("GOOGLETRANSLATE(C414,""ja"",""vi"")"),"Đấu giá&gt; đồ chơi, trò chơi&gt; hình&gt; truyện tranh, phim hoạt hình&gt; xâm lược !? Squid con gái")</f>
        <v>Đấu giá&gt; đồ chơi, trò chơi&gt; hình&gt; truyện tranh, phim hoạt hình&gt; xâm lược !? Squid con gái</v>
      </c>
      <c r="G414" t="str">
        <f t="shared" ca="1" si="6"/>
        <v>"2084305375" : "Xâm lược !? Squid con gái",</v>
      </c>
    </row>
    <row r="415" spans="1:7" ht="14.25" customHeight="1">
      <c r="A415" s="2">
        <v>2084023785</v>
      </c>
      <c r="B415" s="2" t="s">
        <v>826</v>
      </c>
      <c r="C415" s="2" t="s">
        <v>2804</v>
      </c>
      <c r="D415" s="2" t="s">
        <v>2806</v>
      </c>
      <c r="E415" s="4" t="str">
        <f ca="1">IFERROR(__xludf.DUMMYFUNCTION("GOOGLETRANSLATE(B415,""ja"",""vi"")"),"Neon Genesis Evangelion")</f>
        <v>Neon Genesis Evangelion</v>
      </c>
      <c r="F415" s="4" t="str">
        <f ca="1">IFERROR(__xludf.DUMMYFUNCTION("GOOGLETRANSLATE(C415,""ja"",""vi"")"),"Đấu giá&gt; đồ chơi, trò chơi&gt; hình&gt; truyện tranh, phim hoạt hình&gt; Evangelion")</f>
        <v>Đấu giá&gt; đồ chơi, trò chơi&gt; hình&gt; truyện tranh, phim hoạt hình&gt; Evangelion</v>
      </c>
      <c r="G415" t="str">
        <f t="shared" ca="1" si="6"/>
        <v>"2084023785" : "Neon Genesis Evangelion",</v>
      </c>
    </row>
    <row r="416" spans="1:7" ht="14.25" customHeight="1">
      <c r="A416" s="2">
        <v>2084195224</v>
      </c>
      <c r="B416" s="2" t="s">
        <v>842</v>
      </c>
      <c r="C416" s="2" t="s">
        <v>2807</v>
      </c>
      <c r="D416" s="2" t="s">
        <v>2808</v>
      </c>
      <c r="E416" s="4" t="str">
        <f ca="1">IFERROR(__xludf.DUMMYFUNCTION("GOOGLETRANSLATE(B416,""ja"",""vi"")"),"Saint Seiya")</f>
        <v>Saint Seiya</v>
      </c>
      <c r="F416" s="4" t="str">
        <f ca="1">IFERROR(__xludf.DUMMYFUNCTION("GOOGLETRANSLATE(C416,""ja"",""vi"")"),"Đấu giá&gt; đồ chơi, trò chơi&gt; hình&gt; truyện tranh, phim hoạt hình&gt; Saint Seiya")</f>
        <v>Đấu giá&gt; đồ chơi, trò chơi&gt; hình&gt; truyện tranh, phim hoạt hình&gt; Saint Seiya</v>
      </c>
      <c r="G416" t="str">
        <f t="shared" ca="1" si="6"/>
        <v>"2084195224" : "Saint Seiya",</v>
      </c>
    </row>
    <row r="417" spans="1:7" ht="14.25" customHeight="1">
      <c r="A417" s="2">
        <v>2084222803</v>
      </c>
      <c r="B417" s="2" t="s">
        <v>873</v>
      </c>
      <c r="C417" s="2" t="s">
        <v>2811</v>
      </c>
      <c r="D417" s="2" t="s">
        <v>2813</v>
      </c>
      <c r="E417" s="4" t="str">
        <f ca="1">IFERROR(__xludf.DUMMYFUNCTION("GOOGLETRANSLATE(B417,""ja"",""vi"")"),"The Melancholy")</f>
        <v>The Melancholy</v>
      </c>
      <c r="F417" s="4" t="str">
        <f ca="1">IFERROR(__xludf.DUMMYFUNCTION("GOOGLETRANSLATE(C417,""ja"",""vi"")"),"Đấu giá&gt; đồ chơi, trò chơi&gt; hình&gt; truyện tranh, hoạt hình&gt; The Melancholy")</f>
        <v>Đấu giá&gt; đồ chơi, trò chơi&gt; hình&gt; truyện tranh, hoạt hình&gt; The Melancholy</v>
      </c>
      <c r="G417" t="str">
        <f t="shared" ca="1" si="6"/>
        <v>"2084222803" : "The Melancholy",</v>
      </c>
    </row>
    <row r="418" spans="1:7" ht="14.25" customHeight="1">
      <c r="A418" s="2">
        <v>2084305377</v>
      </c>
      <c r="B418" s="2" t="s">
        <v>880</v>
      </c>
      <c r="C418" s="2" t="s">
        <v>2816</v>
      </c>
      <c r="D418" s="2" t="s">
        <v>2817</v>
      </c>
      <c r="E418" s="4" t="str">
        <f ca="1">IFERROR(__xludf.DUMMYFUNCTION("GOOGLETRANSLATE(B418,""ja"",""vi"")"),"TIGER &amp; BUNNY")</f>
        <v>TIGER &amp; BUNNY</v>
      </c>
      <c r="F418" s="4" t="str">
        <f ca="1">IFERROR(__xludf.DUMMYFUNCTION("GOOGLETRANSLATE(C418,""ja"",""vi"")"),"Đấu giá&gt; đồ chơi, trò chơi&gt; hình&gt; truyện tranh, hoạt hình&gt; TIGER &amp; BUNNY")</f>
        <v>Đấu giá&gt; đồ chơi, trò chơi&gt; hình&gt; truyện tranh, hoạt hình&gt; TIGER &amp; BUNNY</v>
      </c>
      <c r="G418" t="str">
        <f t="shared" ca="1" si="6"/>
        <v>"2084305377" : "TIGER &amp; BUNNY",</v>
      </c>
    </row>
    <row r="419" spans="1:7" ht="14.25" customHeight="1">
      <c r="A419" s="2">
        <v>2084236123</v>
      </c>
      <c r="B419" s="2" t="s">
        <v>887</v>
      </c>
      <c r="C419" s="2" t="s">
        <v>2820</v>
      </c>
      <c r="D419" s="2" t="s">
        <v>2821</v>
      </c>
      <c r="E419" s="4" t="str">
        <f ca="1">IFERROR(__xludf.DUMMYFUNCTION("GOOGLETRANSLATE(B419,""ja"",""vi"")"),"Ru Để TÌNH YÊU")</f>
        <v>Ru Để TÌNH YÊU</v>
      </c>
      <c r="F419" s="4" t="str">
        <f ca="1">IFERROR(__xludf.DUMMYFUNCTION("GOOGLETRANSLATE(C419,""ja"",""vi"")"),"Đấu giá&gt; đồ chơi, trò chơi&gt; hình&gt; truyện tranh, phim hoạt hình Ru&gt; Để TÌNH YÊU")</f>
        <v>Đấu giá&gt; đồ chơi, trò chơi&gt; hình&gt; truyện tranh, phim hoạt hình Ru&gt; Để TÌNH YÊU</v>
      </c>
      <c r="G419" t="str">
        <f t="shared" ca="1" si="6"/>
        <v>"2084236123" : "Ru Để TÌNH YÊU",</v>
      </c>
    </row>
    <row r="420" spans="1:7" ht="14.25" customHeight="1">
      <c r="A420" s="2">
        <v>2084305378</v>
      </c>
      <c r="B420" s="2" t="s">
        <v>2823</v>
      </c>
      <c r="C420" s="2" t="s">
        <v>2824</v>
      </c>
      <c r="D420" s="2" t="s">
        <v>2825</v>
      </c>
      <c r="E420" s="4" t="str">
        <f ca="1">IFERROR(__xludf.DUMMYFUNCTION("GOOGLETRANSLATE(B420,""ja"",""vi"")"),"Rằng có (danh sách cấm, Railgun)")</f>
        <v>Rằng có (danh sách cấm, Railgun)</v>
      </c>
      <c r="F420" s="4" t="str">
        <f ca="1">IFERROR(__xludf.DUMMYFUNCTION("GOOGLETRANSLATE(C420,""ja"",""vi"")"),"Đấu giá&gt; đồ chơi, trò chơi&gt; hình&gt; truyện tranh, có những hình ảnh động&gt; (danh sách cấm, Railgun)")</f>
        <v>Đấu giá&gt; đồ chơi, trò chơi&gt; hình&gt; truyện tranh, có những hình ảnh động&gt; (danh sách cấm, Railgun)</v>
      </c>
      <c r="G420" t="str">
        <f t="shared" ca="1" si="6"/>
        <v>"2084305378" : "Rằng có (danh sách cấm, Railgun)",</v>
      </c>
    </row>
    <row r="421" spans="1:7" ht="14.25" customHeight="1">
      <c r="A421" s="2">
        <v>2084063730</v>
      </c>
      <c r="B421" s="2" t="s">
        <v>2828</v>
      </c>
      <c r="C421" s="2" t="s">
        <v>2830</v>
      </c>
      <c r="D421" s="2" t="s">
        <v>2832</v>
      </c>
      <c r="E421" s="4" t="str">
        <f ca="1">IFERROR(__xludf.DUMMYFUNCTION("GOOGLETRANSLATE(B421,""ja"",""vi"")"),"Disney")</f>
        <v>Disney</v>
      </c>
      <c r="F421" s="4" t="str">
        <f ca="1">IFERROR(__xludf.DUMMYFUNCTION("GOOGLETRANSLATE(C421,""ja"",""vi"")"),"Đấu giá&gt; đồ chơi, trò chơi&gt; hình&gt; truyện tranh, hoạt hình&gt; Disney")</f>
        <v>Đấu giá&gt; đồ chơi, trò chơi&gt; hình&gt; truyện tranh, hoạt hình&gt; Disney</v>
      </c>
      <c r="G421" t="str">
        <f t="shared" ca="1" si="6"/>
        <v>"2084063730" : "Disney",</v>
      </c>
    </row>
    <row r="422" spans="1:7" ht="14.25" customHeight="1">
      <c r="A422" s="2">
        <v>2084023765</v>
      </c>
      <c r="B422" s="2" t="s">
        <v>1007</v>
      </c>
      <c r="C422" s="2" t="s">
        <v>2835</v>
      </c>
      <c r="D422" s="2" t="s">
        <v>2837</v>
      </c>
      <c r="E422" s="4" t="str">
        <f ca="1">IFERROR(__xludf.DUMMYFUNCTION("GOOGLETRANSLATE(B422,""ja"",""vi"")"),"devilman")</f>
        <v>devilman</v>
      </c>
      <c r="F422" s="4" t="str">
        <f ca="1">IFERROR(__xludf.DUMMYFUNCTION("GOOGLETRANSLATE(C422,""ja"",""vi"")"),"Đấu giá&gt; đồ chơi, trò chơi&gt; hình&gt; truyện tranh, hoạt hình&gt; devil man")</f>
        <v>Đấu giá&gt; đồ chơi, trò chơi&gt; hình&gt; truyện tranh, hoạt hình&gt; devil man</v>
      </c>
      <c r="G422" t="str">
        <f t="shared" ca="1" si="6"/>
        <v>"2084023765" : "devilman",</v>
      </c>
    </row>
    <row r="423" spans="1:7" ht="14.25" customHeight="1">
      <c r="A423" s="2">
        <v>2084040584</v>
      </c>
      <c r="B423" s="2" t="s">
        <v>1055</v>
      </c>
      <c r="C423" s="2" t="s">
        <v>2842</v>
      </c>
      <c r="D423" s="2" t="s">
        <v>2843</v>
      </c>
      <c r="E423" s="4" t="str">
        <f ca="1">IFERROR(__xludf.DUMMYFUNCTION("GOOGLETRANSLATE(B423,""ja"",""vi"")"),"dragon ball")</f>
        <v>dragon ball</v>
      </c>
      <c r="F423" s="4" t="str">
        <f ca="1">IFERROR(__xludf.DUMMYFUNCTION("GOOGLETRANSLATE(C423,""ja"",""vi"")"),"Đấu giá&gt; đồ chơi, trò chơi&gt; hình&gt; truyện tranh, phim hoạt hình&gt; Dragon Ball")</f>
        <v>Đấu giá&gt; đồ chơi, trò chơi&gt; hình&gt; truyện tranh, phim hoạt hình&gt; Dragon Ball</v>
      </c>
      <c r="G423" t="str">
        <f t="shared" ca="1" si="6"/>
        <v>"2084040584" : "dragon ball",</v>
      </c>
    </row>
    <row r="424" spans="1:7" ht="14.25" customHeight="1">
      <c r="A424" s="2">
        <v>2084023769</v>
      </c>
      <c r="B424" s="2" t="s">
        <v>1086</v>
      </c>
      <c r="C424" s="2" t="s">
        <v>2847</v>
      </c>
      <c r="D424" s="2" t="s">
        <v>2848</v>
      </c>
      <c r="E424" s="4" t="str">
        <f ca="1">IFERROR(__xludf.DUMMYFUNCTION("GOOGLETRANSLATE(B424,""ja"",""vi"")"),"Tetsujin 28-go")</f>
        <v>Tetsujin 28-go</v>
      </c>
      <c r="F424" s="4" t="str">
        <f ca="1">IFERROR(__xludf.DUMMYFUNCTION("GOOGLETRANSLATE(C424,""ja"",""vi"")"),"Đấu giá&gt; đồ chơi, trò chơi&gt; hình&gt; truyện tranh, hoạt hình&gt; Tetsujin 28-go")</f>
        <v>Đấu giá&gt; đồ chơi, trò chơi&gt; hình&gt; truyện tranh, hoạt hình&gt; Tetsujin 28-go</v>
      </c>
      <c r="G424" t="str">
        <f t="shared" ca="1" si="6"/>
        <v>"2084023769" : "Tetsujin 28-go",</v>
      </c>
    </row>
    <row r="425" spans="1:7" ht="14.25" customHeight="1">
      <c r="A425" s="2">
        <v>2084023768</v>
      </c>
      <c r="B425" s="2" t="s">
        <v>1093</v>
      </c>
      <c r="C425" s="2" t="s">
        <v>2851</v>
      </c>
      <c r="D425" s="2" t="s">
        <v>2852</v>
      </c>
      <c r="E425" s="4" t="str">
        <f ca="1">IFERROR(__xludf.DUMMYFUNCTION("GOOGLETRANSLATE(B425,""ja"",""vi"")"),"ASTRO BOY")</f>
        <v>ASTRO BOY</v>
      </c>
      <c r="F425" s="4" t="str">
        <f ca="1">IFERROR(__xludf.DUMMYFUNCTION("GOOGLETRANSLATE(C425,""ja"",""vi"")"),"Đấu giá&gt; đồ chơi, trò chơi&gt; hình&gt; truyện tranh, phim hoạt hình&gt; Astro Boy")</f>
        <v>Đấu giá&gt; đồ chơi, trò chơi&gt; hình&gt; truyện tranh, phim hoạt hình&gt; Astro Boy</v>
      </c>
      <c r="G425" t="str">
        <f t="shared" ca="1" si="6"/>
        <v>"2084023768" : "ASTRO BOY",</v>
      </c>
    </row>
    <row r="426" spans="1:7" ht="14.25" customHeight="1">
      <c r="A426" s="2">
        <v>2084239889</v>
      </c>
      <c r="B426" s="2" t="s">
        <v>2853</v>
      </c>
      <c r="C426" s="2" t="s">
        <v>2855</v>
      </c>
      <c r="D426" s="2" t="s">
        <v>2857</v>
      </c>
      <c r="E426" s="4" t="str">
        <f ca="1">IFERROR(__xludf.DUMMYFUNCTION("GOOGLETRANSLATE(B426,""ja"",""vi"")"),"Gurren Lagann")</f>
        <v>Gurren Lagann</v>
      </c>
      <c r="F426" s="4" t="str">
        <f ca="1">IFERROR(__xludf.DUMMYFUNCTION("GOOGLETRANSLATE(C426,""ja"",""vi"")"),"Đấu giá&gt; đồ chơi, trò chơi&gt; hình&gt; truyện tranh, hoạt hình&gt; Gurren Lagann")</f>
        <v>Đấu giá&gt; đồ chơi, trò chơi&gt; hình&gt; truyện tranh, hoạt hình&gt; Gurren Lagann</v>
      </c>
      <c r="G426" t="str">
        <f t="shared" ca="1" si="6"/>
        <v>"2084239889" : "Gurren Lagann",</v>
      </c>
    </row>
    <row r="427" spans="1:7" ht="14.25" customHeight="1">
      <c r="A427" s="2">
        <v>2084222807</v>
      </c>
      <c r="B427" s="2" t="s">
        <v>2859</v>
      </c>
      <c r="C427" s="2" t="s">
        <v>2860</v>
      </c>
      <c r="D427" s="2" t="s">
        <v>2863</v>
      </c>
      <c r="E427" s="4" t="str">
        <f ca="1">IFERROR(__xludf.DUMMYFUNCTION("GOOGLETRANSLATE(B427,""ja"",""vi"")"),"Tenjou Tenge")</f>
        <v>Tenjou Tenge</v>
      </c>
      <c r="F427" s="4" t="str">
        <f ca="1">IFERROR(__xludf.DUMMYFUNCTION("GOOGLETRANSLATE(C427,""ja"",""vi"")"),"Đấu giá&gt; đồ chơi, trò chơi&gt; hình&gt; truyện tranh, hoạt hình&gt; Tenge")</f>
        <v>Đấu giá&gt; đồ chơi, trò chơi&gt; hình&gt; truyện tranh, hoạt hình&gt; Tenge</v>
      </c>
      <c r="G427" t="str">
        <f t="shared" ca="1" si="6"/>
        <v>"2084222807" : "Tenjou Tenge",</v>
      </c>
    </row>
    <row r="428" spans="1:7" ht="14.25" customHeight="1">
      <c r="A428" s="2">
        <v>2084236113</v>
      </c>
      <c r="B428" s="2" t="s">
        <v>1152</v>
      </c>
      <c r="C428" s="2" t="s">
        <v>2865</v>
      </c>
      <c r="D428" s="2" t="s">
        <v>2866</v>
      </c>
      <c r="E428" s="4" t="str">
        <f ca="1">IFERROR(__xludf.DUMMYFUNCTION("GOOGLETRANSLATE(B428,""ja"",""vi"")"),"NARUTO")</f>
        <v>NARUTO</v>
      </c>
      <c r="F428" s="4" t="str">
        <f ca="1">IFERROR(__xludf.DUMMYFUNCTION("GOOGLETRANSLATE(C428,""ja"",""vi"")"),"Đấu giá&gt; đồ chơi, trò chơi&gt; hình&gt; truyện tranh, hoạt hình&gt; NARUTO")</f>
        <v>Đấu giá&gt; đồ chơi, trò chơi&gt; hình&gt; truyện tranh, hoạt hình&gt; NARUTO</v>
      </c>
      <c r="G428" t="str">
        <f t="shared" ca="1" si="6"/>
        <v>"2084236113" : "NARUTO",</v>
      </c>
    </row>
    <row r="429" spans="1:7" ht="14.25" customHeight="1">
      <c r="A429" s="2">
        <v>2084305379</v>
      </c>
      <c r="B429" s="2" t="s">
        <v>1168</v>
      </c>
      <c r="C429" s="2" t="s">
        <v>2871</v>
      </c>
      <c r="D429" s="2" t="s">
        <v>2873</v>
      </c>
      <c r="E429" s="4" t="str">
        <f ca="1">IFERROR(__xludf.DUMMYFUNCTION("GOOGLETRANSLATE(B429,""ja"",""vi"")"),"Natsume Yuujin Chou")</f>
        <v>Natsume Yuujin Chou</v>
      </c>
      <c r="F429" s="4" t="str">
        <f ca="1">IFERROR(__xludf.DUMMYFUNCTION("GOOGLETRANSLATE(C429,""ja"",""vi"")"),"Đấu giá&gt; đồ chơi, trò chơi&gt; hình&gt; truyện tranh, hoạt hình&gt; Natsume Yuujin Chou")</f>
        <v>Đấu giá&gt; đồ chơi, trò chơi&gt; hình&gt; truyện tranh, hoạt hình&gt; Natsume Yuujin Chou</v>
      </c>
      <c r="G429" t="str">
        <f t="shared" ca="1" si="6"/>
        <v>"2084305379" : "Natsume Yuujin Chou",</v>
      </c>
    </row>
    <row r="430" spans="1:7" ht="14.25" customHeight="1">
      <c r="A430" s="2">
        <v>2084241346</v>
      </c>
      <c r="B430" s="2" t="s">
        <v>1202</v>
      </c>
      <c r="C430" s="2" t="s">
        <v>2877</v>
      </c>
      <c r="D430" s="2" t="s">
        <v>2878</v>
      </c>
      <c r="E430" s="4" t="str">
        <f ca="1">IFERROR(__xludf.DUMMYFUNCTION("GOOGLETRANSLATE(B430,""ja"",""vi"")"),"THUỐC TẨY")</f>
        <v>THUỐC TẨY</v>
      </c>
      <c r="F430" s="4" t="str">
        <f ca="1">IFERROR(__xludf.DUMMYFUNCTION("GOOGLETRANSLATE(C430,""ja"",""vi"")"),"Đấu giá&gt; đồ chơi, trò chơi&gt; hình&gt; truyện tranh, phim hoạt hình&gt; BLEACH")</f>
        <v>Đấu giá&gt; đồ chơi, trò chơi&gt; hình&gt; truyện tranh, phim hoạt hình&gt; BLEACH</v>
      </c>
      <c r="G430" t="str">
        <f t="shared" ca="1" si="6"/>
        <v>"2084241346" : "THUỐC TẨY",</v>
      </c>
    </row>
    <row r="431" spans="1:7" ht="14.25" customHeight="1">
      <c r="A431" s="2">
        <v>2084236118</v>
      </c>
      <c r="B431" s="2" t="s">
        <v>2882</v>
      </c>
      <c r="C431" s="2" t="s">
        <v>2883</v>
      </c>
      <c r="D431" s="2" t="s">
        <v>2884</v>
      </c>
      <c r="E431" s="4" t="str">
        <f ca="1">IFERROR(__xludf.DUMMYFUNCTION("GOOGLETRANSLATE(B431,""ja"",""vi"")"),"số phận")</f>
        <v>số phận</v>
      </c>
      <c r="F431" s="4" t="str">
        <f ca="1">IFERROR(__xludf.DUMMYFUNCTION("GOOGLETRANSLATE(C431,""ja"",""vi"")"),"Đấu giá&gt; đồ chơi, trò chơi&gt; hình&gt; truyện tranh, phim hoạt hình&gt; Fate")</f>
        <v>Đấu giá&gt; đồ chơi, trò chơi&gt; hình&gt; truyện tranh, phim hoạt hình&gt; Fate</v>
      </c>
      <c r="G431" t="str">
        <f t="shared" ca="1" si="6"/>
        <v>"2084236118" : "số phận",</v>
      </c>
    </row>
    <row r="432" spans="1:7" ht="14.25" customHeight="1">
      <c r="A432" s="2">
        <v>2084242880</v>
      </c>
      <c r="B432" s="2" t="s">
        <v>1331</v>
      </c>
      <c r="C432" s="2" t="s">
        <v>2886</v>
      </c>
      <c r="D432" s="2" t="s">
        <v>2887</v>
      </c>
      <c r="E432" s="4" t="str">
        <f ca="1">IFERROR(__xludf.DUMMYFUNCTION("GOOGLETRANSLATE(B432,""ja"",""vi"")"),"Pretty Cure")</f>
        <v>Pretty Cure</v>
      </c>
      <c r="F432" s="4" t="str">
        <f ca="1">IFERROR(__xludf.DUMMYFUNCTION("GOOGLETRANSLATE(C432,""ja"",""vi"")"),"Đấu giá&gt; đồ chơi, trò chơi&gt; hình&gt; truyện tranh, phim hoạt hình&gt; Pretty Cure")</f>
        <v>Đấu giá&gt; đồ chơi, trò chơi&gt; hình&gt; truyện tranh, phim hoạt hình&gt; Pretty Cure</v>
      </c>
      <c r="G432" t="str">
        <f t="shared" ca="1" si="6"/>
        <v>"2084242880" : "Pretty Cure",</v>
      </c>
    </row>
    <row r="433" spans="1:7" ht="14.25" customHeight="1">
      <c r="A433" s="2">
        <v>2084305380</v>
      </c>
      <c r="B433" s="2" t="s">
        <v>2892</v>
      </c>
      <c r="C433" s="2" t="s">
        <v>2893</v>
      </c>
      <c r="D433" s="2" t="s">
        <v>2894</v>
      </c>
      <c r="E433" s="4" t="str">
        <f ca="1">IFERROR(__xludf.DUMMYFUNCTION("GOOGLETRANSLATE(B433,""ja"",""vi"")"),"Bakemonogatari, câu chuyện sai sự thật")</f>
        <v>Bakemonogatari, câu chuyện sai sự thật</v>
      </c>
      <c r="F433" s="4" t="str">
        <f ca="1">IFERROR(__xludf.DUMMYFUNCTION("GOOGLETRANSLATE(C433,""ja"",""vi"")"),"Đấu giá&gt; đồ chơi, trò chơi&gt; hình&gt; truyện tranh, hoạt hình&gt; Bakemonogatari, câu chuyện sai sự thật")</f>
        <v>Đấu giá&gt; đồ chơi, trò chơi&gt; hình&gt; truyện tranh, hoạt hình&gt; Bakemonogatari, câu chuyện sai sự thật</v>
      </c>
      <c r="G433" t="str">
        <f t="shared" ca="1" si="6"/>
        <v>"2084305380" : "Bakemonogatari, câu chuyện sai sự thật",</v>
      </c>
    </row>
    <row r="434" spans="1:7" ht="14.25" customHeight="1">
      <c r="A434" s="2">
        <v>2084242879</v>
      </c>
      <c r="B434" s="2" t="s">
        <v>1392</v>
      </c>
      <c r="C434" s="2" t="s">
        <v>2899</v>
      </c>
      <c r="D434" s="2" t="s">
        <v>2900</v>
      </c>
      <c r="E434" s="4" t="str">
        <f ca="1">IFERROR(__xludf.DUMMYFUNCTION("GOOGLETRANSLATE(B434,""ja"",""vi"")"),"Fullmetal Alchemist")</f>
        <v>Fullmetal Alchemist</v>
      </c>
      <c r="F434" s="4" t="str">
        <f ca="1">IFERROR(__xludf.DUMMYFUNCTION("GOOGLETRANSLATE(C434,""ja"",""vi"")"),"Đấu giá&gt; đồ chơi, trò chơi&gt; hình&gt; truyện tranh, hoạt hình&gt; Full Metal Alchemist")</f>
        <v>Đấu giá&gt; đồ chơi, trò chơi&gt; hình&gt; truyện tranh, hoạt hình&gt; Full Metal Alchemist</v>
      </c>
      <c r="G434" t="str">
        <f t="shared" ca="1" si="6"/>
        <v>"2084242879" : "Fullmetal Alchemist",</v>
      </c>
    </row>
    <row r="435" spans="1:7" ht="14.25" customHeight="1">
      <c r="A435" s="2">
        <v>2084239888</v>
      </c>
      <c r="B435" s="2" t="s">
        <v>2904</v>
      </c>
      <c r="C435" s="2" t="s">
        <v>2906</v>
      </c>
      <c r="D435" s="2" t="s">
        <v>2907</v>
      </c>
      <c r="E435" s="4" t="str">
        <f ca="1">IFERROR(__xludf.DUMMYFUNCTION("GOOGLETRANSLATE(B435,""ja"",""vi"")"),"Hatsune miku")</f>
        <v>Hatsune miku</v>
      </c>
      <c r="F435" s="4" t="str">
        <f ca="1">IFERROR(__xludf.DUMMYFUNCTION("GOOGLETRANSLATE(C435,""ja"",""vi"")"),"Đấu giá&gt; đồ chơi, trò chơi&gt; hình&gt; truyện tranh, phim hoạt hình&gt; Hatsune Miku")</f>
        <v>Đấu giá&gt; đồ chơi, trò chơi&gt; hình&gt; truyện tranh, phim hoạt hình&gt; Hatsune Miku</v>
      </c>
      <c r="G435" t="str">
        <f t="shared" ca="1" si="6"/>
        <v>"2084239888" : "Hatsune miku",</v>
      </c>
    </row>
    <row r="436" spans="1:7" ht="14.25" customHeight="1">
      <c r="A436" s="2">
        <v>2084023788</v>
      </c>
      <c r="B436" s="2" t="s">
        <v>2910</v>
      </c>
      <c r="C436" s="2" t="s">
        <v>2911</v>
      </c>
      <c r="D436" s="2" t="s">
        <v>2914</v>
      </c>
      <c r="E436" s="4" t="str">
        <f ca="1">IFERROR(__xludf.DUMMYFUNCTION("GOOGLETRANSLATE(B436,""ja"",""vi"")"),"Khá Soldier Sailor Moon")</f>
        <v>Khá Soldier Sailor Moon</v>
      </c>
      <c r="F436" s="4" t="str">
        <f ca="1">IFERROR(__xludf.DUMMYFUNCTION("GOOGLETRANSLATE(C436,""ja"",""vi"")"),"Đấu giá&gt; đồ chơi, trò chơi&gt; hình&gt; truyện tranh, phim hoạt hình&gt; Sailor Moon")</f>
        <v>Đấu giá&gt; đồ chơi, trò chơi&gt; hình&gt; truyện tranh, phim hoạt hình&gt; Sailor Moon</v>
      </c>
      <c r="G436" t="str">
        <f t="shared" ca="1" si="6"/>
        <v>"2084023788" : "Khá Soldier Sailor Moon",</v>
      </c>
    </row>
    <row r="437" spans="1:7" ht="14.25" customHeight="1">
      <c r="A437" s="2">
        <v>2084236115</v>
      </c>
      <c r="B437" s="2" t="s">
        <v>1447</v>
      </c>
      <c r="C437" s="2" t="s">
        <v>2920</v>
      </c>
      <c r="D437" s="2" t="s">
        <v>2921</v>
      </c>
      <c r="E437" s="4" t="str">
        <f ca="1">IFERROR(__xludf.DUMMYFUNCTION("GOOGLETRANSLATE(B437,""ja"",""vi"")"),"Fist of the North Star")</f>
        <v>Fist of the North Star</v>
      </c>
      <c r="F437" s="4" t="str">
        <f ca="1">IFERROR(__xludf.DUMMYFUNCTION("GOOGLETRANSLATE(C437,""ja"",""vi"")"),"Đấu giá&gt; đồ chơi, trò chơi&gt; hình&gt; truyện tranh, hoạt hình&gt; Fist of The North Star của")</f>
        <v>Đấu giá&gt; đồ chơi, trò chơi&gt; hình&gt; truyện tranh, hoạt hình&gt; Fist of The North Star của</v>
      </c>
      <c r="G437" t="str">
        <f t="shared" ca="1" si="6"/>
        <v>"2084236115" : "Fist of the North Star",</v>
      </c>
    </row>
    <row r="438" spans="1:7" ht="14.25" customHeight="1">
      <c r="A438" s="2">
        <v>2084305381</v>
      </c>
      <c r="B438" s="2" t="s">
        <v>2925</v>
      </c>
      <c r="C438" s="2" t="s">
        <v>2927</v>
      </c>
      <c r="D438" s="2" t="s">
        <v>2929</v>
      </c>
      <c r="E438" s="4" t="str">
        <f ca="1">IFERROR(__xludf.DUMMYFUNCTION("GOOGLETRANSLATE(B438,""ja"",""vi"")"),"Macross F")</f>
        <v>Macross F</v>
      </c>
      <c r="F438" s="4" t="str">
        <f ca="1">IFERROR(__xludf.DUMMYFUNCTION("GOOGLETRANSLATE(C438,""ja"",""vi"")"),"Đấu giá&gt; đồ chơi, trò chơi&gt; hình&gt; truyện tranh, hoạt hình&gt; Macross F")</f>
        <v>Đấu giá&gt; đồ chơi, trò chơi&gt; hình&gt; truyện tranh, hoạt hình&gt; Macross F</v>
      </c>
      <c r="G438" t="str">
        <f t="shared" ca="1" si="6"/>
        <v>"2084305381" : "Macross F",</v>
      </c>
    </row>
    <row r="439" spans="1:7" ht="14.25" customHeight="1">
      <c r="A439" s="2">
        <v>2084305382</v>
      </c>
      <c r="B439" s="2" t="s">
        <v>1576</v>
      </c>
      <c r="C439" s="2" t="s">
        <v>2934</v>
      </c>
      <c r="D439" s="2" t="s">
        <v>2936</v>
      </c>
      <c r="E439" s="4" t="str">
        <f ca="1">IFERROR(__xludf.DUMMYFUNCTION("GOOGLETRANSLATE(B439,""ja"",""vi"")"),"Magical Girl Madoka ☆ Magica")</f>
        <v>Magical Girl Madoka ☆ Magica</v>
      </c>
      <c r="F439" s="4" t="str">
        <f ca="1">IFERROR(__xludf.DUMMYFUNCTION("GOOGLETRANSLATE(C439,""ja"",""vi"")"),"Đấu giá&gt; đồ chơi, trò chơi&gt; hình&gt; truyện tranh, phim hoạt hình&gt; Magical Girl Madoka ☆ Magica")</f>
        <v>Đấu giá&gt; đồ chơi, trò chơi&gt; hình&gt; truyện tranh, phim hoạt hình&gt; Magical Girl Madoka ☆ Magica</v>
      </c>
      <c r="G439" t="str">
        <f t="shared" ca="1" si="6"/>
        <v>"2084305382" : "Magical Girl Madoka ☆ Magica",</v>
      </c>
    </row>
    <row r="440" spans="1:7" ht="14.25" customHeight="1">
      <c r="A440" s="2">
        <v>2084236119</v>
      </c>
      <c r="B440" s="2" t="s">
        <v>1588</v>
      </c>
      <c r="C440" s="2" t="s">
        <v>2941</v>
      </c>
      <c r="D440" s="2" t="s">
        <v>2943</v>
      </c>
      <c r="E440" s="4" t="str">
        <f ca="1">IFERROR(__xludf.DUMMYFUNCTION("GOOGLETRANSLATE(B440,""ja"",""vi"")"),"Magical Girl Lyrical")</f>
        <v>Magical Girl Lyrical</v>
      </c>
      <c r="F440" s="4" t="str">
        <f ca="1">IFERROR(__xludf.DUMMYFUNCTION("GOOGLETRANSLATE(C440,""ja"",""vi"")"),"Đấu giá&gt; đồ chơi, trò chơi&gt; hình&gt; truyện tranh, phim hoạt hình&gt; Magical Girl Lyrical")</f>
        <v>Đấu giá&gt; đồ chơi, trò chơi&gt; hình&gt; truyện tranh, phim hoạt hình&gt; Magical Girl Lyrical</v>
      </c>
      <c r="G440" t="str">
        <f t="shared" ca="1" si="6"/>
        <v>"2084236119" : "Magical Girl Lyrical",</v>
      </c>
    </row>
    <row r="441" spans="1:7" ht="14.25" customHeight="1">
      <c r="A441" s="2">
        <v>2084236108</v>
      </c>
      <c r="B441" s="2" t="s">
        <v>2948</v>
      </c>
      <c r="C441" s="2" t="s">
        <v>2949</v>
      </c>
      <c r="D441" s="2" t="s">
        <v>2950</v>
      </c>
      <c r="E441" s="4" t="str">
        <f ca="1">IFERROR(__xludf.DUMMYFUNCTION("GOOGLETRANSLATE(B441,""ja"",""vi"")"),"Yatterman")</f>
        <v>Yatterman</v>
      </c>
      <c r="F441" s="4" t="str">
        <f ca="1">IFERROR(__xludf.DUMMYFUNCTION("GOOGLETRANSLATE(C441,""ja"",""vi"")"),"Đấu giá&gt; đồ chơi, trò chơi&gt; hình&gt; truyện tranh, hoạt hình&gt; Yatterman")</f>
        <v>Đấu giá&gt; đồ chơi, trò chơi&gt; hình&gt; truyện tranh, hoạt hình&gt; Yatterman</v>
      </c>
      <c r="G441" t="str">
        <f t="shared" ca="1" si="6"/>
        <v>"2084236108" : "Yatterman",</v>
      </c>
    </row>
    <row r="442" spans="1:7" ht="14.25" customHeight="1">
      <c r="A442" s="2">
        <v>2084236117</v>
      </c>
      <c r="B442" s="2" t="s">
        <v>2954</v>
      </c>
      <c r="C442" s="2" t="s">
        <v>2955</v>
      </c>
      <c r="D442" s="2" t="s">
        <v>2956</v>
      </c>
      <c r="E442" s="4" t="str">
        <f ca="1">IFERROR(__xludf.DUMMYFUNCTION("GOOGLETRANSLATE(B442,""ja"",""vi"")"),"Lucky ☆ Star")</f>
        <v>Lucky ☆ Star</v>
      </c>
      <c r="F442" s="4" t="str">
        <f ca="1">IFERROR(__xludf.DUMMYFUNCTION("GOOGLETRANSLATE(C442,""ja"",""vi"")"),"Đấu giá&gt; đồ chơi, trò chơi&gt; hình&gt; truyện tranh, hoạt hình&gt; Lucky ☆ Star")</f>
        <v>Đấu giá&gt; đồ chơi, trò chơi&gt; hình&gt; truyện tranh, hoạt hình&gt; Lucky ☆ Star</v>
      </c>
      <c r="G442" t="str">
        <f t="shared" ca="1" si="6"/>
        <v>"2084236117" : "Lucky ☆ Star",</v>
      </c>
    </row>
    <row r="443" spans="1:7" ht="14.25" customHeight="1">
      <c r="A443" s="2">
        <v>2084023783</v>
      </c>
      <c r="B443" s="2" t="s">
        <v>1740</v>
      </c>
      <c r="C443" s="2" t="s">
        <v>2960</v>
      </c>
      <c r="D443" s="2" t="s">
        <v>2961</v>
      </c>
      <c r="E443" s="4" t="str">
        <f ca="1">IFERROR(__xludf.DUMMYFUNCTION("GOOGLETRANSLATE(B443,""ja"",""vi"")"),"Lupin III")</f>
        <v>Lupin III</v>
      </c>
      <c r="F443" s="4" t="str">
        <f ca="1">IFERROR(__xludf.DUMMYFUNCTION("GOOGLETRANSLATE(C443,""ja"",""vi"")"),"Đấu giá&gt; đồ chơi, trò chơi&gt; hình&gt; truyện tranh, phim hoạt hình&gt; Lupin the Third")</f>
        <v>Đấu giá&gt; đồ chơi, trò chơi&gt; hình&gt; truyện tranh, phim hoạt hình&gt; Lupin the Third</v>
      </c>
      <c r="G443" t="str">
        <f t="shared" ca="1" si="6"/>
        <v>"2084023783" : "Lupin III",</v>
      </c>
    </row>
    <row r="444" spans="1:7" ht="14.25" customHeight="1">
      <c r="A444" s="2">
        <v>2084023719</v>
      </c>
      <c r="B444" s="2" t="s">
        <v>2966</v>
      </c>
      <c r="C444" s="2" t="s">
        <v>2967</v>
      </c>
      <c r="D444" s="2" t="s">
        <v>2968</v>
      </c>
      <c r="E444" s="4" t="str">
        <f ca="1">IFERROR(__xludf.DUMMYFUNCTION("GOOGLETRANSLATE(B444,""ja"",""vi"")"),"anh hùng Robot")</f>
        <v>anh hùng Robot</v>
      </c>
      <c r="F444" s="4" t="str">
        <f ca="1">IFERROR(__xludf.DUMMYFUNCTION("GOOGLETRANSLATE(C444,""ja"",""vi"")"),"Đấu giá&gt; đồ chơi, trò chơi&gt; hình&gt; truyện tranh, phim hoạt hình&gt; Robot Anh hùng")</f>
        <v>Đấu giá&gt; đồ chơi, trò chơi&gt; hình&gt; truyện tranh, phim hoạt hình&gt; Robot Anh hùng</v>
      </c>
      <c r="G444" t="str">
        <f t="shared" ca="1" si="6"/>
        <v>"2084023719" : "anh hùng Robot",</v>
      </c>
    </row>
    <row r="445" spans="1:7" ht="14.25" customHeight="1">
      <c r="A445" s="2">
        <v>2084040581</v>
      </c>
      <c r="B445" s="2" t="s">
        <v>1791</v>
      </c>
      <c r="C445" s="2" t="s">
        <v>2971</v>
      </c>
      <c r="D445" s="2" t="s">
        <v>2973</v>
      </c>
      <c r="E445" s="4" t="str">
        <f ca="1">IFERROR(__xludf.DUMMYFUNCTION("GOOGLETRANSLATE(B445,""ja"",""vi"")"),"ONE PIECE")</f>
        <v>ONE PIECE</v>
      </c>
      <c r="F445" s="4" t="str">
        <f ca="1">IFERROR(__xludf.DUMMYFUNCTION("GOOGLETRANSLATE(C445,""ja"",""vi"")"),"Đấu giá&gt; đồ chơi, trò chơi&gt; hình&gt; truyện tranh, phim hoạt hình&gt; ONE PIECE")</f>
        <v>Đấu giá&gt; đồ chơi, trò chơi&gt; hình&gt; truyện tranh, phim hoạt hình&gt; ONE PIECE</v>
      </c>
      <c r="G445" t="str">
        <f t="shared" ca="1" si="6"/>
        <v>"2084040581" : "ONE PIECE",</v>
      </c>
    </row>
    <row r="446" spans="1:7" ht="14.25" customHeight="1">
      <c r="A446" s="2">
        <v>2084023789</v>
      </c>
      <c r="B446" s="2" t="s">
        <v>46</v>
      </c>
      <c r="C446" s="2" t="s">
        <v>2975</v>
      </c>
      <c r="D446" s="2" t="s">
        <v>2977</v>
      </c>
      <c r="E446" s="4" t="str">
        <f ca="1">IFERROR(__xludf.DUMMYFUNCTION("GOOGLETRANSLATE(B446,""ja"",""vi"")"),"nếu không thì")</f>
        <v>nếu không thì</v>
      </c>
      <c r="F446" s="4" t="str">
        <f ca="1">IFERROR(__xludf.DUMMYFUNCTION("GOOGLETRANSLATE(C446,""ja"",""vi"")"),"Đấu giá&gt; đồ chơi, trò chơi&gt; hình&gt; truyện tranh, hoạt hình&gt; Khác")</f>
        <v>Đấu giá&gt; đồ chơi, trò chơi&gt; hình&gt; truyện tranh, hoạt hình&gt; Khác</v>
      </c>
      <c r="G446" t="str">
        <f t="shared" ca="1" si="6"/>
        <v>"2084023789" : "nếu không thì",</v>
      </c>
    </row>
    <row r="447" spans="1:7" ht="14.25" customHeight="1">
      <c r="A447" s="2">
        <v>2084023721</v>
      </c>
      <c r="B447" s="2" t="s">
        <v>2979</v>
      </c>
      <c r="C447" s="2" t="s">
        <v>2980</v>
      </c>
      <c r="D447" s="2" t="s">
        <v>2982</v>
      </c>
      <c r="E447" s="4" t="str">
        <f ca="1">IFERROR(__xludf.DUMMYFUNCTION("GOOGLETRANSLATE(B447,""ja"",""vi"")"),"Kikaider")</f>
        <v>Kikaider</v>
      </c>
      <c r="F447" s="4" t="str">
        <f ca="1">IFERROR(__xludf.DUMMYFUNCTION("GOOGLETRANSLATE(C447,""ja"",""vi"")"),"Đấu giá&gt; đồ chơi, trò chơi&gt; hình&gt; hiệu ứng đặc biệt&gt; Kikaider")</f>
        <v>Đấu giá&gt; đồ chơi, trò chơi&gt; hình&gt; hiệu ứng đặc biệt&gt; Kikaider</v>
      </c>
      <c r="G447" t="str">
        <f t="shared" ca="1" si="6"/>
        <v>"2084023721" : "Kikaider",</v>
      </c>
    </row>
    <row r="448" spans="1:7" ht="14.25" customHeight="1">
      <c r="A448" s="2">
        <v>2084023722</v>
      </c>
      <c r="B448" s="2" t="s">
        <v>2985</v>
      </c>
      <c r="C448" s="2" t="s">
        <v>2986</v>
      </c>
      <c r="D448" s="2" t="s">
        <v>2988</v>
      </c>
      <c r="E448" s="4" t="str">
        <f ca="1">IFERROR(__xludf.DUMMYFUNCTION("GOOGLETRANSLATE(B448,""ja"",""vi"")"),"Robot thám")</f>
        <v>Robot thám</v>
      </c>
      <c r="F448" s="4" t="str">
        <f ca="1">IFERROR(__xludf.DUMMYFUNCTION("GOOGLETRANSLATE(C448,""ja"",""vi"")"),"Đấu giá&gt; đồ chơi, trò chơi&gt; hình&gt; hiệu ứng đặc biệt&gt; Robot Thám")</f>
        <v>Đấu giá&gt; đồ chơi, trò chơi&gt; hình&gt; hiệu ứng đặc biệt&gt; Robot Thám</v>
      </c>
      <c r="G448" t="str">
        <f t="shared" ca="1" si="6"/>
        <v>"2084023722" : "Robot thám",</v>
      </c>
    </row>
    <row r="449" spans="1:7" ht="14.25" customHeight="1">
      <c r="A449" s="2">
        <v>2084023723</v>
      </c>
      <c r="B449" s="2" t="s">
        <v>2992</v>
      </c>
      <c r="C449" s="2" t="s">
        <v>2993</v>
      </c>
      <c r="D449" s="2" t="s">
        <v>2994</v>
      </c>
      <c r="E449" s="4" t="str">
        <f ca="1">IFERROR(__xludf.DUMMYFUNCTION("GOOGLETRANSLATE(B449,""ja"",""vi"")"),"Kikaider 01")</f>
        <v>Kikaider 01</v>
      </c>
      <c r="F449" s="4" t="str">
        <f ca="1">IFERROR(__xludf.DUMMYFUNCTION("GOOGLETRANSLATE(C449,""ja"",""vi"")"),"Đấu giá&gt; đồ chơi, trò chơi&gt; hình&gt; hiệu ứng đặc biệt&gt; Kikaider 01")</f>
        <v>Đấu giá&gt; đồ chơi, trò chơi&gt; hình&gt; hiệu ứng đặc biệt&gt; Kikaider 01</v>
      </c>
      <c r="G449" t="str">
        <f t="shared" ca="1" si="6"/>
        <v>"2084023723" : "Kikaider 01",</v>
      </c>
    </row>
    <row r="450" spans="1:7" ht="14.25" customHeight="1">
      <c r="A450" s="2">
        <v>2084023623</v>
      </c>
      <c r="B450" s="2" t="s">
        <v>3000</v>
      </c>
      <c r="C450" s="2" t="s">
        <v>3001</v>
      </c>
      <c r="D450" s="2" t="s">
        <v>3002</v>
      </c>
      <c r="E450" s="4" t="str">
        <f ca="1">IFERROR(__xludf.DUMMYFUNCTION("GOOGLETRANSLATE(B450,""ja"",""vi"")"),"Ultraman")</f>
        <v>Ultraman</v>
      </c>
      <c r="F450" s="4" t="str">
        <f ca="1">IFERROR(__xludf.DUMMYFUNCTION("GOOGLETRANSLATE(C450,""ja"",""vi"")"),"Đấu giá&gt; đồ chơi, trò chơi&gt; hình&gt; hiệu ứng đặc biệt&gt; Ultraman")</f>
        <v>Đấu giá&gt; đồ chơi, trò chơi&gt; hình&gt; hiệu ứng đặc biệt&gt; Ultraman</v>
      </c>
      <c r="G450" t="str">
        <f t="shared" ca="1" si="6"/>
        <v>"2084023623" : "Ultraman",</v>
      </c>
    </row>
    <row r="451" spans="1:7" ht="14.25" customHeight="1">
      <c r="A451" s="2">
        <v>2084023745</v>
      </c>
      <c r="B451" s="2" t="s">
        <v>3007</v>
      </c>
      <c r="C451" s="2" t="s">
        <v>3008</v>
      </c>
      <c r="D451" s="2" t="s">
        <v>3009</v>
      </c>
      <c r="E451" s="4" t="str">
        <f ca="1">IFERROR(__xludf.DUMMYFUNCTION("GOOGLETRANSLATE(B451,""ja"",""vi"")"),"Godzilla, con quái vật")</f>
        <v>Godzilla, con quái vật</v>
      </c>
      <c r="F451" s="4" t="str">
        <f ca="1">IFERROR(__xludf.DUMMYFUNCTION("GOOGLETRANSLATE(C451,""ja"",""vi"")"),"Đấu giá&gt; đồ chơi, trò chơi&gt; hình&gt; hiệu ứng đặc biệt&gt; Godzilla, quái vật")</f>
        <v>Đấu giá&gt; đồ chơi, trò chơi&gt; hình&gt; hiệu ứng đặc biệt&gt; Godzilla, quái vật</v>
      </c>
      <c r="G451" t="str">
        <f t="shared" ref="G451:G514" ca="1" si="7">CONCATENATE(CHAR(34)&amp;"",A451,""&amp;CHAR(34)," : ", CHAR(34)&amp;"",E451,""&amp;CHAR(34),",")</f>
        <v>"2084023745" : "Godzilla, con quái vật",</v>
      </c>
    </row>
    <row r="452" spans="1:7" ht="14.25" customHeight="1">
      <c r="A452" s="2">
        <v>2084023694</v>
      </c>
      <c r="B452" s="2" t="s">
        <v>3013</v>
      </c>
      <c r="C452" s="2" t="s">
        <v>3014</v>
      </c>
      <c r="D452" s="2" t="s">
        <v>3016</v>
      </c>
      <c r="E452" s="4" t="str">
        <f ca="1">IFERROR(__xludf.DUMMYFUNCTION("GOOGLETRANSLATE(B452,""ja"",""vi"")"),"kim loại Dòng")</f>
        <v>kim loại Dòng</v>
      </c>
      <c r="F452" s="4" t="str">
        <f ca="1">IFERROR(__xludf.DUMMYFUNCTION("GOOGLETRANSLATE(C452,""ja"",""vi"")"),"Đấu giá&gt; đồ chơi, trò chơi&gt; hình&gt; hiệu ứng đặc biệt&gt; kim loại Dòng")</f>
        <v>Đấu giá&gt; đồ chơi, trò chơi&gt; hình&gt; hiệu ứng đặc biệt&gt; kim loại Dòng</v>
      </c>
      <c r="G452" t="str">
        <f t="shared" ca="1" si="7"/>
        <v>"2084023694" : "kim loại Dòng",</v>
      </c>
    </row>
    <row r="453" spans="1:7" ht="14.25" customHeight="1">
      <c r="A453" s="2">
        <v>2084023644</v>
      </c>
      <c r="B453" s="2" t="s">
        <v>3019</v>
      </c>
      <c r="C453" s="2" t="s">
        <v>3021</v>
      </c>
      <c r="D453" s="2" t="s">
        <v>3023</v>
      </c>
      <c r="E453" s="4" t="str">
        <f ca="1">IFERROR(__xludf.DUMMYFUNCTION("GOOGLETRANSLATE(B453,""ja"",""vi"")"),"masked Rider")</f>
        <v>masked Rider</v>
      </c>
      <c r="F453" s="4" t="str">
        <f ca="1">IFERROR(__xludf.DUMMYFUNCTION("GOOGLETRANSLATE(C453,""ja"",""vi"")"),"Đấu giá&gt; đồ chơi, trò chơi&gt; hình&gt; hiệu ứng đặc biệt&gt; Kamen Rider")</f>
        <v>Đấu giá&gt; đồ chơi, trò chơi&gt; hình&gt; hiệu ứng đặc biệt&gt; Kamen Rider</v>
      </c>
      <c r="G453" t="str">
        <f t="shared" ca="1" si="7"/>
        <v>"2084023644" : "masked Rider",</v>
      </c>
    </row>
    <row r="454" spans="1:7" ht="14.25" customHeight="1">
      <c r="A454" s="2">
        <v>2084023661</v>
      </c>
      <c r="B454" s="2" t="s">
        <v>3027</v>
      </c>
      <c r="C454" s="2" t="s">
        <v>3028</v>
      </c>
      <c r="D454" s="2" t="s">
        <v>3029</v>
      </c>
      <c r="E454" s="4" t="str">
        <f ca="1">IFERROR(__xludf.DUMMYFUNCTION("GOOGLETRANSLATE(B454,""ja"",""vi"")"),"Sentai Dòng")</f>
        <v>Sentai Dòng</v>
      </c>
      <c r="F454" s="4" t="str">
        <f ca="1">IFERROR(__xludf.DUMMYFUNCTION("GOOGLETRANSLATE(C454,""ja"",""vi"")"),"Đấu giá&gt; đồ chơi, trò chơi&gt; hình&gt; hiệu ứng đặc biệt&gt; Squadron Dòng")</f>
        <v>Đấu giá&gt; đồ chơi, trò chơi&gt; hình&gt; hiệu ứng đặc biệt&gt; Squadron Dòng</v>
      </c>
      <c r="G454" t="str">
        <f t="shared" ca="1" si="7"/>
        <v>"2084023661" : "Sentai Dòng",</v>
      </c>
    </row>
    <row r="455" spans="1:7" ht="14.25" customHeight="1">
      <c r="A455" s="2">
        <v>2084023719</v>
      </c>
      <c r="B455" s="2" t="s">
        <v>2966</v>
      </c>
      <c r="C455" s="2" t="s">
        <v>3037</v>
      </c>
      <c r="D455" s="2" t="s">
        <v>3039</v>
      </c>
      <c r="E455" s="4" t="str">
        <f ca="1">IFERROR(__xludf.DUMMYFUNCTION("GOOGLETRANSLATE(B455,""ja"",""vi"")"),"anh hùng Robot")</f>
        <v>anh hùng Robot</v>
      </c>
      <c r="F455" s="4" t="str">
        <f ca="1">IFERROR(__xludf.DUMMYFUNCTION("GOOGLETRANSLATE(C455,""ja"",""vi"")"),"Đấu giá&gt; đồ chơi, trò chơi&gt; hình&gt; hiệu ứng đặc biệt&gt; anh hùng Robot")</f>
        <v>Đấu giá&gt; đồ chơi, trò chơi&gt; hình&gt; hiệu ứng đặc biệt&gt; anh hùng Robot</v>
      </c>
      <c r="G455" t="str">
        <f t="shared" ca="1" si="7"/>
        <v>"2084023719" : "anh hùng Robot",</v>
      </c>
    </row>
    <row r="456" spans="1:7" ht="14.25" customHeight="1">
      <c r="A456" s="2">
        <v>2084047373</v>
      </c>
      <c r="B456" s="2" t="s">
        <v>46</v>
      </c>
      <c r="C456" s="2" t="s">
        <v>3048</v>
      </c>
      <c r="D456" s="2" t="s">
        <v>3050</v>
      </c>
      <c r="E456" s="4" t="str">
        <f ca="1">IFERROR(__xludf.DUMMYFUNCTION("GOOGLETRANSLATE(B456,""ja"",""vi"")"),"nếu không thì")</f>
        <v>nếu không thì</v>
      </c>
      <c r="F456" s="4" t="str">
        <f ca="1">IFERROR(__xludf.DUMMYFUNCTION("GOOGLETRANSLATE(C456,""ja"",""vi"")"),"Đấu giá&gt; đồ chơi, trò chơi&gt; hình&gt; hiệu ứng đặc biệt&gt; Khác")</f>
        <v>Đấu giá&gt; đồ chơi, trò chơi&gt; hình&gt; hiệu ứng đặc biệt&gt; Khác</v>
      </c>
      <c r="G456" t="str">
        <f t="shared" ca="1" si="7"/>
        <v>"2084047373" : "nếu không thì",</v>
      </c>
    </row>
    <row r="457" spans="1:7" ht="14.25" customHeight="1">
      <c r="A457" s="2">
        <v>2084236103</v>
      </c>
      <c r="B457" s="2" t="s">
        <v>3052</v>
      </c>
      <c r="C457" s="2" t="s">
        <v>3055</v>
      </c>
      <c r="D457" s="2" t="s">
        <v>3056</v>
      </c>
      <c r="E457" s="4" t="str">
        <f ca="1">IFERROR(__xludf.DUMMYFUNCTION("GOOGLETRANSLATE(B457,""ja"",""vi"")"),"Chào mừng bạn đến Pia Carrot")</f>
        <v>Chào mừng bạn đến Pia Carrot</v>
      </c>
      <c r="F457" s="4" t="str">
        <f ca="1">IFERROR(__xludf.DUMMYFUNCTION("GOOGLETRANSLATE(C457,""ja"",""vi"")"),"Đấu giá&gt; Đồ chơi, trò chơi&gt; Hình&gt; Chào mừng bạn đến với nhân vật trò chơi&gt; Pia Carrot")</f>
        <v>Đấu giá&gt; Đồ chơi, trò chơi&gt; Hình&gt; Chào mừng bạn đến với nhân vật trò chơi&gt; Pia Carrot</v>
      </c>
      <c r="G457" t="str">
        <f t="shared" ca="1" si="7"/>
        <v>"2084236103" : "Chào mừng bạn đến Pia Carrot",</v>
      </c>
    </row>
    <row r="458" spans="1:7" ht="14.25" customHeight="1">
      <c r="A458" s="2">
        <v>2084236102</v>
      </c>
      <c r="B458" s="2" t="s">
        <v>3058</v>
      </c>
      <c r="C458" s="2" t="s">
        <v>3061</v>
      </c>
      <c r="D458" s="2" t="s">
        <v>3063</v>
      </c>
      <c r="E458" s="4" t="str">
        <f ca="1">IFERROR(__xludf.DUMMYFUNCTION("GOOGLETRANSLATE(B458,""ja"",""vi"")"),"ToHeart2")</f>
        <v>ToHeart2</v>
      </c>
      <c r="F458" s="4" t="str">
        <f ca="1">IFERROR(__xludf.DUMMYFUNCTION("GOOGLETRANSLATE(C458,""ja"",""vi"")"),"Đấu giá&gt; đồ chơi, trò chơi&gt; hình&gt; nhân vật game&gt; ToHeart2")</f>
        <v>Đấu giá&gt; đồ chơi, trò chơi&gt; hình&gt; nhân vật game&gt; ToHeart2</v>
      </c>
      <c r="G458" t="str">
        <f t="shared" ca="1" si="7"/>
        <v>"2084236102" : "ToHeart2",</v>
      </c>
    </row>
    <row r="459" spans="1:7" ht="14.25" customHeight="1">
      <c r="A459" s="2">
        <v>2084305391</v>
      </c>
      <c r="B459" s="2" t="s">
        <v>653</v>
      </c>
      <c r="C459" s="2" t="s">
        <v>3066</v>
      </c>
      <c r="D459" s="2" t="s">
        <v>3070</v>
      </c>
      <c r="E459" s="4" t="str">
        <f ca="1">IFERROR(__xludf.DUMMYFUNCTION("GOOGLETRANSLATE(B459,""ja"",""vi"")"),"siêu Sonico")</f>
        <v>siêu Sonico</v>
      </c>
      <c r="F459" s="4" t="str">
        <f ca="1">IFERROR(__xludf.DUMMYFUNCTION("GOOGLETRANSLATE(C459,""ja"",""vi"")"),"Đấu giá&gt; đồ chơi, trò chơi&gt; hình&gt; nhân vật game&gt; Super Sonico")</f>
        <v>Đấu giá&gt; đồ chơi, trò chơi&gt; hình&gt; nhân vật game&gt; Super Sonico</v>
      </c>
      <c r="G459" t="str">
        <f t="shared" ca="1" si="7"/>
        <v>"2084305391" : "siêu Sonico",</v>
      </c>
    </row>
    <row r="460" spans="1:7" ht="14.25" customHeight="1">
      <c r="A460" s="2">
        <v>2084040566</v>
      </c>
      <c r="B460" s="2" t="s">
        <v>908</v>
      </c>
      <c r="C460" s="2" t="s">
        <v>3074</v>
      </c>
      <c r="D460" s="2" t="s">
        <v>3077</v>
      </c>
      <c r="E460" s="4" t="str">
        <f ca="1">IFERROR(__xludf.DUMMYFUNCTION("GOOGLETRANSLATE(B460,""ja"",""vi"")"),"Memorial Tokimeki")</f>
        <v>Memorial Tokimeki</v>
      </c>
      <c r="F460" s="4" t="str">
        <f ca="1">IFERROR(__xludf.DUMMYFUNCTION("GOOGLETRANSLATE(C460,""ja"",""vi"")"),"Đấu giá&gt; đồ chơi, trò chơi&gt; hình&gt; nhân vật game&gt; Tokimeki Memorial")</f>
        <v>Đấu giá&gt; đồ chơi, trò chơi&gt; hình&gt; nhân vật game&gt; Tokimeki Memorial</v>
      </c>
      <c r="G460" t="str">
        <f t="shared" ca="1" si="7"/>
        <v>"2084040566" : "Memorial Tokimeki",</v>
      </c>
    </row>
    <row r="461" spans="1:7" ht="14.25" customHeight="1">
      <c r="A461" s="2">
        <v>2084239890</v>
      </c>
      <c r="B461" s="2" t="s">
        <v>3080</v>
      </c>
      <c r="C461" s="2" t="s">
        <v>3081</v>
      </c>
      <c r="D461" s="2" t="s">
        <v>3083</v>
      </c>
      <c r="E461" s="4" t="str">
        <f ca="1">IFERROR(__xludf.DUMMYFUNCTION("GOOGLETRANSLATE(B461,""ja"",""vi"")"),"Idol Thạc sĩ")</f>
        <v>Idol Thạc sĩ</v>
      </c>
      <c r="F461" s="4" t="str">
        <f ca="1">IFERROR(__xludf.DUMMYFUNCTION("GOOGLETRANSLATE(C461,""ja"",""vi"")"),"Đấu giá&gt; đồ chơi, trò chơi&gt; hình&gt; nhân vật game&gt; The Idol Thạc sĩ")</f>
        <v>Đấu giá&gt; đồ chơi, trò chơi&gt; hình&gt; nhân vật game&gt; The Idol Thạc sĩ</v>
      </c>
      <c r="G461" t="str">
        <f t="shared" ca="1" si="7"/>
        <v>"2084239890" : "Idol Thạc sĩ",</v>
      </c>
    </row>
    <row r="462" spans="1:7" ht="14.25" customHeight="1">
      <c r="A462" s="2">
        <v>2084048365</v>
      </c>
      <c r="B462" s="2" t="s">
        <v>3087</v>
      </c>
      <c r="C462" s="2" t="s">
        <v>3088</v>
      </c>
      <c r="D462" s="2" t="s">
        <v>3089</v>
      </c>
      <c r="E462" s="4" t="str">
        <f ca="1">IFERROR(__xludf.DUMMYFUNCTION("GOOGLETRANSLATE(B462,""ja"",""vi"")"),"KINGDOM HEARTS")</f>
        <v>KINGDOM HEARTS</v>
      </c>
      <c r="F462" s="4" t="str">
        <f ca="1">IFERROR(__xludf.DUMMYFUNCTION("GOOGLETRANSLATE(C462,""ja"",""vi"")"),"Đấu giá&gt; đồ chơi, trò chơi&gt; hình&gt; nhân vật game&gt; Kingdom Hearts")</f>
        <v>Đấu giá&gt; đồ chơi, trò chơi&gt; hình&gt; nhân vật game&gt; Kingdom Hearts</v>
      </c>
      <c r="G462" t="str">
        <f t="shared" ca="1" si="7"/>
        <v>"2084048365" : "KINGDOM HEARTS",</v>
      </c>
    </row>
    <row r="463" spans="1:7" ht="14.25" customHeight="1">
      <c r="A463" s="2">
        <v>2084236100</v>
      </c>
      <c r="B463" s="2" t="s">
        <v>3093</v>
      </c>
      <c r="C463" s="2" t="s">
        <v>3094</v>
      </c>
      <c r="D463" s="2" t="s">
        <v>3095</v>
      </c>
      <c r="E463" s="4" t="str">
        <f ca="1">IFERROR(__xludf.DUMMYFUNCTION("GOOGLETRANSLATE(B463,""ja"",""vi"")"),"Blade Queen")</f>
        <v>Blade Queen</v>
      </c>
      <c r="F463" s="4" t="str">
        <f ca="1">IFERROR(__xludf.DUMMYFUNCTION("GOOGLETRANSLATE(C463,""ja"",""vi"")"),"Đấu giá&gt; đồ chơi, trò chơi&gt; hình&gt; nhân vật game&gt; Queen Blade")</f>
        <v>Đấu giá&gt; đồ chơi, trò chơi&gt; hình&gt; nhân vật game&gt; Queen Blade</v>
      </c>
      <c r="G463" t="str">
        <f t="shared" ca="1" si="7"/>
        <v>"2084236100" : "Blade Queen",</v>
      </c>
    </row>
    <row r="464" spans="1:7" ht="14.25" customHeight="1">
      <c r="A464" s="2">
        <v>2084040565</v>
      </c>
      <c r="B464" s="2" t="s">
        <v>2061</v>
      </c>
      <c r="C464" s="2" t="s">
        <v>3099</v>
      </c>
      <c r="D464" s="2" t="s">
        <v>3102</v>
      </c>
      <c r="E464" s="4" t="str">
        <f ca="1">IFERROR(__xludf.DUMMYFUNCTION("GOOGLETRANSLATE(B464,""ja"",""vi"")"),"Sakura Wars")</f>
        <v>Sakura Wars</v>
      </c>
      <c r="F464" s="4" t="str">
        <f ca="1">IFERROR(__xludf.DUMMYFUNCTION("GOOGLETRANSLATE(C464,""ja"",""vi"")"),"Đấu giá&gt; đồ chơi, trò chơi&gt; hình&gt; nhân vật game&gt; Sakura Wars")</f>
        <v>Đấu giá&gt; đồ chơi, trò chơi&gt; hình&gt; nhân vật game&gt; Sakura Wars</v>
      </c>
      <c r="G464" t="str">
        <f t="shared" ca="1" si="7"/>
        <v>"2084040565" : "Sakura Wars",</v>
      </c>
    </row>
    <row r="465" spans="1:7" ht="14.25" customHeight="1">
      <c r="A465" s="2">
        <v>2084236105</v>
      </c>
      <c r="B465" s="2" t="s">
        <v>3105</v>
      </c>
      <c r="C465" s="2" t="s">
        <v>3106</v>
      </c>
      <c r="D465" s="2" t="s">
        <v>3107</v>
      </c>
      <c r="E465" s="4" t="str">
        <f ca="1">IFERROR(__xludf.DUMMYFUNCTION("GOOGLETRANSLATE(B465,""ja"",""vi"")"),"Samurai Spirits")</f>
        <v>Samurai Spirits</v>
      </c>
      <c r="F465" s="4" t="str">
        <f ca="1">IFERROR(__xludf.DUMMYFUNCTION("GOOGLETRANSLATE(C465,""ja"",""vi"")"),"Đấu giá&gt; đồ chơi, trò chơi&gt; hình&gt; nhân vật game&gt; Samurai Spirits")</f>
        <v>Đấu giá&gt; đồ chơi, trò chơi&gt; hình&gt; nhân vật game&gt; Samurai Spirits</v>
      </c>
      <c r="G465" t="str">
        <f t="shared" ca="1" si="7"/>
        <v>"2084236105" : "Samurai Spirits",</v>
      </c>
    </row>
    <row r="466" spans="1:7" ht="14.25" customHeight="1">
      <c r="A466" s="2">
        <v>2084236101</v>
      </c>
      <c r="B466" s="2" t="s">
        <v>3111</v>
      </c>
      <c r="C466" s="2" t="s">
        <v>3112</v>
      </c>
      <c r="D466" s="2" t="s">
        <v>3113</v>
      </c>
      <c r="E466" s="4" t="str">
        <f ca="1">IFERROR(__xludf.DUMMYFUNCTION("GOOGLETRANSLATE(B466,""ja"",""vi"")"),"Shining gió")</f>
        <v>Shining gió</v>
      </c>
      <c r="F466" s="4" t="str">
        <f ca="1">IFERROR(__xludf.DUMMYFUNCTION("GOOGLETRANSLATE(C466,""ja"",""vi"")"),"Đấu giá&gt; đồ chơi, trò chơi&gt; hình&gt; nhân vật game&gt; Shining Gió")</f>
        <v>Đấu giá&gt; đồ chơi, trò chơi&gt; hình&gt; nhân vật game&gt; Shining Gió</v>
      </c>
      <c r="G466" t="str">
        <f t="shared" ca="1" si="7"/>
        <v>"2084236101" : "Shining gió",</v>
      </c>
    </row>
    <row r="467" spans="1:7" ht="14.25" customHeight="1">
      <c r="A467" s="2">
        <v>2084222830</v>
      </c>
      <c r="B467" s="2" t="s">
        <v>3118</v>
      </c>
      <c r="C467" s="2" t="s">
        <v>3120</v>
      </c>
      <c r="D467" s="2" t="s">
        <v>3122</v>
      </c>
      <c r="E467" s="4" t="str">
        <f ca="1">IFERROR(__xludf.DUMMYFUNCTION("GOOGLETRANSLATE(B467,""ja"",""vi"")"),"super Mario")</f>
        <v>super Mario</v>
      </c>
      <c r="F467" s="4" t="str">
        <f ca="1">IFERROR(__xludf.DUMMYFUNCTION("GOOGLETRANSLATE(C467,""ja"",""vi"")"),"Đấu giá&gt; đồ chơi, trò chơi&gt; hình&gt; nhân vật game&gt; Super Mario")</f>
        <v>Đấu giá&gt; đồ chơi, trò chơi&gt; hình&gt; nhân vật game&gt; Super Mario</v>
      </c>
      <c r="G467" t="str">
        <f t="shared" ca="1" si="7"/>
        <v>"2084222830" : "super Mario",</v>
      </c>
    </row>
    <row r="468" spans="1:7" ht="14.25" customHeight="1">
      <c r="A468" s="2">
        <v>2084236104</v>
      </c>
      <c r="B468" s="2" t="s">
        <v>3127</v>
      </c>
      <c r="C468" s="2" t="s">
        <v>3128</v>
      </c>
      <c r="D468" s="2" t="s">
        <v>3130</v>
      </c>
      <c r="E468" s="4" t="str">
        <f ca="1">IFERROR(__xludf.DUMMYFUNCTION("GOOGLETRANSLATE(B468,""ja"",""vi"")"),"Super Robot Wars")</f>
        <v>Super Robot Wars</v>
      </c>
      <c r="F468" s="4" t="str">
        <f ca="1">IFERROR(__xludf.DUMMYFUNCTION("GOOGLETRANSLATE(C468,""ja"",""vi"")"),"Đấu giá&gt; đồ chơi, trò chơi&gt; hình&gt; nhân vật game&gt; Super Robot Wars")</f>
        <v>Đấu giá&gt; đồ chơi, trò chơi&gt; hình&gt; nhân vật game&gt; Super Robot Wars</v>
      </c>
      <c r="G468" t="str">
        <f t="shared" ca="1" si="7"/>
        <v>"2084236104" : "Super Robot Wars",</v>
      </c>
    </row>
    <row r="469" spans="1:7" ht="14.25" customHeight="1">
      <c r="A469" s="2">
        <v>2084236580</v>
      </c>
      <c r="B469" s="2" t="s">
        <v>3134</v>
      </c>
      <c r="C469" s="2" t="s">
        <v>3136</v>
      </c>
      <c r="D469" s="2" t="s">
        <v>3137</v>
      </c>
      <c r="E469" s="4" t="str">
        <f ca="1">IFERROR(__xludf.DUMMYFUNCTION("GOOGLETRANSLATE(B469,""ja"",""vi"")"),"street fighter")</f>
        <v>street fighter</v>
      </c>
      <c r="F469" s="4" t="str">
        <f ca="1">IFERROR(__xludf.DUMMYFUNCTION("GOOGLETRANSLATE(C469,""ja"",""vi"")"),"Đấu giá&gt; đồ chơi, trò chơi&gt; hình&gt; nhân vật game&gt; Street Fighter")</f>
        <v>Đấu giá&gt; đồ chơi, trò chơi&gt; hình&gt; nhân vật game&gt; Street Fighter</v>
      </c>
      <c r="G469" t="str">
        <f t="shared" ca="1" si="7"/>
        <v>"2084236580" : "street fighter",</v>
      </c>
    </row>
    <row r="470" spans="1:7" ht="14.25" customHeight="1">
      <c r="A470" s="2">
        <v>2084040567</v>
      </c>
      <c r="B470" s="2" t="s">
        <v>3142</v>
      </c>
      <c r="C470" s="2" t="s">
        <v>3144</v>
      </c>
      <c r="D470" s="2" t="s">
        <v>3146</v>
      </c>
      <c r="E470" s="4" t="str">
        <f ca="1">IFERROR(__xludf.DUMMYFUNCTION("GOOGLETRANSLATE(B470,""ja"",""vi"")"),"sentimental Graffiti")</f>
        <v>sentimental Graffiti</v>
      </c>
      <c r="F470" s="4" t="str">
        <f ca="1">IFERROR(__xludf.DUMMYFUNCTION("GOOGLETRANSLATE(C470,""ja"",""vi"")"),"Đấu giá&gt; đồ chơi, trò chơi&gt; hình&gt; nhân vật game&gt; Sentimental Graffiti")</f>
        <v>Đấu giá&gt; đồ chơi, trò chơi&gt; hình&gt; nhân vật game&gt; Sentimental Graffiti</v>
      </c>
      <c r="G470" t="str">
        <f t="shared" ca="1" si="7"/>
        <v>"2084040567" : "sentimental Graffiti",</v>
      </c>
    </row>
    <row r="471" spans="1:7" ht="14.25" customHeight="1">
      <c r="A471" s="2">
        <v>2084040569</v>
      </c>
      <c r="B471" s="2" t="s">
        <v>992</v>
      </c>
      <c r="C471" s="2" t="s">
        <v>3153</v>
      </c>
      <c r="D471" s="2" t="s">
        <v>3155</v>
      </c>
      <c r="E471" s="4" t="str">
        <f ca="1">IFERROR(__xludf.DUMMYFUNCTION("GOOGLETRANSLATE(B471,""ja"",""vi"")"),"quái vật kỹ thuật số")</f>
        <v>quái vật kỹ thuật số</v>
      </c>
      <c r="F471" s="4" t="str">
        <f ca="1">IFERROR(__xludf.DUMMYFUNCTION("GOOGLETRANSLATE(C471,""ja"",""vi"")"),"Đấu giá&gt; đồ chơi, trò chơi&gt; hình&gt; trò chơi nhân vật&gt; Monsters kỹ thuật số")</f>
        <v>Đấu giá&gt; đồ chơi, trò chơi&gt; hình&gt; trò chơi nhân vật&gt; Monsters kỹ thuật số</v>
      </c>
      <c r="G471" t="str">
        <f t="shared" ca="1" si="7"/>
        <v>"2084040569" : "quái vật kỹ thuật số",</v>
      </c>
    </row>
    <row r="472" spans="1:7" ht="14.25" customHeight="1">
      <c r="A472" s="2">
        <v>2084063700</v>
      </c>
      <c r="B472" s="2" t="s">
        <v>3157</v>
      </c>
      <c r="C472" s="2" t="s">
        <v>3160</v>
      </c>
      <c r="D472" s="2" t="s">
        <v>3162</v>
      </c>
      <c r="E472" s="4" t="str">
        <f ca="1">IFERROR(__xludf.DUMMYFUNCTION("GOOGLETRANSLATE(B472,""ja"",""vi"")"),"Dead or Alive")</f>
        <v>Dead or Alive</v>
      </c>
      <c r="F472" s="4" t="str">
        <f ca="1">IFERROR(__xludf.DUMMYFUNCTION("GOOGLETRANSLATE(C472,""ja"",""vi"")"),"Đấu giá&gt; đồ chơi, trò chơi&gt; hình&gt; nhân vật game&gt; Dead or Alive")</f>
        <v>Đấu giá&gt; đồ chơi, trò chơi&gt; hình&gt; nhân vật game&gt; Dead or Alive</v>
      </c>
      <c r="G472" t="str">
        <f t="shared" ca="1" si="7"/>
        <v>"2084063700" : "Dead or Alive",</v>
      </c>
    </row>
    <row r="473" spans="1:7" ht="14.25" customHeight="1">
      <c r="A473" s="2">
        <v>2084063703</v>
      </c>
      <c r="B473" s="2" t="s">
        <v>3166</v>
      </c>
      <c r="C473" s="2" t="s">
        <v>3168</v>
      </c>
      <c r="D473" s="2" t="s">
        <v>3169</v>
      </c>
      <c r="E473" s="4" t="str">
        <f ca="1">IFERROR(__xludf.DUMMYFUNCTION("GOOGLETRANSLATE(B473,""ja"",""vi"")"),"dragon Quest")</f>
        <v>dragon Quest</v>
      </c>
      <c r="F473" s="4" t="str">
        <f ca="1">IFERROR(__xludf.DUMMYFUNCTION("GOOGLETRANSLATE(C473,""ja"",""vi"")"),"Đấu giá&gt; đồ chơi, trò chơi&gt; hình&gt; nhân vật game&gt; Dragon Quest")</f>
        <v>Đấu giá&gt; đồ chơi, trò chơi&gt; hình&gt; nhân vật game&gt; Dragon Quest</v>
      </c>
      <c r="G473" t="str">
        <f t="shared" ca="1" si="7"/>
        <v>"2084063703" : "dragon Quest",</v>
      </c>
    </row>
    <row r="474" spans="1:7" ht="14.25" customHeight="1">
      <c r="A474" s="2">
        <v>2084040568</v>
      </c>
      <c r="B474" s="2" t="s">
        <v>3174</v>
      </c>
      <c r="C474" s="2" t="s">
        <v>3176</v>
      </c>
      <c r="D474" s="2" t="s">
        <v>3178</v>
      </c>
      <c r="E474" s="4" t="str">
        <f ca="1">IFERROR(__xludf.DUMMYFUNCTION("GOOGLETRANSLATE(B474,""ja"",""vi"")"),"Final fantasy")</f>
        <v>Final fantasy</v>
      </c>
      <c r="F474" s="4" t="str">
        <f ca="1">IFERROR(__xludf.DUMMYFUNCTION("GOOGLETRANSLATE(C474,""ja"",""vi"")"),"Đấu giá&gt; đồ chơi, trò chơi&gt; hình&gt; nhân vật game&gt; Final Fantasy")</f>
        <v>Đấu giá&gt; đồ chơi, trò chơi&gt; hình&gt; nhân vật game&gt; Final Fantasy</v>
      </c>
      <c r="G474" t="str">
        <f t="shared" ca="1" si="7"/>
        <v>"2084040568" : "Final fantasy",</v>
      </c>
    </row>
    <row r="475" spans="1:7" ht="14.25" customHeight="1">
      <c r="A475" s="2">
        <v>2084305394</v>
      </c>
      <c r="B475" s="2" t="s">
        <v>3183</v>
      </c>
      <c r="C475" s="2" t="s">
        <v>3185</v>
      </c>
      <c r="D475" s="2" t="s">
        <v>3186</v>
      </c>
      <c r="E475" s="4" t="str">
        <f ca="1">IFERROR(__xludf.DUMMYFUNCTION("GOOGLETRANSLATE(B475,""ja"",""vi"")"),"Persona loạt")</f>
        <v>Persona loạt</v>
      </c>
      <c r="F475" s="4" t="str">
        <f ca="1">IFERROR(__xludf.DUMMYFUNCTION("GOOGLETRANSLATE(C475,""ja"",""vi"")"),"Đấu giá&gt; đồ chơi, trò chơi&gt; hình&gt; trò chơi nhân vật&gt; Persona loạt")</f>
        <v>Đấu giá&gt; đồ chơi, trò chơi&gt; hình&gt; trò chơi nhân vật&gt; Persona loạt</v>
      </c>
      <c r="G475" t="str">
        <f t="shared" ca="1" si="7"/>
        <v>"2084305394" : "Persona loạt",</v>
      </c>
    </row>
    <row r="476" spans="1:7" ht="14.25" customHeight="1">
      <c r="A476" s="2">
        <v>2084236581</v>
      </c>
      <c r="B476" s="2" t="s">
        <v>3191</v>
      </c>
      <c r="C476" s="2" t="s">
        <v>3192</v>
      </c>
      <c r="D476" s="2" t="s">
        <v>3193</v>
      </c>
      <c r="E476" s="4" t="str">
        <f ca="1">IFERROR(__xludf.DUMMYFUNCTION("GOOGLETRANSLATE(B476,""ja"",""vi"")"),"monster Hunter")</f>
        <v>monster Hunter</v>
      </c>
      <c r="F476" s="4" t="str">
        <f ca="1">IFERROR(__xludf.DUMMYFUNCTION("GOOGLETRANSLATE(C476,""ja"",""vi"")"),"Đấu giá&gt; đồ chơi, trò chơi&gt; hình&gt; trò chơi nhân vật&gt; Monster Hunter")</f>
        <v>Đấu giá&gt; đồ chơi, trò chơi&gt; hình&gt; trò chơi nhân vật&gt; Monster Hunter</v>
      </c>
      <c r="G476" t="str">
        <f t="shared" ca="1" si="7"/>
        <v>"2084236581" : "monster Hunter",</v>
      </c>
    </row>
    <row r="477" spans="1:7" ht="14.25" customHeight="1">
      <c r="A477" s="2">
        <v>2084305395</v>
      </c>
      <c r="B477" s="2" t="s">
        <v>3200</v>
      </c>
      <c r="C477" s="2" t="s">
        <v>3201</v>
      </c>
      <c r="D477" s="2" t="s">
        <v>3202</v>
      </c>
      <c r="E477" s="4" t="str">
        <f ca="1">IFERROR(__xludf.DUMMYFUNCTION("GOOGLETRANSLATE(B477,""ja"",""vi"")"),"love Plus")</f>
        <v>love Plus</v>
      </c>
      <c r="F477" s="4" t="str">
        <f ca="1">IFERROR(__xludf.DUMMYFUNCTION("GOOGLETRANSLATE(C477,""ja"",""vi"")"),"Đấu giá&gt; đồ chơi, trò chơi&gt; hình&gt; nhân vật game&gt; Love Plus")</f>
        <v>Đấu giá&gt; đồ chơi, trò chơi&gt; hình&gt; nhân vật game&gt; Love Plus</v>
      </c>
      <c r="G477" t="str">
        <f t="shared" ca="1" si="7"/>
        <v>"2084305395" : "love Plus",</v>
      </c>
    </row>
    <row r="478" spans="1:7" ht="14.25" customHeight="1">
      <c r="A478" s="2">
        <v>2084239892</v>
      </c>
      <c r="B478" s="2" t="s">
        <v>3208</v>
      </c>
      <c r="C478" s="2" t="s">
        <v>3210</v>
      </c>
      <c r="D478" s="2" t="s">
        <v>3211</v>
      </c>
      <c r="E478" s="4" t="str">
        <f ca="1">IFERROR(__xludf.DUMMYFUNCTION("GOOGLETRANSLATE(B478,""ja"",""vi"")"),"Little Busters!")</f>
        <v>Little Busters!</v>
      </c>
      <c r="F478" s="4" t="str">
        <f ca="1">IFERROR(__xludf.DUMMYFUNCTION("GOOGLETRANSLATE(C478,""ja"",""vi"")"),"Đấu giá&gt; đồ chơi, trò chơi&gt; hình&gt; trò chơi nhân vật&gt; Little Busters!")</f>
        <v>Đấu giá&gt; đồ chơi, trò chơi&gt; hình&gt; trò chơi nhân vật&gt; Little Busters!</v>
      </c>
      <c r="G478" t="str">
        <f t="shared" ca="1" si="7"/>
        <v>"2084239892" : "Little Busters!",</v>
      </c>
    </row>
    <row r="479" spans="1:7" ht="14.25" customHeight="1">
      <c r="A479" s="2">
        <v>2084242881</v>
      </c>
      <c r="B479" s="2" t="s">
        <v>851</v>
      </c>
      <c r="C479" s="2" t="s">
        <v>3215</v>
      </c>
      <c r="D479" s="2" t="s">
        <v>3218</v>
      </c>
      <c r="E479" s="4" t="str">
        <f ca="1">IFERROR(__xludf.DUMMYFUNCTION("GOOGLETRANSLATE(B479,""ja"",""vi"")"),"Sengoku Basara")</f>
        <v>Sengoku Basara</v>
      </c>
      <c r="F479" s="4" t="str">
        <f ca="1">IFERROR(__xludf.DUMMYFUNCTION("GOOGLETRANSLATE(C479,""ja"",""vi"")"),"Đấu giá&gt; đồ chơi, trò chơi&gt; hình&gt; nhân vật game&gt; Sengoku BASABA")</f>
        <v>Đấu giá&gt; đồ chơi, trò chơi&gt; hình&gt; nhân vật game&gt; Sengoku BASABA</v>
      </c>
      <c r="G479" t="str">
        <f t="shared" ca="1" si="7"/>
        <v>"2084242881" : "Sengoku Basara",</v>
      </c>
    </row>
    <row r="480" spans="1:7" ht="14.25" customHeight="1">
      <c r="A480" s="2">
        <v>2084242882</v>
      </c>
      <c r="B480" s="2" t="s">
        <v>1142</v>
      </c>
      <c r="C480" s="2" t="s">
        <v>3222</v>
      </c>
      <c r="D480" s="2" t="s">
        <v>3224</v>
      </c>
      <c r="E480" s="4" t="str">
        <f ca="1">IFERROR(__xludf.DUMMYFUNCTION("GOOGLETRANSLATE(B480,""ja"",""vi"")"),"Dự án Đông")</f>
        <v>Dự án Đông</v>
      </c>
      <c r="F480" s="4" t="str">
        <f ca="1">IFERROR(__xludf.DUMMYFUNCTION("GOOGLETRANSLATE(C480,""ja"",""vi"")"),"Đấu giá&gt; đồ chơi, trò chơi&gt; hình&gt; nhân vật game&gt; Touhou Project")</f>
        <v>Đấu giá&gt; đồ chơi, trò chơi&gt; hình&gt; nhân vật game&gt; Touhou Project</v>
      </c>
      <c r="G480" t="str">
        <f t="shared" ca="1" si="7"/>
        <v>"2084242882" : "Dự án Đông",</v>
      </c>
    </row>
    <row r="481" spans="1:7" ht="14.25" customHeight="1">
      <c r="A481" s="2">
        <v>2084236099</v>
      </c>
      <c r="B481" s="2" t="s">
        <v>3228</v>
      </c>
      <c r="C481" s="2" t="s">
        <v>3229</v>
      </c>
      <c r="D481" s="2" t="s">
        <v>3231</v>
      </c>
      <c r="E481" s="4" t="str">
        <f ca="1">IFERROR(__xludf.DUMMYFUNCTION("GOOGLETRANSLATE(B481,""ja"",""vi"")"),"vũ trang Shinki")</f>
        <v>vũ trang Shinki</v>
      </c>
      <c r="F481" s="4" t="str">
        <f ca="1">IFERROR(__xludf.DUMMYFUNCTION("GOOGLETRANSLATE(C481,""ja"",""vi"")"),"Đấu giá&gt; đồ chơi, trò chơi&gt; hình&gt; nhân vật game&gt; trang Shinki")</f>
        <v>Đấu giá&gt; đồ chơi, trò chơi&gt; hình&gt; nhân vật game&gt; trang Shinki</v>
      </c>
      <c r="G481" t="str">
        <f t="shared" ca="1" si="7"/>
        <v>"2084236099" : "vũ trang Shinki",</v>
      </c>
    </row>
    <row r="482" spans="1:7" ht="14.25" customHeight="1">
      <c r="A482" s="2">
        <v>2084040570</v>
      </c>
      <c r="B482" s="2" t="s">
        <v>46</v>
      </c>
      <c r="C482" s="2" t="s">
        <v>3236</v>
      </c>
      <c r="D482" s="2" t="s">
        <v>3237</v>
      </c>
      <c r="E482" s="4" t="str">
        <f ca="1">IFERROR(__xludf.DUMMYFUNCTION("GOOGLETRANSLATE(B482,""ja"",""vi"")"),"nếu không thì")</f>
        <v>nếu không thì</v>
      </c>
      <c r="F482" s="4" t="str">
        <f ca="1">IFERROR(__xludf.DUMMYFUNCTION("GOOGLETRANSLATE(C482,""ja"",""vi"")"),"Đấu giá&gt; đồ chơi, trò chơi&gt; hình&gt; nhân vật trò chơi&gt; Khác")</f>
        <v>Đấu giá&gt; đồ chơi, trò chơi&gt; hình&gt; nhân vật trò chơi&gt; Khác</v>
      </c>
      <c r="G482" t="str">
        <f t="shared" ca="1" si="7"/>
        <v>"2084040570" : "nếu không thì",</v>
      </c>
    </row>
    <row r="483" spans="1:7" ht="14.25" customHeight="1">
      <c r="A483" s="2">
        <v>2084040561</v>
      </c>
      <c r="B483" s="2" t="s">
        <v>3242</v>
      </c>
      <c r="C483" s="2" t="s">
        <v>3245</v>
      </c>
      <c r="D483" s="2" t="s">
        <v>3248</v>
      </c>
      <c r="E483" s="4" t="str">
        <f ca="1">IFERROR(__xludf.DUMMYFUNCTION("GOOGLETRANSLATE(B483,""ja"",""vi"")"),"Friday the 13th")</f>
        <v>Friday the 13th</v>
      </c>
      <c r="F483" s="4" t="str">
        <f ca="1">IFERROR(__xludf.DUMMYFUNCTION("GOOGLETRANSLATE(C483,""ja"",""vi"")"),"Đấu giá&gt; đồ chơi, trò chơi&gt; hình&gt; SF, tưởng tượng, kinh dị&gt; Friday the 13th")</f>
        <v>Đấu giá&gt; đồ chơi, trò chơi&gt; hình&gt; SF, tưởng tượng, kinh dị&gt; Friday the 13th</v>
      </c>
      <c r="G483" t="str">
        <f t="shared" ca="1" si="7"/>
        <v>"2084040561" : "Friday the 13th",</v>
      </c>
    </row>
    <row r="484" spans="1:7" ht="14.25" customHeight="1">
      <c r="A484" s="2">
        <v>2084242884</v>
      </c>
      <c r="B484" s="2" t="s">
        <v>3252</v>
      </c>
      <c r="C484" s="2" t="s">
        <v>3256</v>
      </c>
      <c r="D484" s="2" t="s">
        <v>3257</v>
      </c>
      <c r="E484" s="4" t="str">
        <f ca="1">IFERROR(__xludf.DUMMYFUNCTION("GOOGLETRANSLATE(B484,""ja"",""vi"")"),"iron Man")</f>
        <v>iron Man</v>
      </c>
      <c r="F484" s="4" t="str">
        <f ca="1">IFERROR(__xludf.DUMMYFUNCTION("GOOGLETRANSLATE(C484,""ja"",""vi"")"),"Đấu giá&gt; đồ chơi, trò chơi&gt; hình&gt; SF, tưởng tượng, kinh dị&gt; Iron Man")</f>
        <v>Đấu giá&gt; đồ chơi, trò chơi&gt; hình&gt; SF, tưởng tượng, kinh dị&gt; Iron Man</v>
      </c>
      <c r="G484" t="str">
        <f t="shared" ca="1" si="7"/>
        <v>"2084242884" : "iron Man",</v>
      </c>
    </row>
    <row r="485" spans="1:7" ht="14.25" customHeight="1">
      <c r="A485" s="2">
        <v>2084040558</v>
      </c>
      <c r="B485" s="2" t="s">
        <v>3263</v>
      </c>
      <c r="C485" s="2" t="s">
        <v>3265</v>
      </c>
      <c r="D485" s="2" t="s">
        <v>3266</v>
      </c>
      <c r="E485" s="4" t="str">
        <f ca="1">IFERROR(__xludf.DUMMYFUNCTION("GOOGLETRANSLATE(B485,""ja"",""vi"")"),"Alien")</f>
        <v>Alien</v>
      </c>
      <c r="F485" s="4" t="str">
        <f ca="1">IFERROR(__xludf.DUMMYFUNCTION("GOOGLETRANSLATE(C485,""ja"",""vi"")"),"Đấu giá&gt; đồ chơi, trò chơi&gt; hình&gt; SF, tưởng tượng, kinh dị&gt; Alien")</f>
        <v>Đấu giá&gt; đồ chơi, trò chơi&gt; hình&gt; SF, tưởng tượng, kinh dị&gt; Alien</v>
      </c>
      <c r="G485" t="str">
        <f t="shared" ca="1" si="7"/>
        <v>"2084040558" : "Alien",</v>
      </c>
    </row>
    <row r="486" spans="1:7" ht="14.25" customHeight="1">
      <c r="A486" s="2">
        <v>2084040560</v>
      </c>
      <c r="B486" s="2" t="s">
        <v>3271</v>
      </c>
      <c r="C486" s="2" t="s">
        <v>3273</v>
      </c>
      <c r="D486" s="2" t="s">
        <v>3275</v>
      </c>
      <c r="E486" s="4" t="str">
        <f ca="1">IFERROR(__xludf.DUMMYFUNCTION("GOOGLETRANSLATE(B486,""ja"",""vi"")"),"Nightmare on Elm Street")</f>
        <v>Nightmare on Elm Street</v>
      </c>
      <c r="F486" s="4" t="str">
        <f ca="1">IFERROR(__xludf.DUMMYFUNCTION("GOOGLETRANSLATE(C486,""ja"",""vi"")"),"Đấu giá&gt; đồ chơi, trò chơi&gt; hình&gt; SF, tưởng tượng, kinh dị&gt; Nightmare on Elm Street")</f>
        <v>Đấu giá&gt; đồ chơi, trò chơi&gt; hình&gt; SF, tưởng tượng, kinh dị&gt; Nightmare on Elm Street</v>
      </c>
      <c r="G486" t="str">
        <f t="shared" ca="1" si="7"/>
        <v>"2084040560" : "Nightmare on Elm Street",</v>
      </c>
    </row>
    <row r="487" spans="1:7" ht="14.25" customHeight="1">
      <c r="A487" s="2">
        <v>2084040585</v>
      </c>
      <c r="B487" s="2" t="s">
        <v>3278</v>
      </c>
      <c r="C487" s="2" t="s">
        <v>3280</v>
      </c>
      <c r="D487" s="2" t="s">
        <v>3282</v>
      </c>
      <c r="E487" s="4" t="str">
        <f ca="1">IFERROR(__xludf.DUMMYFUNCTION("GOOGLETRANSLATE(B487,""ja"",""vi"")"),"The Nightmare Before Christmas")</f>
        <v>The Nightmare Before Christmas</v>
      </c>
      <c r="F487" s="4" t="str">
        <f ca="1">IFERROR(__xludf.DUMMYFUNCTION("GOOGLETRANSLATE(C487,""ja"",""vi"")"),"Đấu giá&gt; đồ chơi, trò chơi&gt; hình&gt; SF, tưởng tượng, kinh dị&gt; The Nightmare Before Christmas")</f>
        <v>Đấu giá&gt; đồ chơi, trò chơi&gt; hình&gt; SF, tưởng tượng, kinh dị&gt; The Nightmare Before Christmas</v>
      </c>
      <c r="G487" t="str">
        <f t="shared" ca="1" si="7"/>
        <v>"2084040585" : "The Nightmare Before Christmas",</v>
      </c>
    </row>
    <row r="488" spans="1:7" ht="14.25" customHeight="1">
      <c r="A488" s="2">
        <v>40577</v>
      </c>
      <c r="B488" s="2" t="s">
        <v>3286</v>
      </c>
      <c r="C488" s="2" t="s">
        <v>3288</v>
      </c>
      <c r="D488" s="2" t="s">
        <v>3290</v>
      </c>
      <c r="E488" s="4" t="str">
        <f ca="1">IFERROR(__xludf.DUMMYFUNCTION("GOOGLETRANSLATE(B488,""ja"",""vi"")"),"Star Wars loạt")</f>
        <v>Star Wars loạt</v>
      </c>
      <c r="F488" s="4" t="str">
        <f ca="1">IFERROR(__xludf.DUMMYFUNCTION("GOOGLETRANSLATE(C488,""ja"",""vi"")"),"Đấu giá&gt; đồ chơi, trò chơi&gt; hình&gt; SF, tưởng tượng, kinh dị&gt; Star Wars loạt")</f>
        <v>Đấu giá&gt; đồ chơi, trò chơi&gt; hình&gt; SF, tưởng tượng, kinh dị&gt; Star Wars loạt</v>
      </c>
      <c r="G488" t="str">
        <f t="shared" ca="1" si="7"/>
        <v>"40577" : "Star Wars loạt",</v>
      </c>
    </row>
    <row r="489" spans="1:7" ht="14.25" customHeight="1">
      <c r="A489" s="2">
        <v>2084023848</v>
      </c>
      <c r="B489" s="2" t="s">
        <v>3293</v>
      </c>
      <c r="C489" s="2" t="s">
        <v>3295</v>
      </c>
      <c r="D489" s="2" t="s">
        <v>3296</v>
      </c>
      <c r="E489" s="4" t="str">
        <f ca="1">IFERROR(__xludf.DUMMYFUNCTION("GOOGLETRANSLATE(B489,""ja"",""vi"")"),"star trek")</f>
        <v>star trek</v>
      </c>
      <c r="F489" s="4" t="str">
        <f ca="1">IFERROR(__xludf.DUMMYFUNCTION("GOOGLETRANSLATE(C489,""ja"",""vi"")"),"Đấu giá&gt; đồ chơi, trò chơi&gt; hình&gt; SF, tưởng tượng, kinh dị&gt; Star Trek")</f>
        <v>Đấu giá&gt; đồ chơi, trò chơi&gt; hình&gt; SF, tưởng tượng, kinh dị&gt; Star Trek</v>
      </c>
      <c r="G489" t="str">
        <f t="shared" ca="1" si="7"/>
        <v>"2084023848" : "star trek",</v>
      </c>
    </row>
    <row r="490" spans="1:7" ht="14.25" customHeight="1">
      <c r="A490" s="2">
        <v>2084242883</v>
      </c>
      <c r="B490" s="2" t="s">
        <v>3299</v>
      </c>
      <c r="C490" s="2" t="s">
        <v>3300</v>
      </c>
      <c r="D490" s="2" t="s">
        <v>3301</v>
      </c>
      <c r="E490" s="4" t="str">
        <f ca="1">IFERROR(__xludf.DUMMYFUNCTION("GOOGLETRANSLATE(B490,""ja"",""vi"")"),"Terminator")</f>
        <v>Terminator</v>
      </c>
      <c r="F490" s="4" t="str">
        <f ca="1">IFERROR(__xludf.DUMMYFUNCTION("GOOGLETRANSLATE(C490,""ja"",""vi"")"),"Đấu giá&gt; đồ chơi, trò chơi&gt; hình&gt; SF, tưởng tượng, kinh dị&gt; terminator")</f>
        <v>Đấu giá&gt; đồ chơi, trò chơi&gt; hình&gt; SF, tưởng tượng, kinh dị&gt; terminator</v>
      </c>
      <c r="G490" t="str">
        <f t="shared" ca="1" si="7"/>
        <v>"2084242883" : "Terminator",</v>
      </c>
    </row>
    <row r="491" spans="1:7" ht="14.25" customHeight="1">
      <c r="A491" s="2">
        <v>2084040559</v>
      </c>
      <c r="B491" s="2" t="s">
        <v>3303</v>
      </c>
      <c r="C491" s="2" t="s">
        <v>3304</v>
      </c>
      <c r="D491" s="2" t="s">
        <v>3305</v>
      </c>
      <c r="E491" s="4" t="str">
        <f ca="1">IFERROR(__xludf.DUMMYFUNCTION("GOOGLETRANSLATE(B491,""ja"",""vi"")"),"Predator")</f>
        <v>Predator</v>
      </c>
      <c r="F491" s="4" t="str">
        <f ca="1">IFERROR(__xludf.DUMMYFUNCTION("GOOGLETRANSLATE(C491,""ja"",""vi"")"),"Đấu giá&gt; đồ chơi, trò chơi&gt; hình&gt; SF, tưởng tượng, kinh dị&gt; Predator")</f>
        <v>Đấu giá&gt; đồ chơi, trò chơi&gt; hình&gt; SF, tưởng tượng, kinh dị&gt; Predator</v>
      </c>
      <c r="G491" t="str">
        <f t="shared" ca="1" si="7"/>
        <v>"2084040559" : "Predator",</v>
      </c>
    </row>
    <row r="492" spans="1:7" ht="14.25" customHeight="1">
      <c r="A492" s="2">
        <v>2084040563</v>
      </c>
      <c r="B492" s="2" t="s">
        <v>3308</v>
      </c>
      <c r="C492" s="2" t="s">
        <v>3309</v>
      </c>
      <c r="D492" s="2" t="s">
        <v>3310</v>
      </c>
      <c r="E492" s="4" t="str">
        <f ca="1">IFERROR(__xludf.DUMMYFUNCTION("GOOGLETRANSLATE(B492,""ja"",""vi"")"),"Planet of the Apes")</f>
        <v>Planet of the Apes</v>
      </c>
      <c r="F492" s="4" t="str">
        <f ca="1">IFERROR(__xludf.DUMMYFUNCTION("GOOGLETRANSLATE(C492,""ja"",""vi"")"),"Đấu giá&gt; đồ chơi, trò chơi&gt; hình&gt; SF, tưởng tượng, kinh dị&gt; Planet of the Apes")</f>
        <v>Đấu giá&gt; đồ chơi, trò chơi&gt; hình&gt; SF, tưởng tượng, kinh dị&gt; Planet of the Apes</v>
      </c>
      <c r="G492" t="str">
        <f t="shared" ca="1" si="7"/>
        <v>"2084040563" : "Planet of the Apes",</v>
      </c>
    </row>
    <row r="493" spans="1:7" ht="14.25" customHeight="1">
      <c r="A493" s="2">
        <v>2084046903</v>
      </c>
      <c r="B493" s="2" t="s">
        <v>46</v>
      </c>
      <c r="C493" s="2" t="s">
        <v>3313</v>
      </c>
      <c r="D493" s="2" t="s">
        <v>3314</v>
      </c>
      <c r="E493" s="4" t="str">
        <f ca="1">IFERROR(__xludf.DUMMYFUNCTION("GOOGLETRANSLATE(B493,""ja"",""vi"")"),"nếu không thì")</f>
        <v>nếu không thì</v>
      </c>
      <c r="F493" s="4" t="str">
        <f ca="1">IFERROR(__xludf.DUMMYFUNCTION("GOOGLETRANSLATE(C493,""ja"",""vi"")"),"Đấu giá&gt; đồ chơi, trò chơi&gt; hình&gt; SF, tưởng tượng, kinh dị&gt; Khác")</f>
        <v>Đấu giá&gt; đồ chơi, trò chơi&gt; hình&gt; SF, tưởng tượng, kinh dị&gt; Khác</v>
      </c>
      <c r="G493" t="str">
        <f t="shared" ca="1" si="7"/>
        <v>"2084046903" : "nếu không thì",</v>
      </c>
    </row>
    <row r="494" spans="1:7" ht="14.25" customHeight="1">
      <c r="A494" s="2">
        <v>2084023775</v>
      </c>
      <c r="B494" s="2" t="s">
        <v>3317</v>
      </c>
      <c r="C494" s="2" t="s">
        <v>3318</v>
      </c>
      <c r="D494" s="2" t="s">
        <v>3319</v>
      </c>
      <c r="E494" s="4" t="str">
        <f ca="1">IFERROR(__xludf.DUMMYFUNCTION("GOOGLETRANSLATE(B494,""ja"",""vi"")"),"X-Men")</f>
        <v>X-Men</v>
      </c>
      <c r="F494" s="4" t="str">
        <f ca="1">IFERROR(__xludf.DUMMYFUNCTION("GOOGLETRANSLATE(C494,""ja"",""vi"")"),"Đấu giá&gt; Đồ chơi, trò chơi&gt; Hình&gt; Mỹ truyện tranh&gt; X-Men")</f>
        <v>Đấu giá&gt; Đồ chơi, trò chơi&gt; Hình&gt; Mỹ truyện tranh&gt; X-Men</v>
      </c>
      <c r="G494" t="str">
        <f t="shared" ca="1" si="7"/>
        <v>"2084023775" : "X-Men",</v>
      </c>
    </row>
    <row r="495" spans="1:7" ht="14.25" customHeight="1">
      <c r="A495" s="2">
        <v>2084023772</v>
      </c>
      <c r="B495" s="2" t="s">
        <v>3322</v>
      </c>
      <c r="C495" s="2" t="s">
        <v>3324</v>
      </c>
      <c r="D495" s="2" t="s">
        <v>3326</v>
      </c>
      <c r="E495" s="4" t="str">
        <f ca="1">IFERROR(__xludf.DUMMYFUNCTION("GOOGLETRANSLATE(B495,""ja"",""vi"")"),"siêu nhân")</f>
        <v>siêu nhân</v>
      </c>
      <c r="F495" s="4" t="str">
        <f ca="1">IFERROR(__xludf.DUMMYFUNCTION("GOOGLETRANSLATE(C495,""ja"",""vi"")"),"Đấu giá&gt; Đồ chơi, trò chơi&gt; Hình&gt; truyện tranh Mỹ&gt; Superman")</f>
        <v>Đấu giá&gt; Đồ chơi, trò chơi&gt; Hình&gt; truyện tranh Mỹ&gt; Superman</v>
      </c>
      <c r="G495" t="str">
        <f t="shared" ca="1" si="7"/>
        <v>"2084023772" : "siêu nhân",</v>
      </c>
    </row>
    <row r="496" spans="1:7" ht="14.25" customHeight="1">
      <c r="A496" s="2">
        <v>2084023771</v>
      </c>
      <c r="B496" s="2" t="s">
        <v>3327</v>
      </c>
      <c r="C496" s="2" t="s">
        <v>3328</v>
      </c>
      <c r="D496" s="2" t="s">
        <v>3330</v>
      </c>
      <c r="E496" s="4" t="str">
        <f ca="1">IFERROR(__xludf.DUMMYFUNCTION("GOOGLETRANSLATE(B496,""ja"",""vi"")"),"Spider man")</f>
        <v>Spider man</v>
      </c>
      <c r="F496" s="4" t="str">
        <f ca="1">IFERROR(__xludf.DUMMYFUNCTION("GOOGLETRANSLATE(C496,""ja"",""vi"")"),"Đấu giá&gt; Đồ chơi, trò chơi&gt; Hình&gt; Mỹ truyện tranh&gt; Spider-Man")</f>
        <v>Đấu giá&gt; Đồ chơi, trò chơi&gt; Hình&gt; Mỹ truyện tranh&gt; Spider-Man</v>
      </c>
      <c r="G496" t="str">
        <f t="shared" ca="1" si="7"/>
        <v>"2084023771" : "Spider man",</v>
      </c>
    </row>
    <row r="497" spans="1:7" ht="14.25" customHeight="1">
      <c r="A497" s="2">
        <v>2084040694</v>
      </c>
      <c r="B497" s="2" t="s">
        <v>3333</v>
      </c>
      <c r="C497" s="2" t="s">
        <v>3335</v>
      </c>
      <c r="D497" s="2" t="s">
        <v>3338</v>
      </c>
      <c r="E497" s="4" t="str">
        <f ca="1">IFERROR(__xludf.DUMMYFUNCTION("GOOGLETRANSLATE(B497,""ja"",""vi"")"),"đẻ trứng")</f>
        <v>đẻ trứng</v>
      </c>
      <c r="F497" s="4" t="str">
        <f ca="1">IFERROR(__xludf.DUMMYFUNCTION("GOOGLETRANSLATE(C497,""ja"",""vi"")"),"Đấu giá&gt; Đồ chơi, trò chơi&gt; Hình&gt; Mỹ truyện tranh&gt; spawn")</f>
        <v>Đấu giá&gt; Đồ chơi, trò chơi&gt; Hình&gt; Mỹ truyện tranh&gt; spawn</v>
      </c>
      <c r="G497" t="str">
        <f t="shared" ca="1" si="7"/>
        <v>"2084040694" : "đẻ trứng",</v>
      </c>
    </row>
    <row r="498" spans="1:7" ht="14.25" customHeight="1">
      <c r="A498" s="2">
        <v>2084023773</v>
      </c>
      <c r="B498" s="2" t="s">
        <v>3342</v>
      </c>
      <c r="C498" s="2" t="s">
        <v>3344</v>
      </c>
      <c r="D498" s="2" t="s">
        <v>3345</v>
      </c>
      <c r="E498" s="4" t="str">
        <f ca="1">IFERROR(__xludf.DUMMYFUNCTION("GOOGLETRANSLATE(B498,""ja"",""vi"")"),"người phi thường")</f>
        <v>người phi thường</v>
      </c>
      <c r="F498" s="4" t="str">
        <f ca="1">IFERROR(__xludf.DUMMYFUNCTION("GOOGLETRANSLATE(C498,""ja"",""vi"")"),"Đấu giá&gt; Đồ chơi, trò chơi&gt; Hình&gt; truyện tranh Mỹ&gt; Batman")</f>
        <v>Đấu giá&gt; Đồ chơi, trò chơi&gt; Hình&gt; truyện tranh Mỹ&gt; Batman</v>
      </c>
      <c r="G498" t="str">
        <f t="shared" ca="1" si="7"/>
        <v>"2084023773" : "người phi thường",</v>
      </c>
    </row>
    <row r="499" spans="1:7" ht="14.25" customHeight="1">
      <c r="A499" s="2">
        <v>2084023777</v>
      </c>
      <c r="B499" s="2" t="s">
        <v>46</v>
      </c>
      <c r="C499" s="2" t="s">
        <v>3350</v>
      </c>
      <c r="D499" s="2" t="s">
        <v>3351</v>
      </c>
      <c r="E499" s="4" t="str">
        <f ca="1">IFERROR(__xludf.DUMMYFUNCTION("GOOGLETRANSLATE(B499,""ja"",""vi"")"),"nếu không thì")</f>
        <v>nếu không thì</v>
      </c>
      <c r="F499" s="4" t="str">
        <f ca="1">IFERROR(__xludf.DUMMYFUNCTION("GOOGLETRANSLATE(C499,""ja"",""vi"")"),"Đấu giá&gt; Đồ chơi, trò chơi&gt; Hình&gt; truyện tranh Mỹ&gt; Khác")</f>
        <v>Đấu giá&gt; Đồ chơi, trò chơi&gt; Hình&gt; truyện tranh Mỹ&gt; Khác</v>
      </c>
      <c r="G499" t="str">
        <f t="shared" ca="1" si="7"/>
        <v>"2084023777" : "nếu không thì",</v>
      </c>
    </row>
    <row r="500" spans="1:7" ht="14.25" customHeight="1">
      <c r="A500" s="2">
        <v>2084023792</v>
      </c>
      <c r="B500" s="2" t="s">
        <v>1262</v>
      </c>
      <c r="C500" s="2" t="s">
        <v>3356</v>
      </c>
      <c r="D500" s="2" t="s">
        <v>3358</v>
      </c>
      <c r="E500" s="4" t="str">
        <f ca="1">IFERROR(__xludf.DUMMYFUNCTION("GOOGLETRANSLATE(B500,""ja"",""vi"")"),"bóng đá")</f>
        <v>bóng đá</v>
      </c>
      <c r="F500" s="4" t="str">
        <f ca="1">IFERROR(__xludf.DUMMYFUNCTION("GOOGLETRANSLATE(C500,""ja"",""vi"")"),"Đấu giá&gt; Đồ chơi, trò chơi&gt; Hình&gt; Thể thao&gt; Bóng đá")</f>
        <v>Đấu giá&gt; Đồ chơi, trò chơi&gt; Hình&gt; Thể thao&gt; Bóng đá</v>
      </c>
      <c r="G500" t="str">
        <f t="shared" ca="1" si="7"/>
        <v>"2084023792" : "bóng đá",</v>
      </c>
    </row>
    <row r="501" spans="1:7" ht="14.25" customHeight="1">
      <c r="A501" s="2">
        <v>2084023793</v>
      </c>
      <c r="B501" s="2" t="s">
        <v>3362</v>
      </c>
      <c r="C501" s="2" t="s">
        <v>3363</v>
      </c>
      <c r="D501" s="2" t="s">
        <v>3365</v>
      </c>
      <c r="E501" s="4" t="str">
        <f ca="1">IFERROR(__xludf.DUMMYFUNCTION("GOOGLETRANSLATE(B501,""ja"",""vi"")"),"cái giỏ")</f>
        <v>cái giỏ</v>
      </c>
      <c r="F501" s="4" t="str">
        <f ca="1">IFERROR(__xludf.DUMMYFUNCTION("GOOGLETRANSLATE(C501,""ja"",""vi"")"),"Đấu giá&gt; Đồ chơi, trò chơi&gt; Hình&gt; Thể Thao&gt; giỏ")</f>
        <v>Đấu giá&gt; Đồ chơi, trò chơi&gt; Hình&gt; Thể Thao&gt; giỏ</v>
      </c>
      <c r="G501" t="str">
        <f t="shared" ca="1" si="7"/>
        <v>"2084023793" : "cái giỏ",</v>
      </c>
    </row>
    <row r="502" spans="1:7" ht="14.25" customHeight="1">
      <c r="A502" s="2">
        <v>2084023790</v>
      </c>
      <c r="B502" s="2" t="s">
        <v>3368</v>
      </c>
      <c r="C502" s="2" t="s">
        <v>3369</v>
      </c>
      <c r="D502" s="2" t="s">
        <v>3372</v>
      </c>
      <c r="E502" s="4" t="str">
        <f ca="1">IFERROR(__xludf.DUMMYFUNCTION("GOOGLETRANSLATE(B502,""ja"",""vi"")"),"Đấu vật, võ thuật")</f>
        <v>Đấu vật, võ thuật</v>
      </c>
      <c r="F502" s="4" t="str">
        <f ca="1">IFERROR(__xludf.DUMMYFUNCTION("GOOGLETRANSLATE(C502,""ja"",""vi"")"),"Đấu giá&gt; Đồ chơi, trò chơi&gt; Hình&gt; Thể thao&gt; Pro Wrestling, Võ")</f>
        <v>Đấu giá&gt; Đồ chơi, trò chơi&gt; Hình&gt; Thể thao&gt; Pro Wrestling, Võ</v>
      </c>
      <c r="G502" t="str">
        <f t="shared" ca="1" si="7"/>
        <v>"2084023790" : "Đấu vật, võ thuật",</v>
      </c>
    </row>
    <row r="503" spans="1:7" ht="14.25" customHeight="1">
      <c r="A503" s="2">
        <v>2084023791</v>
      </c>
      <c r="B503" s="2" t="s">
        <v>3375</v>
      </c>
      <c r="C503" s="2" t="s">
        <v>3377</v>
      </c>
      <c r="D503" s="2" t="s">
        <v>3380</v>
      </c>
      <c r="E503" s="4" t="str">
        <f ca="1">IFERROR(__xludf.DUMMYFUNCTION("GOOGLETRANSLATE(B503,""ja"",""vi"")"),"bóng chày chuyên nghiệp")</f>
        <v>bóng chày chuyên nghiệp</v>
      </c>
      <c r="F503" s="4" t="str">
        <f ca="1">IFERROR(__xludf.DUMMYFUNCTION("GOOGLETRANSLATE(C503,""ja"",""vi"")"),"Đấu giá&gt; Đồ chơi, trò chơi&gt; Hình&gt; Thể thao&gt; Bóng chày")</f>
        <v>Đấu giá&gt; Đồ chơi, trò chơi&gt; Hình&gt; Thể thao&gt; Bóng chày</v>
      </c>
      <c r="G503" t="str">
        <f t="shared" ca="1" si="7"/>
        <v>"2084023791" : "bóng chày chuyên nghiệp",</v>
      </c>
    </row>
    <row r="504" spans="1:7" ht="14.25" customHeight="1">
      <c r="A504" s="2">
        <v>2084023794</v>
      </c>
      <c r="B504" s="2" t="s">
        <v>46</v>
      </c>
      <c r="C504" s="2" t="s">
        <v>3384</v>
      </c>
      <c r="D504" s="2" t="s">
        <v>3386</v>
      </c>
      <c r="E504" s="4" t="str">
        <f ca="1">IFERROR(__xludf.DUMMYFUNCTION("GOOGLETRANSLATE(B504,""ja"",""vi"")"),"nếu không thì")</f>
        <v>nếu không thì</v>
      </c>
      <c r="F504" s="4" t="str">
        <f ca="1">IFERROR(__xludf.DUMMYFUNCTION("GOOGLETRANSLATE(C504,""ja"",""vi"")"),"Đấu giá&gt; Đồ chơi, trò chơi&gt; Hình&gt; Thể Thao&gt; Khác")</f>
        <v>Đấu giá&gt; Đồ chơi, trò chơi&gt; Hình&gt; Thể Thao&gt; Khác</v>
      </c>
      <c r="G504" t="str">
        <f t="shared" ca="1" si="7"/>
        <v>"2084023794" : "nếu không thì",</v>
      </c>
    </row>
    <row r="505" spans="1:7" ht="14.25" customHeight="1">
      <c r="A505" s="2">
        <v>2084023610</v>
      </c>
      <c r="B505" s="2" t="s">
        <v>3388</v>
      </c>
      <c r="C505" s="2" t="s">
        <v>3390</v>
      </c>
      <c r="D505" s="2" t="s">
        <v>3391</v>
      </c>
      <c r="E505" s="4" t="str">
        <f ca="1">IFERROR(__xludf.DUMMYFUNCTION("GOOGLETRANSLATE(B505,""ja"",""vi"")"),"G.I. Joe")</f>
        <v>G.I. Joe</v>
      </c>
      <c r="F505" s="4" t="str">
        <f ca="1">IFERROR(__xludf.DUMMYFUNCTION("GOOGLETRANSLATE(C505,""ja"",""vi"")"),"Đấu giá&gt; Đồ chơi, trò chơi&gt; Hình&gt; Quân sự&gt; G.I. Joe")</f>
        <v>Đấu giá&gt; Đồ chơi, trò chơi&gt; Hình&gt; Quân sự&gt; G.I. Joe</v>
      </c>
      <c r="G505" t="str">
        <f t="shared" ca="1" si="7"/>
        <v>"2084023610" : "G.I. Joe",</v>
      </c>
    </row>
    <row r="506" spans="1:7" ht="14.25" customHeight="1">
      <c r="A506" s="2">
        <v>2084236098</v>
      </c>
      <c r="B506" s="2" t="s">
        <v>3396</v>
      </c>
      <c r="C506" s="2" t="s">
        <v>3397</v>
      </c>
      <c r="D506" s="2" t="s">
        <v>3398</v>
      </c>
      <c r="E506" s="4" t="str">
        <f ca="1">IFERROR(__xludf.DUMMYFUNCTION("GOOGLETRANSLATE(B506,""ja"",""vi"")"),"Cô gái làm mát")</f>
        <v>Cô gái làm mát</v>
      </c>
      <c r="F506" s="4" t="str">
        <f ca="1">IFERROR(__xludf.DUMMYFUNCTION("GOOGLETRANSLATE(C506,""ja"",""vi"")"),"Đấu giá&gt; Đồ chơi, trò chơi&gt; Hình&gt; Quân sự&gt; Cool Girl")</f>
        <v>Đấu giá&gt; Đồ chơi, trò chơi&gt; Hình&gt; Quân sự&gt; Cool Girl</v>
      </c>
      <c r="G506" t="str">
        <f t="shared" ca="1" si="7"/>
        <v>"2084236098" : "Cô gái làm mát",</v>
      </c>
    </row>
    <row r="507" spans="1:7" ht="14.25" customHeight="1">
      <c r="A507" s="2">
        <v>2084023618</v>
      </c>
      <c r="B507" s="2" t="s">
        <v>3403</v>
      </c>
      <c r="C507" s="2" t="s">
        <v>3404</v>
      </c>
      <c r="D507" s="2" t="s">
        <v>3405</v>
      </c>
      <c r="E507" s="4" t="str">
        <f ca="1">IFERROR(__xludf.DUMMYFUNCTION("GOOGLETRANSLATE(B507,""ja"",""vi"")"),"quân phục, quần áo")</f>
        <v>quân phục, quần áo</v>
      </c>
      <c r="F507" s="4" t="str">
        <f ca="1">IFERROR(__xludf.DUMMYFUNCTION("GOOGLETRANSLATE(C507,""ja"",""vi"")"),"Đấu giá&gt; Đồ chơi, trò chơi&gt; Hình&gt; Quân sự&gt; quân phục, quần áo")</f>
        <v>Đấu giá&gt; Đồ chơi, trò chơi&gt; Hình&gt; Quân sự&gt; quân phục, quần áo</v>
      </c>
      <c r="G507" t="str">
        <f t="shared" ca="1" si="7"/>
        <v>"2084023618" : "quân phục, quần áo",</v>
      </c>
    </row>
    <row r="508" spans="1:7" ht="14.25" customHeight="1">
      <c r="A508" s="2">
        <v>2084023620</v>
      </c>
      <c r="B508" s="2" t="s">
        <v>3410</v>
      </c>
      <c r="C508" s="2" t="s">
        <v>3411</v>
      </c>
      <c r="D508" s="2" t="s">
        <v>3412</v>
      </c>
      <c r="E508" s="4" t="str">
        <f ca="1">IFERROR(__xludf.DUMMYFUNCTION("GOOGLETRANSLATE(B508,""ja"",""vi"")"),"xe cộ")</f>
        <v>xe cộ</v>
      </c>
      <c r="F508" s="4" t="str">
        <f ca="1">IFERROR(__xludf.DUMMYFUNCTION("GOOGLETRANSLATE(C508,""ja"",""vi"")"),"Đấu giá&gt; Đồ chơi, trò chơi&gt; Hình&gt; Quân sự&gt; Phương tiện đi lại")</f>
        <v>Đấu giá&gt; Đồ chơi, trò chơi&gt; Hình&gt; Quân sự&gt; Phương tiện đi lại</v>
      </c>
      <c r="G508" t="str">
        <f t="shared" ca="1" si="7"/>
        <v>"2084023620" : "xe cộ",</v>
      </c>
    </row>
    <row r="509" spans="1:7" ht="14.25" customHeight="1">
      <c r="A509" s="2">
        <v>2084023619</v>
      </c>
      <c r="B509" s="2" t="s">
        <v>3416</v>
      </c>
      <c r="C509" s="2" t="s">
        <v>3418</v>
      </c>
      <c r="D509" s="2" t="s">
        <v>3419</v>
      </c>
      <c r="E509" s="4" t="str">
        <f ca="1">IFERROR(__xludf.DUMMYFUNCTION("GOOGLETRANSLATE(B509,""ja"",""vi"")"),"Vũ khí, thiết bị cá nhân")</f>
        <v>Vũ khí, thiết bị cá nhân</v>
      </c>
      <c r="F509" s="4" t="str">
        <f ca="1">IFERROR(__xludf.DUMMYFUNCTION("GOOGLETRANSLATE(C509,""ja"",""vi"")"),"Đấu giá&gt; Đồ chơi, trò chơi&gt; Hình&gt; Quân sự&gt; Vũ khí, trang thiết bị cá nhân")</f>
        <v>Đấu giá&gt; Đồ chơi, trò chơi&gt; Hình&gt; Quân sự&gt; Vũ khí, trang thiết bị cá nhân</v>
      </c>
      <c r="G509" t="str">
        <f t="shared" ca="1" si="7"/>
        <v>"2084023619" : "Vũ khí, thiết bị cá nhân",</v>
      </c>
    </row>
    <row r="510" spans="1:7" ht="14.25" customHeight="1">
      <c r="A510" s="2">
        <v>2084023621</v>
      </c>
      <c r="B510" s="2" t="s">
        <v>46</v>
      </c>
      <c r="C510" s="2" t="s">
        <v>3423</v>
      </c>
      <c r="D510" s="2" t="s">
        <v>3424</v>
      </c>
      <c r="E510" s="4" t="str">
        <f ca="1">IFERROR(__xludf.DUMMYFUNCTION("GOOGLETRANSLATE(B510,""ja"",""vi"")"),"nếu không thì")</f>
        <v>nếu không thì</v>
      </c>
      <c r="F510" s="4" t="str">
        <f ca="1">IFERROR(__xludf.DUMMYFUNCTION("GOOGLETRANSLATE(C510,""ja"",""vi"")"),"Đấu giá&gt; Đồ chơi, trò chơi&gt; Hình&gt; Quân sự&gt; Khác")</f>
        <v>Đấu giá&gt; Đồ chơi, trò chơi&gt; Hình&gt; Quân sự&gt; Khác</v>
      </c>
      <c r="G510" t="str">
        <f t="shared" ca="1" si="7"/>
        <v>"2084023621" : "nếu không thì",</v>
      </c>
    </row>
    <row r="511" spans="1:7" ht="14.25" customHeight="1">
      <c r="A511" s="2">
        <v>2084020055</v>
      </c>
      <c r="B511" s="2" t="s">
        <v>3429</v>
      </c>
      <c r="C511" s="2" t="s">
        <v>3430</v>
      </c>
      <c r="D511" s="2" t="s">
        <v>3432</v>
      </c>
      <c r="E511" s="4" t="str">
        <f ca="1">IFERROR(__xludf.DUMMYFUNCTION("GOOGLETRANSLATE(B511,""ja"",""vi"")"),"Paddington Gấu")</f>
        <v>Paddington Gấu</v>
      </c>
      <c r="F511" s="4" t="str">
        <f ca="1">IFERROR(__xludf.DUMMYFUNCTION("GOOGLETRANSLATE(C511,""ja"",""vi"")"),"Đấu giá&gt; đồ chơi, trò chơi&gt; búp bê, búp bê nhân vật&gt; nhân vật búp bê&gt; Paddington Gấu")</f>
        <v>Đấu giá&gt; đồ chơi, trò chơi&gt; búp bê, búp bê nhân vật&gt; nhân vật búp bê&gt; Paddington Gấu</v>
      </c>
      <c r="G511" t="str">
        <f t="shared" ca="1" si="7"/>
        <v>"2084020055" : "Paddington Gấu",</v>
      </c>
    </row>
    <row r="512" spans="1:7" ht="14.25" customHeight="1">
      <c r="A512" s="2">
        <v>2084020052</v>
      </c>
      <c r="B512" s="2" t="s">
        <v>3434</v>
      </c>
      <c r="C512" s="2" t="s">
        <v>3436</v>
      </c>
      <c r="D512" s="2" t="s">
        <v>3439</v>
      </c>
      <c r="E512" s="4" t="str">
        <f ca="1">IFERROR(__xludf.DUMMYFUNCTION("GOOGLETRANSLATE(B512,""ja"",""vi"")"),"Babar voi")</f>
        <v>Babar voi</v>
      </c>
      <c r="F512" s="4" t="str">
        <f ca="1">IFERROR(__xludf.DUMMYFUNCTION("GOOGLETRANSLATE(C512,""ja"",""vi"")"),"Đấu giá&gt; đồ chơi, trò chơi&gt; búp bê, búp bê nhân vật&gt; nhân vật búp bê&gt; voi Babar")</f>
        <v>Đấu giá&gt; đồ chơi, trò chơi&gt; búp bê, búp bê nhân vật&gt; nhân vật búp bê&gt; voi Babar</v>
      </c>
      <c r="G512" t="str">
        <f t="shared" ca="1" si="7"/>
        <v>"2084020052" : "Babar voi",</v>
      </c>
    </row>
    <row r="513" spans="1:7" ht="14.25" customHeight="1">
      <c r="A513" s="2">
        <v>2084020034</v>
      </c>
      <c r="B513" s="2" t="s">
        <v>3441</v>
      </c>
      <c r="C513" s="2" t="s">
        <v>3444</v>
      </c>
      <c r="D513" s="2" t="s">
        <v>3447</v>
      </c>
      <c r="E513" s="4" t="str">
        <f ca="1">IFERROR(__xludf.DUMMYFUNCTION("GOOGLETRANSLATE(B513,""ja"",""vi"")"),"Tarepanda")</f>
        <v>Tarepanda</v>
      </c>
      <c r="F513" s="4" t="str">
        <f ca="1">IFERROR(__xludf.DUMMYFUNCTION("GOOGLETRANSLATE(C513,""ja"",""vi"")"),"Đấu giá&gt; đồ chơi, trò chơi&gt; búp bê, búp bê nhân vật&gt; nhân vật búp bê&gt; tarepanda")</f>
        <v>Đấu giá&gt; đồ chơi, trò chơi&gt; búp bê, búp bê nhân vật&gt; nhân vật búp bê&gt; tarepanda</v>
      </c>
      <c r="G513" t="str">
        <f t="shared" ca="1" si="7"/>
        <v>"2084020034" : "Tarepanda",</v>
      </c>
    </row>
    <row r="514" spans="1:7" ht="14.25" customHeight="1">
      <c r="A514" s="2">
        <v>2084020035</v>
      </c>
      <c r="B514" s="2" t="s">
        <v>922</v>
      </c>
      <c r="C514" s="2" t="s">
        <v>3450</v>
      </c>
      <c r="D514" s="2" t="s">
        <v>3452</v>
      </c>
      <c r="E514" s="4" t="str">
        <f ca="1">IFERROR(__xludf.DUMMYFUNCTION("GOOGLETRANSLATE(B514,""ja"",""vi"")"),"My Neighbor Totoro")</f>
        <v>My Neighbor Totoro</v>
      </c>
      <c r="F514" s="4" t="str">
        <f ca="1">IFERROR(__xludf.DUMMYFUNCTION("GOOGLETRANSLATE(C514,""ja"",""vi"")"),"Đấu giá&gt; đồ chơi, trò chơi&gt; búp bê, búp bê nhân vật&gt; nhân vật búp bê&gt; My Neighbor Totoro")</f>
        <v>Đấu giá&gt; đồ chơi, trò chơi&gt; búp bê, búp bê nhân vật&gt; nhân vật búp bê&gt; My Neighbor Totoro</v>
      </c>
      <c r="G514" t="str">
        <f t="shared" ca="1" si="7"/>
        <v>"2084020035" : "My Neighbor Totoro",</v>
      </c>
    </row>
    <row r="515" spans="1:7" ht="14.25" customHeight="1">
      <c r="A515" s="2">
        <v>2084020061</v>
      </c>
      <c r="B515" s="2" t="s">
        <v>3454</v>
      </c>
      <c r="C515" s="2" t="s">
        <v>3456</v>
      </c>
      <c r="D515" s="2" t="s">
        <v>3457</v>
      </c>
      <c r="E515" s="4" t="str">
        <f ca="1">IFERROR(__xludf.DUMMYFUNCTION("GOOGLETRANSLATE(B515,""ja"",""vi"")"),"Dokodemoissyo")</f>
        <v>Dokodemoissyo</v>
      </c>
      <c r="F515" s="4" t="str">
        <f ca="1">IFERROR(__xludf.DUMMYFUNCTION("GOOGLETRANSLATE(C515,""ja"",""vi"")"),"Đấu giá&gt; đồ chơi, trò chơi&gt; búp bê, búp bê nhân vật&gt; nhân vật búp bê&gt; Dokodemoissyo")</f>
        <v>Đấu giá&gt; đồ chơi, trò chơi&gt; búp bê, búp bê nhân vật&gt; nhân vật búp bê&gt; Dokodemoissyo</v>
      </c>
      <c r="G515" t="str">
        <f t="shared" ref="G515:G578" ca="1" si="8">CONCATENATE(CHAR(34)&amp;"",A515,""&amp;CHAR(34)," : ", CHAR(34)&amp;"",E515,""&amp;CHAR(34),",")</f>
        <v>"2084020061" : "Dokodemoissyo",</v>
      </c>
    </row>
    <row r="516" spans="1:7" ht="14.25" customHeight="1">
      <c r="A516" s="2">
        <v>2084020056</v>
      </c>
      <c r="B516" s="2" t="s">
        <v>3460</v>
      </c>
      <c r="C516" s="2" t="s">
        <v>3461</v>
      </c>
      <c r="D516" s="2" t="s">
        <v>3462</v>
      </c>
      <c r="E516" s="4" t="str">
        <f ca="1">IFERROR(__xludf.DUMMYFUNCTION("GOOGLETRANSLATE(B516,""ja"",""vi"")"),"Curious George")</f>
        <v>Curious George</v>
      </c>
      <c r="F516" s="4" t="str">
        <f ca="1">IFERROR(__xludf.DUMMYFUNCTION("GOOGLETRANSLATE(C516,""ja"",""vi"")"),"Đấu giá&gt; đồ chơi, trò chơi&gt; búp bê, búp bê nhân vật&gt; nhân vật búp bê&gt; Curious George")</f>
        <v>Đấu giá&gt; đồ chơi, trò chơi&gt; búp bê, búp bê nhân vật&gt; nhân vật búp bê&gt; Curious George</v>
      </c>
      <c r="G516" t="str">
        <f t="shared" ca="1" si="8"/>
        <v>"2084020056" : "Curious George",</v>
      </c>
    </row>
    <row r="517" spans="1:7" ht="14.25" customHeight="1">
      <c r="A517" s="2">
        <v>2084020050</v>
      </c>
      <c r="B517" s="2" t="s">
        <v>210</v>
      </c>
      <c r="C517" s="2" t="s">
        <v>3465</v>
      </c>
      <c r="D517" s="2" t="s">
        <v>3466</v>
      </c>
      <c r="E517" s="4" t="str">
        <f ca="1">IFERROR(__xludf.DUMMYFUNCTION("GOOGLETRANSLATE(B517,""ja"",""vi"")"),"Anpanman")</f>
        <v>Anpanman</v>
      </c>
      <c r="F517" s="4" t="str">
        <f ca="1">IFERROR(__xludf.DUMMYFUNCTION("GOOGLETRANSLATE(C517,""ja"",""vi"")"),"Đấu giá&gt; đồ chơi, trò chơi&gt; búp bê, búp bê nhân vật&gt; nhân vật búp bê&gt; Anpanman")</f>
        <v>Đấu giá&gt; đồ chơi, trò chơi&gt; búp bê, búp bê nhân vật&gt; nhân vật búp bê&gt; Anpanman</v>
      </c>
      <c r="G517" t="str">
        <f t="shared" ca="1" si="8"/>
        <v>"2084020050" : "Anpanman",</v>
      </c>
    </row>
    <row r="518" spans="1:7" ht="14.25" customHeight="1">
      <c r="A518" s="2">
        <v>2084020042</v>
      </c>
      <c r="B518" s="2" t="s">
        <v>3468</v>
      </c>
      <c r="C518" s="2" t="s">
        <v>3469</v>
      </c>
      <c r="D518" s="2" t="s">
        <v>3470</v>
      </c>
      <c r="E518" s="4" t="str">
        <f ca="1">IFERROR(__xludf.DUMMYFUNCTION("GOOGLETRANSLATE(B518,""ja"",""vi"")"),"chim gõ kiến")</f>
        <v>chim gõ kiến</v>
      </c>
      <c r="F518" s="4" t="str">
        <f ca="1">IFERROR(__xludf.DUMMYFUNCTION("GOOGLETRANSLATE(C518,""ja"",""vi"")"),"Đấu giá&gt; đồ chơi, trò chơi&gt; búp bê, búp bê nhân vật&gt; nhân vật búp bê&gt; chim gõ kiến")</f>
        <v>Đấu giá&gt; đồ chơi, trò chơi&gt; búp bê, búp bê nhân vật&gt; nhân vật búp bê&gt; chim gõ kiến</v>
      </c>
      <c r="G518" t="str">
        <f t="shared" ca="1" si="8"/>
        <v>"2084020042" : "chim gõ kiến",</v>
      </c>
    </row>
    <row r="519" spans="1:7" ht="14.25" customHeight="1">
      <c r="A519" s="2">
        <v>2084020047</v>
      </c>
      <c r="B519" s="2" t="s">
        <v>3473</v>
      </c>
      <c r="C519" s="2" t="s">
        <v>3474</v>
      </c>
      <c r="D519" s="2" t="s">
        <v>3475</v>
      </c>
      <c r="E519" s="4" t="str">
        <f ca="1">IFERROR(__xludf.DUMMYFUNCTION("GOOGLETRANSLATE(B519,""ja"",""vi"")"),"Q Taro của ma")</f>
        <v>Q Taro của ma</v>
      </c>
      <c r="F519" s="4" t="str">
        <f ca="1">IFERROR(__xludf.DUMMYFUNCTION("GOOGLETRANSLATE(C519,""ja"",""vi"")"),"Đấu giá&gt; đồ chơi, trò chơi&gt; búp bê, Q Taro của búp bê nhân vật&gt; nhân vật búp bê&gt; ma")</f>
        <v>Đấu giá&gt; đồ chơi, trò chơi&gt; búp bê, Q Taro của búp bê nhân vật&gt; nhân vật búp bê&gt; ma</v>
      </c>
      <c r="G519" t="str">
        <f t="shared" ca="1" si="8"/>
        <v>"2084020047" : "Q Taro của ma",</v>
      </c>
    </row>
    <row r="520" spans="1:7" ht="14.25" customHeight="1">
      <c r="A520" s="2">
        <v>2084020036</v>
      </c>
      <c r="B520" s="2" t="s">
        <v>3479</v>
      </c>
      <c r="C520" s="2" t="s">
        <v>3481</v>
      </c>
      <c r="D520" s="2" t="s">
        <v>3483</v>
      </c>
      <c r="E520" s="4" t="str">
        <f ca="1">IFERROR(__xludf.DUMMYFUNCTION("GOOGLETRANSLATE(B520,""ja"",""vi"")"),"Garfield")</f>
        <v>Garfield</v>
      </c>
      <c r="F520" s="4" t="str">
        <f ca="1">IFERROR(__xludf.DUMMYFUNCTION("GOOGLETRANSLATE(C520,""ja"",""vi"")"),"Đấu giá&gt; đồ chơi, trò chơi&gt; búp bê, búp bê nhân vật&gt; nhân vật búp bê&gt; Garfield")</f>
        <v>Đấu giá&gt; đồ chơi, trò chơi&gt; búp bê, búp bê nhân vật&gt; nhân vật búp bê&gt; Garfield</v>
      </c>
      <c r="G520" t="str">
        <f t="shared" ca="1" si="8"/>
        <v>"2084020036" : "Garfield",</v>
      </c>
    </row>
    <row r="521" spans="1:7" ht="14.25" customHeight="1">
      <c r="A521" s="2">
        <v>2084020037</v>
      </c>
      <c r="B521" s="2" t="s">
        <v>3488</v>
      </c>
      <c r="C521" s="2" t="s">
        <v>3489</v>
      </c>
      <c r="D521" s="2" t="s">
        <v>3492</v>
      </c>
      <c r="E521" s="4" t="str">
        <f ca="1">IFERROR(__xludf.DUMMYFUNCTION("GOOGLETRANSLATE(B521,""ja"",""vi"")"),"Casper")</f>
        <v>Casper</v>
      </c>
      <c r="F521" s="4" t="str">
        <f ca="1">IFERROR(__xludf.DUMMYFUNCTION("GOOGLETRANSLATE(C521,""ja"",""vi"")"),"Đấu giá&gt; đồ chơi, trò chơi&gt; búp bê, búp bê nhân vật&gt; nhân vật búp bê&gt; Casper")</f>
        <v>Đấu giá&gt; đồ chơi, trò chơi&gt; búp bê, búp bê nhân vật&gt; nhân vật búp bê&gt; Casper</v>
      </c>
      <c r="G521" t="str">
        <f t="shared" ca="1" si="8"/>
        <v>"2084020037" : "Casper",</v>
      </c>
    </row>
    <row r="522" spans="1:7" ht="14.25" customHeight="1">
      <c r="A522" s="2">
        <v>2084020016</v>
      </c>
      <c r="B522" s="2" t="s">
        <v>3495</v>
      </c>
      <c r="C522" s="2" t="s">
        <v>3498</v>
      </c>
      <c r="D522" s="2" t="s">
        <v>3500</v>
      </c>
      <c r="E522" s="4" t="str">
        <f ca="1">IFERROR(__xludf.DUMMYFUNCTION("GOOGLETRANSLATE(B522,""ja"",""vi"")"),"Kewpie")</f>
        <v>Kewpie</v>
      </c>
      <c r="F522" s="4" t="str">
        <f ca="1">IFERROR(__xludf.DUMMYFUNCTION("GOOGLETRANSLATE(C522,""ja"",""vi"")"),"Đấu giá&gt; đồ chơi, trò chơi&gt; búp bê, búp bê nhân vật&gt; nhân vật búp bê&gt; Kewpie")</f>
        <v>Đấu giá&gt; đồ chơi, trò chơi&gt; búp bê, búp bê nhân vật&gt; nhân vật búp bê&gt; Kewpie</v>
      </c>
      <c r="G522" t="str">
        <f t="shared" ca="1" si="8"/>
        <v>"2084020016" : "Kewpie",</v>
      </c>
    </row>
    <row r="523" spans="1:7" ht="14.25" customHeight="1">
      <c r="A523" s="2">
        <v>2084048015</v>
      </c>
      <c r="B523" s="2" t="s">
        <v>3502</v>
      </c>
      <c r="C523" s="2" t="s">
        <v>3505</v>
      </c>
      <c r="D523" s="2" t="s">
        <v>3507</v>
      </c>
      <c r="E523" s="4" t="str">
        <f ca="1">IFERROR(__xludf.DUMMYFUNCTION("GOOGLETRANSLATE(B523,""ja"",""vi"")"),"Kubrick, gạch trần")</f>
        <v>Kubrick, gạch trần</v>
      </c>
      <c r="F523" s="4" t="str">
        <f ca="1">IFERROR(__xludf.DUMMYFUNCTION("GOOGLETRANSLATE(C523,""ja"",""vi"")"),"Đấu giá&gt; đồ chơi, trò chơi&gt; búp bê, búp bê nhân vật&gt; nhân vật búp bê&gt; Kubrick, gạch trần")</f>
        <v>Đấu giá&gt; đồ chơi, trò chơi&gt; búp bê, búp bê nhân vật&gt; nhân vật búp bê&gt; Kubrick, gạch trần</v>
      </c>
      <c r="G523" t="str">
        <f t="shared" ca="1" si="8"/>
        <v>"2084048015" : "Kubrick, gạch trần",</v>
      </c>
    </row>
    <row r="524" spans="1:7" ht="14.25" customHeight="1">
      <c r="A524" s="2">
        <v>2084020058</v>
      </c>
      <c r="B524" s="2" t="s">
        <v>3511</v>
      </c>
      <c r="C524" s="2" t="s">
        <v>3512</v>
      </c>
      <c r="D524" s="2" t="s">
        <v>3513</v>
      </c>
      <c r="E524" s="4" t="str">
        <f ca="1">IFERROR(__xludf.DUMMYFUNCTION("GOOGLETRANSLATE(B524,""ja"",""vi"")"),"Gremlin")</f>
        <v>Gremlin</v>
      </c>
      <c r="F524" s="4" t="str">
        <f ca="1">IFERROR(__xludf.DUMMYFUNCTION("GOOGLETRANSLATE(C524,""ja"",""vi"")"),"Đấu giá&gt; đồ chơi, trò chơi&gt; búp bê, búp bê nhân vật&gt; nhân vật búp bê&gt; Gremlin")</f>
        <v>Đấu giá&gt; đồ chơi, trò chơi&gt; búp bê, búp bê nhân vật&gt; nhân vật búp bê&gt; Gremlin</v>
      </c>
      <c r="G524" t="str">
        <f t="shared" ca="1" si="8"/>
        <v>"2084020058" : "Gremlin",</v>
      </c>
    </row>
    <row r="525" spans="1:7" ht="14.25" customHeight="1">
      <c r="A525" s="2">
        <v>2084020043</v>
      </c>
      <c r="B525" s="2" t="s">
        <v>3518</v>
      </c>
      <c r="C525" s="2" t="s">
        <v>3519</v>
      </c>
      <c r="D525" s="2" t="s">
        <v>3521</v>
      </c>
      <c r="E525" s="4" t="str">
        <f ca="1">IFERROR(__xludf.DUMMYFUNCTION("GOOGLETRANSLATE(B525,""ja"",""vi"")"),"Ken Ken")</f>
        <v>Ken Ken</v>
      </c>
      <c r="F525" s="4" t="str">
        <f ca="1">IFERROR(__xludf.DUMMYFUNCTION("GOOGLETRANSLATE(C525,""ja"",""vi"")"),"Đấu giá&gt; đồ chơi, trò chơi&gt; búp bê, búp bê nhân vật&gt; nhân vật búp bê&gt; Ken Ken")</f>
        <v>Đấu giá&gt; đồ chơi, trò chơi&gt; búp bê, búp bê nhân vật&gt; nhân vật búp bê&gt; Ken Ken</v>
      </c>
      <c r="G525" t="str">
        <f t="shared" ca="1" si="8"/>
        <v>"2084020043" : "Ken Ken",</v>
      </c>
    </row>
    <row r="526" spans="1:7" ht="14.25" customHeight="1">
      <c r="A526" s="2">
        <v>2084005261</v>
      </c>
      <c r="B526" s="2" t="s">
        <v>3526</v>
      </c>
      <c r="C526" s="2" t="s">
        <v>3528</v>
      </c>
      <c r="D526" s="2" t="s">
        <v>3529</v>
      </c>
      <c r="E526" s="4" t="str">
        <f ca="1">IFERROR(__xludf.DUMMYFUNCTION("GOOGLETRANSLATE(B526,""ja"",""vi"")"),"Gia đình Sylvanian")</f>
        <v>Gia đình Sylvanian</v>
      </c>
      <c r="F526" s="4" t="str">
        <f ca="1">IFERROR(__xludf.DUMMYFUNCTION("GOOGLETRANSLATE(C526,""ja"",""vi"")"),"Đấu giá&gt; đồ chơi, trò chơi&gt; búp bê, búp bê nhân vật&gt; nhân vật búp bê&gt; Gia đình Sylvanian")</f>
        <v>Đấu giá&gt; đồ chơi, trò chơi&gt; búp bê, búp bê nhân vật&gt; nhân vật búp bê&gt; Gia đình Sylvanian</v>
      </c>
      <c r="G526" t="str">
        <f t="shared" ca="1" si="8"/>
        <v>"2084005261" : "Gia đình Sylvanian",</v>
      </c>
    </row>
    <row r="527" spans="1:7" ht="14.25" customHeight="1">
      <c r="A527" s="2">
        <v>2084020051</v>
      </c>
      <c r="B527" s="2" t="s">
        <v>3534</v>
      </c>
      <c r="C527" s="2" t="s">
        <v>3535</v>
      </c>
      <c r="D527" s="2" t="s">
        <v>3536</v>
      </c>
      <c r="E527" s="4" t="str">
        <f ca="1">IFERROR(__xludf.DUMMYFUNCTION("GOOGLETRANSLATE(B527,""ja"",""vi"")"),"người tuyết được nắn")</f>
        <v>người tuyết được nắn</v>
      </c>
      <c r="F527" s="4" t="str">
        <f ca="1">IFERROR(__xludf.DUMMYFUNCTION("GOOGLETRANSLATE(C527,""ja"",""vi"")"),"Đấu giá&gt; đồ chơi, trò chơi&gt; búp bê, búp bê nhân vật&gt; nhân vật búp bê&gt; snowman")</f>
        <v>Đấu giá&gt; đồ chơi, trò chơi&gt; búp bê, búp bê nhân vật&gt; nhân vật búp bê&gt; snowman</v>
      </c>
      <c r="G527" t="str">
        <f t="shared" ca="1" si="8"/>
        <v>"2084020051" : "người tuyết được nắn",</v>
      </c>
    </row>
    <row r="528" spans="1:7" ht="14.25" customHeight="1">
      <c r="A528" s="2">
        <v>2084034100</v>
      </c>
      <c r="B528" s="2" t="s">
        <v>3541</v>
      </c>
      <c r="C528" s="2" t="s">
        <v>3542</v>
      </c>
      <c r="D528" s="2" t="s">
        <v>3543</v>
      </c>
      <c r="E528" s="4" t="str">
        <f ca="1">IFERROR(__xludf.DUMMYFUNCTION("GOOGLETRANSLATE(B528,""ja"",""vi"")"),"The Smurfs")</f>
        <v>The Smurfs</v>
      </c>
      <c r="F528" s="4" t="str">
        <f ca="1">IFERROR(__xludf.DUMMYFUNCTION("GOOGLETRANSLATE(C528,""ja"",""vi"")"),"Đấu giá&gt; đồ chơi, trò chơi&gt; búp bê, búp bê nhân vật&gt; nhân vật búp bê&gt; The Smurfs")</f>
        <v>Đấu giá&gt; đồ chơi, trò chơi&gt; búp bê, búp bê nhân vật&gt; nhân vật búp bê&gt; The Smurfs</v>
      </c>
      <c r="G528" t="str">
        <f t="shared" ca="1" si="8"/>
        <v>"2084034100" : "The Smurfs",</v>
      </c>
    </row>
    <row r="529" spans="1:7" ht="14.25" customHeight="1">
      <c r="A529" s="2">
        <v>2084020044</v>
      </c>
      <c r="B529" s="2" t="s">
        <v>3546</v>
      </c>
      <c r="C529" s="2" t="s">
        <v>3547</v>
      </c>
      <c r="D529" s="2" t="s">
        <v>3550</v>
      </c>
      <c r="E529" s="4" t="str">
        <f ca="1">IFERROR(__xludf.DUMMYFUNCTION("GOOGLETRANSLATE(B529,""ja"",""vi"")"),"Sesame Street")</f>
        <v>Sesame Street</v>
      </c>
      <c r="F529" s="4" t="str">
        <f ca="1">IFERROR(__xludf.DUMMYFUNCTION("GOOGLETRANSLATE(C529,""ja"",""vi"")"),"Đấu giá&gt; đồ chơi, trò chơi&gt; búp bê, búp bê nhân vật&gt; nhân vật búp bê&gt; Sesame Street")</f>
        <v>Đấu giá&gt; đồ chơi, trò chơi&gt; búp bê, búp bê nhân vật&gt; nhân vật búp bê&gt; Sesame Street</v>
      </c>
      <c r="G529" t="str">
        <f t="shared" ca="1" si="8"/>
        <v>"2084020044" : "Sesame Street",</v>
      </c>
    </row>
    <row r="530" spans="1:7" ht="14.25" customHeight="1">
      <c r="A530" s="2">
        <v>2084040586</v>
      </c>
      <c r="B530" s="2" t="s">
        <v>3553</v>
      </c>
      <c r="C530" s="2" t="s">
        <v>3555</v>
      </c>
      <c r="D530" s="2" t="s">
        <v>3558</v>
      </c>
      <c r="E530" s="4" t="str">
        <f ca="1">IFERROR(__xludf.DUMMYFUNCTION("GOOGLETRANSLATE(B530,""ja"",""vi"")"),"Hug-chan")</f>
        <v>Hug-chan</v>
      </c>
      <c r="F530" s="4" t="str">
        <f ca="1">IFERROR(__xludf.DUMMYFUNCTION("GOOGLETRANSLATE(C530,""ja"",""vi"")"),"Đấu giá&gt; đồ chơi, trò chơi&gt; búp bê, búp bê nhân vật&gt; nhân vật búp bê&gt; ôm-chan")</f>
        <v>Đấu giá&gt; đồ chơi, trò chơi&gt; búp bê, búp bê nhân vật&gt; nhân vật búp bê&gt; ôm-chan</v>
      </c>
      <c r="G530" t="str">
        <f t="shared" ca="1" si="8"/>
        <v>"2084040586" : "Hug-chan",</v>
      </c>
    </row>
    <row r="531" spans="1:7" ht="14.25" customHeight="1">
      <c r="A531" s="2">
        <v>2084020045</v>
      </c>
      <c r="B531" s="2" t="s">
        <v>3559</v>
      </c>
      <c r="C531" s="2" t="s">
        <v>3561</v>
      </c>
      <c r="D531" s="2" t="s">
        <v>3562</v>
      </c>
      <c r="E531" s="4" t="str">
        <f ca="1">IFERROR(__xludf.DUMMYFUNCTION("GOOGLETRANSLATE(B531,""ja"",""vi"")"),"Teletubbies")</f>
        <v>Teletubbies</v>
      </c>
      <c r="F531" s="4" t="str">
        <f ca="1">IFERROR(__xludf.DUMMYFUNCTION("GOOGLETRANSLATE(C531,""ja"",""vi"")"),"Đấu giá&gt; đồ chơi, trò chơi&gt; búp bê, búp bê nhân vật&gt; nhân vật búp bê&gt; Teletubbies")</f>
        <v>Đấu giá&gt; đồ chơi, trò chơi&gt; búp bê, búp bê nhân vật&gt; nhân vật búp bê&gt; Teletubbies</v>
      </c>
      <c r="G531" t="str">
        <f t="shared" ca="1" si="8"/>
        <v>"2084020045" : "Teletubbies",</v>
      </c>
    </row>
    <row r="532" spans="1:7" ht="14.25" customHeight="1">
      <c r="A532" s="2">
        <v>27587</v>
      </c>
      <c r="B532" s="2" t="s">
        <v>2828</v>
      </c>
      <c r="C532" s="2" t="s">
        <v>3567</v>
      </c>
      <c r="D532" s="2" t="s">
        <v>3568</v>
      </c>
      <c r="E532" s="4" t="str">
        <f ca="1">IFERROR(__xludf.DUMMYFUNCTION("GOOGLETRANSLATE(B532,""ja"",""vi"")"),"Disney")</f>
        <v>Disney</v>
      </c>
      <c r="F532" s="4" t="str">
        <f ca="1">IFERROR(__xludf.DUMMYFUNCTION("GOOGLETRANSLATE(C532,""ja"",""vi"")"),"Đấu giá&gt; đồ chơi, trò chơi&gt; búp bê, búp bê nhân vật&gt; nhân vật búp bê&gt; Disney")</f>
        <v>Đấu giá&gt; đồ chơi, trò chơi&gt; búp bê, búp bê nhân vật&gt; nhân vật búp bê&gt; Disney</v>
      </c>
      <c r="G532" t="str">
        <f t="shared" ca="1" si="8"/>
        <v>"27587" : "Disney",</v>
      </c>
    </row>
    <row r="533" spans="1:7" ht="14.25" customHeight="1">
      <c r="A533" s="2">
        <v>2084020046</v>
      </c>
      <c r="B533" s="2" t="s">
        <v>3571</v>
      </c>
      <c r="C533" s="2" t="s">
        <v>3572</v>
      </c>
      <c r="D533" s="2" t="s">
        <v>3573</v>
      </c>
      <c r="E533" s="4" t="str">
        <f ca="1">IFERROR(__xludf.DUMMYFUNCTION("GOOGLETRANSLATE(B533,""ja"",""vi"")"),"topo Gigio")</f>
        <v>topo Gigio</v>
      </c>
      <c r="F533" s="4" t="str">
        <f ca="1">IFERROR(__xludf.DUMMYFUNCTION("GOOGLETRANSLATE(C533,""ja"",""vi"")"),"Đấu giá&gt; đồ chơi, trò chơi&gt; búp bê, búp bê nhân vật&gt; nhân vật búp bê&gt; Topo Gigio")</f>
        <v>Đấu giá&gt; đồ chơi, trò chơi&gt; búp bê, búp bê nhân vật&gt; nhân vật búp bê&gt; Topo Gigio</v>
      </c>
      <c r="G533" t="str">
        <f t="shared" ca="1" si="8"/>
        <v>"2084020046" : "topo Gigio",</v>
      </c>
    </row>
    <row r="534" spans="1:7" ht="14.25" customHeight="1">
      <c r="A534" s="2">
        <v>2084020041</v>
      </c>
      <c r="B534" s="2" t="s">
        <v>3575</v>
      </c>
      <c r="C534" s="2" t="s">
        <v>3576</v>
      </c>
      <c r="D534" s="2" t="s">
        <v>3577</v>
      </c>
      <c r="E534" s="4" t="str">
        <f ca="1">IFERROR(__xludf.DUMMYFUNCTION("GOOGLETRANSLATE(B534,""ja"",""vi"")"),"Tom &amp; Jerry")</f>
        <v>Tom &amp; Jerry</v>
      </c>
      <c r="F534" s="4" t="str">
        <f ca="1">IFERROR(__xludf.DUMMYFUNCTION("GOOGLETRANSLATE(C534,""ja"",""vi"")"),"Đấu giá&gt; đồ chơi, trò chơi&gt; búp bê, búp bê nhân vật&gt; nhân vật búp bê&gt; Tom &amp; Jerry")</f>
        <v>Đấu giá&gt; đồ chơi, trò chơi&gt; búp bê, búp bê nhân vật&gt; nhân vật búp bê&gt; Tom &amp; Jerry</v>
      </c>
      <c r="G534" t="str">
        <f t="shared" ca="1" si="8"/>
        <v>"2084020041" : "Tom &amp; Jerry",</v>
      </c>
    </row>
    <row r="535" spans="1:7" ht="14.25" customHeight="1">
      <c r="A535" s="2">
        <v>2084020048</v>
      </c>
      <c r="B535" s="2" t="s">
        <v>1049</v>
      </c>
      <c r="C535" s="2" t="s">
        <v>3579</v>
      </c>
      <c r="D535" s="2" t="s">
        <v>3580</v>
      </c>
      <c r="E535" s="4" t="str">
        <f ca="1">IFERROR(__xludf.DUMMYFUNCTION("GOOGLETRANSLATE(B535,""ja"",""vi"")"),"Doraemon")</f>
        <v>Doraemon</v>
      </c>
      <c r="F535" s="4" t="str">
        <f ca="1">IFERROR(__xludf.DUMMYFUNCTION("GOOGLETRANSLATE(C535,""ja"",""vi"")"),"Đấu giá&gt; đồ chơi, trò chơi&gt; búp bê, búp bê nhân vật&gt; nhân vật búp bê&gt; Doraemon")</f>
        <v>Đấu giá&gt; đồ chơi, trò chơi&gt; búp bê, búp bê nhân vật&gt; nhân vật búp bê&gt; Doraemon</v>
      </c>
      <c r="G535" t="str">
        <f t="shared" ca="1" si="8"/>
        <v>"2084020048" : "Doraemon",</v>
      </c>
    </row>
    <row r="536" spans="1:7" ht="14.25" customHeight="1">
      <c r="A536" s="2">
        <v>2084020033</v>
      </c>
      <c r="B536" s="2" t="s">
        <v>1265</v>
      </c>
      <c r="C536" s="2" t="s">
        <v>3582</v>
      </c>
      <c r="D536" s="2" t="s">
        <v>3583</v>
      </c>
      <c r="E536" s="4" t="str">
        <f ca="1">IFERROR(__xludf.DUMMYFUNCTION("GOOGLETRANSLATE(B536,""ja"",""vi"")"),"Hello Kitty")</f>
        <v>Hello Kitty</v>
      </c>
      <c r="F536" s="4" t="str">
        <f ca="1">IFERROR(__xludf.DUMMYFUNCTION("GOOGLETRANSLATE(C536,""ja"",""vi"")"),"Đấu giá&gt; đồ chơi, trò chơi&gt; búp bê, búp bê nhân vật&gt; nhân vật búp bê&gt; Hello Kitty")</f>
        <v>Đấu giá&gt; đồ chơi, trò chơi&gt; búp bê, búp bê nhân vật&gt; nhân vật búp bê&gt; Hello Kitty</v>
      </c>
      <c r="G536" t="str">
        <f t="shared" ca="1" si="8"/>
        <v>"2084020033" : "Hello Kitty",</v>
      </c>
    </row>
    <row r="537" spans="1:7" ht="14.25" customHeight="1">
      <c r="A537" s="2">
        <v>2084020057</v>
      </c>
      <c r="B537" s="2" t="s">
        <v>3585</v>
      </c>
      <c r="C537" s="2" t="s">
        <v>3586</v>
      </c>
      <c r="D537" s="2" t="s">
        <v>3587</v>
      </c>
      <c r="E537" s="4" t="str">
        <f ca="1">IFERROR(__xludf.DUMMYFUNCTION("GOOGLETRANSLATE(B537,""ja"",""vi"")"),"Barbapapa")</f>
        <v>Barbapapa</v>
      </c>
      <c r="F537" s="4" t="str">
        <f ca="1">IFERROR(__xludf.DUMMYFUNCTION("GOOGLETRANSLATE(C537,""ja"",""vi"")"),"Đấu giá&gt; đồ chơi, trò chơi&gt; búp bê, búp bê nhân vật&gt; nhân vật búp bê&gt; Barbapapa")</f>
        <v>Đấu giá&gt; đồ chơi, trò chơi&gt; búp bê, búp bê nhân vật&gt; nhân vật búp bê&gt; Barbapapa</v>
      </c>
      <c r="G537" t="str">
        <f t="shared" ca="1" si="8"/>
        <v>"2084020057" : "Barbapapa",</v>
      </c>
    </row>
    <row r="538" spans="1:7" ht="14.25" customHeight="1">
      <c r="A538" s="2">
        <v>2084020053</v>
      </c>
      <c r="B538" s="2" t="s">
        <v>3589</v>
      </c>
      <c r="C538" s="2" t="s">
        <v>3590</v>
      </c>
      <c r="D538" s="2" t="s">
        <v>3592</v>
      </c>
      <c r="E538" s="4" t="str">
        <f ca="1">IFERROR(__xludf.DUMMYFUNCTION("GOOGLETRANSLATE(B538,""ja"",""vi"")"),"Peter Rabbit")</f>
        <v>Peter Rabbit</v>
      </c>
      <c r="F538" s="4" t="str">
        <f ca="1">IFERROR(__xludf.DUMMYFUNCTION("GOOGLETRANSLATE(C538,""ja"",""vi"")"),"Đấu giá&gt; đồ chơi, trò chơi&gt; búp bê, búp bê nhân vật&gt; nhân vật búp bê&gt; Peter Rabbit")</f>
        <v>Đấu giá&gt; đồ chơi, trò chơi&gt; búp bê, búp bê nhân vật&gt; nhân vật búp bê&gt; Peter Rabbit</v>
      </c>
      <c r="G538" t="str">
        <f t="shared" ca="1" si="8"/>
        <v>"2084020053" : "Peter Rabbit",</v>
      </c>
    </row>
    <row r="539" spans="1:7" ht="14.25" customHeight="1">
      <c r="A539" s="2">
        <v>25966</v>
      </c>
      <c r="B539" s="2" t="s">
        <v>3595</v>
      </c>
      <c r="C539" s="2" t="s">
        <v>3597</v>
      </c>
      <c r="D539" s="2" t="s">
        <v>3600</v>
      </c>
      <c r="E539" s="4" t="str">
        <f ca="1">IFERROR(__xludf.DUMMYFUNCTION("GOOGLETRANSLATE(B539,""ja"",""vi"")"),"Đậu phộng, Snoopy")</f>
        <v>Đậu phộng, Snoopy</v>
      </c>
      <c r="F539" s="4" t="str">
        <f ca="1">IFERROR(__xludf.DUMMYFUNCTION("GOOGLETRANSLATE(C539,""ja"",""vi"")"),"Đấu giá&gt; đồ chơi, trò chơi&gt; búp bê, búp bê nhân vật&gt; nhân vật búp bê&gt; Đậu phộng, Snoopy")</f>
        <v>Đấu giá&gt; đồ chơi, trò chơi&gt; búp bê, búp bê nhân vật&gt; nhân vật búp bê&gt; Đậu phộng, Snoopy</v>
      </c>
      <c r="G539" t="str">
        <f t="shared" ca="1" si="8"/>
        <v>"25966" : "Đậu phộng, Snoopy",</v>
      </c>
    </row>
    <row r="540" spans="1:7" ht="14.25" customHeight="1">
      <c r="A540" s="2">
        <v>2084020040</v>
      </c>
      <c r="B540" s="2" t="s">
        <v>3603</v>
      </c>
      <c r="C540" s="2" t="s">
        <v>3605</v>
      </c>
      <c r="D540" s="2" t="s">
        <v>3606</v>
      </c>
      <c r="E540" s="4" t="str">
        <f ca="1">IFERROR(__xludf.DUMMYFUNCTION("GOOGLETRANSLATE(B540,""ja"",""vi"")"),"pink Panther")</f>
        <v>pink Panther</v>
      </c>
      <c r="F540" s="4" t="str">
        <f ca="1">IFERROR(__xludf.DUMMYFUNCTION("GOOGLETRANSLATE(C540,""ja"",""vi"")"),"Đấu giá&gt; đồ chơi, trò chơi&gt; búp bê, búp bê nhân vật&gt; nhân vật búp bê&gt; Pink Panther")</f>
        <v>Đấu giá&gt; đồ chơi, trò chơi&gt; búp bê, búp bê nhân vật&gt; nhân vật búp bê&gt; Pink Panther</v>
      </c>
      <c r="G540" t="str">
        <f t="shared" ca="1" si="8"/>
        <v>"2084020040" : "pink Panther",</v>
      </c>
    </row>
    <row r="541" spans="1:7" ht="14.25" customHeight="1">
      <c r="A541" s="2">
        <v>2084020039</v>
      </c>
      <c r="B541" s="2" t="s">
        <v>3607</v>
      </c>
      <c r="C541" s="2" t="s">
        <v>3610</v>
      </c>
      <c r="D541" s="2" t="s">
        <v>3612</v>
      </c>
      <c r="E541" s="4" t="str">
        <f ca="1">IFERROR(__xludf.DUMMYFUNCTION("GOOGLETRANSLATE(B541,""ja"",""vi"")"),"Pingu")</f>
        <v>Pingu</v>
      </c>
      <c r="F541" s="4" t="str">
        <f ca="1">IFERROR(__xludf.DUMMYFUNCTION("GOOGLETRANSLATE(C541,""ja"",""vi"")"),"Đấu giá&gt; đồ chơi, trò chơi&gt; búp bê, búp bê nhân vật&gt; nhân vật búp bê&gt; Pingu")</f>
        <v>Đấu giá&gt; đồ chơi, trò chơi&gt; búp bê, búp bê nhân vật&gt; nhân vật búp bê&gt; Pingu</v>
      </c>
      <c r="G541" t="str">
        <f t="shared" ca="1" si="8"/>
        <v>"2084020039" : "Pingu",</v>
      </c>
    </row>
    <row r="542" spans="1:7" ht="14.25" customHeight="1">
      <c r="A542" s="2">
        <v>2084020059</v>
      </c>
      <c r="B542" s="2" t="s">
        <v>3615</v>
      </c>
      <c r="C542" s="2" t="s">
        <v>3616</v>
      </c>
      <c r="D542" s="2" t="s">
        <v>3618</v>
      </c>
      <c r="E542" s="4" t="str">
        <f ca="1">IFERROR(__xludf.DUMMYFUNCTION("GOOGLETRANSLATE(B542,""ja"",""vi"")"),"vảy mủn trên da người bịnh")</f>
        <v>vảy mủn trên da người bịnh</v>
      </c>
      <c r="F542" s="4" t="str">
        <f ca="1">IFERROR(__xludf.DUMMYFUNCTION("GOOGLETRANSLATE(C542,""ja"",""vi"")"),"Đấu giá&gt; đồ chơi, trò chơi&gt; búp bê, búp bê nhân vật&gt; nhân vật búp bê&gt; furfur")</f>
        <v>Đấu giá&gt; đồ chơi, trò chơi&gt; búp bê, búp bê nhân vật&gt; nhân vật búp bê&gt; furfur</v>
      </c>
      <c r="G542" t="str">
        <f t="shared" ca="1" si="8"/>
        <v>"2084020059" : "vảy mủn trên da người bịnh",</v>
      </c>
    </row>
    <row r="543" spans="1:7" ht="14.25" customHeight="1">
      <c r="A543" s="2">
        <v>2084046540</v>
      </c>
      <c r="B543" s="2" t="s">
        <v>3622</v>
      </c>
      <c r="C543" s="2" t="s">
        <v>3623</v>
      </c>
      <c r="D543" s="2" t="s">
        <v>3624</v>
      </c>
      <c r="E543" s="4" t="str">
        <f ca="1">IFERROR(__xludf.DUMMYFUNCTION("GOOGLETRANSLATE(B543,""ja"",""vi"")"),"Bryce")</f>
        <v>Bryce</v>
      </c>
      <c r="F543" s="4" t="str">
        <f ca="1">IFERROR(__xludf.DUMMYFUNCTION("GOOGLETRANSLATE(C543,""ja"",""vi"")"),"Đấu giá&gt; đồ chơi, trò chơi&gt; búp bê, búp bê nhân vật&gt; nhân vật búp bê&gt; Blythe")</f>
        <v>Đấu giá&gt; đồ chơi, trò chơi&gt; búp bê, búp bê nhân vật&gt; nhân vật búp bê&gt; Blythe</v>
      </c>
      <c r="G543" t="str">
        <f t="shared" ca="1" si="8"/>
        <v>"2084046540" : "Bryce",</v>
      </c>
    </row>
    <row r="544" spans="1:7" ht="14.25" customHeight="1">
      <c r="A544" s="2">
        <v>2084049982</v>
      </c>
      <c r="B544" s="2" t="s">
        <v>3628</v>
      </c>
      <c r="C544" s="2" t="s">
        <v>3630</v>
      </c>
      <c r="D544" s="2" t="s">
        <v>3631</v>
      </c>
      <c r="E544" s="4" t="str">
        <f ca="1">IFERROR(__xludf.DUMMYFUNCTION("GOOGLETRANSLATE(B544,""ja"",""vi"")"),"Pullip")</f>
        <v>Pullip</v>
      </c>
      <c r="F544" s="4" t="str">
        <f ca="1">IFERROR(__xludf.DUMMYFUNCTION("GOOGLETRANSLATE(C544,""ja"",""vi"")"),"Đấu giá&gt; đồ chơi, trò chơi&gt; búp bê, búp bê nhân vật&gt; nhân vật búp bê&gt; Pullip")</f>
        <v>Đấu giá&gt; đồ chơi, trò chơi&gt; búp bê, búp bê nhân vật&gt; nhân vật búp bê&gt; Pullip</v>
      </c>
      <c r="G544" t="str">
        <f t="shared" ca="1" si="8"/>
        <v>"2084049982" : "Pullip",</v>
      </c>
    </row>
    <row r="545" spans="1:7" ht="14.25" customHeight="1">
      <c r="A545" s="2">
        <v>2084020060</v>
      </c>
      <c r="B545" s="2" t="s">
        <v>1382</v>
      </c>
      <c r="C545" s="2" t="s">
        <v>3633</v>
      </c>
      <c r="D545" s="2" t="s">
        <v>3636</v>
      </c>
      <c r="E545" s="4" t="str">
        <f ca="1">IFERROR(__xludf.DUMMYFUNCTION("GOOGLETRANSLATE(B545,""ja"",""vi"")"),"Pokemon")</f>
        <v>Pokemon</v>
      </c>
      <c r="F545" s="4" t="str">
        <f ca="1">IFERROR(__xludf.DUMMYFUNCTION("GOOGLETRANSLATE(C545,""ja"",""vi"")"),"Đấu giá&gt; đồ chơi, trò chơi&gt; búp bê, búp bê nhân vật&gt; nhân vật búp bê&gt; Pokemon")</f>
        <v>Đấu giá&gt; đồ chơi, trò chơi&gt; búp bê, búp bê nhân vật&gt; nhân vật búp bê&gt; Pokemon</v>
      </c>
      <c r="G545" t="str">
        <f t="shared" ca="1" si="8"/>
        <v>"2084020060" : "Pokemon",</v>
      </c>
    </row>
    <row r="546" spans="1:7" ht="14.25" customHeight="1">
      <c r="A546" s="2">
        <v>2084020038</v>
      </c>
      <c r="B546" s="2" t="s">
        <v>3637</v>
      </c>
      <c r="C546" s="2" t="s">
        <v>3640</v>
      </c>
      <c r="D546" s="2" t="s">
        <v>3642</v>
      </c>
      <c r="E546" s="4" t="str">
        <f ca="1">IFERROR(__xludf.DUMMYFUNCTION("GOOGLETRANSLATE(B546,""ja"",""vi"")"),"Popeye")</f>
        <v>Popeye</v>
      </c>
      <c r="F546" s="4" t="str">
        <f ca="1">IFERROR(__xludf.DUMMYFUNCTION("GOOGLETRANSLATE(C546,""ja"",""vi"")"),"Đấu giá&gt; đồ chơi, trò chơi&gt; búp bê, búp bê nhân vật&gt; nhân vật búp bê&gt; Popeye")</f>
        <v>Đấu giá&gt; đồ chơi, trò chơi&gt; búp bê, búp bê nhân vật&gt; nhân vật búp bê&gt; Popeye</v>
      </c>
      <c r="G546" t="str">
        <f t="shared" ca="1" si="8"/>
        <v>"2084020038" : "Popeye",</v>
      </c>
    </row>
    <row r="547" spans="1:7" ht="14.25" customHeight="1">
      <c r="A547" s="2">
        <v>2084020054</v>
      </c>
      <c r="B547" s="2" t="s">
        <v>3646</v>
      </c>
      <c r="C547" s="2" t="s">
        <v>3648</v>
      </c>
      <c r="D547" s="2" t="s">
        <v>3649</v>
      </c>
      <c r="E547" s="4" t="str">
        <f ca="1">IFERROR(__xludf.DUMMYFUNCTION("GOOGLETRANSLATE(B547,""ja"",""vi"")"),"Miffy")</f>
        <v>Miffy</v>
      </c>
      <c r="F547" s="4" t="str">
        <f ca="1">IFERROR(__xludf.DUMMYFUNCTION("GOOGLETRANSLATE(C547,""ja"",""vi"")"),"Đấu giá&gt; đồ chơi, trò chơi&gt; búp bê, búp bê nhân vật&gt; nhân vật búp bê&gt; Miffy")</f>
        <v>Đấu giá&gt; đồ chơi, trò chơi&gt; búp bê, búp bê nhân vật&gt; nhân vật búp bê&gt; Miffy</v>
      </c>
      <c r="G547" t="str">
        <f t="shared" ca="1" si="8"/>
        <v>"2084020054" : "Miffy",</v>
      </c>
    </row>
    <row r="548" spans="1:7" ht="14.25" customHeight="1">
      <c r="A548" s="2">
        <v>2084020049</v>
      </c>
      <c r="B548" s="2" t="s">
        <v>1517</v>
      </c>
      <c r="C548" s="2" t="s">
        <v>3654</v>
      </c>
      <c r="D548" s="2" t="s">
        <v>3655</v>
      </c>
      <c r="E548" s="4" t="str">
        <f ca="1">IFERROR(__xludf.DUMMYFUNCTION("GOOGLETRANSLATE(B548,""ja"",""vi"")"),"Moomin")</f>
        <v>Moomin</v>
      </c>
      <c r="F548" s="4" t="str">
        <f ca="1">IFERROR(__xludf.DUMMYFUNCTION("GOOGLETRANSLATE(C548,""ja"",""vi"")"),"Đấu giá&gt; đồ chơi, trò chơi&gt; búp bê, búp bê nhân vật&gt; nhân vật búp bê&gt; Moomin")</f>
        <v>Đấu giá&gt; đồ chơi, trò chơi&gt; búp bê, búp bê nhân vật&gt; nhân vật búp bê&gt; Moomin</v>
      </c>
      <c r="G548" t="str">
        <f t="shared" ca="1" si="8"/>
        <v>"2084020049" : "Moomin",</v>
      </c>
    </row>
    <row r="549" spans="1:7" ht="14.25" customHeight="1">
      <c r="A549" s="2">
        <v>2084020062</v>
      </c>
      <c r="B549" s="2" t="s">
        <v>46</v>
      </c>
      <c r="C549" s="2" t="s">
        <v>3660</v>
      </c>
      <c r="D549" s="2" t="s">
        <v>3662</v>
      </c>
      <c r="E549" s="4" t="str">
        <f ca="1">IFERROR(__xludf.DUMMYFUNCTION("GOOGLETRANSLATE(B549,""ja"",""vi"")"),"nếu không thì")</f>
        <v>nếu không thì</v>
      </c>
      <c r="F549" s="4" t="str">
        <f ca="1">IFERROR(__xludf.DUMMYFUNCTION("GOOGLETRANSLATE(C549,""ja"",""vi"")"),"Đấu giá&gt; đồ chơi, trò chơi&gt; búp bê, búp bê nhân vật&gt; nhân vật búp bê&gt; Khác")</f>
        <v>Đấu giá&gt; đồ chơi, trò chơi&gt; búp bê, búp bê nhân vật&gt; nhân vật búp bê&gt; Khác</v>
      </c>
      <c r="G549" t="str">
        <f t="shared" ca="1" si="8"/>
        <v>"2084020062" : "nếu không thì",</v>
      </c>
    </row>
    <row r="550" spans="1:7" ht="14.25" customHeight="1">
      <c r="A550" s="2">
        <v>2084250374</v>
      </c>
      <c r="B550" s="2" t="s">
        <v>3665</v>
      </c>
      <c r="C550" s="2" t="s">
        <v>3667</v>
      </c>
      <c r="D550" s="2" t="s">
        <v>3669</v>
      </c>
      <c r="E550" s="4" t="str">
        <f ca="1">IFERROR(__xludf.DUMMYFUNCTION("GOOGLETRANSLATE(B550,""ja"",""vi"")"),"thành phẩm")</f>
        <v>thành phẩm</v>
      </c>
      <c r="F550" s="4" t="str">
        <f ca="1">IFERROR(__xludf.DUMMYFUNCTION("GOOGLETRANSLATE(C550,""ja"",""vi"")"),"Đấu giá&gt; đồ chơi, trò chơi&gt; mô hình nhựa&gt; Nhân vật&gt; Gundam&gt; thành phẩm")</f>
        <v>Đấu giá&gt; đồ chơi, trò chơi&gt; mô hình nhựa&gt; Nhân vật&gt; Gundam&gt; thành phẩm</v>
      </c>
      <c r="G550" t="str">
        <f t="shared" ca="1" si="8"/>
        <v>"2084250374" : "thành phẩm",</v>
      </c>
    </row>
    <row r="551" spans="1:7" ht="14.25" customHeight="1">
      <c r="A551" s="2">
        <v>2084250336</v>
      </c>
      <c r="B551" s="2" t="s">
        <v>3672</v>
      </c>
      <c r="C551" s="2" t="s">
        <v>3674</v>
      </c>
      <c r="D551" s="2" t="s">
        <v>3676</v>
      </c>
      <c r="E551" s="4" t="str">
        <f ca="1">IFERROR(__xludf.DUMMYFUNCTION("GOOGLETRANSLATE(B551,""ja"",""vi"")"),"Gundam Mobile Suit")</f>
        <v>Gundam Mobile Suit</v>
      </c>
      <c r="F551" s="4" t="str">
        <f ca="1">IFERROR(__xludf.DUMMYFUNCTION("GOOGLETRANSLATE(C551,""ja"",""vi"")"),"Đấu giá&gt; đồ chơi, trò chơi&gt; mô hình nhựa&gt; Nhân vật&gt; Gundam&gt; Mobile Suit Gundam")</f>
        <v>Đấu giá&gt; đồ chơi, trò chơi&gt; mô hình nhựa&gt; Nhân vật&gt; Gundam&gt; Mobile Suit Gundam</v>
      </c>
      <c r="G551" t="str">
        <f t="shared" ca="1" si="8"/>
        <v>"2084250336" : "Gundam Mobile Suit",</v>
      </c>
    </row>
    <row r="552" spans="1:7" ht="14.25" customHeight="1">
      <c r="A552" s="2">
        <v>2084250337</v>
      </c>
      <c r="B552" s="2" t="s">
        <v>3679</v>
      </c>
      <c r="C552" s="2" t="s">
        <v>3680</v>
      </c>
      <c r="D552" s="2" t="s">
        <v>3682</v>
      </c>
      <c r="E552" s="4" t="str">
        <f ca="1">IFERROR(__xludf.DUMMYFUNCTION("GOOGLETRANSLATE(B552,""ja"",""vi"")"),"Mobile Suit Gundam Z")</f>
        <v>Mobile Suit Gundam Z</v>
      </c>
      <c r="F552" s="4" t="str">
        <f ca="1">IFERROR(__xludf.DUMMYFUNCTION("GOOGLETRANSLATE(C552,""ja"",""vi"")"),"Đấu giá&gt; đồ chơi, trò chơi&gt; mô hình nhựa&gt; Nhân vật&gt; Gundam&gt; Mobile Suit Gundam Z")</f>
        <v>Đấu giá&gt; đồ chơi, trò chơi&gt; mô hình nhựa&gt; Nhân vật&gt; Gundam&gt; Mobile Suit Gundam Z</v>
      </c>
      <c r="G552" t="str">
        <f t="shared" ca="1" si="8"/>
        <v>"2084250337" : "Mobile Suit Gundam Z",</v>
      </c>
    </row>
    <row r="553" spans="1:7" ht="14.25" customHeight="1">
      <c r="A553" s="2">
        <v>2084250338</v>
      </c>
      <c r="B553" s="2" t="s">
        <v>3686</v>
      </c>
      <c r="C553" s="2" t="s">
        <v>3688</v>
      </c>
      <c r="D553" s="2" t="s">
        <v>3689</v>
      </c>
      <c r="E553" s="4" t="str">
        <f ca="1">IFERROR(__xludf.DUMMYFUNCTION("GOOGLETRANSLATE(B553,""ja"",""vi"")"),"Mobile Suit Gundam ZZ")</f>
        <v>Mobile Suit Gundam ZZ</v>
      </c>
      <c r="F553" s="4" t="str">
        <f ca="1">IFERROR(__xludf.DUMMYFUNCTION("GOOGLETRANSLATE(C553,""ja"",""vi"")"),"Đấu giá&gt; đồ chơi, trò chơi&gt; mô hình nhựa&gt; Nhân vật&gt; Gundam&gt; Mobile Suit Gundam ZZ")</f>
        <v>Đấu giá&gt; đồ chơi, trò chơi&gt; mô hình nhựa&gt; Nhân vật&gt; Gundam&gt; Mobile Suit Gundam ZZ</v>
      </c>
      <c r="G553" t="str">
        <f t="shared" ca="1" si="8"/>
        <v>"2084250338" : "Mobile Suit Gundam ZZ",</v>
      </c>
    </row>
    <row r="554" spans="1:7" ht="14.25" customHeight="1">
      <c r="A554" s="2">
        <v>2084250339</v>
      </c>
      <c r="B554" s="2" t="s">
        <v>3693</v>
      </c>
      <c r="C554" s="2" t="s">
        <v>3694</v>
      </c>
      <c r="D554" s="2" t="s">
        <v>3695</v>
      </c>
      <c r="E554" s="4" t="str">
        <f ca="1">IFERROR(__xludf.DUMMYFUNCTION("GOOGLETRANSLATE(B554,""ja"",""vi"")"),"Gundam Seed")</f>
        <v>Gundam Seed</v>
      </c>
      <c r="F554" s="4" t="str">
        <f ca="1">IFERROR(__xludf.DUMMYFUNCTION("GOOGLETRANSLATE(C554,""ja"",""vi"")"),"Đấu giá&gt; đồ chơi, trò chơi&gt; mô hình nhựa&gt; Nhân vật&gt; Gundam&gt; Gundam Seed")</f>
        <v>Đấu giá&gt; đồ chơi, trò chơi&gt; mô hình nhựa&gt; Nhân vật&gt; Gundam&gt; Gundam Seed</v>
      </c>
      <c r="G554" t="str">
        <f t="shared" ca="1" si="8"/>
        <v>"2084250339" : "Gundam Seed",</v>
      </c>
    </row>
    <row r="555" spans="1:7" ht="14.25" customHeight="1">
      <c r="A555" s="2">
        <v>2084250340</v>
      </c>
      <c r="B555" s="2" t="s">
        <v>3700</v>
      </c>
      <c r="C555" s="2" t="s">
        <v>3701</v>
      </c>
      <c r="D555" s="2" t="s">
        <v>3702</v>
      </c>
      <c r="E555" s="4" t="str">
        <f ca="1">IFERROR(__xludf.DUMMYFUNCTION("GOOGLETRANSLATE(B555,""ja"",""vi"")"),"Mobile Suit Gundam SEED Destiny")</f>
        <v>Mobile Suit Gundam SEED Destiny</v>
      </c>
      <c r="F555" s="4" t="str">
        <f ca="1">IFERROR(__xludf.DUMMYFUNCTION("GOOGLETRANSLATE(C555,""ja"",""vi"")"),"Đấu giá&gt; đồ chơi, trò chơi&gt; mô hình nhựa&gt; Nhân vật&gt; Gundam&gt; Mobile Suit Gundam SEED Destiny")</f>
        <v>Đấu giá&gt; đồ chơi, trò chơi&gt; mô hình nhựa&gt; Nhân vật&gt; Gundam&gt; Mobile Suit Gundam SEED Destiny</v>
      </c>
      <c r="G555" t="str">
        <f t="shared" ca="1" si="8"/>
        <v>"2084250340" : "Mobile Suit Gundam SEED Destiny",</v>
      </c>
    </row>
    <row r="556" spans="1:7" ht="14.25" customHeight="1">
      <c r="A556" s="2">
        <v>2084250343</v>
      </c>
      <c r="B556" s="2" t="s">
        <v>3706</v>
      </c>
      <c r="C556" s="2" t="s">
        <v>3707</v>
      </c>
      <c r="D556" s="2" t="s">
        <v>3710</v>
      </c>
      <c r="E556" s="4" t="str">
        <f ca="1">IFERROR(__xludf.DUMMYFUNCTION("GOOGLETRANSLATE(B556,""ja"",""vi"")"),"SD Gundam BB chiến binh")</f>
        <v>SD Gundam BB chiến binh</v>
      </c>
      <c r="F556" s="4" t="str">
        <f ca="1">IFERROR(__xludf.DUMMYFUNCTION("GOOGLETRANSLATE(C556,""ja"",""vi"")"),"Đấu giá&gt; đồ chơi, trò chơi&gt; mô hình nhựa&gt; Nhân vật&gt; Gundam&gt; SD Gundam BB chiến binh")</f>
        <v>Đấu giá&gt; đồ chơi, trò chơi&gt; mô hình nhựa&gt; Nhân vật&gt; Gundam&gt; SD Gundam BB chiến binh</v>
      </c>
      <c r="G556" t="str">
        <f t="shared" ca="1" si="8"/>
        <v>"2084250343" : "SD Gundam BB chiến binh",</v>
      </c>
    </row>
    <row r="557" spans="1:7" ht="14.25" customHeight="1">
      <c r="A557" s="2">
        <v>2084310498</v>
      </c>
      <c r="B557" s="2" t="s">
        <v>3713</v>
      </c>
      <c r="C557" s="2" t="s">
        <v>3716</v>
      </c>
      <c r="D557" s="2" t="s">
        <v>3719</v>
      </c>
      <c r="E557" s="4" t="str">
        <f ca="1">IFERROR(__xludf.DUMMYFUNCTION("GOOGLETRANSLATE(B557,""ja"",""vi"")"),"Mobile Suit Gundam TUỔI")</f>
        <v>Mobile Suit Gundam TUỔI</v>
      </c>
      <c r="F557" s="4" t="str">
        <f ca="1">IFERROR(__xludf.DUMMYFUNCTION("GOOGLETRANSLATE(C557,""ja"",""vi"")"),"Đấu giá&gt; đồ chơi, trò chơi&gt; mô hình nhựa&gt; Nhân vật&gt; Gundam&gt; Mobile Suit Gundam TUỔI")</f>
        <v>Đấu giá&gt; đồ chơi, trò chơi&gt; mô hình nhựa&gt; Nhân vật&gt; Gundam&gt; Mobile Suit Gundam TUỔI</v>
      </c>
      <c r="G557" t="str">
        <f t="shared" ca="1" si="8"/>
        <v>"2084310498" : "Mobile Suit Gundam TUỔI",</v>
      </c>
    </row>
    <row r="558" spans="1:7" ht="14.25" customHeight="1">
      <c r="A558" s="2">
        <v>2084250341</v>
      </c>
      <c r="B558" s="2" t="s">
        <v>3723</v>
      </c>
      <c r="C558" s="2" t="s">
        <v>3725</v>
      </c>
      <c r="D558" s="2" t="s">
        <v>3726</v>
      </c>
      <c r="E558" s="4" t="str">
        <f ca="1">IFERROR(__xludf.DUMMYFUNCTION("GOOGLETRANSLATE(B558,""ja"",""vi"")"),"Mobile Suit Gundam OO (Double O)")</f>
        <v>Mobile Suit Gundam OO (Double O)</v>
      </c>
      <c r="F558" s="4" t="str">
        <f ca="1">IFERROR(__xludf.DUMMYFUNCTION("GOOGLETRANSLATE(C558,""ja"",""vi"")"),"Đấu giá&gt; đồ chơi, trò chơi&gt; mô hình nhựa&gt; Nhân vật&gt; Gundam&gt; Mobile Suit Gundam OO (Double O)")</f>
        <v>Đấu giá&gt; đồ chơi, trò chơi&gt; mô hình nhựa&gt; Nhân vật&gt; Gundam&gt; Mobile Suit Gundam OO (Double O)</v>
      </c>
      <c r="G558" t="str">
        <f t="shared" ca="1" si="8"/>
        <v>"2084250341" : "Mobile Suit Gundam OO (Double O)",</v>
      </c>
    </row>
    <row r="559" spans="1:7" ht="14.25" customHeight="1">
      <c r="A559" s="2">
        <v>2084250342</v>
      </c>
      <c r="B559" s="2" t="s">
        <v>3729</v>
      </c>
      <c r="C559" s="2" t="s">
        <v>3731</v>
      </c>
      <c r="D559" s="2" t="s">
        <v>3732</v>
      </c>
      <c r="E559" s="4" t="str">
        <f ca="1">IFERROR(__xludf.DUMMYFUNCTION("GOOGLETRANSLATE(B559,""ja"",""vi"")"),"Mobile Suit Gundam UC (Unicorn)")</f>
        <v>Mobile Suit Gundam UC (Unicorn)</v>
      </c>
      <c r="F559" s="4" t="str">
        <f ca="1">IFERROR(__xludf.DUMMYFUNCTION("GOOGLETRANSLATE(C559,""ja"",""vi"")"),"Đấu giá&gt; đồ chơi, trò chơi&gt; mô hình nhựa&gt; Nhân vật&gt; Gundam&gt; Mobile Suit Gundam UC (Unicorn)")</f>
        <v>Đấu giá&gt; đồ chơi, trò chơi&gt; mô hình nhựa&gt; Nhân vật&gt; Gundam&gt; Mobile Suit Gundam UC (Unicorn)</v>
      </c>
      <c r="G559" t="str">
        <f t="shared" ca="1" si="8"/>
        <v>"2084250342" : "Mobile Suit Gundam UC (Unicorn)",</v>
      </c>
    </row>
    <row r="560" spans="1:7" ht="14.25" customHeight="1">
      <c r="A560" s="2">
        <v>2084250344</v>
      </c>
      <c r="B560" s="2" t="s">
        <v>46</v>
      </c>
      <c r="C560" s="2" t="s">
        <v>3735</v>
      </c>
      <c r="D560" s="2" t="s">
        <v>3736</v>
      </c>
      <c r="E560" s="4" t="str">
        <f ca="1">IFERROR(__xludf.DUMMYFUNCTION("GOOGLETRANSLATE(B560,""ja"",""vi"")"),"nếu không thì")</f>
        <v>nếu không thì</v>
      </c>
      <c r="F560" s="4" t="str">
        <f ca="1">IFERROR(__xludf.DUMMYFUNCTION("GOOGLETRANSLATE(C560,""ja"",""vi"")"),"Đấu giá&gt; đồ chơi, trò chơi&gt; mô hình nhựa&gt; Nhân vật&gt; Gundam&gt; Khác")</f>
        <v>Đấu giá&gt; đồ chơi, trò chơi&gt; mô hình nhựa&gt; Nhân vật&gt; Gundam&gt; Khác</v>
      </c>
      <c r="G560" t="str">
        <f t="shared" ca="1" si="8"/>
        <v>"2084250344" : "nếu không thì",</v>
      </c>
    </row>
    <row r="561" spans="1:7" ht="14.25" customHeight="1">
      <c r="A561" s="2">
        <v>2084040627</v>
      </c>
      <c r="B561" s="2" t="s">
        <v>3738</v>
      </c>
      <c r="C561" s="2" t="s">
        <v>3739</v>
      </c>
      <c r="D561" s="2" t="s">
        <v>3741</v>
      </c>
      <c r="E561" s="4" t="str">
        <f ca="1">IFERROR(__xludf.DUMMYFUNCTION("GOOGLETRANSLATE(B561,""ja"",""vi"")"),"theo tiêu đề")</f>
        <v>theo tiêu đề</v>
      </c>
      <c r="F561" s="4" t="str">
        <f ca="1">IFERROR(__xludf.DUMMYFUNCTION("GOOGLETRANSLATE(C561,""ja"",""vi"")"),"Đấu giá&gt; cuốn sách, tạp chí&gt; manga, truyện tranh&gt; phe đảng tạp chí&gt; theo tiêu đề")</f>
        <v>Đấu giá&gt; cuốn sách, tạp chí&gt; manga, truyện tranh&gt; phe đảng tạp chí&gt; theo tiêu đề</v>
      </c>
      <c r="G561" t="str">
        <f t="shared" ca="1" si="8"/>
        <v>"2084040627" : "theo tiêu đề",</v>
      </c>
    </row>
    <row r="562" spans="1:7" ht="14.25" customHeight="1">
      <c r="A562" s="2">
        <v>2084007071</v>
      </c>
      <c r="B562" s="2" t="s">
        <v>3743</v>
      </c>
      <c r="C562" s="2" t="s">
        <v>3746</v>
      </c>
      <c r="D562" s="2" t="s">
        <v>3747</v>
      </c>
      <c r="E562" s="4" t="str">
        <f ca="1">IFERROR(__xludf.DUMMYFUNCTION("GOOGLETRANSLATE(B562,""ja"",""vi"")"),"Sáng tạo, ban đầu")</f>
        <v>Sáng tạo, ban đầu</v>
      </c>
      <c r="F562" s="4" t="str">
        <f ca="1">IFERROR(__xludf.DUMMYFUNCTION("GOOGLETRANSLATE(C562,""ja"",""vi"")"),"Đấu giá&gt; cuốn sách, tạp chí&gt; manga, truyện tranh&gt; doujinshi&gt; sáng tạo, ban đầu")</f>
        <v>Đấu giá&gt; cuốn sách, tạp chí&gt; manga, truyện tranh&gt; doujinshi&gt; sáng tạo, ban đầu</v>
      </c>
      <c r="G562" t="str">
        <f t="shared" ca="1" si="8"/>
        <v>"2084007071" : "Sáng tạo, ban đầu",</v>
      </c>
    </row>
    <row r="563" spans="1:7" ht="14.25" customHeight="1">
      <c r="A563" s="2">
        <v>2084051217</v>
      </c>
      <c r="B563" s="2" t="s">
        <v>3750</v>
      </c>
      <c r="C563" s="2" t="s">
        <v>3751</v>
      </c>
      <c r="D563" s="2" t="s">
        <v>3752</v>
      </c>
      <c r="E563" s="4" t="str">
        <f ca="1">IFERROR(__xludf.DUMMYFUNCTION("GOOGLETRANSLATE(B563,""ja"",""vi"")"),"bộ sưu tập hình minh họa, bộ sưu tập hình ảnh gốc")</f>
        <v>bộ sưu tập hình minh họa, bộ sưu tập hình ảnh gốc</v>
      </c>
      <c r="F563" s="4" t="str">
        <f ca="1">IFERROR(__xludf.DUMMYFUNCTION("GOOGLETRANSLATE(C563,""ja"",""vi"")"),"Đấu giá&gt; cuốn sách, tạp chí&gt; manga, truyện tranh&gt; tạp chí phe đảng&gt; Bộ sưu tập minh hoạ, bộ sưu tập hình ảnh gốc")</f>
        <v>Đấu giá&gt; cuốn sách, tạp chí&gt; manga, truyện tranh&gt; tạp chí phe đảng&gt; Bộ sưu tập minh hoạ, bộ sưu tập hình ảnh gốc</v>
      </c>
      <c r="G563" t="str">
        <f t="shared" ca="1" si="8"/>
        <v>"2084051217" : "bộ sưu tập hình minh họa, bộ sưu tập hình ảnh gốc",</v>
      </c>
    </row>
    <row r="564" spans="1:7" ht="14.25" customHeight="1">
      <c r="A564" s="2">
        <v>2084008145</v>
      </c>
      <c r="B564" s="2" t="s">
        <v>3755</v>
      </c>
      <c r="C564" s="2" t="s">
        <v>3756</v>
      </c>
      <c r="D564" s="2" t="s">
        <v>3757</v>
      </c>
      <c r="E564" s="4" t="str">
        <f ca="1">IFERROR(__xludf.DUMMYFUNCTION("GOOGLETRANSLATE(B564,""ja"",""vi"")"),"tạp chí truyện tranh cho trẻ em")</f>
        <v>tạp chí truyện tranh cho trẻ em</v>
      </c>
      <c r="F564" s="4" t="str">
        <f ca="1">IFERROR(__xludf.DUMMYFUNCTION("GOOGLETRANSLATE(C564,""ja"",""vi"")"),"Đấu giá&gt; cuốn sách, tạp chí&gt; Tạp chí&gt; manga, truyện tranh&gt; Child truyện tranh")</f>
        <v>Đấu giá&gt; cuốn sách, tạp chí&gt; Tạp chí&gt; manga, truyện tranh&gt; Child truyện tranh</v>
      </c>
      <c r="G564" t="str">
        <f t="shared" ca="1" si="8"/>
        <v>"2084008145" : "tạp chí truyện tranh cho trẻ em",</v>
      </c>
    </row>
    <row r="565" spans="1:7" ht="14.25" customHeight="1">
      <c r="A565" s="2">
        <v>2084008146</v>
      </c>
      <c r="B565" s="2" t="s">
        <v>3758</v>
      </c>
      <c r="C565" s="2" t="s">
        <v>3759</v>
      </c>
      <c r="D565" s="2" t="s">
        <v>3760</v>
      </c>
      <c r="E565" s="4" t="str">
        <f ca="1">IFERROR(__xludf.DUMMYFUNCTION("GOOGLETRANSLATE(B565,""ja"",""vi"")"),"Woman truyện tranh")</f>
        <v>Woman truyện tranh</v>
      </c>
      <c r="F565" s="4" t="str">
        <f ca="1">IFERROR(__xludf.DUMMYFUNCTION("GOOGLETRANSLATE(C565,""ja"",""vi"")"),"Đấu giá&gt; cuốn sách, tạp chí&gt; Tạp chí&gt; manga, truyện tranh&gt; người phụ nữ hài hước")</f>
        <v>Đấu giá&gt; cuốn sách, tạp chí&gt; Tạp chí&gt; manga, truyện tranh&gt; người phụ nữ hài hước</v>
      </c>
      <c r="G565" t="str">
        <f t="shared" ca="1" si="8"/>
        <v>"2084008146" : "Woman truyện tranh",</v>
      </c>
    </row>
    <row r="566" spans="1:7" ht="14.25" customHeight="1">
      <c r="A566" s="2">
        <v>2084008149</v>
      </c>
      <c r="B566" s="2" t="s">
        <v>3761</v>
      </c>
      <c r="C566" s="2" t="s">
        <v>3762</v>
      </c>
      <c r="D566" s="2" t="s">
        <v>3763</v>
      </c>
      <c r="E566" s="4" t="str">
        <f ca="1">IFERROR(__xludf.DUMMYFUNCTION("GOOGLETRANSLATE(B566,""ja"",""vi"")"),"Đàn ông hài hước")</f>
        <v>Đàn ông hài hước</v>
      </c>
      <c r="F566" s="4" t="str">
        <f ca="1">IFERROR(__xludf.DUMMYFUNCTION("GOOGLETRANSLATE(C566,""ja"",""vi"")"),"Đấu giá&gt; cuốn sách, tạp chí&gt; Tạp chí&gt; manga, truyện tranh&gt; man tạp chí truyện tranh")</f>
        <v>Đấu giá&gt; cuốn sách, tạp chí&gt; Tạp chí&gt; manga, truyện tranh&gt; man tạp chí truyện tranh</v>
      </c>
      <c r="G566" t="str">
        <f t="shared" ca="1" si="8"/>
        <v>"2084008149" : "Đàn ông hài hước",</v>
      </c>
    </row>
    <row r="567" spans="1:7" ht="14.25" customHeight="1">
      <c r="A567" s="8">
        <v>2084202916</v>
      </c>
      <c r="B567" s="2" t="s">
        <v>554</v>
      </c>
      <c r="C567" s="2" t="s">
        <v>3764</v>
      </c>
      <c r="D567" s="2" t="s">
        <v>3765</v>
      </c>
      <c r="E567" s="4" t="str">
        <f ca="1">IFERROR(__xludf.DUMMYFUNCTION("GOOGLETRANSLATE(B567,""ja"",""vi"")"),"hàng nitơ")</f>
        <v>hàng nitơ</v>
      </c>
      <c r="F567" s="4" t="str">
        <f ca="1">IFERROR(__xludf.DUMMYFUNCTION("GOOGLETRANSLATE(C567,""ja"",""vi"")"),"Đấu giá&gt; phim, video&gt; DVD&gt; Anime&gt; Nhật Bản&gt; hàng nitơ")</f>
        <v>Đấu giá&gt; phim, video&gt; DVD&gt; Anime&gt; Nhật Bản&gt; hàng nitơ</v>
      </c>
      <c r="G567" t="str">
        <f t="shared" ca="1" si="8"/>
        <v>"2084202916" : "hàng nitơ",</v>
      </c>
    </row>
    <row r="568" spans="1:7" ht="14.25" customHeight="1">
      <c r="A568" s="8">
        <v>2084202917</v>
      </c>
      <c r="B568" s="2" t="s">
        <v>562</v>
      </c>
      <c r="C568" s="2" t="s">
        <v>3769</v>
      </c>
      <c r="D568" s="2" t="s">
        <v>3771</v>
      </c>
      <c r="E568" s="4" t="str">
        <f ca="1">IFERROR(__xludf.DUMMYFUNCTION("GOOGLETRANSLATE(B568,""ja"",""vi"")"),"hoặc hàng")</f>
        <v>hoặc hàng</v>
      </c>
      <c r="F568" s="4" t="str">
        <f ca="1">IFERROR(__xludf.DUMMYFUNCTION("GOOGLETRANSLATE(C568,""ja"",""vi"")"),"Đấu giá&gt; phim, video&gt; DVD&gt; Anime&gt; Nhật Bản&gt; hoặc hàng")</f>
        <v>Đấu giá&gt; phim, video&gt; DVD&gt; Anime&gt; Nhật Bản&gt; hoặc hàng</v>
      </c>
      <c r="G568" t="str">
        <f t="shared" ca="1" si="8"/>
        <v>"2084202917" : "hoặc hàng",</v>
      </c>
    </row>
    <row r="569" spans="1:7" ht="14.25" customHeight="1">
      <c r="A569" s="8">
        <v>2084202918</v>
      </c>
      <c r="B569" s="2" t="s">
        <v>570</v>
      </c>
      <c r="C569" s="2" t="s">
        <v>3774</v>
      </c>
      <c r="D569" s="2" t="s">
        <v>3776</v>
      </c>
      <c r="E569" s="4" t="str">
        <f ca="1">IFERROR(__xludf.DUMMYFUNCTION("GOOGLETRANSLATE(B569,""ja"",""vi"")"),"Các chữ s")</f>
        <v>Các chữ s</v>
      </c>
      <c r="F569" s="4" t="str">
        <f ca="1">IFERROR(__xludf.DUMMYFUNCTION("GOOGLETRANSLATE(C569,""ja"",""vi"")"),"Đấu giá&gt; phim, video&gt; DVD&gt; Anime&gt; Nhật Bản&gt; chữ s")</f>
        <v>Đấu giá&gt; phim, video&gt; DVD&gt; Anime&gt; Nhật Bản&gt; chữ s</v>
      </c>
      <c r="G569" t="str">
        <f t="shared" ca="1" si="8"/>
        <v>"2084202918" : "Các chữ s",</v>
      </c>
    </row>
    <row r="570" spans="1:7" ht="14.25" customHeight="1">
      <c r="A570" s="8">
        <v>2084202919</v>
      </c>
      <c r="B570" s="2" t="s">
        <v>578</v>
      </c>
      <c r="C570" s="2" t="s">
        <v>3778</v>
      </c>
      <c r="D570" s="2" t="s">
        <v>3780</v>
      </c>
      <c r="E570" s="4" t="str">
        <f ca="1">IFERROR(__xludf.DUMMYFUNCTION("GOOGLETRANSLATE(B570,""ja"",""vi"")"),"Tagyo")</f>
        <v>Tagyo</v>
      </c>
      <c r="F570" s="4" t="str">
        <f ca="1">IFERROR(__xludf.DUMMYFUNCTION("GOOGLETRANSLATE(C570,""ja"",""vi"")"),"Đấu giá&gt; phim, video&gt; DVD&gt; Anime&gt; Nhật Bản&gt; Tagyo")</f>
        <v>Đấu giá&gt; phim, video&gt; DVD&gt; Anime&gt; Nhật Bản&gt; Tagyo</v>
      </c>
      <c r="G570" t="str">
        <f t="shared" ca="1" si="8"/>
        <v>"2084202919" : "Tagyo",</v>
      </c>
    </row>
    <row r="571" spans="1:7" ht="14.25" customHeight="1">
      <c r="A571" s="8">
        <v>2084202920</v>
      </c>
      <c r="B571" s="2" t="s">
        <v>587</v>
      </c>
      <c r="C571" s="2" t="s">
        <v>3785</v>
      </c>
      <c r="D571" s="2" t="s">
        <v>3787</v>
      </c>
      <c r="E571" s="4" t="str">
        <f ca="1">IFERROR(__xludf.DUMMYFUNCTION("GOOGLETRANSLATE(B571,""ja"",""vi"")"),"Một dòng")</f>
        <v>Một dòng</v>
      </c>
      <c r="F571" s="4" t="str">
        <f ca="1">IFERROR(__xludf.DUMMYFUNCTION("GOOGLETRANSLATE(C571,""ja"",""vi"")"),"Đấu giá&gt; phim, video&gt; DVD&gt; Anime&gt; Nhật Bản&gt; hàng")</f>
        <v>Đấu giá&gt; phim, video&gt; DVD&gt; Anime&gt; Nhật Bản&gt; hàng</v>
      </c>
      <c r="G571" t="str">
        <f t="shared" ca="1" si="8"/>
        <v>"2084202920" : "Một dòng",</v>
      </c>
    </row>
    <row r="572" spans="1:7" ht="14.25" customHeight="1">
      <c r="A572" s="8">
        <v>2084202921</v>
      </c>
      <c r="B572" s="2" t="s">
        <v>592</v>
      </c>
      <c r="C572" s="2" t="s">
        <v>3792</v>
      </c>
      <c r="D572" s="2" t="s">
        <v>3794</v>
      </c>
      <c r="E572" s="4" t="str">
        <f ca="1">IFERROR(__xludf.DUMMYFUNCTION("GOOGLETRANSLATE(B572,""ja"",""vi"")"),"hàng")</f>
        <v>hàng</v>
      </c>
      <c r="F572" s="4" t="str">
        <f ca="1">IFERROR(__xludf.DUMMYFUNCTION("GOOGLETRANSLATE(C572,""ja"",""vi"")"),"Đấu giá&gt; phim, video&gt; DVD&gt; Anime&gt; Nhật Bản&gt; liên tiếp")</f>
        <v>Đấu giá&gt; phim, video&gt; DVD&gt; Anime&gt; Nhật Bản&gt; liên tiếp</v>
      </c>
      <c r="G572" t="str">
        <f t="shared" ca="1" si="8"/>
        <v>"2084202921" : "hàng",</v>
      </c>
    </row>
    <row r="573" spans="1:7" ht="14.25" customHeight="1">
      <c r="A573" s="8">
        <v>2084202922</v>
      </c>
      <c r="B573" s="2" t="s">
        <v>600</v>
      </c>
      <c r="C573" s="2" t="s">
        <v>3797</v>
      </c>
      <c r="D573" s="2" t="s">
        <v>3799</v>
      </c>
      <c r="E573" s="4" t="str">
        <f ca="1">IFERROR(__xludf.DUMMYFUNCTION("GOOGLETRANSLATE(B573,""ja"",""vi"")"),"hoặc dòng")</f>
        <v>hoặc dòng</v>
      </c>
      <c r="F573" s="4" t="str">
        <f ca="1">IFERROR(__xludf.DUMMYFUNCTION("GOOGLETRANSLATE(C573,""ja"",""vi"")"),"Đấu giá&gt; phim, video&gt; DVD&gt; Anime&gt; Nhật Bản&gt; hoặc hàng")</f>
        <v>Đấu giá&gt; phim, video&gt; DVD&gt; Anime&gt; Nhật Bản&gt; hoặc hàng</v>
      </c>
      <c r="G573" t="str">
        <f t="shared" ca="1" si="8"/>
        <v>"2084202922" : "hoặc dòng",</v>
      </c>
    </row>
    <row r="574" spans="1:7" ht="14.25" customHeight="1">
      <c r="A574" s="8">
        <v>2084202923</v>
      </c>
      <c r="B574" s="2" t="s">
        <v>608</v>
      </c>
      <c r="C574" s="2" t="s">
        <v>3803</v>
      </c>
      <c r="D574" s="2" t="s">
        <v>3805</v>
      </c>
      <c r="E574" s="4" t="str">
        <f ca="1">IFERROR(__xludf.DUMMYFUNCTION("GOOGLETRANSLATE(B574,""ja"",""vi"")"),"hoặc hàng")</f>
        <v>hoặc hàng</v>
      </c>
      <c r="F574" s="4" t="str">
        <f ca="1">IFERROR(__xludf.DUMMYFUNCTION("GOOGLETRANSLATE(C574,""ja"",""vi"")"),"Đấu giá&gt; phim, video&gt; DVD&gt; Anime&gt; Nhật Bản&gt; hoặc hàng")</f>
        <v>Đấu giá&gt; phim, video&gt; DVD&gt; Anime&gt; Nhật Bản&gt; hoặc hàng</v>
      </c>
      <c r="G574" t="str">
        <f t="shared" ca="1" si="8"/>
        <v>"2084202923" : "hoặc hàng",</v>
      </c>
    </row>
    <row r="575" spans="1:7" ht="14.25" customHeight="1">
      <c r="A575" s="8">
        <v>2084202924</v>
      </c>
      <c r="B575" s="2" t="s">
        <v>689</v>
      </c>
      <c r="C575" s="2" t="s">
        <v>3809</v>
      </c>
      <c r="D575" s="2" t="s">
        <v>3810</v>
      </c>
      <c r="E575" s="4" t="str">
        <f ca="1">IFERROR(__xludf.DUMMYFUNCTION("GOOGLETRANSLATE(B575,""ja"",""vi"")"),"Racovian")</f>
        <v>Racovian</v>
      </c>
      <c r="F575" s="4" t="str">
        <f ca="1">IFERROR(__xludf.DUMMYFUNCTION("GOOGLETRANSLATE(C575,""ja"",""vi"")"),"Đấu giá&gt; phim, video&gt; DVD&gt; Anime&gt; Nhật Bản&gt; Racovian")</f>
        <v>Đấu giá&gt; phim, video&gt; DVD&gt; Anime&gt; Nhật Bản&gt; Racovian</v>
      </c>
      <c r="G575" t="str">
        <f t="shared" ca="1" si="8"/>
        <v>"2084202924" : "Racovian",</v>
      </c>
    </row>
    <row r="576" spans="1:7" ht="14.25" customHeight="1">
      <c r="A576" s="8">
        <v>2084202925</v>
      </c>
      <c r="B576" s="2" t="s">
        <v>696</v>
      </c>
      <c r="C576" s="2" t="s">
        <v>3815</v>
      </c>
      <c r="D576" s="2" t="s">
        <v>3816</v>
      </c>
      <c r="E576" s="4" t="str">
        <f ca="1">IFERROR(__xludf.DUMMYFUNCTION("GOOGLETRANSLATE(B576,""ja"",""vi"")"),"tôi hàng")</f>
        <v>tôi hàng</v>
      </c>
      <c r="F576" s="4" t="str">
        <f ca="1">IFERROR(__xludf.DUMMYFUNCTION("GOOGLETRANSLATE(C576,""ja"",""vi"")"),"Đấu giá&gt; phim, video&gt; DVD&gt; Anime&gt; Nhật Bản&gt; Tôi dòng")</f>
        <v>Đấu giá&gt; phim, video&gt; DVD&gt; Anime&gt; Nhật Bản&gt; Tôi dòng</v>
      </c>
      <c r="G576" t="str">
        <f t="shared" ca="1" si="8"/>
        <v>"2084202925" : "tôi hàng",</v>
      </c>
    </row>
    <row r="577" spans="1:7" ht="14.25" customHeight="1">
      <c r="A577" s="2">
        <v>2084216651</v>
      </c>
      <c r="B577" s="2" t="s">
        <v>554</v>
      </c>
      <c r="C577" s="2" t="s">
        <v>3821</v>
      </c>
      <c r="D577" s="2" t="s">
        <v>3822</v>
      </c>
      <c r="E577" s="4" t="str">
        <f ca="1">IFERROR(__xludf.DUMMYFUNCTION("GOOGLETRANSLATE(B577,""ja"",""vi"")"),"hàng nitơ")</f>
        <v>hàng nitơ</v>
      </c>
      <c r="F577" s="4" t="str">
        <f ca="1">IFERROR(__xludf.DUMMYFUNCTION("GOOGLETRANSLATE(C577,""ja"",""vi"")"),"Đấu giá&gt; phim, video&gt; băng video&gt; Anime&gt; Nhật Bản&gt; hàng nitơ")</f>
        <v>Đấu giá&gt; phim, video&gt; băng video&gt; Anime&gt; Nhật Bản&gt; hàng nitơ</v>
      </c>
      <c r="G577" t="str">
        <f t="shared" ca="1" si="8"/>
        <v>"2084216651" : "hàng nitơ",</v>
      </c>
    </row>
    <row r="578" spans="1:7" ht="14.25" customHeight="1">
      <c r="A578" s="2">
        <v>2084216652</v>
      </c>
      <c r="B578" s="2" t="s">
        <v>562</v>
      </c>
      <c r="C578" s="2" t="s">
        <v>3827</v>
      </c>
      <c r="D578" s="2" t="s">
        <v>3828</v>
      </c>
      <c r="E578" s="4" t="str">
        <f ca="1">IFERROR(__xludf.DUMMYFUNCTION("GOOGLETRANSLATE(B578,""ja"",""vi"")"),"hoặc hàng")</f>
        <v>hoặc hàng</v>
      </c>
      <c r="F578" s="4" t="str">
        <f ca="1">IFERROR(__xludf.DUMMYFUNCTION("GOOGLETRANSLATE(C578,""ja"",""vi"")"),"Đấu giá&gt; phim, video&gt; băng video&gt; Anime&gt; Nhật Bản&gt; hoặc hàng")</f>
        <v>Đấu giá&gt; phim, video&gt; băng video&gt; Anime&gt; Nhật Bản&gt; hoặc hàng</v>
      </c>
      <c r="G578" t="str">
        <f t="shared" ca="1" si="8"/>
        <v>"2084216652" : "hoặc hàng",</v>
      </c>
    </row>
    <row r="579" spans="1:7" ht="14.25" customHeight="1">
      <c r="A579" s="2">
        <v>2084216653</v>
      </c>
      <c r="B579" s="2" t="s">
        <v>570</v>
      </c>
      <c r="C579" s="2" t="s">
        <v>3831</v>
      </c>
      <c r="D579" s="2" t="s">
        <v>3833</v>
      </c>
      <c r="E579" s="4" t="str">
        <f ca="1">IFERROR(__xludf.DUMMYFUNCTION("GOOGLETRANSLATE(B579,""ja"",""vi"")"),"Các chữ s")</f>
        <v>Các chữ s</v>
      </c>
      <c r="F579" s="4" t="str">
        <f ca="1">IFERROR(__xludf.DUMMYFUNCTION("GOOGLETRANSLATE(C579,""ja"",""vi"")"),"Đấu giá&gt; phim, video&gt; băng video&gt; Anime&gt; Nhật Bản&gt; chữ s")</f>
        <v>Đấu giá&gt; phim, video&gt; băng video&gt; Anime&gt; Nhật Bản&gt; chữ s</v>
      </c>
      <c r="G579" t="str">
        <f t="shared" ref="G579:G642" ca="1" si="9">CONCATENATE(CHAR(34)&amp;"",A579,""&amp;CHAR(34)," : ", CHAR(34)&amp;"",E579,""&amp;CHAR(34),",")</f>
        <v>"2084216653" : "Các chữ s",</v>
      </c>
    </row>
    <row r="580" spans="1:7" ht="14.25" customHeight="1">
      <c r="A580" s="2">
        <v>2084216654</v>
      </c>
      <c r="B580" s="2" t="s">
        <v>578</v>
      </c>
      <c r="C580" s="2" t="s">
        <v>3839</v>
      </c>
      <c r="D580" s="2" t="s">
        <v>3840</v>
      </c>
      <c r="E580" s="4" t="str">
        <f ca="1">IFERROR(__xludf.DUMMYFUNCTION("GOOGLETRANSLATE(B580,""ja"",""vi"")"),"Tagyo")</f>
        <v>Tagyo</v>
      </c>
      <c r="F580" s="4" t="str">
        <f ca="1">IFERROR(__xludf.DUMMYFUNCTION("GOOGLETRANSLATE(C580,""ja"",""vi"")"),"Đấu giá&gt; phim, video&gt; băng video&gt; Anime&gt; Nhật Bản&gt; Tagyo")</f>
        <v>Đấu giá&gt; phim, video&gt; băng video&gt; Anime&gt; Nhật Bản&gt; Tagyo</v>
      </c>
      <c r="G580" t="str">
        <f t="shared" ca="1" si="9"/>
        <v>"2084216654" : "Tagyo",</v>
      </c>
    </row>
    <row r="581" spans="1:7" ht="14.25" customHeight="1">
      <c r="A581" s="2">
        <v>2084216655</v>
      </c>
      <c r="B581" s="2" t="s">
        <v>587</v>
      </c>
      <c r="C581" s="2" t="s">
        <v>3843</v>
      </c>
      <c r="D581" s="2" t="s">
        <v>3846</v>
      </c>
      <c r="E581" s="4" t="str">
        <f ca="1">IFERROR(__xludf.DUMMYFUNCTION("GOOGLETRANSLATE(B581,""ja"",""vi"")"),"Một dòng")</f>
        <v>Một dòng</v>
      </c>
      <c r="F581" s="4" t="str">
        <f ca="1">IFERROR(__xludf.DUMMYFUNCTION("GOOGLETRANSLATE(C581,""ja"",""vi"")"),"Đấu giá&gt; phim, video&gt; băng video&gt; Anime&gt; Nhật Bản&gt; hàng")</f>
        <v>Đấu giá&gt; phim, video&gt; băng video&gt; Anime&gt; Nhật Bản&gt; hàng</v>
      </c>
      <c r="G581" t="str">
        <f t="shared" ca="1" si="9"/>
        <v>"2084216655" : "Một dòng",</v>
      </c>
    </row>
    <row r="582" spans="1:7" ht="14.25" customHeight="1">
      <c r="A582" s="2">
        <v>2084216656</v>
      </c>
      <c r="B582" s="2" t="s">
        <v>592</v>
      </c>
      <c r="C582" s="2" t="s">
        <v>3850</v>
      </c>
      <c r="D582" s="2" t="s">
        <v>3851</v>
      </c>
      <c r="E582" s="4" t="str">
        <f ca="1">IFERROR(__xludf.DUMMYFUNCTION("GOOGLETRANSLATE(B582,""ja"",""vi"")"),"hàng")</f>
        <v>hàng</v>
      </c>
      <c r="F582" s="4" t="str">
        <f ca="1">IFERROR(__xludf.DUMMYFUNCTION("GOOGLETRANSLATE(C582,""ja"",""vi"")"),"Đấu giá&gt; phim, video&gt; băng video&gt; Anime&gt; Nhật Bản&gt; liên tiếp")</f>
        <v>Đấu giá&gt; phim, video&gt; băng video&gt; Anime&gt; Nhật Bản&gt; liên tiếp</v>
      </c>
      <c r="G582" t="str">
        <f t="shared" ca="1" si="9"/>
        <v>"2084216656" : "hàng",</v>
      </c>
    </row>
    <row r="583" spans="1:7" ht="14.25" customHeight="1">
      <c r="A583" s="2">
        <v>2084216657</v>
      </c>
      <c r="B583" s="2" t="s">
        <v>600</v>
      </c>
      <c r="C583" s="2" t="s">
        <v>3854</v>
      </c>
      <c r="D583" s="2" t="s">
        <v>3857</v>
      </c>
      <c r="E583" s="4" t="str">
        <f ca="1">IFERROR(__xludf.DUMMYFUNCTION("GOOGLETRANSLATE(B583,""ja"",""vi"")"),"hoặc dòng")</f>
        <v>hoặc dòng</v>
      </c>
      <c r="F583" s="4" t="str">
        <f ca="1">IFERROR(__xludf.DUMMYFUNCTION("GOOGLETRANSLATE(C583,""ja"",""vi"")"),"Đấu giá&gt; phim, video&gt; băng video&gt; Anime&gt; Nhật Bản&gt; hoặc hàng")</f>
        <v>Đấu giá&gt; phim, video&gt; băng video&gt; Anime&gt; Nhật Bản&gt; hoặc hàng</v>
      </c>
      <c r="G583" t="str">
        <f t="shared" ca="1" si="9"/>
        <v>"2084216657" : "hoặc dòng",</v>
      </c>
    </row>
    <row r="584" spans="1:7" ht="14.25" customHeight="1">
      <c r="A584" s="2">
        <v>2084216658</v>
      </c>
      <c r="B584" s="2" t="s">
        <v>608</v>
      </c>
      <c r="C584" s="2" t="s">
        <v>3861</v>
      </c>
      <c r="D584" s="2" t="s">
        <v>3863</v>
      </c>
      <c r="E584" s="4" t="str">
        <f ca="1">IFERROR(__xludf.DUMMYFUNCTION("GOOGLETRANSLATE(B584,""ja"",""vi"")"),"hoặc hàng")</f>
        <v>hoặc hàng</v>
      </c>
      <c r="F584" s="4" t="str">
        <f ca="1">IFERROR(__xludf.DUMMYFUNCTION("GOOGLETRANSLATE(C584,""ja"",""vi"")"),"Đấu giá&gt; phim, video&gt; băng video&gt; Anime&gt; Nhật Bản&gt; hoặc hàng")</f>
        <v>Đấu giá&gt; phim, video&gt; băng video&gt; Anime&gt; Nhật Bản&gt; hoặc hàng</v>
      </c>
      <c r="G584" t="str">
        <f t="shared" ca="1" si="9"/>
        <v>"2084216658" : "hoặc hàng",</v>
      </c>
    </row>
    <row r="585" spans="1:7" ht="14.25" customHeight="1">
      <c r="A585" s="2">
        <v>2084216659</v>
      </c>
      <c r="B585" s="2" t="s">
        <v>689</v>
      </c>
      <c r="C585" s="2" t="s">
        <v>3866</v>
      </c>
      <c r="D585" s="2" t="s">
        <v>3868</v>
      </c>
      <c r="E585" s="4" t="str">
        <f ca="1">IFERROR(__xludf.DUMMYFUNCTION("GOOGLETRANSLATE(B585,""ja"",""vi"")"),"Racovian")</f>
        <v>Racovian</v>
      </c>
      <c r="F585" s="4" t="str">
        <f ca="1">IFERROR(__xludf.DUMMYFUNCTION("GOOGLETRANSLATE(C585,""ja"",""vi"")"),"Đấu giá&gt; phim, video&gt; băng video&gt; Anime&gt; Nhật Bản&gt; Racovian")</f>
        <v>Đấu giá&gt; phim, video&gt; băng video&gt; Anime&gt; Nhật Bản&gt; Racovian</v>
      </c>
      <c r="G585" t="str">
        <f t="shared" ca="1" si="9"/>
        <v>"2084216659" : "Racovian",</v>
      </c>
    </row>
    <row r="586" spans="1:7" ht="14.25" customHeight="1">
      <c r="A586" s="2">
        <v>2084216660</v>
      </c>
      <c r="B586" s="2" t="s">
        <v>696</v>
      </c>
      <c r="C586" s="2" t="s">
        <v>3873</v>
      </c>
      <c r="D586" s="2" t="s">
        <v>3874</v>
      </c>
      <c r="E586" s="4" t="str">
        <f ca="1">IFERROR(__xludf.DUMMYFUNCTION("GOOGLETRANSLATE(B586,""ja"",""vi"")"),"tôi hàng")</f>
        <v>tôi hàng</v>
      </c>
      <c r="F586" s="4" t="str">
        <f ca="1">IFERROR(__xludf.DUMMYFUNCTION("GOOGLETRANSLATE(C586,""ja"",""vi"")"),"Đấu giá&gt; phim, video&gt; băng video&gt; Anime&gt; Nhật Bản&gt; Tôi dòng")</f>
        <v>Đấu giá&gt; phim, video&gt; băng video&gt; Anime&gt; Nhật Bản&gt; Tôi dòng</v>
      </c>
      <c r="G586" t="str">
        <f t="shared" ca="1" si="9"/>
        <v>"2084216660" : "tôi hàng",</v>
      </c>
    </row>
    <row r="587" spans="1:7" ht="14.25" customHeight="1">
      <c r="A587" s="2">
        <v>2084034349</v>
      </c>
      <c r="B587" s="2" t="s">
        <v>554</v>
      </c>
      <c r="C587" s="2" t="s">
        <v>3880</v>
      </c>
      <c r="D587" s="2" t="s">
        <v>3881</v>
      </c>
      <c r="E587" s="4" t="str">
        <f ca="1">IFERROR(__xludf.DUMMYFUNCTION("GOOGLETRANSLATE(B587,""ja"",""vi"")"),"hàng nitơ")</f>
        <v>hàng nitơ</v>
      </c>
      <c r="F587" s="4" t="str">
        <f ca="1">IFERROR(__xludf.DUMMYFUNCTION("GOOGLETRANSLATE(C587,""ja"",""vi"")"),"Đấu giá&gt; cổ, bộ sưu tập&gt; giao dịch thẻ&gt; truyện tranh, hoạt hình&gt; bởi công việc&gt; hàng nitơ")</f>
        <v>Đấu giá&gt; cổ, bộ sưu tập&gt; giao dịch thẻ&gt; truyện tranh, hoạt hình&gt; bởi công việc&gt; hàng nitơ</v>
      </c>
      <c r="G587" t="str">
        <f t="shared" ca="1" si="9"/>
        <v>"2084034349" : "hàng nitơ",</v>
      </c>
    </row>
    <row r="588" spans="1:7" ht="14.25" customHeight="1">
      <c r="A588" s="2">
        <v>2084034615</v>
      </c>
      <c r="B588" s="2" t="s">
        <v>562</v>
      </c>
      <c r="C588" s="2" t="s">
        <v>3884</v>
      </c>
      <c r="D588" s="2" t="s">
        <v>3886</v>
      </c>
      <c r="E588" s="4" t="str">
        <f ca="1">IFERROR(__xludf.DUMMYFUNCTION("GOOGLETRANSLATE(B588,""ja"",""vi"")"),"hoặc hàng")</f>
        <v>hoặc hàng</v>
      </c>
      <c r="F588" s="4" t="str">
        <f ca="1">IFERROR(__xludf.DUMMYFUNCTION("GOOGLETRANSLATE(C588,""ja"",""vi"")"),"Đấu giá&gt; cổ, bộ sưu tập&gt; giao dịch thẻ&gt; truyện tranh, hoạt hình&gt; bởi công việc&gt; hoặc hàng")</f>
        <v>Đấu giá&gt; cổ, bộ sưu tập&gt; giao dịch thẻ&gt; truyện tranh, hoạt hình&gt; bởi công việc&gt; hoặc hàng</v>
      </c>
      <c r="G588" t="str">
        <f t="shared" ca="1" si="9"/>
        <v>"2084034615" : "hoặc hàng",</v>
      </c>
    </row>
    <row r="589" spans="1:7" ht="14.25" customHeight="1">
      <c r="A589" s="2">
        <v>2084034899</v>
      </c>
      <c r="B589" s="2" t="s">
        <v>570</v>
      </c>
      <c r="C589" s="2" t="s">
        <v>3890</v>
      </c>
      <c r="D589" s="2" t="s">
        <v>3891</v>
      </c>
      <c r="E589" s="4" t="str">
        <f ca="1">IFERROR(__xludf.DUMMYFUNCTION("GOOGLETRANSLATE(B589,""ja"",""vi"")"),"Các chữ s")</f>
        <v>Các chữ s</v>
      </c>
      <c r="F589" s="4" t="str">
        <f ca="1">IFERROR(__xludf.DUMMYFUNCTION("GOOGLETRANSLATE(C589,""ja"",""vi"")"),"Đấu giá&gt; cổ, bộ sưu tập&gt; giao dịch thẻ&gt; truyện tranh, hoạt hình&gt; bởi công việc&gt; chữ s")</f>
        <v>Đấu giá&gt; cổ, bộ sưu tập&gt; giao dịch thẻ&gt; truyện tranh, hoạt hình&gt; bởi công việc&gt; chữ s</v>
      </c>
      <c r="G589" t="str">
        <f t="shared" ca="1" si="9"/>
        <v>"2084034899" : "Các chữ s",</v>
      </c>
    </row>
    <row r="590" spans="1:7" ht="14.25" customHeight="1">
      <c r="A590" s="2">
        <v>2084035255</v>
      </c>
      <c r="B590" s="2" t="s">
        <v>578</v>
      </c>
      <c r="C590" s="2" t="s">
        <v>3896</v>
      </c>
      <c r="D590" s="2" t="s">
        <v>3898</v>
      </c>
      <c r="E590" s="4" t="str">
        <f ca="1">IFERROR(__xludf.DUMMYFUNCTION("GOOGLETRANSLATE(B590,""ja"",""vi"")"),"Tagyo")</f>
        <v>Tagyo</v>
      </c>
      <c r="F590" s="4" t="str">
        <f ca="1">IFERROR(__xludf.DUMMYFUNCTION("GOOGLETRANSLATE(C590,""ja"",""vi"")"),"Đấu giá&gt; cổ, bộ sưu tập&gt; giao dịch thẻ&gt; truyện tranh, hoạt hình&gt; bởi công việc&gt; Tagyo")</f>
        <v>Đấu giá&gt; cổ, bộ sưu tập&gt; giao dịch thẻ&gt; truyện tranh, hoạt hình&gt; bởi công việc&gt; Tagyo</v>
      </c>
      <c r="G590" t="str">
        <f t="shared" ca="1" si="9"/>
        <v>"2084035255" : "Tagyo",</v>
      </c>
    </row>
    <row r="591" spans="1:7" ht="14.25" customHeight="1">
      <c r="A591" s="2">
        <v>2084035431</v>
      </c>
      <c r="B591" s="2" t="s">
        <v>587</v>
      </c>
      <c r="C591" s="2" t="s">
        <v>3903</v>
      </c>
      <c r="D591" s="2" t="s">
        <v>3905</v>
      </c>
      <c r="E591" s="4" t="str">
        <f ca="1">IFERROR(__xludf.DUMMYFUNCTION("GOOGLETRANSLATE(B591,""ja"",""vi"")"),"Một dòng")</f>
        <v>Một dòng</v>
      </c>
      <c r="F591" s="4" t="str">
        <f ca="1">IFERROR(__xludf.DUMMYFUNCTION("GOOGLETRANSLATE(C591,""ja"",""vi"")"),"Đấu giá&gt; cổ, bộ sưu tập&gt; giao dịch thẻ&gt; truyện tranh, hoạt hình&gt; bởi công việc&gt; hàng")</f>
        <v>Đấu giá&gt; cổ, bộ sưu tập&gt; giao dịch thẻ&gt; truyện tranh, hoạt hình&gt; bởi công việc&gt; hàng</v>
      </c>
      <c r="G591" t="str">
        <f t="shared" ca="1" si="9"/>
        <v>"2084035431" : "Một dòng",</v>
      </c>
    </row>
    <row r="592" spans="1:7" ht="14.25" customHeight="1">
      <c r="A592" s="2">
        <v>2084035617</v>
      </c>
      <c r="B592" s="2" t="s">
        <v>592</v>
      </c>
      <c r="C592" s="2" t="s">
        <v>3910</v>
      </c>
      <c r="D592" s="2" t="s">
        <v>3911</v>
      </c>
      <c r="E592" s="4" t="str">
        <f ca="1">IFERROR(__xludf.DUMMYFUNCTION("GOOGLETRANSLATE(B592,""ja"",""vi"")"),"hàng")</f>
        <v>hàng</v>
      </c>
      <c r="F592" s="4" t="str">
        <f ca="1">IFERROR(__xludf.DUMMYFUNCTION("GOOGLETRANSLATE(C592,""ja"",""vi"")"),"Đấu giá&gt; cổ, bộ sưu tập&gt; giao dịch thẻ&gt; truyện tranh, hoạt hình&gt; bởi công việc&gt; hàng")</f>
        <v>Đấu giá&gt; cổ, bộ sưu tập&gt; giao dịch thẻ&gt; truyện tranh, hoạt hình&gt; bởi công việc&gt; hàng</v>
      </c>
      <c r="G592" t="str">
        <f t="shared" ca="1" si="9"/>
        <v>"2084035617" : "hàng",</v>
      </c>
    </row>
    <row r="593" spans="1:7" ht="14.25" customHeight="1">
      <c r="A593" s="2">
        <v>2084035833</v>
      </c>
      <c r="B593" s="2" t="s">
        <v>600</v>
      </c>
      <c r="C593" s="2" t="s">
        <v>3915</v>
      </c>
      <c r="D593" s="2" t="s">
        <v>3916</v>
      </c>
      <c r="E593" s="4" t="str">
        <f ca="1">IFERROR(__xludf.DUMMYFUNCTION("GOOGLETRANSLATE(B593,""ja"",""vi"")"),"hoặc dòng")</f>
        <v>hoặc dòng</v>
      </c>
      <c r="F593" s="4" t="str">
        <f ca="1">IFERROR(__xludf.DUMMYFUNCTION("GOOGLETRANSLATE(C593,""ja"",""vi"")"),"Đấu giá&gt; cổ, bộ sưu tập&gt; giao dịch thẻ&gt; truyện tranh, hoạt hình&gt; bởi công việc&gt; hoặc hàng")</f>
        <v>Đấu giá&gt; cổ, bộ sưu tập&gt; giao dịch thẻ&gt; truyện tranh, hoạt hình&gt; bởi công việc&gt; hoặc hàng</v>
      </c>
      <c r="G593" t="str">
        <f t="shared" ca="1" si="9"/>
        <v>"2084035833" : "hoặc dòng",</v>
      </c>
    </row>
    <row r="594" spans="1:7" ht="14.25" customHeight="1">
      <c r="A594" s="2">
        <v>2084035997</v>
      </c>
      <c r="B594" s="2" t="s">
        <v>608</v>
      </c>
      <c r="C594" s="2" t="s">
        <v>3921</v>
      </c>
      <c r="D594" s="2" t="s">
        <v>3922</v>
      </c>
      <c r="E594" s="4" t="str">
        <f ca="1">IFERROR(__xludf.DUMMYFUNCTION("GOOGLETRANSLATE(B594,""ja"",""vi"")"),"hoặc hàng")</f>
        <v>hoặc hàng</v>
      </c>
      <c r="F594" s="4" t="str">
        <f ca="1">IFERROR(__xludf.DUMMYFUNCTION("GOOGLETRANSLATE(C594,""ja"",""vi"")"),"Đấu giá&gt; cổ, bộ sưu tập&gt; giao dịch thẻ&gt; truyện tranh, hoạt hình&gt; bởi công việc&gt; hoặc hàng")</f>
        <v>Đấu giá&gt; cổ, bộ sưu tập&gt; giao dịch thẻ&gt; truyện tranh, hoạt hình&gt; bởi công việc&gt; hoặc hàng</v>
      </c>
      <c r="G594" t="str">
        <f t="shared" ca="1" si="9"/>
        <v>"2084035997" : "hoặc hàng",</v>
      </c>
    </row>
    <row r="595" spans="1:7" ht="14.25" customHeight="1">
      <c r="A595" s="2">
        <v>2084036074</v>
      </c>
      <c r="B595" s="2" t="s">
        <v>689</v>
      </c>
      <c r="C595" s="2" t="s">
        <v>3926</v>
      </c>
      <c r="D595" s="2" t="s">
        <v>3928</v>
      </c>
      <c r="E595" s="4" t="str">
        <f ca="1">IFERROR(__xludf.DUMMYFUNCTION("GOOGLETRANSLATE(B595,""ja"",""vi"")"),"Racovian")</f>
        <v>Racovian</v>
      </c>
      <c r="F595" s="4" t="str">
        <f ca="1">IFERROR(__xludf.DUMMYFUNCTION("GOOGLETRANSLATE(C595,""ja"",""vi"")"),"Đấu giá&gt; cổ, bộ sưu tập&gt; giao dịch thẻ&gt; truyện tranh, hoạt hình&gt; bởi công việc&gt; Racovian")</f>
        <v>Đấu giá&gt; cổ, bộ sưu tập&gt; giao dịch thẻ&gt; truyện tranh, hoạt hình&gt; bởi công việc&gt; Racovian</v>
      </c>
      <c r="G595" t="str">
        <f t="shared" ca="1" si="9"/>
        <v>"2084036074" : "Racovian",</v>
      </c>
    </row>
    <row r="596" spans="1:7" ht="14.25" customHeight="1">
      <c r="A596" s="2">
        <v>2084036131</v>
      </c>
      <c r="B596" s="2" t="s">
        <v>696</v>
      </c>
      <c r="C596" s="2" t="s">
        <v>3931</v>
      </c>
      <c r="D596" s="2" t="s">
        <v>3933</v>
      </c>
      <c r="E596" s="4" t="str">
        <f ca="1">IFERROR(__xludf.DUMMYFUNCTION("GOOGLETRANSLATE(B596,""ja"",""vi"")"),"tôi hàng")</f>
        <v>tôi hàng</v>
      </c>
      <c r="F596" s="4" t="str">
        <f ca="1">IFERROR(__xludf.DUMMYFUNCTION("GOOGLETRANSLATE(C596,""ja"",""vi"")"),"Đấu giá&gt; cổ, bộ sưu tập&gt; giao dịch thẻ&gt; truyện tranh, hoạt hình&gt; bởi công việc&gt; Tôi dòng")</f>
        <v>Đấu giá&gt; cổ, bộ sưu tập&gt; giao dịch thẻ&gt; truyện tranh, hoạt hình&gt; bởi công việc&gt; Tôi dòng</v>
      </c>
      <c r="G596" t="str">
        <f t="shared" ca="1" si="9"/>
        <v>"2084036131" : "tôi hàng",</v>
      </c>
    </row>
    <row r="597" spans="1:7" ht="14.25" customHeight="1">
      <c r="A597" s="2">
        <v>2084241343</v>
      </c>
      <c r="B597" s="2" t="s">
        <v>3937</v>
      </c>
      <c r="C597" s="2" t="s">
        <v>3939</v>
      </c>
      <c r="D597" s="2" t="s">
        <v>3940</v>
      </c>
      <c r="E597" s="4" t="str">
        <f ca="1">IFERROR(__xludf.DUMMYFUNCTION("GOOGLETRANSLATE(B597,""ja"",""vi"")"),"trò chơi thẻ Pokemon")</f>
        <v>trò chơi thẻ Pokemon</v>
      </c>
      <c r="F597" s="4" t="str">
        <f ca="1">IFERROR(__xludf.DUMMYFUNCTION("GOOGLETRANSLATE(C597,""ja"",""vi"")"),"Đấu giá&gt; cổ, bộ sưu tập&gt; giao dịch thẻ&gt; video game&gt; Pokemon Card Game")</f>
        <v>Đấu giá&gt; cổ, bộ sưu tập&gt; giao dịch thẻ&gt; video game&gt; Pokemon Card Game</v>
      </c>
      <c r="G597" t="str">
        <f t="shared" ca="1" si="9"/>
        <v>"2084241343" : "trò chơi thẻ Pokemon",</v>
      </c>
    </row>
    <row r="598" spans="1:7" ht="14.25" customHeight="1">
      <c r="A598" s="2">
        <v>2084241344</v>
      </c>
      <c r="B598" s="2" t="s">
        <v>3944</v>
      </c>
      <c r="C598" s="2" t="s">
        <v>3946</v>
      </c>
      <c r="D598" s="2" t="s">
        <v>3947</v>
      </c>
      <c r="E598" s="4" t="str">
        <f ca="1">IFERROR(__xludf.DUMMYFUNCTION("GOOGLETRANSLATE(B598,""ja"",""vi"")"),"Pokémon Battrio")</f>
        <v>Pokémon Battrio</v>
      </c>
      <c r="F598" s="4" t="str">
        <f ca="1">IFERROR(__xludf.DUMMYFUNCTION("GOOGLETRANSLATE(C598,""ja"",""vi"")"),"Đấu giá&gt; cổ, bộ sưu tập&gt; giao dịch thẻ&gt; video game&gt; Pokémon Battrio")</f>
        <v>Đấu giá&gt; cổ, bộ sưu tập&gt; giao dịch thẻ&gt; video game&gt; Pokémon Battrio</v>
      </c>
      <c r="G598" t="str">
        <f t="shared" ca="1" si="9"/>
        <v>"2084241344" : "Pokémon Battrio",</v>
      </c>
    </row>
    <row r="599" spans="1:7" ht="14.25" customHeight="1">
      <c r="A599" s="2">
        <v>21020</v>
      </c>
      <c r="B599" s="2" t="s">
        <v>3949</v>
      </c>
      <c r="C599" s="2" t="s">
        <v>3950</v>
      </c>
      <c r="D599" s="2" t="s">
        <v>3952</v>
      </c>
      <c r="E599" s="4" t="str">
        <f ca="1">IFERROR(__xludf.DUMMYFUNCTION("GOOGLETRANSLATE(B599,""ja"",""vi"")"),"Truyện tranh, hoạt hình thẻ giao dịch")</f>
        <v>Truyện tranh, hoạt hình thẻ giao dịch</v>
      </c>
      <c r="F599" s="4" t="str">
        <f ca="1">IFERROR(__xludf.DUMMYFUNCTION("GOOGLETRANSLATE(C599,""ja"",""vi"")"),"Đấu giá&gt; cổ, bộ sưu tập&gt; giao dịch thẻ&gt; video game&gt; truyện tranh, hoạt hình thẻ giao dịch")</f>
        <v>Đấu giá&gt; cổ, bộ sưu tập&gt; giao dịch thẻ&gt; video game&gt; truyện tranh, hoạt hình thẻ giao dịch</v>
      </c>
      <c r="G599" t="str">
        <f t="shared" ca="1" si="9"/>
        <v>"21020" : "Truyện tranh, hoạt hình thẻ giao dịch",</v>
      </c>
    </row>
    <row r="600" spans="1:7" ht="14.25" customHeight="1">
      <c r="A600" s="2">
        <v>2084006018</v>
      </c>
      <c r="B600" s="2" t="s">
        <v>46</v>
      </c>
      <c r="C600" s="2" t="s">
        <v>3957</v>
      </c>
      <c r="D600" s="2" t="s">
        <v>3958</v>
      </c>
      <c r="E600" s="4" t="str">
        <f ca="1">IFERROR(__xludf.DUMMYFUNCTION("GOOGLETRANSLATE(B600,""ja"",""vi"")"),"nếu không thì")</f>
        <v>nếu không thì</v>
      </c>
      <c r="F600" s="4" t="str">
        <f ca="1">IFERROR(__xludf.DUMMYFUNCTION("GOOGLETRANSLATE(C600,""ja"",""vi"")"),"Đấu giá&gt; cổ, bộ sưu tập&gt; giao dịch thẻ&gt; video game&gt; Khác")</f>
        <v>Đấu giá&gt; cổ, bộ sưu tập&gt; giao dịch thẻ&gt; video game&gt; Khác</v>
      </c>
      <c r="G600" t="str">
        <f t="shared" ca="1" si="9"/>
        <v>"2084006018" : "nếu không thì",</v>
      </c>
    </row>
    <row r="601" spans="1:7" ht="14.25" customHeight="1">
      <c r="A601" s="2">
        <v>2084034585</v>
      </c>
      <c r="B601" s="2" t="s">
        <v>362</v>
      </c>
      <c r="C601" s="2" t="s">
        <v>3963</v>
      </c>
      <c r="D601" s="2" t="s">
        <v>3964</v>
      </c>
      <c r="E601" s="4" t="str">
        <f ca="1">IFERROR(__xludf.DUMMYFUNCTION("GOOGLETRANSLATE(B601,""ja"",""vi"")"),"tải thất Orange ★")</f>
        <v>tải thất Orange ★</v>
      </c>
      <c r="F601" s="4" t="str">
        <f ca="1">IFERROR(__xludf.DUMMYFUNCTION("GOOGLETRANSLATE(C601,""ja"",""vi"")"),"Đấu giá&gt; vé, chứng từ, đặt phòng khách sạn&gt; Thẻ trả trước&gt; Thẻ điện thoại&gt; truyện tranh, hoạt hình&gt; hoặc hàng&gt; thất Orange ★ tải")</f>
        <v>Đấu giá&gt; vé, chứng từ, đặt phòng khách sạn&gt; Thẻ trả trước&gt; Thẻ điện thoại&gt; truyện tranh, hoạt hình&gt; hoặc hàng&gt; thất Orange ★ tải</v>
      </c>
      <c r="G601" t="str">
        <f t="shared" ca="1" si="9"/>
        <v>"2084034585" : "tải thất Orange ★",</v>
      </c>
    </row>
    <row r="602" spans="1:7" ht="14.25" customHeight="1">
      <c r="A602" s="2">
        <v>2084034605</v>
      </c>
      <c r="B602" s="2" t="s">
        <v>382</v>
      </c>
      <c r="C602" s="2" t="s">
        <v>3969</v>
      </c>
      <c r="D602" s="2" t="s">
        <v>3970</v>
      </c>
      <c r="E602" s="4" t="str">
        <f ca="1">IFERROR(__xludf.DUMMYFUNCTION("GOOGLETRANSLATE(B602,""ja"",""vi"")"),"Dưới đây công viên Katsushika Kameari trước khi cảnh sát")</f>
        <v>Dưới đây công viên Katsushika Kameari trước khi cảnh sát</v>
      </c>
      <c r="F602" s="4" t="str">
        <f ca="1">IFERROR(__xludf.DUMMYFUNCTION("GOOGLETRANSLATE(C602,""ja"",""vi"")"),"Đấu giá&gt; vé, chứng từ, đặt phòng khách sạn&gt; Thẻ trả trước&gt; Thẻ điện thoại&gt; truyện tranh, hoạt hình&gt; hoặc hàng&gt; đây Katsushika Kameari công viên trước khi cảnh sát")</f>
        <v>Đấu giá&gt; vé, chứng từ, đặt phòng khách sạn&gt; Thẻ trả trước&gt; Thẻ điện thoại&gt; truyện tranh, hoạt hình&gt; hoặc hàng&gt; đây Katsushika Kameari công viên trước khi cảnh sát</v>
      </c>
      <c r="G602" t="str">
        <f t="shared" ca="1" si="9"/>
        <v>"2084034605" : "Dưới đây công viên Katsushika Kameari trước khi cảnh sát",</v>
      </c>
    </row>
    <row r="603" spans="1:7" ht="14.25" customHeight="1">
      <c r="A603" s="2">
        <v>2084034571</v>
      </c>
      <c r="B603" s="2" t="s">
        <v>393</v>
      </c>
      <c r="C603" s="2" t="s">
        <v>3975</v>
      </c>
      <c r="D603" s="2" t="s">
        <v>3976</v>
      </c>
      <c r="E603" s="4" t="str">
        <f ca="1">IFERROR(__xludf.DUMMYFUNCTION("GOOGLETRANSLATE(B603,""ja"",""vi"")"),"Cardcaptor Sakura")</f>
        <v>Cardcaptor Sakura</v>
      </c>
      <c r="F603" s="4" t="str">
        <f ca="1">IFERROR(__xludf.DUMMYFUNCTION("GOOGLETRANSLATE(C603,""ja"",""vi"")"),"Đấu giá&gt; vé, chứng từ, đặt phòng khách sạn&gt; Thẻ trả trước&gt; Thẻ điện thoại&gt; truyện tranh, hoạt hình&gt; hoặc hàng&gt; Cardcaptor Sakura")</f>
        <v>Đấu giá&gt; vé, chứng từ, đặt phòng khách sạn&gt; Thẻ trả trước&gt; Thẻ điện thoại&gt; truyện tranh, hoạt hình&gt; hoặc hàng&gt; Cardcaptor Sakura</v>
      </c>
      <c r="G603" t="str">
        <f t="shared" ca="1" si="9"/>
        <v>"2084034571" : "Cardcaptor Sakura",</v>
      </c>
    </row>
    <row r="604" spans="1:7" ht="14.25" customHeight="1">
      <c r="A604" s="2">
        <v>2084034574</v>
      </c>
      <c r="B604" s="2" t="s">
        <v>403</v>
      </c>
      <c r="C604" s="2" t="s">
        <v>3980</v>
      </c>
      <c r="D604" s="2" t="s">
        <v>3982</v>
      </c>
      <c r="E604" s="4" t="str">
        <f ca="1">IFERROR(__xludf.DUMMYFUNCTION("GOOGLETRANSLATE(B604,""ja"",""vi"")"),"Cowboy Bebop")</f>
        <v>Cowboy Bebop</v>
      </c>
      <c r="F604" s="4" t="str">
        <f ca="1">IFERROR(__xludf.DUMMYFUNCTION("GOOGLETRANSLATE(C604,""ja"",""vi"")"),"Đấu giá&gt; vé, chứng từ, đặt phòng khách sạn&gt; Thẻ trả trước&gt; Thẻ điện thoại&gt; truyện tranh, hoạt hình&gt; hoặc hàng&gt; Cowboy Bebop")</f>
        <v>Đấu giá&gt; vé, chứng từ, đặt phòng khách sạn&gt; Thẻ trả trước&gt; Thẻ điện thoại&gt; truyện tranh, hoạt hình&gt; hoặc hàng&gt; Cowboy Bebop</v>
      </c>
      <c r="G604" t="str">
        <f t="shared" ca="1" si="9"/>
        <v>"2084034574" : "Cowboy Bebop",</v>
      </c>
    </row>
    <row r="605" spans="1:7" ht="14.25" customHeight="1">
      <c r="A605" s="2">
        <v>2084034580</v>
      </c>
      <c r="B605" s="2" t="s">
        <v>429</v>
      </c>
      <c r="C605" s="2" t="s">
        <v>3987</v>
      </c>
      <c r="D605" s="2" t="s">
        <v>3989</v>
      </c>
      <c r="E605" s="4" t="str">
        <f ca="1">IFERROR(__xludf.DUMMYFUNCTION("GOOGLETRANSLATE(B605,""ja"",""vi"")"),"Gall Force")</f>
        <v>Gall Force</v>
      </c>
      <c r="F605" s="4" t="str">
        <f ca="1">IFERROR(__xludf.DUMMYFUNCTION("GOOGLETRANSLATE(C605,""ja"",""vi"")"),"Đấu giá&gt; vé, chứng từ, đặt phòng khách sạn&gt; Thẻ trả trước&gt; Thẻ điện thoại&gt; truyện tranh, hoạt hình&gt; hoặc hàng&gt; Gall Force")</f>
        <v>Đấu giá&gt; vé, chứng từ, đặt phòng khách sạn&gt; Thẻ trả trước&gt; Thẻ điện thoại&gt; truyện tranh, hoạt hình&gt; hoặc hàng&gt; Gall Force</v>
      </c>
      <c r="G605" t="str">
        <f t="shared" ca="1" si="9"/>
        <v>"2084034580" : "Gall Force",</v>
      </c>
    </row>
    <row r="606" spans="1:7" ht="14.25" customHeight="1">
      <c r="A606" s="2">
        <v>2084034582</v>
      </c>
      <c r="B606" s="2" t="s">
        <v>436</v>
      </c>
      <c r="C606" s="2" t="s">
        <v>3993</v>
      </c>
      <c r="D606" s="2" t="s">
        <v>3994</v>
      </c>
      <c r="E606" s="4" t="str">
        <f ca="1">IFERROR(__xludf.DUMMYFUNCTION("GOOGLETRANSLATE(B606,""ja"",""vi"")"),"Gundam")</f>
        <v>Gundam</v>
      </c>
      <c r="F606" s="4" t="str">
        <f ca="1">IFERROR(__xludf.DUMMYFUNCTION("GOOGLETRANSLATE(C606,""ja"",""vi"")"),"Đấu giá&gt; vé, chứng từ, đặt phòng khách sạn&gt; Thẻ trả trước&gt; Thẻ điện thoại&gt; truyện tranh, hoạt hình&gt; hoặc hàng&gt; Gundam")</f>
        <v>Đấu giá&gt; vé, chứng từ, đặt phòng khách sạn&gt; Thẻ trả trước&gt; Thẻ điện thoại&gt; truyện tranh, hoạt hình&gt; hoặc hàng&gt; Gundam</v>
      </c>
      <c r="G606" t="str">
        <f t="shared" ca="1" si="9"/>
        <v>"2084034582" : "Gundam",</v>
      </c>
    </row>
    <row r="607" spans="1:7" ht="14.25" customHeight="1">
      <c r="A607" s="2">
        <v>2084034586</v>
      </c>
      <c r="B607" s="2" t="s">
        <v>445</v>
      </c>
      <c r="C607" s="2" t="s">
        <v>3998</v>
      </c>
      <c r="D607" s="2" t="s">
        <v>3999</v>
      </c>
      <c r="E607" s="4" t="str">
        <f ca="1">IFERROR(__xludf.DUMMYFUNCTION("GOOGLETRANSLATE(B607,""ja"",""vi"")"),"Captain Harlock")</f>
        <v>Captain Harlock</v>
      </c>
      <c r="F607" s="4" t="str">
        <f ca="1">IFERROR(__xludf.DUMMYFUNCTION("GOOGLETRANSLATE(C607,""ja"",""vi"")"),"Đấu giá&gt; vé, chứng từ, đặt phòng khách sạn&gt; Thẻ trả trước&gt; Thẻ điện thoại&gt; truyện tranh, hoạt hình&gt; hoặc hàng&gt; Captain Harlock")</f>
        <v>Đấu giá&gt; vé, chứng từ, đặt phòng khách sạn&gt; Thẻ trả trước&gt; Thẻ điện thoại&gt; truyện tranh, hoạt hình&gt; hoặc hàng&gt; Captain Harlock</v>
      </c>
      <c r="G607" t="str">
        <f t="shared" ca="1" si="9"/>
        <v>"2084034586" : "Captain Harlock",</v>
      </c>
    </row>
    <row r="608" spans="1:7" ht="14.25" customHeight="1">
      <c r="A608" s="2">
        <v>2084034587</v>
      </c>
      <c r="B608" s="2" t="s">
        <v>458</v>
      </c>
      <c r="C608" s="2" t="s">
        <v>4004</v>
      </c>
      <c r="D608" s="2" t="s">
        <v>4006</v>
      </c>
      <c r="E608" s="4" t="str">
        <f ca="1">IFERROR(__xludf.DUMMYFUNCTION("GOOGLETRANSLATE(B608,""ja"",""vi"")"),"Captain Tsubasa")</f>
        <v>Captain Tsubasa</v>
      </c>
      <c r="F608" s="4" t="str">
        <f ca="1">IFERROR(__xludf.DUMMYFUNCTION("GOOGLETRANSLATE(C608,""ja"",""vi"")"),"Đấu giá&gt; vé, chứng từ, đặt phòng khách sạn&gt; Thẻ trả trước&gt; Thẻ điện thoại&gt; truyện tranh, hoạt hình&gt; hoặc hàng&gt; Captain Tsubasa")</f>
        <v>Đấu giá&gt; vé, chứng từ, đặt phòng khách sạn&gt; Thẻ trả trước&gt; Thẻ điện thoại&gt; truyện tranh, hoạt hình&gt; hoặc hàng&gt; Captain Tsubasa</v>
      </c>
      <c r="G608" t="str">
        <f t="shared" ca="1" si="9"/>
        <v>"2084034587" : "Captain Tsubasa",</v>
      </c>
    </row>
    <row r="609" spans="1:7" ht="14.25" customHeight="1">
      <c r="A609" s="2">
        <v>2084034590</v>
      </c>
      <c r="B609" s="2" t="s">
        <v>482</v>
      </c>
      <c r="C609" s="2" t="s">
        <v>4010</v>
      </c>
      <c r="D609" s="2" t="s">
        <v>4012</v>
      </c>
      <c r="E609" s="4" t="str">
        <f ca="1">IFERROR(__xludf.DUMMYFUNCTION("GOOGLETRANSLATE(B609,""ja"",""vi"")"),"Cutie Honey")</f>
        <v>Cutie Honey</v>
      </c>
      <c r="F609" s="4" t="str">
        <f ca="1">IFERROR(__xludf.DUMMYFUNCTION("GOOGLETRANSLATE(C609,""ja"",""vi"")"),"Đấu giá&gt; vé, chứng từ, đặt phòng khách sạn&gt; Thẻ trả trước&gt; Thẻ điện thoại&gt; truyện tranh, hoạt hình&gt; hoặc hàng&gt; Cutie Honey")</f>
        <v>Đấu giá&gt; vé, chứng từ, đặt phòng khách sạn&gt; Thẻ trả trước&gt; Thẻ điện thoại&gt; truyện tranh, hoạt hình&gt; hoặc hàng&gt; Cutie Honey</v>
      </c>
      <c r="G609" t="str">
        <f t="shared" ca="1" si="9"/>
        <v>"2084034590" : "Cutie Honey",</v>
      </c>
    </row>
    <row r="610" spans="1:7" ht="14.25" customHeight="1">
      <c r="A610" s="2">
        <v>2084034595</v>
      </c>
      <c r="B610" s="2" t="s">
        <v>489</v>
      </c>
      <c r="C610" s="2" t="s">
        <v>4016</v>
      </c>
      <c r="D610" s="2" t="s">
        <v>4018</v>
      </c>
      <c r="E610" s="4" t="str">
        <f ca="1">IFERROR(__xludf.DUMMYFUNCTION("GOOGLETRANSLATE(B610,""ja"",""vi"")"),"Kinnikuman")</f>
        <v>Kinnikuman</v>
      </c>
      <c r="F610" s="4" t="str">
        <f ca="1">IFERROR(__xludf.DUMMYFUNCTION("GOOGLETRANSLATE(C610,""ja"",""vi"")"),"Đấu giá&gt; vé, chứng từ, đặt phòng khách sạn&gt; Thẻ trả trước&gt; Thẻ điện thoại&gt; truyện tranh, hoạt hình&gt; hoặc hàng&gt; Kinnikuman")</f>
        <v>Đấu giá&gt; vé, chứng từ, đặt phòng khách sạn&gt; Thẻ trả trước&gt; Thẻ điện thoại&gt; truyện tranh, hoạt hình&gt; hoặc hàng&gt; Kinnikuman</v>
      </c>
      <c r="G610" t="str">
        <f t="shared" ca="1" si="9"/>
        <v>"2084034595" : "Kinnikuman",</v>
      </c>
    </row>
    <row r="611" spans="1:7" ht="14.25" customHeight="1">
      <c r="A611" s="2">
        <v>2084034597</v>
      </c>
      <c r="B611" s="2" t="s">
        <v>502</v>
      </c>
      <c r="C611" s="2" t="s">
        <v>4023</v>
      </c>
      <c r="D611" s="2" t="s">
        <v>4024</v>
      </c>
      <c r="E611" s="4" t="str">
        <f ca="1">IFERROR(__xludf.DUMMYFUNCTION("GOOGLETRANSLATE(B611,""ja"",""vi"")"),"Crayon Shin-chan")</f>
        <v>Crayon Shin-chan</v>
      </c>
      <c r="F611" s="4" t="str">
        <f ca="1">IFERROR(__xludf.DUMMYFUNCTION("GOOGLETRANSLATE(C611,""ja"",""vi"")"),"Đấu giá&gt; vé, chứng từ, đặt phòng khách sạn&gt; Thẻ trả trước&gt; Thẻ điện thoại&gt; truyện tranh, hoạt hình&gt; hoặc hàng&gt; Crayon Shin-chan")</f>
        <v>Đấu giá&gt; vé, chứng từ, đặt phòng khách sạn&gt; Thẻ trả trước&gt; Thẻ điện thoại&gt; truyện tranh, hoạt hình&gt; hoặc hàng&gt; Crayon Shin-chan</v>
      </c>
      <c r="G611" t="str">
        <f t="shared" ca="1" si="9"/>
        <v>"2084034597" : "Crayon Shin-chan",</v>
      </c>
    </row>
    <row r="612" spans="1:7" ht="14.25" customHeight="1">
      <c r="A612" s="2">
        <v>2084034598</v>
      </c>
      <c r="B612" s="2" t="s">
        <v>511</v>
      </c>
      <c r="C612" s="2" t="s">
        <v>4028</v>
      </c>
      <c r="D612" s="2" t="s">
        <v>4030</v>
      </c>
      <c r="E612" s="4" t="str">
        <f ca="1">IFERROR(__xludf.DUMMYFUNCTION("GOOGLETRANSLATE(B612,""ja"",""vi"")"),"Kitaro no Kitaro")</f>
        <v>Kitaro no Kitaro</v>
      </c>
      <c r="F612" s="4" t="str">
        <f ca="1">IFERROR(__xludf.DUMMYFUNCTION("GOOGLETRANSLATE(C612,""ja"",""vi"")"),"Đấu giá&gt; vé, chứng từ, đặt phòng khách sạn&gt; Thẻ trả trước&gt; Thẻ điện thoại&gt; truyện tranh, hoạt hình&gt; hoặc hàng&gt; Gegege no Kitaro")</f>
        <v>Đấu giá&gt; vé, chứng từ, đặt phòng khách sạn&gt; Thẻ trả trước&gt; Thẻ điện thoại&gt; truyện tranh, hoạt hình&gt; hoặc hàng&gt; Gegege no Kitaro</v>
      </c>
      <c r="G612" t="str">
        <f t="shared" ca="1" si="9"/>
        <v>"2084034598" : "Kitaro no Kitaro",</v>
      </c>
    </row>
    <row r="613" spans="1:7" ht="14.25" customHeight="1">
      <c r="A613" s="2">
        <v>2084034599</v>
      </c>
      <c r="B613" s="2" t="s">
        <v>516</v>
      </c>
      <c r="C613" s="2" t="s">
        <v>4036</v>
      </c>
      <c r="D613" s="2" t="s">
        <v>4038</v>
      </c>
      <c r="E613" s="4" t="str">
        <f ca="1">IFERROR(__xludf.DUMMYFUNCTION("GOOGLETRANSLATE(B613,""ja"",""vi"")"),"getter Robo")</f>
        <v>getter Robo</v>
      </c>
      <c r="F613" s="4" t="str">
        <f ca="1">IFERROR(__xludf.DUMMYFUNCTION("GOOGLETRANSLATE(C613,""ja"",""vi"")"),"Đấu giá&gt; vé, chứng từ, đặt phòng khách sạn&gt; Thẻ trả trước&gt; Thẻ điện thoại&gt; truyện tranh, hoạt hình&gt; hoặc hàng&gt; Getter Robo")</f>
        <v>Đấu giá&gt; vé, chứng từ, đặt phòng khách sạn&gt; Thẻ trả trước&gt; Thẻ điện thoại&gt; truyện tranh, hoạt hình&gt; hoặc hàng&gt; Getter Robo</v>
      </c>
      <c r="G613" t="str">
        <f t="shared" ca="1" si="9"/>
        <v>"2084034599" : "getter Robo",</v>
      </c>
    </row>
    <row r="614" spans="1:7" ht="14.25" customHeight="1">
      <c r="A614" s="2">
        <v>2084034607</v>
      </c>
      <c r="B614" s="2" t="s">
        <v>531</v>
      </c>
      <c r="C614" s="2" t="s">
        <v>4042</v>
      </c>
      <c r="D614" s="2" t="s">
        <v>4044</v>
      </c>
      <c r="E614" s="4" t="str">
        <f ca="1">IFERROR(__xludf.DUMMYFUNCTION("GOOGLETRANSLATE(B614,""ja"",""vi"")"),"Golgo 13")</f>
        <v>Golgo 13</v>
      </c>
      <c r="F614" s="4" t="str">
        <f ca="1">IFERROR(__xludf.DUMMYFUNCTION("GOOGLETRANSLATE(C614,""ja"",""vi"")"),"Đấu giá&gt; vé, chứng từ, đặt phòng khách sạn&gt; Thẻ trả trước&gt; Thẻ điện thoại&gt; truyện tranh, hoạt hình&gt; hoặc hàng&gt; Golgo 13")</f>
        <v>Đấu giá&gt; vé, chứng từ, đặt phòng khách sạn&gt; Thẻ trả trước&gt; Thẻ điện thoại&gt; truyện tranh, hoạt hình&gt; hoặc hàng&gt; Golgo 13</v>
      </c>
      <c r="G614" t="str">
        <f t="shared" ca="1" si="9"/>
        <v>"2084034607" : "Golgo 13",</v>
      </c>
    </row>
    <row r="615" spans="1:7" ht="14.25" customHeight="1">
      <c r="A615" s="2">
        <v>2084034575</v>
      </c>
      <c r="B615" s="2" t="s">
        <v>536</v>
      </c>
      <c r="C615" s="2" t="s">
        <v>4049</v>
      </c>
      <c r="D615" s="2" t="s">
        <v>4051</v>
      </c>
      <c r="E615" s="4" t="str">
        <f ca="1">IFERROR(__xludf.DUMMYFUNCTION("GOOGLETRANSLATE(B615,""ja"",""vi"")"),"Gatchaman")</f>
        <v>Gatchaman</v>
      </c>
      <c r="F615" s="4" t="str">
        <f ca="1">IFERROR(__xludf.DUMMYFUNCTION("GOOGLETRANSLATE(C615,""ja"",""vi"")"),"Đấu giá&gt; vé, chứng từ, đặt phòng khách sạn&gt; Thẻ trả trước&gt; Thẻ điện thoại&gt; truyện tranh, hoạt hình&gt; hoặc hàng&gt; Gatchaman")</f>
        <v>Đấu giá&gt; vé, chứng từ, đặt phòng khách sạn&gt; Thẻ trả trước&gt; Thẻ điện thoại&gt; truyện tranh, hoạt hình&gt; hoặc hàng&gt; Gatchaman</v>
      </c>
      <c r="G615" t="str">
        <f t="shared" ca="1" si="9"/>
        <v>"2084034575" : "Gatchaman",</v>
      </c>
    </row>
    <row r="616" spans="1:7" ht="14.25" customHeight="1">
      <c r="A616" s="2">
        <v>2084034583</v>
      </c>
      <c r="B616" s="2" t="s">
        <v>553</v>
      </c>
      <c r="C616" s="2" t="s">
        <v>4055</v>
      </c>
      <c r="D616" s="2" t="s">
        <v>4056</v>
      </c>
      <c r="E616" s="4" t="str">
        <f ca="1">IFERROR(__xludf.DUMMYFUNCTION("GOOGLETRANSLATE(B616,""ja"",""vi"")"),"Patlabor")</f>
        <v>Patlabor</v>
      </c>
      <c r="F616" s="4" t="str">
        <f ca="1">IFERROR(__xludf.DUMMYFUNCTION("GOOGLETRANSLATE(C616,""ja"",""vi"")"),"Đấu giá&gt; vé, chứng từ, đặt phòng khách sạn&gt; Thẻ trả trước&gt; Thẻ điện thoại&gt; truyện tranh, hoạt hình&gt; hoặc hàng&gt; Patlabor")</f>
        <v>Đấu giá&gt; vé, chứng từ, đặt phòng khách sạn&gt; Thẻ trả trước&gt; Thẻ điện thoại&gt; truyện tranh, hoạt hình&gt; hoặc hàng&gt; Patlabor</v>
      </c>
      <c r="G616" t="str">
        <f t="shared" ca="1" si="9"/>
        <v>"2084034583" : "Patlabor",</v>
      </c>
    </row>
    <row r="617" spans="1:7" ht="14.25" customHeight="1">
      <c r="A617" s="2">
        <v>2084034584</v>
      </c>
      <c r="B617" s="2" t="s">
        <v>561</v>
      </c>
      <c r="C617" s="2" t="s">
        <v>4060</v>
      </c>
      <c r="D617" s="2" t="s">
        <v>4061</v>
      </c>
      <c r="E617" s="4" t="str">
        <f ca="1">IFERROR(__xludf.DUMMYFUNCTION("GOOGLETRANSLATE(B617,""ja"",""vi"")"),"Nadesico")</f>
        <v>Nadesico</v>
      </c>
      <c r="F617" s="4" t="str">
        <f ca="1">IFERROR(__xludf.DUMMYFUNCTION("GOOGLETRANSLATE(C617,""ja"",""vi"")"),"Đấu giá&gt; vé, chứng từ, đặt phòng khách sạn&gt; Thẻ trả trước&gt; Thẻ điện thoại&gt; truyện tranh, hoạt hình&gt; hoặc hàng&gt; Nadesico")</f>
        <v>Đấu giá&gt; vé, chứng từ, đặt phòng khách sạn&gt; Thẻ trả trước&gt; Thẻ điện thoại&gt; truyện tranh, hoạt hình&gt; hoặc hàng&gt; Nadesico</v>
      </c>
      <c r="G617" t="str">
        <f t="shared" ca="1" si="9"/>
        <v>"2084034584" : "Nadesico",</v>
      </c>
    </row>
    <row r="618" spans="1:7" ht="14.25" customHeight="1">
      <c r="A618" s="2">
        <v>2084034589</v>
      </c>
      <c r="B618" s="2" t="s">
        <v>569</v>
      </c>
      <c r="C618" s="2" t="s">
        <v>4064</v>
      </c>
      <c r="D618" s="2" t="s">
        <v>4066</v>
      </c>
      <c r="E618" s="4" t="str">
        <f ca="1">IFERROR(__xludf.DUMMYFUNCTION("GOOGLETRANSLATE(B618,""ja"",""vi"")"),"Vampire Princess Miyu")</f>
        <v>Vampire Princess Miyu</v>
      </c>
      <c r="F618" s="4" t="str">
        <f ca="1">IFERROR(__xludf.DUMMYFUNCTION("GOOGLETRANSLATE(C618,""ja"",""vi"")"),"Đấu giá&gt; vé, chứng từ, đặt phòng khách sạn&gt; Thẻ trả trước&gt; Thẻ điện thoại&gt; truyện tranh, hoạt hình&gt; hoặc hàng&gt; Vampire Princess Miyu")</f>
        <v>Đấu giá&gt; vé, chứng từ, đặt phòng khách sạn&gt; Thẻ trả trước&gt; Thẻ điện thoại&gt; truyện tranh, hoạt hình&gt; hoặc hàng&gt; Vampire Princess Miyu</v>
      </c>
      <c r="G618" t="str">
        <f t="shared" ca="1" si="9"/>
        <v>"2084034589" : "Vampire Princess Miyu",</v>
      </c>
    </row>
    <row r="619" spans="1:7" ht="14.25" customHeight="1">
      <c r="A619" s="2">
        <v>2084034591</v>
      </c>
      <c r="B619" s="2" t="s">
        <v>577</v>
      </c>
      <c r="C619" s="2" t="s">
        <v>4070</v>
      </c>
      <c r="D619" s="2" t="s">
        <v>4072</v>
      </c>
      <c r="E619" s="4" t="str">
        <f ca="1">IFERROR(__xludf.DUMMYFUNCTION("GOOGLETRANSLATE(B619,""ja"",""vi"")"),"Star of the Giants")</f>
        <v>Star of the Giants</v>
      </c>
      <c r="F619" s="4" t="str">
        <f ca="1">IFERROR(__xludf.DUMMYFUNCTION("GOOGLETRANSLATE(C619,""ja"",""vi"")"),"Đấu giá&gt; vé, chứng từ, đặt phòng khách sạn&gt; Thẻ trả trước&gt; Thẻ điện thoại&gt; truyện tranh, hoạt hình&gt; hoặc hàng&gt; Star of the Giants")</f>
        <v>Đấu giá&gt; vé, chứng từ, đặt phòng khách sạn&gt; Thẻ trả trước&gt; Thẻ điện thoại&gt; truyện tranh, hoạt hình&gt; hoặc hàng&gt; Star of the Giants</v>
      </c>
      <c r="G619" t="str">
        <f t="shared" ca="1" si="9"/>
        <v>"2084034591" : "Star of the Giants",</v>
      </c>
    </row>
    <row r="620" spans="1:7" ht="14.25" customHeight="1">
      <c r="A620" s="2">
        <v>2084034594</v>
      </c>
      <c r="B620" s="2" t="s">
        <v>584</v>
      </c>
      <c r="C620" s="2" t="s">
        <v>4076</v>
      </c>
      <c r="D620" s="2" t="s">
        <v>4077</v>
      </c>
      <c r="E620" s="4" t="str">
        <f ca="1">IFERROR(__xludf.DUMMYFUNCTION("GOOGLETRANSLATE(B620,""ja"",""vi"")"),"Kindaichi Case Files boy")</f>
        <v>Kindaichi Case Files boy</v>
      </c>
      <c r="F620" s="4" t="str">
        <f ca="1">IFERROR(__xludf.DUMMYFUNCTION("GOOGLETRANSLATE(C620,""ja"",""vi"")"),"Đấu giá&gt; vé, chứng từ, đặt phòng khách sạn&gt; Thẻ trả trước&gt; Thẻ điện thoại&gt; truyện tranh, hoạt hình&gt; hoặc hàng&gt; Case Files Kindaichi boy")</f>
        <v>Đấu giá&gt; vé, chứng từ, đặt phòng khách sạn&gt; Thẻ trả trước&gt; Thẻ điện thoại&gt; truyện tranh, hoạt hình&gt; hoặc hàng&gt; Case Files Kindaichi boy</v>
      </c>
      <c r="G620" t="str">
        <f t="shared" ca="1" si="9"/>
        <v>"2084034594" : "Kindaichi Case Files boy",</v>
      </c>
    </row>
    <row r="621" spans="1:7" ht="14.25" customHeight="1">
      <c r="A621" s="2">
        <v>2084044297</v>
      </c>
      <c r="B621" s="2" t="s">
        <v>591</v>
      </c>
      <c r="C621" s="2" t="s">
        <v>4084</v>
      </c>
      <c r="D621" s="2" t="s">
        <v>4086</v>
      </c>
      <c r="E621" s="4" t="str">
        <f ca="1">IFERROR(__xludf.DUMMYFUNCTION("GOOGLETRANSLATE(B621,""ja"",""vi"")"),"Legend of Heroes Galactic")</f>
        <v>Legend of Heroes Galactic</v>
      </c>
      <c r="F621" s="4" t="str">
        <f ca="1">IFERROR(__xludf.DUMMYFUNCTION("GOOGLETRANSLATE(C621,""ja"",""vi"")"),"Đấu giá&gt; vé, chứng từ, đặt phòng khách sạn&gt; Thẻ trả trước&gt; Thẻ điện thoại&gt; truyện tranh, hoạt hình&gt; hoặc hàng&gt; Legend of Heroes Galactic")</f>
        <v>Đấu giá&gt; vé, chứng từ, đặt phòng khách sạn&gt; Thẻ trả trước&gt; Thẻ điện thoại&gt; truyện tranh, hoạt hình&gt; hoặc hàng&gt; Legend of Heroes Galactic</v>
      </c>
      <c r="G621" t="str">
        <f t="shared" ca="1" si="9"/>
        <v>"2084044297" : "Legend of Heroes Galactic",</v>
      </c>
    </row>
    <row r="622" spans="1:7" ht="14.25" customHeight="1">
      <c r="A622" s="2">
        <v>2084034592</v>
      </c>
      <c r="B622" s="2" t="s">
        <v>599</v>
      </c>
      <c r="C622" s="2" t="s">
        <v>4091</v>
      </c>
      <c r="D622" s="2" t="s">
        <v>4093</v>
      </c>
      <c r="E622" s="4" t="str">
        <f ca="1">IFERROR(__xludf.DUMMYFUNCTION("GOOGLETRANSLATE(B622,""ja"",""vi"")"),"Galaxy Express 999")</f>
        <v>Galaxy Express 999</v>
      </c>
      <c r="F622" s="4" t="str">
        <f ca="1">IFERROR(__xludf.DUMMYFUNCTION("GOOGLETRANSLATE(C622,""ja"",""vi"")"),"Đấu giá&gt; vé, chứng từ, đặt phòng khách sạn&gt; Thẻ trả trước&gt; Thẻ điện thoại&gt; truyện tranh, hoạt hình&gt; hoặc hàng&gt; Galaxy Express 999")</f>
        <v>Đấu giá&gt; vé, chứng từ, đặt phòng khách sạn&gt; Thẻ trả trước&gt; Thẻ điện thoại&gt; truyện tranh, hoạt hình&gt; hoặc hàng&gt; Galaxy Express 999</v>
      </c>
      <c r="G622" t="str">
        <f t="shared" ca="1" si="9"/>
        <v>"2084034592" : "Galaxy Express 999",</v>
      </c>
    </row>
    <row r="623" spans="1:7" ht="14.25" customHeight="1">
      <c r="A623" s="2">
        <v>2084034593</v>
      </c>
      <c r="B623" s="2" t="s">
        <v>607</v>
      </c>
      <c r="C623" s="2" t="s">
        <v>4098</v>
      </c>
      <c r="D623" s="2" t="s">
        <v>4100</v>
      </c>
      <c r="E623" s="4" t="str">
        <f ca="1">IFERROR(__xludf.DUMMYFUNCTION("GOOGLETRANSLATE(B623,""ja"",""vi"")"),"Galaxy trôi Vifam")</f>
        <v>Galaxy trôi Vifam</v>
      </c>
      <c r="F623" s="4" t="str">
        <f ca="1">IFERROR(__xludf.DUMMYFUNCTION("GOOGLETRANSLATE(C623,""ja"",""vi"")"),"Đấu giá&gt; vé, chứng từ, đặt phòng khách sạn&gt; Thẻ trả trước&gt; Thẻ điện thoại&gt; truyện tranh, hoạt hình&gt; hoặc hàng&gt; thiên hà trôi Vifam")</f>
        <v>Đấu giá&gt; vé, chứng từ, đặt phòng khách sạn&gt; Thẻ trả trước&gt; Thẻ điện thoại&gt; truyện tranh, hoạt hình&gt; hoặc hàng&gt; thiên hà trôi Vifam</v>
      </c>
      <c r="G623" t="str">
        <f t="shared" ca="1" si="9"/>
        <v>"2084034593" : "Galaxy trôi Vifam",</v>
      </c>
    </row>
    <row r="624" spans="1:7" ht="14.25" customHeight="1">
      <c r="A624" s="2">
        <v>2084034600</v>
      </c>
      <c r="B624" s="2" t="s">
        <v>621</v>
      </c>
      <c r="C624" s="2" t="s">
        <v>4104</v>
      </c>
      <c r="D624" s="2" t="s">
        <v>4105</v>
      </c>
      <c r="E624" s="4" t="str">
        <f ca="1">IFERROR(__xludf.DUMMYFUNCTION("GOOGLETRANSLATE(B624,""ja"",""vi"")"),"Ảo Madden Saiyuki")</f>
        <v>Ảo Madden Saiyuki</v>
      </c>
      <c r="F624" s="4" t="str">
        <f ca="1">IFERROR(__xludf.DUMMYFUNCTION("GOOGLETRANSLATE(C624,""ja"",""vi"")"),"Đấu giá&gt; vé, chứng từ, đặt phòng khách sạn&gt; Thẻ trả trước&gt; Thẻ điện thoại&gt; truyện tranh, hoạt hình&gt; hoặc hàng&gt; ảo tưởng Madden Saiyuki")</f>
        <v>Đấu giá&gt; vé, chứng từ, đặt phòng khách sạn&gt; Thẻ trả trước&gt; Thẻ điện thoại&gt; truyện tranh, hoạt hình&gt; hoặc hàng&gt; ảo tưởng Madden Saiyuki</v>
      </c>
      <c r="G624" t="str">
        <f t="shared" ca="1" si="9"/>
        <v>"2084034600" : "Ảo Madden Saiyuki",</v>
      </c>
    </row>
    <row r="625" spans="1:7" ht="14.25" customHeight="1">
      <c r="A625" s="2">
        <v>2084034601</v>
      </c>
      <c r="B625" s="2" t="s">
        <v>628</v>
      </c>
      <c r="C625" s="2" t="s">
        <v>4112</v>
      </c>
      <c r="D625" s="2" t="s">
        <v>4114</v>
      </c>
      <c r="E625" s="4" t="str">
        <f ca="1">IFERROR(__xludf.DUMMYFUNCTION("GOOGLETRANSLATE(B625,""ja"",""vi"")"),"Ghost in the Shell")</f>
        <v>Ghost in the Shell</v>
      </c>
      <c r="F625" s="4" t="str">
        <f ca="1">IFERROR(__xludf.DUMMYFUNCTION("GOOGLETRANSLATE(C625,""ja"",""vi"")"),"Đấu giá&gt; vé, chứng từ, đặt phòng khách sạn&gt; Thẻ trả trước&gt; Thẻ điện thoại&gt; truyện tranh, hoạt hình&gt; hoặc hàng&gt; Ghost in the Shell")</f>
        <v>Đấu giá&gt; vé, chứng từ, đặt phòng khách sạn&gt; Thẻ trả trước&gt; Thẻ điện thoại&gt; truyện tranh, hoạt hình&gt; hoặc hàng&gt; Ghost in the Shell</v>
      </c>
      <c r="G625" t="str">
        <f t="shared" ca="1" si="9"/>
        <v>"2084034601" : "Ghost in the Shell",</v>
      </c>
    </row>
    <row r="626" spans="1:7" ht="14.25" customHeight="1">
      <c r="A626" s="2">
        <v>2084034577</v>
      </c>
      <c r="B626" s="2" t="s">
        <v>636</v>
      </c>
      <c r="C626" s="2" t="s">
        <v>4119</v>
      </c>
      <c r="D626" s="2" t="s">
        <v>4121</v>
      </c>
      <c r="E626" s="4" t="str">
        <f ca="1">IFERROR(__xludf.DUMMYFUNCTION("GOOGLETRANSLATE(B626,""ja"",""vi"")"),"Nausicaa of the Valley of the Wind")</f>
        <v>Nausicaa of the Valley of the Wind</v>
      </c>
      <c r="F626" s="4" t="str">
        <f ca="1">IFERROR(__xludf.DUMMYFUNCTION("GOOGLETRANSLATE(C626,""ja"",""vi"")"),"Đấu giá&gt; vé, chứng từ, đặt phòng khách sạn&gt; Thẻ trả trước&gt; Thẻ điện thoại&gt; truyện tranh, hoạt hình&gt; hoặc hàng&gt; Nausicaa of the Valley of the Wind")</f>
        <v>Đấu giá&gt; vé, chứng từ, đặt phòng khách sạn&gt; Thẻ trả trước&gt; Thẻ điện thoại&gt; truyện tranh, hoạt hình&gt; hoặc hàng&gt; Nausicaa of the Valley of the Wind</v>
      </c>
      <c r="G626" t="str">
        <f t="shared" ca="1" si="9"/>
        <v>"2084034577" : "Nausicaa of the Valley of the Wind",</v>
      </c>
    </row>
    <row r="627" spans="1:7" ht="14.25" customHeight="1">
      <c r="A627" s="2">
        <v>2084034576</v>
      </c>
      <c r="B627" s="2" t="s">
        <v>46</v>
      </c>
      <c r="C627" s="2" t="s">
        <v>4124</v>
      </c>
      <c r="D627" s="2" t="s">
        <v>4125</v>
      </c>
      <c r="E627" s="4" t="str">
        <f ca="1">IFERROR(__xludf.DUMMYFUNCTION("GOOGLETRANSLATE(B627,""ja"",""vi"")"),"nếu không thì")</f>
        <v>nếu không thì</v>
      </c>
      <c r="F627" s="4" t="str">
        <f ca="1">IFERROR(__xludf.DUMMYFUNCTION("GOOGLETRANSLATE(C627,""ja"",""vi"")"),"Đấu giá&gt; vé, chứng từ, đặt phòng khách sạn&gt; Thẻ trả trước&gt; Thẻ điện thoại&gt; truyện tranh, hoạt hình&gt; hoặc hàng&gt; Khác")</f>
        <v>Đấu giá&gt; vé, chứng từ, đặt phòng khách sạn&gt; Thẻ trả trước&gt; Thẻ điện thoại&gt; truyện tranh, hoạt hình&gt; hoặc hàng&gt; Khác</v>
      </c>
      <c r="G627" t="str">
        <f t="shared" ca="1" si="9"/>
        <v>"2084034576" : "nếu không thì",</v>
      </c>
    </row>
    <row r="628" spans="1:7" ht="14.25" customHeight="1">
      <c r="E628" s="4" t="str">
        <f ca="1">IFERROR(__xludf.DUMMYFUNCTION("GOOGLETRANSLATE(B628,""ja"",""vi"")"),"#VALUE!")</f>
        <v>#VALUE!</v>
      </c>
      <c r="F628" s="4" t="str">
        <f ca="1">IFERROR(__xludf.DUMMYFUNCTION("GOOGLETRANSLATE(C628,""ja"",""vi"")"),"#VALUE!")</f>
        <v>#VALUE!</v>
      </c>
      <c r="G628" t="str">
        <f t="shared" ca="1" si="9"/>
        <v>"" : "#VALUE!",</v>
      </c>
    </row>
    <row r="629" spans="1:7" ht="14.25" customHeight="1">
      <c r="A629" s="38">
        <v>2084034212</v>
      </c>
      <c r="B629" s="39"/>
      <c r="C629" s="39"/>
      <c r="D629" s="40"/>
      <c r="E629" s="4" t="str">
        <f ca="1">IFERROR(__xludf.DUMMYFUNCTION("GOOGLETRANSLATE(B629,""ja"",""vi"")"),"#VALUE!")</f>
        <v>#VALUE!</v>
      </c>
      <c r="F629" s="4" t="str">
        <f ca="1">IFERROR(__xludf.DUMMYFUNCTION("GOOGLETRANSLATE(C629,""ja"",""vi"")"),"#VALUE!")</f>
        <v>#VALUE!</v>
      </c>
      <c r="G629" t="str">
        <f t="shared" ca="1" si="9"/>
        <v>"2084034212" : "#VALUE!",</v>
      </c>
    </row>
    <row r="630" spans="1:7" ht="14.25" customHeight="1">
      <c r="A630" s="2">
        <v>2084034889</v>
      </c>
      <c r="B630" s="2" t="s">
        <v>662</v>
      </c>
      <c r="C630" s="2" t="s">
        <v>4132</v>
      </c>
      <c r="D630" s="2" t="s">
        <v>4135</v>
      </c>
      <c r="E630" s="4" t="str">
        <f ca="1">IFERROR(__xludf.DUMMYFUNCTION("GOOGLETRANSLATE(B630,""ja"",""vi"")"),"Đi nó! Anpanman")</f>
        <v>Đi nó! Anpanman</v>
      </c>
      <c r="F630" s="4" t="str">
        <f ca="1">IFERROR(__xludf.DUMMYFUNCTION("GOOGLETRANSLATE(C630,""ja"",""vi"")"),"Đấu giá&gt; vé, chứng từ, đặt phòng khách sạn&gt; Thẻ trả trước&gt; Thẻ điện thoại&gt; truyện tranh, hoạt hình&gt; chữ s&gt; nó đi! Anpanman")</f>
        <v>Đấu giá&gt; vé, chứng từ, đặt phòng khách sạn&gt; Thẻ trả trước&gt; Thẻ điện thoại&gt; truyện tranh, hoạt hình&gt; chữ s&gt; nó đi! Anpanman</v>
      </c>
      <c r="G630" t="str">
        <f t="shared" ca="1" si="9"/>
        <v>"2084034889" : "Đi nó! Anpanman",</v>
      </c>
    </row>
    <row r="631" spans="1:7" ht="14.25" customHeight="1">
      <c r="A631" s="2">
        <v>2084034890</v>
      </c>
      <c r="B631" s="2" t="s">
        <v>669</v>
      </c>
      <c r="C631" s="2" t="s">
        <v>4139</v>
      </c>
      <c r="D631" s="2" t="s">
        <v>4141</v>
      </c>
      <c r="E631" s="4" t="str">
        <f ca="1">IFERROR(__xludf.DUMMYFUNCTION("GOOGLETRANSLATE(B631,""ja"",""vi"")"),"Soreyuke! Space Battleship Yamamoto Yoko")</f>
        <v>Soreyuke! Space Battleship Yamamoto Yoko</v>
      </c>
      <c r="F631" s="4" t="str">
        <f ca="1">IFERROR(__xludf.DUMMYFUNCTION("GOOGLETRANSLATE(C631,""ja"",""vi"")"),"Đấu giá&gt; vé, chứng từ, đặt phòng khách sạn&gt; Thẻ trả trước&gt; Thẻ điện thoại&gt; truyện tranh, hoạt hình&gt; chữ s&gt; Soreyuke! Space Battleship Yamamoto Yoko")</f>
        <v>Đấu giá&gt; vé, chứng từ, đặt phòng khách sạn&gt; Thẻ trả trước&gt; Thẻ điện thoại&gt; truyện tranh, hoạt hình&gt; chữ s&gt; Soreyuke! Space Battleship Yamamoto Yoko</v>
      </c>
      <c r="G631" t="str">
        <f t="shared" ca="1" si="9"/>
        <v>"2084034890" : "Soreyuke! Space Battleship Yamamoto Yoko",</v>
      </c>
    </row>
    <row r="632" spans="1:7" ht="14.25" customHeight="1">
      <c r="A632" s="2">
        <v>2084034881</v>
      </c>
      <c r="B632" s="2" t="s">
        <v>678</v>
      </c>
      <c r="C632" s="2" t="s">
        <v>4145</v>
      </c>
      <c r="D632" s="2" t="s">
        <v>4147</v>
      </c>
      <c r="E632" s="4" t="str">
        <f ca="1">IFERROR(__xludf.DUMMYFUNCTION("GOOGLETRANSLATE(B632,""ja"",""vi"")"),"Cyborg 009")</f>
        <v>Cyborg 009</v>
      </c>
      <c r="F632" s="4" t="str">
        <f ca="1">IFERROR(__xludf.DUMMYFUNCTION("GOOGLETRANSLATE(C632,""ja"",""vi"")"),"Đấu giá&gt; vé, chứng từ, đặt phòng khách sạn&gt; Thẻ trả trước&gt; Thẻ điện thoại&gt; truyện tranh, hoạt hình&gt; chữ s&gt; Cyborg 009")</f>
        <v>Đấu giá&gt; vé, chứng từ, đặt phòng khách sạn&gt; Thẻ trả trước&gt; Thẻ điện thoại&gt; truyện tranh, hoạt hình&gt; chữ s&gt; Cyborg 009</v>
      </c>
      <c r="G632" t="str">
        <f t="shared" ca="1" si="9"/>
        <v>"2084034881" : "Cyborg 009",</v>
      </c>
    </row>
    <row r="633" spans="1:7" ht="14.25" customHeight="1">
      <c r="A633" s="2">
        <v>2084049560</v>
      </c>
      <c r="B633" s="2" t="s">
        <v>2061</v>
      </c>
      <c r="C633" s="2" t="s">
        <v>4154</v>
      </c>
      <c r="D633" s="2" t="s">
        <v>4155</v>
      </c>
      <c r="E633" s="4" t="str">
        <f ca="1">IFERROR(__xludf.DUMMYFUNCTION("GOOGLETRANSLATE(B633,""ja"",""vi"")"),"Sakura Wars")</f>
        <v>Sakura Wars</v>
      </c>
      <c r="F633" s="4" t="str">
        <f ca="1">IFERROR(__xludf.DUMMYFUNCTION("GOOGLETRANSLATE(C633,""ja"",""vi"")"),"Đấu giá&gt; vé, chứng từ, đặt phòng khách sạn&gt; Thẻ trả trước&gt; Thẻ điện thoại&gt; truyện tranh, hoạt hình&gt; chữ s&gt; Sakura Wars")</f>
        <v>Đấu giá&gt; vé, chứng từ, đặt phòng khách sạn&gt; Thẻ trả trước&gt; Thẻ điện thoại&gt; truyện tranh, hoạt hình&gt; chữ s&gt; Sakura Wars</v>
      </c>
      <c r="G633" t="str">
        <f t="shared" ca="1" si="9"/>
        <v>"2084049560" : "Sakura Wars",</v>
      </c>
    </row>
    <row r="634" spans="1:7" ht="14.25" customHeight="1">
      <c r="A634" s="2">
        <v>2084034884</v>
      </c>
      <c r="B634" s="2" t="s">
        <v>693</v>
      </c>
      <c r="C634" s="2" t="s">
        <v>4163</v>
      </c>
      <c r="D634" s="2" t="s">
        <v>4165</v>
      </c>
      <c r="E634" s="4" t="str">
        <f ca="1">IFERROR(__xludf.DUMMYFUNCTION("GOOGLETRANSLATE(B634,""ja"",""vi"")"),"Sazae")</f>
        <v>Sazae</v>
      </c>
      <c r="F634" s="4" t="str">
        <f ca="1">IFERROR(__xludf.DUMMYFUNCTION("GOOGLETRANSLATE(C634,""ja"",""vi"")"),"Đấu giá&gt; vé, chứng từ, đặt phòng khách sạn&gt; Thẻ trả trước&gt; Thẻ điện thoại&gt; truyện tranh, hoạt hình&gt; chữ s&gt; Sazae")</f>
        <v>Đấu giá&gt; vé, chứng từ, đặt phòng khách sạn&gt; Thẻ trả trước&gt; Thẻ điện thoại&gt; truyện tranh, hoạt hình&gt; chữ s&gt; Sazae</v>
      </c>
      <c r="G634" t="str">
        <f t="shared" ca="1" si="9"/>
        <v>"2084034884" : "Sazae",</v>
      </c>
    </row>
    <row r="635" spans="1:7" ht="14.25" customHeight="1">
      <c r="A635" s="2">
        <v>2084044175</v>
      </c>
      <c r="B635" s="2" t="s">
        <v>706</v>
      </c>
      <c r="C635" s="2" t="s">
        <v>4170</v>
      </c>
      <c r="D635" s="2" t="s">
        <v>4171</v>
      </c>
      <c r="E635" s="4" t="str">
        <f ca="1">IFERROR(__xludf.DUMMYFUNCTION("GOOGLETRANSLATE(B635,""ja"",""vi"")"),"chị công chúa")</f>
        <v>chị công chúa</v>
      </c>
      <c r="F635" s="4" t="str">
        <f ca="1">IFERROR(__xludf.DUMMYFUNCTION("GOOGLETRANSLATE(C635,""ja"",""vi"")"),"Đấu giá&gt; vé, chứng từ, đặt phòng khách sạn&gt; Thẻ trả trước&gt; Thẻ điện thoại&gt; truyện tranh, hoạt hình&gt; chữ s&gt; Chị công chúa")</f>
        <v>Đấu giá&gt; vé, chứng từ, đặt phòng khách sạn&gt; Thẻ trả trước&gt; Thẻ điện thoại&gt; truyện tranh, hoạt hình&gt; chữ s&gt; Chị công chúa</v>
      </c>
      <c r="G635" t="str">
        <f t="shared" ca="1" si="9"/>
        <v>"2084044175" : "chị công chúa",</v>
      </c>
    </row>
    <row r="636" spans="1:7" ht="14.25" customHeight="1">
      <c r="A636" s="2">
        <v>2084034866</v>
      </c>
      <c r="B636" s="2" t="s">
        <v>712</v>
      </c>
      <c r="C636" s="2" t="s">
        <v>4178</v>
      </c>
      <c r="D636" s="2" t="s">
        <v>4180</v>
      </c>
      <c r="E636" s="4" t="str">
        <f ca="1">IFERROR(__xludf.DUMMYFUNCTION("GOOGLETRANSLATE(B636,""ja"",""vi"")"),"Thành phố hunter")</f>
        <v>Thành phố hunter</v>
      </c>
      <c r="F636" s="4" t="str">
        <f ca="1">IFERROR(__xludf.DUMMYFUNCTION("GOOGLETRANSLATE(C636,""ja"",""vi"")"),"Đấu giá&gt; vé, chứng từ, đặt phòng khách sạn&gt; Thẻ trả trước&gt; Thẻ điện thoại&gt; truyện tranh, hoạt hình&gt; chữ s&gt; City Hunter")</f>
        <v>Đấu giá&gt; vé, chứng từ, đặt phòng khách sạn&gt; Thẻ trả trước&gt; Thẻ điện thoại&gt; truyện tranh, hoạt hình&gt; chữ s&gt; City Hunter</v>
      </c>
      <c r="G636" t="str">
        <f t="shared" ca="1" si="9"/>
        <v>"2084034866" : "Thành phố hunter",</v>
      </c>
    </row>
    <row r="637" spans="1:7" ht="14.25" customHeight="1">
      <c r="A637" s="2">
        <v>2084034867</v>
      </c>
      <c r="B637" s="2" t="s">
        <v>720</v>
      </c>
      <c r="C637" s="2" t="s">
        <v>4185</v>
      </c>
      <c r="D637" s="2" t="s">
        <v>4186</v>
      </c>
      <c r="E637" s="4" t="str">
        <f ca="1">IFERROR(__xludf.DUMMYFUNCTION("GOOGLETRANSLATE(B637,""ja"",""vi"")"),"vua pháp sư")</f>
        <v>vua pháp sư</v>
      </c>
      <c r="F637" s="4" t="str">
        <f ca="1">IFERROR(__xludf.DUMMYFUNCTION("GOOGLETRANSLATE(C637,""ja"",""vi"")"),"Đấu giá&gt; vé, chứng từ, đặt phòng khách sạn&gt; Thẻ trả trước&gt; Thẻ điện thoại&gt; truyện tranh, hoạt hình&gt; chữ s&gt; Shaman King")</f>
        <v>Đấu giá&gt; vé, chứng từ, đặt phòng khách sạn&gt; Thẻ trả trước&gt; Thẻ điện thoại&gt; truyện tranh, hoạt hình&gt; chữ s&gt; Shaman King</v>
      </c>
      <c r="G637" t="str">
        <f t="shared" ca="1" si="9"/>
        <v>"2084034867" : "vua pháp sư",</v>
      </c>
    </row>
    <row r="638" spans="1:7" ht="14.25" customHeight="1">
      <c r="A638" s="2">
        <v>2084034870</v>
      </c>
      <c r="B638" s="2" t="s">
        <v>727</v>
      </c>
      <c r="C638" s="2" t="s">
        <v>4190</v>
      </c>
      <c r="D638" s="2" t="s">
        <v>4192</v>
      </c>
      <c r="E638" s="4" t="str">
        <f ca="1">IFERROR(__xludf.DUMMYFUNCTION("GOOGLETRANSLATE(B638,""ja"",""vi"")"),"Jungle Emperor Leo")</f>
        <v>Jungle Emperor Leo</v>
      </c>
      <c r="F638" s="4" t="str">
        <f ca="1">IFERROR(__xludf.DUMMYFUNCTION("GOOGLETRANSLATE(C638,""ja"",""vi"")"),"Đấu giá&gt; vé, chứng từ, đặt phòng khách sạn&gt; Thẻ trả trước&gt; Thẻ điện thoại&gt; truyện tranh, hoạt hình&gt; chữ s&gt; Jungle Emperor Leo")</f>
        <v>Đấu giá&gt; vé, chứng từ, đặt phòng khách sạn&gt; Thẻ trả trước&gt; Thẻ điện thoại&gt; truyện tranh, hoạt hình&gt; chữ s&gt; Jungle Emperor Leo</v>
      </c>
      <c r="G638" t="str">
        <f t="shared" ca="1" si="9"/>
        <v>"2084034870" : "Jungle Emperor Leo",</v>
      </c>
    </row>
    <row r="639" spans="1:7" ht="14.25" customHeight="1">
      <c r="A639" s="2">
        <v>2084034893</v>
      </c>
      <c r="B639" s="2" t="s">
        <v>734</v>
      </c>
      <c r="C639" s="2" t="s">
        <v>4197</v>
      </c>
      <c r="D639" s="2" t="s">
        <v>4198</v>
      </c>
      <c r="E639" s="4" t="str">
        <f ca="1">IFERROR(__xludf.DUMMYFUNCTION("GOOGLETRANSLATE(B639,""ja"",""vi"")"),"Bizarre Adventure JoJo")</f>
        <v>Bizarre Adventure JoJo</v>
      </c>
      <c r="F639" s="4" t="str">
        <f ca="1">IFERROR(__xludf.DUMMYFUNCTION("GOOGLETRANSLATE(C639,""ja"",""vi"")"),"Đấu giá&gt; vé, chứng từ, đặt phòng khách sạn&gt; Thẻ trả trước&gt; Thẻ điện thoại&gt; truyện tranh, hoạt hình&gt; chữ s&gt; Bizarre Adventure JoJo")</f>
        <v>Đấu giá&gt; vé, chứng từ, đặt phòng khách sạn&gt; Thẻ trả trước&gt; Thẻ điện thoại&gt; truyện tranh, hoạt hình&gt; chữ s&gt; Bizarre Adventure JoJo</v>
      </c>
      <c r="G639" t="str">
        <f t="shared" ca="1" si="9"/>
        <v>"2084034893" : "Bizarre Adventure JoJo",</v>
      </c>
    </row>
    <row r="640" spans="1:7" ht="14.25" customHeight="1">
      <c r="A640" s="2">
        <v>2084034897</v>
      </c>
      <c r="B640" s="2" t="s">
        <v>4202</v>
      </c>
      <c r="C640" s="2" t="s">
        <v>4203</v>
      </c>
      <c r="D640" s="2" t="s">
        <v>4205</v>
      </c>
      <c r="E640" s="4" t="str">
        <f ca="1">IFERROR(__xludf.DUMMYFUNCTION("GOOGLETRANSLATE(B640,""ja"",""vi"")"),"lục lạo")</f>
        <v>lục lạo</v>
      </c>
      <c r="F640" s="4" t="str">
        <f ca="1">IFERROR(__xludf.DUMMYFUNCTION("GOOGLETRANSLATE(C640,""ja"",""vi"")"),"Đấu giá&gt; vé, chứng từ, đặt phòng khách sạn&gt; Thẻ trả trước&gt; Thẻ điện thoại&gt; truyện tranh, hoạt hình&gt; chữ s&gt; Snoopy")</f>
        <v>Đấu giá&gt; vé, chứng từ, đặt phòng khách sạn&gt; Thẻ trả trước&gt; Thẻ điện thoại&gt; truyện tranh, hoạt hình&gt; chữ s&gt; Snoopy</v>
      </c>
      <c r="G640" t="str">
        <f t="shared" ca="1" si="9"/>
        <v>"2084034897" : "lục lạo",</v>
      </c>
    </row>
    <row r="641" spans="1:7" ht="14.25" customHeight="1">
      <c r="A641" s="2">
        <v>2084034887</v>
      </c>
      <c r="B641" s="2" t="s">
        <v>748</v>
      </c>
      <c r="C641" s="2" t="s">
        <v>4211</v>
      </c>
      <c r="D641" s="2" t="s">
        <v>4213</v>
      </c>
      <c r="E641" s="4" t="str">
        <f ca="1">IFERROR(__xludf.DUMMYFUNCTION("GOOGLETRANSLATE(B641,""ja"",""vi"")"),"Slam Dunk")</f>
        <v>Slam Dunk</v>
      </c>
      <c r="F641" s="4" t="str">
        <f ca="1">IFERROR(__xludf.DUMMYFUNCTION("GOOGLETRANSLATE(C641,""ja"",""vi"")"),"Đấu giá&gt; vé, chứng từ, đặt phòng khách sạn&gt; Thẻ trả trước&gt; Thẻ điện thoại&gt; truyện tranh, hoạt hình&gt; chữ s&gt; Slam Dunk")</f>
        <v>Đấu giá&gt; vé, chứng từ, đặt phòng khách sạn&gt; Thẻ trả trước&gt; Thẻ điện thoại&gt; truyện tranh, hoạt hình&gt; chữ s&gt; Slam Dunk</v>
      </c>
      <c r="G641" t="str">
        <f t="shared" ca="1" si="9"/>
        <v>"2084034887" : "Slam Dunk",</v>
      </c>
    </row>
    <row r="642" spans="1:7" ht="14.25" customHeight="1">
      <c r="A642" s="2">
        <v>2084034875</v>
      </c>
      <c r="B642" s="2" t="s">
        <v>755</v>
      </c>
      <c r="C642" s="2" t="s">
        <v>4217</v>
      </c>
      <c r="D642" s="2" t="s">
        <v>4218</v>
      </c>
      <c r="E642" s="4" t="str">
        <f ca="1">IFERROR(__xludf.DUMMYFUNCTION("GOOGLETRANSLATE(B642,""ja"",""vi"")"),"Slayers")</f>
        <v>Slayers</v>
      </c>
      <c r="F642" s="4" t="str">
        <f ca="1">IFERROR(__xludf.DUMMYFUNCTION("GOOGLETRANSLATE(C642,""ja"",""vi"")"),"Đấu giá&gt; vé, chứng từ, đặt phòng khách sạn&gt; Thẻ trả trước&gt; Thẻ điện thoại&gt; truyện tranh, hoạt hình&gt; chữ s&gt; Slayers")</f>
        <v>Đấu giá&gt; vé, chứng từ, đặt phòng khách sạn&gt; Thẻ trả trước&gt; Thẻ điện thoại&gt; truyện tranh, hoạt hình&gt; chữ s&gt; Slayers</v>
      </c>
      <c r="G642" t="str">
        <f t="shared" ca="1" si="9"/>
        <v>"2084034875" : "Slayers",</v>
      </c>
    </row>
    <row r="643" spans="1:7" ht="14.25" customHeight="1">
      <c r="A643" s="2">
        <v>2084034878</v>
      </c>
      <c r="B643" s="2" t="s">
        <v>762</v>
      </c>
      <c r="C643" s="2" t="s">
        <v>4223</v>
      </c>
      <c r="D643" s="2" t="s">
        <v>4224</v>
      </c>
      <c r="E643" s="4" t="str">
        <f ca="1">IFERROR(__xludf.DUMMYFUNCTION("GOOGLETRANSLATE(B643,""ja"",""vi"")"),"sailor Moon")</f>
        <v>sailor Moon</v>
      </c>
      <c r="F643" s="4" t="str">
        <f ca="1">IFERROR(__xludf.DUMMYFUNCTION("GOOGLETRANSLATE(C643,""ja"",""vi"")"),"Đấu giá&gt; vé, chứng từ, đặt phòng khách sạn&gt; Thẻ trả trước&gt; Thẻ điện thoại&gt; truyện tranh, hoạt hình&gt; chữ s&gt; Sailor Moon")</f>
        <v>Đấu giá&gt; vé, chứng từ, đặt phòng khách sạn&gt; Thẻ trả trước&gt; Thẻ điện thoại&gt; truyện tranh, hoạt hình&gt; chữ s&gt; Sailor Moon</v>
      </c>
      <c r="G643" t="str">
        <f t="shared" ref="G643:G706" ca="1" si="10">CONCATENATE(CHAR(34)&amp;"",A643,""&amp;CHAR(34)," : ", CHAR(34)&amp;"",E643,""&amp;CHAR(34),",")</f>
        <v>"2084034878" : "sailor Moon",</v>
      </c>
    </row>
    <row r="644" spans="1:7" ht="14.25" customHeight="1">
      <c r="A644" s="2">
        <v>2084034871</v>
      </c>
      <c r="B644" s="2" t="s">
        <v>783</v>
      </c>
      <c r="C644" s="2" t="s">
        <v>4229</v>
      </c>
      <c r="D644" s="2" t="s">
        <v>4230</v>
      </c>
      <c r="E644" s="4" t="str">
        <f ca="1">IFERROR(__xludf.DUMMYFUNCTION("GOOGLETRANSLATE(B644,""ja"",""vi"")"),"Con thú Thiên Chúa Liger")</f>
        <v>Con thú Thiên Chúa Liger</v>
      </c>
      <c r="F644" s="4" t="str">
        <f ca="1">IFERROR(__xludf.DUMMYFUNCTION("GOOGLETRANSLATE(C644,""ja"",""vi"")"),"Đấu giá&gt; vé, chứng từ, đặt phòng khách sạn&gt; Thẻ trả trước&gt; Thẻ điện thoại&gt; truyện tranh, hoạt hình&gt; chữ s&gt; con thú Thiên Chúa Liger")</f>
        <v>Đấu giá&gt; vé, chứng từ, đặt phòng khách sạn&gt; Thẻ trả trước&gt; Thẻ điện thoại&gt; truyện tranh, hoạt hình&gt; chữ s&gt; con thú Thiên Chúa Liger</v>
      </c>
      <c r="G644" t="str">
        <f t="shared" ca="1" si="10"/>
        <v>"2084034871" : "Con thú Thiên Chúa Liger",</v>
      </c>
    </row>
    <row r="645" spans="1:7" ht="14.25" customHeight="1">
      <c r="A645" s="2">
        <v>2084034872</v>
      </c>
      <c r="B645" s="2" t="s">
        <v>789</v>
      </c>
      <c r="C645" s="2" t="s">
        <v>4234</v>
      </c>
      <c r="D645" s="2" t="s">
        <v>4235</v>
      </c>
      <c r="E645" s="4" t="str">
        <f ca="1">IFERROR(__xludf.DUMMYFUNCTION("GOOGLETRANSLATE(B645,""ja"",""vi"")"),"Heavy Metal L-Gaim")</f>
        <v>Heavy Metal L-Gaim</v>
      </c>
      <c r="F645" s="4" t="str">
        <f ca="1">IFERROR(__xludf.DUMMYFUNCTION("GOOGLETRANSLATE(C645,""ja"",""vi"")"),"Đấu giá&gt; vé, chứng từ, đặt phòng khách sạn&gt; Thẻ trả trước&gt; Thẻ điện thoại&gt; truyện tranh, hoạt hình&gt; chữ s&gt; Heavy Metal L-Gaim")</f>
        <v>Đấu giá&gt; vé, chứng từ, đặt phòng khách sạn&gt; Thẻ trả trước&gt; Thẻ điện thoại&gt; truyện tranh, hoạt hình&gt; chữ s&gt; Heavy Metal L-Gaim</v>
      </c>
      <c r="G645" t="str">
        <f t="shared" ca="1" si="10"/>
        <v>"2084034872" : "Heavy Metal L-Gaim",</v>
      </c>
    </row>
    <row r="646" spans="1:7" ht="14.25" customHeight="1">
      <c r="A646" s="2">
        <v>2084034891</v>
      </c>
      <c r="B646" s="2" t="s">
        <v>796</v>
      </c>
      <c r="C646" s="2" t="s">
        <v>4241</v>
      </c>
      <c r="D646" s="2" t="s">
        <v>4243</v>
      </c>
      <c r="E646" s="4" t="str">
        <f ca="1">IFERROR(__xludf.DUMMYFUNCTION("GOOGLETRANSLATE(B646,""ja"",""vi"")"),"Revolutionary Cô gái Utena")</f>
        <v>Revolutionary Cô gái Utena</v>
      </c>
      <c r="F646" s="4" t="str">
        <f ca="1">IFERROR(__xludf.DUMMYFUNCTION("GOOGLETRANSLATE(C646,""ja"",""vi"")"),"Đấu giá&gt; vé, chứng từ, đặt phòng khách sạn&gt; Thẻ trả trước&gt; Thẻ điện thoại&gt; truyện tranh, hoạt hình&gt; chữ s&gt; Revolutionary Cô gái Utena")</f>
        <v>Đấu giá&gt; vé, chứng từ, đặt phòng khách sạn&gt; Thẻ trả trước&gt; Thẻ điện thoại&gt; truyện tranh, hoạt hình&gt; chữ s&gt; Revolutionary Cô gái Utena</v>
      </c>
      <c r="G646" t="str">
        <f t="shared" ca="1" si="10"/>
        <v>"2084034891" : "Revolutionary Cô gái Utena",</v>
      </c>
    </row>
    <row r="647" spans="1:7" ht="14.25" customHeight="1">
      <c r="A647" s="2">
        <v>2084034892</v>
      </c>
      <c r="B647" s="2" t="s">
        <v>805</v>
      </c>
      <c r="C647" s="2" t="s">
        <v>4247</v>
      </c>
      <c r="D647" s="2" t="s">
        <v>4249</v>
      </c>
      <c r="E647" s="4" t="str">
        <f ca="1">IFERROR(__xludf.DUMMYFUNCTION("GOOGLETRANSLATE(B647,""ja"",""vi"")"),"Boy Ashibe")</f>
        <v>Boy Ashibe</v>
      </c>
      <c r="F647" s="4" t="str">
        <f ca="1">IFERROR(__xludf.DUMMYFUNCTION("GOOGLETRANSLATE(C647,""ja"",""vi"")"),"Đấu giá&gt; vé, chứng từ, đặt phòng khách sạn&gt; Thẻ trả trước&gt; Thẻ điện thoại&gt; truyện tranh, hoạt hình&gt; chữ s&gt; boy Ashibe")</f>
        <v>Đấu giá&gt; vé, chứng từ, đặt phòng khách sạn&gt; Thẻ trả trước&gt; Thẻ điện thoại&gt; truyện tranh, hoạt hình&gt; chữ s&gt; boy Ashibe</v>
      </c>
      <c r="G647" t="str">
        <f t="shared" ca="1" si="10"/>
        <v>"2084034892" : "Boy Ashibe",</v>
      </c>
    </row>
    <row r="648" spans="1:7" ht="14.25" customHeight="1">
      <c r="A648" s="2">
        <v>2084034894</v>
      </c>
      <c r="B648" s="2" t="s">
        <v>820</v>
      </c>
      <c r="C648" s="2" t="s">
        <v>4254</v>
      </c>
      <c r="D648" s="2" t="s">
        <v>4255</v>
      </c>
      <c r="E648" s="4" t="str">
        <f ca="1">IFERROR(__xludf.DUMMYFUNCTION("GOOGLETRANSLATE(B648,""ja"",""vi"")"),"Tương lai GPX Cyber ​​Formula")</f>
        <v>Tương lai GPX Cyber ​​Formula</v>
      </c>
      <c r="F648" s="4" t="str">
        <f ca="1">IFERROR(__xludf.DUMMYFUNCTION("GOOGLETRANSLATE(C648,""ja"",""vi"")"),"Đấu giá&gt; vé, chứng từ, đặt phòng khách sạn&gt; Thẻ trả trước&gt; Thẻ điện thoại&gt; truyện tranh, hoạt hình&gt; chữ s&gt; Future GPX Cyber ​​Formula")</f>
        <v>Đấu giá&gt; vé, chứng từ, đặt phòng khách sạn&gt; Thẻ trả trước&gt; Thẻ điện thoại&gt; truyện tranh, hoạt hình&gt; chữ s&gt; Future GPX Cyber ​​Formula</v>
      </c>
      <c r="G648" t="str">
        <f t="shared" ca="1" si="10"/>
        <v>"2084034894" : "Tương lai GPX Cyber ​​Formula",</v>
      </c>
    </row>
    <row r="649" spans="1:7" ht="14.25" customHeight="1">
      <c r="A649" s="2">
        <v>2084034895</v>
      </c>
      <c r="B649" s="2" t="s">
        <v>826</v>
      </c>
      <c r="C649" s="2" t="s">
        <v>4261</v>
      </c>
      <c r="D649" s="2" t="s">
        <v>4262</v>
      </c>
      <c r="E649" s="4" t="str">
        <f ca="1">IFERROR(__xludf.DUMMYFUNCTION("GOOGLETRANSLATE(B649,""ja"",""vi"")"),"Neon Genesis Evangelion")</f>
        <v>Neon Genesis Evangelion</v>
      </c>
      <c r="F649" s="4" t="str">
        <f ca="1">IFERROR(__xludf.DUMMYFUNCTION("GOOGLETRANSLATE(C649,""ja"",""vi"")"),"Đấu giá&gt; vé, chứng từ, đặt phòng khách sạn&gt; Thẻ trả trước&gt; Thẻ điện thoại&gt; truyện tranh, hoạt hình&gt; chữ s&gt; Neon Genesis Evangelion")</f>
        <v>Đấu giá&gt; vé, chứng từ, đặt phòng khách sạn&gt; Thẻ trả trước&gt; Thẻ điện thoại&gt; truyện tranh, hoạt hình&gt; chữ s&gt; Neon Genesis Evangelion</v>
      </c>
      <c r="G649" t="str">
        <f t="shared" ca="1" si="10"/>
        <v>"2084034895" : "Neon Genesis Evangelion",</v>
      </c>
    </row>
    <row r="650" spans="1:7" ht="14.25" customHeight="1">
      <c r="A650" s="2">
        <v>2084034896</v>
      </c>
      <c r="B650" s="2" t="s">
        <v>834</v>
      </c>
      <c r="C650" s="2" t="s">
        <v>4269</v>
      </c>
      <c r="D650" s="2" t="s">
        <v>4270</v>
      </c>
      <c r="E650" s="4" t="str">
        <f ca="1">IFERROR(__xludf.DUMMYFUNCTION("GOOGLETRANSLATE(B650,""ja"",""vi"")"),"El-Hazard")</f>
        <v>El-Hazard</v>
      </c>
      <c r="F650" s="4" t="str">
        <f ca="1">IFERROR(__xludf.DUMMYFUNCTION("GOOGLETRANSLATE(C650,""ja"",""vi"")"),"Đấu giá&gt; vé, chứng từ, đặt phòng khách sạn&gt; Thẻ trả trước&gt; Thẻ điện thoại&gt; truyện tranh, hoạt hình&gt; chữ s&gt; El-Hazard")</f>
        <v>Đấu giá&gt; vé, chứng từ, đặt phòng khách sạn&gt; Thẻ trả trước&gt; Thẻ điện thoại&gt; truyện tranh, hoạt hình&gt; chữ s&gt; El-Hazard</v>
      </c>
      <c r="G650" t="str">
        <f t="shared" ca="1" si="10"/>
        <v>"2084034896" : "El-Hazard",</v>
      </c>
    </row>
    <row r="651" spans="1:7" ht="14.25" customHeight="1">
      <c r="A651" s="2">
        <v>2084034877</v>
      </c>
      <c r="B651" s="2" t="s">
        <v>842</v>
      </c>
      <c r="C651" s="2" t="s">
        <v>4274</v>
      </c>
      <c r="D651" s="2" t="s">
        <v>4276</v>
      </c>
      <c r="E651" s="4" t="str">
        <f ca="1">IFERROR(__xludf.DUMMYFUNCTION("GOOGLETRANSLATE(B651,""ja"",""vi"")"),"Saint Seiya")</f>
        <v>Saint Seiya</v>
      </c>
      <c r="F651" s="4" t="str">
        <f ca="1">IFERROR(__xludf.DUMMYFUNCTION("GOOGLETRANSLATE(C651,""ja"",""vi"")"),"Đấu giá&gt; vé, chứng từ, đặt phòng khách sạn&gt; Thẻ trả trước&gt; Thẻ điện thoại&gt; truyện tranh, hoạt hình&gt; chữ s&gt; Saint Seiya")</f>
        <v>Đấu giá&gt; vé, chứng từ, đặt phòng khách sạn&gt; Thẻ trả trước&gt; Thẻ điện thoại&gt; truyện tranh, hoạt hình&gt; chữ s&gt; Saint Seiya</v>
      </c>
      <c r="G651" t="str">
        <f t="shared" ca="1" si="10"/>
        <v>"2084034877" : "Saint Seiya",</v>
      </c>
    </row>
    <row r="652" spans="1:7" ht="14.25" customHeight="1">
      <c r="A652" s="2">
        <v>2084034879</v>
      </c>
      <c r="B652" s="2" t="s">
        <v>847</v>
      </c>
      <c r="C652" s="2" t="s">
        <v>4281</v>
      </c>
      <c r="D652" s="2" t="s">
        <v>4282</v>
      </c>
      <c r="E652" s="4" t="str">
        <f ca="1">IFERROR(__xludf.DUMMYFUNCTION("GOOGLETRANSLATE(B652,""ja"",""vi"")"),"Vô song Raijin-Oh")</f>
        <v>Vô song Raijin-Oh</v>
      </c>
      <c r="F652" s="4" t="str">
        <f ca="1">IFERROR(__xludf.DUMMYFUNCTION("GOOGLETRANSLATE(C652,""ja"",""vi"")"),"Đấu giá&gt; vé, chứng từ, đặt phòng khách sạn&gt; Thẻ trả trước&gt; Thẻ điện thoại&gt; truyện tranh, hoạt hình&gt; chữ s&gt; vô song Raijin-Oh")</f>
        <v>Đấu giá&gt; vé, chứng từ, đặt phòng khách sạn&gt; Thẻ trả trước&gt; Thẻ điện thoại&gt; truyện tranh, hoạt hình&gt; chữ s&gt; vô song Raijin-Oh</v>
      </c>
      <c r="G652" t="str">
        <f t="shared" ca="1" si="10"/>
        <v>"2084034879" : "Vô song Raijin-Oh",</v>
      </c>
    </row>
    <row r="653" spans="1:7" ht="14.25" customHeight="1">
      <c r="A653" s="2">
        <v>2084034880</v>
      </c>
      <c r="B653" s="2" t="s">
        <v>864</v>
      </c>
      <c r="C653" s="2" t="s">
        <v>4286</v>
      </c>
      <c r="D653" s="2" t="s">
        <v>4288</v>
      </c>
      <c r="E653" s="4" t="str">
        <f ca="1">IFERROR(__xludf.DUMMYFUNCTION("GOOGLETRANSLATE(B653,""ja"",""vi"")"),"Votoms")</f>
        <v>Votoms</v>
      </c>
      <c r="F653" s="4" t="str">
        <f ca="1">IFERROR(__xludf.DUMMYFUNCTION("GOOGLETRANSLATE(C653,""ja"",""vi"")"),"Đấu giá&gt; vé, chứng từ, đặt phòng khách sạn&gt; Thẻ trả trước&gt; Thẻ điện thoại&gt; truyện tranh, hoạt hình&gt; chữ s&gt; Votoms")</f>
        <v>Đấu giá&gt; vé, chứng từ, đặt phòng khách sạn&gt; Thẻ trả trước&gt; Thẻ điện thoại&gt; truyện tranh, hoạt hình&gt; chữ s&gt; Votoms</v>
      </c>
      <c r="G653" t="str">
        <f t="shared" ca="1" si="10"/>
        <v>"2084034880" : "Votoms",</v>
      </c>
    </row>
    <row r="654" spans="1:7" ht="14.25" customHeight="1">
      <c r="A654" s="2">
        <v>2084034882</v>
      </c>
      <c r="B654" s="2" t="s">
        <v>1569</v>
      </c>
      <c r="C654" s="2" t="s">
        <v>4292</v>
      </c>
      <c r="D654" s="2" t="s">
        <v>4294</v>
      </c>
      <c r="E654" s="4" t="str">
        <f ca="1">IFERROR(__xludf.DUMMYFUNCTION("GOOGLETRANSLATE(B654,""ja"",""vi"")"),"Sally the Witch")</f>
        <v>Sally the Witch</v>
      </c>
      <c r="F654" s="4" t="str">
        <f ca="1">IFERROR(__xludf.DUMMYFUNCTION("GOOGLETRANSLATE(C654,""ja"",""vi"")"),"Đấu giá&gt; vé, chứng từ, đặt phòng khách sạn&gt; Thẻ trả trước&gt; Thẻ điện thoại&gt; truyện tranh, hoạt hình&gt; chữ s&gt; Sally the Witch")</f>
        <v>Đấu giá&gt; vé, chứng từ, đặt phòng khách sạn&gt; Thẻ trả trước&gt; Thẻ điện thoại&gt; truyện tranh, hoạt hình&gt; chữ s&gt; Sally the Witch</v>
      </c>
      <c r="G654" t="str">
        <f t="shared" ca="1" si="10"/>
        <v>"2084034882" : "Sally the Witch",</v>
      </c>
    </row>
    <row r="655" spans="1:7" ht="14.25" customHeight="1">
      <c r="A655" s="2">
        <v>2084034883</v>
      </c>
      <c r="B655" s="2" t="s">
        <v>46</v>
      </c>
      <c r="C655" s="2" t="s">
        <v>4298</v>
      </c>
      <c r="D655" s="2" t="s">
        <v>4299</v>
      </c>
      <c r="E655" s="4" t="str">
        <f ca="1">IFERROR(__xludf.DUMMYFUNCTION("GOOGLETRANSLATE(B655,""ja"",""vi"")"),"nếu không thì")</f>
        <v>nếu không thì</v>
      </c>
      <c r="F655" s="4" t="str">
        <f ca="1">IFERROR(__xludf.DUMMYFUNCTION("GOOGLETRANSLATE(C655,""ja"",""vi"")"),"Đấu giá&gt; vé, chứng từ, đặt phòng khách sạn&gt; Thẻ trả trước&gt; Thẻ điện thoại&gt; truyện tranh, hoạt hình&gt; chữ s&gt; Khác")</f>
        <v>Đấu giá&gt; vé, chứng từ, đặt phòng khách sạn&gt; Thẻ trả trước&gt; Thẻ điện thoại&gt; truyện tranh, hoạt hình&gt; chữ s&gt; Khác</v>
      </c>
      <c r="G655" t="str">
        <f t="shared" ca="1" si="10"/>
        <v>"2084034883" : "nếu không thì",</v>
      </c>
    </row>
    <row r="656" spans="1:7" ht="14.25" customHeight="1">
      <c r="E656" s="4" t="str">
        <f ca="1">IFERROR(__xludf.DUMMYFUNCTION("GOOGLETRANSLATE(B656,""ja"",""vi"")"),"#VALUE!")</f>
        <v>#VALUE!</v>
      </c>
      <c r="F656" s="4" t="str">
        <f ca="1">IFERROR(__xludf.DUMMYFUNCTION("GOOGLETRANSLATE(C656,""ja"",""vi"")"),"#VALUE!")</f>
        <v>#VALUE!</v>
      </c>
      <c r="G656" t="str">
        <f t="shared" ca="1" si="10"/>
        <v>"" : "#VALUE!",</v>
      </c>
    </row>
    <row r="657" spans="1:7" ht="14.25" customHeight="1">
      <c r="A657" s="3">
        <v>2084034221</v>
      </c>
      <c r="B657" s="10"/>
      <c r="C657" s="10"/>
      <c r="D657" s="10"/>
      <c r="E657" s="4" t="str">
        <f ca="1">IFERROR(__xludf.DUMMYFUNCTION("GOOGLETRANSLATE(B657,""ja"",""vi"")"),"#VALUE!")</f>
        <v>#VALUE!</v>
      </c>
      <c r="F657" s="4" t="str">
        <f ca="1">IFERROR(__xludf.DUMMYFUNCTION("GOOGLETRANSLATE(C657,""ja"",""vi"")"),"#VALUE!")</f>
        <v>#VALUE!</v>
      </c>
      <c r="G657" t="str">
        <f t="shared" ca="1" si="10"/>
        <v>"2084034221" : "#VALUE!",</v>
      </c>
    </row>
    <row r="658" spans="1:7" ht="14.25" customHeight="1">
      <c r="A658" s="11">
        <v>2084035224</v>
      </c>
      <c r="B658" s="11" t="s">
        <v>894</v>
      </c>
      <c r="C658" s="11" t="s">
        <v>4304</v>
      </c>
      <c r="D658" s="11" t="s">
        <v>4305</v>
      </c>
      <c r="E658" s="4" t="str">
        <f ca="1">IFERROR(__xludf.DUMMYFUNCTION("GOOGLETRANSLATE(B658,""ja"",""vi"")"),"Nhóc Maruko")</f>
        <v>Nhóc Maruko</v>
      </c>
      <c r="F658" s="4" t="str">
        <f ca="1">IFERROR(__xludf.DUMMYFUNCTION("GOOGLETRANSLATE(C658,""ja"",""vi"")"),"Đấu giá&gt; vé, chứng từ, đặt phòng khách sạn&gt; Thẻ trả trước&gt; Thẻ điện thoại&gt; truyện tranh, hoạt hình&gt; Tagyo&gt; Nhóc Maruko")</f>
        <v>Đấu giá&gt; vé, chứng từ, đặt phòng khách sạn&gt; Thẻ trả trước&gt; Thẻ điện thoại&gt; truyện tranh, hoạt hình&gt; Tagyo&gt; Nhóc Maruko</v>
      </c>
      <c r="G658" t="str">
        <f t="shared" ca="1" si="10"/>
        <v>"2084035224" : "Nhóc Maruko",</v>
      </c>
    </row>
    <row r="659" spans="1:7" ht="14.25" customHeight="1">
      <c r="A659" s="2">
        <v>2084035227</v>
      </c>
      <c r="B659" s="2" t="s">
        <v>901</v>
      </c>
      <c r="C659" s="2" t="s">
        <v>4309</v>
      </c>
      <c r="D659" s="2" t="s">
        <v>4310</v>
      </c>
      <c r="E659" s="4" t="str">
        <f ca="1">IFERROR(__xludf.DUMMYFUNCTION("GOOGLETRANSLATE(B659,""ja"",""vi"")"),"Chobits")</f>
        <v>Chobits</v>
      </c>
      <c r="F659" s="4" t="str">
        <f ca="1">IFERROR(__xludf.DUMMYFUNCTION("GOOGLETRANSLATE(C659,""ja"",""vi"")"),"Đấu giá&gt; vé, chứng từ, đặt phòng khách sạn&gt; Thẻ trả trước&gt; Thẻ điện thoại&gt; truyện tranh, hoạt hình&gt; Tagyo&gt; Chobits")</f>
        <v>Đấu giá&gt; vé, chứng từ, đặt phòng khách sạn&gt; Thẻ trả trước&gt; Thẻ điện thoại&gt; truyện tranh, hoạt hình&gt; Tagyo&gt; Chobits</v>
      </c>
      <c r="G659" t="str">
        <f t="shared" ca="1" si="10"/>
        <v>"2084035227" : "Chobits",</v>
      </c>
    </row>
    <row r="660" spans="1:7" ht="14.25" customHeight="1">
      <c r="A660" s="2">
        <v>2084035245</v>
      </c>
      <c r="B660" s="2" t="s">
        <v>922</v>
      </c>
      <c r="C660" s="2" t="s">
        <v>4313</v>
      </c>
      <c r="D660" s="2" t="s">
        <v>4314</v>
      </c>
      <c r="E660" s="4" t="str">
        <f ca="1">IFERROR(__xludf.DUMMYFUNCTION("GOOGLETRANSLATE(B660,""ja"",""vi"")"),"My Neighbor Totoro")</f>
        <v>My Neighbor Totoro</v>
      </c>
      <c r="F660" s="4" t="str">
        <f ca="1">IFERROR(__xludf.DUMMYFUNCTION("GOOGLETRANSLATE(C660,""ja"",""vi"")"),"Đấu giá&gt; vé, chứng từ, đặt phòng khách sạn&gt; Thẻ trả trước&gt; Thẻ điện thoại&gt; truyện tranh, hoạt hình&gt; Tagyo&gt; My Neighbor Totoro")</f>
        <v>Đấu giá&gt; vé, chứng từ, đặt phòng khách sạn&gt; Thẻ trả trước&gt; Thẻ điện thoại&gt; truyện tranh, hoạt hình&gt; Tagyo&gt; My Neighbor Totoro</v>
      </c>
      <c r="G660" t="str">
        <f t="shared" ca="1" si="10"/>
        <v>"2084035245" : "My Neighbor Totoro",</v>
      </c>
    </row>
    <row r="661" spans="1:7" ht="14.25" customHeight="1">
      <c r="A661" s="2">
        <v>2084035222</v>
      </c>
      <c r="B661" s="2" t="s">
        <v>930</v>
      </c>
      <c r="C661" s="2" t="s">
        <v>4317</v>
      </c>
      <c r="D661" s="2" t="s">
        <v>4318</v>
      </c>
      <c r="E661" s="4" t="str">
        <f ca="1">IFERROR(__xludf.DUMMYFUNCTION("GOOGLETRANSLATE(B661,""ja"",""vi"")"),"Time Bokan loạt")</f>
        <v>Time Bokan loạt</v>
      </c>
      <c r="F661" s="4" t="str">
        <f ca="1">IFERROR(__xludf.DUMMYFUNCTION("GOOGLETRANSLATE(C661,""ja"",""vi"")"),"Đấu giá&gt; vé, chứng từ, đặt phòng khách sạn&gt; Thẻ trả trước&gt; Thẻ điện thoại&gt; truyện tranh, hoạt hình&gt; Tagyo&gt; chuỗi thời gian Bokan")</f>
        <v>Đấu giá&gt; vé, chứng từ, đặt phòng khách sạn&gt; Thẻ trả trước&gt; Thẻ điện thoại&gt; truyện tranh, hoạt hình&gt; Tagyo&gt; chuỗi thời gian Bokan</v>
      </c>
      <c r="G661" t="str">
        <f t="shared" ca="1" si="10"/>
        <v>"2084035222" : "Time Bokan loạt",</v>
      </c>
    </row>
    <row r="662" spans="1:7" ht="14.25" customHeight="1">
      <c r="A662" s="2">
        <v>2084044223</v>
      </c>
      <c r="B662" s="2" t="s">
        <v>939</v>
      </c>
      <c r="C662" s="2" t="s">
        <v>4323</v>
      </c>
      <c r="D662" s="2" t="s">
        <v>4325</v>
      </c>
      <c r="E662" s="4" t="str">
        <f ca="1">IFERROR(__xludf.DUMMYFUNCTION("GOOGLETRANSLATE(B662,""ja"",""vi"")"),"liên lạc")</f>
        <v>liên lạc</v>
      </c>
      <c r="F662" s="4" t="str">
        <f ca="1">IFERROR(__xludf.DUMMYFUNCTION("GOOGLETRANSLATE(C662,""ja"",""vi"")"),"Đấu giá&gt; vé, chứng từ, đặt phòng khách sạn&gt; Thẻ trả trước&gt; Thẻ điện thoại&gt; truyện tranh, hoạt hình&gt; Tagyo&gt; Chạm")</f>
        <v>Đấu giá&gt; vé, chứng từ, đặt phòng khách sạn&gt; Thẻ trả trước&gt; Thẻ điện thoại&gt; truyện tranh, hoạt hình&gt; Tagyo&gt; Chạm</v>
      </c>
      <c r="G662" t="str">
        <f t="shared" ca="1" si="10"/>
        <v>"2084044223" : "liên lạc",</v>
      </c>
    </row>
    <row r="663" spans="1:7" ht="14.25" customHeight="1">
      <c r="A663" s="2">
        <v>2084035220</v>
      </c>
      <c r="B663" s="2" t="s">
        <v>945</v>
      </c>
      <c r="C663" s="2" t="s">
        <v>4328</v>
      </c>
      <c r="D663" s="2" t="s">
        <v>4329</v>
      </c>
      <c r="E663" s="4" t="str">
        <f ca="1">IFERROR(__xludf.DUMMYFUNCTION("GOOGLETRANSLATE(B663,""ja"",""vi"")"),"bẩn Pair")</f>
        <v>bẩn Pair</v>
      </c>
      <c r="F663" s="4" t="str">
        <f ca="1">IFERROR(__xludf.DUMMYFUNCTION("GOOGLETRANSLATE(C663,""ja"",""vi"")"),"Đấu giá&gt; vé, chứng từ, đặt phòng khách sạn&gt; Thẻ trả trước&gt; Thẻ điện thoại&gt; truyện tranh, hoạt hình&gt; Tagyo&gt; bẩn Pair")</f>
        <v>Đấu giá&gt; vé, chứng từ, đặt phòng khách sạn&gt; Thẻ trả trước&gt; Thẻ điện thoại&gt; truyện tranh, hoạt hình&gt; Tagyo&gt; bẩn Pair</v>
      </c>
      <c r="G663" t="str">
        <f t="shared" ca="1" si="10"/>
        <v>"2084035220" : "bẩn Pair",</v>
      </c>
    </row>
    <row r="664" spans="1:7" ht="14.25" customHeight="1">
      <c r="A664" s="2">
        <v>2084035231</v>
      </c>
      <c r="B664" s="2" t="s">
        <v>965</v>
      </c>
      <c r="C664" s="2" t="s">
        <v>4333</v>
      </c>
      <c r="D664" s="2" t="s">
        <v>4336</v>
      </c>
      <c r="E664" s="4" t="str">
        <f ca="1">IFERROR(__xludf.DUMMYFUNCTION("GOOGLETRANSLATE(B664,""ja"",""vi"")"),"Tekkaman")</f>
        <v>Tekkaman</v>
      </c>
      <c r="F664" s="4" t="str">
        <f ca="1">IFERROR(__xludf.DUMMYFUNCTION("GOOGLETRANSLATE(C664,""ja"",""vi"")"),"Đấu giá&gt; vé, chứng từ, đặt phòng khách sạn&gt; Thẻ trả trước&gt; Thẻ điện thoại&gt; truyện tranh, hoạt hình&gt; Tagyo&gt; Tekkaman")</f>
        <v>Đấu giá&gt; vé, chứng từ, đặt phòng khách sạn&gt; Thẻ trả trước&gt; Thẻ điện thoại&gt; truyện tranh, hoạt hình&gt; Tagyo&gt; Tekkaman</v>
      </c>
      <c r="G664" t="str">
        <f t="shared" ca="1" si="10"/>
        <v>"2084035231" : "Tekkaman",</v>
      </c>
    </row>
    <row r="665" spans="1:7" ht="14.25" customHeight="1">
      <c r="A665" s="2">
        <v>2084035234</v>
      </c>
      <c r="B665" s="2" t="s">
        <v>972</v>
      </c>
      <c r="C665" s="2" t="s">
        <v>4343</v>
      </c>
      <c r="D665" s="2" t="s">
        <v>4344</v>
      </c>
      <c r="E665" s="4" t="str">
        <f ca="1">IFERROR(__xludf.DUMMYFUNCTION("GOOGLETRANSLATE(B665,""ja"",""vi"")"),"The Prince of Tennis")</f>
        <v>The Prince of Tennis</v>
      </c>
      <c r="F665" s="4" t="str">
        <f ca="1">IFERROR(__xludf.DUMMYFUNCTION("GOOGLETRANSLATE(C665,""ja"",""vi"")"),"Đấu giá&gt; vé, chứng từ, đặt phòng khách sạn&gt; Thẻ trả trước&gt; Thẻ điện thoại&gt; truyện tranh, hoạt hình&gt; Tagyo&gt; The Prince of Tennis")</f>
        <v>Đấu giá&gt; vé, chứng từ, đặt phòng khách sạn&gt; Thẻ trả trước&gt; Thẻ điện thoại&gt; truyện tranh, hoạt hình&gt; Tagyo&gt; The Prince of Tennis</v>
      </c>
      <c r="G665" t="str">
        <f t="shared" ca="1" si="10"/>
        <v>"2084035234" : "The Prince of Tennis",</v>
      </c>
    </row>
    <row r="666" spans="1:7" ht="14.25" customHeight="1">
      <c r="A666" s="2">
        <v>2084035229</v>
      </c>
      <c r="B666" s="2" t="s">
        <v>981</v>
      </c>
      <c r="C666" s="2" t="s">
        <v>4349</v>
      </c>
      <c r="D666" s="2" t="s">
        <v>4350</v>
      </c>
      <c r="E666" s="4" t="str">
        <f ca="1">IFERROR(__xludf.DUMMYFUNCTION("GOOGLETRANSLATE(B666,""ja"",""vi"")"),"Di Gi Charat")</f>
        <v>Di Gi Charat</v>
      </c>
      <c r="F666" s="4" t="str">
        <f ca="1">IFERROR(__xludf.DUMMYFUNCTION("GOOGLETRANSLATE(C666,""ja"",""vi"")"),"Đấu giá&gt; vé, chứng từ, đặt phòng khách sạn&gt; Thẻ trả trước&gt; Thẻ điện thoại&gt; truyện tranh, hoạt hình&gt; Tagyo&gt; Di Gi Charat")</f>
        <v>Đấu giá&gt; vé, chứng từ, đặt phòng khách sạn&gt; Thẻ trả trước&gt; Thẻ điện thoại&gt; truyện tranh, hoạt hình&gt; Tagyo&gt; Di Gi Charat</v>
      </c>
      <c r="G666" t="str">
        <f t="shared" ca="1" si="10"/>
        <v>"2084035229" : "Di Gi Charat",</v>
      </c>
    </row>
    <row r="667" spans="1:7" ht="14.25" customHeight="1">
      <c r="A667" s="2">
        <v>2084035230</v>
      </c>
      <c r="B667" s="2" t="s">
        <v>992</v>
      </c>
      <c r="C667" s="2" t="s">
        <v>4354</v>
      </c>
      <c r="D667" s="2" t="s">
        <v>4355</v>
      </c>
      <c r="E667" s="4" t="str">
        <f ca="1">IFERROR(__xludf.DUMMYFUNCTION("GOOGLETRANSLATE(B667,""ja"",""vi"")"),"quái vật kỹ thuật số")</f>
        <v>quái vật kỹ thuật số</v>
      </c>
      <c r="F667" s="4" t="str">
        <f ca="1">IFERROR(__xludf.DUMMYFUNCTION("GOOGLETRANSLATE(C667,""ja"",""vi"")"),"Đấu giá&gt; vé, chứng từ, đặt phòng khách sạn&gt; Thẻ trả trước&gt; Thẻ điện thoại&gt; truyện tranh, hoạt hình&gt; Tagyo&gt; Monsters kỹ thuật số")</f>
        <v>Đấu giá&gt; vé, chứng từ, đặt phòng khách sạn&gt; Thẻ trả trước&gt; Thẻ điện thoại&gt; truyện tranh, hoạt hình&gt; Tagyo&gt; Monsters kỹ thuật số</v>
      </c>
      <c r="G667" t="str">
        <f t="shared" ca="1" si="10"/>
        <v>"2084035230" : "quái vật kỹ thuật số",</v>
      </c>
    </row>
    <row r="668" spans="1:7" ht="14.25" customHeight="1">
      <c r="A668" s="2">
        <v>2084035235</v>
      </c>
      <c r="B668" s="2" t="s">
        <v>1007</v>
      </c>
      <c r="C668" s="2" t="s">
        <v>4361</v>
      </c>
      <c r="D668" s="2" t="s">
        <v>4362</v>
      </c>
      <c r="E668" s="4" t="str">
        <f ca="1">IFERROR(__xludf.DUMMYFUNCTION("GOOGLETRANSLATE(B668,""ja"",""vi"")"),"devilman")</f>
        <v>devilman</v>
      </c>
      <c r="F668" s="4" t="str">
        <f ca="1">IFERROR(__xludf.DUMMYFUNCTION("GOOGLETRANSLATE(C668,""ja"",""vi"")"),"Đấu giá&gt; vé, chứng từ, đặt phòng khách sạn&gt; Thẻ trả trước&gt; Thẻ điện thoại&gt; truyện tranh, hoạt hình&gt; Tagyo&gt; Devilman")</f>
        <v>Đấu giá&gt; vé, chứng từ, đặt phòng khách sạn&gt; Thẻ trả trước&gt; Thẻ điện thoại&gt; truyện tranh, hoạt hình&gt; Tagyo&gt; Devilman</v>
      </c>
      <c r="G668" t="str">
        <f t="shared" ca="1" si="10"/>
        <v>"2084035235" : "devilman",</v>
      </c>
    </row>
    <row r="669" spans="1:7" ht="14.25" customHeight="1">
      <c r="A669" s="2">
        <v>2084035242</v>
      </c>
      <c r="B669" s="2" t="s">
        <v>1033</v>
      </c>
      <c r="C669" s="2" t="s">
        <v>4365</v>
      </c>
      <c r="D669" s="2" t="s">
        <v>4366</v>
      </c>
      <c r="E669" s="4" t="str">
        <f ca="1">IFERROR(__xludf.DUMMYFUNCTION("GOOGLETRANSLATE(B669,""ja"",""vi"")"),"Dokaben")</f>
        <v>Dokaben</v>
      </c>
      <c r="F669" s="4" t="str">
        <f ca="1">IFERROR(__xludf.DUMMYFUNCTION("GOOGLETRANSLATE(C669,""ja"",""vi"")"),"Đấu giá&gt; vé, chứng từ, đặt phòng khách sạn&gt; Thẻ trả trước&gt; Thẻ điện thoại&gt; truyện tranh, hoạt hình&gt; Tagyo&gt; dokaben")</f>
        <v>Đấu giá&gt; vé, chứng từ, đặt phòng khách sạn&gt; Thẻ trả trước&gt; Thẻ điện thoại&gt; truyện tranh, hoạt hình&gt; Tagyo&gt; dokaben</v>
      </c>
      <c r="G669" t="str">
        <f t="shared" ca="1" si="10"/>
        <v>"2084035242" : "Dokaben",</v>
      </c>
    </row>
    <row r="670" spans="1:7" ht="14.25" customHeight="1">
      <c r="A670" s="2">
        <v>2084035243</v>
      </c>
      <c r="B670" s="2" t="s">
        <v>1041</v>
      </c>
      <c r="C670" s="2" t="s">
        <v>4372</v>
      </c>
      <c r="D670" s="2" t="s">
        <v>4373</v>
      </c>
      <c r="E670" s="4" t="str">
        <f ca="1">IFERROR(__xludf.DUMMYFUNCTION("GOOGLETRANSLATE(B670,""ja"",""vi"")"),"Dokutasuranpu")</f>
        <v>Dokutasuranpu</v>
      </c>
      <c r="F670" s="4" t="str">
        <f ca="1">IFERROR(__xludf.DUMMYFUNCTION("GOOGLETRANSLATE(C670,""ja"",""vi"")"),"Đấu giá&gt; vé, chứng từ, đặt phòng khách sạn&gt; Thẻ trả trước&gt; Thẻ điện thoại&gt; truyện tranh, hoạt hình&gt; Tagyo&gt; Dokutasuranpu")</f>
        <v>Đấu giá&gt; vé, chứng từ, đặt phòng khách sạn&gt; Thẻ trả trước&gt; Thẻ điện thoại&gt; truyện tranh, hoạt hình&gt; Tagyo&gt; Dokutasuranpu</v>
      </c>
      <c r="G670" t="str">
        <f t="shared" ca="1" si="10"/>
        <v>"2084035243" : "Dokutasuranpu",</v>
      </c>
    </row>
    <row r="671" spans="1:7" ht="14.25" customHeight="1">
      <c r="A671" s="2">
        <v>2084035247</v>
      </c>
      <c r="B671" s="2" t="s">
        <v>1049</v>
      </c>
      <c r="C671" s="2" t="s">
        <v>4379</v>
      </c>
      <c r="D671" s="2" t="s">
        <v>4381</v>
      </c>
      <c r="E671" s="4" t="str">
        <f ca="1">IFERROR(__xludf.DUMMYFUNCTION("GOOGLETRANSLATE(B671,""ja"",""vi"")"),"Doraemon")</f>
        <v>Doraemon</v>
      </c>
      <c r="F671" s="4" t="str">
        <f ca="1">IFERROR(__xludf.DUMMYFUNCTION("GOOGLETRANSLATE(C671,""ja"",""vi"")"),"Đấu giá&gt; vé, chứng từ, đặt phòng khách sạn&gt; Thẻ trả trước&gt; Thẻ điện thoại&gt; truyện tranh, hoạt hình&gt; Tagyo&gt; Doraemon")</f>
        <v>Đấu giá&gt; vé, chứng từ, đặt phòng khách sạn&gt; Thẻ trả trước&gt; Thẻ điện thoại&gt; truyện tranh, hoạt hình&gt; Tagyo&gt; Doraemon</v>
      </c>
      <c r="G671" t="str">
        <f t="shared" ca="1" si="10"/>
        <v>"2084035247" : "Doraemon",</v>
      </c>
    </row>
    <row r="672" spans="1:7" ht="14.25" customHeight="1">
      <c r="A672" s="2">
        <v>2084035248</v>
      </c>
      <c r="B672" s="2" t="s">
        <v>1055</v>
      </c>
      <c r="C672" s="2" t="s">
        <v>4385</v>
      </c>
      <c r="D672" s="2" t="s">
        <v>4386</v>
      </c>
      <c r="E672" s="4" t="str">
        <f ca="1">IFERROR(__xludf.DUMMYFUNCTION("GOOGLETRANSLATE(B672,""ja"",""vi"")"),"dragon ball")</f>
        <v>dragon ball</v>
      </c>
      <c r="F672" s="4" t="str">
        <f ca="1">IFERROR(__xludf.DUMMYFUNCTION("GOOGLETRANSLATE(C672,""ja"",""vi"")"),"Đấu giá&gt; vé, chứng từ, đặt phòng khách sạn&gt; Thẻ trả trước&gt; Thẻ điện thoại&gt; truyện tranh, hoạt hình&gt; Tagyo&gt; Dragon Ball")</f>
        <v>Đấu giá&gt; vé, chứng từ, đặt phòng khách sạn&gt; Thẻ trả trước&gt; Thẻ điện thoại&gt; truyện tranh, hoạt hình&gt; Tagyo&gt; Dragon Ball</v>
      </c>
      <c r="G672" t="str">
        <f t="shared" ca="1" si="10"/>
        <v>"2084035248" : "dragon ball",</v>
      </c>
    </row>
    <row r="673" spans="1:7" ht="14.25" customHeight="1">
      <c r="A673" s="2">
        <v>2084035221</v>
      </c>
      <c r="B673" s="2" t="s">
        <v>1063</v>
      </c>
      <c r="C673" s="2" t="s">
        <v>4389</v>
      </c>
      <c r="D673" s="2" t="s">
        <v>4390</v>
      </c>
      <c r="E673" s="4" t="str">
        <f ca="1">IFERROR(__xludf.DUMMYFUNCTION("GOOGLETRANSLATE(B673,""ja"",""vi"")"),"Bạn đang bị quản thúc")</f>
        <v>Bạn đang bị quản thúc</v>
      </c>
      <c r="F673" s="4" t="str">
        <f ca="1">IFERROR(__xludf.DUMMYFUNCTION("GOOGLETRANSLATE(C673,""ja"",""vi"")"),"Đấu giá&gt; vé, chứng từ, đặt phòng khách sạn&gt; Thẻ trả trước&gt; Thẻ điện thoại&gt; truyện tranh, hoạt hình&gt; Tagyo&gt; Bạn đang bị quản thúc")</f>
        <v>Đấu giá&gt; vé, chứng từ, đặt phòng khách sạn&gt; Thẻ trả trước&gt; Thẻ điện thoại&gt; truyện tranh, hoạt hình&gt; Tagyo&gt; Bạn đang bị quản thúc</v>
      </c>
      <c r="G673" t="str">
        <f t="shared" ca="1" si="10"/>
        <v>"2084035221" : "Bạn đang bị quản thúc",</v>
      </c>
    </row>
    <row r="674" spans="1:7" ht="14.25" customHeight="1">
      <c r="A674" s="2">
        <v>2084035232</v>
      </c>
      <c r="B674" s="2" t="s">
        <v>1086</v>
      </c>
      <c r="C674" s="2" t="s">
        <v>4394</v>
      </c>
      <c r="D674" s="2" t="s">
        <v>4396</v>
      </c>
      <c r="E674" s="4" t="str">
        <f ca="1">IFERROR(__xludf.DUMMYFUNCTION("GOOGLETRANSLATE(B674,""ja"",""vi"")"),"Tetsujin 28-go")</f>
        <v>Tetsujin 28-go</v>
      </c>
      <c r="F674" s="4" t="str">
        <f ca="1">IFERROR(__xludf.DUMMYFUNCTION("GOOGLETRANSLATE(C674,""ja"",""vi"")"),"Đấu giá&gt; vé, chứng từ, đặt phòng khách sạn&gt; Thẻ trả trước&gt; Thẻ điện thoại&gt; truyện tranh, hoạt hình&gt; Tagyo&gt; Tetsujin 28-go")</f>
        <v>Đấu giá&gt; vé, chứng từ, đặt phòng khách sạn&gt; Thẻ trả trước&gt; Thẻ điện thoại&gt; truyện tranh, hoạt hình&gt; Tagyo&gt; Tetsujin 28-go</v>
      </c>
      <c r="G674" t="str">
        <f t="shared" ca="1" si="10"/>
        <v>"2084035232" : "Tetsujin 28-go",</v>
      </c>
    </row>
    <row r="675" spans="1:7" ht="14.25" customHeight="1">
      <c r="A675" s="2">
        <v>2084035233</v>
      </c>
      <c r="B675" s="2" t="s">
        <v>1093</v>
      </c>
      <c r="C675" s="2" t="s">
        <v>4400</v>
      </c>
      <c r="D675" s="2" t="s">
        <v>4401</v>
      </c>
      <c r="E675" s="4" t="str">
        <f ca="1">IFERROR(__xludf.DUMMYFUNCTION("GOOGLETRANSLATE(B675,""ja"",""vi"")"),"ASTRO BOY")</f>
        <v>ASTRO BOY</v>
      </c>
      <c r="F675" s="4" t="str">
        <f ca="1">IFERROR(__xludf.DUMMYFUNCTION("GOOGLETRANSLATE(C675,""ja"",""vi"")"),"Đấu giá&gt; vé, chứng từ, đặt phòng khách sạn&gt; Thẻ trả trước&gt; Thẻ điện thoại&gt; truyện tranh, hoạt hình&gt; Tagyo&gt; Astro Boy")</f>
        <v>Đấu giá&gt; vé, chứng từ, đặt phòng khách sạn&gt; Thẻ trả trước&gt; Thẻ điện thoại&gt; truyện tranh, hoạt hình&gt; Tagyo&gt; Astro Boy</v>
      </c>
      <c r="G675" t="str">
        <f t="shared" ca="1" si="10"/>
        <v>"2084035233" : "ASTRO BOY",</v>
      </c>
    </row>
    <row r="676" spans="1:7" ht="14.25" customHeight="1">
      <c r="A676" s="2">
        <v>2084035238</v>
      </c>
      <c r="B676" s="2" t="s">
        <v>1102</v>
      </c>
      <c r="C676" s="2" t="s">
        <v>4404</v>
      </c>
      <c r="D676" s="2" t="s">
        <v>4405</v>
      </c>
      <c r="E676" s="4" t="str">
        <f ca="1">IFERROR(__xludf.DUMMYFUNCTION("GOOGLETRANSLATE(B676,""ja"",""vi"")"),"Tầm nhìn của Escaflowne")</f>
        <v>Tầm nhìn của Escaflowne</v>
      </c>
      <c r="F676" s="4" t="str">
        <f ca="1">IFERROR(__xludf.DUMMYFUNCTION("GOOGLETRANSLATE(C676,""ja"",""vi"")"),"Đấu giá&gt; vé, chứng từ, đặt phòng khách sạn&gt; Thẻ trả trước&gt; Thẻ điện thoại&gt; truyện tranh, hoạt hình&gt; Tagyo&gt; Tầm nhìn của Escaflowne")</f>
        <v>Đấu giá&gt; vé, chứng từ, đặt phòng khách sạn&gt; Thẻ trả trước&gt; Thẻ điện thoại&gt; truyện tranh, hoạt hình&gt; Tagyo&gt; Tầm nhìn của Escaflowne</v>
      </c>
      <c r="G676" t="str">
        <f t="shared" ca="1" si="10"/>
        <v>"2084035238" : "Tầm nhìn của Escaflowne",</v>
      </c>
    </row>
    <row r="677" spans="1:7" ht="14.25" customHeight="1">
      <c r="A677" s="2">
        <v>2084035237</v>
      </c>
      <c r="B677" s="2" t="s">
        <v>1111</v>
      </c>
      <c r="C677" s="2" t="s">
        <v>4410</v>
      </c>
      <c r="D677" s="2" t="s">
        <v>4411</v>
      </c>
      <c r="E677" s="4" t="str">
        <f ca="1">IFERROR(__xludf.DUMMYFUNCTION("GOOGLETRANSLATE(B677,""ja"",""vi"")"),"Legend of Heavenly Sphere Shurato")</f>
        <v>Legend of Heavenly Sphere Shurato</v>
      </c>
      <c r="F677" s="4" t="str">
        <f ca="1">IFERROR(__xludf.DUMMYFUNCTION("GOOGLETRANSLATE(C677,""ja"",""vi"")"),"Đấu giá&gt; vé, chứng từ, đặt phòng khách sạn&gt; Thẻ trả trước&gt; Thẻ điện thoại&gt; truyện tranh, hoạt hình&gt; Tagyo&gt; Legend of Heavenly Sphere Shurato")</f>
        <v>Đấu giá&gt; vé, chứng từ, đặt phòng khách sạn&gt; Thẻ trả trước&gt; Thẻ điện thoại&gt; truyện tranh, hoạt hình&gt; Tagyo&gt; Legend of Heavenly Sphere Shurato</v>
      </c>
      <c r="G677" t="str">
        <f t="shared" ca="1" si="10"/>
        <v>"2084035237" : "Legend of Heavenly Sphere Shurato",</v>
      </c>
    </row>
    <row r="678" spans="1:7" ht="14.25" customHeight="1">
      <c r="A678" s="2">
        <v>2084035239</v>
      </c>
      <c r="B678" s="2" t="s">
        <v>1119</v>
      </c>
      <c r="C678" s="2" t="s">
        <v>4414</v>
      </c>
      <c r="D678" s="2" t="s">
        <v>4415</v>
      </c>
      <c r="E678" s="4" t="str">
        <f ca="1">IFERROR(__xludf.DUMMYFUNCTION("GOOGLETRANSLATE(B678,""ja"",""vi"")"),"Genius Bakabon")</f>
        <v>Genius Bakabon</v>
      </c>
      <c r="F678" s="4" t="str">
        <f ca="1">IFERROR(__xludf.DUMMYFUNCTION("GOOGLETRANSLATE(C678,""ja"",""vi"")"),"Đấu giá&gt; vé, chứng từ, đặt phòng khách sạn&gt; Thẻ trả trước&gt; Thẻ điện thoại&gt; truyện tranh, hoạt hình&gt; Tagyo&gt; thiên tài Bakabon")</f>
        <v>Đấu giá&gt; vé, chứng từ, đặt phòng khách sạn&gt; Thẻ trả trước&gt; Thẻ điện thoại&gt; truyện tranh, hoạt hình&gt; Tagyo&gt; thiên tài Bakabon</v>
      </c>
      <c r="G678" t="str">
        <f t="shared" ca="1" si="10"/>
        <v>"2084035239" : "Genius Bakabon",</v>
      </c>
    </row>
    <row r="679" spans="1:7" ht="14.25" customHeight="1">
      <c r="A679" s="2">
        <v>2084035241</v>
      </c>
      <c r="B679" s="2" t="s">
        <v>1127</v>
      </c>
      <c r="C679" s="2" t="s">
        <v>4421</v>
      </c>
      <c r="D679" s="2" t="s">
        <v>4422</v>
      </c>
      <c r="E679" s="4" t="str">
        <f ca="1">IFERROR(__xludf.DUMMYFUNCTION("GOOGLETRANSLATE(B679,""ja"",""vi"")"),"Tenchi Muyo!")</f>
        <v>Tenchi Muyo!</v>
      </c>
      <c r="F679" s="4" t="str">
        <f ca="1">IFERROR(__xludf.DUMMYFUNCTION("GOOGLETRANSLATE(C679,""ja"",""vi"")"),"Đấu giá&gt; vé, chứng từ, đặt phòng khách sạn&gt; Thẻ trả trước&gt; Thẻ điện thoại&gt; truyện tranh, hoạt hình&gt; Tagyo&gt; Tenchi Muyo!")</f>
        <v>Đấu giá&gt; vé, chứng từ, đặt phòng khách sạn&gt; Thẻ trả trước&gt; Thẻ điện thoại&gt; truyện tranh, hoạt hình&gt; Tagyo&gt; Tenchi Muyo!</v>
      </c>
      <c r="G679" t="str">
        <f t="shared" ca="1" si="10"/>
        <v>"2084035241" : "Tenchi Muyo!",</v>
      </c>
    </row>
    <row r="680" spans="1:7" ht="14.25" customHeight="1">
      <c r="A680" s="2">
        <v>2084035223</v>
      </c>
      <c r="B680" s="2" t="s">
        <v>46</v>
      </c>
      <c r="C680" s="2" t="s">
        <v>4427</v>
      </c>
      <c r="D680" s="2" t="s">
        <v>4428</v>
      </c>
      <c r="E680" s="4" t="str">
        <f ca="1">IFERROR(__xludf.DUMMYFUNCTION("GOOGLETRANSLATE(B680,""ja"",""vi"")"),"nếu không thì")</f>
        <v>nếu không thì</v>
      </c>
      <c r="F680" s="4" t="str">
        <f ca="1">IFERROR(__xludf.DUMMYFUNCTION("GOOGLETRANSLATE(C680,""ja"",""vi"")"),"Đấu giá&gt; vé, chứng từ, đặt phòng khách sạn&gt; Thẻ trả trước&gt; Thẻ điện thoại&gt; truyện tranh, hoạt hình&gt; Tagyo&gt; Khác")</f>
        <v>Đấu giá&gt; vé, chứng từ, đặt phòng khách sạn&gt; Thẻ trả trước&gt; Thẻ điện thoại&gt; truyện tranh, hoạt hình&gt; Tagyo&gt; Khác</v>
      </c>
      <c r="G680" t="str">
        <f t="shared" ca="1" si="10"/>
        <v>"2084035223" : "nếu không thì",</v>
      </c>
    </row>
    <row r="681" spans="1:7" ht="14.25" customHeight="1">
      <c r="E681" s="4" t="str">
        <f ca="1">IFERROR(__xludf.DUMMYFUNCTION("GOOGLETRANSLATE(B681,""ja"",""vi"")"),"#VALUE!")</f>
        <v>#VALUE!</v>
      </c>
      <c r="F681" s="4" t="str">
        <f ca="1">IFERROR(__xludf.DUMMYFUNCTION("GOOGLETRANSLATE(C681,""ja"",""vi"")"),"#VALUE!")</f>
        <v>#VALUE!</v>
      </c>
      <c r="G681" t="str">
        <f t="shared" ca="1" si="10"/>
        <v>"" : "#VALUE!",</v>
      </c>
    </row>
    <row r="682" spans="1:7" ht="14.25" customHeight="1">
      <c r="A682" s="3">
        <v>2084034230</v>
      </c>
      <c r="B682" s="10"/>
      <c r="C682" s="10"/>
      <c r="D682" s="10"/>
      <c r="E682" s="4" t="str">
        <f ca="1">IFERROR(__xludf.DUMMYFUNCTION("GOOGLETRANSLATE(B682,""ja"",""vi"")"),"#VALUE!")</f>
        <v>#VALUE!</v>
      </c>
      <c r="F682" s="4" t="str">
        <f ca="1">IFERROR(__xludf.DUMMYFUNCTION("GOOGLETRANSLATE(C682,""ja"",""vi"")"),"#VALUE!")</f>
        <v>#VALUE!</v>
      </c>
      <c r="G682" t="str">
        <f t="shared" ca="1" si="10"/>
        <v>"2084034230" : "#VALUE!",</v>
      </c>
    </row>
    <row r="683" spans="1:7" ht="14.25" customHeight="1">
      <c r="A683" s="11">
        <v>2084035427</v>
      </c>
      <c r="B683" s="11" t="s">
        <v>1152</v>
      </c>
      <c r="C683" s="11" t="s">
        <v>4434</v>
      </c>
      <c r="D683" s="11" t="s">
        <v>4435</v>
      </c>
      <c r="E683" s="4" t="str">
        <f ca="1">IFERROR(__xludf.DUMMYFUNCTION("GOOGLETRANSLATE(B683,""ja"",""vi"")"),"NARUTO")</f>
        <v>NARUTO</v>
      </c>
      <c r="F683" s="4" t="str">
        <f ca="1">IFERROR(__xludf.DUMMYFUNCTION("GOOGLETRANSLATE(C683,""ja"",""vi"")"),"Đấu giá&gt; vé, chứng từ, đặt phòng khách sạn&gt; Thẻ trả trước&gt; Thẻ điện thoại&gt; truyện tranh, hoạt hình&gt; một dòng&gt; NARUTO")</f>
        <v>Đấu giá&gt; vé, chứng từ, đặt phòng khách sạn&gt; Thẻ trả trước&gt; Thẻ điện thoại&gt; truyện tranh, hoạt hình&gt; một dòng&gt; NARUTO</v>
      </c>
      <c r="G683" t="str">
        <f t="shared" ca="1" si="10"/>
        <v>"2084035427" : "NARUTO",</v>
      </c>
    </row>
    <row r="684" spans="1:7" ht="14.25" customHeight="1">
      <c r="A684" s="2">
        <v>2084035428</v>
      </c>
      <c r="B684" s="2" t="s">
        <v>1177</v>
      </c>
      <c r="C684" s="2" t="s">
        <v>4439</v>
      </c>
      <c r="D684" s="2" t="s">
        <v>4440</v>
      </c>
      <c r="E684" s="4" t="str">
        <f ca="1">IFERROR(__xludf.DUMMYFUNCTION("GOOGLETRANSLATE(B684,""ja"",""vi"")"),"Papuwa")</f>
        <v>Papuwa</v>
      </c>
      <c r="F684" s="4" t="str">
        <f ca="1">IFERROR(__xludf.DUMMYFUNCTION("GOOGLETRANSLATE(C684,""ja"",""vi"")"),"Đấu giá&gt; vé, chứng từ, đặt phòng khách sạn&gt; Thẻ trả trước&gt; Thẻ điện thoại&gt; truyện tranh, hoạt hình&gt; một dòng&gt; Papuwa")</f>
        <v>Đấu giá&gt; vé, chứng từ, đặt phòng khách sạn&gt; Thẻ trả trước&gt; Thẻ điện thoại&gt; truyện tranh, hoạt hình&gt; một dòng&gt; Papuwa</v>
      </c>
      <c r="G684" t="str">
        <f t="shared" ca="1" si="10"/>
        <v>"2084035428" : "Papuwa",</v>
      </c>
    </row>
    <row r="685" spans="1:7" ht="14.25" customHeight="1">
      <c r="A685" s="2">
        <v>2084035430</v>
      </c>
      <c r="B685" s="2" t="s">
        <v>1194</v>
      </c>
      <c r="C685" s="2" t="s">
        <v>4443</v>
      </c>
      <c r="D685" s="2" t="s">
        <v>4445</v>
      </c>
      <c r="E685" s="4" t="str">
        <f ca="1">IFERROR(__xludf.DUMMYFUNCTION("GOOGLETRANSLATE(B685,""ja"",""vi"")"),"Nintama Rantaro")</f>
        <v>Nintama Rantaro</v>
      </c>
      <c r="F685" s="4" t="str">
        <f ca="1">IFERROR(__xludf.DUMMYFUNCTION("GOOGLETRANSLATE(C685,""ja"",""vi"")"),"Đấu giá&gt; vé, chứng từ, đặt phòng khách sạn&gt; Thẻ trả trước&gt; Thẻ điện thoại&gt; truyện tranh, hoạt hình&gt; một dòng&gt; Nintama Rantaro")</f>
        <v>Đấu giá&gt; vé, chứng từ, đặt phòng khách sạn&gt; Thẻ trả trước&gt; Thẻ điện thoại&gt; truyện tranh, hoạt hình&gt; một dòng&gt; Nintama Rantaro</v>
      </c>
      <c r="G685" t="str">
        <f t="shared" ca="1" si="10"/>
        <v>"2084035430" : "Nintama Rantaro",</v>
      </c>
    </row>
    <row r="686" spans="1:7" ht="14.25" customHeight="1">
      <c r="A686" s="2">
        <v>2084035426</v>
      </c>
      <c r="B686" s="2" t="s">
        <v>46</v>
      </c>
      <c r="C686" s="2" t="s">
        <v>4449</v>
      </c>
      <c r="D686" s="2" t="s">
        <v>4451</v>
      </c>
      <c r="E686" s="4" t="str">
        <f ca="1">IFERROR(__xludf.DUMMYFUNCTION("GOOGLETRANSLATE(B686,""ja"",""vi"")"),"nếu không thì")</f>
        <v>nếu không thì</v>
      </c>
      <c r="F686" s="4" t="str">
        <f ca="1">IFERROR(__xludf.DUMMYFUNCTION("GOOGLETRANSLATE(C686,""ja"",""vi"")"),"Đấu giá&gt; vé, chứng từ, đặt phòng khách sạn&gt; Thẻ trả trước&gt; Thẻ điện thoại&gt; truyện tranh, hoạt hình&gt; một dòng&gt; Khác")</f>
        <v>Đấu giá&gt; vé, chứng từ, đặt phòng khách sạn&gt; Thẻ trả trước&gt; Thẻ điện thoại&gt; truyện tranh, hoạt hình&gt; một dòng&gt; Khác</v>
      </c>
      <c r="G686" t="str">
        <f t="shared" ca="1" si="10"/>
        <v>"2084035426" : "nếu không thì",</v>
      </c>
    </row>
    <row r="687" spans="1:7" ht="14.25" customHeight="1">
      <c r="E687" s="4" t="str">
        <f ca="1">IFERROR(__xludf.DUMMYFUNCTION("GOOGLETRANSLATE(B687,""ja"",""vi"")"),"#VALUE!")</f>
        <v>#VALUE!</v>
      </c>
      <c r="F687" s="4" t="str">
        <f ca="1">IFERROR(__xludf.DUMMYFUNCTION("GOOGLETRANSLATE(C687,""ja"",""vi"")"),"#VALUE!")</f>
        <v>#VALUE!</v>
      </c>
      <c r="G687" t="str">
        <f t="shared" ca="1" si="10"/>
        <v>"" : "#VALUE!",</v>
      </c>
    </row>
    <row r="688" spans="1:7" ht="14.25" customHeight="1">
      <c r="A688" s="3">
        <v>2084037167</v>
      </c>
      <c r="B688" s="10"/>
      <c r="C688" s="10"/>
      <c r="D688" s="10"/>
      <c r="E688" s="4" t="str">
        <f ca="1">IFERROR(__xludf.DUMMYFUNCTION("GOOGLETRANSLATE(B688,""ja"",""vi"")"),"#VALUE!")</f>
        <v>#VALUE!</v>
      </c>
      <c r="F688" s="4" t="str">
        <f ca="1">IFERROR(__xludf.DUMMYFUNCTION("GOOGLETRANSLATE(C688,""ja"",""vi"")"),"#VALUE!")</f>
        <v>#VALUE!</v>
      </c>
      <c r="G688" t="str">
        <f t="shared" ca="1" si="10"/>
        <v>"2084037167" : "#VALUE!",</v>
      </c>
    </row>
    <row r="689" spans="1:7" ht="14.25" customHeight="1">
      <c r="A689" s="11">
        <v>2084035583</v>
      </c>
      <c r="B689" s="11" t="s">
        <v>1222</v>
      </c>
      <c r="C689" s="11" t="s">
        <v>4460</v>
      </c>
      <c r="D689" s="11" t="s">
        <v>4461</v>
      </c>
      <c r="E689" s="4" t="str">
        <f ca="1">IFERROR(__xludf.DUMMYFUNCTION("GOOGLETRANSLATE(B689,""ja"",""vi"")"),"HUNTER × HUNTER")</f>
        <v>HUNTER × HUNTER</v>
      </c>
      <c r="F689" s="4" t="str">
        <f ca="1">IFERROR(__xludf.DUMMYFUNCTION("GOOGLETRANSLATE(C689,""ja"",""vi"")"),"Đấu giá&gt; vé, chứng từ, đặt phòng khách sạn&gt; Thẻ trả trước&gt; Thẻ điện thoại&gt; truyện tranh, hoạt hình&gt; a row&gt; HUNTER × HUNTER")</f>
        <v>Đấu giá&gt; vé, chứng từ, đặt phòng khách sạn&gt; Thẻ trả trước&gt; Thẻ điện thoại&gt; truyện tranh, hoạt hình&gt; a row&gt; HUNTER × HUNTER</v>
      </c>
      <c r="G689" t="str">
        <f t="shared" ca="1" si="10"/>
        <v>"2084035583" : "HUNTER × HUNTER",</v>
      </c>
    </row>
    <row r="690" spans="1:7" ht="14.25" customHeight="1">
      <c r="A690" s="2">
        <v>2084035578</v>
      </c>
      <c r="B690" s="2" t="s">
        <v>1229</v>
      </c>
      <c r="C690" s="2" t="s">
        <v>4465</v>
      </c>
      <c r="D690" s="2" t="s">
        <v>4467</v>
      </c>
      <c r="E690" s="4" t="str">
        <f ca="1">IFERROR(__xludf.DUMMYFUNCTION("GOOGLETRANSLATE(B690,""ja"",""vi"")"),"Thần chiến đấu")</f>
        <v>Thần chiến đấu</v>
      </c>
      <c r="F690" s="4" t="str">
        <f ca="1">IFERROR(__xludf.DUMMYFUNCTION("GOOGLETRANSLATE(C690,""ja"",""vi"")"),"Đấu giá&gt; vé, chứng từ, đặt phòng khách sạn&gt; Thẻ trả trước&gt; Thẻ điện thoại&gt; truyện tranh, hoạt hình&gt; a row&gt; Fighting Spirit")</f>
        <v>Đấu giá&gt; vé, chứng từ, đặt phòng khách sạn&gt; Thẻ trả trước&gt; Thẻ điện thoại&gt; truyện tranh, hoạt hình&gt; a row&gt; Fighting Spirit</v>
      </c>
      <c r="G690" t="str">
        <f t="shared" ca="1" si="10"/>
        <v>"2084035578" : "Thần chiến đấu",</v>
      </c>
    </row>
    <row r="691" spans="1:7" ht="14.25" customHeight="1">
      <c r="A691" s="2">
        <v>2084035589</v>
      </c>
      <c r="B691" s="2" t="s">
        <v>1243</v>
      </c>
      <c r="C691" s="2" t="s">
        <v>4473</v>
      </c>
      <c r="D691" s="2" t="s">
        <v>4474</v>
      </c>
      <c r="E691" s="4" t="str">
        <f ca="1">IFERROR(__xludf.DUMMYFUNCTION("GOOGLETRANSLATE(B691,""ja"",""vi"")"),"Nadia, The Secret of Blue Water")</f>
        <v>Nadia, The Secret of Blue Water</v>
      </c>
      <c r="F691" s="4" t="str">
        <f ca="1">IFERROR(__xludf.DUMMYFUNCTION("GOOGLETRANSLATE(C691,""ja"",""vi"")"),"Đấu giá&gt; vé, chứng từ, đặt phòng khách sạn&gt; Thẻ trả trước&gt; Thẻ điện thoại&gt; truyện tranh, hoạt hình&gt; a row&gt; Nadia, The Secret of Blue Water")</f>
        <v>Đấu giá&gt; vé, chứng từ, đặt phòng khách sạn&gt; Thẻ trả trước&gt; Thẻ điện thoại&gt; truyện tranh, hoạt hình&gt; a row&gt; Nadia, The Secret of Blue Water</v>
      </c>
      <c r="G691" t="str">
        <f t="shared" ca="1" si="10"/>
        <v>"2084035589" : "Nadia, The Secret of Blue Water",</v>
      </c>
    </row>
    <row r="692" spans="1:7" ht="14.25" customHeight="1">
      <c r="A692" s="2">
        <v>2084035590</v>
      </c>
      <c r="B692" s="2" t="s">
        <v>1251</v>
      </c>
      <c r="C692" s="2" t="s">
        <v>4478</v>
      </c>
      <c r="D692" s="2" t="s">
        <v>4480</v>
      </c>
      <c r="E692" s="4" t="str">
        <f ca="1">IFERROR(__xludf.DUMMYFUNCTION("GOOGLETRANSLATE(B692,""ja"",""vi"")"),"Fushigi Yugi")</f>
        <v>Fushigi Yugi</v>
      </c>
      <c r="F692" s="4" t="str">
        <f ca="1">IFERROR(__xludf.DUMMYFUNCTION("GOOGLETRANSLATE(C692,""ja"",""vi"")"),"Đấu giá&gt; vé, chứng từ, đặt phòng khách sạn&gt; Thẻ trả trước&gt; Thẻ điện thoại&gt; truyện tranh, hoạt hình&gt; a row&gt; Fushigi Yugi")</f>
        <v>Đấu giá&gt; vé, chứng từ, đặt phòng khách sạn&gt; Thẻ trả trước&gt; Thẻ điện thoại&gt; truyện tranh, hoạt hình&gt; a row&gt; Fushigi Yugi</v>
      </c>
      <c r="G692" t="str">
        <f t="shared" ca="1" si="10"/>
        <v>"2084035590" : "Fushigi Yugi",</v>
      </c>
    </row>
    <row r="693" spans="1:7" ht="14.25" customHeight="1">
      <c r="A693" s="2">
        <v>2084044161</v>
      </c>
      <c r="B693" s="2" t="s">
        <v>1285</v>
      </c>
      <c r="C693" s="2" t="s">
        <v>4485</v>
      </c>
      <c r="D693" s="2" t="s">
        <v>4487</v>
      </c>
      <c r="E693" s="4" t="str">
        <f ca="1">IFERROR(__xludf.DUMMYFUNCTION("GOOGLETRANSLATE(B693,""ja"",""vi"")"),"Baki")</f>
        <v>Baki</v>
      </c>
      <c r="F693" s="4" t="str">
        <f ca="1">IFERROR(__xludf.DUMMYFUNCTION("GOOGLETRANSLATE(C693,""ja"",""vi"")"),"Đấu giá&gt; vé, chứng từ, đặt phòng khách sạn&gt; Thẻ trả trước&gt; Thẻ điện thoại&gt; truyện tranh, hoạt hình&gt; a row&gt; Baki")</f>
        <v>Đấu giá&gt; vé, chứng từ, đặt phòng khách sạn&gt; Thẻ trả trước&gt; Thẻ điện thoại&gt; truyện tranh, hoạt hình&gt; a row&gt; Baki</v>
      </c>
      <c r="G693" t="str">
        <f t="shared" ca="1" si="10"/>
        <v>"2084044161" : "Baki",</v>
      </c>
    </row>
    <row r="694" spans="1:7" ht="14.25" customHeight="1">
      <c r="A694" s="2">
        <v>2084035580</v>
      </c>
      <c r="B694" s="2" t="s">
        <v>1296</v>
      </c>
      <c r="C694" s="2" t="s">
        <v>4491</v>
      </c>
      <c r="D694" s="2" t="s">
        <v>4492</v>
      </c>
      <c r="E694" s="4" t="str">
        <f ca="1">IFERROR(__xludf.DUMMYFUNCTION("GOOGLETRANSLATE(B694,""ja"",""vi"")"),"Các vận động viên chiến")</f>
        <v>Các vận động viên chiến</v>
      </c>
      <c r="F694" s="4" t="str">
        <f ca="1">IFERROR(__xludf.DUMMYFUNCTION("GOOGLETRANSLATE(C694,""ja"",""vi"")"),"Đấu giá&gt; vé, chứng từ, đặt phòng khách sạn&gt; Thẻ trả trước&gt; Thẻ điện thoại&gt; truyện tranh, hoạt hình&gt; a row&gt; Các vận động viên Trận")</f>
        <v>Đấu giá&gt; vé, chứng từ, đặt phòng khách sạn&gt; Thẻ trả trước&gt; Thẻ điện thoại&gt; truyện tranh, hoạt hình&gt; a row&gt; Các vận động viên Trận</v>
      </c>
      <c r="G694" t="str">
        <f t="shared" ca="1" si="10"/>
        <v>"2084035580" : "Các vận động viên chiến",</v>
      </c>
    </row>
    <row r="695" spans="1:7" ht="14.25" customHeight="1">
      <c r="A695" s="2">
        <v>2084035587</v>
      </c>
      <c r="B695" s="2" t="s">
        <v>1310</v>
      </c>
      <c r="C695" s="2" t="s">
        <v>4498</v>
      </c>
      <c r="D695" s="2" t="s">
        <v>4500</v>
      </c>
      <c r="E695" s="4" t="str">
        <f ca="1">IFERROR(__xludf.DUMMYFUNCTION("GOOGLETRANSLATE(B695,""ja"",""vi"")"),"Stories Five Star")</f>
        <v>Stories Five Star</v>
      </c>
      <c r="F695" s="4" t="str">
        <f ca="1">IFERROR(__xludf.DUMMYFUNCTION("GOOGLETRANSLATE(C695,""ja"",""vi"")"),"Đấu giá&gt; vé, chứng từ, đặt phòng khách sạn&gt; Thẻ trả trước&gt; Thẻ điện thoại&gt; truyện tranh, hoạt hình&gt; a row&gt; Các Câu chuyện Five Star")</f>
        <v>Đấu giá&gt; vé, chứng từ, đặt phòng khách sạn&gt; Thẻ trả trước&gt; Thẻ điện thoại&gt; truyện tranh, hoạt hình&gt; a row&gt; Các Câu chuyện Five Star</v>
      </c>
      <c r="G695" t="str">
        <f t="shared" ca="1" si="10"/>
        <v>"2084035587" : "Stories Five Star",</v>
      </c>
    </row>
    <row r="696" spans="1:7" ht="14.25" customHeight="1">
      <c r="A696" s="2">
        <v>2084048375</v>
      </c>
      <c r="B696" s="2" t="s">
        <v>4504</v>
      </c>
      <c r="C696" s="2" t="s">
        <v>4505</v>
      </c>
      <c r="D696" s="2" t="s">
        <v>4506</v>
      </c>
      <c r="E696" s="4" t="str">
        <f ca="1">IFERROR(__xludf.DUMMYFUNCTION("GOOGLETRANSLATE(B696,""ja"",""vi"")"),"giỏ trái cây")</f>
        <v>giỏ trái cây</v>
      </c>
      <c r="F696" s="4" t="str">
        <f ca="1">IFERROR(__xludf.DUMMYFUNCTION("GOOGLETRANSLATE(C696,""ja"",""vi"")"),"Đấu giá&gt; vé, chứng từ, đặt phòng khách sạn&gt; Thẻ trả trước&gt; Thẻ điện thoại&gt; truyện tranh, hoạt hình&gt; a row&gt; giỏ trái cây")</f>
        <v>Đấu giá&gt; vé, chứng từ, đặt phòng khách sạn&gt; Thẻ trả trước&gt; Thẻ điện thoại&gt; truyện tranh, hoạt hình&gt; a row&gt; giỏ trái cây</v>
      </c>
      <c r="G696" t="str">
        <f t="shared" ca="1" si="10"/>
        <v>"2084048375" : "giỏ trái cây",</v>
      </c>
    </row>
    <row r="697" spans="1:7" ht="14.25" customHeight="1">
      <c r="A697" s="2">
        <v>2084035591</v>
      </c>
      <c r="B697" s="2" t="s">
        <v>1325</v>
      </c>
      <c r="C697" s="2" t="s">
        <v>4509</v>
      </c>
      <c r="D697" s="2" t="s">
        <v>4510</v>
      </c>
      <c r="E697" s="4" t="str">
        <f ca="1">IFERROR(__xludf.DUMMYFUNCTION("GOOGLETRANSLATE(B697,""ja"",""vi"")"),"Blackjack")</f>
        <v>Blackjack</v>
      </c>
      <c r="F697" s="4" t="str">
        <f ca="1">IFERROR(__xludf.DUMMYFUNCTION("GOOGLETRANSLATE(C697,""ja"",""vi"")"),"Đấu giá&gt; vé, chứng từ, đặt phòng khách sạn&gt; Thẻ trả trước&gt; Thẻ điện thoại&gt; truyện tranh, hoạt hình&gt; a row&gt; Blackjack")</f>
        <v>Đấu giá&gt; vé, chứng từ, đặt phòng khách sạn&gt; Thẻ trả trước&gt; Thẻ điện thoại&gt; truyện tranh, hoạt hình&gt; a row&gt; Blackjack</v>
      </c>
      <c r="G697" t="str">
        <f t="shared" ca="1" si="10"/>
        <v>"2084035591" : "Blackjack",</v>
      </c>
    </row>
    <row r="698" spans="1:7" ht="14.25" customHeight="1">
      <c r="A698" s="2">
        <v>2084035571</v>
      </c>
      <c r="B698" s="2" t="s">
        <v>1347</v>
      </c>
      <c r="C698" s="2" t="s">
        <v>4514</v>
      </c>
      <c r="D698" s="2" t="s">
        <v>4515</v>
      </c>
      <c r="E698" s="4" t="str">
        <f ca="1">IFERROR(__xludf.DUMMYFUNCTION("GOOGLETRANSLATE(B698,""ja"",""vi"")"),"The Rose of Versailles")</f>
        <v>The Rose of Versailles</v>
      </c>
      <c r="F698" s="4" t="str">
        <f ca="1">IFERROR(__xludf.DUMMYFUNCTION("GOOGLETRANSLATE(C698,""ja"",""vi"")"),"Đấu giá&gt; vé, chứng từ, đặt phòng khách sạn&gt; Thẻ trả trước&gt; Thẻ điện thoại&gt; truyện tranh, hoạt hình&gt; a row&gt; The Rose of Versailles")</f>
        <v>Đấu giá&gt; vé, chứng từ, đặt phòng khách sạn&gt; Thẻ trả trước&gt; Thẻ điện thoại&gt; truyện tranh, hoạt hình&gt; a row&gt; The Rose of Versailles</v>
      </c>
      <c r="G698" t="str">
        <f t="shared" ca="1" si="10"/>
        <v>"2084035571" : "The Rose of Versailles",</v>
      </c>
    </row>
    <row r="699" spans="1:7" ht="14.25" customHeight="1">
      <c r="A699" s="2">
        <v>2084035572</v>
      </c>
      <c r="B699" s="2" t="s">
        <v>1356</v>
      </c>
      <c r="C699" s="2" t="s">
        <v>4519</v>
      </c>
      <c r="D699" s="2" t="s">
        <v>4521</v>
      </c>
      <c r="E699" s="4" t="str">
        <f ca="1">IFERROR(__xludf.DUMMYFUNCTION("GOOGLETRANSLATE(B699,""ja"",""vi"")"),"điên khùng")</f>
        <v>điên khùng</v>
      </c>
      <c r="F699" s="4" t="str">
        <f ca="1">IFERROR(__xludf.DUMMYFUNCTION("GOOGLETRANSLATE(C699,""ja"",""vi"")"),"Đấu giá&gt; vé, chứng từ, đặt phòng khách sạn&gt; Thẻ trả trước&gt; Thẻ điện thoại&gt; truyện tranh, hoạt hình&gt; a row&gt; Berserk")</f>
        <v>Đấu giá&gt; vé, chứng từ, đặt phòng khách sạn&gt; Thẻ trả trước&gt; Thẻ điện thoại&gt; truyện tranh, hoạt hình&gt; a row&gt; Berserk</v>
      </c>
      <c r="G699" t="str">
        <f t="shared" ca="1" si="10"/>
        <v>"2084035572" : "điên khùng",</v>
      </c>
    </row>
    <row r="700" spans="1:7" ht="14.25" customHeight="1">
      <c r="A700" s="2">
        <v>2084044312</v>
      </c>
      <c r="B700" s="2" t="s">
        <v>259</v>
      </c>
      <c r="C700" s="2" t="s">
        <v>4524</v>
      </c>
      <c r="D700" s="2" t="s">
        <v>4526</v>
      </c>
      <c r="E700" s="4" t="str">
        <f ca="1">IFERROR(__xludf.DUMMYFUNCTION("GOOGLETRANSLATE(B700,""ja"",""vi"")"),"Weiss Kreuz")</f>
        <v>Weiss Kreuz</v>
      </c>
      <c r="F700" s="4" t="str">
        <f ca="1">IFERROR(__xludf.DUMMYFUNCTION("GOOGLETRANSLATE(C700,""ja"",""vi"")"),"Đấu giá&gt; vé, chứng từ, đặt phòng khách sạn&gt; Thẻ trả trước&gt; Thẻ điện thoại&gt; truyện tranh, hoạt hình&gt; a row&gt; Weiss Kreuz")</f>
        <v>Đấu giá&gt; vé, chứng từ, đặt phòng khách sạn&gt; Thẻ trả trước&gt; Thẻ điện thoại&gt; truyện tranh, hoạt hình&gt; a row&gt; Weiss Kreuz</v>
      </c>
      <c r="G700" t="str">
        <f t="shared" ca="1" si="10"/>
        <v>"2084044312" : "Weiss Kreuz",</v>
      </c>
    </row>
    <row r="701" spans="1:7" ht="14.25" customHeight="1">
      <c r="A701" s="2">
        <v>2084035574</v>
      </c>
      <c r="B701" s="2" t="s">
        <v>1402</v>
      </c>
      <c r="C701" s="2" t="s">
        <v>4528</v>
      </c>
      <c r="D701" s="2" t="s">
        <v>4529</v>
      </c>
      <c r="E701" s="4" t="str">
        <f ca="1">IFERROR(__xludf.DUMMYFUNCTION("GOOGLETRANSLATE(B701,""ja"",""vi"")"),"Hảo Taikei Ryu Hiệp sĩ")</f>
        <v>Hảo Taikei Ryu Hiệp sĩ</v>
      </c>
      <c r="F701" s="4" t="str">
        <f ca="1">IFERROR(__xludf.DUMMYFUNCTION("GOOGLETRANSLATE(C701,""ja"",""vi"")"),"Đấu giá&gt; vé, chứng từ, đặt phòng khách sạn&gt; Thẻ trả trước&gt; Thẻ điện thoại&gt; truyện tranh, hoạt hình&gt; a row&gt; Hảo Taikei Ryu Hiệp sĩ")</f>
        <v>Đấu giá&gt; vé, chứng từ, đặt phòng khách sạn&gt; Thẻ trả trước&gt; Thẻ điện thoại&gt; truyện tranh, hoạt hình&gt; a row&gt; Hảo Taikei Ryu Hiệp sĩ</v>
      </c>
      <c r="G701" t="str">
        <f t="shared" ca="1" si="10"/>
        <v>"2084035574" : "Hảo Taikei Ryu Hiệp sĩ",</v>
      </c>
    </row>
    <row r="702" spans="1:7" ht="14.25" customHeight="1">
      <c r="A702" s="2">
        <v>2084035576</v>
      </c>
      <c r="B702" s="2" t="s">
        <v>1424</v>
      </c>
      <c r="C702" s="2" t="s">
        <v>4531</v>
      </c>
      <c r="D702" s="2" t="s">
        <v>4532</v>
      </c>
      <c r="E702" s="4" t="str">
        <f ca="1">IFERROR(__xludf.DUMMYFUNCTION("GOOGLETRANSLATE(B702,""ja"",""vi"")"),"Roaring Brothers Hãy &amp; Go !!")</f>
        <v>Roaring Brothers Hãy &amp; Go !!</v>
      </c>
      <c r="F702" s="4" t="str">
        <f ca="1">IFERROR(__xludf.DUMMYFUNCTION("GOOGLETRANSLATE(C702,""ja"",""vi"")"),"Đấu giá&gt; vé, chứng từ, đặt phòng khách sạn&gt; Thẻ trả trước&gt; Thẻ điện thoại&gt; truyện tranh, hoạt hình&gt; a row&gt; Bakusou Brothers Hãy &amp; Go !!")</f>
        <v>Đấu giá&gt; vé, chứng từ, đặt phòng khách sạn&gt; Thẻ trả trước&gt; Thẻ điện thoại&gt; truyện tranh, hoạt hình&gt; a row&gt; Bakusou Brothers Hãy &amp; Go !!</v>
      </c>
      <c r="G702" t="str">
        <f t="shared" ca="1" si="10"/>
        <v>"2084035576" : "Roaring Brothers Hãy &amp; Go !!",</v>
      </c>
    </row>
    <row r="703" spans="1:7" ht="14.25" customHeight="1">
      <c r="A703" s="2">
        <v>2084035592</v>
      </c>
      <c r="B703" s="2" t="s">
        <v>1432</v>
      </c>
      <c r="C703" s="2" t="s">
        <v>4534</v>
      </c>
      <c r="D703" s="2" t="s">
        <v>4536</v>
      </c>
      <c r="E703" s="4" t="str">
        <f ca="1">IFERROR(__xludf.DUMMYFUNCTION("GOOGLETRANSLATE(B703,""ja"",""vi"")"),"Hoshin Engi")</f>
        <v>Hoshin Engi</v>
      </c>
      <c r="F703" s="4" t="str">
        <f ca="1">IFERROR(__xludf.DUMMYFUNCTION("GOOGLETRANSLATE(C703,""ja"",""vi"")"),"Đấu giá&gt; vé, chứng từ, đặt phòng khách sạn&gt; Thẻ trả trước&gt; Thẻ điện thoại&gt; truyện tranh, hoạt hình&gt; a row&gt; Hoshin Engi")</f>
        <v>Đấu giá&gt; vé, chứng từ, đặt phòng khách sạn&gt; Thẻ trả trước&gt; Thẻ điện thoại&gt; truyện tranh, hoạt hình&gt; a row&gt; Hoshin Engi</v>
      </c>
      <c r="G703" t="str">
        <f t="shared" ca="1" si="10"/>
        <v>"2084035592" : "Hoshin Engi",</v>
      </c>
    </row>
    <row r="704" spans="1:7" ht="14.25" customHeight="1">
      <c r="A704" s="2">
        <v>2084035581</v>
      </c>
      <c r="B704" s="2" t="s">
        <v>1440</v>
      </c>
      <c r="C704" s="2" t="s">
        <v>4538</v>
      </c>
      <c r="D704" s="2" t="s">
        <v>4539</v>
      </c>
      <c r="E704" s="4" t="str">
        <f ca="1">IFERROR(__xludf.DUMMYFUNCTION("GOOGLETRANSLATE(B704,""ja"",""vi"")"),"3000 Giải đấu trong tìm kiếm của Mẹ")</f>
        <v>3000 Giải đấu trong tìm kiếm của Mẹ</v>
      </c>
      <c r="F704" s="4" t="str">
        <f ca="1">IFERROR(__xludf.DUMMYFUNCTION("GOOGLETRANSLATE(C704,""ja"",""vi"")"),"Đấu giá&gt; vé, chứng từ, đặt phòng khách sạn&gt; Thẻ trả trước&gt; Thẻ điện thoại&gt; truyện tranh, ba hỏi những hình ảnh động&gt; row&gt; mẹ Chisato")</f>
        <v>Đấu giá&gt; vé, chứng từ, đặt phòng khách sạn&gt; Thẻ trả trước&gt; Thẻ điện thoại&gt; truyện tranh, ba hỏi những hình ảnh động&gt; row&gt; mẹ Chisato</v>
      </c>
      <c r="G704" t="str">
        <f t="shared" ca="1" si="10"/>
        <v>"2084035581" : "3000 Giải đấu trong tìm kiếm của Mẹ",</v>
      </c>
    </row>
    <row r="705" spans="1:7" ht="14.25" customHeight="1">
      <c r="A705" s="2">
        <v>2084035593</v>
      </c>
      <c r="B705" s="2" t="s">
        <v>1447</v>
      </c>
      <c r="C705" s="2" t="s">
        <v>4541</v>
      </c>
      <c r="D705" s="2" t="s">
        <v>4542</v>
      </c>
      <c r="E705" s="4" t="str">
        <f ca="1">IFERROR(__xludf.DUMMYFUNCTION("GOOGLETRANSLATE(B705,""ja"",""vi"")"),"Fist of the North Star")</f>
        <v>Fist of the North Star</v>
      </c>
      <c r="F705" s="4" t="str">
        <f ca="1">IFERROR(__xludf.DUMMYFUNCTION("GOOGLETRANSLATE(C705,""ja"",""vi"")"),"Đấu giá&gt; vé, chứng từ, đặt phòng khách sạn&gt; Thẻ trả trước&gt; Thẻ điện thoại&gt; truyện tranh, nắm tay của hoạt hình&gt; row&gt; Hokuto")</f>
        <v>Đấu giá&gt; vé, chứng từ, đặt phòng khách sạn&gt; Thẻ trả trước&gt; Thẻ điện thoại&gt; truyện tranh, nắm tay của hoạt hình&gt; row&gt; Hokuto</v>
      </c>
      <c r="G705" t="str">
        <f t="shared" ca="1" si="10"/>
        <v>"2084035593" : "Fist of the North Star",</v>
      </c>
    </row>
    <row r="706" spans="1:7" ht="14.25" customHeight="1">
      <c r="A706" s="2">
        <v>2084035584</v>
      </c>
      <c r="B706" s="2" t="s">
        <v>1454</v>
      </c>
      <c r="C706" s="2" t="s">
        <v>4545</v>
      </c>
      <c r="D706" s="2" t="s">
        <v>4547</v>
      </c>
      <c r="E706" s="4" t="str">
        <f ca="1">IFERROR(__xludf.DUMMYFUNCTION("GOOGLETRANSLATE(B706,""ja"",""vi"")"),"Tất cả các mục đích văn hóa Cát Cô gái Nuku Nuku")</f>
        <v>Tất cả các mục đích văn hóa Cát Cô gái Nuku Nuku</v>
      </c>
      <c r="F706" s="4" t="str">
        <f ca="1">IFERROR(__xludf.DUMMYFUNCTION("GOOGLETRANSLATE(C706,""ja"",""vi"")"),"Đấu giá&gt; vé, chứng từ, đặt phòng khách sạn&gt; Thẻ trả trước&gt; Thẻ điện thoại&gt; truyện tranh, hoạt hình&gt; a row&gt; All Purpose văn hóa Cát Cô gái Nuku Nuku")</f>
        <v>Đấu giá&gt; vé, chứng từ, đặt phòng khách sạn&gt; Thẻ trả trước&gt; Thẻ điện thoại&gt; truyện tranh, hoạt hình&gt; a row&gt; All Purpose văn hóa Cát Cô gái Nuku Nuku</v>
      </c>
      <c r="G706" t="str">
        <f t="shared" ca="1" si="10"/>
        <v>"2084035584" : "Tất cả các mục đích văn hóa Cát Cô gái Nuku Nuku",</v>
      </c>
    </row>
    <row r="707" spans="1:7" ht="14.25" customHeight="1">
      <c r="A707" s="2">
        <v>2084035575</v>
      </c>
      <c r="B707" s="2" t="s">
        <v>46</v>
      </c>
      <c r="C707" s="2" t="s">
        <v>4551</v>
      </c>
      <c r="D707" s="2" t="s">
        <v>4552</v>
      </c>
      <c r="E707" s="4" t="str">
        <f ca="1">IFERROR(__xludf.DUMMYFUNCTION("GOOGLETRANSLATE(B707,""ja"",""vi"")"),"nếu không thì")</f>
        <v>nếu không thì</v>
      </c>
      <c r="F707" s="4" t="str">
        <f ca="1">IFERROR(__xludf.DUMMYFUNCTION("GOOGLETRANSLATE(C707,""ja"",""vi"")"),"Đấu giá&gt; vé, chứng từ, đặt phòng khách sạn&gt; Thẻ trả trước&gt; Thẻ điện thoại&gt; truyện tranh, hoạt hình&gt; a row&gt; Khác")</f>
        <v>Đấu giá&gt; vé, chứng từ, đặt phòng khách sạn&gt; Thẻ trả trước&gt; Thẻ điện thoại&gt; truyện tranh, hoạt hình&gt; a row&gt; Khác</v>
      </c>
      <c r="G707" t="str">
        <f t="shared" ref="G707:G755" ca="1" si="11">CONCATENATE(CHAR(34)&amp;"",A707,""&amp;CHAR(34)," : ", CHAR(34)&amp;"",E707,""&amp;CHAR(34),",")</f>
        <v>"2084035575" : "nếu không thì",</v>
      </c>
    </row>
    <row r="708" spans="1:7" ht="14.25" customHeight="1">
      <c r="E708" s="4" t="str">
        <f ca="1">IFERROR(__xludf.DUMMYFUNCTION("GOOGLETRANSLATE(B708,""ja"",""vi"")"),"#VALUE!")</f>
        <v>#VALUE!</v>
      </c>
      <c r="F708" s="4" t="str">
        <f ca="1">IFERROR(__xludf.DUMMYFUNCTION("GOOGLETRANSLATE(C708,""ja"",""vi"")"),"#VALUE!")</f>
        <v>#VALUE!</v>
      </c>
      <c r="G708" t="str">
        <f t="shared" ca="1" si="11"/>
        <v>"" : "#VALUE!",</v>
      </c>
    </row>
    <row r="709" spans="1:7" ht="14.25" customHeight="1">
      <c r="A709" s="3">
        <v>2084034248</v>
      </c>
      <c r="B709" s="10"/>
      <c r="C709" s="10"/>
      <c r="D709" s="10"/>
      <c r="E709" s="4" t="str">
        <f ca="1">IFERROR(__xludf.DUMMYFUNCTION("GOOGLETRANSLATE(B709,""ja"",""vi"")"),"#VALUE!")</f>
        <v>#VALUE!</v>
      </c>
      <c r="F709" s="4" t="str">
        <f ca="1">IFERROR(__xludf.DUMMYFUNCTION("GOOGLETRANSLATE(C709,""ja"",""vi"")"),"#VALUE!")</f>
        <v>#VALUE!</v>
      </c>
      <c r="G709" t="str">
        <f t="shared" ca="1" si="11"/>
        <v>"2084034248" : "#VALUE!",</v>
      </c>
    </row>
    <row r="710" spans="1:7" ht="14.25" customHeight="1">
      <c r="A710" s="11">
        <v>2084035824</v>
      </c>
      <c r="B710" s="11" t="s">
        <v>1461</v>
      </c>
      <c r="C710" s="11" t="s">
        <v>4558</v>
      </c>
      <c r="D710" s="11" t="s">
        <v>4559</v>
      </c>
      <c r="E710" s="4" t="str">
        <f ca="1">IFERROR(__xludf.DUMMYFUNCTION("GOOGLETRANSLATE(B710,""ja"",""vi"")"),"Mamotte tháng trời bổn mạng")</f>
        <v>Mamotte tháng trời bổn mạng</v>
      </c>
      <c r="F710" s="4" t="str">
        <f ca="1">IFERROR(__xludf.DUMMYFUNCTION("GOOGLETRANSLATE(C710,""ja"",""vi"")"),"Đấu giá&gt; vé, chứng từ, đặt phòng khách sạn&gt; Thẻ trả trước&gt; Thẻ điện thoại&gt; truyện tranh, hoạt hình&gt; hoặc hàng&gt; tháng trời Mamotte bổn mạng")</f>
        <v>Đấu giá&gt; vé, chứng từ, đặt phòng khách sạn&gt; Thẻ trả trước&gt; Thẻ điện thoại&gt; truyện tranh, hoạt hình&gt; hoặc hàng&gt; tháng trời Mamotte bổn mạng</v>
      </c>
      <c r="G710" t="str">
        <f t="shared" ca="1" si="11"/>
        <v>"2084035824" : "Mamotte tháng trời bổn mạng",</v>
      </c>
    </row>
    <row r="711" spans="1:7" ht="14.25" customHeight="1">
      <c r="A711" s="2">
        <v>2084035832</v>
      </c>
      <c r="B711" s="2" t="s">
        <v>1468</v>
      </c>
      <c r="C711" s="2" t="s">
        <v>4563</v>
      </c>
      <c r="D711" s="2" t="s">
        <v>4564</v>
      </c>
      <c r="E711" s="4" t="str">
        <f ca="1">IFERROR(__xludf.DUMMYFUNCTION("GOOGLETRANSLATE(B711,""ja"",""vi"")"),"Maison Ikkoku")</f>
        <v>Maison Ikkoku</v>
      </c>
      <c r="F711" s="4" t="str">
        <f ca="1">IFERROR(__xludf.DUMMYFUNCTION("GOOGLETRANSLATE(C711,""ja"",""vi"")"),"Đấu giá&gt; vé, chứng từ, đặt phòng khách sạn&gt; Thẻ trả trước&gt; Thẻ điện thoại&gt; truyện tranh, hoạt hình&gt; hoặc hàng&gt; Maison Ikkoku")</f>
        <v>Đấu giá&gt; vé, chứng từ, đặt phòng khách sạn&gt; Thẻ trả trước&gt; Thẻ điện thoại&gt; truyện tranh, hoạt hình&gt; hoặc hàng&gt; Maison Ikkoku</v>
      </c>
      <c r="G711" t="str">
        <f t="shared" ca="1" si="11"/>
        <v>"2084035832" : "Maison Ikkoku",</v>
      </c>
    </row>
    <row r="712" spans="1:7" ht="14.25" customHeight="1">
      <c r="A712" s="2">
        <v>2084048884</v>
      </c>
      <c r="B712" s="2" t="s">
        <v>1479</v>
      </c>
      <c r="C712" s="2" t="s">
        <v>4568</v>
      </c>
      <c r="D712" s="2" t="s">
        <v>4570</v>
      </c>
      <c r="E712" s="4" t="str">
        <f ca="1">IFERROR(__xludf.DUMMYFUNCTION("GOOGLETRANSLATE(B712,""ja"",""vi"")"),"princess Mononoke")</f>
        <v>princess Mononoke</v>
      </c>
      <c r="F712" s="4" t="str">
        <f ca="1">IFERROR(__xludf.DUMMYFUNCTION("GOOGLETRANSLATE(C712,""ja"",""vi"")"),"Đấu giá&gt; vé, chứng từ, đặt phòng khách sạn&gt; Thẻ trả trước&gt; Thẻ điện thoại&gt; truyện tranh, hoạt hình&gt; hoặc hàng&gt; Princess Mononoke")</f>
        <v>Đấu giá&gt; vé, chứng từ, đặt phòng khách sạn&gt; Thẻ trả trước&gt; Thẻ điện thoại&gt; truyện tranh, hoạt hình&gt; hoặc hàng&gt; Princess Mononoke</v>
      </c>
      <c r="G712" t="str">
        <f t="shared" ca="1" si="11"/>
        <v>"2084048884" : "princess Mononoke",</v>
      </c>
    </row>
    <row r="713" spans="1:7" ht="14.25" customHeight="1">
      <c r="A713" s="2">
        <v>2084035808</v>
      </c>
      <c r="B713" s="2" t="s">
        <v>1494</v>
      </c>
      <c r="C713" s="2" t="s">
        <v>4574</v>
      </c>
      <c r="D713" s="2" t="s">
        <v>4576</v>
      </c>
      <c r="E713" s="4" t="str">
        <f ca="1">IFERROR(__xludf.DUMMYFUNCTION("GOOGLETRANSLATE(B713,""ja"",""vi"")"),"Macross")</f>
        <v>Macross</v>
      </c>
      <c r="F713" s="4" t="str">
        <f ca="1">IFERROR(__xludf.DUMMYFUNCTION("GOOGLETRANSLATE(C713,""ja"",""vi"")"),"Đấu giá&gt; vé, chứng từ, đặt phòng khách sạn&gt; Thẻ trả trước&gt; Thẻ điện thoại&gt; truyện tranh, hoạt hình&gt; hoặc hàng&gt; Macross")</f>
        <v>Đấu giá&gt; vé, chứng từ, đặt phòng khách sạn&gt; Thẻ trả trước&gt; Thẻ điện thoại&gt; truyện tranh, hoạt hình&gt; hoặc hàng&gt; Macross</v>
      </c>
      <c r="G713" t="str">
        <f t="shared" ca="1" si="11"/>
        <v>"2084035808" : "Macross",</v>
      </c>
    </row>
    <row r="714" spans="1:7" ht="14.25" customHeight="1">
      <c r="A714" s="2">
        <v>2084035814</v>
      </c>
      <c r="B714" s="2" t="s">
        <v>1501</v>
      </c>
      <c r="C714" s="2" t="s">
        <v>4578</v>
      </c>
      <c r="D714" s="2" t="s">
        <v>4581</v>
      </c>
      <c r="E714" s="4" t="str">
        <f ca="1">IFERROR(__xludf.DUMMYFUNCTION("GOOGLETRANSLATE(B714,""ja"",""vi"")"),"Mazinger Z")</f>
        <v>Mazinger Z</v>
      </c>
      <c r="F714" s="4" t="str">
        <f ca="1">IFERROR(__xludf.DUMMYFUNCTION("GOOGLETRANSLATE(C714,""ja"",""vi"")"),"Đấu giá&gt; vé, chứng từ, đặt phòng khách sạn&gt; Thẻ trả trước&gt; Thẻ điện thoại&gt; truyện tranh, hoạt hình&gt; hoặc hàng&gt; Mazinger Z")</f>
        <v>Đấu giá&gt; vé, chứng từ, đặt phòng khách sạn&gt; Thẻ trả trước&gt; Thẻ điện thoại&gt; truyện tranh, hoạt hình&gt; hoặc hàng&gt; Mazinger Z</v>
      </c>
      <c r="G714" t="str">
        <f t="shared" ca="1" si="11"/>
        <v>"2084035814" : "Mazinger Z",</v>
      </c>
    </row>
    <row r="715" spans="1:7" ht="14.25" customHeight="1">
      <c r="A715" s="2">
        <v>2084035823</v>
      </c>
      <c r="B715" s="2" t="s">
        <v>1507</v>
      </c>
      <c r="C715" s="2" t="s">
        <v>4586</v>
      </c>
      <c r="D715" s="2" t="s">
        <v>4587</v>
      </c>
      <c r="E715" s="4" t="str">
        <f ca="1">IFERROR(__xludf.DUMMYFUNCTION("GOOGLETRANSLATE(B715,""ja"",""vi"")"),"Marmalade Boy")</f>
        <v>Marmalade Boy</v>
      </c>
      <c r="F715" s="4" t="str">
        <f ca="1">IFERROR(__xludf.DUMMYFUNCTION("GOOGLETRANSLATE(C715,""ja"",""vi"")"),"Đấu giá&gt; vé, chứng từ, đặt phòng khách sạn&gt; Thẻ trả trước&gt; Thẻ điện thoại&gt; truyện tranh, hoạt hình&gt; hoặc hàng&gt; Marmalade Boy")</f>
        <v>Đấu giá&gt; vé, chứng từ, đặt phòng khách sạn&gt; Thẻ trả trước&gt; Thẻ điện thoại&gt; truyện tranh, hoạt hình&gt; hoặc hàng&gt; Marmalade Boy</v>
      </c>
      <c r="G715" t="str">
        <f t="shared" ca="1" si="11"/>
        <v>"2084035823" : "Marmalade Boy",</v>
      </c>
    </row>
    <row r="716" spans="1:7" ht="14.25" customHeight="1">
      <c r="A716" s="2">
        <v>2084035831</v>
      </c>
      <c r="B716" s="2" t="s">
        <v>1522</v>
      </c>
      <c r="C716" s="2" t="s">
        <v>4591</v>
      </c>
      <c r="D716" s="2" t="s">
        <v>4592</v>
      </c>
      <c r="E716" s="4" t="str">
        <f ca="1">IFERROR(__xludf.DUMMYFUNCTION("GOOGLETRANSLATE(B716,""ja"",""vi"")"),"Megazone 23")</f>
        <v>Megazone 23</v>
      </c>
      <c r="F716" s="4" t="str">
        <f ca="1">IFERROR(__xludf.DUMMYFUNCTION("GOOGLETRANSLATE(C716,""ja"",""vi"")"),"Đấu giá&gt; vé, chứng từ, đặt phòng khách sạn&gt; Thẻ trả trước&gt; Thẻ điện thoại&gt; truyện tranh, hoạt hình&gt; hoặc hàng&gt; Megazone 23")</f>
        <v>Đấu giá&gt; vé, chứng từ, đặt phòng khách sạn&gt; Thẻ trả trước&gt; Thẻ điện thoại&gt; truyện tranh, hoạt hình&gt; hoặc hàng&gt; Megazone 23</v>
      </c>
      <c r="G716" t="str">
        <f t="shared" ca="1" si="11"/>
        <v>"2084035831" : "Megazone 23",</v>
      </c>
    </row>
    <row r="717" spans="1:7" ht="14.25" customHeight="1">
      <c r="A717" s="2">
        <v>2084035810</v>
      </c>
      <c r="B717" s="2" t="s">
        <v>1527</v>
      </c>
      <c r="C717" s="2" t="s">
        <v>4598</v>
      </c>
      <c r="D717" s="2" t="s">
        <v>4599</v>
      </c>
      <c r="E717" s="4" t="str">
        <f ca="1">IFERROR(__xludf.DUMMYFUNCTION("GOOGLETRANSLATE(B717,""ja"",""vi"")"),"Sorcerous Orphen")</f>
        <v>Sorcerous Orphen</v>
      </c>
      <c r="F717" s="4" t="str">
        <f ca="1">IFERROR(__xludf.DUMMYFUNCTION("GOOGLETRANSLATE(C717,""ja"",""vi"")"),"Đấu giá&gt; vé, chứng từ, đặt phòng khách sạn&gt; Thẻ trả trước&gt; Thẻ điện thoại&gt; truyện tranh, hoạt hình&gt; hoặc hàng&gt; Sorcerous Orphen")</f>
        <v>Đấu giá&gt; vé, chứng từ, đặt phòng khách sạn&gt; Thẻ trả trước&gt; Thẻ điện thoại&gt; truyện tranh, hoạt hình&gt; hoặc hàng&gt; Sorcerous Orphen</v>
      </c>
      <c r="G717" t="str">
        <f t="shared" ca="1" si="11"/>
        <v>"2084035810" : "Sorcerous Orphen",</v>
      </c>
    </row>
    <row r="718" spans="1:7" ht="14.25" customHeight="1">
      <c r="A718" s="2">
        <v>2084035812</v>
      </c>
      <c r="B718" s="2" t="s">
        <v>1534</v>
      </c>
      <c r="C718" s="2" t="s">
        <v>4605</v>
      </c>
      <c r="D718" s="2" t="s">
        <v>4607</v>
      </c>
      <c r="E718" s="4" t="str">
        <f ca="1">IFERROR(__xludf.DUMMYFUNCTION("GOOGLETRANSLATE(B718,""ja"",""vi"")"),"Dịch vụ giao hàng Kiki")</f>
        <v>Dịch vụ giao hàng Kiki</v>
      </c>
      <c r="F718" s="4" t="str">
        <f ca="1">IFERROR(__xludf.DUMMYFUNCTION("GOOGLETRANSLATE(C718,""ja"",""vi"")"),"Đấu giá&gt; vé, chứng từ, đặt phòng khách sạn&gt; Thẻ trả trước&gt; Thẻ điện thoại&gt; truyện tranh, hoạt hình&gt; hoặc hàng&gt; Dịch vụ giao hàng Kiki")</f>
        <v>Đấu giá&gt; vé, chứng từ, đặt phòng khách sạn&gt; Thẻ trả trước&gt; Thẻ điện thoại&gt; truyện tranh, hoạt hình&gt; hoặc hàng&gt; Dịch vụ giao hàng Kiki</v>
      </c>
      <c r="G718" t="str">
        <f t="shared" ca="1" si="11"/>
        <v>"2084035812" : "Dịch vụ giao hàng Kiki",</v>
      </c>
    </row>
    <row r="719" spans="1:7" ht="14.25" customHeight="1">
      <c r="A719" s="2">
        <v>2084035813</v>
      </c>
      <c r="B719" s="2" t="s">
        <v>1539</v>
      </c>
      <c r="C719" s="2" t="s">
        <v>4610</v>
      </c>
      <c r="D719" s="2" t="s">
        <v>4613</v>
      </c>
      <c r="E719" s="4" t="str">
        <f ca="1">IFERROR(__xludf.DUMMYFUNCTION("GOOGLETRANSLATE(B719,""ja"",""vi"")"),"Majin Anh hùng Wataru")</f>
        <v>Majin Anh hùng Wataru</v>
      </c>
      <c r="F719" s="4" t="str">
        <f ca="1">IFERROR(__xludf.DUMMYFUNCTION("GOOGLETRANSLATE(C719,""ja"",""vi"")"),"Đấu giá&gt; vé, chứng từ, đặt phòng khách sạn&gt; Thẻ trả trước&gt; Thẻ điện thoại&gt; truyện tranh, hoạt hình&gt; hoặc hàng&gt; Majin Anh hùng Wataru")</f>
        <v>Đấu giá&gt; vé, chứng từ, đặt phòng khách sạn&gt; Thẻ trả trước&gt; Thẻ điện thoại&gt; truyện tranh, hoạt hình&gt; hoặc hàng&gt; Majin Anh hùng Wataru</v>
      </c>
      <c r="G719" t="str">
        <f t="shared" ca="1" si="11"/>
        <v>"2084035813" : "Majin Anh hùng Wataru",</v>
      </c>
    </row>
    <row r="720" spans="1:7" ht="14.25" customHeight="1">
      <c r="A720" s="2">
        <v>2084035816</v>
      </c>
      <c r="B720" s="2" t="s">
        <v>1544</v>
      </c>
      <c r="C720" s="2" t="s">
        <v>4617</v>
      </c>
      <c r="D720" s="2" t="s">
        <v>4618</v>
      </c>
      <c r="E720" s="4" t="str">
        <f ca="1">IFERROR(__xludf.DUMMYFUNCTION("GOOGLETRANSLATE(B720,""ja"",""vi"")"),"Mado Granzort")</f>
        <v>Mado Granzort</v>
      </c>
      <c r="F720" s="4" t="str">
        <f ca="1">IFERROR(__xludf.DUMMYFUNCTION("GOOGLETRANSLATE(C720,""ja"",""vi"")"),"Đấu giá&gt; vé, chứng từ, đặt phòng khách sạn&gt; Thẻ trả trước&gt; Thẻ điện thoại&gt; truyện tranh, hoạt hình&gt; hoặc hàng&gt; Mado Granzort")</f>
        <v>Đấu giá&gt; vé, chứng từ, đặt phòng khách sạn&gt; Thẻ trả trước&gt; Thẻ điện thoại&gt; truyện tranh, hoạt hình&gt; hoặc hàng&gt; Mado Granzort</v>
      </c>
      <c r="G720" t="str">
        <f t="shared" ca="1" si="11"/>
        <v>"2084035816" : "Mado Granzort",</v>
      </c>
    </row>
    <row r="721" spans="1:7" ht="14.25" customHeight="1">
      <c r="A721" s="2">
        <v>2084035821</v>
      </c>
      <c r="B721" s="2" t="s">
        <v>1549</v>
      </c>
      <c r="C721" s="2" t="s">
        <v>4622</v>
      </c>
      <c r="D721" s="2" t="s">
        <v>4624</v>
      </c>
      <c r="E721" s="4" t="str">
        <f ca="1">IFERROR(__xludf.DUMMYFUNCTION("GOOGLETRANSLATE(B721,""ja"",""vi"")"),"Sự kỳ diệu của giai đoạn Fancy Lala")</f>
        <v>Sự kỳ diệu của giai đoạn Fancy Lala</v>
      </c>
      <c r="F721" s="4" t="str">
        <f ca="1">IFERROR(__xludf.DUMMYFUNCTION("GOOGLETRANSLATE(C721,""ja"",""vi"")"),"Đấu giá&gt; vé, chứng từ, đặt phòng khách sạn&gt; Thẻ trả trước&gt; Thẻ điện thoại&gt; truyện tranh, hoạt hình&gt; hoặc hàng&gt; kỳ diệu của giai đoạn Fancy Lala")</f>
        <v>Đấu giá&gt; vé, chứng từ, đặt phòng khách sạn&gt; Thẻ trả trước&gt; Thẻ điện thoại&gt; truyện tranh, hoạt hình&gt; hoặc hàng&gt; kỳ diệu của giai đoạn Fancy Lala</v>
      </c>
      <c r="G721" t="str">
        <f t="shared" ca="1" si="11"/>
        <v>"2084035821" : "Sự kỳ diệu của giai đoạn Fancy Lala",</v>
      </c>
    </row>
    <row r="722" spans="1:7" ht="14.25" customHeight="1">
      <c r="A722" s="2">
        <v>2084035822</v>
      </c>
      <c r="B722" s="2" t="s">
        <v>1561</v>
      </c>
      <c r="C722" s="2" t="s">
        <v>4628</v>
      </c>
      <c r="D722" s="2" t="s">
        <v>4629</v>
      </c>
      <c r="E722" s="4" t="str">
        <f ca="1">IFERROR(__xludf.DUMMYFUNCTION("GOOGLETRANSLATE(B722,""ja"",""vi"")"),"Magical Thiên thần Kem Mami")</f>
        <v>Magical Thiên thần Kem Mami</v>
      </c>
      <c r="F722" s="4" t="str">
        <f ca="1">IFERROR(__xludf.DUMMYFUNCTION("GOOGLETRANSLATE(C722,""ja"",""vi"")"),"Đấu giá&gt; vé, chứng từ, đặt phòng khách sạn&gt; Thẻ trả trước&gt; Thẻ điện thoại&gt; truyện tranh, hoạt hình&gt; hoặc hàng&gt; Magical Thiên thần Kem Mami")</f>
        <v>Đấu giá&gt; vé, chứng từ, đặt phòng khách sạn&gt; Thẻ trả trước&gt; Thẻ điện thoại&gt; truyện tranh, hoạt hình&gt; hoặc hàng&gt; Magical Thiên thần Kem Mami</v>
      </c>
      <c r="G722" t="str">
        <f t="shared" ca="1" si="11"/>
        <v>"2084035822" : "Magical Thiên thần Kem Mami",</v>
      </c>
    </row>
    <row r="723" spans="1:7" ht="14.25" customHeight="1">
      <c r="A723" s="2">
        <v>2084035809</v>
      </c>
      <c r="B723" s="2" t="s">
        <v>1565</v>
      </c>
      <c r="C723" s="2" t="s">
        <v>4634</v>
      </c>
      <c r="D723" s="2" t="s">
        <v>4636</v>
      </c>
      <c r="E723" s="4" t="str">
        <f ca="1">IFERROR(__xludf.DUMMYFUNCTION("GOOGLETRANSLATE(B723,""ja"",""vi"")"),"Magic Knight Rayearth")</f>
        <v>Magic Knight Rayearth</v>
      </c>
      <c r="F723" s="4" t="str">
        <f ca="1">IFERROR(__xludf.DUMMYFUNCTION("GOOGLETRANSLATE(C723,""ja"",""vi"")"),"Đấu giá&gt; vé, chứng từ, đặt phòng khách sạn&gt; Thẻ trả trước&gt; Thẻ điện thoại&gt; truyện tranh, hoạt hình&gt; hoặc hàng&gt; Magic Knight Rayearth")</f>
        <v>Đấu giá&gt; vé, chứng từ, đặt phòng khách sạn&gt; Thẻ trả trước&gt; Thẻ điện thoại&gt; truyện tranh, hoạt hình&gt; hoặc hàng&gt; Magic Knight Rayearth</v>
      </c>
      <c r="G723" t="str">
        <f t="shared" ca="1" si="11"/>
        <v>"2084035809" : "Magic Knight Rayearth",</v>
      </c>
    </row>
    <row r="724" spans="1:7" ht="14.25" customHeight="1">
      <c r="A724" s="2">
        <v>2084035817</v>
      </c>
      <c r="B724" s="2" t="s">
        <v>1581</v>
      </c>
      <c r="C724" s="2" t="s">
        <v>4641</v>
      </c>
      <c r="D724" s="2" t="s">
        <v>4642</v>
      </c>
      <c r="E724" s="4" t="str">
        <f ca="1">IFERROR(__xludf.DUMMYFUNCTION("GOOGLETRANSLATE(B724,""ja"",""vi"")"),"Magical Girl Khá Sammy")</f>
        <v>Magical Girl Khá Sammy</v>
      </c>
      <c r="F724" s="4" t="str">
        <f ca="1">IFERROR(__xludf.DUMMYFUNCTION("GOOGLETRANSLATE(C724,""ja"",""vi"")"),"Đấu giá&gt; vé, chứng từ, đặt phòng khách sạn&gt; Thẻ trả trước&gt; Thẻ điện thoại&gt; truyện tranh, hoạt hình&gt; hoặc hàng&gt; Magical Girl Khá Sammy")</f>
        <v>Đấu giá&gt; vé, chứng từ, đặt phòng khách sạn&gt; Thẻ trả trước&gt; Thẻ điện thoại&gt; truyện tranh, hoạt hình&gt; hoặc hàng&gt; Magical Girl Khá Sammy</v>
      </c>
      <c r="G724" t="str">
        <f t="shared" ca="1" si="11"/>
        <v>"2084035817" : "Magical Girl Khá Sammy",</v>
      </c>
    </row>
    <row r="725" spans="1:7" ht="14.25" customHeight="1">
      <c r="A725" s="2">
        <v>2084035818</v>
      </c>
      <c r="B725" s="2" t="s">
        <v>1593</v>
      </c>
      <c r="C725" s="2" t="s">
        <v>4645</v>
      </c>
      <c r="D725" s="2" t="s">
        <v>4646</v>
      </c>
      <c r="E725" s="4" t="str">
        <f ca="1">IFERROR(__xludf.DUMMYFUNCTION("GOOGLETRANSLATE(B725,""ja"",""vi"")"),"magic tròn")</f>
        <v>magic tròn</v>
      </c>
      <c r="F725" s="4" t="str">
        <f ca="1">IFERROR(__xludf.DUMMYFUNCTION("GOOGLETRANSLATE(C725,""ja"",""vi"")"),"Đấu giá&gt; vé, chứng từ, đặt phòng khách sạn&gt; Thẻ trả trước&gt; Thẻ điện thoại&gt; truyện tranh, hoạt hình&gt; hoặc hàng&gt; tròn ma thuật")</f>
        <v>Đấu giá&gt; vé, chứng từ, đặt phòng khách sạn&gt; Thẻ trả trước&gt; Thẻ điện thoại&gt; truyện tranh, hoạt hình&gt; hoặc hàng&gt; tròn ma thuật</v>
      </c>
      <c r="G725" t="str">
        <f t="shared" ca="1" si="11"/>
        <v>"2084035818" : "magic tròn",</v>
      </c>
    </row>
    <row r="726" spans="1:7" ht="14.25" customHeight="1">
      <c r="A726" s="2">
        <v>2084035829</v>
      </c>
      <c r="B726" s="2" t="s">
        <v>1606</v>
      </c>
      <c r="C726" s="2" t="s">
        <v>4649</v>
      </c>
      <c r="D726" s="2" t="s">
        <v>4650</v>
      </c>
      <c r="E726" s="4" t="str">
        <f ca="1">IFERROR(__xludf.DUMMYFUNCTION("GOOGLETRANSLATE(B726,""ja"",""vi"")"),"thám tử Conan")</f>
        <v>thám tử Conan</v>
      </c>
      <c r="F726" s="4" t="str">
        <f ca="1">IFERROR(__xludf.DUMMYFUNCTION("GOOGLETRANSLATE(C726,""ja"",""vi"")"),"Đấu giá&gt; vé, chứng từ, đặt phòng khách sạn&gt; Thẻ trả trước&gt; Thẻ điện thoại&gt; truyện tranh, hoạt hình&gt; hoặc hàng&gt; Detective Conan")</f>
        <v>Đấu giá&gt; vé, chứng từ, đặt phòng khách sạn&gt; Thẻ trả trước&gt; Thẻ điện thoại&gt; truyện tranh, hoạt hình&gt; hoặc hàng&gt; Detective Conan</v>
      </c>
      <c r="G726" t="str">
        <f t="shared" ca="1" si="11"/>
        <v>"2084035829" : "thám tử Conan",</v>
      </c>
    </row>
    <row r="727" spans="1:7" ht="14.25" customHeight="1">
      <c r="A727" s="2">
        <v>2084035807</v>
      </c>
      <c r="B727" s="2" t="s">
        <v>46</v>
      </c>
      <c r="C727" s="2" t="s">
        <v>4655</v>
      </c>
      <c r="D727" s="2" t="s">
        <v>4657</v>
      </c>
      <c r="E727" s="4" t="str">
        <f ca="1">IFERROR(__xludf.DUMMYFUNCTION("GOOGLETRANSLATE(B727,""ja"",""vi"")"),"nếu không thì")</f>
        <v>nếu không thì</v>
      </c>
      <c r="F727" s="4" t="str">
        <f ca="1">IFERROR(__xludf.DUMMYFUNCTION("GOOGLETRANSLATE(C727,""ja"",""vi"")"),"Đấu giá&gt; vé, chứng từ, đặt phòng khách sạn&gt; Thẻ trả trước&gt; Thẻ điện thoại&gt; truyện tranh, hoạt hình&gt; hoặc hàng&gt; Khác")</f>
        <v>Đấu giá&gt; vé, chứng từ, đặt phòng khách sạn&gt; Thẻ trả trước&gt; Thẻ điện thoại&gt; truyện tranh, hoạt hình&gt; hoặc hàng&gt; Khác</v>
      </c>
      <c r="G727" t="str">
        <f t="shared" ca="1" si="11"/>
        <v>"2084035807" : "nếu không thì",</v>
      </c>
    </row>
    <row r="728" spans="1:7" ht="14.25" customHeight="1">
      <c r="E728" s="4" t="str">
        <f ca="1">IFERROR(__xludf.DUMMYFUNCTION("GOOGLETRANSLATE(B728,""ja"",""vi"")"),"#VALUE!")</f>
        <v>#VALUE!</v>
      </c>
      <c r="F728" s="4" t="str">
        <f ca="1">IFERROR(__xludf.DUMMYFUNCTION("GOOGLETRANSLATE(C728,""ja"",""vi"")"),"#VALUE!")</f>
        <v>#VALUE!</v>
      </c>
      <c r="G728" t="str">
        <f t="shared" ca="1" si="11"/>
        <v>"" : "#VALUE!",</v>
      </c>
    </row>
    <row r="729" spans="1:7" ht="14.25" customHeight="1">
      <c r="A729" s="3">
        <v>2084034257</v>
      </c>
      <c r="B729" s="10"/>
      <c r="C729" s="10"/>
      <c r="D729" s="10"/>
      <c r="E729" s="4" t="str">
        <f ca="1">IFERROR(__xludf.DUMMYFUNCTION("GOOGLETRANSLATE(B729,""ja"",""vi"")"),"#VALUE!")</f>
        <v>#VALUE!</v>
      </c>
      <c r="F729" s="4" t="str">
        <f ca="1">IFERROR(__xludf.DUMMYFUNCTION("GOOGLETRANSLATE(C729,""ja"",""vi"")"),"#VALUE!")</f>
        <v>#VALUE!</v>
      </c>
      <c r="G729" t="str">
        <f t="shared" ca="1" si="11"/>
        <v>"2084034257" : "#VALUE!",</v>
      </c>
    </row>
    <row r="730" spans="1:7" ht="14.25" customHeight="1">
      <c r="A730" s="11">
        <v>2084035990</v>
      </c>
      <c r="B730" s="11" t="s">
        <v>1619</v>
      </c>
      <c r="C730" s="11" t="s">
        <v>4663</v>
      </c>
      <c r="D730" s="11" t="s">
        <v>4664</v>
      </c>
      <c r="E730" s="4" t="str">
        <f ca="1">IFERROR(__xludf.DUMMYFUNCTION("GOOGLETRANSLATE(B730,""ja"",""vi"")"),"YAWARA!")</f>
        <v>YAWARA!</v>
      </c>
      <c r="F730" s="4" t="str">
        <f ca="1">IFERROR(__xludf.DUMMYFUNCTION("GOOGLETRANSLATE(C730,""ja"",""vi"")"),"Đấu giá&gt; vé, chứng từ, đặt phòng khách sạn&gt; Thẻ trả trước&gt; Thẻ điện thoại&gt; truyện tranh, hoạt hình&gt; hoặc hàng&gt; YAWARA!")</f>
        <v>Đấu giá&gt; vé, chứng từ, đặt phòng khách sạn&gt; Thẻ trả trước&gt; Thẻ điện thoại&gt; truyện tranh, hoạt hình&gt; hoặc hàng&gt; YAWARA!</v>
      </c>
      <c r="G730" t="str">
        <f t="shared" ca="1" si="11"/>
        <v>"2084035990" : "YAWARA!",</v>
      </c>
    </row>
    <row r="731" spans="1:7" ht="14.25" customHeight="1">
      <c r="A731" s="2">
        <v>2084035989</v>
      </c>
      <c r="B731" s="2" t="s">
        <v>1633</v>
      </c>
      <c r="C731" s="2" t="s">
        <v>4666</v>
      </c>
      <c r="D731" s="2" t="s">
        <v>4668</v>
      </c>
      <c r="E731" s="4" t="str">
        <f ca="1">IFERROR(__xludf.DUMMYFUNCTION("GOOGLETRANSLATE(B731,""ja"",""vi"")"),"Descendants of Darkness")</f>
        <v>Descendants of Darkness</v>
      </c>
      <c r="F731" s="4" t="str">
        <f ca="1">IFERROR(__xludf.DUMMYFUNCTION("GOOGLETRANSLATE(C731,""ja"",""vi"")"),"Đấu giá&gt; vé, chứng từ, đặt phòng khách sạn&gt; Thẻ trả trước&gt; Thẻ điện thoại&gt; truyện tranh, hoạt hình&gt; hoặc hàng&gt; Descendants of Darkness")</f>
        <v>Đấu giá&gt; vé, chứng từ, đặt phòng khách sạn&gt; Thẻ trả trước&gt; Thẻ điện thoại&gt; truyện tranh, hoạt hình&gt; hoặc hàng&gt; Descendants of Darkness</v>
      </c>
      <c r="G731" t="str">
        <f t="shared" ca="1" si="11"/>
        <v>"2084035989" : "Descendants of Darkness",</v>
      </c>
    </row>
    <row r="732" spans="1:7" ht="14.25" customHeight="1">
      <c r="A732" s="2">
        <v>2084035995</v>
      </c>
      <c r="B732" s="2" t="s">
        <v>1638</v>
      </c>
      <c r="C732" s="2" t="s">
        <v>4670</v>
      </c>
      <c r="D732" s="2" t="s">
        <v>4672</v>
      </c>
      <c r="E732" s="4" t="str">
        <f ca="1">IFERROR(__xludf.DUMMYFUNCTION("GOOGLETRANSLATE(B732,""ja"",""vi"")"),"Ronin chiến binh")</f>
        <v>Ronin chiến binh</v>
      </c>
      <c r="F732" s="4" t="str">
        <f ca="1">IFERROR(__xludf.DUMMYFUNCTION("GOOGLETRANSLATE(C732,""ja"",""vi"")"),"Đấu giá&gt; vé, chứng từ, đặt phòng khách sạn&gt; Thẻ trả trước&gt; Thẻ điện thoại&gt; truyện tranh, hoạt hình&gt; hoặc hàng&gt; Ronin chiến binh")</f>
        <v>Đấu giá&gt; vé, chứng từ, đặt phòng khách sạn&gt; Thẻ trả trước&gt; Thẻ điện thoại&gt; truyện tranh, hoạt hình&gt; hoặc hàng&gt; Ronin chiến binh</v>
      </c>
      <c r="G732" t="str">
        <f t="shared" ca="1" si="11"/>
        <v>"2084035995" : "Ronin chiến binh",</v>
      </c>
    </row>
    <row r="733" spans="1:7" ht="14.25" customHeight="1">
      <c r="A733" s="2">
        <v>2084035988</v>
      </c>
      <c r="B733" s="2" t="s">
        <v>1643</v>
      </c>
      <c r="C733" s="2" t="s">
        <v>4675</v>
      </c>
      <c r="D733" s="2" t="s">
        <v>4676</v>
      </c>
      <c r="E733" s="4" t="str">
        <f ca="1">IFERROR(__xludf.DUMMYFUNCTION("GOOGLETRANSLATE(B733,""ja"",""vi"")"),"đứng Yakumo")</f>
        <v>đứng Yakumo</v>
      </c>
      <c r="F733" s="4" t="str">
        <f ca="1">IFERROR(__xludf.DUMMYFUNCTION("GOOGLETRANSLATE(C733,""ja"",""vi"")"),"Đấu giá&gt; vé, chứng từ, đặt phòng khách sạn&gt; Thẻ trả trước&gt; Thẻ điện thoại&gt; truyện tranh, hoạt hình đứng&gt; hoặc hàng&gt; Yakumo")</f>
        <v>Đấu giá&gt; vé, chứng từ, đặt phòng khách sạn&gt; Thẻ trả trước&gt; Thẻ điện thoại&gt; truyện tranh, hoạt hình đứng&gt; hoặc hàng&gt; Yakumo</v>
      </c>
      <c r="G733" t="str">
        <f t="shared" ca="1" si="11"/>
        <v>"2084035988" : "đứng Yakumo",</v>
      </c>
    </row>
    <row r="734" spans="1:7" ht="14.25" customHeight="1">
      <c r="A734" s="2">
        <v>2084035991</v>
      </c>
      <c r="B734" s="2" t="s">
        <v>1661</v>
      </c>
      <c r="C734" s="2" t="s">
        <v>4679</v>
      </c>
      <c r="D734" s="2" t="s">
        <v>4680</v>
      </c>
      <c r="E734" s="4" t="str">
        <f ca="1">IFERROR(__xludf.DUMMYFUNCTION("GOOGLETRANSLATE(B734,""ja"",""vi"")"),"Gaogaigar")</f>
        <v>Gaogaigar</v>
      </c>
      <c r="F734" s="4" t="str">
        <f ca="1">IFERROR(__xludf.DUMMYFUNCTION("GOOGLETRANSLATE(C734,""ja"",""vi"")"),"Đấu giá&gt; vé, chứng từ, đặt phòng khách sạn&gt; Thẻ trả trước&gt; Thẻ điện thoại&gt; truyện tranh, hoạt hình&gt; hoặc hàng&gt; Gaogaigar")</f>
        <v>Đấu giá&gt; vé, chứng từ, đặt phòng khách sạn&gt; Thẻ trả trước&gt; Thẻ điện thoại&gt; truyện tranh, hoạt hình&gt; hoặc hàng&gt; Gaogaigar</v>
      </c>
      <c r="G734" t="str">
        <f t="shared" ca="1" si="11"/>
        <v>"2084035991" : "Gaogaigar",</v>
      </c>
    </row>
    <row r="735" spans="1:7" ht="14.25" customHeight="1">
      <c r="A735" s="2">
        <v>2084035992</v>
      </c>
      <c r="B735" s="2" t="s">
        <v>1666</v>
      </c>
      <c r="C735" s="2" t="s">
        <v>4683</v>
      </c>
      <c r="D735" s="2" t="s">
        <v>4684</v>
      </c>
      <c r="E735" s="4" t="str">
        <f ca="1">IFERROR(__xludf.DUMMYFUNCTION("GOOGLETRANSLATE(B735,""ja"",""vi"")"),"Brave Police J-Decker")</f>
        <v>Brave Police J-Decker</v>
      </c>
      <c r="F735" s="4" t="str">
        <f ca="1">IFERROR(__xludf.DUMMYFUNCTION("GOOGLETRANSLATE(C735,""ja"",""vi"")"),"Đấu giá&gt; vé, chứng từ, đặt phòng khách sạn&gt; Thẻ trả trước&gt; Thẻ điện thoại&gt; truyện tranh, hoạt hình&gt; hoặc hàng&gt; Brave Police J-Decker")</f>
        <v>Đấu giá&gt; vé, chứng từ, đặt phòng khách sạn&gt; Thẻ trả trước&gt; Thẻ điện thoại&gt; truyện tranh, hoạt hình&gt; hoặc hàng&gt; Brave Police J-Decker</v>
      </c>
      <c r="G735" t="str">
        <f t="shared" ca="1" si="11"/>
        <v>"2084035992" : "Brave Police J-Decker",</v>
      </c>
    </row>
    <row r="736" spans="1:7" ht="14.25" customHeight="1">
      <c r="A736" s="2">
        <v>2084035993</v>
      </c>
      <c r="B736" s="2" t="s">
        <v>1673</v>
      </c>
      <c r="C736" s="2" t="s">
        <v>4690</v>
      </c>
      <c r="D736" s="2" t="s">
        <v>4692</v>
      </c>
      <c r="E736" s="4" t="str">
        <f ca="1">IFERROR(__xludf.DUMMYFUNCTION("GOOGLETRANSLATE(B736,""ja"",""vi"")"),"Brave huy Daguon")</f>
        <v>Brave huy Daguon</v>
      </c>
      <c r="F736" s="4" t="str">
        <f ca="1">IFERROR(__xludf.DUMMYFUNCTION("GOOGLETRANSLATE(C736,""ja"",""vi"")"),"Đấu giá&gt; vé, chứng từ, đặt phòng khách sạn&gt; Thẻ trả trước&gt; Thẻ điện thoại&gt; truyện tranh, hoạt hình&gt; hoặc hàng&gt; chỉ huy dũng cảm Daguon")</f>
        <v>Đấu giá&gt; vé, chứng từ, đặt phòng khách sạn&gt; Thẻ trả trước&gt; Thẻ điện thoại&gt; truyện tranh, hoạt hình&gt; hoặc hàng&gt; chỉ huy dũng cảm Daguon</v>
      </c>
      <c r="G736" t="str">
        <f t="shared" ca="1" si="11"/>
        <v>"2084035993" : "Brave huy Daguon",</v>
      </c>
    </row>
    <row r="737" spans="1:7" ht="14.25" customHeight="1">
      <c r="A737" s="2">
        <v>2084035994</v>
      </c>
      <c r="B737" s="2" t="s">
        <v>1684</v>
      </c>
      <c r="C737" s="2" t="s">
        <v>4697</v>
      </c>
      <c r="D737" s="2" t="s">
        <v>4698</v>
      </c>
      <c r="E737" s="4" t="str">
        <f ca="1">IFERROR(__xludf.DUMMYFUNCTION("GOOGLETRANSLATE(B737,""ja"",""vi"")"),"Yu Yu Hakusho")</f>
        <v>Yu Yu Hakusho</v>
      </c>
      <c r="F737" s="4" t="str">
        <f ca="1">IFERROR(__xludf.DUMMYFUNCTION("GOOGLETRANSLATE(C737,""ja"",""vi"")"),"Đấu giá&gt; vé, chứng từ, đặt phòng khách sạn&gt; Thẻ trả trước&gt; Thẻ điện thoại&gt; truyện tranh, hoạt hình&gt; hoặc hàng&gt; Yu Yu Hakusho")</f>
        <v>Đấu giá&gt; vé, chứng từ, đặt phòng khách sạn&gt; Thẻ trả trước&gt; Thẻ điện thoại&gt; truyện tranh, hoạt hình&gt; hoặc hàng&gt; Yu Yu Hakusho</v>
      </c>
      <c r="G737" t="str">
        <f t="shared" ca="1" si="11"/>
        <v>"2084035994" : "Yu Yu Hakusho",</v>
      </c>
    </row>
    <row r="738" spans="1:7" ht="14.25" customHeight="1">
      <c r="A738" s="2">
        <v>2084035987</v>
      </c>
      <c r="B738" s="2" t="s">
        <v>46</v>
      </c>
      <c r="C738" s="2" t="s">
        <v>4702</v>
      </c>
      <c r="D738" s="2" t="s">
        <v>4703</v>
      </c>
      <c r="E738" s="4" t="str">
        <f ca="1">IFERROR(__xludf.DUMMYFUNCTION("GOOGLETRANSLATE(B738,""ja"",""vi"")"),"nếu không thì")</f>
        <v>nếu không thì</v>
      </c>
      <c r="F738" s="4" t="str">
        <f ca="1">IFERROR(__xludf.DUMMYFUNCTION("GOOGLETRANSLATE(C738,""ja"",""vi"")"),"Đấu giá&gt; vé, chứng từ, đặt phòng khách sạn&gt; Thẻ trả trước&gt; Thẻ điện thoại&gt; truyện tranh, hoạt hình&gt; hoặc hàng&gt; Khác")</f>
        <v>Đấu giá&gt; vé, chứng từ, đặt phòng khách sạn&gt; Thẻ trả trước&gt; Thẻ điện thoại&gt; truyện tranh, hoạt hình&gt; hoặc hàng&gt; Khác</v>
      </c>
      <c r="G738" t="str">
        <f t="shared" ca="1" si="11"/>
        <v>"2084035987" : "nếu không thì",</v>
      </c>
    </row>
    <row r="739" spans="1:7" ht="14.25" customHeight="1">
      <c r="E739" s="4" t="str">
        <f ca="1">IFERROR(__xludf.DUMMYFUNCTION("GOOGLETRANSLATE(B739,""ja"",""vi"")"),"#VALUE!")</f>
        <v>#VALUE!</v>
      </c>
      <c r="F739" s="4" t="str">
        <f ca="1">IFERROR(__xludf.DUMMYFUNCTION("GOOGLETRANSLATE(C739,""ja"",""vi"")"),"#VALUE!")</f>
        <v>#VALUE!</v>
      </c>
      <c r="G739" t="str">
        <f t="shared" ca="1" si="11"/>
        <v>"" : "#VALUE!",</v>
      </c>
    </row>
    <row r="740" spans="1:7" ht="14.25" customHeight="1">
      <c r="A740" s="3">
        <v>2084034266</v>
      </c>
      <c r="B740" s="10"/>
      <c r="C740" s="10"/>
      <c r="D740" s="10"/>
      <c r="E740" s="4" t="str">
        <f ca="1">IFERROR(__xludf.DUMMYFUNCTION("GOOGLETRANSLATE(B740,""ja"",""vi"")"),"#VALUE!")</f>
        <v>#VALUE!</v>
      </c>
      <c r="F740" s="4" t="str">
        <f ca="1">IFERROR(__xludf.DUMMYFUNCTION("GOOGLETRANSLATE(C740,""ja"",""vi"")"),"#VALUE!")</f>
        <v>#VALUE!</v>
      </c>
      <c r="G740" t="str">
        <f t="shared" ca="1" si="11"/>
        <v>"2084034266" : "#VALUE!",</v>
      </c>
    </row>
    <row r="741" spans="1:7" ht="14.25" customHeight="1">
      <c r="A741" s="11">
        <v>2084044131</v>
      </c>
      <c r="B741" s="11" t="s">
        <v>1697</v>
      </c>
      <c r="C741" s="11" t="s">
        <v>4711</v>
      </c>
      <c r="D741" s="11" t="s">
        <v>4712</v>
      </c>
      <c r="E741" s="4" t="str">
        <f ca="1">IFERROR(__xludf.DUMMYFUNCTION("GOOGLETRANSLATE(B741,""ja"",""vi"")"),"ROOKIES")</f>
        <v>ROOKIES</v>
      </c>
      <c r="F741" s="4" t="str">
        <f ca="1">IFERROR(__xludf.DUMMYFUNCTION("GOOGLETRANSLATE(C741,""ja"",""vi"")"),"Đấu giá&gt; vé, chứng từ, đặt phòng khách sạn&gt; Thẻ trả trước&gt; Thẻ điện thoại&gt; truyện tranh, hoạt hình&gt; Racovian&gt; ROOKIES")</f>
        <v>Đấu giá&gt; vé, chứng từ, đặt phòng khách sạn&gt; Thẻ trả trước&gt; Thẻ điện thoại&gt; truyện tranh, hoạt hình&gt; Racovian&gt; ROOKIES</v>
      </c>
      <c r="G741" t="str">
        <f t="shared" ca="1" si="11"/>
        <v>"2084044131" : "ROOKIES",</v>
      </c>
    </row>
    <row r="742" spans="1:7" ht="14.25" customHeight="1">
      <c r="A742" s="2">
        <v>2084036067</v>
      </c>
      <c r="B742" s="2" t="s">
        <v>1702</v>
      </c>
      <c r="C742" s="2" t="s">
        <v>4718</v>
      </c>
      <c r="D742" s="2" t="s">
        <v>4720</v>
      </c>
      <c r="E742" s="4" t="str">
        <f ca="1">IFERROR(__xludf.DUMMYFUNCTION("GOOGLETRANSLATE(B742,""ja"",""vi"")"),"Ranma 1/2")</f>
        <v>Ranma 1/2</v>
      </c>
      <c r="F742" s="4" t="str">
        <f ca="1">IFERROR(__xludf.DUMMYFUNCTION("GOOGLETRANSLATE(C742,""ja"",""vi"")"),"Đấu giá&gt; vé, chứng từ, đặt phòng khách sạn&gt; Thẻ trả trước&gt; Thẻ điện thoại&gt; truyện tranh, hoạt hình&gt; Racovian&gt; Ranma 1/2")</f>
        <v>Đấu giá&gt; vé, chứng từ, đặt phòng khách sạn&gt; Thẻ trả trước&gt; Thẻ điện thoại&gt; truyện tranh, hoạt hình&gt; Racovian&gt; Ranma 1/2</v>
      </c>
      <c r="G742" t="str">
        <f t="shared" ca="1" si="11"/>
        <v>"2084036067" : "Ranma 1/2",</v>
      </c>
    </row>
    <row r="743" spans="1:7" ht="14.25" customHeight="1">
      <c r="A743" s="2">
        <v>2084036070</v>
      </c>
      <c r="B743" s="2" t="s">
        <v>1709</v>
      </c>
      <c r="C743" s="2" t="s">
        <v>4725</v>
      </c>
      <c r="D743" s="2" t="s">
        <v>4726</v>
      </c>
      <c r="E743" s="4" t="str">
        <f ca="1">IFERROR(__xludf.DUMMYFUNCTION("GOOGLETRANSLATE(B743,""ja"",""vi"")"),"Rurouni Kenshin")</f>
        <v>Rurouni Kenshin</v>
      </c>
      <c r="F743" s="4" t="str">
        <f ca="1">IFERROR(__xludf.DUMMYFUNCTION("GOOGLETRANSLATE(C743,""ja"",""vi"")"),"Đấu giá&gt; vé, chứng từ, đặt phòng khách sạn&gt; Thẻ trả trước&gt; Thẻ điện thoại&gt; truyện tranh, hoạt hình&gt; Racovian&gt; Rurouni Kenshin")</f>
        <v>Đấu giá&gt; vé, chứng từ, đặt phòng khách sạn&gt; Thẻ trả trước&gt; Thẻ điện thoại&gt; truyện tranh, hoạt hình&gt; Racovian&gt; Rurouni Kenshin</v>
      </c>
      <c r="G743" t="str">
        <f t="shared" ca="1" si="11"/>
        <v>"2084036070" : "Rurouni Kenshin",</v>
      </c>
    </row>
    <row r="744" spans="1:7" ht="14.25" customHeight="1">
      <c r="A744" s="2">
        <v>2084036063</v>
      </c>
      <c r="B744" s="2" t="s">
        <v>1714</v>
      </c>
      <c r="C744" s="2" t="s">
        <v>4731</v>
      </c>
      <c r="D744" s="2" t="s">
        <v>4732</v>
      </c>
      <c r="E744" s="4" t="str">
        <f ca="1">IFERROR(__xludf.DUMMYFUNCTION("GOOGLETRANSLATE(B744,""ja"",""vi"")"),"Reideen")</f>
        <v>Reideen</v>
      </c>
      <c r="F744" s="4" t="str">
        <f ca="1">IFERROR(__xludf.DUMMYFUNCTION("GOOGLETRANSLATE(C744,""ja"",""vi"")"),"Đấu giá&gt; vé, chứng từ, đặt phòng khách sạn&gt; Thẻ trả trước&gt; Thẻ điện thoại&gt; truyện tranh, hoạt hình&gt; Racovian&gt; Reideen")</f>
        <v>Đấu giá&gt; vé, chứng từ, đặt phòng khách sạn&gt; Thẻ trả trước&gt; Thẻ điện thoại&gt; truyện tranh, hoạt hình&gt; Racovian&gt; Reideen</v>
      </c>
      <c r="G744" t="str">
        <f t="shared" ca="1" si="11"/>
        <v>"2084036063" : "Reideen",</v>
      </c>
    </row>
    <row r="745" spans="1:7" ht="14.25" customHeight="1">
      <c r="A745" s="2">
        <v>2084036065</v>
      </c>
      <c r="B745" s="2" t="s">
        <v>1720</v>
      </c>
      <c r="C745" s="2" t="s">
        <v>4738</v>
      </c>
      <c r="D745" s="2" t="s">
        <v>4740</v>
      </c>
      <c r="E745" s="4" t="str">
        <f ca="1">IFERROR(__xludf.DUMMYFUNCTION("GOOGLETRANSLATE(B745,""ja"",""vi"")"),"love Hina")</f>
        <v>love Hina</v>
      </c>
      <c r="F745" s="4" t="str">
        <f ca="1">IFERROR(__xludf.DUMMYFUNCTION("GOOGLETRANSLATE(C745,""ja"",""vi"")"),"Đấu giá&gt; vé, chứng từ, đặt phòng khách sạn&gt; Thẻ trả trước&gt; Thẻ điện thoại&gt; truyện tranh, hoạt hình&gt; Racovian&gt; Love Hina")</f>
        <v>Đấu giá&gt; vé, chứng từ, đặt phòng khách sạn&gt; Thẻ trả trước&gt; Thẻ điện thoại&gt; truyện tranh, hoạt hình&gt; Racovian&gt; Love Hina</v>
      </c>
      <c r="G745" t="str">
        <f t="shared" ca="1" si="11"/>
        <v>"2084036065" : "love Hina",</v>
      </c>
    </row>
    <row r="746" spans="1:7" ht="14.25" customHeight="1">
      <c r="A746" s="2">
        <v>2084036066</v>
      </c>
      <c r="B746" s="2" t="s">
        <v>1726</v>
      </c>
      <c r="C746" s="2" t="s">
        <v>4747</v>
      </c>
      <c r="D746" s="2" t="s">
        <v>4748</v>
      </c>
      <c r="E746" s="4" t="str">
        <f ca="1">IFERROR(__xludf.DUMMYFUNCTION("GOOGLETRANSLATE(B746,""ja"",""vi"")"),"Ramune &amp; 40")</f>
        <v>Ramune &amp; 40</v>
      </c>
      <c r="F746" s="4" t="str">
        <f ca="1">IFERROR(__xludf.DUMMYFUNCTION("GOOGLETRANSLATE(C746,""ja"",""vi"")"),"Đấu giá&gt; vé, chứng từ, đặt phòng khách sạn&gt; Thẻ trả trước&gt; Thẻ điện thoại&gt; truyện tranh, hoạt hình&gt; Racovian&gt; Ramune &amp; 40")</f>
        <v>Đấu giá&gt; vé, chứng từ, đặt phòng khách sạn&gt; Thẻ trả trước&gt; Thẻ điện thoại&gt; truyện tranh, hoạt hình&gt; Racovian&gt; Ramune &amp; 40</v>
      </c>
      <c r="G746" t="str">
        <f t="shared" ca="1" si="11"/>
        <v>"2084036066" : "Ramune &amp; 40",</v>
      </c>
    </row>
    <row r="747" spans="1:7" ht="14.25" customHeight="1">
      <c r="A747" s="2">
        <v>2084036068</v>
      </c>
      <c r="B747" s="2" t="s">
        <v>1733</v>
      </c>
      <c r="C747" s="2" t="s">
        <v>4752</v>
      </c>
      <c r="D747" s="2" t="s">
        <v>4753</v>
      </c>
      <c r="E747" s="4" t="str">
        <f ca="1">IFERROR(__xludf.DUMMYFUNCTION("GOOGLETRANSLATE(B747,""ja"",""vi"")"),"princess knight")</f>
        <v>princess knight</v>
      </c>
      <c r="F747" s="4" t="str">
        <f ca="1">IFERROR(__xludf.DUMMYFUNCTION("GOOGLETRANSLATE(C747,""ja"",""vi"")"),"Đấu giá&gt; vé, chứng từ, đặt phòng khách sạn&gt; Thẻ trả trước&gt; Thẻ điện thoại&gt; truyện tranh, hoạt hình&gt; Racovian&gt; Princess Knight")</f>
        <v>Đấu giá&gt; vé, chứng từ, đặt phòng khách sạn&gt; Thẻ trả trước&gt; Thẻ điện thoại&gt; truyện tranh, hoạt hình&gt; Racovian&gt; Princess Knight</v>
      </c>
      <c r="G747" t="str">
        <f t="shared" ca="1" si="11"/>
        <v>"2084036068" : "princess knight",</v>
      </c>
    </row>
    <row r="748" spans="1:7" ht="14.25" customHeight="1">
      <c r="A748" s="2">
        <v>2084036069</v>
      </c>
      <c r="B748" s="2" t="s">
        <v>1740</v>
      </c>
      <c r="C748" s="2" t="s">
        <v>4758</v>
      </c>
      <c r="D748" s="2" t="s">
        <v>4759</v>
      </c>
      <c r="E748" s="4" t="str">
        <f ca="1">IFERROR(__xludf.DUMMYFUNCTION("GOOGLETRANSLATE(B748,""ja"",""vi"")"),"Lupin III")</f>
        <v>Lupin III</v>
      </c>
      <c r="F748" s="4" t="str">
        <f ca="1">IFERROR(__xludf.DUMMYFUNCTION("GOOGLETRANSLATE(C748,""ja"",""vi"")"),"Đấu giá&gt; vé, chứng từ, đặt phòng khách sạn&gt; Thẻ trả trước&gt; Thẻ điện thoại&gt; truyện tranh, hoạt hình&gt; Racovian&gt; Lupin the Third")</f>
        <v>Đấu giá&gt; vé, chứng từ, đặt phòng khách sạn&gt; Thẻ trả trước&gt; Thẻ điện thoại&gt; truyện tranh, hoạt hình&gt; Racovian&gt; Lupin the Third</v>
      </c>
      <c r="G748" t="str">
        <f t="shared" ca="1" si="11"/>
        <v>"2084036069" : "Lupin III",</v>
      </c>
    </row>
    <row r="749" spans="1:7" ht="14.25" customHeight="1">
      <c r="A749" s="2">
        <v>2084036072</v>
      </c>
      <c r="B749" s="2" t="s">
        <v>1762</v>
      </c>
      <c r="C749" s="2" t="s">
        <v>4764</v>
      </c>
      <c r="D749" s="2" t="s">
        <v>4767</v>
      </c>
      <c r="E749" s="4" t="str">
        <f ca="1">IFERROR(__xludf.DUMMYFUNCTION("GOOGLETRANSLATE(B749,""ja"",""vi"")"),"Record of Lodoss War")</f>
        <v>Record of Lodoss War</v>
      </c>
      <c r="F749" s="4" t="str">
        <f ca="1">IFERROR(__xludf.DUMMYFUNCTION("GOOGLETRANSLATE(C749,""ja"",""vi"")"),"Đấu giá&gt; vé, chứng từ, đặt phòng khách sạn&gt; Thẻ trả trước&gt; Thẻ điện thoại&gt; truyện tranh, hoạt hình&gt; Racovian&gt; Rhodes Senki")</f>
        <v>Đấu giá&gt; vé, chứng từ, đặt phòng khách sạn&gt; Thẻ trả trước&gt; Thẻ điện thoại&gt; truyện tranh, hoạt hình&gt; Racovian&gt; Rhodes Senki</v>
      </c>
      <c r="G749" t="str">
        <f t="shared" ca="1" si="11"/>
        <v>"2084036072" : "Record of Lodoss War",</v>
      </c>
    </row>
    <row r="750" spans="1:7" ht="14.25" customHeight="1">
      <c r="A750" s="2">
        <v>2084036071</v>
      </c>
      <c r="B750" s="2" t="s">
        <v>1767</v>
      </c>
      <c r="C750" s="2" t="s">
        <v>4772</v>
      </c>
      <c r="D750" s="2" t="s">
        <v>4774</v>
      </c>
      <c r="E750" s="4" t="str">
        <f ca="1">IFERROR(__xludf.DUMMYFUNCTION("GOOGLETRANSLATE(B750,""ja"",""vi"")"),"Flame of Recca")</f>
        <v>Flame of Recca</v>
      </c>
      <c r="F750" s="4" t="str">
        <f ca="1">IFERROR(__xludf.DUMMYFUNCTION("GOOGLETRANSLATE(C750,""ja"",""vi"")"),"Đấu giá&gt; vé, chứng từ, đặt phòng khách sạn&gt; Thẻ trả trước&gt; Thẻ điện thoại&gt; truyện tranh, hoạt hình&gt; Racovian&gt; Flame of Recca")</f>
        <v>Đấu giá&gt; vé, chứng từ, đặt phòng khách sạn&gt; Thẻ trả trước&gt; Thẻ điện thoại&gt; truyện tranh, hoạt hình&gt; Racovian&gt; Flame of Recca</v>
      </c>
      <c r="G750" t="str">
        <f t="shared" ca="1" si="11"/>
        <v>"2084036071" : "Flame of Recca",</v>
      </c>
    </row>
    <row r="751" spans="1:7" ht="14.25" customHeight="1">
      <c r="A751" s="2">
        <v>2084036064</v>
      </c>
      <c r="B751" s="2" t="s">
        <v>46</v>
      </c>
      <c r="C751" s="2" t="s">
        <v>4781</v>
      </c>
      <c r="D751" s="2" t="s">
        <v>4783</v>
      </c>
      <c r="E751" s="4" t="str">
        <f ca="1">IFERROR(__xludf.DUMMYFUNCTION("GOOGLETRANSLATE(B751,""ja"",""vi"")"),"nếu không thì")</f>
        <v>nếu không thì</v>
      </c>
      <c r="F751" s="4" t="str">
        <f ca="1">IFERROR(__xludf.DUMMYFUNCTION("GOOGLETRANSLATE(C751,""ja"",""vi"")"),"Đấu giá&gt; vé, chứng từ, đặt phòng khách sạn&gt; Thẻ trả trước&gt; Thẻ điện thoại&gt; truyện tranh, hoạt hình&gt; Racovian&gt; Khác")</f>
        <v>Đấu giá&gt; vé, chứng từ, đặt phòng khách sạn&gt; Thẻ trả trước&gt; Thẻ điện thoại&gt; truyện tranh, hoạt hình&gt; Racovian&gt; Khác</v>
      </c>
      <c r="G751" t="str">
        <f t="shared" ca="1" si="11"/>
        <v>"2084036064" : "nếu không thì",</v>
      </c>
    </row>
    <row r="752" spans="1:7" ht="14.25" customHeight="1">
      <c r="E752" s="4" t="str">
        <f ca="1">IFERROR(__xludf.DUMMYFUNCTION("GOOGLETRANSLATE(B752,""ja"",""vi"")"),"#VALUE!")</f>
        <v>#VALUE!</v>
      </c>
      <c r="F752" s="4" t="str">
        <f ca="1">IFERROR(__xludf.DUMMYFUNCTION("GOOGLETRANSLATE(C752,""ja"",""vi"")"),"#VALUE!")</f>
        <v>#VALUE!</v>
      </c>
      <c r="G752" t="str">
        <f t="shared" ca="1" si="11"/>
        <v>"" : "#VALUE!",</v>
      </c>
    </row>
    <row r="753" spans="1:7" ht="14.25" customHeight="1">
      <c r="A753" s="3">
        <v>2084034274</v>
      </c>
      <c r="B753" s="10"/>
      <c r="C753" s="10"/>
      <c r="D753" s="10"/>
      <c r="E753" s="4" t="str">
        <f ca="1">IFERROR(__xludf.DUMMYFUNCTION("GOOGLETRANSLATE(B753,""ja"",""vi"")"),"#VALUE!")</f>
        <v>#VALUE!</v>
      </c>
      <c r="F753" s="4" t="str">
        <f ca="1">IFERROR(__xludf.DUMMYFUNCTION("GOOGLETRANSLATE(C753,""ja"",""vi"")"),"#VALUE!")</f>
        <v>#VALUE!</v>
      </c>
      <c r="G753" t="str">
        <f t="shared" ca="1" si="11"/>
        <v>"2084034274" : "#VALUE!",</v>
      </c>
    </row>
    <row r="754" spans="1:7" ht="14.25" customHeight="1">
      <c r="A754" s="11">
        <v>2084036130</v>
      </c>
      <c r="B754" s="11" t="s">
        <v>1791</v>
      </c>
      <c r="C754" s="11" t="s">
        <v>4792</v>
      </c>
      <c r="D754" s="11" t="s">
        <v>4793</v>
      </c>
      <c r="E754" s="4" t="str">
        <f ca="1">IFERROR(__xludf.DUMMYFUNCTION("GOOGLETRANSLATE(B754,""ja"",""vi"")"),"ONE PIECE")</f>
        <v>ONE PIECE</v>
      </c>
      <c r="F754" s="4" t="str">
        <f ca="1">IFERROR(__xludf.DUMMYFUNCTION("GOOGLETRANSLATE(C754,""ja"",""vi"")"),"Đấu giá&gt; vé, chứng từ, đặt phòng khách sạn&gt; Thẻ trả trước&gt; Thẻ điện thoại&gt; truyện tranh, hoạt hình&gt; Tôi dòng&gt; ONE PIECE")</f>
        <v>Đấu giá&gt; vé, chứng từ, đặt phòng khách sạn&gt; Thẻ trả trước&gt; Thẻ điện thoại&gt; truyện tranh, hoạt hình&gt; Tôi dòng&gt; ONE PIECE</v>
      </c>
      <c r="G754" t="str">
        <f t="shared" ca="1" si="11"/>
        <v>"2084036130" : "ONE PIECE",</v>
      </c>
    </row>
    <row r="755" spans="1:7" ht="14.25" customHeight="1">
      <c r="A755" s="2">
        <v>2084036129</v>
      </c>
      <c r="B755" s="2" t="s">
        <v>46</v>
      </c>
      <c r="C755" s="2" t="s">
        <v>4800</v>
      </c>
      <c r="D755" s="2" t="s">
        <v>4803</v>
      </c>
      <c r="E755" s="4" t="str">
        <f ca="1">IFERROR(__xludf.DUMMYFUNCTION("GOOGLETRANSLATE(B755,""ja"",""vi"")"),"nếu không thì")</f>
        <v>nếu không thì</v>
      </c>
      <c r="F755" s="4" t="str">
        <f ca="1">IFERROR(__xludf.DUMMYFUNCTION("GOOGLETRANSLATE(C755,""ja"",""vi"")"),"Đấu giá&gt; vé, chứng từ, đặt phòng khách sạn&gt; Thẻ trả trước&gt; Thẻ điện thoại&gt; truyện tranh, hoạt hình&gt; Tôi dòng&gt; Khác")</f>
        <v>Đấu giá&gt; vé, chứng từ, đặt phòng khách sạn&gt; Thẻ trả trước&gt; Thẻ điện thoại&gt; truyện tranh, hoạt hình&gt; Tôi dòng&gt; Khác</v>
      </c>
      <c r="G755" t="str">
        <f t="shared" ca="1" si="11"/>
        <v>"2084036129" : "nếu không thì",</v>
      </c>
    </row>
    <row r="756" spans="1:7" ht="14.25" customHeight="1"/>
    <row r="757" spans="1:7" ht="14.25" customHeight="1"/>
    <row r="758" spans="1:7" ht="14.25" customHeight="1"/>
    <row r="759" spans="1:7" ht="14.25" customHeight="1"/>
    <row r="760" spans="1:7" ht="14.25" customHeight="1"/>
    <row r="761" spans="1:7" ht="14.25" customHeight="1"/>
    <row r="762" spans="1:7" ht="14.25" customHeight="1"/>
    <row r="763" spans="1:7" ht="14.25" customHeight="1"/>
    <row r="764" spans="1:7" ht="14.25" customHeight="1"/>
    <row r="765" spans="1:7" ht="14.25" customHeight="1"/>
    <row r="766" spans="1:7" ht="14.25" customHeight="1"/>
    <row r="767" spans="1:7" ht="14.25" customHeight="1"/>
    <row r="768" spans="1:7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</sheetData>
  <mergeCells count="1">
    <mergeCell ref="A629:D629"/>
  </mergeCells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9"/>
  <sheetViews>
    <sheetView topLeftCell="C1" workbookViewId="0">
      <selection activeCell="G2" sqref="G2"/>
    </sheetView>
  </sheetViews>
  <sheetFormatPr defaultColWidth="12.59765625" defaultRowHeight="15" customHeight="1"/>
  <cols>
    <col min="1" max="1" width="10.19921875" customWidth="1"/>
    <col min="2" max="2" width="23.5" customWidth="1"/>
    <col min="3" max="3" width="43.09765625" customWidth="1"/>
    <col min="4" max="4" width="36.69921875" customWidth="1"/>
    <col min="5" max="5" width="7.59765625" customWidth="1"/>
    <col min="6" max="6" width="61.0976562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2084054970</v>
      </c>
      <c r="B2" s="2" t="s">
        <v>554</v>
      </c>
      <c r="C2" s="2" t="s">
        <v>556</v>
      </c>
      <c r="D2" s="2" t="s">
        <v>558</v>
      </c>
      <c r="E2" s="5" t="str">
        <f ca="1">IFERROR(__xludf.DUMMYFUNCTION("GOOGLETRANSLATE(B3,""ja"",""vi"")"),"hàng nitơ")</f>
        <v>hàng nitơ</v>
      </c>
      <c r="F2" s="4" t="str">
        <f ca="1">IFERROR(__xludf.DUMMYFUNCTION("GOOGLETRANSLATE(C3,""ja"",""vi"")"),"Đấu giá&gt; hàng Talent&gt; người, theo nhóm&gt; nhạc sĩ&gt; hàng nitơ")</f>
        <v>Đấu giá&gt; hàng Talent&gt; người, theo nhóm&gt; nhạc sĩ&gt; hàng nitơ</v>
      </c>
      <c r="G2" t="str">
        <f ca="1">CONCATENATE(CHAR(34)&amp;"",A2,""&amp;CHAR(34)," : ", CHAR(34)&amp;"",E2,""&amp;CHAR(34),",")</f>
        <v>"2084054970" : "hàng nitơ",</v>
      </c>
    </row>
    <row r="3" spans="1:7" ht="14.25" customHeight="1">
      <c r="A3" s="2">
        <v>2084054971</v>
      </c>
      <c r="B3" s="2" t="s">
        <v>562</v>
      </c>
      <c r="C3" s="2" t="s">
        <v>564</v>
      </c>
      <c r="D3" s="2" t="s">
        <v>566</v>
      </c>
      <c r="E3" s="5" t="str">
        <f ca="1">IFERROR(__xludf.DUMMYFUNCTION("GOOGLETRANSLATE(B4,""ja"",""vi"")"),"hoặc hàng")</f>
        <v>hoặc hàng</v>
      </c>
      <c r="F3" s="4" t="str">
        <f ca="1">IFERROR(__xludf.DUMMYFUNCTION("GOOGLETRANSLATE(C4,""ja"",""vi"")"),"Đấu giá&gt; hàng Talent&gt; người, theo nhóm&gt; nhạc sĩ&gt; hoặc hàng")</f>
        <v>Đấu giá&gt; hàng Talent&gt; người, theo nhóm&gt; nhạc sĩ&gt; hoặc hàng</v>
      </c>
      <c r="G3" t="str">
        <f t="shared" ref="G3:G66" ca="1" si="0">CONCATENATE(CHAR(34)&amp;"",A3,""&amp;CHAR(34)," : ", CHAR(34)&amp;"",E3,""&amp;CHAR(34),",")</f>
        <v>"2084054971" : "hoặc hàng",</v>
      </c>
    </row>
    <row r="4" spans="1:7" ht="14.25" customHeight="1">
      <c r="A4" s="2">
        <v>2084054972</v>
      </c>
      <c r="B4" s="2" t="s">
        <v>570</v>
      </c>
      <c r="C4" s="2" t="s">
        <v>572</v>
      </c>
      <c r="D4" s="2" t="s">
        <v>574</v>
      </c>
      <c r="E4" s="5" t="str">
        <f ca="1">IFERROR(__xludf.DUMMYFUNCTION("GOOGLETRANSLATE(B5,""ja"",""vi"")"),"Các chữ s")</f>
        <v>Các chữ s</v>
      </c>
      <c r="F4" s="4" t="str">
        <f ca="1">IFERROR(__xludf.DUMMYFUNCTION("GOOGLETRANSLATE(C5,""ja"",""vi"")"),"Đấu giá&gt; hàng Talent&gt; người, theo nhóm&gt; nhạc sĩ&gt; chữ s")</f>
        <v>Đấu giá&gt; hàng Talent&gt; người, theo nhóm&gt; nhạc sĩ&gt; chữ s</v>
      </c>
      <c r="G4" t="str">
        <f t="shared" ca="1" si="0"/>
        <v>"2084054972" : "Các chữ s",</v>
      </c>
    </row>
    <row r="5" spans="1:7" ht="14.25" customHeight="1">
      <c r="A5" s="2">
        <v>2084054973</v>
      </c>
      <c r="B5" s="2" t="s">
        <v>578</v>
      </c>
      <c r="C5" s="2" t="s">
        <v>580</v>
      </c>
      <c r="D5" s="2" t="s">
        <v>582</v>
      </c>
      <c r="E5" s="5" t="str">
        <f ca="1">IFERROR(__xludf.DUMMYFUNCTION("GOOGLETRANSLATE(B6,""ja"",""vi"")"),"Tagyo")</f>
        <v>Tagyo</v>
      </c>
      <c r="F5" s="4" t="str">
        <f ca="1">IFERROR(__xludf.DUMMYFUNCTION("GOOGLETRANSLATE(C6,""ja"",""vi"")"),"Đấu giá&gt; hàng Talent&gt; người, theo nhóm&gt; nhạc sĩ&gt; Tagyo")</f>
        <v>Đấu giá&gt; hàng Talent&gt; người, theo nhóm&gt; nhạc sĩ&gt; Tagyo</v>
      </c>
      <c r="G5" t="str">
        <f t="shared" ca="1" si="0"/>
        <v>"2084054973" : "Tagyo",</v>
      </c>
    </row>
    <row r="6" spans="1:7" ht="14.25" customHeight="1">
      <c r="A6" s="2">
        <v>2084054974</v>
      </c>
      <c r="B6" s="2" t="s">
        <v>587</v>
      </c>
      <c r="C6" s="2" t="s">
        <v>589</v>
      </c>
      <c r="D6" s="2" t="s">
        <v>590</v>
      </c>
      <c r="E6" s="5" t="str">
        <f ca="1">IFERROR(__xludf.DUMMYFUNCTION("GOOGLETRANSLATE(B7,""ja"",""vi"")"),"Một dòng")</f>
        <v>Một dòng</v>
      </c>
      <c r="F6" s="4" t="str">
        <f ca="1">IFERROR(__xludf.DUMMYFUNCTION("GOOGLETRANSLATE(C7,""ja"",""vi"")"),"Đấu giá&gt; hàng Talent&gt; người, theo nhóm&gt; nhạc sĩ&gt; hàng")</f>
        <v>Đấu giá&gt; hàng Talent&gt; người, theo nhóm&gt; nhạc sĩ&gt; hàng</v>
      </c>
      <c r="G6" t="str">
        <f t="shared" ca="1" si="0"/>
        <v>"2084054974" : "Một dòng",</v>
      </c>
    </row>
    <row r="7" spans="1:7" ht="14.25" customHeight="1">
      <c r="A7" s="2">
        <v>2084054975</v>
      </c>
      <c r="B7" s="2" t="s">
        <v>592</v>
      </c>
      <c r="C7" s="2" t="s">
        <v>595</v>
      </c>
      <c r="D7" s="2" t="s">
        <v>597</v>
      </c>
      <c r="E7" s="5" t="str">
        <f ca="1">IFERROR(__xludf.DUMMYFUNCTION("GOOGLETRANSLATE(B8,""ja"",""vi"")"),"hàng")</f>
        <v>hàng</v>
      </c>
      <c r="F7" s="4" t="str">
        <f ca="1">IFERROR(__xludf.DUMMYFUNCTION("GOOGLETRANSLATE(C8,""ja"",""vi"")"),"Đấu giá&gt; hàng Talent&gt; người, theo nhóm&gt; nhạc sĩ&gt; hàng")</f>
        <v>Đấu giá&gt; hàng Talent&gt; người, theo nhóm&gt; nhạc sĩ&gt; hàng</v>
      </c>
      <c r="G7" t="str">
        <f t="shared" ca="1" si="0"/>
        <v>"2084054975" : "hàng",</v>
      </c>
    </row>
    <row r="8" spans="1:7" ht="14.25" customHeight="1">
      <c r="A8" s="2">
        <v>2084054976</v>
      </c>
      <c r="B8" s="2" t="s">
        <v>600</v>
      </c>
      <c r="C8" s="2" t="s">
        <v>602</v>
      </c>
      <c r="D8" s="2" t="s">
        <v>604</v>
      </c>
      <c r="E8" s="5" t="str">
        <f ca="1">IFERROR(__xludf.DUMMYFUNCTION("GOOGLETRANSLATE(B9,""ja"",""vi"")"),"hoặc dòng")</f>
        <v>hoặc dòng</v>
      </c>
      <c r="F8" s="4" t="str">
        <f ca="1">IFERROR(__xludf.DUMMYFUNCTION("GOOGLETRANSLATE(C9,""ja"",""vi"")"),"Đấu giá&gt; hàng Talent&gt; người, theo nhóm&gt; nhạc sĩ&gt; hoặc hàng")</f>
        <v>Đấu giá&gt; hàng Talent&gt; người, theo nhóm&gt; nhạc sĩ&gt; hoặc hàng</v>
      </c>
      <c r="G8" t="str">
        <f t="shared" ca="1" si="0"/>
        <v>"2084054976" : "hoặc dòng",</v>
      </c>
    </row>
    <row r="9" spans="1:7" ht="14.25" customHeight="1">
      <c r="A9" s="2">
        <v>2084054977</v>
      </c>
      <c r="B9" s="2" t="s">
        <v>608</v>
      </c>
      <c r="C9" s="2" t="s">
        <v>610</v>
      </c>
      <c r="D9" s="2" t="s">
        <v>612</v>
      </c>
      <c r="E9" s="5" t="str">
        <f ca="1">IFERROR(__xludf.DUMMYFUNCTION("GOOGLETRANSLATE(B10,""ja"",""vi"")"),"hoặc hàng")</f>
        <v>hoặc hàng</v>
      </c>
      <c r="F9" s="4" t="str">
        <f ca="1">IFERROR(__xludf.DUMMYFUNCTION("GOOGLETRANSLATE(C10,""ja"",""vi"")"),"Đấu giá&gt; hàng Talent&gt; người, theo nhóm&gt; nhạc sĩ&gt; hoặc hàng")</f>
        <v>Đấu giá&gt; hàng Talent&gt; người, theo nhóm&gt; nhạc sĩ&gt; hoặc hàng</v>
      </c>
      <c r="G9" t="str">
        <f t="shared" ca="1" si="0"/>
        <v>"2084054977" : "hoặc hàng",</v>
      </c>
    </row>
    <row r="10" spans="1:7" ht="14.25" customHeight="1">
      <c r="A10" s="2">
        <v>2084054978</v>
      </c>
      <c r="B10" s="2" t="s">
        <v>614</v>
      </c>
      <c r="C10" s="2" t="s">
        <v>617</v>
      </c>
      <c r="D10" s="2" t="s">
        <v>620</v>
      </c>
      <c r="E10" s="5" t="str">
        <f ca="1">IFERROR(__xludf.DUMMYFUNCTION("GOOGLETRANSLATE(B11,""ja"",""vi"")"),"Et / I đường")</f>
        <v>Et / I đường</v>
      </c>
      <c r="F10" s="4" t="str">
        <f ca="1">IFERROR(__xludf.DUMMYFUNCTION("GOOGLETRANSLATE(C11,""ja"",""vi"")"),"Đấu giá&gt; hàng Talent&gt; người, theo nhóm&gt; nhạc sĩ&gt; et al. / I đường")</f>
        <v>Đấu giá&gt; hàng Talent&gt; người, theo nhóm&gt; nhạc sĩ&gt; et al. / I đường</v>
      </c>
      <c r="G10" t="str">
        <f t="shared" ca="1" si="0"/>
        <v>"2084054978" : "Et / I đường",</v>
      </c>
    </row>
    <row r="11" spans="1:7" ht="14.25" customHeight="1">
      <c r="A11" s="2">
        <v>2084309520</v>
      </c>
      <c r="B11" s="2" t="s">
        <v>46</v>
      </c>
      <c r="C11" s="2" t="s">
        <v>625</v>
      </c>
      <c r="D11" s="2" t="s">
        <v>627</v>
      </c>
      <c r="E11" s="5" t="str">
        <f ca="1">IFERROR(__xludf.DUMMYFUNCTION("GOOGLETRANSLATE(B12,""ja"",""vi"")"),"nếu không thì")</f>
        <v>nếu không thì</v>
      </c>
      <c r="F11" s="4" t="str">
        <f ca="1">IFERROR(__xludf.DUMMYFUNCTION("GOOGLETRANSLATE(C12,""ja"",""vi"")"),"Đấu giá&gt; hàng Talent&gt; người, theo nhóm&gt; nhạc sĩ&gt; Khác")</f>
        <v>Đấu giá&gt; hàng Talent&gt; người, theo nhóm&gt; nhạc sĩ&gt; Khác</v>
      </c>
      <c r="G11" t="str">
        <f t="shared" ca="1" si="0"/>
        <v>"2084309520" : "nếu không thì",</v>
      </c>
    </row>
    <row r="12" spans="1:7" ht="14.25" customHeight="1">
      <c r="A12" s="11">
        <v>2084024766</v>
      </c>
      <c r="B12" s="11" t="s">
        <v>554</v>
      </c>
      <c r="C12" s="11" t="s">
        <v>642</v>
      </c>
      <c r="D12" s="11" t="s">
        <v>643</v>
      </c>
      <c r="E12" s="5" t="str">
        <f ca="1">IFERROR(__xludf.DUMMYFUNCTION("GOOGLETRANSLATE(B15,""ja"",""vi"")"),"hàng nitơ")</f>
        <v>hàng nitơ</v>
      </c>
      <c r="F12" s="4" t="str">
        <f ca="1">IFERROR(__xludf.DUMMYFUNCTION("GOOGLETRANSLATE(C15,""ja"",""vi"")"),"Đấu giá&gt; hàng Talent&gt; người, theo nhóm&gt; người phụ nữ tài năng&gt; hàng nitơ")</f>
        <v>Đấu giá&gt; hàng Talent&gt; người, theo nhóm&gt; người phụ nữ tài năng&gt; hàng nitơ</v>
      </c>
      <c r="G12" t="str">
        <f t="shared" ca="1" si="0"/>
        <v>"2084024766" : "hàng nitơ",</v>
      </c>
    </row>
    <row r="13" spans="1:7" ht="14.25" customHeight="1">
      <c r="A13" s="2">
        <v>2084024787</v>
      </c>
      <c r="B13" s="2" t="s">
        <v>562</v>
      </c>
      <c r="C13" s="2" t="s">
        <v>649</v>
      </c>
      <c r="D13" s="2" t="s">
        <v>651</v>
      </c>
      <c r="E13" s="5" t="str">
        <f ca="1">IFERROR(__xludf.DUMMYFUNCTION("GOOGLETRANSLATE(B16,""ja"",""vi"")"),"hoặc hàng")</f>
        <v>hoặc hàng</v>
      </c>
      <c r="F13" s="4" t="str">
        <f ca="1">IFERROR(__xludf.DUMMYFUNCTION("GOOGLETRANSLATE(C16,""ja"",""vi"")"),"Đấu giá&gt; hàng Talent&gt; người, theo nhóm&gt; người phụ nữ tài năng&gt; hoặc hàng")</f>
        <v>Đấu giá&gt; hàng Talent&gt; người, theo nhóm&gt; người phụ nữ tài năng&gt; hoặc hàng</v>
      </c>
      <c r="G13" t="str">
        <f t="shared" ca="1" si="0"/>
        <v>"2084024787" : "hoặc hàng",</v>
      </c>
    </row>
    <row r="14" spans="1:7" ht="14.25" customHeight="1">
      <c r="A14" s="2">
        <v>2084024793</v>
      </c>
      <c r="B14" s="2" t="s">
        <v>570</v>
      </c>
      <c r="C14" s="2" t="s">
        <v>654</v>
      </c>
      <c r="D14" s="2" t="s">
        <v>657</v>
      </c>
      <c r="E14" s="5" t="str">
        <f ca="1">IFERROR(__xludf.DUMMYFUNCTION("GOOGLETRANSLATE(B17,""ja"",""vi"")"),"Các chữ s")</f>
        <v>Các chữ s</v>
      </c>
      <c r="F14" s="4" t="str">
        <f ca="1">IFERROR(__xludf.DUMMYFUNCTION("GOOGLETRANSLATE(C17,""ja"",""vi"")"),"Đấu giá&gt; hàng Talent&gt; người, theo nhóm&gt; người phụ nữ tài năng&gt; chữ s")</f>
        <v>Đấu giá&gt; hàng Talent&gt; người, theo nhóm&gt; người phụ nữ tài năng&gt; chữ s</v>
      </c>
      <c r="G14" t="str">
        <f t="shared" ca="1" si="0"/>
        <v>"2084024793" : "Các chữ s",</v>
      </c>
    </row>
    <row r="15" spans="1:7" ht="14.25" customHeight="1">
      <c r="A15" s="2">
        <v>2084024799</v>
      </c>
      <c r="B15" s="2" t="s">
        <v>578</v>
      </c>
      <c r="C15" s="2" t="s">
        <v>660</v>
      </c>
      <c r="D15" s="2" t="s">
        <v>661</v>
      </c>
      <c r="E15" s="5" t="str">
        <f ca="1">IFERROR(__xludf.DUMMYFUNCTION("GOOGLETRANSLATE(B18,""ja"",""vi"")"),"Tagyo")</f>
        <v>Tagyo</v>
      </c>
      <c r="F15" s="4" t="str">
        <f ca="1">IFERROR(__xludf.DUMMYFUNCTION("GOOGLETRANSLATE(C18,""ja"",""vi"")"),"Đấu giá&gt; hàng Talent&gt; người, theo nhóm&gt; người phụ nữ tài năng&gt; Tagyo")</f>
        <v>Đấu giá&gt; hàng Talent&gt; người, theo nhóm&gt; người phụ nữ tài năng&gt; Tagyo</v>
      </c>
      <c r="G15" t="str">
        <f t="shared" ca="1" si="0"/>
        <v>"2084024799" : "Tagyo",</v>
      </c>
    </row>
    <row r="16" spans="1:7" ht="14.25" customHeight="1">
      <c r="A16" s="2">
        <v>2084024805</v>
      </c>
      <c r="B16" s="2" t="s">
        <v>587</v>
      </c>
      <c r="C16" s="2" t="s">
        <v>667</v>
      </c>
      <c r="D16" s="2" t="s">
        <v>668</v>
      </c>
      <c r="E16" s="5" t="str">
        <f ca="1">IFERROR(__xludf.DUMMYFUNCTION("GOOGLETRANSLATE(B19,""ja"",""vi"")"),"Một dòng")</f>
        <v>Một dòng</v>
      </c>
      <c r="F16" s="4" t="str">
        <f ca="1">IFERROR(__xludf.DUMMYFUNCTION("GOOGLETRANSLATE(C19,""ja"",""vi"")"),"Đấu giá&gt; hàng Talent&gt; người, theo nhóm&gt; người phụ nữ tài năng&gt; hàng")</f>
        <v>Đấu giá&gt; hàng Talent&gt; người, theo nhóm&gt; người phụ nữ tài năng&gt; hàng</v>
      </c>
      <c r="G16" t="str">
        <f t="shared" ca="1" si="0"/>
        <v>"2084024805" : "Một dòng",</v>
      </c>
    </row>
    <row r="17" spans="1:7" ht="14.25" customHeight="1">
      <c r="A17" s="2">
        <v>2084024811</v>
      </c>
      <c r="B17" s="2" t="s">
        <v>592</v>
      </c>
      <c r="C17" s="2" t="s">
        <v>670</v>
      </c>
      <c r="D17" s="2" t="s">
        <v>672</v>
      </c>
      <c r="E17" s="5" t="str">
        <f ca="1">IFERROR(__xludf.DUMMYFUNCTION("GOOGLETRANSLATE(B20,""ja"",""vi"")"),"hàng")</f>
        <v>hàng</v>
      </c>
      <c r="F17" s="4" t="str">
        <f ca="1">IFERROR(__xludf.DUMMYFUNCTION("GOOGLETRANSLATE(C20,""ja"",""vi"")"),"Đấu giá&gt; hàng Talent&gt; người, theo nhóm&gt; người phụ nữ tài năng&gt; hàng")</f>
        <v>Đấu giá&gt; hàng Talent&gt; người, theo nhóm&gt; người phụ nữ tài năng&gt; hàng</v>
      </c>
      <c r="G17" t="str">
        <f t="shared" ca="1" si="0"/>
        <v>"2084024811" : "hàng",</v>
      </c>
    </row>
    <row r="18" spans="1:7" ht="14.25" customHeight="1">
      <c r="A18" s="2">
        <v>2084024817</v>
      </c>
      <c r="B18" s="2" t="s">
        <v>600</v>
      </c>
      <c r="C18" s="2" t="s">
        <v>676</v>
      </c>
      <c r="D18" s="2" t="s">
        <v>677</v>
      </c>
      <c r="E18" s="5" t="str">
        <f ca="1">IFERROR(__xludf.DUMMYFUNCTION("GOOGLETRANSLATE(B21,""ja"",""vi"")"),"hoặc dòng")</f>
        <v>hoặc dòng</v>
      </c>
      <c r="F18" s="4" t="str">
        <f ca="1">IFERROR(__xludf.DUMMYFUNCTION("GOOGLETRANSLATE(C21,""ja"",""vi"")"),"Đấu giá&gt; hàng Talent&gt; người, theo nhóm&gt; người phụ nữ tài năng&gt; hoặc hàng")</f>
        <v>Đấu giá&gt; hàng Talent&gt; người, theo nhóm&gt; người phụ nữ tài năng&gt; hoặc hàng</v>
      </c>
      <c r="G18" t="str">
        <f t="shared" ca="1" si="0"/>
        <v>"2084024817" : "hoặc dòng",</v>
      </c>
    </row>
    <row r="19" spans="1:7" ht="14.25" customHeight="1">
      <c r="A19" s="2">
        <v>2084024823</v>
      </c>
      <c r="B19" s="2" t="s">
        <v>608</v>
      </c>
      <c r="C19" s="2" t="s">
        <v>683</v>
      </c>
      <c r="D19" s="2" t="s">
        <v>685</v>
      </c>
      <c r="E19" s="5" t="str">
        <f ca="1">IFERROR(__xludf.DUMMYFUNCTION("GOOGLETRANSLATE(B22,""ja"",""vi"")"),"hoặc hàng")</f>
        <v>hoặc hàng</v>
      </c>
      <c r="F19" s="4" t="str">
        <f ca="1">IFERROR(__xludf.DUMMYFUNCTION("GOOGLETRANSLATE(C22,""ja"",""vi"")"),"Đấu giá&gt; hàng Talent&gt; người, theo nhóm&gt; người phụ nữ tài năng&gt; hoặc hàng")</f>
        <v>Đấu giá&gt; hàng Talent&gt; người, theo nhóm&gt; người phụ nữ tài năng&gt; hoặc hàng</v>
      </c>
      <c r="G19" t="str">
        <f t="shared" ca="1" si="0"/>
        <v>"2084024823" : "hoặc hàng",</v>
      </c>
    </row>
    <row r="20" spans="1:7" ht="14.25" customHeight="1">
      <c r="A20" s="2">
        <v>2084024829</v>
      </c>
      <c r="B20" s="2" t="s">
        <v>689</v>
      </c>
      <c r="C20" s="2" t="s">
        <v>690</v>
      </c>
      <c r="D20" s="2" t="s">
        <v>692</v>
      </c>
      <c r="E20" s="5" t="str">
        <f ca="1">IFERROR(__xludf.DUMMYFUNCTION("GOOGLETRANSLATE(B23,""ja"",""vi"")"),"Racovian")</f>
        <v>Racovian</v>
      </c>
      <c r="F20" s="4" t="str">
        <f ca="1">IFERROR(__xludf.DUMMYFUNCTION("GOOGLETRANSLATE(C23,""ja"",""vi"")"),"Đấu giá&gt; hàng Talent&gt; người, theo nhóm&gt; người phụ nữ tài năng&gt; Racovian")</f>
        <v>Đấu giá&gt; hàng Talent&gt; người, theo nhóm&gt; người phụ nữ tài năng&gt; Racovian</v>
      </c>
      <c r="G20" t="str">
        <f t="shared" ca="1" si="0"/>
        <v>"2084024829" : "Racovian",</v>
      </c>
    </row>
    <row r="21" spans="1:7" ht="14.25" customHeight="1">
      <c r="A21" s="2">
        <v>2084024835</v>
      </c>
      <c r="B21" s="2" t="s">
        <v>696</v>
      </c>
      <c r="C21" s="2" t="s">
        <v>697</v>
      </c>
      <c r="D21" s="2" t="s">
        <v>698</v>
      </c>
      <c r="E21" s="5" t="str">
        <f ca="1">IFERROR(__xludf.DUMMYFUNCTION("GOOGLETRANSLATE(B24,""ja"",""vi"")"),"tôi hàng")</f>
        <v>tôi hàng</v>
      </c>
      <c r="F21" s="4" t="str">
        <f ca="1">IFERROR(__xludf.DUMMYFUNCTION("GOOGLETRANSLATE(C24,""ja"",""vi"")"),"Đấu giá&gt; hàng Talent&gt; người, theo nhóm&gt; người phụ nữ tài năng&gt; Tôi dòng")</f>
        <v>Đấu giá&gt; hàng Talent&gt; người, theo nhóm&gt; người phụ nữ tài năng&gt; Tôi dòng</v>
      </c>
      <c r="G21" t="str">
        <f t="shared" ca="1" si="0"/>
        <v>"2084024835" : "tôi hàng",</v>
      </c>
    </row>
    <row r="22" spans="1:7" ht="14.25" customHeight="1">
      <c r="A22" s="11">
        <v>2084054986</v>
      </c>
      <c r="B22" s="11" t="s">
        <v>554</v>
      </c>
      <c r="C22" s="11" t="s">
        <v>704</v>
      </c>
      <c r="D22" s="11" t="s">
        <v>705</v>
      </c>
      <c r="E22" s="5" t="str">
        <f ca="1">IFERROR(__xludf.DUMMYFUNCTION("GOOGLETRANSLATE(B27,""ja"",""vi"")"),"hàng nitơ")</f>
        <v>hàng nitơ</v>
      </c>
      <c r="F22" s="4" t="str">
        <f ca="1">IFERROR(__xludf.DUMMYFUNCTION("GOOGLETRANSLATE(C27,""ja"",""vi"")"),"Đấu giá&gt; hàng Talent&gt; người, theo nhóm&gt; Nam Talent&gt; hàng nitơ")</f>
        <v>Đấu giá&gt; hàng Talent&gt; người, theo nhóm&gt; Nam Talent&gt; hàng nitơ</v>
      </c>
      <c r="G22" t="str">
        <f t="shared" ca="1" si="0"/>
        <v>"2084054986" : "hàng nitơ",</v>
      </c>
    </row>
    <row r="23" spans="1:7" ht="14.25" customHeight="1">
      <c r="A23" s="2">
        <v>2084054987</v>
      </c>
      <c r="B23" s="2" t="s">
        <v>562</v>
      </c>
      <c r="C23" s="2" t="s">
        <v>711</v>
      </c>
      <c r="D23" s="2" t="s">
        <v>713</v>
      </c>
      <c r="E23" s="5" t="str">
        <f ca="1">IFERROR(__xludf.DUMMYFUNCTION("GOOGLETRANSLATE(B28,""ja"",""vi"")"),"hoặc hàng")</f>
        <v>hoặc hàng</v>
      </c>
      <c r="F23" s="4" t="str">
        <f ca="1">IFERROR(__xludf.DUMMYFUNCTION("GOOGLETRANSLATE(C28,""ja"",""vi"")"),"Đấu giá&gt; hàng Talent&gt; người, theo nhóm&gt; Nam Talent&gt; hoặc hàng")</f>
        <v>Đấu giá&gt; hàng Talent&gt; người, theo nhóm&gt; Nam Talent&gt; hoặc hàng</v>
      </c>
      <c r="G23" t="str">
        <f t="shared" ca="1" si="0"/>
        <v>"2084054987" : "hoặc hàng",</v>
      </c>
    </row>
    <row r="24" spans="1:7" ht="14.25" customHeight="1">
      <c r="A24" s="2">
        <v>2084054988</v>
      </c>
      <c r="B24" s="2" t="s">
        <v>570</v>
      </c>
      <c r="C24" s="2" t="s">
        <v>718</v>
      </c>
      <c r="D24" s="2" t="s">
        <v>719</v>
      </c>
      <c r="E24" s="5" t="str">
        <f ca="1">IFERROR(__xludf.DUMMYFUNCTION("GOOGLETRANSLATE(B29,""ja"",""vi"")"),"Các chữ s")</f>
        <v>Các chữ s</v>
      </c>
      <c r="F24" s="4" t="str">
        <f ca="1">IFERROR(__xludf.DUMMYFUNCTION("GOOGLETRANSLATE(C29,""ja"",""vi"")"),"Đấu giá&gt; hàng Talent&gt; người, theo nhóm&gt; Nam Talent&gt; chữ s")</f>
        <v>Đấu giá&gt; hàng Talent&gt; người, theo nhóm&gt; Nam Talent&gt; chữ s</v>
      </c>
      <c r="G24" t="str">
        <f t="shared" ca="1" si="0"/>
        <v>"2084054988" : "Các chữ s",</v>
      </c>
    </row>
    <row r="25" spans="1:7" ht="14.25" customHeight="1">
      <c r="A25" s="2">
        <v>2084054989</v>
      </c>
      <c r="B25" s="2" t="s">
        <v>578</v>
      </c>
      <c r="C25" s="2" t="s">
        <v>725</v>
      </c>
      <c r="D25" s="2" t="s">
        <v>726</v>
      </c>
      <c r="E25" s="5" t="str">
        <f ca="1">IFERROR(__xludf.DUMMYFUNCTION("GOOGLETRANSLATE(B30,""ja"",""vi"")"),"Tagyo")</f>
        <v>Tagyo</v>
      </c>
      <c r="F25" s="4" t="str">
        <f ca="1">IFERROR(__xludf.DUMMYFUNCTION("GOOGLETRANSLATE(C30,""ja"",""vi"")"),"Đấu giá&gt; hàng Talent&gt; người, theo nhóm&gt; Nam Talent&gt; Tagyo")</f>
        <v>Đấu giá&gt; hàng Talent&gt; người, theo nhóm&gt; Nam Talent&gt; Tagyo</v>
      </c>
      <c r="G25" t="str">
        <f t="shared" ca="1" si="0"/>
        <v>"2084054989" : "Tagyo",</v>
      </c>
    </row>
    <row r="26" spans="1:7" ht="14.25" customHeight="1">
      <c r="A26" s="2">
        <v>2084054990</v>
      </c>
      <c r="B26" s="2" t="s">
        <v>587</v>
      </c>
      <c r="C26" s="2" t="s">
        <v>730</v>
      </c>
      <c r="D26" s="2" t="s">
        <v>732</v>
      </c>
      <c r="E26" s="5" t="str">
        <f ca="1">IFERROR(__xludf.DUMMYFUNCTION("GOOGLETRANSLATE(B31,""ja"",""vi"")"),"Một dòng")</f>
        <v>Một dòng</v>
      </c>
      <c r="F26" s="4" t="str">
        <f ca="1">IFERROR(__xludf.DUMMYFUNCTION("GOOGLETRANSLATE(C31,""ja"",""vi"")"),"Đấu giá&gt; hàng Talent&gt; người, theo nhóm&gt; Nam Talent&gt; hàng")</f>
        <v>Đấu giá&gt; hàng Talent&gt; người, theo nhóm&gt; Nam Talent&gt; hàng</v>
      </c>
      <c r="G26" t="str">
        <f t="shared" ca="1" si="0"/>
        <v>"2084054990" : "Một dòng",</v>
      </c>
    </row>
    <row r="27" spans="1:7" ht="14.25" customHeight="1">
      <c r="A27" s="2">
        <v>2084054992</v>
      </c>
      <c r="B27" s="2" t="s">
        <v>592</v>
      </c>
      <c r="C27" s="2" t="s">
        <v>736</v>
      </c>
      <c r="D27" s="2" t="s">
        <v>738</v>
      </c>
      <c r="E27" s="5" t="str">
        <f ca="1">IFERROR(__xludf.DUMMYFUNCTION("GOOGLETRANSLATE(B32,""ja"",""vi"")"),"hàng")</f>
        <v>hàng</v>
      </c>
      <c r="F27" s="4" t="str">
        <f ca="1">IFERROR(__xludf.DUMMYFUNCTION("GOOGLETRANSLATE(C32,""ja"",""vi"")"),"Đấu giá&gt; hàng Talent&gt; người, theo nhóm&gt; Nam Talent&gt; hàng")</f>
        <v>Đấu giá&gt; hàng Talent&gt; người, theo nhóm&gt; Nam Talent&gt; hàng</v>
      </c>
      <c r="G27" t="str">
        <f t="shared" ca="1" si="0"/>
        <v>"2084054992" : "hàng",</v>
      </c>
    </row>
    <row r="28" spans="1:7" ht="14.25" customHeight="1">
      <c r="A28" s="2">
        <v>2084054997</v>
      </c>
      <c r="B28" s="2" t="s">
        <v>600</v>
      </c>
      <c r="C28" s="2" t="s">
        <v>742</v>
      </c>
      <c r="D28" s="2" t="s">
        <v>744</v>
      </c>
      <c r="E28" s="5" t="str">
        <f ca="1">IFERROR(__xludf.DUMMYFUNCTION("GOOGLETRANSLATE(B33,""ja"",""vi"")"),"hoặc dòng")</f>
        <v>hoặc dòng</v>
      </c>
      <c r="F28" s="4" t="str">
        <f ca="1">IFERROR(__xludf.DUMMYFUNCTION("GOOGLETRANSLATE(C33,""ja"",""vi"")"),"Đấu giá&gt; hàng Talent&gt; người, theo nhóm&gt; Nam Talent&gt; hoặc hàng")</f>
        <v>Đấu giá&gt; hàng Talent&gt; người, theo nhóm&gt; Nam Talent&gt; hoặc hàng</v>
      </c>
      <c r="G28" t="str">
        <f t="shared" ca="1" si="0"/>
        <v>"2084054997" : "hoặc dòng",</v>
      </c>
    </row>
    <row r="29" spans="1:7" ht="14.25" customHeight="1">
      <c r="A29" s="2">
        <v>2084054993</v>
      </c>
      <c r="B29" s="2" t="s">
        <v>608</v>
      </c>
      <c r="C29" s="2" t="s">
        <v>750</v>
      </c>
      <c r="D29" s="2" t="s">
        <v>752</v>
      </c>
      <c r="E29" s="5" t="str">
        <f ca="1">IFERROR(__xludf.DUMMYFUNCTION("GOOGLETRANSLATE(B34,""ja"",""vi"")"),"hoặc hàng")</f>
        <v>hoặc hàng</v>
      </c>
      <c r="F29" s="4" t="str">
        <f ca="1">IFERROR(__xludf.DUMMYFUNCTION("GOOGLETRANSLATE(C34,""ja"",""vi"")"),"Đấu giá&gt; hàng Talent&gt; người, theo nhóm&gt; Nam Talent&gt; hoặc hàng")</f>
        <v>Đấu giá&gt; hàng Talent&gt; người, theo nhóm&gt; Nam Talent&gt; hoặc hàng</v>
      </c>
      <c r="G29" t="str">
        <f t="shared" ca="1" si="0"/>
        <v>"2084054993" : "hoặc hàng",</v>
      </c>
    </row>
    <row r="30" spans="1:7" ht="14.25" customHeight="1">
      <c r="A30" s="2">
        <v>2084054994</v>
      </c>
      <c r="B30" s="2" t="s">
        <v>689</v>
      </c>
      <c r="C30" s="2" t="s">
        <v>758</v>
      </c>
      <c r="D30" s="2" t="s">
        <v>759</v>
      </c>
      <c r="E30" s="5" t="str">
        <f ca="1">IFERROR(__xludf.DUMMYFUNCTION("GOOGLETRANSLATE(B35,""ja"",""vi"")"),"Racovian")</f>
        <v>Racovian</v>
      </c>
      <c r="F30" s="4" t="str">
        <f ca="1">IFERROR(__xludf.DUMMYFUNCTION("GOOGLETRANSLATE(C35,""ja"",""vi"")"),"Đấu giá&gt; hàng Talent&gt; người, theo nhóm&gt; Nam Talent&gt; Racovian")</f>
        <v>Đấu giá&gt; hàng Talent&gt; người, theo nhóm&gt; Nam Talent&gt; Racovian</v>
      </c>
      <c r="G30" t="str">
        <f t="shared" ca="1" si="0"/>
        <v>"2084054994" : "Racovian",</v>
      </c>
    </row>
    <row r="31" spans="1:7" ht="14.25" customHeight="1">
      <c r="A31" s="11">
        <v>2084214628</v>
      </c>
      <c r="B31" s="11" t="s">
        <v>554</v>
      </c>
      <c r="C31" s="11" t="s">
        <v>765</v>
      </c>
      <c r="D31" s="11" t="s">
        <v>766</v>
      </c>
      <c r="E31" s="5" t="str">
        <f ca="1">IFERROR(__xludf.DUMMYFUNCTION("GOOGLETRANSLATE(B38,""ja"",""vi"")"),"hàng nitơ")</f>
        <v>hàng nitơ</v>
      </c>
      <c r="F31" s="4" t="str">
        <f ca="1">IFERROR(__xludf.DUMMYFUNCTION("GOOGLETRANSLATE(C38,""ja"",""vi"")"),"Đấu giá&gt; phim, video&gt; DVD&gt; thần tượng&gt; người phụ nữ thần tượng&gt; hàng nitơ")</f>
        <v>Đấu giá&gt; phim, video&gt; DVD&gt; thần tượng&gt; người phụ nữ thần tượng&gt; hàng nitơ</v>
      </c>
      <c r="G31" t="str">
        <f t="shared" ca="1" si="0"/>
        <v>"2084214628" : "hàng nitơ",</v>
      </c>
    </row>
    <row r="32" spans="1:7" ht="14.25" customHeight="1">
      <c r="A32" s="2">
        <v>2084214629</v>
      </c>
      <c r="B32" s="2" t="s">
        <v>562</v>
      </c>
      <c r="C32" s="2" t="s">
        <v>771</v>
      </c>
      <c r="D32" s="2" t="s">
        <v>773</v>
      </c>
      <c r="E32" s="5" t="str">
        <f ca="1">IFERROR(__xludf.DUMMYFUNCTION("GOOGLETRANSLATE(B39,""ja"",""vi"")"),"hoặc hàng")</f>
        <v>hoặc hàng</v>
      </c>
      <c r="F32" s="4" t="str">
        <f ca="1">IFERROR(__xludf.DUMMYFUNCTION("GOOGLETRANSLATE(C39,""ja"",""vi"")"),"Đấu giá&gt; phim, video&gt; DVD&gt; thần tượng&gt; người phụ nữ thần tượng&gt; hoặc hàng")</f>
        <v>Đấu giá&gt; phim, video&gt; DVD&gt; thần tượng&gt; người phụ nữ thần tượng&gt; hoặc hàng</v>
      </c>
      <c r="G32" t="str">
        <f t="shared" ca="1" si="0"/>
        <v>"2084214629" : "hoặc hàng",</v>
      </c>
    </row>
    <row r="33" spans="1:7" ht="14.25" customHeight="1">
      <c r="A33" s="2">
        <v>2084214630</v>
      </c>
      <c r="B33" s="2" t="s">
        <v>570</v>
      </c>
      <c r="C33" s="2" t="s">
        <v>777</v>
      </c>
      <c r="D33" s="2" t="s">
        <v>779</v>
      </c>
      <c r="E33" s="5" t="str">
        <f ca="1">IFERROR(__xludf.DUMMYFUNCTION("GOOGLETRANSLATE(B40,""ja"",""vi"")"),"Các chữ s")</f>
        <v>Các chữ s</v>
      </c>
      <c r="F33" s="4" t="str">
        <f ca="1">IFERROR(__xludf.DUMMYFUNCTION("GOOGLETRANSLATE(C40,""ja"",""vi"")"),"Đấu giá&gt; phim, video&gt; DVD&gt; thần tượng&gt; người phụ nữ thần tượng&gt; chữ s")</f>
        <v>Đấu giá&gt; phim, video&gt; DVD&gt; thần tượng&gt; người phụ nữ thần tượng&gt; chữ s</v>
      </c>
      <c r="G33" t="str">
        <f t="shared" ca="1" si="0"/>
        <v>"2084214630" : "Các chữ s",</v>
      </c>
    </row>
    <row r="34" spans="1:7" ht="14.25" customHeight="1">
      <c r="A34" s="2">
        <v>2084214631</v>
      </c>
      <c r="B34" s="2" t="s">
        <v>578</v>
      </c>
      <c r="C34" s="2" t="s">
        <v>788</v>
      </c>
      <c r="D34" s="2" t="s">
        <v>790</v>
      </c>
      <c r="E34" s="5" t="str">
        <f ca="1">IFERROR(__xludf.DUMMYFUNCTION("GOOGLETRANSLATE(B41,""ja"",""vi"")"),"Tagyo")</f>
        <v>Tagyo</v>
      </c>
      <c r="F34" s="4" t="str">
        <f ca="1">IFERROR(__xludf.DUMMYFUNCTION("GOOGLETRANSLATE(C41,""ja"",""vi"")"),"Đấu giá&gt; phim, video&gt; DVD&gt; thần tượng&gt; người phụ nữ thần tượng&gt; Tagyo")</f>
        <v>Đấu giá&gt; phim, video&gt; DVD&gt; thần tượng&gt; người phụ nữ thần tượng&gt; Tagyo</v>
      </c>
      <c r="G34" t="str">
        <f t="shared" ca="1" si="0"/>
        <v>"2084214631" : "Tagyo",</v>
      </c>
    </row>
    <row r="35" spans="1:7" ht="14.25" customHeight="1">
      <c r="A35" s="2">
        <v>2084214632</v>
      </c>
      <c r="B35" s="2" t="s">
        <v>587</v>
      </c>
      <c r="C35" s="2" t="s">
        <v>795</v>
      </c>
      <c r="D35" s="2" t="s">
        <v>797</v>
      </c>
      <c r="E35" s="5" t="str">
        <f ca="1">IFERROR(__xludf.DUMMYFUNCTION("GOOGLETRANSLATE(B42,""ja"",""vi"")"),"Một dòng")</f>
        <v>Một dòng</v>
      </c>
      <c r="F35" s="4" t="str">
        <f ca="1">IFERROR(__xludf.DUMMYFUNCTION("GOOGLETRANSLATE(C42,""ja"",""vi"")"),"Đấu giá&gt; phim, video&gt; DVD&gt; thần tượng&gt; người phụ nữ thần tượng&gt; hàng")</f>
        <v>Đấu giá&gt; phim, video&gt; DVD&gt; thần tượng&gt; người phụ nữ thần tượng&gt; hàng</v>
      </c>
      <c r="G35" t="str">
        <f t="shared" ca="1" si="0"/>
        <v>"2084214632" : "Một dòng",</v>
      </c>
    </row>
    <row r="36" spans="1:7" ht="14.25" customHeight="1">
      <c r="A36" s="2">
        <v>2084214633</v>
      </c>
      <c r="B36" s="2" t="s">
        <v>592</v>
      </c>
      <c r="C36" s="2" t="s">
        <v>802</v>
      </c>
      <c r="D36" s="2" t="s">
        <v>803</v>
      </c>
      <c r="E36" s="5" t="str">
        <f ca="1">IFERROR(__xludf.DUMMYFUNCTION("GOOGLETRANSLATE(B43,""ja"",""vi"")"),"hàng")</f>
        <v>hàng</v>
      </c>
      <c r="F36" s="4" t="str">
        <f ca="1">IFERROR(__xludf.DUMMYFUNCTION("GOOGLETRANSLATE(C43,""ja"",""vi"")"),"Đấu giá&gt; phim, video&gt; DVD&gt; thần tượng&gt; người phụ nữ thần tượng&gt; hàng")</f>
        <v>Đấu giá&gt; phim, video&gt; DVD&gt; thần tượng&gt; người phụ nữ thần tượng&gt; hàng</v>
      </c>
      <c r="G36" t="str">
        <f t="shared" ca="1" si="0"/>
        <v>"2084214633" : "hàng",</v>
      </c>
    </row>
    <row r="37" spans="1:7" ht="14.25" customHeight="1">
      <c r="A37" s="2">
        <v>2084214634</v>
      </c>
      <c r="B37" s="2" t="s">
        <v>600</v>
      </c>
      <c r="C37" s="2" t="s">
        <v>809</v>
      </c>
      <c r="D37" s="2" t="s">
        <v>810</v>
      </c>
      <c r="E37" s="5" t="str">
        <f ca="1">IFERROR(__xludf.DUMMYFUNCTION("GOOGLETRANSLATE(B44,""ja"",""vi"")"),"hoặc dòng")</f>
        <v>hoặc dòng</v>
      </c>
      <c r="F37" s="4" t="str">
        <f ca="1">IFERROR(__xludf.DUMMYFUNCTION("GOOGLETRANSLATE(C44,""ja"",""vi"")"),"Đấu giá&gt; phim, video&gt; DVD&gt; thần tượng&gt; người phụ nữ thần tượng&gt; hoặc hàng")</f>
        <v>Đấu giá&gt; phim, video&gt; DVD&gt; thần tượng&gt; người phụ nữ thần tượng&gt; hoặc hàng</v>
      </c>
      <c r="G37" t="str">
        <f t="shared" ca="1" si="0"/>
        <v>"2084214634" : "hoặc dòng",</v>
      </c>
    </row>
    <row r="38" spans="1:7" ht="14.25" customHeight="1">
      <c r="A38" s="2">
        <v>2084214635</v>
      </c>
      <c r="B38" s="2" t="s">
        <v>608</v>
      </c>
      <c r="C38" s="2" t="s">
        <v>816</v>
      </c>
      <c r="D38" s="2" t="s">
        <v>817</v>
      </c>
      <c r="E38" s="5" t="str">
        <f ca="1">IFERROR(__xludf.DUMMYFUNCTION("GOOGLETRANSLATE(B45,""ja"",""vi"")"),"hoặc hàng")</f>
        <v>hoặc hàng</v>
      </c>
      <c r="F38" s="4" t="str">
        <f ca="1">IFERROR(__xludf.DUMMYFUNCTION("GOOGLETRANSLATE(C45,""ja"",""vi"")"),"Đấu giá&gt; phim, video&gt; DVD&gt; thần tượng&gt; người phụ nữ thần tượng&gt; hoặc hàng")</f>
        <v>Đấu giá&gt; phim, video&gt; DVD&gt; thần tượng&gt; người phụ nữ thần tượng&gt; hoặc hàng</v>
      </c>
      <c r="G38" t="str">
        <f t="shared" ca="1" si="0"/>
        <v>"2084214635" : "hoặc hàng",</v>
      </c>
    </row>
    <row r="39" spans="1:7" ht="14.25" customHeight="1">
      <c r="A39" s="2">
        <v>2084214636</v>
      </c>
      <c r="B39" s="2" t="s">
        <v>689</v>
      </c>
      <c r="C39" s="2" t="s">
        <v>823</v>
      </c>
      <c r="D39" s="2" t="s">
        <v>824</v>
      </c>
      <c r="E39" s="5" t="str">
        <f ca="1">IFERROR(__xludf.DUMMYFUNCTION("GOOGLETRANSLATE(B46,""ja"",""vi"")"),"Racovian")</f>
        <v>Racovian</v>
      </c>
      <c r="F39" s="4" t="str">
        <f ca="1">IFERROR(__xludf.DUMMYFUNCTION("GOOGLETRANSLATE(C46,""ja"",""vi"")"),"Đấu giá&gt; phim, video&gt; DVD&gt; thần tượng&gt; người phụ nữ thần tượng&gt; Racovian")</f>
        <v>Đấu giá&gt; phim, video&gt; DVD&gt; thần tượng&gt; người phụ nữ thần tượng&gt; Racovian</v>
      </c>
      <c r="G39" t="str">
        <f t="shared" ca="1" si="0"/>
        <v>"2084214636" : "Racovian",</v>
      </c>
    </row>
    <row r="40" spans="1:7" ht="14.25" customHeight="1">
      <c r="A40" s="2">
        <v>2084214637</v>
      </c>
      <c r="B40" s="2" t="s">
        <v>696</v>
      </c>
      <c r="C40" s="2" t="s">
        <v>830</v>
      </c>
      <c r="D40" s="2" t="s">
        <v>832</v>
      </c>
      <c r="E40" s="5" t="str">
        <f ca="1">IFERROR(__xludf.DUMMYFUNCTION("GOOGLETRANSLATE(B47,""ja"",""vi"")"),"tôi hàng")</f>
        <v>tôi hàng</v>
      </c>
      <c r="F40" s="4" t="str">
        <f ca="1">IFERROR(__xludf.DUMMYFUNCTION("GOOGLETRANSLATE(C47,""ja"",""vi"")"),"Đấu giá&gt; phim, video&gt; DVD&gt; thần tượng&gt; người phụ nữ thần tượng&gt; Tôi dòng")</f>
        <v>Đấu giá&gt; phim, video&gt; DVD&gt; thần tượng&gt; người phụ nữ thần tượng&gt; Tôi dòng</v>
      </c>
      <c r="G40" t="str">
        <f t="shared" ca="1" si="0"/>
        <v>"2084214637" : "tôi hàng",</v>
      </c>
    </row>
    <row r="41" spans="1:7" ht="14.25" customHeight="1">
      <c r="A41" s="2">
        <v>2084214874</v>
      </c>
      <c r="B41" s="2" t="s">
        <v>837</v>
      </c>
      <c r="C41" s="2" t="s">
        <v>838</v>
      </c>
      <c r="D41" s="2" t="s">
        <v>840</v>
      </c>
      <c r="E41" s="5" t="str">
        <f ca="1">IFERROR(__xludf.DUMMYFUNCTION("GOOGLETRANSLATE(B48,""ja"",""vi"")"),"nhiều chủ đề")</f>
        <v>nhiều chủ đề</v>
      </c>
      <c r="F41" s="4" t="str">
        <f ca="1">IFERROR(__xludf.DUMMYFUNCTION("GOOGLETRANSLATE(C48,""ja"",""vi"")"),"Đấu giá&gt; phim, video&gt; DVD&gt; thần tượng&gt; người phụ nữ thần tượng&gt; một số đối tượng")</f>
        <v>Đấu giá&gt; phim, video&gt; DVD&gt; thần tượng&gt; người phụ nữ thần tượng&gt; một số đối tượng</v>
      </c>
      <c r="G41" t="str">
        <f t="shared" ca="1" si="0"/>
        <v>"2084214874" : "nhiều chủ đề",</v>
      </c>
    </row>
    <row r="42" spans="1:7" ht="14.25" customHeight="1">
      <c r="A42" s="11">
        <v>2084216640</v>
      </c>
      <c r="B42" s="11" t="s">
        <v>554</v>
      </c>
      <c r="C42" s="11" t="s">
        <v>858</v>
      </c>
      <c r="D42" s="11" t="s">
        <v>859</v>
      </c>
      <c r="E42" s="5" t="str">
        <f ca="1">IFERROR(__xludf.DUMMYFUNCTION("GOOGLETRANSLATE(B51,""ja"",""vi"")"),"hàng nitơ")</f>
        <v>hàng nitơ</v>
      </c>
      <c r="F42" s="4" t="str">
        <f ca="1">IFERROR(__xludf.DUMMYFUNCTION("GOOGLETRANSLATE(C51,""ja"",""vi"")"),"Đấu giá&gt; phim, video&gt; băng video&gt; thần tượng&gt; người phụ nữ thần tượng&gt; hàng nitơ")</f>
        <v>Đấu giá&gt; phim, video&gt; băng video&gt; thần tượng&gt; người phụ nữ thần tượng&gt; hàng nitơ</v>
      </c>
      <c r="G42" t="str">
        <f t="shared" ca="1" si="0"/>
        <v>"2084216640" : "hàng nitơ",</v>
      </c>
    </row>
    <row r="43" spans="1:7" ht="14.25" customHeight="1">
      <c r="A43" s="2">
        <v>2084216641</v>
      </c>
      <c r="B43" s="2" t="s">
        <v>562</v>
      </c>
      <c r="C43" s="2" t="s">
        <v>862</v>
      </c>
      <c r="D43" s="2" t="s">
        <v>866</v>
      </c>
      <c r="E43" s="5" t="str">
        <f ca="1">IFERROR(__xludf.DUMMYFUNCTION("GOOGLETRANSLATE(B52,""ja"",""vi"")"),"hoặc hàng")</f>
        <v>hoặc hàng</v>
      </c>
      <c r="F43" s="4" t="str">
        <f ca="1">IFERROR(__xludf.DUMMYFUNCTION("GOOGLETRANSLATE(C52,""ja"",""vi"")"),"Đấu giá&gt; phim, video&gt; băng video&gt; thần tượng&gt; người phụ nữ thần tượng&gt; hoặc hàng")</f>
        <v>Đấu giá&gt; phim, video&gt; băng video&gt; thần tượng&gt; người phụ nữ thần tượng&gt; hoặc hàng</v>
      </c>
      <c r="G43" t="str">
        <f t="shared" ca="1" si="0"/>
        <v>"2084216641" : "hoặc hàng",</v>
      </c>
    </row>
    <row r="44" spans="1:7" ht="14.25" customHeight="1">
      <c r="A44" s="2">
        <v>2084216642</v>
      </c>
      <c r="B44" s="2" t="s">
        <v>570</v>
      </c>
      <c r="C44" s="2" t="s">
        <v>870</v>
      </c>
      <c r="D44" s="2" t="s">
        <v>872</v>
      </c>
      <c r="E44" s="5" t="str">
        <f ca="1">IFERROR(__xludf.DUMMYFUNCTION("GOOGLETRANSLATE(B53,""ja"",""vi"")"),"Các chữ s")</f>
        <v>Các chữ s</v>
      </c>
      <c r="F44" s="4" t="str">
        <f ca="1">IFERROR(__xludf.DUMMYFUNCTION("GOOGLETRANSLATE(C53,""ja"",""vi"")"),"Đấu giá&gt; phim, video&gt; băng video&gt; thần tượng&gt; người phụ nữ thần tượng&gt; chữ s")</f>
        <v>Đấu giá&gt; phim, video&gt; băng video&gt; thần tượng&gt; người phụ nữ thần tượng&gt; chữ s</v>
      </c>
      <c r="G44" t="str">
        <f t="shared" ca="1" si="0"/>
        <v>"2084216642" : "Các chữ s",</v>
      </c>
    </row>
    <row r="45" spans="1:7" ht="14.25" customHeight="1">
      <c r="A45" s="2">
        <v>2084216643</v>
      </c>
      <c r="B45" s="2" t="s">
        <v>578</v>
      </c>
      <c r="C45" s="2" t="s">
        <v>878</v>
      </c>
      <c r="D45" s="2" t="s">
        <v>879</v>
      </c>
      <c r="E45" s="5" t="str">
        <f ca="1">IFERROR(__xludf.DUMMYFUNCTION("GOOGLETRANSLATE(B54,""ja"",""vi"")"),"Tagyo")</f>
        <v>Tagyo</v>
      </c>
      <c r="F45" s="4" t="str">
        <f ca="1">IFERROR(__xludf.DUMMYFUNCTION("GOOGLETRANSLATE(C54,""ja"",""vi"")"),"Đấu giá&gt; phim, video&gt; băng video&gt; thần tượng&gt; người phụ nữ thần tượng&gt; Tagyo")</f>
        <v>Đấu giá&gt; phim, video&gt; băng video&gt; thần tượng&gt; người phụ nữ thần tượng&gt; Tagyo</v>
      </c>
      <c r="G45" t="str">
        <f t="shared" ca="1" si="0"/>
        <v>"2084216643" : "Tagyo",</v>
      </c>
    </row>
    <row r="46" spans="1:7" ht="14.25" customHeight="1">
      <c r="A46" s="2">
        <v>2084216644</v>
      </c>
      <c r="B46" s="2" t="s">
        <v>587</v>
      </c>
      <c r="C46" s="2" t="s">
        <v>883</v>
      </c>
      <c r="D46" s="2" t="s">
        <v>886</v>
      </c>
      <c r="E46" s="5" t="str">
        <f ca="1">IFERROR(__xludf.DUMMYFUNCTION("GOOGLETRANSLATE(B55,""ja"",""vi"")"),"Một dòng")</f>
        <v>Một dòng</v>
      </c>
      <c r="F46" s="4" t="str">
        <f ca="1">IFERROR(__xludf.DUMMYFUNCTION("GOOGLETRANSLATE(C55,""ja"",""vi"")"),"Đấu giá&gt; phim, video&gt; băng video&gt; thần tượng&gt; người phụ nữ thần tượng&gt; hàng")</f>
        <v>Đấu giá&gt; phim, video&gt; băng video&gt; thần tượng&gt; người phụ nữ thần tượng&gt; hàng</v>
      </c>
      <c r="G46" t="str">
        <f t="shared" ca="1" si="0"/>
        <v>"2084216644" : "Một dòng",</v>
      </c>
    </row>
    <row r="47" spans="1:7" ht="14.25" customHeight="1">
      <c r="A47" s="2">
        <v>2084216645</v>
      </c>
      <c r="B47" s="2" t="s">
        <v>592</v>
      </c>
      <c r="C47" s="2" t="s">
        <v>892</v>
      </c>
      <c r="D47" s="2" t="s">
        <v>893</v>
      </c>
      <c r="E47" s="5" t="str">
        <f ca="1">IFERROR(__xludf.DUMMYFUNCTION("GOOGLETRANSLATE(B56,""ja"",""vi"")"),"hàng")</f>
        <v>hàng</v>
      </c>
      <c r="F47" s="4" t="str">
        <f ca="1">IFERROR(__xludf.DUMMYFUNCTION("GOOGLETRANSLATE(C56,""ja"",""vi"")"),"Đấu giá&gt; phim, video&gt; băng video&gt; thần tượng&gt; người phụ nữ thần tượng&gt; hàng")</f>
        <v>Đấu giá&gt; phim, video&gt; băng video&gt; thần tượng&gt; người phụ nữ thần tượng&gt; hàng</v>
      </c>
      <c r="G47" t="str">
        <f t="shared" ca="1" si="0"/>
        <v>"2084216645" : "hàng",</v>
      </c>
    </row>
    <row r="48" spans="1:7" ht="14.25" customHeight="1">
      <c r="A48" s="2">
        <v>2084216646</v>
      </c>
      <c r="B48" s="2" t="s">
        <v>600</v>
      </c>
      <c r="C48" s="2" t="s">
        <v>899</v>
      </c>
      <c r="D48" s="2" t="s">
        <v>900</v>
      </c>
      <c r="E48" s="5" t="str">
        <f ca="1">IFERROR(__xludf.DUMMYFUNCTION("GOOGLETRANSLATE(B57,""ja"",""vi"")"),"hoặc dòng")</f>
        <v>hoặc dòng</v>
      </c>
      <c r="F48" s="4" t="str">
        <f ca="1">IFERROR(__xludf.DUMMYFUNCTION("GOOGLETRANSLATE(C57,""ja"",""vi"")"),"Đấu giá&gt; phim, video&gt; băng video&gt; thần tượng&gt; người phụ nữ thần tượng&gt; hoặc hàng")</f>
        <v>Đấu giá&gt; phim, video&gt; băng video&gt; thần tượng&gt; người phụ nữ thần tượng&gt; hoặc hàng</v>
      </c>
      <c r="G48" t="str">
        <f t="shared" ca="1" si="0"/>
        <v>"2084216646" : "hoặc dòng",</v>
      </c>
    </row>
    <row r="49" spans="1:7" ht="14.25" customHeight="1">
      <c r="A49" s="2">
        <v>2084216647</v>
      </c>
      <c r="B49" s="2" t="s">
        <v>608</v>
      </c>
      <c r="C49" s="2" t="s">
        <v>904</v>
      </c>
      <c r="D49" s="2" t="s">
        <v>907</v>
      </c>
      <c r="E49" s="5" t="str">
        <f ca="1">IFERROR(__xludf.DUMMYFUNCTION("GOOGLETRANSLATE(B58,""ja"",""vi"")"),"hoặc hàng")</f>
        <v>hoặc hàng</v>
      </c>
      <c r="F49" s="4" t="str">
        <f ca="1">IFERROR(__xludf.DUMMYFUNCTION("GOOGLETRANSLATE(C58,""ja"",""vi"")"),"Đấu giá&gt; phim, video&gt; băng video&gt; thần tượng&gt; người phụ nữ thần tượng&gt; hoặc hàng")</f>
        <v>Đấu giá&gt; phim, video&gt; băng video&gt; thần tượng&gt; người phụ nữ thần tượng&gt; hoặc hàng</v>
      </c>
      <c r="G49" t="str">
        <f t="shared" ca="1" si="0"/>
        <v>"2084216647" : "hoặc hàng",</v>
      </c>
    </row>
    <row r="50" spans="1:7" ht="14.25" customHeight="1">
      <c r="A50" s="2">
        <v>2084216648</v>
      </c>
      <c r="B50" s="2" t="s">
        <v>689</v>
      </c>
      <c r="C50" s="2" t="s">
        <v>911</v>
      </c>
      <c r="D50" s="2" t="s">
        <v>914</v>
      </c>
      <c r="E50" s="5" t="str">
        <f ca="1">IFERROR(__xludf.DUMMYFUNCTION("GOOGLETRANSLATE(B59,""ja"",""vi"")"),"Racovian")</f>
        <v>Racovian</v>
      </c>
      <c r="F50" s="4" t="str">
        <f ca="1">IFERROR(__xludf.DUMMYFUNCTION("GOOGLETRANSLATE(C59,""ja"",""vi"")"),"Đấu giá&gt; phim, video&gt; băng video&gt; thần tượng&gt; người phụ nữ thần tượng&gt; Racovian")</f>
        <v>Đấu giá&gt; phim, video&gt; băng video&gt; thần tượng&gt; người phụ nữ thần tượng&gt; Racovian</v>
      </c>
      <c r="G50" t="str">
        <f t="shared" ca="1" si="0"/>
        <v>"2084216648" : "Racovian",</v>
      </c>
    </row>
    <row r="51" spans="1:7" ht="14.25" customHeight="1">
      <c r="A51" s="2">
        <v>2084216649</v>
      </c>
      <c r="B51" s="2" t="s">
        <v>696</v>
      </c>
      <c r="C51" s="2" t="s">
        <v>920</v>
      </c>
      <c r="D51" s="2" t="s">
        <v>921</v>
      </c>
      <c r="E51" s="5" t="str">
        <f ca="1">IFERROR(__xludf.DUMMYFUNCTION("GOOGLETRANSLATE(B60,""ja"",""vi"")"),"tôi hàng")</f>
        <v>tôi hàng</v>
      </c>
      <c r="F51" s="4" t="str">
        <f ca="1">IFERROR(__xludf.DUMMYFUNCTION("GOOGLETRANSLATE(C60,""ja"",""vi"")"),"Đấu giá&gt; phim, video&gt; băng video&gt; thần tượng&gt; người phụ nữ thần tượng&gt; Tôi dòng")</f>
        <v>Đấu giá&gt; phim, video&gt; băng video&gt; thần tượng&gt; người phụ nữ thần tượng&gt; Tôi dòng</v>
      </c>
      <c r="G51" t="str">
        <f t="shared" ca="1" si="0"/>
        <v>"2084216649" : "tôi hàng",</v>
      </c>
    </row>
    <row r="52" spans="1:7" ht="14.25" customHeight="1">
      <c r="A52" s="2">
        <v>2084216650</v>
      </c>
      <c r="B52" s="2" t="s">
        <v>837</v>
      </c>
      <c r="C52" s="2" t="s">
        <v>927</v>
      </c>
      <c r="D52" s="2" t="s">
        <v>928</v>
      </c>
      <c r="E52" s="5" t="str">
        <f ca="1">IFERROR(__xludf.DUMMYFUNCTION("GOOGLETRANSLATE(B61,""ja"",""vi"")"),"nhiều chủ đề")</f>
        <v>nhiều chủ đề</v>
      </c>
      <c r="F52" s="4" t="str">
        <f ca="1">IFERROR(__xludf.DUMMYFUNCTION("GOOGLETRANSLATE(C61,""ja"",""vi"")"),"Đấu giá&gt; phim, video&gt; băng video&gt; thần tượng&gt; người phụ nữ thần tượng&gt; một số đối tượng")</f>
        <v>Đấu giá&gt; phim, video&gt; băng video&gt; thần tượng&gt; người phụ nữ thần tượng&gt; một số đối tượng</v>
      </c>
      <c r="G52" t="str">
        <f t="shared" ca="1" si="0"/>
        <v>"2084216650" : "nhiều chủ đề",</v>
      </c>
    </row>
    <row r="53" spans="1:7" ht="14.25" customHeight="1">
      <c r="A53" s="11">
        <v>2084033845</v>
      </c>
      <c r="B53" s="11" t="s">
        <v>934</v>
      </c>
      <c r="C53" s="11" t="s">
        <v>935</v>
      </c>
      <c r="D53" s="11" t="s">
        <v>936</v>
      </c>
      <c r="E53" s="5" t="str">
        <f ca="1">IFERROR(__xludf.DUMMYFUNCTION("GOOGLETRANSLATE(B64,""ja"",""vi"")"),"Tiểu luận")</f>
        <v>Tiểu luận</v>
      </c>
      <c r="F53" s="4" t="str">
        <f ca="1">IFERROR(__xludf.DUMMYFUNCTION("GOOGLETRANSLATE(C64,""ja"",""vi"")"),"Đấu giá&gt; Sách, tạp chí&gt; Nghệ thuật &amp; giải trí&gt; Phim ảnh, truyền hình&gt; cuốn sách tài năng&gt; Nhạc sĩ của này&gt; tiểu luận")</f>
        <v>Đấu giá&gt; Sách, tạp chí&gt; Nghệ thuật &amp; giải trí&gt; Phim ảnh, truyền hình&gt; cuốn sách tài năng&gt; Nhạc sĩ của này&gt; tiểu luận</v>
      </c>
      <c r="G53" t="str">
        <f t="shared" ca="1" si="0"/>
        <v>"2084033845" : "Tiểu luận",</v>
      </c>
    </row>
    <row r="54" spans="1:7" ht="14.25" customHeight="1">
      <c r="A54" s="2">
        <v>2084033846</v>
      </c>
      <c r="B54" s="2" t="s">
        <v>942</v>
      </c>
      <c r="C54" s="2" t="s">
        <v>943</v>
      </c>
      <c r="D54" s="2" t="s">
        <v>944</v>
      </c>
      <c r="E54" s="5" t="str">
        <f ca="1">IFERROR(__xludf.DUMMYFUNCTION("GOOGLETRANSLATE(B65,""ja"",""vi"")"),"Tự truyện, giáo dục")</f>
        <v>Tự truyện, giáo dục</v>
      </c>
      <c r="F54" s="4" t="str">
        <f ca="1">IFERROR(__xludf.DUMMYFUNCTION("GOOGLETRANSLATE(C65,""ja"",""vi"")"),"Đấu giá&gt; Sách, tạp chí&gt; Nghệ thuật &amp; giải trí&gt; Phim ảnh, truyền hình&gt; cuốn sách tài năng&gt; Nhạc sĩ của này&gt; cuốn tự truyện, giáo dục")</f>
        <v>Đấu giá&gt; Sách, tạp chí&gt; Nghệ thuật &amp; giải trí&gt; Phim ảnh, truyền hình&gt; cuốn sách tài năng&gt; Nhạc sĩ của này&gt; cuốn tự truyện, giáo dục</v>
      </c>
      <c r="G54" t="str">
        <f t="shared" ca="1" si="0"/>
        <v>"2084033846" : "Tự truyện, giáo dục",</v>
      </c>
    </row>
    <row r="55" spans="1:7" ht="14.25" customHeight="1">
      <c r="A55" s="2">
        <v>2084033844</v>
      </c>
      <c r="B55" s="2" t="s">
        <v>950</v>
      </c>
      <c r="C55" s="2" t="s">
        <v>951</v>
      </c>
      <c r="D55" s="2" t="s">
        <v>953</v>
      </c>
      <c r="E55" s="5" t="str">
        <f ca="1">IFERROR(__xludf.DUMMYFUNCTION("GOOGLETRANSLATE(B66,""ja"",""vi"")"),"tiểu thuyết")</f>
        <v>tiểu thuyết</v>
      </c>
      <c r="F55" s="4" t="str">
        <f ca="1">IFERROR(__xludf.DUMMYFUNCTION("GOOGLETRANSLATE(C66,""ja"",""vi"")"),"Đấu giá&gt; Sách, tạp chí&gt; Nghệ thuật &amp; giải trí&gt; Phim ảnh, truyền hình&gt; cuốn sách tài năng&gt; Nhạc sĩ của này&gt; Fiction")</f>
        <v>Đấu giá&gt; Sách, tạp chí&gt; Nghệ thuật &amp; giải trí&gt; Phim ảnh, truyền hình&gt; cuốn sách tài năng&gt; Nhạc sĩ của này&gt; Fiction</v>
      </c>
      <c r="G55" t="str">
        <f t="shared" ca="1" si="0"/>
        <v>"2084033844" : "tiểu thuyết",</v>
      </c>
    </row>
    <row r="56" spans="1:7" ht="14.25" customHeight="1">
      <c r="A56" s="2">
        <v>2084033847</v>
      </c>
      <c r="B56" s="2" t="s">
        <v>46</v>
      </c>
      <c r="C56" s="2" t="s">
        <v>958</v>
      </c>
      <c r="D56" s="2" t="s">
        <v>960</v>
      </c>
      <c r="E56" s="5" t="str">
        <f ca="1">IFERROR(__xludf.DUMMYFUNCTION("GOOGLETRANSLATE(B67,""ja"",""vi"")"),"nếu không thì")</f>
        <v>nếu không thì</v>
      </c>
      <c r="F56" s="4" t="str">
        <f ca="1">IFERROR(__xludf.DUMMYFUNCTION("GOOGLETRANSLATE(C67,""ja"",""vi"")"),"Đấu giá&gt; Sách, tạp chí&gt; Nghệ thuật &amp; giải trí&gt; Phim ảnh, truyền hình&gt; cuốn sách tài năng&gt; Nhạc sĩ của này&gt; Khác")</f>
        <v>Đấu giá&gt; Sách, tạp chí&gt; Nghệ thuật &amp; giải trí&gt; Phim ảnh, truyền hình&gt; cuốn sách tài năng&gt; Nhạc sĩ của này&gt; Khác</v>
      </c>
      <c r="G56" t="str">
        <f t="shared" ca="1" si="0"/>
        <v>"2084033847" : "nếu không thì",</v>
      </c>
    </row>
    <row r="57" spans="1:7" ht="14.25" customHeight="1">
      <c r="E57" s="5" t="str">
        <f ca="1">IFERROR(__xludf.DUMMYFUNCTION("GOOGLETRANSLATE(B68,""ja"",""vi"")"),"#VALUE!")</f>
        <v>#VALUE!</v>
      </c>
      <c r="F57" s="4" t="str">
        <f ca="1">IFERROR(__xludf.DUMMYFUNCTION("GOOGLETRANSLATE(C68,""ja"",""vi"")"),"#VALUE!")</f>
        <v>#VALUE!</v>
      </c>
      <c r="G57" t="str">
        <f t="shared" ca="1" si="0"/>
        <v>"" : "#VALUE!",</v>
      </c>
    </row>
    <row r="58" spans="1:7" ht="14.25" customHeight="1">
      <c r="A58" s="3">
        <v>2084009039</v>
      </c>
      <c r="B58" s="10"/>
      <c r="C58" s="10"/>
      <c r="D58" s="10"/>
      <c r="E58" s="5" t="str">
        <f ca="1">IFERROR(__xludf.DUMMYFUNCTION("GOOGLETRANSLATE(B69,""ja"",""vi"")"),"#VALUE!")</f>
        <v>#VALUE!</v>
      </c>
      <c r="F58" s="4" t="str">
        <f ca="1">IFERROR(__xludf.DUMMYFUNCTION("GOOGLETRANSLATE(C69,""ja"",""vi"")"),"#VALUE!")</f>
        <v>#VALUE!</v>
      </c>
      <c r="G58" t="str">
        <f t="shared" ca="1" si="0"/>
        <v>"2084009039" : "#VALUE!",</v>
      </c>
    </row>
    <row r="59" spans="1:7" ht="14.25" customHeight="1">
      <c r="A59" s="11">
        <v>2084033841</v>
      </c>
      <c r="B59" s="11" t="s">
        <v>934</v>
      </c>
      <c r="C59" s="11" t="s">
        <v>967</v>
      </c>
      <c r="D59" s="11" t="s">
        <v>968</v>
      </c>
      <c r="E59" s="5" t="str">
        <f ca="1">IFERROR(__xludf.DUMMYFUNCTION("GOOGLETRANSLATE(B70,""ja"",""vi"")"),"Tiểu luận")</f>
        <v>Tiểu luận</v>
      </c>
      <c r="F59" s="4" t="str">
        <f ca="1">IFERROR(__xludf.DUMMYFUNCTION("GOOGLETRANSLATE(C70,""ja"",""vi"")"),"Đấu giá&gt; Sách, tạp chí&gt; Nghệ thuật &amp; giải trí&gt; Phim ảnh, truyền hình&gt; cuốn sách tài năng&gt; người nổi tiếng, tài năng này&gt; tiểu luận")</f>
        <v>Đấu giá&gt; Sách, tạp chí&gt; Nghệ thuật &amp; giải trí&gt; Phim ảnh, truyền hình&gt; cuốn sách tài năng&gt; người nổi tiếng, tài năng này&gt; tiểu luận</v>
      </c>
      <c r="G59" t="str">
        <f t="shared" ca="1" si="0"/>
        <v>"2084033841" : "Tiểu luận",</v>
      </c>
    </row>
    <row r="60" spans="1:7" ht="14.25" customHeight="1">
      <c r="A60" s="2">
        <v>2084033842</v>
      </c>
      <c r="B60" s="2" t="s">
        <v>942</v>
      </c>
      <c r="C60" s="2" t="s">
        <v>973</v>
      </c>
      <c r="D60" s="2" t="s">
        <v>976</v>
      </c>
      <c r="E60" s="5" t="str">
        <f ca="1">IFERROR(__xludf.DUMMYFUNCTION("GOOGLETRANSLATE(B71,""ja"",""vi"")"),"Tự truyện, giáo dục")</f>
        <v>Tự truyện, giáo dục</v>
      </c>
      <c r="F60" s="4" t="str">
        <f ca="1">IFERROR(__xludf.DUMMYFUNCTION("GOOGLETRANSLATE(C71,""ja"",""vi"")"),"Đấu giá&gt; Sách, tạp chí&gt; Nghệ thuật &amp; giải trí&gt; Phim ảnh, truyền hình&gt; cuốn sách tài năng&gt; người nổi tiếng, tài năng này&gt; cuốn tự truyện, giáo dục")</f>
        <v>Đấu giá&gt; Sách, tạp chí&gt; Nghệ thuật &amp; giải trí&gt; Phim ảnh, truyền hình&gt; cuốn sách tài năng&gt; người nổi tiếng, tài năng này&gt; cuốn tự truyện, giáo dục</v>
      </c>
      <c r="G60" t="str">
        <f t="shared" ca="1" si="0"/>
        <v>"2084033842" : "Tự truyện, giáo dục",</v>
      </c>
    </row>
    <row r="61" spans="1:7" ht="14.25" customHeight="1">
      <c r="A61" s="2">
        <v>2084033840</v>
      </c>
      <c r="B61" s="2" t="s">
        <v>950</v>
      </c>
      <c r="C61" s="2" t="s">
        <v>984</v>
      </c>
      <c r="D61" s="2" t="s">
        <v>986</v>
      </c>
      <c r="E61" s="5" t="str">
        <f ca="1">IFERROR(__xludf.DUMMYFUNCTION("GOOGLETRANSLATE(B72,""ja"",""vi"")"),"tiểu thuyết")</f>
        <v>tiểu thuyết</v>
      </c>
      <c r="F61" s="4" t="str">
        <f ca="1">IFERROR(__xludf.DUMMYFUNCTION("GOOGLETRANSLATE(C72,""ja"",""vi"")"),"Đấu giá&gt; Sách, tạp chí&gt; Nghệ thuật &amp; giải trí&gt; Phim ảnh, truyền hình&gt; cuốn sách tài năng&gt; người nổi tiếng, tài năng này&gt; Fiction")</f>
        <v>Đấu giá&gt; Sách, tạp chí&gt; Nghệ thuật &amp; giải trí&gt; Phim ảnh, truyền hình&gt; cuốn sách tài năng&gt; người nổi tiếng, tài năng này&gt; Fiction</v>
      </c>
      <c r="G61" t="str">
        <f t="shared" ca="1" si="0"/>
        <v>"2084033840" : "tiểu thuyết",</v>
      </c>
    </row>
    <row r="62" spans="1:7" ht="14.25" customHeight="1">
      <c r="A62" s="2">
        <v>2084033843</v>
      </c>
      <c r="B62" s="2" t="s">
        <v>46</v>
      </c>
      <c r="C62" s="2" t="s">
        <v>988</v>
      </c>
      <c r="D62" s="2" t="s">
        <v>990</v>
      </c>
      <c r="E62" s="5" t="str">
        <f ca="1">IFERROR(__xludf.DUMMYFUNCTION("GOOGLETRANSLATE(B73,""ja"",""vi"")"),"nếu không thì")</f>
        <v>nếu không thì</v>
      </c>
      <c r="F62" s="4" t="str">
        <f ca="1">IFERROR(__xludf.DUMMYFUNCTION("GOOGLETRANSLATE(C73,""ja"",""vi"")"),"Đấu giá&gt; Sách, tạp chí&gt; Nghệ thuật &amp; giải trí&gt; Phim ảnh, truyền hình&gt; cuốn sách tài năng&gt; người nổi tiếng, tài năng này&gt; Khác")</f>
        <v>Đấu giá&gt; Sách, tạp chí&gt; Nghệ thuật &amp; giải trí&gt; Phim ảnh, truyền hình&gt; cuốn sách tài năng&gt; người nổi tiếng, tài năng này&gt; Khác</v>
      </c>
      <c r="G62" t="str">
        <f t="shared" ca="1" si="0"/>
        <v>"2084033843" : "nếu không thì",</v>
      </c>
    </row>
    <row r="63" spans="1:7" ht="14.25" customHeight="1">
      <c r="E63" s="5" t="str">
        <f ca="1">IFERROR(__xludf.DUMMYFUNCTION("GOOGLETRANSLATE(B74,""ja"",""vi"")"),"#VALUE!")</f>
        <v>#VALUE!</v>
      </c>
      <c r="F63" s="4" t="str">
        <f ca="1">IFERROR(__xludf.DUMMYFUNCTION("GOOGLETRANSLATE(C74,""ja"",""vi"")"),"#VALUE!")</f>
        <v>#VALUE!</v>
      </c>
      <c r="G63" t="str">
        <f t="shared" ca="1" si="0"/>
        <v>"" : "#VALUE!",</v>
      </c>
    </row>
    <row r="64" spans="1:7" ht="14.25" customHeight="1">
      <c r="A64" s="3">
        <v>2084008066</v>
      </c>
      <c r="B64" s="10"/>
      <c r="C64" s="10"/>
      <c r="D64" s="10"/>
      <c r="E64" s="5" t="str">
        <f ca="1">IFERROR(__xludf.DUMMYFUNCTION("GOOGLETRANSLATE(B75,""ja"",""vi"")"),"#VALUE!")</f>
        <v>#VALUE!</v>
      </c>
      <c r="F64" s="4" t="str">
        <f ca="1">IFERROR(__xludf.DUMMYFUNCTION("GOOGLETRANSLATE(C75,""ja"",""vi"")"),"#VALUE!")</f>
        <v>#VALUE!</v>
      </c>
      <c r="G64" t="str">
        <f t="shared" ca="1" si="0"/>
        <v>"2084008066" : "#VALUE!",</v>
      </c>
    </row>
    <row r="65" spans="1:7" ht="14.25" customHeight="1">
      <c r="A65" s="11">
        <v>2084034022</v>
      </c>
      <c r="B65" s="11" t="s">
        <v>996</v>
      </c>
      <c r="C65" s="11" t="s">
        <v>998</v>
      </c>
      <c r="D65" s="11" t="s">
        <v>999</v>
      </c>
      <c r="E65" s="5" t="str">
        <f ca="1">IFERROR(__xludf.DUMMYFUNCTION("GOOGLETRANSLATE(B76,""ja"",""vi"")"),"BOMB!")</f>
        <v>BOMB!</v>
      </c>
      <c r="F65" s="4" t="str">
        <f ca="1">IFERROR(__xludf.DUMMYFUNCTION("GOOGLETRANSLATE(C76,""ja"",""vi"")"),"Đấu giá&gt; cuốn sách, tạp chí&gt; Tạp chí&gt; nghệ thuật, vui chơi giải trí&gt; thần tượng, giải trí&gt; BOMB!")</f>
        <v>Đấu giá&gt; cuốn sách, tạp chí&gt; Tạp chí&gt; nghệ thuật, vui chơi giải trí&gt; thần tượng, giải trí&gt; BOMB!</v>
      </c>
      <c r="G65" t="str">
        <f t="shared" ca="1" si="0"/>
        <v>"2084034022" : "BOMB!",</v>
      </c>
    </row>
    <row r="66" spans="1:7" ht="14.25" customHeight="1">
      <c r="A66" s="2">
        <v>2084040626</v>
      </c>
      <c r="B66" s="2" t="s">
        <v>1003</v>
      </c>
      <c r="C66" s="2" t="s">
        <v>1004</v>
      </c>
      <c r="D66" s="2" t="s">
        <v>1005</v>
      </c>
      <c r="E66" s="5" t="str">
        <f ca="1">IFERROR(__xludf.DUMMYFUNCTION("GOOGLETRANSLATE(B77,""ja"",""vi"")"),"Dunk")</f>
        <v>Dunk</v>
      </c>
      <c r="F66" s="4" t="str">
        <f ca="1">IFERROR(__xludf.DUMMYFUNCTION("GOOGLETRANSLATE(C77,""ja"",""vi"")"),"Đấu giá&gt; cuốn sách, tạp chí&gt; Tạp chí&gt; nghệ thuật, vui chơi giải trí&gt; thần tượng, giải trí&gt; Dunk")</f>
        <v>Đấu giá&gt; cuốn sách, tạp chí&gt; Tạp chí&gt; nghệ thuật, vui chơi giải trí&gt; thần tượng, giải trí&gt; Dunk</v>
      </c>
      <c r="G66" t="str">
        <f t="shared" ca="1" si="0"/>
        <v>"2084040626" : "Dunk",</v>
      </c>
    </row>
    <row r="67" spans="1:7" ht="14.25" customHeight="1">
      <c r="A67" s="2">
        <v>2084034030</v>
      </c>
      <c r="B67" s="2" t="s">
        <v>1011</v>
      </c>
      <c r="C67" s="2" t="s">
        <v>1012</v>
      </c>
      <c r="D67" s="2" t="s">
        <v>1014</v>
      </c>
      <c r="E67" s="5" t="str">
        <f ca="1">IFERROR(__xludf.DUMMYFUNCTION("GOOGLETRANSLATE(B78,""ja"",""vi"")"),"Duet")</f>
        <v>Duet</v>
      </c>
      <c r="F67" s="4" t="str">
        <f ca="1">IFERROR(__xludf.DUMMYFUNCTION("GOOGLETRANSLATE(C78,""ja"",""vi"")"),"Đấu giá&gt; cuốn sách, tạp chí&gt; Tạp chí&gt; nghệ thuật, vui chơi giải trí&gt; thần tượng, giải trí&gt; Duet")</f>
        <v>Đấu giá&gt; cuốn sách, tạp chí&gt; Tạp chí&gt; nghệ thuật, vui chơi giải trí&gt; thần tượng, giải trí&gt; Duet</v>
      </c>
      <c r="G67" t="str">
        <f t="shared" ref="G67:G130" ca="1" si="1">CONCATENATE(CHAR(34)&amp;"",A67,""&amp;CHAR(34)," : ", CHAR(34)&amp;"",E67,""&amp;CHAR(34),",")</f>
        <v>"2084034030" : "Duet",</v>
      </c>
    </row>
    <row r="68" spans="1:7" ht="14.25" customHeight="1">
      <c r="A68" s="2">
        <v>2084034004</v>
      </c>
      <c r="B68" s="2" t="s">
        <v>1019</v>
      </c>
      <c r="C68" s="2" t="s">
        <v>1020</v>
      </c>
      <c r="D68" s="2" t="s">
        <v>1022</v>
      </c>
      <c r="E68" s="5" t="str">
        <f ca="1">IFERROR(__xludf.DUMMYFUNCTION("GOOGLETRANSLATE(B79,""ja"",""vi"")"),"cô gái Pop")</f>
        <v>cô gái Pop</v>
      </c>
      <c r="F68" s="4" t="str">
        <f ca="1">IFERROR(__xludf.DUMMYFUNCTION("GOOGLETRANSLATE(C79,""ja"",""vi"")"),"Đấu giá&gt; cuốn sách, tạp chí&gt; Tạp chí&gt; nghệ thuật, vui chơi giải trí&gt; thần tượng, giải trí&gt; cô gái Pop")</f>
        <v>Đấu giá&gt; cuốn sách, tạp chí&gt; Tạp chí&gt; nghệ thuật, vui chơi giải trí&gt; thần tượng, giải trí&gt; cô gái Pop</v>
      </c>
      <c r="G68" t="str">
        <f t="shared" ca="1" si="1"/>
        <v>"2084034004" : "cô gái Pop",</v>
      </c>
    </row>
    <row r="69" spans="1:7" ht="14.25" customHeight="1">
      <c r="A69" s="2">
        <v>2084034005</v>
      </c>
      <c r="B69" s="2" t="s">
        <v>1025</v>
      </c>
      <c r="C69" s="2" t="s">
        <v>1026</v>
      </c>
      <c r="D69" s="2" t="s">
        <v>1028</v>
      </c>
      <c r="E69" s="5" t="str">
        <f ca="1">IFERROR(__xludf.DUMMYFUNCTION("GOOGLETRANSLATE(B80,""ja"",""vi"")"),"cô gái Hits")</f>
        <v>cô gái Hits</v>
      </c>
      <c r="F69" s="4" t="str">
        <f ca="1">IFERROR(__xludf.DUMMYFUNCTION("GOOGLETRANSLATE(C80,""ja"",""vi"")"),"Đấu giá&gt; cuốn sách, tạp chí&gt; Tạp chí&gt; nghệ thuật, vui chơi giải trí&gt; thần tượng, người nổi tiếng&gt; cô gái Hits")</f>
        <v>Đấu giá&gt; cuốn sách, tạp chí&gt; Tạp chí&gt; nghệ thuật, vui chơi giải trí&gt; thần tượng, người nổi tiếng&gt; cô gái Hits</v>
      </c>
      <c r="G69" t="str">
        <f t="shared" ca="1" si="1"/>
        <v>"2084034005" : "cô gái Hits",</v>
      </c>
    </row>
    <row r="70" spans="1:7" ht="14.25" customHeight="1">
      <c r="A70" s="2">
        <v>2084034035</v>
      </c>
      <c r="B70" s="2" t="s">
        <v>1034</v>
      </c>
      <c r="C70" s="2" t="s">
        <v>1036</v>
      </c>
      <c r="D70" s="2" t="s">
        <v>1038</v>
      </c>
      <c r="E70" s="5" t="str">
        <f ca="1">IFERROR(__xludf.DUMMYFUNCTION("GOOGLETRANSLATE(B81,""ja"",""vi"")"),"JUNON")</f>
        <v>JUNON</v>
      </c>
      <c r="F70" s="4" t="str">
        <f ca="1">IFERROR(__xludf.DUMMYFUNCTION("GOOGLETRANSLATE(C81,""ja"",""vi"")"),"Đấu giá&gt; cuốn sách, tạp chí&gt; Tạp chí&gt; nghệ thuật, vui chơi giải trí&gt; thần tượng, giải trí&gt; JUNON")</f>
        <v>Đấu giá&gt; cuốn sách, tạp chí&gt; Tạp chí&gt; nghệ thuật, vui chơi giải trí&gt; thần tượng, giải trí&gt; JUNON</v>
      </c>
      <c r="G70" t="str">
        <f t="shared" ca="1" si="1"/>
        <v>"2084034035" : "JUNON",</v>
      </c>
    </row>
    <row r="71" spans="1:7" ht="14.25" customHeight="1">
      <c r="A71" s="2">
        <v>2084034025</v>
      </c>
      <c r="B71" s="2" t="s">
        <v>1043</v>
      </c>
      <c r="C71" s="2" t="s">
        <v>1045</v>
      </c>
      <c r="D71" s="2" t="s">
        <v>1046</v>
      </c>
      <c r="E71" s="5" t="str">
        <f ca="1">IFERROR(__xludf.DUMMYFUNCTION("GOOGLETRANSLATE(B82,""ja"",""vi"")"),"Kindai")</f>
        <v>Kindai</v>
      </c>
      <c r="F71" s="4" t="str">
        <f ca="1">IFERROR(__xludf.DUMMYFUNCTION("GOOGLETRANSLATE(C82,""ja"",""vi"")"),"Đấu giá&gt; cuốn sách, tạp chí&gt; Tạp chí&gt; nghệ thuật, vui chơi giải trí&gt; thần tượng, giải trí&gt; Kindai")</f>
        <v>Đấu giá&gt; cuốn sách, tạp chí&gt; Tạp chí&gt; nghệ thuật, vui chơi giải trí&gt; thần tượng, giải trí&gt; Kindai</v>
      </c>
      <c r="G71" t="str">
        <f t="shared" ca="1" si="1"/>
        <v>"2084034025" : "Kindai",</v>
      </c>
    </row>
    <row r="72" spans="1:7" ht="14.25" customHeight="1">
      <c r="A72" s="2">
        <v>2084034027</v>
      </c>
      <c r="B72" s="2" t="s">
        <v>1051</v>
      </c>
      <c r="C72" s="2" t="s">
        <v>1053</v>
      </c>
      <c r="D72" s="2" t="s">
        <v>1054</v>
      </c>
      <c r="E72" s="5" t="str">
        <f ca="1">IFERROR(__xludf.DUMMYFUNCTION("GOOGLETRANSLATE(B83,""ja"",""vi"")"),"MOMOCO")</f>
        <v>MOMOCO</v>
      </c>
      <c r="F72" s="4" t="str">
        <f ca="1">IFERROR(__xludf.DUMMYFUNCTION("GOOGLETRANSLATE(C83,""ja"",""vi"")"),"Đấu giá&gt; cuốn sách, tạp chí&gt; Tạp chí&gt; nghệ thuật, vui chơi giải trí&gt; thần tượng, giải trí&gt; MOMOCO")</f>
        <v>Đấu giá&gt; cuốn sách, tạp chí&gt; Tạp chí&gt; nghệ thuật, vui chơi giải trí&gt; thần tượng, giải trí&gt; MOMOCO</v>
      </c>
      <c r="G72" t="str">
        <f t="shared" ca="1" si="1"/>
        <v>"2084034027" : "MOMOCO",</v>
      </c>
    </row>
    <row r="73" spans="1:7" ht="14.25" customHeight="1">
      <c r="A73" s="2">
        <v>2084034028</v>
      </c>
      <c r="B73" s="2" t="s">
        <v>1057</v>
      </c>
      <c r="C73" s="2" t="s">
        <v>1060</v>
      </c>
      <c r="D73" s="2" t="s">
        <v>1062</v>
      </c>
      <c r="E73" s="5" t="str">
        <f ca="1">IFERROR(__xludf.DUMMYFUNCTION("GOOGLETRANSLATE(B84,""ja"",""vi"")"),"vẻ đàn ông")</f>
        <v>vẻ đàn ông</v>
      </c>
      <c r="F73" s="4" t="str">
        <f ca="1">IFERROR(__xludf.DUMMYFUNCTION("GOOGLETRANSLATE(C84,""ja"",""vi"")"),"Đấu giá&gt; cuốn sách, tạp chí&gt; Tạp chí&gt; nghệ thuật, vui chơi giải trí&gt; thần tượng, giải trí&gt; vẻ đàn ông")</f>
        <v>Đấu giá&gt; cuốn sách, tạp chí&gt; Tạp chí&gt; nghệ thuật, vui chơi giải trí&gt; thần tượng, giải trí&gt; vẻ đàn ông</v>
      </c>
      <c r="G73" t="str">
        <f t="shared" ca="1" si="1"/>
        <v>"2084034028" : "vẻ đàn ông",</v>
      </c>
    </row>
    <row r="74" spans="1:7" ht="14.25" customHeight="1">
      <c r="A74" s="2">
        <v>2084034023</v>
      </c>
      <c r="B74" s="2" t="s">
        <v>1067</v>
      </c>
      <c r="C74" s="2" t="s">
        <v>1069</v>
      </c>
      <c r="D74" s="2" t="s">
        <v>1070</v>
      </c>
      <c r="E74" s="5" t="str">
        <f ca="1">IFERROR(__xludf.DUMMYFUNCTION("GOOGLETRANSLATE(B85,""ja"",""vi"")"),"KHOAI")</f>
        <v>KHOAI</v>
      </c>
      <c r="F74" s="4" t="str">
        <f ca="1">IFERROR(__xludf.DUMMYFUNCTION("GOOGLETRANSLATE(C85,""ja"",""vi"")"),"Đấu giá&gt; cuốn sách, tạp chí&gt; Tạp chí&gt; nghệ thuật, vui chơi giải trí&gt; thần tượng, giải trí&gt; KHOAI")</f>
        <v>Đấu giá&gt; cuốn sách, tạp chí&gt; Tạp chí&gt; nghệ thuật, vui chơi giải trí&gt; thần tượng, giải trí&gt; KHOAI</v>
      </c>
      <c r="G74" t="str">
        <f t="shared" ca="1" si="1"/>
        <v>"2084034023" : "KHOAI",</v>
      </c>
    </row>
    <row r="75" spans="1:7" ht="14.25" customHeight="1">
      <c r="A75" s="2">
        <v>2084034029</v>
      </c>
      <c r="B75" s="2" t="s">
        <v>1076</v>
      </c>
      <c r="C75" s="2" t="s">
        <v>1077</v>
      </c>
      <c r="D75" s="2" t="s">
        <v>1079</v>
      </c>
      <c r="E75" s="5" t="str">
        <f ca="1">IFERROR(__xludf.DUMMYFUNCTION("GOOGLETRANSLATE(B86,""ja"",""vi"")"),"WinkUp")</f>
        <v>WinkUp</v>
      </c>
      <c r="F75" s="4" t="str">
        <f ca="1">IFERROR(__xludf.DUMMYFUNCTION("GOOGLETRANSLATE(C86,""ja"",""vi"")"),"Đấu giá&gt; cuốn sách, tạp chí&gt; Tạp chí&gt; nghệ thuật, vui chơi giải trí&gt; thần tượng, giải trí&gt; WinkUp")</f>
        <v>Đấu giá&gt; cuốn sách, tạp chí&gt; Tạp chí&gt; nghệ thuật, vui chơi giải trí&gt; thần tượng, giải trí&gt; WinkUp</v>
      </c>
      <c r="G75" t="str">
        <f t="shared" ca="1" si="1"/>
        <v>"2084034029" : "WinkUp",</v>
      </c>
    </row>
    <row r="76" spans="1:7" ht="14.25" customHeight="1">
      <c r="A76" s="2">
        <v>2084040625</v>
      </c>
      <c r="B76" s="2" t="s">
        <v>1084</v>
      </c>
      <c r="C76" s="2" t="s">
        <v>1085</v>
      </c>
      <c r="D76" s="2" t="s">
        <v>1087</v>
      </c>
      <c r="E76" s="5" t="str">
        <f ca="1">IFERROR(__xludf.DUMMYFUNCTION("GOOGLETRANSLATE(B87,""ja"",""vi"")"),"Apputuboi")</f>
        <v>Apputuboi</v>
      </c>
      <c r="F76" s="4" t="str">
        <f ca="1">IFERROR(__xludf.DUMMYFUNCTION("GOOGLETRANSLATE(C87,""ja"",""vi"")"),"Đấu giá&gt; cuốn sách, tạp chí&gt; Tạp chí&gt; nghệ thuật, vui chơi giải trí&gt; thần tượng, giải trí&gt; Apputuboi")</f>
        <v>Đấu giá&gt; cuốn sách, tạp chí&gt; Tạp chí&gt; nghệ thuật, vui chơi giải trí&gt; thần tượng, giải trí&gt; Apputuboi</v>
      </c>
      <c r="G76" t="str">
        <f t="shared" ca="1" si="1"/>
        <v>"2084040625" : "Apputuboi",</v>
      </c>
    </row>
    <row r="77" spans="1:7" ht="14.25" customHeight="1">
      <c r="A77" s="2">
        <v>2084045052</v>
      </c>
      <c r="B77" s="2" t="s">
        <v>1092</v>
      </c>
      <c r="C77" s="2" t="s">
        <v>1094</v>
      </c>
      <c r="D77" s="2" t="s">
        <v>1096</v>
      </c>
      <c r="E77" s="5" t="str">
        <f ca="1">IFERROR(__xludf.DUMMYFUNCTION("GOOGLETRANSLATE(B88,""ja"",""vi"")"),"Popolo")</f>
        <v>Popolo</v>
      </c>
      <c r="F77" s="4" t="str">
        <f ca="1">IFERROR(__xludf.DUMMYFUNCTION("GOOGLETRANSLATE(C88,""ja"",""vi"")"),"Đấu giá&gt; cuốn sách, tạp chí&gt; Tạp chí&gt; nghệ thuật, vui chơi giải trí&gt; thần tượng, giải trí&gt; del Popolo")</f>
        <v>Đấu giá&gt; cuốn sách, tạp chí&gt; Tạp chí&gt; nghệ thuật, vui chơi giải trí&gt; thần tượng, giải trí&gt; del Popolo</v>
      </c>
      <c r="G77" t="str">
        <f t="shared" ca="1" si="1"/>
        <v>"2084045052" : "Popolo",</v>
      </c>
    </row>
    <row r="78" spans="1:7" ht="14.25" customHeight="1">
      <c r="A78" s="2">
        <v>2084034031</v>
      </c>
      <c r="B78" s="2" t="s">
        <v>1100</v>
      </c>
      <c r="C78" s="2" t="s">
        <v>1101</v>
      </c>
      <c r="D78" s="2" t="s">
        <v>1103</v>
      </c>
      <c r="E78" s="5" t="str">
        <f ca="1">IFERROR(__xludf.DUMMYFUNCTION("GOOGLETRANSLATE(B89,""ja"",""vi"")"),"hàng tháng Kadokawa")</f>
        <v>hàng tháng Kadokawa</v>
      </c>
      <c r="F78" s="4" t="str">
        <f ca="1">IFERROR(__xludf.DUMMYFUNCTION("GOOGLETRANSLATE(C89,""ja"",""vi"")"),"Đấu giá&gt; cuốn sách, tạp chí&gt; Tạp chí&gt; nghệ thuật, vui chơi giải trí&gt; thần tượng, giải trí&gt; Hàng tháng Kadokawa")</f>
        <v>Đấu giá&gt; cuốn sách, tạp chí&gt; Tạp chí&gt; nghệ thuật, vui chơi giải trí&gt; thần tượng, giải trí&gt; Hàng tháng Kadokawa</v>
      </c>
      <c r="G78" t="str">
        <f t="shared" ca="1" si="1"/>
        <v>"2084034031" : "hàng tháng Kadokawa",</v>
      </c>
    </row>
    <row r="79" spans="1:7" ht="14.25" customHeight="1">
      <c r="A79" s="2">
        <v>2084034024</v>
      </c>
      <c r="B79" s="2" t="s">
        <v>1108</v>
      </c>
      <c r="C79" s="2" t="s">
        <v>1109</v>
      </c>
      <c r="D79" s="2" t="s">
        <v>1110</v>
      </c>
      <c r="E79" s="5" t="str">
        <f ca="1">IFERROR(__xludf.DUMMYFUNCTION("GOOGLETRANSLATE(B90,""ja"",""vi"")"),"bài hát nổi tiếng hàng tháng")</f>
        <v>bài hát nổi tiếng hàng tháng</v>
      </c>
      <c r="F79" s="4" t="str">
        <f ca="1">IFERROR(__xludf.DUMMYFUNCTION("GOOGLETRANSLATE(C90,""ja"",""vi"")"),"Đấu giá&gt; cuốn sách, tạp chí&gt; Tạp chí&gt; nghệ thuật, vui chơi giải trí&gt; thần tượng, giải trí&gt; bài hát nổi tiếng hàng tháng")</f>
        <v>Đấu giá&gt; cuốn sách, tạp chí&gt; Tạp chí&gt; nghệ thuật, vui chơi giải trí&gt; thần tượng, giải trí&gt; bài hát nổi tiếng hàng tháng</v>
      </c>
      <c r="G79" t="str">
        <f t="shared" ca="1" si="1"/>
        <v>"2084034024" : "bài hát nổi tiếng hàng tháng",</v>
      </c>
    </row>
    <row r="80" spans="1:7" ht="14.25" customHeight="1">
      <c r="A80" s="2">
        <v>2084045051</v>
      </c>
      <c r="B80" s="2" t="s">
        <v>1116</v>
      </c>
      <c r="C80" s="2" t="s">
        <v>1117</v>
      </c>
      <c r="D80" s="2" t="s">
        <v>1118</v>
      </c>
      <c r="E80" s="5" t="str">
        <f ca="1">IFERROR(__xludf.DUMMYFUNCTION("GOOGLETRANSLATE(B91,""ja"",""vi"")"),"tầm thường")</f>
        <v>tầm thường</v>
      </c>
      <c r="F80" s="4" t="str">
        <f ca="1">IFERROR(__xludf.DUMMYFUNCTION("GOOGLETRANSLATE(C91,""ja"",""vi"")"),"Đấu giá&gt; cuốn sách, tạp chí&gt; Tạp chí&gt; nghệ thuật, vui chơi giải trí&gt; thần tượng, giải trí&gt; tầm thường")</f>
        <v>Đấu giá&gt; cuốn sách, tạp chí&gt; Tạp chí&gt; nghệ thuật, vui chơi giải trí&gt; thần tượng, giải trí&gt; tầm thường</v>
      </c>
      <c r="G80" t="str">
        <f t="shared" ca="1" si="1"/>
        <v>"2084045051" : "tầm thường",</v>
      </c>
    </row>
    <row r="81" spans="1:7" ht="14.25" customHeight="1">
      <c r="A81" s="2">
        <v>2084034026</v>
      </c>
      <c r="B81" s="2" t="s">
        <v>1124</v>
      </c>
      <c r="C81" s="2" t="s">
        <v>1125</v>
      </c>
      <c r="D81" s="2" t="s">
        <v>1126</v>
      </c>
      <c r="E81" s="5" t="str">
        <f ca="1">IFERROR(__xludf.DUMMYFUNCTION("GOOGLETRANSLATE(B92,""ja"",""vi"")"),"Myojo, Myojo")</f>
        <v>Myojo, Myojo</v>
      </c>
      <c r="F81" s="4" t="str">
        <f ca="1">IFERROR(__xludf.DUMMYFUNCTION("GOOGLETRANSLATE(C92,""ja"",""vi"")"),"Đấu giá&gt; cuốn sách, tạp chí&gt; Tạp chí&gt; nghệ thuật, vui chơi giải trí&gt; thần tượng, giải trí&gt; sao sáng, Myojo")</f>
        <v>Đấu giá&gt; cuốn sách, tạp chí&gt; Tạp chí&gt; nghệ thuật, vui chơi giải trí&gt; thần tượng, giải trí&gt; sao sáng, Myojo</v>
      </c>
      <c r="G81" t="str">
        <f t="shared" ca="1" si="1"/>
        <v>"2084034026" : "Myojo, Myojo",</v>
      </c>
    </row>
    <row r="82" spans="1:7" ht="14.25" customHeight="1">
      <c r="A82" s="2">
        <v>2084034075</v>
      </c>
      <c r="B82" s="2" t="s">
        <v>46</v>
      </c>
      <c r="C82" s="2" t="s">
        <v>1132</v>
      </c>
      <c r="D82" s="2" t="s">
        <v>1133</v>
      </c>
      <c r="E82" s="5" t="str">
        <f ca="1">IFERROR(__xludf.DUMMYFUNCTION("GOOGLETRANSLATE(B93,""ja"",""vi"")"),"nếu không thì")</f>
        <v>nếu không thì</v>
      </c>
      <c r="F82" s="4" t="str">
        <f ca="1">IFERROR(__xludf.DUMMYFUNCTION("GOOGLETRANSLATE(C93,""ja"",""vi"")"),"Đấu giá&gt; cuốn sách, tạp chí&gt; Tạp chí&gt; nghệ thuật, vui chơi giải trí&gt; thần tượng, giải trí&gt; Khác")</f>
        <v>Đấu giá&gt; cuốn sách, tạp chí&gt; Tạp chí&gt; nghệ thuật, vui chơi giải trí&gt; thần tượng, giải trí&gt; Khác</v>
      </c>
      <c r="G82" t="str">
        <f t="shared" ca="1" si="1"/>
        <v>"2084034075" : "nếu không thì",</v>
      </c>
    </row>
    <row r="83" spans="1:7" ht="14.25" customHeight="1">
      <c r="E83" s="5" t="str">
        <f ca="1">IFERROR(__xludf.DUMMYFUNCTION("GOOGLETRANSLATE(B94,""ja"",""vi"")"),"#VALUE!")</f>
        <v>#VALUE!</v>
      </c>
      <c r="F83" s="4" t="str">
        <f ca="1">IFERROR(__xludf.DUMMYFUNCTION("GOOGLETRANSLATE(C94,""ja"",""vi"")"),"#VALUE!")</f>
        <v>#VALUE!</v>
      </c>
      <c r="G83" t="str">
        <f t="shared" ca="1" si="1"/>
        <v>"" : "#VALUE!",</v>
      </c>
    </row>
    <row r="84" spans="1:7" ht="14.25" customHeight="1">
      <c r="A84" s="3">
        <v>50060</v>
      </c>
      <c r="B84" s="10"/>
      <c r="C84" s="10"/>
      <c r="D84" s="10"/>
      <c r="E84" s="5" t="str">
        <f ca="1">IFERROR(__xludf.DUMMYFUNCTION("GOOGLETRANSLATE(B95,""ja"",""vi"")"),"#VALUE!")</f>
        <v>#VALUE!</v>
      </c>
      <c r="F84" s="4" t="str">
        <f ca="1">IFERROR(__xludf.DUMMYFUNCTION("GOOGLETRANSLATE(C95,""ja"",""vi"")"),"#VALUE!")</f>
        <v>#VALUE!</v>
      </c>
      <c r="G84" t="str">
        <f t="shared" ca="1" si="1"/>
        <v>"50060" : "#VALUE!",</v>
      </c>
    </row>
    <row r="85" spans="1:7" ht="14.25" customHeight="1">
      <c r="A85" s="11">
        <v>2084005269</v>
      </c>
      <c r="B85" s="11" t="s">
        <v>1139</v>
      </c>
      <c r="C85" s="11" t="s">
        <v>1140</v>
      </c>
      <c r="D85" s="11" t="s">
        <v>1141</v>
      </c>
      <c r="E85" s="5" t="str">
        <f ca="1">IFERROR(__xludf.DUMMYFUNCTION("GOOGLETRANSLATE(B96,""ja"",""vi"")"),"Pop Nhật Bản")</f>
        <v>Pop Nhật Bản</v>
      </c>
      <c r="F85" s="4" t="str">
        <f ca="1">IFERROR(__xludf.DUMMYFUNCTION("GOOGLETRANSLATE(C96,""ja"",""vi"")"),"Đấu giá&gt; vé, chứng từ, đặt phòng khách sạn&gt; vé vui chơi giải trí&gt; Âm nhạc&gt; Nhật Bản Pop")</f>
        <v>Đấu giá&gt; vé, chứng từ, đặt phòng khách sạn&gt; vé vui chơi giải trí&gt; Âm nhạc&gt; Nhật Bản Pop</v>
      </c>
      <c r="G85" t="str">
        <f t="shared" ca="1" si="1"/>
        <v>"2084005269" : "Pop Nhật Bản",</v>
      </c>
    </row>
    <row r="86" spans="1:7" ht="14.25" customHeight="1">
      <c r="A86" s="2">
        <v>2084059686</v>
      </c>
      <c r="B86" s="2" t="s">
        <v>1147</v>
      </c>
      <c r="C86" s="2" t="s">
        <v>1148</v>
      </c>
      <c r="D86" s="2" t="s">
        <v>1149</v>
      </c>
      <c r="E86" s="5" t="str">
        <f ca="1">IFERROR(__xludf.DUMMYFUNCTION("GOOGLETRANSLATE(B97,""ja"",""vi"")"),"ballad")</f>
        <v>ballad</v>
      </c>
      <c r="F86" s="4" t="str">
        <f ca="1">IFERROR(__xludf.DUMMYFUNCTION("GOOGLETRANSLATE(C97,""ja"",""vi"")"),"Đấu giá&gt; vé, chứng từ, đặt phòng khách sạn&gt; vé vui chơi giải trí&gt; Âm nhạc&gt; Enka")</f>
        <v>Đấu giá&gt; vé, chứng từ, đặt phòng khách sạn&gt; vé vui chơi giải trí&gt; Âm nhạc&gt; Enka</v>
      </c>
      <c r="G86" t="str">
        <f t="shared" ca="1" si="1"/>
        <v>"2084059686" : "ballad",</v>
      </c>
    </row>
    <row r="87" spans="1:7" ht="14.25" customHeight="1">
      <c r="A87" s="2">
        <v>22788</v>
      </c>
      <c r="B87" s="2" t="s">
        <v>1154</v>
      </c>
      <c r="C87" s="2" t="s">
        <v>1156</v>
      </c>
      <c r="D87" s="2" t="s">
        <v>1157</v>
      </c>
      <c r="E87" s="5" t="str">
        <f ca="1">IFERROR(__xludf.DUMMYFUNCTION("GOOGLETRANSLATE(B98,""ja"",""vi"")"),"thế giới")</f>
        <v>thế giới</v>
      </c>
      <c r="F87" s="4" t="str">
        <f ca="1">IFERROR(__xludf.DUMMYFUNCTION("GOOGLETRANSLATE(C98,""ja"",""vi"")"),"Đấu giá&gt; vé, chứng từ, đặt phòng khách sạn&gt; vé vui chơi giải trí&gt; Âm nhạc&gt; Tây")</f>
        <v>Đấu giá&gt; vé, chứng từ, đặt phòng khách sạn&gt; vé vui chơi giải trí&gt; Âm nhạc&gt; Tây</v>
      </c>
      <c r="G87" t="str">
        <f t="shared" ca="1" si="1"/>
        <v>"22788" : "thế giới",</v>
      </c>
    </row>
    <row r="88" spans="1:7" ht="14.25" customHeight="1">
      <c r="A88" s="2">
        <v>2084039806</v>
      </c>
      <c r="B88" s="2" t="s">
        <v>1162</v>
      </c>
      <c r="C88" s="2" t="s">
        <v>1164</v>
      </c>
      <c r="D88" s="2" t="s">
        <v>1165</v>
      </c>
      <c r="E88" s="5" t="str">
        <f ca="1">IFERROR(__xludf.DUMMYFUNCTION("GOOGLETRANSLATE(B99,""ja"",""vi"")"),"cổ điển")</f>
        <v>cổ điển</v>
      </c>
      <c r="F88" s="4" t="str">
        <f ca="1">IFERROR(__xludf.DUMMYFUNCTION("GOOGLETRANSLATE(C99,""ja"",""vi"")"),"Đấu giá&gt; vé, chứng từ, đặt phòng khách sạn&gt; vé vui chơi giải trí&gt; Âm nhạc&gt; Cổ điển")</f>
        <v>Đấu giá&gt; vé, chứng từ, đặt phòng khách sạn&gt; vé vui chơi giải trí&gt; Âm nhạc&gt; Cổ điển</v>
      </c>
      <c r="G88" t="str">
        <f t="shared" ca="1" si="1"/>
        <v>"2084039806" : "cổ điển",</v>
      </c>
    </row>
    <row r="89" spans="1:7" ht="14.25" customHeight="1">
      <c r="A89" s="2">
        <v>22820</v>
      </c>
      <c r="B89" s="2" t="s">
        <v>1170</v>
      </c>
      <c r="C89" s="2" t="s">
        <v>1172</v>
      </c>
      <c r="D89" s="2" t="s">
        <v>1173</v>
      </c>
      <c r="E89" s="5" t="str">
        <f ca="1">IFERROR(__xludf.DUMMYFUNCTION("GOOGLETRANSLATE(B100,""ja"",""vi"")"),"nhạc kịch")</f>
        <v>nhạc kịch</v>
      </c>
      <c r="F89" s="4" t="str">
        <f ca="1">IFERROR(__xludf.DUMMYFUNCTION("GOOGLETRANSLATE(C100,""ja"",""vi"")"),"Đấu giá&gt; vé, chứng từ, đặt phòng khách sạn&gt; vé vui chơi giải trí&gt; Âm nhạc&gt; opera")</f>
        <v>Đấu giá&gt; vé, chứng từ, đặt phòng khách sạn&gt; vé vui chơi giải trí&gt; Âm nhạc&gt; opera</v>
      </c>
      <c r="G89" t="str">
        <f t="shared" ca="1" si="1"/>
        <v>"22820" : "nhạc kịch",</v>
      </c>
    </row>
    <row r="90" spans="1:7" ht="14.25" customHeight="1">
      <c r="A90" s="2">
        <v>2084039805</v>
      </c>
      <c r="B90" s="2" t="s">
        <v>1176</v>
      </c>
      <c r="C90" s="2" t="s">
        <v>1178</v>
      </c>
      <c r="D90" s="2" t="s">
        <v>1180</v>
      </c>
      <c r="E90" s="5" t="str">
        <f ca="1">IFERROR(__xludf.DUMMYFUNCTION("GOOGLETRANSLATE(B101,""ja"",""vi"")"),"nhạc jazz")</f>
        <v>nhạc jazz</v>
      </c>
      <c r="F90" s="4" t="str">
        <f ca="1">IFERROR(__xludf.DUMMYFUNCTION("GOOGLETRANSLATE(C101,""ja"",""vi"")"),"Đấu giá&gt; vé, chứng từ, đặt phòng khách sạn&gt; vé vui chơi giải trí&gt; Âm nhạc&gt; Nhạc Jazz")</f>
        <v>Đấu giá&gt; vé, chứng từ, đặt phòng khách sạn&gt; vé vui chơi giải trí&gt; Âm nhạc&gt; Nhạc Jazz</v>
      </c>
      <c r="G90" t="str">
        <f t="shared" ca="1" si="1"/>
        <v>"2084039805" : "nhạc jazz",</v>
      </c>
    </row>
    <row r="91" spans="1:7" ht="14.25" customHeight="1">
      <c r="A91" s="2">
        <v>22776</v>
      </c>
      <c r="B91" s="2" t="s">
        <v>1183</v>
      </c>
      <c r="C91" s="2" t="s">
        <v>1186</v>
      </c>
      <c r="D91" s="2" t="s">
        <v>1188</v>
      </c>
      <c r="E91" s="5" t="str">
        <f ca="1">IFERROR(__xludf.DUMMYFUNCTION("GOOGLETRANSLATE(B102,""ja"",""vi"")"),"lễ hội âm nhạc")</f>
        <v>lễ hội âm nhạc</v>
      </c>
      <c r="F91" s="4" t="str">
        <f ca="1">IFERROR(__xludf.DUMMYFUNCTION("GOOGLETRANSLATE(C102,""ja"",""vi"")"),"Đấu giá&gt; vé, chứng từ, đặt phòng khách sạn&gt; vé vui chơi giải trí&gt; Âm nhạc&gt; Music Festival")</f>
        <v>Đấu giá&gt; vé, chứng từ, đặt phòng khách sạn&gt; vé vui chơi giải trí&gt; Âm nhạc&gt; Music Festival</v>
      </c>
      <c r="G91" t="str">
        <f t="shared" ca="1" si="1"/>
        <v>"22776" : "lễ hội âm nhạc",</v>
      </c>
    </row>
    <row r="92" spans="1:7" ht="14.25" customHeight="1">
      <c r="A92" s="2">
        <v>2084257084</v>
      </c>
      <c r="B92" s="2" t="s">
        <v>1191</v>
      </c>
      <c r="C92" s="2" t="s">
        <v>1193</v>
      </c>
      <c r="D92" s="2" t="s">
        <v>1195</v>
      </c>
      <c r="E92" s="5" t="str">
        <f ca="1">IFERROR(__xludf.DUMMYFUNCTION("GOOGLETRANSLATE(B103,""ja"",""vi"")"),"Trẻ em, gia đình")</f>
        <v>Trẻ em, gia đình</v>
      </c>
      <c r="F92" s="4" t="str">
        <f ca="1">IFERROR(__xludf.DUMMYFUNCTION("GOOGLETRANSLATE(C103,""ja"",""vi"")"),"Đấu giá&gt; vé, chứng từ, đặt phòng khách sạn&gt; vé vui chơi giải trí&gt; Âm nhạc&gt; Trẻ em, gia đình")</f>
        <v>Đấu giá&gt; vé, chứng từ, đặt phòng khách sạn&gt; vé vui chơi giải trí&gt; Âm nhạc&gt; Trẻ em, gia đình</v>
      </c>
      <c r="G92" t="str">
        <f t="shared" ca="1" si="1"/>
        <v>"2084257084" : "Trẻ em, gia đình",</v>
      </c>
    </row>
    <row r="93" spans="1:7" ht="14.25" customHeight="1">
      <c r="A93" s="2">
        <v>22796</v>
      </c>
      <c r="B93" s="2" t="s">
        <v>46</v>
      </c>
      <c r="C93" s="2" t="s">
        <v>1200</v>
      </c>
      <c r="D93" s="2" t="s">
        <v>1201</v>
      </c>
      <c r="E93" s="5" t="str">
        <f ca="1">IFERROR(__xludf.DUMMYFUNCTION("GOOGLETRANSLATE(B104,""ja"",""vi"")"),"nếu không thì")</f>
        <v>nếu không thì</v>
      </c>
      <c r="F93" s="4" t="str">
        <f ca="1">IFERROR(__xludf.DUMMYFUNCTION("GOOGLETRANSLATE(C104,""ja"",""vi"")"),"Đấu giá&gt; vé, chứng từ, đặt phòng khách sạn&gt; vé vui chơi giải trí&gt; Âm nhạc&gt; Khác")</f>
        <v>Đấu giá&gt; vé, chứng từ, đặt phòng khách sạn&gt; vé vui chơi giải trí&gt; Âm nhạc&gt; Khác</v>
      </c>
      <c r="G93" t="str">
        <f t="shared" ca="1" si="1"/>
        <v>"22796" : "nếu không thì",</v>
      </c>
    </row>
    <row r="94" spans="1:7" ht="14.25" customHeight="1">
      <c r="E94" s="5" t="str">
        <f ca="1">IFERROR(__xludf.DUMMYFUNCTION("GOOGLETRANSLATE(B105,""ja"",""vi"")"),"#VALUE!")</f>
        <v>#VALUE!</v>
      </c>
      <c r="F94" s="4" t="str">
        <f ca="1">IFERROR(__xludf.DUMMYFUNCTION("GOOGLETRANSLATE(C105,""ja"",""vi"")"),"#VALUE!")</f>
        <v>#VALUE!</v>
      </c>
      <c r="G94" t="str">
        <f t="shared" ca="1" si="1"/>
        <v>"" : "#VALUE!",</v>
      </c>
    </row>
    <row r="95" spans="1:7" ht="14.25" customHeight="1">
      <c r="A95" s="3">
        <v>2084044328</v>
      </c>
      <c r="B95" s="10"/>
      <c r="C95" s="10"/>
      <c r="D95" s="10"/>
      <c r="E95" s="5" t="str">
        <f ca="1">IFERROR(__xludf.DUMMYFUNCTION("GOOGLETRANSLATE(B106,""ja"",""vi"")"),"#VALUE!")</f>
        <v>#VALUE!</v>
      </c>
      <c r="F95" s="4" t="str">
        <f ca="1">IFERROR(__xludf.DUMMYFUNCTION("GOOGLETRANSLATE(C106,""ja"",""vi"")"),"#VALUE!")</f>
        <v>#VALUE!</v>
      </c>
      <c r="G95" t="str">
        <f t="shared" ca="1" si="1"/>
        <v>"2084044328" : "#VALUE!",</v>
      </c>
    </row>
    <row r="96" spans="1:7" ht="14.25" customHeight="1">
      <c r="A96" s="11">
        <v>22816</v>
      </c>
      <c r="B96" s="11" t="s">
        <v>1207</v>
      </c>
      <c r="C96" s="11" t="s">
        <v>1208</v>
      </c>
      <c r="D96" s="11" t="s">
        <v>1209</v>
      </c>
      <c r="E96" s="5" t="str">
        <f ca="1">IFERROR(__xludf.DUMMYFUNCTION("GOOGLETRANSLATE(B107,""ja"",""vi"")"),"nhạc")</f>
        <v>nhạc</v>
      </c>
      <c r="F96" s="4" t="str">
        <f ca="1">IFERROR(__xludf.DUMMYFUNCTION("GOOGLETRANSLATE(C107,""ja"",""vi"")"),"Đấu giá&gt; vé, chứng từ, đặt phòng khách sạn&gt; vé vui chơi giải trí&gt; Nghệ thuật biểu diễn&gt; Nhạc")</f>
        <v>Đấu giá&gt; vé, chứng từ, đặt phòng khách sạn&gt; vé vui chơi giải trí&gt; Nghệ thuật biểu diễn&gt; Nhạc</v>
      </c>
      <c r="G96" t="str">
        <f t="shared" ca="1" si="1"/>
        <v>"22816" : "nhạc",</v>
      </c>
    </row>
    <row r="97" spans="1:7" ht="14.25" customHeight="1">
      <c r="A97" s="2">
        <v>22824</v>
      </c>
      <c r="B97" s="2" t="s">
        <v>1213</v>
      </c>
      <c r="C97" s="2" t="s">
        <v>1214</v>
      </c>
      <c r="D97" s="2" t="s">
        <v>1215</v>
      </c>
      <c r="E97" s="5" t="str">
        <f ca="1">IFERROR(__xludf.DUMMYFUNCTION("GOOGLETRANSLATE(B108,""ja"",""vi"")"),"nhà hát")</f>
        <v>nhà hát</v>
      </c>
      <c r="F97" s="4" t="str">
        <f ca="1">IFERROR(__xludf.DUMMYFUNCTION("GOOGLETRANSLATE(C108,""ja"",""vi"")"),"Đấu giá&gt; vé, chứng từ, đặt phòng khách sạn&gt; vé vui chơi giải trí&gt; Nghệ thuật biểu diễn&gt; Nhà hát")</f>
        <v>Đấu giá&gt; vé, chứng từ, đặt phòng khách sạn&gt; vé vui chơi giải trí&gt; Nghệ thuật biểu diễn&gt; Nhà hát</v>
      </c>
      <c r="G97" t="str">
        <f t="shared" ca="1" si="1"/>
        <v>"22824" : "nhà hát",</v>
      </c>
    </row>
    <row r="98" spans="1:7" ht="14.25" customHeight="1">
      <c r="A98" s="2">
        <v>2084039797</v>
      </c>
      <c r="B98" s="2" t="s">
        <v>1219</v>
      </c>
      <c r="C98" s="2" t="s">
        <v>1220</v>
      </c>
      <c r="D98" s="2" t="s">
        <v>1221</v>
      </c>
      <c r="E98" s="5" t="str">
        <f ca="1">IFERROR(__xludf.DUMMYFUNCTION("GOOGLETRANSLATE(B109,""ja"",""vi"")"),"Hài, giải trí")</f>
        <v>Hài, giải trí</v>
      </c>
      <c r="F98" s="4" t="str">
        <f ca="1">IFERROR(__xludf.DUMMYFUNCTION("GOOGLETRANSLATE(C109,""ja"",""vi"")"),"Đấu giá&gt; vé, chứng từ, đặt phòng khách sạn&gt; vé vui chơi giải trí&gt; Nghệ thuật biểu diễn&gt; Comedy, giải trí")</f>
        <v>Đấu giá&gt; vé, chứng từ, đặt phòng khách sạn&gt; vé vui chơi giải trí&gt; Nghệ thuật biểu diễn&gt; Comedy, giải trí</v>
      </c>
      <c r="G98" t="str">
        <f t="shared" ca="1" si="1"/>
        <v>"2084039797" : "Hài, giải trí",</v>
      </c>
    </row>
    <row r="99" spans="1:7" ht="14.25" customHeight="1">
      <c r="A99" s="2">
        <v>22820</v>
      </c>
      <c r="B99" s="2" t="s">
        <v>1170</v>
      </c>
      <c r="C99" s="2" t="s">
        <v>1227</v>
      </c>
      <c r="D99" s="2" t="s">
        <v>1228</v>
      </c>
      <c r="E99" s="5" t="str">
        <f ca="1">IFERROR(__xludf.DUMMYFUNCTION("GOOGLETRANSLATE(B110,""ja"",""vi"")"),"nhạc kịch")</f>
        <v>nhạc kịch</v>
      </c>
      <c r="F99" s="4" t="str">
        <f ca="1">IFERROR(__xludf.DUMMYFUNCTION("GOOGLETRANSLATE(C110,""ja"",""vi"")"),"Đấu giá&gt; vé, chứng từ, đặt phòng khách sạn&gt; vé vui chơi giải trí&gt; Biểu diễn Nghệ thuật&gt; Opera")</f>
        <v>Đấu giá&gt; vé, chứng từ, đặt phòng khách sạn&gt; vé vui chơi giải trí&gt; Biểu diễn Nghệ thuật&gt; Opera</v>
      </c>
      <c r="G99" t="str">
        <f t="shared" ca="1" si="1"/>
        <v>"22820" : "nhạc kịch",</v>
      </c>
    </row>
    <row r="100" spans="1:7" ht="14.25" customHeight="1">
      <c r="A100" s="2">
        <v>22804</v>
      </c>
      <c r="B100" s="2" t="s">
        <v>1232</v>
      </c>
      <c r="C100" s="2" t="s">
        <v>1233</v>
      </c>
      <c r="D100" s="2" t="s">
        <v>1234</v>
      </c>
      <c r="E100" s="5" t="str">
        <f ca="1">IFERROR(__xludf.DUMMYFUNCTION("GOOGLETRANSLATE(B111,""ja"",""vi"")"),"Ballet, múa")</f>
        <v>Ballet, múa</v>
      </c>
      <c r="F100" s="4" t="str">
        <f ca="1">IFERROR(__xludf.DUMMYFUNCTION("GOOGLETRANSLATE(C111,""ja"",""vi"")"),"Đấu giá&gt; vé, chứng từ, đặt phòng khách sạn&gt; vé vui chơi giải trí&gt; Nghệ thuật biểu diễn&gt; ballet, khiêu vũ")</f>
        <v>Đấu giá&gt; vé, chứng từ, đặt phòng khách sạn&gt; vé vui chơi giải trí&gt; Nghệ thuật biểu diễn&gt; ballet, khiêu vũ</v>
      </c>
      <c r="G100" t="str">
        <f t="shared" ca="1" si="1"/>
        <v>"22804" : "Ballet, múa",</v>
      </c>
    </row>
    <row r="101" spans="1:7" ht="14.25" customHeight="1">
      <c r="A101" s="2">
        <v>2084039794</v>
      </c>
      <c r="B101" s="2" t="s">
        <v>1237</v>
      </c>
      <c r="C101" s="2" t="s">
        <v>1239</v>
      </c>
      <c r="D101" s="2" t="s">
        <v>1242</v>
      </c>
      <c r="E101" s="5" t="str">
        <f ca="1">IFERROR(__xludf.DUMMYFUNCTION("GOOGLETRANSLATE(B112,""ja"",""vi"")"),"Nghệ thuật truyền thống Performing")</f>
        <v>Nghệ thuật truyền thống Performing</v>
      </c>
      <c r="F101" s="4" t="str">
        <f ca="1">IFERROR(__xludf.DUMMYFUNCTION("GOOGLETRANSLATE(C112,""ja"",""vi"")"),"Đấu giá&gt; vé, chứng từ, đặt phòng khách sạn&gt; vé vui chơi giải trí&gt; Biểu diễn Nghệ thuật&gt; Nghệ thuật truyền thống Performing")</f>
        <v>Đấu giá&gt; vé, chứng từ, đặt phòng khách sạn&gt; vé vui chơi giải trí&gt; Biểu diễn Nghệ thuật&gt; Nghệ thuật truyền thống Performing</v>
      </c>
      <c r="G101" t="str">
        <f t="shared" ca="1" si="1"/>
        <v>"2084039794" : "Nghệ thuật truyền thống Performing",</v>
      </c>
    </row>
    <row r="102" spans="1:7" ht="14.25" customHeight="1">
      <c r="E102" s="5" t="str">
        <f ca="1">IFERROR(__xludf.DUMMYFUNCTION("GOOGLETRANSLATE(B113,""ja"",""vi"")"),"#VALUE!")</f>
        <v>#VALUE!</v>
      </c>
      <c r="F102" s="4" t="str">
        <f ca="1">IFERROR(__xludf.DUMMYFUNCTION("GOOGLETRANSLATE(C113,""ja"",""vi"")"),"#VALUE!")</f>
        <v>#VALUE!</v>
      </c>
      <c r="G102" t="str">
        <f t="shared" ca="1" si="1"/>
        <v>"" : "#VALUE!",</v>
      </c>
    </row>
    <row r="103" spans="1:7" ht="14.25" customHeight="1">
      <c r="A103" s="3">
        <v>25430</v>
      </c>
      <c r="B103" s="10"/>
      <c r="C103" s="10"/>
      <c r="D103" s="10"/>
      <c r="E103" s="5" t="str">
        <f ca="1">IFERROR(__xludf.DUMMYFUNCTION("GOOGLETRANSLATE(B114,""ja"",""vi"")"),"#VALUE!")</f>
        <v>#VALUE!</v>
      </c>
      <c r="F103" s="4" t="str">
        <f ca="1">IFERROR(__xludf.DUMMYFUNCTION("GOOGLETRANSLATE(C114,""ja"",""vi"")"),"#VALUE!")</f>
        <v>#VALUE!</v>
      </c>
      <c r="G103" t="str">
        <f t="shared" ca="1" si="1"/>
        <v>"25430" : "#VALUE!",</v>
      </c>
    </row>
    <row r="104" spans="1:7" ht="14.25" customHeight="1">
      <c r="A104" s="11">
        <v>25448</v>
      </c>
      <c r="B104" s="11" t="s">
        <v>1246</v>
      </c>
      <c r="C104" s="11" t="s">
        <v>1247</v>
      </c>
      <c r="D104" s="11" t="s">
        <v>1248</v>
      </c>
      <c r="E104" s="5" t="str">
        <f ca="1">IFERROR(__xludf.DUMMYFUNCTION("GOOGLETRANSLATE(B115,""ja"",""vi"")"),"bóng đá Mỹ")</f>
        <v>bóng đá Mỹ</v>
      </c>
      <c r="F104" s="4" t="str">
        <f ca="1">IFERROR(__xludf.DUMMYFUNCTION("GOOGLETRANSLATE(C115,""ja"",""vi"")"),"Đấu giá&gt; vé, chứng từ, đặt phòng khách sạn&gt; vé vui chơi giải trí&gt; Thể thao&gt; bóng đá Mỹ")</f>
        <v>Đấu giá&gt; vé, chứng từ, đặt phòng khách sạn&gt; vé vui chơi giải trí&gt; Thể thao&gt; bóng đá Mỹ</v>
      </c>
      <c r="G104" t="str">
        <f t="shared" ca="1" si="1"/>
        <v>"25448" : "bóng đá Mỹ",</v>
      </c>
    </row>
    <row r="105" spans="1:7" ht="14.25" customHeight="1">
      <c r="A105" s="2">
        <v>25450</v>
      </c>
      <c r="B105" s="2" t="s">
        <v>1254</v>
      </c>
      <c r="C105" s="2" t="s">
        <v>1255</v>
      </c>
      <c r="D105" s="2" t="s">
        <v>1256</v>
      </c>
      <c r="E105" s="5" t="str">
        <f ca="1">IFERROR(__xludf.DUMMYFUNCTION("GOOGLETRANSLATE(B116,""ja"",""vi"")"),"golf")</f>
        <v>golf</v>
      </c>
      <c r="F105" s="4" t="str">
        <f ca="1">IFERROR(__xludf.DUMMYFUNCTION("GOOGLETRANSLATE(C116,""ja"",""vi"")"),"Đấu giá&gt; vé, chứng từ, đặt phòng khách sạn&gt; vé vui chơi giải trí&gt; Thể thao&gt; Golf")</f>
        <v>Đấu giá&gt; vé, chứng từ, đặt phòng khách sạn&gt; vé vui chơi giải trí&gt; Thể thao&gt; Golf</v>
      </c>
      <c r="G105" t="str">
        <f t="shared" ca="1" si="1"/>
        <v>"25450" : "golf",</v>
      </c>
    </row>
    <row r="106" spans="1:7" ht="14.25" customHeight="1">
      <c r="A106" s="2">
        <v>25456</v>
      </c>
      <c r="B106" s="2" t="s">
        <v>1262</v>
      </c>
      <c r="C106" s="2" t="s">
        <v>1263</v>
      </c>
      <c r="D106" s="2" t="s">
        <v>1264</v>
      </c>
      <c r="E106" s="5" t="str">
        <f ca="1">IFERROR(__xludf.DUMMYFUNCTION("GOOGLETRANSLATE(B117,""ja"",""vi"")"),"bóng đá")</f>
        <v>bóng đá</v>
      </c>
      <c r="F106" s="4" t="str">
        <f ca="1">IFERROR(__xludf.DUMMYFUNCTION("GOOGLETRANSLATE(C117,""ja"",""vi"")"),"Đấu giá&gt; vé, chứng từ, đặt phòng khách sạn&gt; vé vui chơi giải trí&gt; Thể thao&gt; Bóng đá")</f>
        <v>Đấu giá&gt; vé, chứng từ, đặt phòng khách sạn&gt; vé vui chơi giải trí&gt; Thể thao&gt; Bóng đá</v>
      </c>
      <c r="G106" t="str">
        <f t="shared" ca="1" si="1"/>
        <v>"25456" : "bóng đá",</v>
      </c>
    </row>
    <row r="107" spans="1:7" ht="14.25" customHeight="1">
      <c r="A107" s="2">
        <v>2084045757</v>
      </c>
      <c r="B107" s="2" t="s">
        <v>1268</v>
      </c>
      <c r="C107" s="2" t="s">
        <v>1269</v>
      </c>
      <c r="D107" s="2" t="s">
        <v>1270</v>
      </c>
      <c r="E107" s="5" t="str">
        <f ca="1">IFERROR(__xludf.DUMMYFUNCTION("GOOGLETRANSLATE(B118,""ja"",""vi"")"),"softball")</f>
        <v>softball</v>
      </c>
      <c r="F107" s="4" t="str">
        <f ca="1">IFERROR(__xludf.DUMMYFUNCTION("GOOGLETRANSLATE(C118,""ja"",""vi"")"),"Đấu giá&gt; vé, chứng từ, đặt phòng khách sạn&gt; vé vui chơi giải trí&gt; Thể thao&gt; Môn bóng mềm")</f>
        <v>Đấu giá&gt; vé, chứng từ, đặt phòng khách sạn&gt; vé vui chơi giải trí&gt; Thể thao&gt; Môn bóng mềm</v>
      </c>
      <c r="G107" t="str">
        <f t="shared" ca="1" si="1"/>
        <v>"2084045757" : "softball",</v>
      </c>
    </row>
    <row r="108" spans="1:7" ht="14.25" customHeight="1">
      <c r="A108" s="2">
        <v>2084230533</v>
      </c>
      <c r="B108" s="2" t="s">
        <v>1276</v>
      </c>
      <c r="C108" s="2" t="s">
        <v>1277</v>
      </c>
      <c r="D108" s="2" t="s">
        <v>1279</v>
      </c>
      <c r="E108" s="5" t="str">
        <f ca="1">IFERROR(__xludf.DUMMYFUNCTION("GOOGLETRANSLATE(B119,""ja"",""vi"")"),"quần vợt")</f>
        <v>quần vợt</v>
      </c>
      <c r="F108" s="4" t="str">
        <f ca="1">IFERROR(__xludf.DUMMYFUNCTION("GOOGLETRANSLATE(C119,""ja"",""vi"")"),"Đấu giá&gt; vé, chứng từ, đặt phòng khách sạn&gt; vé vui chơi giải trí&gt; Thể thao&gt; Tennis")</f>
        <v>Đấu giá&gt; vé, chứng từ, đặt phòng khách sạn&gt; vé vui chơi giải trí&gt; Thể thao&gt; Tennis</v>
      </c>
      <c r="G108" t="str">
        <f t="shared" ca="1" si="1"/>
        <v>"2084230533" : "quần vợt",</v>
      </c>
    </row>
    <row r="109" spans="1:7" ht="14.25" customHeight="1">
      <c r="A109" s="2">
        <v>25442</v>
      </c>
      <c r="B109" s="2" t="s">
        <v>1288</v>
      </c>
      <c r="C109" s="2" t="s">
        <v>1290</v>
      </c>
      <c r="D109" s="2" t="s">
        <v>1291</v>
      </c>
      <c r="E109" s="5" t="str">
        <f ca="1">IFERROR(__xludf.DUMMYFUNCTION("GOOGLETRANSLATE(B120,""ja"",""vi"")"),"Bóng rổ")</f>
        <v>Bóng rổ</v>
      </c>
      <c r="F109" s="4" t="str">
        <f ca="1">IFERROR(__xludf.DUMMYFUNCTION("GOOGLETRANSLATE(C120,""ja"",""vi"")"),"Đấu giá&gt; vé, chứng từ, đặt phòng khách sạn&gt; vé vui chơi giải trí&gt; Thể thao&gt; Bóng rổ")</f>
        <v>Đấu giá&gt; vé, chứng từ, đặt phòng khách sạn&gt; vé vui chơi giải trí&gt; Thể thao&gt; Bóng rổ</v>
      </c>
      <c r="G109" t="str">
        <f t="shared" ca="1" si="1"/>
        <v>"25442" : "Bóng rổ",</v>
      </c>
    </row>
    <row r="110" spans="1:7" ht="14.25" customHeight="1">
      <c r="A110" s="2">
        <v>2084230534</v>
      </c>
      <c r="B110" s="2" t="s">
        <v>1294</v>
      </c>
      <c r="C110" s="2" t="s">
        <v>1295</v>
      </c>
      <c r="D110" s="2" t="s">
        <v>1297</v>
      </c>
      <c r="E110" s="5" t="str">
        <f ca="1">IFERROR(__xludf.DUMMYFUNCTION("GOOGLETRANSLATE(B121,""ja"",""vi"")"),"bóng chuyền")</f>
        <v>bóng chuyền</v>
      </c>
      <c r="F110" s="4" t="str">
        <f ca="1">IFERROR(__xludf.DUMMYFUNCTION("GOOGLETRANSLATE(C121,""ja"",""vi"")"),"Đấu giá&gt; vé, chứng từ, đặt phòng khách sạn&gt; vé vui chơi giải trí&gt; Thể thao&gt; Bóng chuyền")</f>
        <v>Đấu giá&gt; vé, chứng từ, đặt phòng khách sạn&gt; vé vui chơi giải trí&gt; Thể thao&gt; Bóng chuyền</v>
      </c>
      <c r="G110" t="str">
        <f t="shared" ca="1" si="1"/>
        <v>"2084230534" : "bóng chuyền",</v>
      </c>
    </row>
    <row r="111" spans="1:7" ht="14.25" customHeight="1">
      <c r="A111" s="2">
        <v>25438</v>
      </c>
      <c r="B111" s="2" t="s">
        <v>1302</v>
      </c>
      <c r="C111" s="2" t="s">
        <v>1304</v>
      </c>
      <c r="D111" s="2" t="s">
        <v>1306</v>
      </c>
      <c r="E111" s="5" t="str">
        <f ca="1">IFERROR(__xludf.DUMMYFUNCTION("GOOGLETRANSLATE(B122,""ja"",""vi"")"),"đua xe motor")</f>
        <v>đua xe motor</v>
      </c>
      <c r="F111" s="4" t="str">
        <f ca="1">IFERROR(__xludf.DUMMYFUNCTION("GOOGLETRANSLATE(C122,""ja"",""vi"")"),"Đấu giá&gt; vé, chứng từ, đặt phòng khách sạn&gt; vé vui chơi giải trí&gt; Thể thao&gt; Đua xe motor")</f>
        <v>Đấu giá&gt; vé, chứng từ, đặt phòng khách sạn&gt; vé vui chơi giải trí&gt; Thể thao&gt; Đua xe motor</v>
      </c>
      <c r="G111" t="str">
        <f t="shared" ca="1" si="1"/>
        <v>"25438" : "đua xe motor",</v>
      </c>
    </row>
    <row r="112" spans="1:7" ht="14.25" customHeight="1">
      <c r="A112" s="2">
        <v>25458</v>
      </c>
      <c r="B112" s="2" t="s">
        <v>1311</v>
      </c>
      <c r="C112" s="2" t="s">
        <v>1313</v>
      </c>
      <c r="D112" s="2" t="s">
        <v>1315</v>
      </c>
      <c r="E112" s="5" t="str">
        <f ca="1">IFERROR(__xludf.DUMMYFUNCTION("GOOGLETRANSLATE(B123,""ja"",""vi"")"),"Võ thuật, Wrestling")</f>
        <v>Võ thuật, Wrestling</v>
      </c>
      <c r="F112" s="4" t="str">
        <f ca="1">IFERROR(__xludf.DUMMYFUNCTION("GOOGLETRANSLATE(C123,""ja"",""vi"")"),"Đấu giá&gt; vé, chứng từ, đặt phòng khách sạn&gt; vé vui chơi giải trí&gt; Thể thao&gt; Võ thuật, Wrestling")</f>
        <v>Đấu giá&gt; vé, chứng từ, đặt phòng khách sạn&gt; vé vui chơi giải trí&gt; Thể thao&gt; Võ thuật, Wrestling</v>
      </c>
      <c r="G112" t="str">
        <f t="shared" ca="1" si="1"/>
        <v>"25458" : "Võ thuật, Wrestling",</v>
      </c>
    </row>
    <row r="113" spans="1:7" ht="14.25" customHeight="1">
      <c r="A113" s="2">
        <v>2084045756</v>
      </c>
      <c r="B113" s="2" t="s">
        <v>1319</v>
      </c>
      <c r="C113" s="2" t="s">
        <v>1321</v>
      </c>
      <c r="D113" s="2" t="s">
        <v>1323</v>
      </c>
      <c r="E113" s="5" t="str">
        <f ca="1">IFERROR(__xludf.DUMMYFUNCTION("GOOGLETRANSLATE(B124,""ja"",""vi"")"),"Bóng chày")</f>
        <v>Bóng chày</v>
      </c>
      <c r="F113" s="4" t="str">
        <f ca="1">IFERROR(__xludf.DUMMYFUNCTION("GOOGLETRANSLATE(C124,""ja"",""vi"")"),"Đấu giá&gt; vé, chứng từ, đặt phòng khách sạn&gt; vé vui chơi giải trí&gt; Thể thao&gt; Bóng chày")</f>
        <v>Đấu giá&gt; vé, chứng từ, đặt phòng khách sạn&gt; vé vui chơi giải trí&gt; Thể thao&gt; Bóng chày</v>
      </c>
      <c r="G113" t="str">
        <f t="shared" ca="1" si="1"/>
        <v>"2084045756" : "Bóng chày",</v>
      </c>
    </row>
    <row r="114" spans="1:7" ht="14.25" customHeight="1">
      <c r="A114" s="2">
        <v>25460</v>
      </c>
      <c r="B114" s="2" t="s">
        <v>46</v>
      </c>
      <c r="C114" s="2" t="s">
        <v>1328</v>
      </c>
      <c r="D114" s="2" t="s">
        <v>1330</v>
      </c>
      <c r="E114" s="5" t="str">
        <f ca="1">IFERROR(__xludf.DUMMYFUNCTION("GOOGLETRANSLATE(B125,""ja"",""vi"")"),"nếu không thì")</f>
        <v>nếu không thì</v>
      </c>
      <c r="F114" s="4" t="str">
        <f ca="1">IFERROR(__xludf.DUMMYFUNCTION("GOOGLETRANSLATE(C125,""ja"",""vi"")"),"Đấu giá&gt; vé, chứng từ, đặt phòng khách sạn&gt; vé vui chơi giải trí&gt; Thể thao&gt; Khác")</f>
        <v>Đấu giá&gt; vé, chứng từ, đặt phòng khách sạn&gt; vé vui chơi giải trí&gt; Thể thao&gt; Khác</v>
      </c>
      <c r="G114" t="str">
        <f t="shared" ca="1" si="1"/>
        <v>"25460" : "nếu không thì",</v>
      </c>
    </row>
    <row r="115" spans="1:7" ht="14.25" customHeight="1">
      <c r="E115" s="5" t="str">
        <f ca="1">IFERROR(__xludf.DUMMYFUNCTION("GOOGLETRANSLATE(B126,""ja"",""vi"")"),"#VALUE!")</f>
        <v>#VALUE!</v>
      </c>
      <c r="F115" s="4" t="str">
        <f ca="1">IFERROR(__xludf.DUMMYFUNCTION("GOOGLETRANSLATE(C126,""ja"",""vi"")"),"#VALUE!")</f>
        <v>#VALUE!</v>
      </c>
      <c r="G115" t="str">
        <f t="shared" ca="1" si="1"/>
        <v>"" : "#VALUE!",</v>
      </c>
    </row>
    <row r="116" spans="1:7" ht="14.25" customHeight="1">
      <c r="A116" s="3">
        <v>2084044329</v>
      </c>
      <c r="B116" s="10"/>
      <c r="C116" s="10"/>
      <c r="D116" s="10"/>
      <c r="E116" s="5" t="str">
        <f ca="1">IFERROR(__xludf.DUMMYFUNCTION("GOOGLETRANSLATE(B127,""ja"",""vi"")"),"#VALUE!")</f>
        <v>#VALUE!</v>
      </c>
      <c r="F116" s="4" t="str">
        <f ca="1">IFERROR(__xludf.DUMMYFUNCTION("GOOGLETRANSLATE(C127,""ja"",""vi"")"),"#VALUE!")</f>
        <v>#VALUE!</v>
      </c>
      <c r="G116" t="str">
        <f t="shared" ca="1" si="1"/>
        <v>"2084044329" : "#VALUE!",</v>
      </c>
    </row>
    <row r="117" spans="1:7" ht="14.25" customHeight="1">
      <c r="A117" s="11">
        <v>2084208643</v>
      </c>
      <c r="B117" s="11" t="s">
        <v>1334</v>
      </c>
      <c r="C117" s="11" t="s">
        <v>1335</v>
      </c>
      <c r="D117" s="11" t="s">
        <v>1336</v>
      </c>
      <c r="E117" s="5" t="str">
        <f ca="1">IFERROR(__xludf.DUMMYFUNCTION("GOOGLETRANSLATE(B128,""ja"",""vi"")"),"talk show, bài giảng")</f>
        <v>talk show, bài giảng</v>
      </c>
      <c r="F117" s="4" t="str">
        <f ca="1">IFERROR(__xludf.DUMMYFUNCTION("GOOGLETRANSLATE(C128,""ja"",""vi"")"),"Đấu giá&gt; vé, chứng từ, đặt phòng khách sạn&gt; vé vui chơi giải trí&gt; Sự kiện&gt; talk show, bài giảng")</f>
        <v>Đấu giá&gt; vé, chứng từ, đặt phòng khách sạn&gt; vé vui chơi giải trí&gt; Sự kiện&gt; talk show, bài giảng</v>
      </c>
      <c r="G117" t="str">
        <f t="shared" ca="1" si="1"/>
        <v>"2084208643" : "talk show, bài giảng",</v>
      </c>
    </row>
    <row r="118" spans="1:7" ht="14.25" customHeight="1">
      <c r="A118" s="2">
        <v>2084257084</v>
      </c>
      <c r="B118" s="2" t="s">
        <v>1191</v>
      </c>
      <c r="C118" s="2" t="s">
        <v>1342</v>
      </c>
      <c r="D118" s="2" t="s">
        <v>1343</v>
      </c>
      <c r="E118" s="5" t="str">
        <f ca="1">IFERROR(__xludf.DUMMYFUNCTION("GOOGLETRANSLATE(B129,""ja"",""vi"")"),"Trẻ em, gia đình")</f>
        <v>Trẻ em, gia đình</v>
      </c>
      <c r="F118" s="4" t="str">
        <f ca="1">IFERROR(__xludf.DUMMYFUNCTION("GOOGLETRANSLATE(C129,""ja"",""vi"")"),"Đấu giá&gt; vé, chứng từ, đặt phòng khách sạn&gt; vé vui chơi giải trí&gt; Sự kiện&gt; Kids, Gia đình")</f>
        <v>Đấu giá&gt; vé, chứng từ, đặt phòng khách sạn&gt; vé vui chơi giải trí&gt; Sự kiện&gt; Kids, Gia đình</v>
      </c>
      <c r="G118" t="str">
        <f t="shared" ca="1" si="1"/>
        <v>"2084257084" : "Trẻ em, gia đình",</v>
      </c>
    </row>
    <row r="119" spans="1:7" ht="14.25" customHeight="1">
      <c r="A119" s="2">
        <v>22776</v>
      </c>
      <c r="B119" s="2" t="s">
        <v>1183</v>
      </c>
      <c r="C119" s="2" t="s">
        <v>1346</v>
      </c>
      <c r="D119" s="2" t="s">
        <v>1348</v>
      </c>
      <c r="E119" s="5" t="str">
        <f ca="1">IFERROR(__xludf.DUMMYFUNCTION("GOOGLETRANSLATE(B130,""ja"",""vi"")"),"lễ hội âm nhạc")</f>
        <v>lễ hội âm nhạc</v>
      </c>
      <c r="F119" s="4" t="str">
        <f ca="1">IFERROR(__xludf.DUMMYFUNCTION("GOOGLETRANSLATE(C130,""ja"",""vi"")"),"Đấu giá&gt; vé, chứng từ, đặt phòng khách sạn&gt; vé vui chơi giải trí&gt; Sự kiện&gt; Music Festival")</f>
        <v>Đấu giá&gt; vé, chứng từ, đặt phòng khách sạn&gt; vé vui chơi giải trí&gt; Sự kiện&gt; Music Festival</v>
      </c>
      <c r="G119" t="str">
        <f t="shared" ca="1" si="1"/>
        <v>"22776" : "lễ hội âm nhạc",</v>
      </c>
    </row>
    <row r="120" spans="1:7" ht="14.25" customHeight="1">
      <c r="A120" s="2">
        <v>2084039803</v>
      </c>
      <c r="B120" s="2" t="s">
        <v>1351</v>
      </c>
      <c r="C120" s="2" t="s">
        <v>1353</v>
      </c>
      <c r="D120" s="2" t="s">
        <v>1354</v>
      </c>
      <c r="E120" s="5" t="str">
        <f ca="1">IFERROR(__xludf.DUMMYFUNCTION("GOOGLETRANSLATE(B131,""ja"",""vi"")"),"Triển lãm nghệ thuật, triển lãm Bảo tàng")</f>
        <v>Triển lãm nghệ thuật, triển lãm Bảo tàng</v>
      </c>
      <c r="F120" s="4" t="str">
        <f ca="1">IFERROR(__xludf.DUMMYFUNCTION("GOOGLETRANSLATE(C131,""ja"",""vi"")"),"Đấu giá&gt; vé, chứng từ, đặt phòng khách sạn&gt; vé vui chơi giải trí&gt; Sự kiện&gt; Triển lãm nghệ thuật, Bảo tàng triển lãm")</f>
        <v>Đấu giá&gt; vé, chứng từ, đặt phòng khách sạn&gt; vé vui chơi giải trí&gt; Sự kiện&gt; Triển lãm nghệ thuật, Bảo tàng triển lãm</v>
      </c>
      <c r="G120" t="str">
        <f t="shared" ca="1" si="1"/>
        <v>"2084039803" : "Triển lãm nghệ thuật, triển lãm Bảo tàng",</v>
      </c>
    </row>
    <row r="121" spans="1:7" ht="14.25" customHeight="1">
      <c r="A121" s="2">
        <v>2084208644</v>
      </c>
      <c r="B121" s="2" t="s">
        <v>46</v>
      </c>
      <c r="C121" s="2" t="s">
        <v>1359</v>
      </c>
      <c r="D121" s="2" t="s">
        <v>1362</v>
      </c>
      <c r="E121" s="5" t="str">
        <f ca="1">IFERROR(__xludf.DUMMYFUNCTION("GOOGLETRANSLATE(B132,""ja"",""vi"")"),"nếu không thì")</f>
        <v>nếu không thì</v>
      </c>
      <c r="F121" s="4" t="str">
        <f ca="1">IFERROR(__xludf.DUMMYFUNCTION("GOOGLETRANSLATE(C132,""ja"",""vi"")"),"Đấu giá&gt; vé, chứng từ, đặt phòng khách sạn&gt; vé vui chơi giải trí&gt; Sự kiện&gt; Khác")</f>
        <v>Đấu giá&gt; vé, chứng từ, đặt phòng khách sạn&gt; vé vui chơi giải trí&gt; Sự kiện&gt; Khác</v>
      </c>
      <c r="G121" t="str">
        <f t="shared" ca="1" si="1"/>
        <v>"2084208644" : "nếu không thì",</v>
      </c>
    </row>
    <row r="122" spans="1:7" ht="14.25" customHeight="1">
      <c r="E122" s="5" t="str">
        <f ca="1">IFERROR(__xludf.DUMMYFUNCTION("GOOGLETRANSLATE(B133,""ja"",""vi"")"),"#VALUE!")</f>
        <v>#VALUE!</v>
      </c>
      <c r="F122" s="4" t="str">
        <f ca="1">IFERROR(__xludf.DUMMYFUNCTION("GOOGLETRANSLATE(C133,""ja"",""vi"")"),"#VALUE!")</f>
        <v>#VALUE!</v>
      </c>
      <c r="G122" t="str">
        <f t="shared" ca="1" si="1"/>
        <v>"" : "#VALUE!",</v>
      </c>
    </row>
    <row r="123" spans="1:7" ht="14.25" customHeight="1">
      <c r="A123" s="3">
        <v>2084039789</v>
      </c>
      <c r="B123" s="10"/>
      <c r="C123" s="10"/>
      <c r="D123" s="10"/>
      <c r="E123" s="5" t="str">
        <f ca="1">IFERROR(__xludf.DUMMYFUNCTION("GOOGLETRANSLATE(B134,""ja"",""vi"")"),"#VALUE!")</f>
        <v>#VALUE!</v>
      </c>
      <c r="F123" s="4" t="str">
        <f ca="1">IFERROR(__xludf.DUMMYFUNCTION("GOOGLETRANSLATE(C134,""ja"",""vi"")"),"#VALUE!")</f>
        <v>#VALUE!</v>
      </c>
      <c r="G123" t="str">
        <f t="shared" ca="1" si="1"/>
        <v>"2084039789" : "#VALUE!",</v>
      </c>
    </row>
    <row r="124" spans="1:7" ht="14.25" customHeight="1">
      <c r="A124" s="11">
        <v>2084060556</v>
      </c>
      <c r="B124" s="11" t="s">
        <v>1367</v>
      </c>
      <c r="C124" s="11" t="s">
        <v>1368</v>
      </c>
      <c r="D124" s="11" t="s">
        <v>1369</v>
      </c>
      <c r="E124" s="5" t="str">
        <f ca="1">IFERROR(__xludf.DUMMYFUNCTION("GOOGLETRANSLATE(B135,""ja"",""vi"")"),"phim Nhật Bản")</f>
        <v>phim Nhật Bản</v>
      </c>
      <c r="F124" s="4" t="str">
        <f ca="1">IFERROR(__xludf.DUMMYFUNCTION("GOOGLETRANSLATE(C135,""ja"",""vi"")"),"Đấu giá&gt; vé, chứng từ, đặt phòng khách sạn&gt; vé vui chơi giải trí&gt; phim&gt; Phim Nhật Bản")</f>
        <v>Đấu giá&gt; vé, chứng từ, đặt phòng khách sạn&gt; vé vui chơi giải trí&gt; phim&gt; Phim Nhật Bản</v>
      </c>
      <c r="G124" t="str">
        <f t="shared" ca="1" si="1"/>
        <v>"2084060556" : "phim Nhật Bản",</v>
      </c>
    </row>
    <row r="125" spans="1:7" ht="14.25" customHeight="1">
      <c r="A125" s="2">
        <v>2084060557</v>
      </c>
      <c r="B125" s="2" t="s">
        <v>1372</v>
      </c>
      <c r="C125" s="2" t="s">
        <v>1374</v>
      </c>
      <c r="D125" s="2" t="s">
        <v>1376</v>
      </c>
      <c r="E125" s="5" t="str">
        <f ca="1">IFERROR(__xludf.DUMMYFUNCTION("GOOGLETRANSLATE(B136,""ja"",""vi"")"),"phim")</f>
        <v>phim</v>
      </c>
      <c r="F125" s="4" t="str">
        <f ca="1">IFERROR(__xludf.DUMMYFUNCTION("GOOGLETRANSLATE(C136,""ja"",""vi"")"),"Đấu giá&gt; vé, chứng từ, đặt phòng khách sạn&gt; vé vui chơi giải trí&gt; Điện ảnh&gt; Phim")</f>
        <v>Đấu giá&gt; vé, chứng từ, đặt phòng khách sạn&gt; vé vui chơi giải trí&gt; Điện ảnh&gt; Phim</v>
      </c>
      <c r="G125" t="str">
        <f t="shared" ca="1" si="1"/>
        <v>"2084060557" : "phim",</v>
      </c>
    </row>
    <row r="126" spans="1:7" ht="14.25" customHeight="1">
      <c r="A126" s="2">
        <v>2084060558</v>
      </c>
      <c r="B126" s="2" t="s">
        <v>46</v>
      </c>
      <c r="C126" s="2" t="s">
        <v>1381</v>
      </c>
      <c r="D126" s="2" t="s">
        <v>1385</v>
      </c>
      <c r="E126" s="5" t="str">
        <f ca="1">IFERROR(__xludf.DUMMYFUNCTION("GOOGLETRANSLATE(B137,""ja"",""vi"")"),"nếu không thì")</f>
        <v>nếu không thì</v>
      </c>
      <c r="F126" s="4" t="str">
        <f ca="1">IFERROR(__xludf.DUMMYFUNCTION("GOOGLETRANSLATE(C137,""ja"",""vi"")"),"Đấu giá&gt; vé, chứng từ, đặt phòng khách sạn&gt; vé vui chơi giải trí&gt; phim&gt; Khác")</f>
        <v>Đấu giá&gt; vé, chứng từ, đặt phòng khách sạn&gt; vé vui chơi giải trí&gt; phim&gt; Khác</v>
      </c>
      <c r="G126" t="str">
        <f t="shared" ca="1" si="1"/>
        <v>"2084060558" : "nếu không thì",</v>
      </c>
    </row>
    <row r="127" spans="1:7" ht="14.25" customHeight="1">
      <c r="E127" s="5" t="str">
        <f ca="1">IFERROR(__xludf.DUMMYFUNCTION("GOOGLETRANSLATE(B138,""ja"",""vi"")"),"#VALUE!")</f>
        <v>#VALUE!</v>
      </c>
      <c r="F127" s="4" t="str">
        <f ca="1">IFERROR(__xludf.DUMMYFUNCTION("GOOGLETRANSLATE(C138,""ja"",""vi"")"),"#VALUE!")</f>
        <v>#VALUE!</v>
      </c>
      <c r="G127" t="str">
        <f t="shared" ca="1" si="1"/>
        <v>"" : "#VALUE!",</v>
      </c>
    </row>
    <row r="128" spans="1:7" ht="14.25" customHeight="1">
      <c r="A128" s="3">
        <v>2084005111</v>
      </c>
      <c r="B128" s="10"/>
      <c r="C128" s="10"/>
      <c r="D128" s="10"/>
      <c r="E128" s="5" t="str">
        <f ca="1">IFERROR(__xludf.DUMMYFUNCTION("GOOGLETRANSLATE(B139,""ja"",""vi"")"),"#VALUE!")</f>
        <v>#VALUE!</v>
      </c>
      <c r="F128" s="4" t="str">
        <f ca="1">IFERROR(__xludf.DUMMYFUNCTION("GOOGLETRANSLATE(C139,""ja"",""vi"")"),"#VALUE!")</f>
        <v>#VALUE!</v>
      </c>
      <c r="G128" t="str">
        <f t="shared" ca="1" si="1"/>
        <v>"2084005111" : "#VALUE!",</v>
      </c>
    </row>
    <row r="129" spans="1:7" ht="14.25" customHeight="1">
      <c r="A129" s="11">
        <v>2084024978</v>
      </c>
      <c r="B129" s="11" t="s">
        <v>554</v>
      </c>
      <c r="C129" s="11" t="s">
        <v>1390</v>
      </c>
      <c r="D129" s="11" t="s">
        <v>1391</v>
      </c>
      <c r="E129" s="5" t="str">
        <f ca="1">IFERROR(__xludf.DUMMYFUNCTION("GOOGLETRANSLATE(B140,""ja"",""vi"")"),"hàng nitơ")</f>
        <v>hàng nitơ</v>
      </c>
      <c r="F129" s="4" t="str">
        <f ca="1">IFERROR(__xludf.DUMMYFUNCTION("GOOGLETRANSLATE(C140,""ja"",""vi"")"),"Đấu giá&gt; vé, chứng từ, đặt phòng khách sạn&gt; Thẻ trả trước&gt; Thẻ điện thoại&gt; giải trí, tài năng&gt; nữ tài năng&gt; hàng nitơ")</f>
        <v>Đấu giá&gt; vé, chứng từ, đặt phòng khách sạn&gt; Thẻ trả trước&gt; Thẻ điện thoại&gt; giải trí, tài năng&gt; nữ tài năng&gt; hàng nitơ</v>
      </c>
      <c r="G129" t="str">
        <f t="shared" ca="1" si="1"/>
        <v>"2084024978" : "hàng nitơ",</v>
      </c>
    </row>
    <row r="130" spans="1:7" ht="14.25" customHeight="1">
      <c r="A130" s="2">
        <v>2084025705</v>
      </c>
      <c r="B130" s="2" t="s">
        <v>562</v>
      </c>
      <c r="C130" s="2" t="s">
        <v>1397</v>
      </c>
      <c r="D130" s="2" t="s">
        <v>1398</v>
      </c>
      <c r="E130" s="5" t="str">
        <f ca="1">IFERROR(__xludf.DUMMYFUNCTION("GOOGLETRANSLATE(B141,""ja"",""vi"")"),"hoặc hàng")</f>
        <v>hoặc hàng</v>
      </c>
      <c r="F130" s="4" t="str">
        <f ca="1">IFERROR(__xludf.DUMMYFUNCTION("GOOGLETRANSLATE(C141,""ja"",""vi"")"),"Đấu giá&gt; vé, chứng từ, đặt phòng khách sạn&gt; Thẻ trả trước&gt; Thẻ điện thoại&gt; giải trí, tài năng&gt; nữ tài năng&gt; hoặc hàng")</f>
        <v>Đấu giá&gt; vé, chứng từ, đặt phòng khách sạn&gt; Thẻ trả trước&gt; Thẻ điện thoại&gt; giải trí, tài năng&gt; nữ tài năng&gt; hoặc hàng</v>
      </c>
      <c r="G130" t="str">
        <f t="shared" ca="1" si="1"/>
        <v>"2084025705" : "hoặc hàng",</v>
      </c>
    </row>
    <row r="131" spans="1:7" ht="14.25" customHeight="1">
      <c r="A131" s="2">
        <v>2084026000</v>
      </c>
      <c r="B131" s="2" t="s">
        <v>570</v>
      </c>
      <c r="C131" s="2" t="s">
        <v>1400</v>
      </c>
      <c r="D131" s="2" t="s">
        <v>1403</v>
      </c>
      <c r="E131" s="5" t="str">
        <f ca="1">IFERROR(__xludf.DUMMYFUNCTION("GOOGLETRANSLATE(B142,""ja"",""vi"")"),"Các chữ s")</f>
        <v>Các chữ s</v>
      </c>
      <c r="F131" s="4" t="str">
        <f ca="1">IFERROR(__xludf.DUMMYFUNCTION("GOOGLETRANSLATE(C142,""ja"",""vi"")"),"Đấu giá&gt; vé, chứng từ, đặt phòng khách sạn&gt; Thẻ trả trước&gt; Thẻ điện thoại&gt; giải trí, tài năng&gt; tài năng nữ&gt; chữ s")</f>
        <v>Đấu giá&gt; vé, chứng từ, đặt phòng khách sạn&gt; Thẻ trả trước&gt; Thẻ điện thoại&gt; giải trí, tài năng&gt; tài năng nữ&gt; chữ s</v>
      </c>
      <c r="G131" t="str">
        <f t="shared" ref="G131:G194" ca="1" si="2">CONCATENATE(CHAR(34)&amp;"",A131,""&amp;CHAR(34)," : ", CHAR(34)&amp;"",E131,""&amp;CHAR(34),",")</f>
        <v>"2084026000" : "Các chữ s",</v>
      </c>
    </row>
    <row r="132" spans="1:7" ht="14.25" customHeight="1">
      <c r="A132" s="2">
        <v>2084026279</v>
      </c>
      <c r="B132" s="2" t="s">
        <v>578</v>
      </c>
      <c r="C132" s="2" t="s">
        <v>1406</v>
      </c>
      <c r="D132" s="2" t="s">
        <v>1409</v>
      </c>
      <c r="E132" s="5" t="str">
        <f ca="1">IFERROR(__xludf.DUMMYFUNCTION("GOOGLETRANSLATE(B143,""ja"",""vi"")"),"Tagyo")</f>
        <v>Tagyo</v>
      </c>
      <c r="F132" s="4" t="str">
        <f ca="1">IFERROR(__xludf.DUMMYFUNCTION("GOOGLETRANSLATE(C143,""ja"",""vi"")"),"Đấu giá&gt; vé, chứng từ, đặt phòng khách sạn&gt; Thẻ trả trước&gt; Thẻ điện thoại&gt; giải trí, tài năng&gt; tài năng nữ&gt; Tagyo")</f>
        <v>Đấu giá&gt; vé, chứng từ, đặt phòng khách sạn&gt; Thẻ trả trước&gt; Thẻ điện thoại&gt; giải trí, tài năng&gt; tài năng nữ&gt; Tagyo</v>
      </c>
      <c r="G132" t="str">
        <f t="shared" ca="1" si="2"/>
        <v>"2084026279" : "Tagyo",</v>
      </c>
    </row>
    <row r="133" spans="1:7" ht="14.25" customHeight="1">
      <c r="A133" s="2">
        <v>2084026376</v>
      </c>
      <c r="B133" s="2" t="s">
        <v>587</v>
      </c>
      <c r="C133" s="2" t="s">
        <v>1413</v>
      </c>
      <c r="D133" s="2" t="s">
        <v>1414</v>
      </c>
      <c r="E133" s="5" t="str">
        <f ca="1">IFERROR(__xludf.DUMMYFUNCTION("GOOGLETRANSLATE(B144,""ja"",""vi"")"),"Một dòng")</f>
        <v>Một dòng</v>
      </c>
      <c r="F133" s="4" t="str">
        <f ca="1">IFERROR(__xludf.DUMMYFUNCTION("GOOGLETRANSLATE(C144,""ja"",""vi"")"),"Đấu giá&gt; vé, chứng từ, đặt phòng khách sạn&gt; Thẻ trả trước&gt; Thẻ điện thoại&gt; giải trí, tài năng&gt; nữ tài năng&gt; hàng")</f>
        <v>Đấu giá&gt; vé, chứng từ, đặt phòng khách sạn&gt; Thẻ trả trước&gt; Thẻ điện thoại&gt; giải trí, tài năng&gt; nữ tài năng&gt; hàng</v>
      </c>
      <c r="G133" t="str">
        <f t="shared" ca="1" si="2"/>
        <v>"2084026376" : "Một dòng",</v>
      </c>
    </row>
    <row r="134" spans="1:7" ht="14.25" customHeight="1">
      <c r="A134" s="2">
        <v>2084026553</v>
      </c>
      <c r="B134" s="2" t="s">
        <v>592</v>
      </c>
      <c r="C134" s="2" t="s">
        <v>1419</v>
      </c>
      <c r="D134" s="2" t="s">
        <v>1421</v>
      </c>
      <c r="E134" s="5" t="str">
        <f ca="1">IFERROR(__xludf.DUMMYFUNCTION("GOOGLETRANSLATE(B145,""ja"",""vi"")"),"hàng")</f>
        <v>hàng</v>
      </c>
      <c r="F134" s="4" t="str">
        <f ca="1">IFERROR(__xludf.DUMMYFUNCTION("GOOGLETRANSLATE(C145,""ja"",""vi"")"),"Đấu giá&gt; vé, chứng từ, đặt phòng khách sạn&gt; Thẻ trả trước&gt; Thẻ điện thoại&gt; giải trí, tài năng&gt; nữ tài năng&gt; hàng")</f>
        <v>Đấu giá&gt; vé, chứng từ, đặt phòng khách sạn&gt; Thẻ trả trước&gt; Thẻ điện thoại&gt; giải trí, tài năng&gt; nữ tài năng&gt; hàng</v>
      </c>
      <c r="G134" t="str">
        <f t="shared" ca="1" si="2"/>
        <v>"2084026553" : "hàng",</v>
      </c>
    </row>
    <row r="135" spans="1:7" ht="14.25" customHeight="1">
      <c r="A135" s="2">
        <v>2084026748</v>
      </c>
      <c r="B135" s="2" t="s">
        <v>600</v>
      </c>
      <c r="C135" s="2" t="s">
        <v>1426</v>
      </c>
      <c r="D135" s="2" t="s">
        <v>1428</v>
      </c>
      <c r="E135" s="5" t="str">
        <f ca="1">IFERROR(__xludf.DUMMYFUNCTION("GOOGLETRANSLATE(B146,""ja"",""vi"")"),"hoặc dòng")</f>
        <v>hoặc dòng</v>
      </c>
      <c r="F135" s="4" t="str">
        <f ca="1">IFERROR(__xludf.DUMMYFUNCTION("GOOGLETRANSLATE(C146,""ja"",""vi"")"),"Đấu giá&gt; vé, chứng từ, đặt phòng khách sạn&gt; Thẻ trả trước&gt; Thẻ điện thoại&gt; giải trí, tài năng&gt; nữ tài năng&gt; hoặc hàng")</f>
        <v>Đấu giá&gt; vé, chứng từ, đặt phòng khách sạn&gt; Thẻ trả trước&gt; Thẻ điện thoại&gt; giải trí, tài năng&gt; nữ tài năng&gt; hoặc hàng</v>
      </c>
      <c r="G135" t="str">
        <f t="shared" ca="1" si="2"/>
        <v>"2084026748" : "hoặc dòng",</v>
      </c>
    </row>
    <row r="136" spans="1:7" ht="14.25" customHeight="1">
      <c r="A136" s="2">
        <v>2084026931</v>
      </c>
      <c r="B136" s="2" t="s">
        <v>608</v>
      </c>
      <c r="C136" s="2" t="s">
        <v>1431</v>
      </c>
      <c r="D136" s="2" t="s">
        <v>1433</v>
      </c>
      <c r="E136" s="5" t="str">
        <f ca="1">IFERROR(__xludf.DUMMYFUNCTION("GOOGLETRANSLATE(B147,""ja"",""vi"")"),"hoặc hàng")</f>
        <v>hoặc hàng</v>
      </c>
      <c r="F136" s="4" t="str">
        <f ca="1">IFERROR(__xludf.DUMMYFUNCTION("GOOGLETRANSLATE(C147,""ja"",""vi"")"),"Đấu giá&gt; vé, chứng từ, đặt phòng khách sạn&gt; Thẻ trả trước&gt; Thẻ điện thoại&gt; giải trí, tài năng&gt; nữ tài năng&gt; hoặc hàng")</f>
        <v>Đấu giá&gt; vé, chứng từ, đặt phòng khách sạn&gt; Thẻ trả trước&gt; Thẻ điện thoại&gt; giải trí, tài năng&gt; nữ tài năng&gt; hoặc hàng</v>
      </c>
      <c r="G136" t="str">
        <f t="shared" ca="1" si="2"/>
        <v>"2084026931" : "hoặc hàng",</v>
      </c>
    </row>
    <row r="137" spans="1:7" ht="14.25" customHeight="1">
      <c r="A137" s="2">
        <v>2084027057</v>
      </c>
      <c r="B137" s="2" t="s">
        <v>689</v>
      </c>
      <c r="C137" s="2" t="s">
        <v>1438</v>
      </c>
      <c r="D137" s="2" t="s">
        <v>1439</v>
      </c>
      <c r="E137" s="5" t="str">
        <f ca="1">IFERROR(__xludf.DUMMYFUNCTION("GOOGLETRANSLATE(B148,""ja"",""vi"")"),"Racovian")</f>
        <v>Racovian</v>
      </c>
      <c r="F137" s="4" t="str">
        <f ca="1">IFERROR(__xludf.DUMMYFUNCTION("GOOGLETRANSLATE(C148,""ja"",""vi"")"),"Đấu giá&gt; vé, chứng từ, đặt phòng khách sạn&gt; Thẻ trả trước&gt; Thẻ điện thoại&gt; giải trí, tài năng&gt; tài năng nữ&gt; Racovian")</f>
        <v>Đấu giá&gt; vé, chứng từ, đặt phòng khách sạn&gt; Thẻ trả trước&gt; Thẻ điện thoại&gt; giải trí, tài năng&gt; tài năng nữ&gt; Racovian</v>
      </c>
      <c r="G137" t="str">
        <f t="shared" ca="1" si="2"/>
        <v>"2084027057" : "Racovian",</v>
      </c>
    </row>
    <row r="138" spans="1:7" ht="14.25" customHeight="1">
      <c r="A138" s="2">
        <v>2084027073</v>
      </c>
      <c r="B138" s="2" t="s">
        <v>696</v>
      </c>
      <c r="C138" s="2" t="s">
        <v>1445</v>
      </c>
      <c r="D138" s="2" t="s">
        <v>1446</v>
      </c>
      <c r="E138" s="5" t="str">
        <f ca="1">IFERROR(__xludf.DUMMYFUNCTION("GOOGLETRANSLATE(B149,""ja"",""vi"")"),"tôi hàng")</f>
        <v>tôi hàng</v>
      </c>
      <c r="F138" s="4" t="str">
        <f ca="1">IFERROR(__xludf.DUMMYFUNCTION("GOOGLETRANSLATE(C149,""ja"",""vi"")"),"Đấu giá&gt; vé, chứng từ, đặt phòng khách sạn&gt; Thẻ trả trước&gt; Thẻ điện thoại&gt; giải trí, tài năng&gt; nữ tài năng&gt; Tôi dòng")</f>
        <v>Đấu giá&gt; vé, chứng từ, đặt phòng khách sạn&gt; Thẻ trả trước&gt; Thẻ điện thoại&gt; giải trí, tài năng&gt; nữ tài năng&gt; Tôi dòng</v>
      </c>
      <c r="G138" t="str">
        <f t="shared" ca="1" si="2"/>
        <v>"2084027073" : "tôi hàng",</v>
      </c>
    </row>
    <row r="139" spans="1:7" ht="14.25" customHeight="1">
      <c r="E139" s="5" t="str">
        <f ca="1">IFERROR(__xludf.DUMMYFUNCTION("GOOGLETRANSLATE(B150,""ja"",""vi"")"),"#VALUE!")</f>
        <v>#VALUE!</v>
      </c>
      <c r="F139" s="4" t="str">
        <f ca="1">IFERROR(__xludf.DUMMYFUNCTION("GOOGLETRANSLATE(C150,""ja"",""vi"")"),"#VALUE!")</f>
        <v>#VALUE!</v>
      </c>
      <c r="G139" t="str">
        <f t="shared" ca="1" si="2"/>
        <v>"" : "#VALUE!",</v>
      </c>
    </row>
    <row r="140" spans="1:7" ht="14.25" customHeight="1">
      <c r="A140" s="3">
        <v>2084005110</v>
      </c>
      <c r="B140" s="10"/>
      <c r="C140" s="10"/>
      <c r="D140" s="10"/>
      <c r="E140" s="5" t="str">
        <f ca="1">IFERROR(__xludf.DUMMYFUNCTION("GOOGLETRANSLATE(B151,""ja"",""vi"")"),"#VALUE!")</f>
        <v>#VALUE!</v>
      </c>
      <c r="F140" s="4" t="str">
        <f ca="1">IFERROR(__xludf.DUMMYFUNCTION("GOOGLETRANSLATE(C151,""ja"",""vi"")"),"#VALUE!")</f>
        <v>#VALUE!</v>
      </c>
      <c r="G140" t="str">
        <f t="shared" ca="1" si="2"/>
        <v>"2084005110" : "#VALUE!",</v>
      </c>
    </row>
    <row r="141" spans="1:7" ht="14.25" customHeight="1">
      <c r="A141" s="11">
        <v>2084025021</v>
      </c>
      <c r="B141" s="11" t="s">
        <v>554</v>
      </c>
      <c r="C141" s="11" t="s">
        <v>1452</v>
      </c>
      <c r="D141" s="11" t="s">
        <v>1453</v>
      </c>
      <c r="E141" s="5" t="str">
        <f ca="1">IFERROR(__xludf.DUMMYFUNCTION("GOOGLETRANSLATE(B152,""ja"",""vi"")"),"hàng nitơ")</f>
        <v>hàng nitơ</v>
      </c>
      <c r="F141" s="4" t="str">
        <f ca="1">IFERROR(__xludf.DUMMYFUNCTION("GOOGLETRANSLATE(C152,""ja"",""vi"")"),"Đấu giá&gt; vé, chứng từ, đặt phòng khách sạn&gt; Thẻ trả trước&gt; Thẻ điện thoại&gt; giải trí, Talent&gt; Nam Talent&gt; hàng nitơ")</f>
        <v>Đấu giá&gt; vé, chứng từ, đặt phòng khách sạn&gt; Thẻ trả trước&gt; Thẻ điện thoại&gt; giải trí, Talent&gt; Nam Talent&gt; hàng nitơ</v>
      </c>
      <c r="G141" t="str">
        <f t="shared" ca="1" si="2"/>
        <v>"2084025021" : "hàng nitơ",</v>
      </c>
    </row>
    <row r="142" spans="1:7" ht="14.25" customHeight="1">
      <c r="A142" s="2">
        <v>2084025735</v>
      </c>
      <c r="B142" s="2" t="s">
        <v>562</v>
      </c>
      <c r="C142" s="2" t="s">
        <v>1458</v>
      </c>
      <c r="D142" s="2" t="s">
        <v>1459</v>
      </c>
      <c r="E142" s="5" t="str">
        <f ca="1">IFERROR(__xludf.DUMMYFUNCTION("GOOGLETRANSLATE(B153,""ja"",""vi"")"),"hoặc hàng")</f>
        <v>hoặc hàng</v>
      </c>
      <c r="F142" s="4" t="str">
        <f ca="1">IFERROR(__xludf.DUMMYFUNCTION("GOOGLETRANSLATE(C153,""ja"",""vi"")"),"Đấu giá&gt; vé, chứng từ, đặt phòng khách sạn&gt; Thẻ trả trước&gt; Thẻ điện thoại&gt; giải trí, Talent&gt; Nam Talent&gt; hoặc hàng")</f>
        <v>Đấu giá&gt; vé, chứng từ, đặt phòng khách sạn&gt; Thẻ trả trước&gt; Thẻ điện thoại&gt; giải trí, Talent&gt; Nam Talent&gt; hoặc hàng</v>
      </c>
      <c r="G142" t="str">
        <f t="shared" ca="1" si="2"/>
        <v>"2084025735" : "hoặc hàng",</v>
      </c>
    </row>
    <row r="143" spans="1:7" ht="14.25" customHeight="1">
      <c r="A143" s="2">
        <v>2084026040</v>
      </c>
      <c r="B143" s="2" t="s">
        <v>570</v>
      </c>
      <c r="C143" s="2" t="s">
        <v>1466</v>
      </c>
      <c r="D143" s="2" t="s">
        <v>1467</v>
      </c>
      <c r="E143" s="5" t="str">
        <f ca="1">IFERROR(__xludf.DUMMYFUNCTION("GOOGLETRANSLATE(B154,""ja"",""vi"")"),"Các chữ s")</f>
        <v>Các chữ s</v>
      </c>
      <c r="F143" s="4" t="str">
        <f ca="1">IFERROR(__xludf.DUMMYFUNCTION("GOOGLETRANSLATE(C154,""ja"",""vi"")"),"Đấu giá&gt; vé, chứng từ, đặt phòng khách sạn&gt; Thẻ trả trước&gt; Thẻ điện thoại&gt; giải trí, Talent&gt; Nam Talent&gt; chữ s")</f>
        <v>Đấu giá&gt; vé, chứng từ, đặt phòng khách sạn&gt; Thẻ trả trước&gt; Thẻ điện thoại&gt; giải trí, Talent&gt; Nam Talent&gt; chữ s</v>
      </c>
      <c r="G143" t="str">
        <f t="shared" ca="1" si="2"/>
        <v>"2084026040" : "Các chữ s",</v>
      </c>
    </row>
    <row r="144" spans="1:7" ht="14.25" customHeight="1">
      <c r="A144" s="2">
        <v>2084026285</v>
      </c>
      <c r="B144" s="2" t="s">
        <v>578</v>
      </c>
      <c r="C144" s="2" t="s">
        <v>1472</v>
      </c>
      <c r="D144" s="2" t="s">
        <v>1474</v>
      </c>
      <c r="E144" s="5" t="str">
        <f ca="1">IFERROR(__xludf.DUMMYFUNCTION("GOOGLETRANSLATE(B155,""ja"",""vi"")"),"Tagyo")</f>
        <v>Tagyo</v>
      </c>
      <c r="F144" s="4" t="str">
        <f ca="1">IFERROR(__xludf.DUMMYFUNCTION("GOOGLETRANSLATE(C155,""ja"",""vi"")"),"Đấu giá&gt; vé, chứng từ, đặt phòng khách sạn&gt; Thẻ trả trước&gt; Thẻ điện thoại&gt; giải trí, Talent&gt; Nam Talent&gt; Tagyo")</f>
        <v>Đấu giá&gt; vé, chứng từ, đặt phòng khách sạn&gt; Thẻ trả trước&gt; Thẻ điện thoại&gt; giải trí, Talent&gt; Nam Talent&gt; Tagyo</v>
      </c>
      <c r="G144" t="str">
        <f t="shared" ca="1" si="2"/>
        <v>"2084026285" : "Tagyo",</v>
      </c>
    </row>
    <row r="145" spans="1:7" ht="14.25" customHeight="1">
      <c r="A145" s="2">
        <v>2084026395</v>
      </c>
      <c r="B145" s="2" t="s">
        <v>587</v>
      </c>
      <c r="C145" s="2" t="s">
        <v>1477</v>
      </c>
      <c r="D145" s="2" t="s">
        <v>1478</v>
      </c>
      <c r="E145" s="5" t="str">
        <f ca="1">IFERROR(__xludf.DUMMYFUNCTION("GOOGLETRANSLATE(B156,""ja"",""vi"")"),"Một dòng")</f>
        <v>Một dòng</v>
      </c>
      <c r="F145" s="4" t="str">
        <f ca="1">IFERROR(__xludf.DUMMYFUNCTION("GOOGLETRANSLATE(C156,""ja"",""vi"")"),"Đấu giá&gt; vé, chứng từ, đặt phòng khách sạn&gt; Thẻ trả trước&gt; Thẻ điện thoại&gt; giải trí, Talent&gt; Nam Talent&gt; hàng")</f>
        <v>Đấu giá&gt; vé, chứng từ, đặt phòng khách sạn&gt; Thẻ trả trước&gt; Thẻ điện thoại&gt; giải trí, Talent&gt; Nam Talent&gt; hàng</v>
      </c>
      <c r="G145" t="str">
        <f t="shared" ca="1" si="2"/>
        <v>"2084026395" : "Một dòng",</v>
      </c>
    </row>
    <row r="146" spans="1:7" ht="14.25" customHeight="1">
      <c r="A146" s="2">
        <v>2084026586</v>
      </c>
      <c r="B146" s="2" t="s">
        <v>592</v>
      </c>
      <c r="C146" s="2" t="s">
        <v>1484</v>
      </c>
      <c r="D146" s="2" t="s">
        <v>1485</v>
      </c>
      <c r="E146" s="5" t="str">
        <f ca="1">IFERROR(__xludf.DUMMYFUNCTION("GOOGLETRANSLATE(B157,""ja"",""vi"")"),"hàng")</f>
        <v>hàng</v>
      </c>
      <c r="F146" s="4" t="str">
        <f ca="1">IFERROR(__xludf.DUMMYFUNCTION("GOOGLETRANSLATE(C157,""ja"",""vi"")"),"Đấu giá&gt; vé, chứng từ, đặt phòng khách sạn&gt; Thẻ trả trước&gt; Thẻ điện thoại&gt; giải trí, Talent&gt; Nam Talent&gt; hàng")</f>
        <v>Đấu giá&gt; vé, chứng từ, đặt phòng khách sạn&gt; Thẻ trả trước&gt; Thẻ điện thoại&gt; giải trí, Talent&gt; Nam Talent&gt; hàng</v>
      </c>
      <c r="G146" t="str">
        <f t="shared" ca="1" si="2"/>
        <v>"2084026586" : "hàng",</v>
      </c>
    </row>
    <row r="147" spans="1:7" ht="14.25" customHeight="1">
      <c r="A147" s="2">
        <v>2084026789</v>
      </c>
      <c r="B147" s="2" t="s">
        <v>600</v>
      </c>
      <c r="C147" s="2" t="s">
        <v>1491</v>
      </c>
      <c r="D147" s="2" t="s">
        <v>1492</v>
      </c>
      <c r="E147" s="5" t="str">
        <f ca="1">IFERROR(__xludf.DUMMYFUNCTION("GOOGLETRANSLATE(B158,""ja"",""vi"")"),"hoặc dòng")</f>
        <v>hoặc dòng</v>
      </c>
      <c r="F147" s="4" t="str">
        <f ca="1">IFERROR(__xludf.DUMMYFUNCTION("GOOGLETRANSLATE(C158,""ja"",""vi"")"),"Đấu giá&gt; vé, chứng từ, đặt phòng khách sạn&gt; Thẻ trả trước&gt; Thẻ điện thoại&gt; giải trí, Talent&gt; Nam Talent&gt; hoặc hàng")</f>
        <v>Đấu giá&gt; vé, chứng từ, đặt phòng khách sạn&gt; Thẻ trả trước&gt; Thẻ điện thoại&gt; giải trí, Talent&gt; Nam Talent&gt; hoặc hàng</v>
      </c>
      <c r="G147" t="str">
        <f t="shared" ca="1" si="2"/>
        <v>"2084026789" : "hoặc dòng",</v>
      </c>
    </row>
    <row r="148" spans="1:7" ht="14.25" customHeight="1">
      <c r="A148" s="2">
        <v>2084026951</v>
      </c>
      <c r="B148" s="2" t="s">
        <v>608</v>
      </c>
      <c r="C148" s="2" t="s">
        <v>1497</v>
      </c>
      <c r="D148" s="2" t="s">
        <v>1499</v>
      </c>
      <c r="E148" s="5" t="str">
        <f ca="1">IFERROR(__xludf.DUMMYFUNCTION("GOOGLETRANSLATE(B159,""ja"",""vi"")"),"hoặc hàng")</f>
        <v>hoặc hàng</v>
      </c>
      <c r="F148" s="4" t="str">
        <f ca="1">IFERROR(__xludf.DUMMYFUNCTION("GOOGLETRANSLATE(C159,""ja"",""vi"")"),"Đấu giá&gt; vé, chứng từ, đặt phòng khách sạn&gt; Thẻ trả trước&gt; Thẻ điện thoại&gt; giải trí, Talent&gt; Nam Talent&gt; hoặc hàng")</f>
        <v>Đấu giá&gt; vé, chứng từ, đặt phòng khách sạn&gt; Thẻ trả trước&gt; Thẻ điện thoại&gt; giải trí, Talent&gt; Nam Talent&gt; hoặc hàng</v>
      </c>
      <c r="G148" t="str">
        <f t="shared" ca="1" si="2"/>
        <v>"2084026951" : "hoặc hàng",</v>
      </c>
    </row>
    <row r="149" spans="1:7" ht="14.25" customHeight="1">
      <c r="A149" s="2">
        <v>2084027059</v>
      </c>
      <c r="B149" s="2" t="s">
        <v>689</v>
      </c>
      <c r="C149" s="2" t="s">
        <v>1504</v>
      </c>
      <c r="D149" s="2" t="s">
        <v>1506</v>
      </c>
      <c r="E149" s="5" t="str">
        <f ca="1">IFERROR(__xludf.DUMMYFUNCTION("GOOGLETRANSLATE(B160,""ja"",""vi"")"),"Racovian")</f>
        <v>Racovian</v>
      </c>
      <c r="F149" s="4" t="str">
        <f ca="1">IFERROR(__xludf.DUMMYFUNCTION("GOOGLETRANSLATE(C160,""ja"",""vi"")"),"Đấu giá&gt; vé, chứng từ, đặt phòng khách sạn&gt; Thẻ trả trước&gt; Thẻ điện thoại&gt; giải trí, Talent&gt; Nam Talent&gt; Racovian")</f>
        <v>Đấu giá&gt; vé, chứng từ, đặt phòng khách sạn&gt; Thẻ trả trước&gt; Thẻ điện thoại&gt; giải trí, Talent&gt; Nam Talent&gt; Racovian</v>
      </c>
      <c r="G149" t="str">
        <f t="shared" ca="1" si="2"/>
        <v>"2084027059" : "Racovian",</v>
      </c>
    </row>
    <row r="150" spans="1:7" ht="14.25" customHeight="1">
      <c r="A150" s="2">
        <v>2084027077</v>
      </c>
      <c r="B150" s="2" t="s">
        <v>696</v>
      </c>
      <c r="C150" s="2" t="s">
        <v>1508</v>
      </c>
      <c r="D150" s="2" t="s">
        <v>1510</v>
      </c>
      <c r="E150" s="5" t="str">
        <f ca="1">IFERROR(__xludf.DUMMYFUNCTION("GOOGLETRANSLATE(B161,""ja"",""vi"")"),"tôi hàng")</f>
        <v>tôi hàng</v>
      </c>
      <c r="F150" s="4" t="str">
        <f ca="1">IFERROR(__xludf.DUMMYFUNCTION("GOOGLETRANSLATE(C161,""ja"",""vi"")"),"Đấu giá&gt; vé, chứng từ, đặt phòng khách sạn&gt; Thẻ trả trước&gt; Thẻ điện thoại&gt; giải trí, Talent&gt; Nam Talent&gt; Tôi dòng")</f>
        <v>Đấu giá&gt; vé, chứng từ, đặt phòng khách sạn&gt; Thẻ trả trước&gt; Thẻ điện thoại&gt; giải trí, Talent&gt; Nam Talent&gt; Tôi dòng</v>
      </c>
      <c r="G150" t="str">
        <f t="shared" ca="1" si="2"/>
        <v>"2084027077" : "tôi hàng",</v>
      </c>
    </row>
    <row r="151" spans="1:7" ht="14.25" customHeight="1">
      <c r="E151" s="5" t="str">
        <f ca="1">IFERROR(__xludf.DUMMYFUNCTION("GOOGLETRANSLATE(B162,""ja"",""vi"")"),"#VALUE!")</f>
        <v>#VALUE!</v>
      </c>
      <c r="F151" s="4" t="str">
        <f ca="1">IFERROR(__xludf.DUMMYFUNCTION("GOOGLETRANSLATE(C162,""ja"",""vi"")"),"#VALUE!")</f>
        <v>#VALUE!</v>
      </c>
      <c r="G151" t="str">
        <f t="shared" ca="1" si="2"/>
        <v>"" : "#VALUE!",</v>
      </c>
    </row>
    <row r="152" spans="1:7" ht="14.25" customHeight="1">
      <c r="A152" s="38">
        <v>2084033790</v>
      </c>
      <c r="B152" s="39"/>
      <c r="C152" s="39"/>
      <c r="D152" s="40"/>
      <c r="E152" s="5" t="str">
        <f ca="1">IFERROR(__xludf.DUMMYFUNCTION("GOOGLETRANSLATE(B163,""ja"",""vi"")"),"#VALUE!")</f>
        <v>#VALUE!</v>
      </c>
      <c r="F152" s="4" t="str">
        <f ca="1">IFERROR(__xludf.DUMMYFUNCTION("GOOGLETRANSLATE(C163,""ja"",""vi"")"),"#VALUE!")</f>
        <v>#VALUE!</v>
      </c>
      <c r="G152" t="str">
        <f t="shared" ca="1" si="2"/>
        <v>"2084033790" : "#VALUE!",</v>
      </c>
    </row>
    <row r="153" spans="1:7" ht="14.25" customHeight="1">
      <c r="A153" s="2">
        <v>2084025040</v>
      </c>
      <c r="B153" s="2" t="s">
        <v>554</v>
      </c>
      <c r="C153" s="2" t="s">
        <v>1515</v>
      </c>
      <c r="D153" s="2" t="s">
        <v>1516</v>
      </c>
      <c r="E153" s="5" t="str">
        <f ca="1">IFERROR(__xludf.DUMMYFUNCTION("GOOGLETRANSLATE(B164,""ja"",""vi"")"),"hàng nitơ")</f>
        <v>hàng nitơ</v>
      </c>
      <c r="F153" s="4" t="str">
        <f ca="1">IFERROR(__xludf.DUMMYFUNCTION("GOOGLETRANSLATE(C164,""ja"",""vi"")"),"Đấu giá&gt; cổ, bộ sưu tập&gt; giao dịch thẻ&gt; Talent&gt; Woman tài năng&gt; hàng nitơ")</f>
        <v>Đấu giá&gt; cổ, bộ sưu tập&gt; giao dịch thẻ&gt; Talent&gt; Woman tài năng&gt; hàng nitơ</v>
      </c>
      <c r="G153" t="str">
        <f t="shared" ca="1" si="2"/>
        <v>"2084025040" : "hàng nitơ",</v>
      </c>
    </row>
    <row r="154" spans="1:7" ht="14.25" customHeight="1">
      <c r="A154" s="2">
        <v>2084025745</v>
      </c>
      <c r="B154" s="2" t="s">
        <v>562</v>
      </c>
      <c r="C154" s="2" t="s">
        <v>1520</v>
      </c>
      <c r="D154" s="2" t="s">
        <v>1521</v>
      </c>
      <c r="E154" s="5" t="str">
        <f ca="1">IFERROR(__xludf.DUMMYFUNCTION("GOOGLETRANSLATE(B165,""ja"",""vi"")"),"hoặc hàng")</f>
        <v>hoặc hàng</v>
      </c>
      <c r="F154" s="4" t="str">
        <f ca="1">IFERROR(__xludf.DUMMYFUNCTION("GOOGLETRANSLATE(C165,""ja"",""vi"")"),"Đấu giá&gt; cổ, bộ sưu tập&gt; giao dịch thẻ&gt; Talent&gt; Woman tài năng&gt; hoặc hàng")</f>
        <v>Đấu giá&gt; cổ, bộ sưu tập&gt; giao dịch thẻ&gt; Talent&gt; Woman tài năng&gt; hoặc hàng</v>
      </c>
      <c r="G154" t="str">
        <f t="shared" ca="1" si="2"/>
        <v>"2084025745" : "hoặc hàng",</v>
      </c>
    </row>
    <row r="155" spans="1:7" ht="14.25" customHeight="1">
      <c r="A155" s="2">
        <v>2084026049</v>
      </c>
      <c r="B155" s="2" t="s">
        <v>570</v>
      </c>
      <c r="C155" s="2" t="s">
        <v>1525</v>
      </c>
      <c r="D155" s="2" t="s">
        <v>1526</v>
      </c>
      <c r="E155" s="5" t="str">
        <f ca="1">IFERROR(__xludf.DUMMYFUNCTION("GOOGLETRANSLATE(B166,""ja"",""vi"")"),"Các chữ s")</f>
        <v>Các chữ s</v>
      </c>
      <c r="F155" s="4" t="str">
        <f ca="1">IFERROR(__xludf.DUMMYFUNCTION("GOOGLETRANSLATE(C166,""ja"",""vi"")"),"Đấu giá&gt; cổ, bộ sưu tập&gt; giao dịch thẻ&gt; Talent&gt; Woman tài năng&gt; chữ s")</f>
        <v>Đấu giá&gt; cổ, bộ sưu tập&gt; giao dịch thẻ&gt; Talent&gt; Woman tài năng&gt; chữ s</v>
      </c>
      <c r="G155" t="str">
        <f t="shared" ca="1" si="2"/>
        <v>"2084026049" : "Các chữ s",</v>
      </c>
    </row>
    <row r="156" spans="1:7" ht="14.25" customHeight="1">
      <c r="A156" s="2">
        <v>2084026295</v>
      </c>
      <c r="B156" s="2" t="s">
        <v>578</v>
      </c>
      <c r="C156" s="2" t="s">
        <v>1528</v>
      </c>
      <c r="D156" s="2" t="s">
        <v>1530</v>
      </c>
      <c r="E156" s="5" t="str">
        <f ca="1">IFERROR(__xludf.DUMMYFUNCTION("GOOGLETRANSLATE(B167,""ja"",""vi"")"),"Tagyo")</f>
        <v>Tagyo</v>
      </c>
      <c r="F156" s="4" t="str">
        <f ca="1">IFERROR(__xludf.DUMMYFUNCTION("GOOGLETRANSLATE(C167,""ja"",""vi"")"),"Đấu giá&gt; cổ, bộ sưu tập&gt; giao dịch thẻ&gt; Talent&gt; Woman tài năng&gt; Tagyo")</f>
        <v>Đấu giá&gt; cổ, bộ sưu tập&gt; giao dịch thẻ&gt; Talent&gt; Woman tài năng&gt; Tagyo</v>
      </c>
      <c r="G156" t="str">
        <f t="shared" ca="1" si="2"/>
        <v>"2084026295" : "Tagyo",</v>
      </c>
    </row>
    <row r="157" spans="1:7" ht="14.25" customHeight="1">
      <c r="A157" s="2">
        <v>2084026403</v>
      </c>
      <c r="B157" s="2" t="s">
        <v>587</v>
      </c>
      <c r="C157" s="2" t="s">
        <v>1532</v>
      </c>
      <c r="D157" s="2" t="s">
        <v>1533</v>
      </c>
      <c r="E157" s="5" t="str">
        <f ca="1">IFERROR(__xludf.DUMMYFUNCTION("GOOGLETRANSLATE(B168,""ja"",""vi"")"),"Một dòng")</f>
        <v>Một dòng</v>
      </c>
      <c r="F157" s="4" t="str">
        <f ca="1">IFERROR(__xludf.DUMMYFUNCTION("GOOGLETRANSLATE(C168,""ja"",""vi"")"),"Đấu giá&gt; cổ, bộ sưu tập&gt; giao dịch thẻ&gt; Talent&gt; Woman tài năng&gt; hàng")</f>
        <v>Đấu giá&gt; cổ, bộ sưu tập&gt; giao dịch thẻ&gt; Talent&gt; Woman tài năng&gt; hàng</v>
      </c>
      <c r="G157" t="str">
        <f t="shared" ca="1" si="2"/>
        <v>"2084026403" : "Một dòng",</v>
      </c>
    </row>
    <row r="158" spans="1:7" ht="14.25" customHeight="1">
      <c r="A158" s="2">
        <v>2084026597</v>
      </c>
      <c r="B158" s="2" t="s">
        <v>592</v>
      </c>
      <c r="C158" s="2" t="s">
        <v>1537</v>
      </c>
      <c r="D158" s="2" t="s">
        <v>1538</v>
      </c>
      <c r="E158" s="5" t="str">
        <f ca="1">IFERROR(__xludf.DUMMYFUNCTION("GOOGLETRANSLATE(B169,""ja"",""vi"")"),"hàng")</f>
        <v>hàng</v>
      </c>
      <c r="F158" s="4" t="str">
        <f ca="1">IFERROR(__xludf.DUMMYFUNCTION("GOOGLETRANSLATE(C169,""ja"",""vi"")"),"Đấu giá&gt; cổ, bộ sưu tập&gt; giao dịch thẻ&gt; Talent&gt; Woman tài năng&gt; hàng")</f>
        <v>Đấu giá&gt; cổ, bộ sưu tập&gt; giao dịch thẻ&gt; Talent&gt; Woman tài năng&gt; hàng</v>
      </c>
      <c r="G158" t="str">
        <f t="shared" ca="1" si="2"/>
        <v>"2084026597" : "hàng",</v>
      </c>
    </row>
    <row r="159" spans="1:7" ht="14.25" customHeight="1">
      <c r="A159" s="2">
        <v>2084026795</v>
      </c>
      <c r="B159" s="2" t="s">
        <v>600</v>
      </c>
      <c r="C159" s="2" t="s">
        <v>1542</v>
      </c>
      <c r="D159" s="2" t="s">
        <v>1543</v>
      </c>
      <c r="E159" s="5" t="str">
        <f ca="1">IFERROR(__xludf.DUMMYFUNCTION("GOOGLETRANSLATE(B170,""ja"",""vi"")"),"hoặc dòng")</f>
        <v>hoặc dòng</v>
      </c>
      <c r="F159" s="4" t="str">
        <f ca="1">IFERROR(__xludf.DUMMYFUNCTION("GOOGLETRANSLATE(C170,""ja"",""vi"")"),"Đấu giá&gt; cổ, bộ sưu tập&gt; giao dịch thẻ&gt; Talent&gt; Woman tài năng&gt; hoặc hàng")</f>
        <v>Đấu giá&gt; cổ, bộ sưu tập&gt; giao dịch thẻ&gt; Talent&gt; Woman tài năng&gt; hoặc hàng</v>
      </c>
      <c r="G159" t="str">
        <f t="shared" ca="1" si="2"/>
        <v>"2084026795" : "hoặc dòng",</v>
      </c>
    </row>
    <row r="160" spans="1:7" ht="14.25" customHeight="1">
      <c r="A160" s="2">
        <v>2084026953</v>
      </c>
      <c r="B160" s="2" t="s">
        <v>608</v>
      </c>
      <c r="C160" s="2" t="s">
        <v>1546</v>
      </c>
      <c r="D160" s="2" t="s">
        <v>1548</v>
      </c>
      <c r="E160" s="5" t="str">
        <f ca="1">IFERROR(__xludf.DUMMYFUNCTION("GOOGLETRANSLATE(B171,""ja"",""vi"")"),"hoặc hàng")</f>
        <v>hoặc hàng</v>
      </c>
      <c r="F160" s="4" t="str">
        <f ca="1">IFERROR(__xludf.DUMMYFUNCTION("GOOGLETRANSLATE(C171,""ja"",""vi"")"),"Đấu giá&gt; cổ, bộ sưu tập&gt; giao dịch thẻ&gt; Talent&gt; Woman tài năng&gt; hoặc hàng")</f>
        <v>Đấu giá&gt; cổ, bộ sưu tập&gt; giao dịch thẻ&gt; Talent&gt; Woman tài năng&gt; hoặc hàng</v>
      </c>
      <c r="G160" t="str">
        <f t="shared" ca="1" si="2"/>
        <v>"2084026953" : "hoặc hàng",</v>
      </c>
    </row>
    <row r="161" spans="1:7" ht="14.25" customHeight="1">
      <c r="A161" s="2">
        <v>2084027061</v>
      </c>
      <c r="B161" s="2" t="s">
        <v>689</v>
      </c>
      <c r="C161" s="2" t="s">
        <v>1551</v>
      </c>
      <c r="D161" s="2" t="s">
        <v>1553</v>
      </c>
      <c r="E161" s="5" t="str">
        <f ca="1">IFERROR(__xludf.DUMMYFUNCTION("GOOGLETRANSLATE(B172,""ja"",""vi"")"),"Racovian")</f>
        <v>Racovian</v>
      </c>
      <c r="F161" s="4" t="str">
        <f ca="1">IFERROR(__xludf.DUMMYFUNCTION("GOOGLETRANSLATE(C172,""ja"",""vi"")"),"Đấu giá&gt; cổ, bộ sưu tập&gt; giao dịch thẻ&gt; Talent&gt; Woman tài năng&gt; Racovian")</f>
        <v>Đấu giá&gt; cổ, bộ sưu tập&gt; giao dịch thẻ&gt; Talent&gt; Woman tài năng&gt; Racovian</v>
      </c>
      <c r="G161" t="str">
        <f t="shared" ca="1" si="2"/>
        <v>"2084027061" : "Racovian",</v>
      </c>
    </row>
    <row r="162" spans="1:7" ht="14.25" customHeight="1">
      <c r="A162" s="2">
        <v>2084027079</v>
      </c>
      <c r="B162" s="2" t="s">
        <v>696</v>
      </c>
      <c r="C162" s="2" t="s">
        <v>1556</v>
      </c>
      <c r="D162" s="2" t="s">
        <v>1558</v>
      </c>
      <c r="E162" s="5" t="str">
        <f ca="1">IFERROR(__xludf.DUMMYFUNCTION("GOOGLETRANSLATE(B173,""ja"",""vi"")"),"tôi hàng")</f>
        <v>tôi hàng</v>
      </c>
      <c r="F162" s="4" t="str">
        <f ca="1">IFERROR(__xludf.DUMMYFUNCTION("GOOGLETRANSLATE(C173,""ja"",""vi"")"),"Đấu giá&gt; cổ, bộ sưu tập&gt; giao dịch thẻ&gt; Talent&gt; Woman tài năng&gt; Tôi dòng")</f>
        <v>Đấu giá&gt; cổ, bộ sưu tập&gt; giao dịch thẻ&gt; Talent&gt; Woman tài năng&gt; Tôi dòng</v>
      </c>
      <c r="G162" t="str">
        <f t="shared" ca="1" si="2"/>
        <v>"2084027079" : "tôi hàng",</v>
      </c>
    </row>
    <row r="163" spans="1:7" ht="14.25" customHeight="1">
      <c r="E163" s="5" t="str">
        <f ca="1">IFERROR(__xludf.DUMMYFUNCTION("GOOGLETRANSLATE(B174,""ja"",""vi"")"),"#VALUE!")</f>
        <v>#VALUE!</v>
      </c>
      <c r="F163" s="4" t="str">
        <f ca="1">IFERROR(__xludf.DUMMYFUNCTION("GOOGLETRANSLATE(C174,""ja"",""vi"")"),"#VALUE!")</f>
        <v>#VALUE!</v>
      </c>
      <c r="G163" t="str">
        <f t="shared" ca="1" si="2"/>
        <v>"" : "#VALUE!",</v>
      </c>
    </row>
    <row r="164" spans="1:7" ht="14.25" customHeight="1">
      <c r="A164" s="13">
        <v>2084040546</v>
      </c>
      <c r="B164" s="13"/>
      <c r="C164" s="13"/>
      <c r="D164" s="13"/>
      <c r="E164" s="5" t="str">
        <f ca="1">IFERROR(__xludf.DUMMYFUNCTION("GOOGLETRANSLATE(B175,""ja"",""vi"")"),"#VALUE!")</f>
        <v>#VALUE!</v>
      </c>
      <c r="F164" s="4" t="str">
        <f ca="1">IFERROR(__xludf.DUMMYFUNCTION("GOOGLETRANSLATE(C175,""ja"",""vi"")"),"#VALUE!")</f>
        <v>#VALUE!</v>
      </c>
      <c r="G164" t="str">
        <f t="shared" ca="1" si="2"/>
        <v>"2084040546" : "#VALUE!",</v>
      </c>
    </row>
    <row r="165" spans="1:7" ht="14.25" customHeight="1">
      <c r="A165" s="2">
        <v>2084039966</v>
      </c>
      <c r="B165" s="2" t="s">
        <v>554</v>
      </c>
      <c r="C165" s="2" t="s">
        <v>1574</v>
      </c>
      <c r="D165" s="2" t="s">
        <v>1575</v>
      </c>
      <c r="E165" s="5" t="str">
        <f ca="1">IFERROR(__xludf.DUMMYFUNCTION("GOOGLETRANSLATE(B176,""ja"",""vi"")"),"hàng nitơ")</f>
        <v>hàng nitơ</v>
      </c>
      <c r="F165" s="4" t="str">
        <f ca="1">IFERROR(__xludf.DUMMYFUNCTION("GOOGLETRANSLATE(C176,""ja"",""vi"")"),"Đấu giá&gt; cổ, bộ sưu tập&gt; vấn đề in&gt; tấm áp phích&gt; Talent&gt; Woman tài năng&gt; hàng nitơ")</f>
        <v>Đấu giá&gt; cổ, bộ sưu tập&gt; vấn đề in&gt; tấm áp phích&gt; Talent&gt; Woman tài năng&gt; hàng nitơ</v>
      </c>
      <c r="G165" t="str">
        <f t="shared" ca="1" si="2"/>
        <v>"2084039966" : "hàng nitơ",</v>
      </c>
    </row>
    <row r="166" spans="1:7" ht="14.25" customHeight="1">
      <c r="A166" s="2">
        <v>2084040040</v>
      </c>
      <c r="B166" s="2" t="s">
        <v>562</v>
      </c>
      <c r="C166" s="2" t="s">
        <v>1582</v>
      </c>
      <c r="D166" s="2" t="s">
        <v>1585</v>
      </c>
      <c r="E166" s="5" t="str">
        <f ca="1">IFERROR(__xludf.DUMMYFUNCTION("GOOGLETRANSLATE(B177,""ja"",""vi"")"),"hoặc hàng")</f>
        <v>hoặc hàng</v>
      </c>
      <c r="F166" s="4" t="str">
        <f ca="1">IFERROR(__xludf.DUMMYFUNCTION("GOOGLETRANSLATE(C177,""ja"",""vi"")"),"Đấu giá&gt; cổ, bộ sưu tập&gt; vấn đề in&gt; tấm áp phích&gt; Talent&gt; Woman tài năng&gt; hoặc hàng")</f>
        <v>Đấu giá&gt; cổ, bộ sưu tập&gt; vấn đề in&gt; tấm áp phích&gt; Talent&gt; Woman tài năng&gt; hoặc hàng</v>
      </c>
      <c r="G166" t="str">
        <f t="shared" ca="1" si="2"/>
        <v>"2084040040" : "hoặc hàng",</v>
      </c>
    </row>
    <row r="167" spans="1:7" ht="14.25" customHeight="1">
      <c r="A167" s="2">
        <v>2084040100</v>
      </c>
      <c r="B167" s="2" t="s">
        <v>570</v>
      </c>
      <c r="C167" s="2" t="s">
        <v>1591</v>
      </c>
      <c r="D167" s="2" t="s">
        <v>1595</v>
      </c>
      <c r="E167" s="5" t="str">
        <f ca="1">IFERROR(__xludf.DUMMYFUNCTION("GOOGLETRANSLATE(B178,""ja"",""vi"")"),"Các chữ s")</f>
        <v>Các chữ s</v>
      </c>
      <c r="F167" s="4" t="str">
        <f ca="1">IFERROR(__xludf.DUMMYFUNCTION("GOOGLETRANSLATE(C178,""ja"",""vi"")"),"Đấu giá&gt; cổ, bộ sưu tập&gt; vấn đề in&gt; tấm áp phích&gt; Talent&gt; Woman tài năng&gt; chữ s")</f>
        <v>Đấu giá&gt; cổ, bộ sưu tập&gt; vấn đề in&gt; tấm áp phích&gt; Talent&gt; Woman tài năng&gt; chữ s</v>
      </c>
      <c r="G167" t="str">
        <f t="shared" ca="1" si="2"/>
        <v>"2084040100" : "Các chữ s",</v>
      </c>
    </row>
    <row r="168" spans="1:7" ht="14.25" customHeight="1">
      <c r="A168" s="2">
        <v>2084040162</v>
      </c>
      <c r="B168" s="2" t="s">
        <v>578</v>
      </c>
      <c r="C168" s="2" t="s">
        <v>1598</v>
      </c>
      <c r="D168" s="2" t="s">
        <v>1600</v>
      </c>
      <c r="E168" s="5" t="str">
        <f ca="1">IFERROR(__xludf.DUMMYFUNCTION("GOOGLETRANSLATE(B179,""ja"",""vi"")"),"Tagyo")</f>
        <v>Tagyo</v>
      </c>
      <c r="F168" s="4" t="str">
        <f ca="1">IFERROR(__xludf.DUMMYFUNCTION("GOOGLETRANSLATE(C179,""ja"",""vi"")"),"Đấu giá&gt; cổ, bộ sưu tập&gt; vấn đề in&gt; tấm áp phích&gt; Talent&gt; Woman tài năng&gt; Tagyo")</f>
        <v>Đấu giá&gt; cổ, bộ sưu tập&gt; vấn đề in&gt; tấm áp phích&gt; Talent&gt; Woman tài năng&gt; Tagyo</v>
      </c>
      <c r="G168" t="str">
        <f t="shared" ca="1" si="2"/>
        <v>"2084040162" : "Tagyo",</v>
      </c>
    </row>
    <row r="169" spans="1:7" ht="14.25" customHeight="1">
      <c r="A169" s="2">
        <v>2084040188</v>
      </c>
      <c r="B169" s="2" t="s">
        <v>587</v>
      </c>
      <c r="C169" s="2" t="s">
        <v>1605</v>
      </c>
      <c r="D169" s="2" t="s">
        <v>1610</v>
      </c>
      <c r="E169" s="5" t="str">
        <f ca="1">IFERROR(__xludf.DUMMYFUNCTION("GOOGLETRANSLATE(B180,""ja"",""vi"")"),"Một dòng")</f>
        <v>Một dòng</v>
      </c>
      <c r="F169" s="4" t="str">
        <f ca="1">IFERROR(__xludf.DUMMYFUNCTION("GOOGLETRANSLATE(C180,""ja"",""vi"")"),"Đấu giá&gt; cổ, bộ sưu tập&gt; vấn đề in&gt; tấm áp phích&gt; Talent&gt; Woman tài năng&gt; hàng")</f>
        <v>Đấu giá&gt; cổ, bộ sưu tập&gt; vấn đề in&gt; tấm áp phích&gt; Talent&gt; Woman tài năng&gt; hàng</v>
      </c>
      <c r="G169" t="str">
        <f t="shared" ca="1" si="2"/>
        <v>"2084040188" : "Một dòng",</v>
      </c>
    </row>
    <row r="170" spans="1:7" ht="14.25" customHeight="1">
      <c r="A170" s="2">
        <v>2084040240</v>
      </c>
      <c r="B170" s="2" t="s">
        <v>592</v>
      </c>
      <c r="C170" s="2" t="s">
        <v>1615</v>
      </c>
      <c r="D170" s="2" t="s">
        <v>1618</v>
      </c>
      <c r="E170" s="5" t="str">
        <f ca="1">IFERROR(__xludf.DUMMYFUNCTION("GOOGLETRANSLATE(B181,""ja"",""vi"")"),"hàng")</f>
        <v>hàng</v>
      </c>
      <c r="F170" s="4" t="str">
        <f ca="1">IFERROR(__xludf.DUMMYFUNCTION("GOOGLETRANSLATE(C181,""ja"",""vi"")"),"Đấu giá&gt; cổ, bộ sưu tập&gt; vấn đề in&gt; tấm áp phích&gt; tài năng&gt; nữ tài năng&gt; hàng")</f>
        <v>Đấu giá&gt; cổ, bộ sưu tập&gt; vấn đề in&gt; tấm áp phích&gt; tài năng&gt; nữ tài năng&gt; hàng</v>
      </c>
      <c r="G170" t="str">
        <f t="shared" ca="1" si="2"/>
        <v>"2084040240" : "hàng",</v>
      </c>
    </row>
    <row r="171" spans="1:7" ht="14.25" customHeight="1">
      <c r="A171" s="2">
        <v>2084040274</v>
      </c>
      <c r="B171" s="2" t="s">
        <v>600</v>
      </c>
      <c r="C171" s="2" t="s">
        <v>1623</v>
      </c>
      <c r="D171" s="2" t="s">
        <v>1624</v>
      </c>
      <c r="E171" s="5" t="str">
        <f ca="1">IFERROR(__xludf.DUMMYFUNCTION("GOOGLETRANSLATE(B182,""ja"",""vi"")"),"hoặc dòng")</f>
        <v>hoặc dòng</v>
      </c>
      <c r="F171" s="4" t="str">
        <f ca="1">IFERROR(__xludf.DUMMYFUNCTION("GOOGLETRANSLATE(C182,""ja"",""vi"")"),"Đấu giá&gt; cổ, bộ sưu tập&gt; vấn đề in&gt; tấm áp phích&gt; Talent&gt; Woman tài năng&gt; hoặc hàng")</f>
        <v>Đấu giá&gt; cổ, bộ sưu tập&gt; vấn đề in&gt; tấm áp phích&gt; Talent&gt; Woman tài năng&gt; hoặc hàng</v>
      </c>
      <c r="G171" t="str">
        <f t="shared" ca="1" si="2"/>
        <v>"2084040274" : "hoặc dòng",</v>
      </c>
    </row>
    <row r="172" spans="1:7" ht="14.25" customHeight="1">
      <c r="A172" s="2">
        <v>2084040313</v>
      </c>
      <c r="B172" s="2" t="s">
        <v>608</v>
      </c>
      <c r="C172" s="2" t="s">
        <v>1630</v>
      </c>
      <c r="D172" s="2" t="s">
        <v>1631</v>
      </c>
      <c r="E172" s="5" t="str">
        <f ca="1">IFERROR(__xludf.DUMMYFUNCTION("GOOGLETRANSLATE(B183,""ja"",""vi"")"),"hoặc hàng")</f>
        <v>hoặc hàng</v>
      </c>
      <c r="F172" s="4" t="str">
        <f ca="1">IFERROR(__xludf.DUMMYFUNCTION("GOOGLETRANSLATE(C183,""ja"",""vi"")"),"Đấu giá&gt; cổ, bộ sưu tập&gt; vấn đề in&gt; tấm áp phích&gt; Talent&gt; Woman tài năng&gt; hoặc hàng")</f>
        <v>Đấu giá&gt; cổ, bộ sưu tập&gt; vấn đề in&gt; tấm áp phích&gt; Talent&gt; Woman tài năng&gt; hoặc hàng</v>
      </c>
      <c r="G172" t="str">
        <f t="shared" ca="1" si="2"/>
        <v>"2084040313" : "hoặc hàng",</v>
      </c>
    </row>
    <row r="173" spans="1:7" ht="14.25" customHeight="1">
      <c r="A173" s="2">
        <v>2084040334</v>
      </c>
      <c r="B173" s="2" t="s">
        <v>689</v>
      </c>
      <c r="C173" s="2" t="s">
        <v>1637</v>
      </c>
      <c r="D173" s="2" t="s">
        <v>1639</v>
      </c>
      <c r="E173" s="5" t="str">
        <f ca="1">IFERROR(__xludf.DUMMYFUNCTION("GOOGLETRANSLATE(B184,""ja"",""vi"")"),"Racovian")</f>
        <v>Racovian</v>
      </c>
      <c r="F173" s="4" t="str">
        <f ca="1">IFERROR(__xludf.DUMMYFUNCTION("GOOGLETRANSLATE(C184,""ja"",""vi"")"),"Đấu giá&gt; cổ, bộ sưu tập&gt; vấn đề in&gt; tấm áp phích&gt; Talent&gt; Woman tài năng&gt; Racovian")</f>
        <v>Đấu giá&gt; cổ, bộ sưu tập&gt; vấn đề in&gt; tấm áp phích&gt; Talent&gt; Woman tài năng&gt; Racovian</v>
      </c>
      <c r="G173" t="str">
        <f t="shared" ca="1" si="2"/>
        <v>"2084040334" : "Racovian",</v>
      </c>
    </row>
    <row r="174" spans="1:7" ht="14.25" customHeight="1">
      <c r="A174" s="2">
        <v>2084040348</v>
      </c>
      <c r="B174" s="2" t="s">
        <v>696</v>
      </c>
      <c r="C174" s="2" t="s">
        <v>1646</v>
      </c>
      <c r="D174" s="2" t="s">
        <v>1647</v>
      </c>
      <c r="E174" s="5" t="str">
        <f ca="1">IFERROR(__xludf.DUMMYFUNCTION("GOOGLETRANSLATE(B185,""ja"",""vi"")"),"tôi hàng")</f>
        <v>tôi hàng</v>
      </c>
      <c r="F174" s="4" t="str">
        <f ca="1">IFERROR(__xludf.DUMMYFUNCTION("GOOGLETRANSLATE(C185,""ja"",""vi"")"),"Đấu giá&gt; cổ, bộ sưu tập&gt; in vấn đề&gt; tấm áp phích&gt; Talent&gt; Woman tài năng&gt; Tôi dòng")</f>
        <v>Đấu giá&gt; cổ, bộ sưu tập&gt; in vấn đề&gt; tấm áp phích&gt; Talent&gt; Woman tài năng&gt; Tôi dòng</v>
      </c>
      <c r="G174" t="str">
        <f t="shared" ca="1" si="2"/>
        <v>"2084040348" : "tôi hàng",</v>
      </c>
    </row>
    <row r="175" spans="1:7" ht="14.25" customHeight="1">
      <c r="E175" s="5" t="str">
        <f ca="1">IFERROR(__xludf.DUMMYFUNCTION("GOOGLETRANSLATE(B186,""ja"",""vi"")"),"#VALUE!")</f>
        <v>#VALUE!</v>
      </c>
      <c r="F175" s="4" t="str">
        <f ca="1">IFERROR(__xludf.DUMMYFUNCTION("GOOGLETRANSLATE(C186,""ja"",""vi"")"),"#VALUE!")</f>
        <v>#VALUE!</v>
      </c>
      <c r="G175" t="str">
        <f t="shared" ca="1" si="2"/>
        <v>"" : "#VALUE!",</v>
      </c>
    </row>
    <row r="176" spans="1:7" ht="14.25" customHeight="1">
      <c r="A176" s="13">
        <v>2084040545</v>
      </c>
      <c r="B176" s="13"/>
      <c r="C176" s="13"/>
      <c r="D176" s="13"/>
      <c r="E176" s="5" t="str">
        <f ca="1">IFERROR(__xludf.DUMMYFUNCTION("GOOGLETRANSLATE(B187,""ja"",""vi"")"),"#VALUE!")</f>
        <v>#VALUE!</v>
      </c>
      <c r="F176" s="4" t="str">
        <f ca="1">IFERROR(__xludf.DUMMYFUNCTION("GOOGLETRANSLATE(C187,""ja"",""vi"")"),"#VALUE!")</f>
        <v>#VALUE!</v>
      </c>
      <c r="G176" t="str">
        <f t="shared" ca="1" si="2"/>
        <v>"2084040545" : "#VALUE!",</v>
      </c>
    </row>
    <row r="177" spans="1:7" ht="14.25" customHeight="1">
      <c r="A177" s="2">
        <v>2084040005</v>
      </c>
      <c r="B177" s="2" t="s">
        <v>554</v>
      </c>
      <c r="C177" s="2" t="s">
        <v>1657</v>
      </c>
      <c r="D177" s="2" t="s">
        <v>1660</v>
      </c>
      <c r="E177" s="5" t="str">
        <f ca="1">IFERROR(__xludf.DUMMYFUNCTION("GOOGLETRANSLATE(B188,""ja"",""vi"")"),"hàng nitơ")</f>
        <v>hàng nitơ</v>
      </c>
      <c r="F177" s="4" t="str">
        <f ca="1">IFERROR(__xludf.DUMMYFUNCTION("GOOGLETRANSLATE(C188,""ja"",""vi"")"),"Đấu giá&gt; cổ, bộ sưu tập&gt; vấn đề in&gt; tấm áp phích&gt; Talent&gt; Nam Talent&gt; hàng nitơ")</f>
        <v>Đấu giá&gt; cổ, bộ sưu tập&gt; vấn đề in&gt; tấm áp phích&gt; Talent&gt; Nam Talent&gt; hàng nitơ</v>
      </c>
      <c r="G177" t="str">
        <f t="shared" ca="1" si="2"/>
        <v>"2084040005" : "hàng nitơ",</v>
      </c>
    </row>
    <row r="178" spans="1:7" ht="14.25" customHeight="1">
      <c r="A178" s="2">
        <v>2084040067</v>
      </c>
      <c r="B178" s="2" t="s">
        <v>562</v>
      </c>
      <c r="C178" s="2" t="s">
        <v>1668</v>
      </c>
      <c r="D178" s="2" t="s">
        <v>1670</v>
      </c>
      <c r="E178" s="5" t="str">
        <f ca="1">IFERROR(__xludf.DUMMYFUNCTION("GOOGLETRANSLATE(B189,""ja"",""vi"")"),"hoặc hàng")</f>
        <v>hoặc hàng</v>
      </c>
      <c r="F178" s="4" t="str">
        <f ca="1">IFERROR(__xludf.DUMMYFUNCTION("GOOGLETRANSLATE(C189,""ja"",""vi"")"),"Đấu giá&gt; cổ, bộ sưu tập&gt; vấn đề in&gt; tấm áp phích&gt; Talent&gt; Nam Talent&gt; hoặc hàng")</f>
        <v>Đấu giá&gt; cổ, bộ sưu tập&gt; vấn đề in&gt; tấm áp phích&gt; Talent&gt; Nam Talent&gt; hoặc hàng</v>
      </c>
      <c r="G178" t="str">
        <f t="shared" ca="1" si="2"/>
        <v>"2084040067" : "hoặc hàng",</v>
      </c>
    </row>
    <row r="179" spans="1:7" ht="14.25" customHeight="1">
      <c r="A179" s="2">
        <v>2084040125</v>
      </c>
      <c r="B179" s="2" t="s">
        <v>570</v>
      </c>
      <c r="C179" s="2" t="s">
        <v>1676</v>
      </c>
      <c r="D179" s="2" t="s">
        <v>1677</v>
      </c>
      <c r="E179" s="5" t="str">
        <f ca="1">IFERROR(__xludf.DUMMYFUNCTION("GOOGLETRANSLATE(B190,""ja"",""vi"")"),"Các chữ s")</f>
        <v>Các chữ s</v>
      </c>
      <c r="F179" s="4" t="str">
        <f ca="1">IFERROR(__xludf.DUMMYFUNCTION("GOOGLETRANSLATE(C190,""ja"",""vi"")"),"Đấu giá&gt; cổ, bộ sưu tập&gt; vấn đề in&gt; tấm áp phích&gt; Talent&gt; Nam Talent&gt; chữ s")</f>
        <v>Đấu giá&gt; cổ, bộ sưu tập&gt; vấn đề in&gt; tấm áp phích&gt; Talent&gt; Nam Talent&gt; chữ s</v>
      </c>
      <c r="G179" t="str">
        <f t="shared" ca="1" si="2"/>
        <v>"2084040125" : "Các chữ s",</v>
      </c>
    </row>
    <row r="180" spans="1:7" ht="14.25" customHeight="1">
      <c r="A180" s="2">
        <v>2084040176</v>
      </c>
      <c r="B180" s="2" t="s">
        <v>578</v>
      </c>
      <c r="C180" s="2" t="s">
        <v>1683</v>
      </c>
      <c r="D180" s="2" t="s">
        <v>1686</v>
      </c>
      <c r="E180" s="5" t="str">
        <f ca="1">IFERROR(__xludf.DUMMYFUNCTION("GOOGLETRANSLATE(B191,""ja"",""vi"")"),"Tagyo")</f>
        <v>Tagyo</v>
      </c>
      <c r="F180" s="4" t="str">
        <f ca="1">IFERROR(__xludf.DUMMYFUNCTION("GOOGLETRANSLATE(C191,""ja"",""vi"")"),"Đấu giá&gt; cổ, bộ sưu tập&gt; vấn đề in&gt; tấm áp phích&gt; Talent&gt; Nam Talent&gt; Tagyo")</f>
        <v>Đấu giá&gt; cổ, bộ sưu tập&gt; vấn đề in&gt; tấm áp phích&gt; Talent&gt; Nam Talent&gt; Tagyo</v>
      </c>
      <c r="G180" t="str">
        <f t="shared" ca="1" si="2"/>
        <v>"2084040176" : "Tagyo",</v>
      </c>
    </row>
    <row r="181" spans="1:7" ht="14.25" customHeight="1">
      <c r="A181" s="2">
        <v>2084040201</v>
      </c>
      <c r="B181" s="2" t="s">
        <v>587</v>
      </c>
      <c r="C181" s="2" t="s">
        <v>1692</v>
      </c>
      <c r="D181" s="2" t="s">
        <v>1695</v>
      </c>
      <c r="E181" s="5" t="str">
        <f ca="1">IFERROR(__xludf.DUMMYFUNCTION("GOOGLETRANSLATE(B192,""ja"",""vi"")"),"Một dòng")</f>
        <v>Một dòng</v>
      </c>
      <c r="F181" s="4" t="str">
        <f ca="1">IFERROR(__xludf.DUMMYFUNCTION("GOOGLETRANSLATE(C192,""ja"",""vi"")"),"Đấu giá&gt; cổ, bộ sưu tập&gt; vấn đề in&gt; tấm áp phích&gt; Talent&gt; Nam Talent&gt; hàng")</f>
        <v>Đấu giá&gt; cổ, bộ sưu tập&gt; vấn đề in&gt; tấm áp phích&gt; Talent&gt; Nam Talent&gt; hàng</v>
      </c>
      <c r="G181" t="str">
        <f t="shared" ca="1" si="2"/>
        <v>"2084040201" : "Một dòng",</v>
      </c>
    </row>
    <row r="182" spans="1:7" ht="14.25" customHeight="1">
      <c r="A182" s="2">
        <v>2084040254</v>
      </c>
      <c r="B182" s="2" t="s">
        <v>592</v>
      </c>
      <c r="C182" s="2" t="s">
        <v>1703</v>
      </c>
      <c r="D182" s="2" t="s">
        <v>1705</v>
      </c>
      <c r="E182" s="5" t="str">
        <f ca="1">IFERROR(__xludf.DUMMYFUNCTION("GOOGLETRANSLATE(B193,""ja"",""vi"")"),"hàng")</f>
        <v>hàng</v>
      </c>
      <c r="F182" s="4" t="str">
        <f ca="1">IFERROR(__xludf.DUMMYFUNCTION("GOOGLETRANSLATE(C193,""ja"",""vi"")"),"Đấu giá&gt; cổ, bộ sưu tập&gt; vấn đề in&gt; tấm áp phích&gt; Talent&gt; Nam Talent&gt; hàng")</f>
        <v>Đấu giá&gt; cổ, bộ sưu tập&gt; vấn đề in&gt; tấm áp phích&gt; Talent&gt; Nam Talent&gt; hàng</v>
      </c>
      <c r="G182" t="str">
        <f t="shared" ca="1" si="2"/>
        <v>"2084040254" : "hàng",</v>
      </c>
    </row>
    <row r="183" spans="1:7" ht="14.25" customHeight="1">
      <c r="A183" s="2">
        <v>2084040302</v>
      </c>
      <c r="B183" s="2" t="s">
        <v>600</v>
      </c>
      <c r="C183" s="2" t="s">
        <v>1712</v>
      </c>
      <c r="D183" s="2" t="s">
        <v>1713</v>
      </c>
      <c r="E183" s="5" t="str">
        <f ca="1">IFERROR(__xludf.DUMMYFUNCTION("GOOGLETRANSLATE(B194,""ja"",""vi"")"),"hoặc dòng")</f>
        <v>hoặc dòng</v>
      </c>
      <c r="F183" s="4" t="str">
        <f ca="1">IFERROR(__xludf.DUMMYFUNCTION("GOOGLETRANSLATE(C194,""ja"",""vi"")"),"Đấu giá&gt; cổ, bộ sưu tập&gt; vấn đề in&gt; tấm áp phích&gt; Talent&gt; Nam Talent&gt; hoặc hàng")</f>
        <v>Đấu giá&gt; cổ, bộ sưu tập&gt; vấn đề in&gt; tấm áp phích&gt; Talent&gt; Nam Talent&gt; hoặc hàng</v>
      </c>
      <c r="G183" t="str">
        <f t="shared" ca="1" si="2"/>
        <v>"2084040302" : "hoặc dòng",</v>
      </c>
    </row>
    <row r="184" spans="1:7" ht="14.25" customHeight="1">
      <c r="A184" s="2">
        <v>2084040326</v>
      </c>
      <c r="B184" s="2" t="s">
        <v>608</v>
      </c>
      <c r="C184" s="2" t="s">
        <v>1719</v>
      </c>
      <c r="D184" s="2" t="s">
        <v>1722</v>
      </c>
      <c r="E184" s="5" t="str">
        <f ca="1">IFERROR(__xludf.DUMMYFUNCTION("GOOGLETRANSLATE(B195,""ja"",""vi"")"),"hoặc hàng")</f>
        <v>hoặc hàng</v>
      </c>
      <c r="F184" s="4" t="str">
        <f ca="1">IFERROR(__xludf.DUMMYFUNCTION("GOOGLETRANSLATE(C195,""ja"",""vi"")"),"Đấu giá&gt; cổ, bộ sưu tập&gt; vấn đề in&gt; tấm áp phích&gt; Talent&gt; Nam Talent&gt; hoặc hàng")</f>
        <v>Đấu giá&gt; cổ, bộ sưu tập&gt; vấn đề in&gt; tấm áp phích&gt; Talent&gt; Nam Talent&gt; hoặc hàng</v>
      </c>
      <c r="G184" t="str">
        <f t="shared" ca="1" si="2"/>
        <v>"2084040326" : "hoặc hàng",</v>
      </c>
    </row>
    <row r="185" spans="1:7" ht="14.25" customHeight="1">
      <c r="A185" s="2">
        <v>2084040337</v>
      </c>
      <c r="B185" s="2" t="s">
        <v>689</v>
      </c>
      <c r="C185" s="2" t="s">
        <v>1729</v>
      </c>
      <c r="D185" s="2" t="s">
        <v>1730</v>
      </c>
      <c r="E185" s="5" t="str">
        <f ca="1">IFERROR(__xludf.DUMMYFUNCTION("GOOGLETRANSLATE(B196,""ja"",""vi"")"),"Racovian")</f>
        <v>Racovian</v>
      </c>
      <c r="F185" s="4" t="str">
        <f ca="1">IFERROR(__xludf.DUMMYFUNCTION("GOOGLETRANSLATE(C196,""ja"",""vi"")"),"Đấu giá&gt; cổ, bộ sưu tập&gt; vấn đề in&gt; tấm áp phích&gt; Talent&gt; Nam Talent&gt; Racovian")</f>
        <v>Đấu giá&gt; cổ, bộ sưu tập&gt; vấn đề in&gt; tấm áp phích&gt; Talent&gt; Nam Talent&gt; Racovian</v>
      </c>
      <c r="G185" t="str">
        <f t="shared" ca="1" si="2"/>
        <v>"2084040337" : "Racovian",</v>
      </c>
    </row>
    <row r="186" spans="1:7" ht="14.25" customHeight="1">
      <c r="A186" s="2">
        <v>2084040351</v>
      </c>
      <c r="B186" s="2" t="s">
        <v>696</v>
      </c>
      <c r="C186" s="2" t="s">
        <v>1735</v>
      </c>
      <c r="D186" s="2" t="s">
        <v>1737</v>
      </c>
      <c r="E186" s="5" t="str">
        <f ca="1">IFERROR(__xludf.DUMMYFUNCTION("GOOGLETRANSLATE(B197,""ja"",""vi"")"),"tôi hàng")</f>
        <v>tôi hàng</v>
      </c>
      <c r="F186" s="4" t="str">
        <f ca="1">IFERROR(__xludf.DUMMYFUNCTION("GOOGLETRANSLATE(C197,""ja"",""vi"")"),"Đấu giá&gt; cổ, bộ sưu tập&gt; in vấn đề&gt; tấm áp phích&gt; Talent&gt; Nam Talent&gt; Tôi dòng")</f>
        <v>Đấu giá&gt; cổ, bộ sưu tập&gt; in vấn đề&gt; tấm áp phích&gt; Talent&gt; Nam Talent&gt; Tôi dòng</v>
      </c>
      <c r="G186" t="str">
        <f t="shared" ca="1" si="2"/>
        <v>"2084040351" : "tôi hàng",</v>
      </c>
    </row>
    <row r="187" spans="1:7" ht="14.25" customHeight="1">
      <c r="E187" s="5" t="str">
        <f ca="1">IFERROR(__xludf.DUMMYFUNCTION("GOOGLETRANSLATE(B198,""ja"",""vi"")"),"#VALUE!")</f>
        <v>#VALUE!</v>
      </c>
      <c r="F187" s="4" t="str">
        <f ca="1">IFERROR(__xludf.DUMMYFUNCTION("GOOGLETRANSLATE(C198,""ja"",""vi"")"),"#VALUE!")</f>
        <v>#VALUE!</v>
      </c>
      <c r="G187" t="str">
        <f t="shared" ca="1" si="2"/>
        <v>"" : "#VALUE!",</v>
      </c>
    </row>
    <row r="188" spans="1:7" ht="14.25" customHeight="1">
      <c r="A188" s="3">
        <v>42206</v>
      </c>
      <c r="B188" s="10"/>
      <c r="C188" s="10"/>
      <c r="D188" s="10"/>
      <c r="E188" s="5" t="str">
        <f ca="1">IFERROR(__xludf.DUMMYFUNCTION("GOOGLETRANSLATE(B199,""ja"",""vi"")"),"#VALUE!")</f>
        <v>#VALUE!</v>
      </c>
      <c r="F188" s="4" t="str">
        <f ca="1">IFERROR(__xludf.DUMMYFUNCTION("GOOGLETRANSLATE(C199,""ja"",""vi"")"),"#VALUE!")</f>
        <v>#VALUE!</v>
      </c>
      <c r="G188" t="str">
        <f t="shared" ca="1" si="2"/>
        <v>"42206" : "#VALUE!",</v>
      </c>
    </row>
    <row r="189" spans="1:7" ht="14.25" customHeight="1">
      <c r="A189" s="11">
        <v>2084008368</v>
      </c>
      <c r="B189" s="11" t="s">
        <v>1139</v>
      </c>
      <c r="C189" s="11" t="s">
        <v>1745</v>
      </c>
      <c r="D189" s="11" t="s">
        <v>1746</v>
      </c>
      <c r="E189" s="5" t="str">
        <f ca="1">IFERROR(__xludf.DUMMYFUNCTION("GOOGLETRANSLATE(B200,""ja"",""vi"")"),"Pop Nhật Bản")</f>
        <v>Pop Nhật Bản</v>
      </c>
      <c r="F189" s="4" t="str">
        <f ca="1">IFERROR(__xludf.DUMMYFUNCTION("GOOGLETRANSLATE(C200,""ja"",""vi"")"),"Đấu giá&gt; cổ, bộ sưu tập&gt; hàng linh tinh&gt; dán&gt; nhạc sĩ&gt; Pop Nhật Bản")</f>
        <v>Đấu giá&gt; cổ, bộ sưu tập&gt; hàng linh tinh&gt; dán&gt; nhạc sĩ&gt; Pop Nhật Bản</v>
      </c>
      <c r="G189" t="str">
        <f t="shared" ca="1" si="2"/>
        <v>"2084008368" : "Pop Nhật Bản",</v>
      </c>
    </row>
    <row r="190" spans="1:7" ht="14.25" customHeight="1">
      <c r="A190" s="2">
        <v>2084008369</v>
      </c>
      <c r="B190" s="2" t="s">
        <v>1751</v>
      </c>
      <c r="C190" s="2" t="s">
        <v>1753</v>
      </c>
      <c r="D190" s="2" t="s">
        <v>1754</v>
      </c>
      <c r="E190" s="5" t="str">
        <f ca="1">IFERROR(__xludf.DUMMYFUNCTION("GOOGLETRANSLATE(B201,""ja"",""vi"")"),"Rock, Pop (Western)")</f>
        <v>Rock, Pop (Western)</v>
      </c>
      <c r="F190" s="4" t="str">
        <f ca="1">IFERROR(__xludf.DUMMYFUNCTION("GOOGLETRANSLATE(C201,""ja"",""vi"")"),"Đấu giá&gt; cổ, bộ sưu tập&gt; hàng linh tinh&gt; dán&gt; nhạc sĩ&gt; Rock, Pop (Western)")</f>
        <v>Đấu giá&gt; cổ, bộ sưu tập&gt; hàng linh tinh&gt; dán&gt; nhạc sĩ&gt; Rock, Pop (Western)</v>
      </c>
      <c r="G190" t="str">
        <f t="shared" ca="1" si="2"/>
        <v>"2084008369" : "Rock, Pop (Western)",</v>
      </c>
    </row>
    <row r="191" spans="1:7" ht="14.25" customHeight="1">
      <c r="A191" s="2">
        <v>2084008370</v>
      </c>
      <c r="B191" s="2" t="s">
        <v>46</v>
      </c>
      <c r="C191" s="2" t="s">
        <v>1760</v>
      </c>
      <c r="D191" s="2" t="s">
        <v>1761</v>
      </c>
      <c r="E191" s="5" t="str">
        <f ca="1">IFERROR(__xludf.DUMMYFUNCTION("GOOGLETRANSLATE(B202,""ja"",""vi"")"),"nếu không thì")</f>
        <v>nếu không thì</v>
      </c>
      <c r="F191" s="4" t="str">
        <f ca="1">IFERROR(__xludf.DUMMYFUNCTION("GOOGLETRANSLATE(C202,""ja"",""vi"")"),"Đấu giá&gt; cổ, bộ sưu tập&gt; hàng linh tinh&gt; dán&gt; nhạc sĩ&gt; Khác")</f>
        <v>Đấu giá&gt; cổ, bộ sưu tập&gt; hàng linh tinh&gt; dán&gt; nhạc sĩ&gt; Khác</v>
      </c>
      <c r="G191" t="str">
        <f t="shared" ca="1" si="2"/>
        <v>"2084008370" : "nếu không thì",</v>
      </c>
    </row>
    <row r="192" spans="1:7" ht="14.25" customHeight="1">
      <c r="E192" s="5" t="str">
        <f ca="1">IFERROR(__xludf.DUMMYFUNCTION("GOOGLETRANSLATE(B203,""ja"",""vi"")"),"#VALUE!")</f>
        <v>#VALUE!</v>
      </c>
      <c r="F192" s="4" t="str">
        <f ca="1">IFERROR(__xludf.DUMMYFUNCTION("GOOGLETRANSLATE(C203,""ja"",""vi"")"),"#VALUE!")</f>
        <v>#VALUE!</v>
      </c>
      <c r="G192" t="str">
        <f t="shared" ca="1" si="2"/>
        <v>"" : "#VALUE!",</v>
      </c>
    </row>
    <row r="193" spans="1:7" ht="14.25" customHeight="1">
      <c r="A193" s="3">
        <v>2084005105</v>
      </c>
      <c r="B193" s="10"/>
      <c r="C193" s="10"/>
      <c r="D193" s="10"/>
      <c r="E193" s="5" t="str">
        <f ca="1">IFERROR(__xludf.DUMMYFUNCTION("GOOGLETRANSLATE(B204,""ja"",""vi"")"),"#VALUE!")</f>
        <v>#VALUE!</v>
      </c>
      <c r="F193" s="4" t="str">
        <f ca="1">IFERROR(__xludf.DUMMYFUNCTION("GOOGLETRANSLATE(C204,""ja"",""vi"")"),"#VALUE!")</f>
        <v>#VALUE!</v>
      </c>
      <c r="G193" t="str">
        <f t="shared" ca="1" si="2"/>
        <v>"2084005105" : "#VALUE!",</v>
      </c>
    </row>
    <row r="194" spans="1:7" ht="14.25" customHeight="1">
      <c r="A194" s="11">
        <v>2084005108</v>
      </c>
      <c r="B194" s="11" t="s">
        <v>1771</v>
      </c>
      <c r="C194" s="11" t="s">
        <v>1772</v>
      </c>
      <c r="D194" s="11" t="s">
        <v>1774</v>
      </c>
      <c r="E194" s="5" t="str">
        <f ca="1">IFERROR(__xludf.DUMMYFUNCTION("GOOGLETRANSLATE(B205,""ja"",""vi"")"),"nhóm")</f>
        <v>nhóm</v>
      </c>
      <c r="F194" s="4" t="str">
        <f ca="1">IFERROR(__xludf.DUMMYFUNCTION("GOOGLETRANSLATE(C205,""ja"",""vi"")"),"Đấu giá&gt; vé, chứng từ, đặt phòng khách sạn&gt; Thẻ trả trước&gt; Thẻ điện thoại&gt; nhạc sĩ&gt; nhóm")</f>
        <v>Đấu giá&gt; vé, chứng từ, đặt phòng khách sạn&gt; Thẻ trả trước&gt; Thẻ điện thoại&gt; nhạc sĩ&gt; nhóm</v>
      </c>
      <c r="G194" t="str">
        <f t="shared" ca="1" si="2"/>
        <v>"2084005108" : "nhóm",</v>
      </c>
    </row>
    <row r="195" spans="1:7" ht="14.25" customHeight="1">
      <c r="A195" s="2">
        <v>2084005107</v>
      </c>
      <c r="B195" s="2" t="s">
        <v>1778</v>
      </c>
      <c r="C195" s="2" t="s">
        <v>1781</v>
      </c>
      <c r="D195" s="2" t="s">
        <v>1782</v>
      </c>
      <c r="E195" s="5" t="str">
        <f ca="1">IFERROR(__xludf.DUMMYFUNCTION("GOOGLETRANSLATE(B206,""ja"",""vi"")"),"đàn bà")</f>
        <v>đàn bà</v>
      </c>
      <c r="F195" s="4" t="str">
        <f ca="1">IFERROR(__xludf.DUMMYFUNCTION("GOOGLETRANSLATE(C206,""ja"",""vi"")"),"Đấu giá&gt; vé, chứng từ, đặt phòng khách sạn&gt; Thẻ trả trước&gt; Thẻ điện thoại&gt; nhạc sĩ&gt; phụ nữ")</f>
        <v>Đấu giá&gt; vé, chứng từ, đặt phòng khách sạn&gt; Thẻ trả trước&gt; Thẻ điện thoại&gt; nhạc sĩ&gt; phụ nữ</v>
      </c>
      <c r="G195" t="str">
        <f t="shared" ref="G195:G239" ca="1" si="3">CONCATENATE(CHAR(34)&amp;"",A195,""&amp;CHAR(34)," : ", CHAR(34)&amp;"",E195,""&amp;CHAR(34),",")</f>
        <v>"2084005107" : "đàn bà",</v>
      </c>
    </row>
    <row r="196" spans="1:7" ht="14.25" customHeight="1">
      <c r="A196" s="2">
        <v>2084005106</v>
      </c>
      <c r="B196" s="2" t="s">
        <v>1787</v>
      </c>
      <c r="C196" s="2" t="s">
        <v>1789</v>
      </c>
      <c r="D196" s="2" t="s">
        <v>1790</v>
      </c>
      <c r="E196" s="5" t="str">
        <f ca="1">IFERROR(__xludf.DUMMYFUNCTION("GOOGLETRANSLATE(B207,""ja"",""vi"")"),"người")</f>
        <v>người</v>
      </c>
      <c r="F196" s="4" t="str">
        <f ca="1">IFERROR(__xludf.DUMMYFUNCTION("GOOGLETRANSLATE(C207,""ja"",""vi"")"),"Đấu giá&gt; vé, chứng từ, đặt phòng khách sạn&gt; Thẻ trả trước&gt; Thẻ điện thoại&gt; nhạc sĩ&gt; Đàn ông")</f>
        <v>Đấu giá&gt; vé, chứng từ, đặt phòng khách sạn&gt; Thẻ trả trước&gt; Thẻ điện thoại&gt; nhạc sĩ&gt; Đàn ông</v>
      </c>
      <c r="G196" t="str">
        <f t="shared" ca="1" si="3"/>
        <v>"2084005106" : "người",</v>
      </c>
    </row>
    <row r="197" spans="1:7" ht="14.25" customHeight="1">
      <c r="E197" s="5" t="str">
        <f ca="1">IFERROR(__xludf.DUMMYFUNCTION("GOOGLETRANSLATE(B208,""ja"",""vi"")"),"#VALUE!")</f>
        <v>#VALUE!</v>
      </c>
      <c r="F197" s="4" t="str">
        <f ca="1">IFERROR(__xludf.DUMMYFUNCTION("GOOGLETRANSLATE(C208,""ja"",""vi"")"),"#VALUE!")</f>
        <v>#VALUE!</v>
      </c>
      <c r="G197" t="str">
        <f t="shared" ca="1" si="3"/>
        <v>"" : "#VALUE!",</v>
      </c>
    </row>
    <row r="198" spans="1:7" ht="14.25" customHeight="1">
      <c r="A198" s="38">
        <v>2084024931</v>
      </c>
      <c r="B198" s="39"/>
      <c r="C198" s="39"/>
      <c r="D198" s="40"/>
      <c r="E198" s="5" t="str">
        <f ca="1">IFERROR(__xludf.DUMMYFUNCTION("GOOGLETRANSLATE(B209,""ja"",""vi"")"),"#VALUE!")</f>
        <v>#VALUE!</v>
      </c>
      <c r="F198" s="4" t="str">
        <f ca="1">IFERROR(__xludf.DUMMYFUNCTION("GOOGLETRANSLATE(C209,""ja"",""vi"")"),"#VALUE!")</f>
        <v>#VALUE!</v>
      </c>
      <c r="G198" t="str">
        <f t="shared" ca="1" si="3"/>
        <v>"2084024931" : "#VALUE!",</v>
      </c>
    </row>
    <row r="199" spans="1:7" ht="14.25" customHeight="1">
      <c r="A199" s="2">
        <v>2084054970</v>
      </c>
      <c r="B199" s="2" t="s">
        <v>554</v>
      </c>
      <c r="C199" s="2" t="s">
        <v>556</v>
      </c>
      <c r="D199" s="2" t="s">
        <v>558</v>
      </c>
      <c r="E199" s="5" t="str">
        <f ca="1">IFERROR(__xludf.DUMMYFUNCTION("GOOGLETRANSLATE(B210,""ja"",""vi"")"),"hàng nitơ")</f>
        <v>hàng nitơ</v>
      </c>
      <c r="F199" s="4" t="str">
        <f ca="1">IFERROR(__xludf.DUMMYFUNCTION("GOOGLETRANSLATE(C210,""ja"",""vi"")"),"Đấu giá&gt; hàng Talent&gt; người, theo nhóm&gt; nhạc sĩ&gt; hàng nitơ")</f>
        <v>Đấu giá&gt; hàng Talent&gt; người, theo nhóm&gt; nhạc sĩ&gt; hàng nitơ</v>
      </c>
      <c r="G199" t="str">
        <f t="shared" ca="1" si="3"/>
        <v>"2084054970" : "hàng nitơ",</v>
      </c>
    </row>
    <row r="200" spans="1:7" ht="14.25" customHeight="1">
      <c r="A200" s="2">
        <v>2084054971</v>
      </c>
      <c r="B200" s="2" t="s">
        <v>562</v>
      </c>
      <c r="C200" s="2" t="s">
        <v>564</v>
      </c>
      <c r="D200" s="2" t="s">
        <v>566</v>
      </c>
      <c r="E200" s="5" t="str">
        <f ca="1">IFERROR(__xludf.DUMMYFUNCTION("GOOGLETRANSLATE(B211,""ja"",""vi"")"),"hoặc hàng")</f>
        <v>hoặc hàng</v>
      </c>
      <c r="F200" s="4" t="str">
        <f ca="1">IFERROR(__xludf.DUMMYFUNCTION("GOOGLETRANSLATE(C211,""ja"",""vi"")"),"Đấu giá&gt; hàng Talent&gt; người, theo nhóm&gt; nhạc sĩ&gt; hoặc hàng")</f>
        <v>Đấu giá&gt; hàng Talent&gt; người, theo nhóm&gt; nhạc sĩ&gt; hoặc hàng</v>
      </c>
      <c r="G200" t="str">
        <f t="shared" ca="1" si="3"/>
        <v>"2084054971" : "hoặc hàng",</v>
      </c>
    </row>
    <row r="201" spans="1:7" ht="14.25" customHeight="1">
      <c r="A201" s="2">
        <v>2084054972</v>
      </c>
      <c r="B201" s="2" t="s">
        <v>570</v>
      </c>
      <c r="C201" s="2" t="s">
        <v>572</v>
      </c>
      <c r="D201" s="2" t="s">
        <v>574</v>
      </c>
      <c r="E201" s="5" t="str">
        <f ca="1">IFERROR(__xludf.DUMMYFUNCTION("GOOGLETRANSLATE(B212,""ja"",""vi"")"),"Các chữ s")</f>
        <v>Các chữ s</v>
      </c>
      <c r="F201" s="4" t="str">
        <f ca="1">IFERROR(__xludf.DUMMYFUNCTION("GOOGLETRANSLATE(C212,""ja"",""vi"")"),"Đấu giá&gt; hàng Talent&gt; người, theo nhóm&gt; nhạc sĩ&gt; chữ s")</f>
        <v>Đấu giá&gt; hàng Talent&gt; người, theo nhóm&gt; nhạc sĩ&gt; chữ s</v>
      </c>
      <c r="G201" t="str">
        <f t="shared" ca="1" si="3"/>
        <v>"2084054972" : "Các chữ s",</v>
      </c>
    </row>
    <row r="202" spans="1:7" ht="14.25" customHeight="1">
      <c r="A202" s="2">
        <v>2084054973</v>
      </c>
      <c r="B202" s="2" t="s">
        <v>578</v>
      </c>
      <c r="C202" s="2" t="s">
        <v>580</v>
      </c>
      <c r="D202" s="2" t="s">
        <v>582</v>
      </c>
      <c r="E202" s="5" t="str">
        <f ca="1">IFERROR(__xludf.DUMMYFUNCTION("GOOGLETRANSLATE(B213,""ja"",""vi"")"),"Tagyo")</f>
        <v>Tagyo</v>
      </c>
      <c r="F202" s="4" t="str">
        <f ca="1">IFERROR(__xludf.DUMMYFUNCTION("GOOGLETRANSLATE(C213,""ja"",""vi"")"),"Đấu giá&gt; hàng Talent&gt; người, theo nhóm&gt; nhạc sĩ&gt; Tagyo")</f>
        <v>Đấu giá&gt; hàng Talent&gt; người, theo nhóm&gt; nhạc sĩ&gt; Tagyo</v>
      </c>
      <c r="G202" t="str">
        <f t="shared" ca="1" si="3"/>
        <v>"2084054973" : "Tagyo",</v>
      </c>
    </row>
    <row r="203" spans="1:7" ht="14.25" customHeight="1">
      <c r="A203" s="2">
        <v>2084054974</v>
      </c>
      <c r="B203" s="2" t="s">
        <v>587</v>
      </c>
      <c r="C203" s="2" t="s">
        <v>589</v>
      </c>
      <c r="D203" s="2" t="s">
        <v>590</v>
      </c>
      <c r="E203" s="5" t="str">
        <f ca="1">IFERROR(__xludf.DUMMYFUNCTION("GOOGLETRANSLATE(B214,""ja"",""vi"")"),"Một dòng")</f>
        <v>Một dòng</v>
      </c>
      <c r="F203" s="4" t="str">
        <f ca="1">IFERROR(__xludf.DUMMYFUNCTION("GOOGLETRANSLATE(C214,""ja"",""vi"")"),"Đấu giá&gt; hàng Talent&gt; người, theo nhóm&gt; nhạc sĩ&gt; hàng")</f>
        <v>Đấu giá&gt; hàng Talent&gt; người, theo nhóm&gt; nhạc sĩ&gt; hàng</v>
      </c>
      <c r="G203" t="str">
        <f t="shared" ca="1" si="3"/>
        <v>"2084054974" : "Một dòng",</v>
      </c>
    </row>
    <row r="204" spans="1:7" ht="14.25" customHeight="1">
      <c r="A204" s="2">
        <v>2084054975</v>
      </c>
      <c r="B204" s="2" t="s">
        <v>592</v>
      </c>
      <c r="C204" s="2" t="s">
        <v>595</v>
      </c>
      <c r="D204" s="2" t="s">
        <v>597</v>
      </c>
      <c r="E204" s="5" t="str">
        <f ca="1">IFERROR(__xludf.DUMMYFUNCTION("GOOGLETRANSLATE(B215,""ja"",""vi"")"),"hàng")</f>
        <v>hàng</v>
      </c>
      <c r="F204" s="4" t="str">
        <f ca="1">IFERROR(__xludf.DUMMYFUNCTION("GOOGLETRANSLATE(C215,""ja"",""vi"")"),"Đấu giá&gt; hàng Talent&gt; người, theo nhóm&gt; nhạc sĩ&gt; hàng")</f>
        <v>Đấu giá&gt; hàng Talent&gt; người, theo nhóm&gt; nhạc sĩ&gt; hàng</v>
      </c>
      <c r="G204" t="str">
        <f t="shared" ca="1" si="3"/>
        <v>"2084054975" : "hàng",</v>
      </c>
    </row>
    <row r="205" spans="1:7" ht="14.25" customHeight="1">
      <c r="A205" s="2">
        <v>2084054976</v>
      </c>
      <c r="B205" s="2" t="s">
        <v>600</v>
      </c>
      <c r="C205" s="2" t="s">
        <v>602</v>
      </c>
      <c r="D205" s="2" t="s">
        <v>604</v>
      </c>
      <c r="E205" s="5" t="str">
        <f ca="1">IFERROR(__xludf.DUMMYFUNCTION("GOOGLETRANSLATE(B216,""ja"",""vi"")"),"hoặc dòng")</f>
        <v>hoặc dòng</v>
      </c>
      <c r="F205" s="4" t="str">
        <f ca="1">IFERROR(__xludf.DUMMYFUNCTION("GOOGLETRANSLATE(C216,""ja"",""vi"")"),"Đấu giá&gt; hàng Talent&gt; người, theo nhóm&gt; nhạc sĩ&gt; hoặc hàng")</f>
        <v>Đấu giá&gt; hàng Talent&gt; người, theo nhóm&gt; nhạc sĩ&gt; hoặc hàng</v>
      </c>
      <c r="G205" t="str">
        <f t="shared" ca="1" si="3"/>
        <v>"2084054976" : "hoặc dòng",</v>
      </c>
    </row>
    <row r="206" spans="1:7" ht="14.25" customHeight="1">
      <c r="A206" s="2">
        <v>2084054977</v>
      </c>
      <c r="B206" s="2" t="s">
        <v>608</v>
      </c>
      <c r="C206" s="2" t="s">
        <v>610</v>
      </c>
      <c r="D206" s="2" t="s">
        <v>612</v>
      </c>
      <c r="E206" s="5" t="str">
        <f ca="1">IFERROR(__xludf.DUMMYFUNCTION("GOOGLETRANSLATE(B217,""ja"",""vi"")"),"hoặc hàng")</f>
        <v>hoặc hàng</v>
      </c>
      <c r="F206" s="4" t="str">
        <f ca="1">IFERROR(__xludf.DUMMYFUNCTION("GOOGLETRANSLATE(C217,""ja"",""vi"")"),"Đấu giá&gt; hàng Talent&gt; người, theo nhóm&gt; nhạc sĩ&gt; hoặc hàng")</f>
        <v>Đấu giá&gt; hàng Talent&gt; người, theo nhóm&gt; nhạc sĩ&gt; hoặc hàng</v>
      </c>
      <c r="G206" t="str">
        <f t="shared" ca="1" si="3"/>
        <v>"2084054977" : "hoặc hàng",</v>
      </c>
    </row>
    <row r="207" spans="1:7" ht="14.25" customHeight="1">
      <c r="A207" s="2">
        <v>2084054978</v>
      </c>
      <c r="B207" s="2" t="s">
        <v>614</v>
      </c>
      <c r="C207" s="2" t="s">
        <v>617</v>
      </c>
      <c r="D207" s="2" t="s">
        <v>620</v>
      </c>
      <c r="E207" s="5" t="str">
        <f ca="1">IFERROR(__xludf.DUMMYFUNCTION("GOOGLETRANSLATE(B218,""ja"",""vi"")"),"Et / I đường")</f>
        <v>Et / I đường</v>
      </c>
      <c r="F207" s="4" t="str">
        <f ca="1">IFERROR(__xludf.DUMMYFUNCTION("GOOGLETRANSLATE(C218,""ja"",""vi"")"),"Đấu giá&gt; hàng Talent&gt; người, theo nhóm&gt; nhạc sĩ&gt; et al. / I đường")</f>
        <v>Đấu giá&gt; hàng Talent&gt; người, theo nhóm&gt; nhạc sĩ&gt; et al. / I đường</v>
      </c>
      <c r="G207" t="str">
        <f t="shared" ca="1" si="3"/>
        <v>"2084054978" : "Et / I đường",</v>
      </c>
    </row>
    <row r="208" spans="1:7" ht="14.25" customHeight="1">
      <c r="A208" s="2">
        <v>2084309520</v>
      </c>
      <c r="B208" s="2" t="s">
        <v>46</v>
      </c>
      <c r="C208" s="2" t="s">
        <v>625</v>
      </c>
      <c r="D208" s="2" t="s">
        <v>627</v>
      </c>
      <c r="E208" s="5" t="str">
        <f ca="1">IFERROR(__xludf.DUMMYFUNCTION("GOOGLETRANSLATE(B219,""ja"",""vi"")"),"nếu không thì")</f>
        <v>nếu không thì</v>
      </c>
      <c r="F208" s="4" t="str">
        <f ca="1">IFERROR(__xludf.DUMMYFUNCTION("GOOGLETRANSLATE(C219,""ja"",""vi"")"),"Đấu giá&gt; hàng Talent&gt; người, theo nhóm&gt; nhạc sĩ&gt; Khác")</f>
        <v>Đấu giá&gt; hàng Talent&gt; người, theo nhóm&gt; nhạc sĩ&gt; Khác</v>
      </c>
      <c r="G208" t="str">
        <f t="shared" ca="1" si="3"/>
        <v>"2084309520" : "nếu không thì",</v>
      </c>
    </row>
    <row r="209" spans="1:7" ht="14.25" customHeight="1">
      <c r="E209" s="5" t="str">
        <f ca="1">IFERROR(__xludf.DUMMYFUNCTION("GOOGLETRANSLATE(B220,""ja"",""vi"")"),"#VALUE!")</f>
        <v>#VALUE!</v>
      </c>
      <c r="F209" s="4" t="str">
        <f ca="1">IFERROR(__xludf.DUMMYFUNCTION("GOOGLETRANSLATE(C220,""ja"",""vi"")"),"#VALUE!")</f>
        <v>#VALUE!</v>
      </c>
      <c r="G209" t="str">
        <f t="shared" ca="1" si="3"/>
        <v>"" : "#VALUE!",</v>
      </c>
    </row>
    <row r="210" spans="1:7" ht="14.25" customHeight="1">
      <c r="A210" s="38">
        <v>2084006192</v>
      </c>
      <c r="B210" s="39"/>
      <c r="C210" s="39"/>
      <c r="D210" s="40"/>
      <c r="E210" s="5" t="str">
        <f ca="1">IFERROR(__xludf.DUMMYFUNCTION("GOOGLETRANSLATE(B221,""ja"",""vi"")"),"#VALUE!")</f>
        <v>#VALUE!</v>
      </c>
      <c r="F210" s="4" t="str">
        <f ca="1">IFERROR(__xludf.DUMMYFUNCTION("GOOGLETRANSLATE(C221,""ja"",""vi"")"),"#VALUE!")</f>
        <v>#VALUE!</v>
      </c>
      <c r="G210" t="str">
        <f t="shared" ca="1" si="3"/>
        <v>"2084006192" : "#VALUE!",</v>
      </c>
    </row>
    <row r="211" spans="1:7" ht="14.25" customHeight="1">
      <c r="A211" s="2">
        <v>2084031646</v>
      </c>
      <c r="B211" s="2" t="s">
        <v>1847</v>
      </c>
      <c r="C211" s="2" t="s">
        <v>1848</v>
      </c>
      <c r="D211" s="2" t="s">
        <v>1849</v>
      </c>
      <c r="E211" s="5" t="str">
        <f ca="1">IFERROR(__xludf.DUMMYFUNCTION("GOOGLETRANSLATE(B222,""ja"",""vi"")"),"B'z")</f>
        <v>B'z</v>
      </c>
      <c r="F211" s="4" t="str">
        <f ca="1">IFERROR(__xludf.DUMMYFUNCTION("GOOGLETRANSLATE(C222,""ja"",""vi"")"),"Đấu giá&gt; Sách, tạp chí&gt; Nghệ thuật &amp; giải trí&gt; Hình ảnh&gt; nhạc sĩ&gt; B'z")</f>
        <v>Đấu giá&gt; Sách, tạp chí&gt; Nghệ thuật &amp; giải trí&gt; Hình ảnh&gt; nhạc sĩ&gt; B'z</v>
      </c>
      <c r="G211" t="str">
        <f t="shared" ca="1" si="3"/>
        <v>"2084031646" : "B'z",</v>
      </c>
    </row>
    <row r="212" spans="1:7" ht="14.25" customHeight="1">
      <c r="A212" s="2">
        <v>2084031645</v>
      </c>
      <c r="B212" s="2" t="s">
        <v>1854</v>
      </c>
      <c r="C212" s="2" t="s">
        <v>1855</v>
      </c>
      <c r="D212" s="2" t="s">
        <v>1856</v>
      </c>
      <c r="E212" s="5" t="str">
        <f ca="1">IFERROR(__xludf.DUMMYFUNCTION("GOOGLETRANSLATE(B223,""ja"",""vi"")"),"BOOWY")</f>
        <v>BOOWY</v>
      </c>
      <c r="F212" s="4" t="str">
        <f ca="1">IFERROR(__xludf.DUMMYFUNCTION("GOOGLETRANSLATE(C223,""ja"",""vi"")"),"Đấu giá&gt; Sách, tạp chí&gt; Nghệ thuật &amp; giải trí&gt; Hình ảnh&gt; nhạc sĩ&gt; BOOWY")</f>
        <v>Đấu giá&gt; Sách, tạp chí&gt; Nghệ thuật &amp; giải trí&gt; Hình ảnh&gt; nhạc sĩ&gt; BOOWY</v>
      </c>
      <c r="G212" t="str">
        <f t="shared" ca="1" si="3"/>
        <v>"2084031645" : "BOOWY",</v>
      </c>
    </row>
    <row r="213" spans="1:7" ht="14.25" customHeight="1">
      <c r="A213" s="2">
        <v>2084040608</v>
      </c>
      <c r="B213" s="2" t="s">
        <v>1860</v>
      </c>
      <c r="C213" s="2" t="s">
        <v>1861</v>
      </c>
      <c r="D213" s="2" t="s">
        <v>1862</v>
      </c>
      <c r="E213" s="5" t="str">
        <f ca="1">IFERROR(__xludf.DUMMYFUNCTION("GOOGLETRANSLATE(B224,""ja"",""vi"")"),"Chage &amp; ASKA")</f>
        <v>Chage &amp; ASKA</v>
      </c>
      <c r="F213" s="4" t="str">
        <f ca="1">IFERROR(__xludf.DUMMYFUNCTION("GOOGLETRANSLATE(C224,""ja"",""vi"")"),"Đấu giá&gt; Sách, tạp chí&gt; Nghệ thuật &amp; giải trí&gt; Hình ảnh&gt; nhạc sĩ&gt; chage &amp; ASKA")</f>
        <v>Đấu giá&gt; Sách, tạp chí&gt; Nghệ thuật &amp; giải trí&gt; Hình ảnh&gt; nhạc sĩ&gt; chage &amp; ASKA</v>
      </c>
      <c r="G213" t="str">
        <f t="shared" ca="1" si="3"/>
        <v>"2084040608" : "Chage &amp; ASKA",</v>
      </c>
    </row>
    <row r="214" spans="1:7" ht="14.25" customHeight="1">
      <c r="A214" s="2">
        <v>2084031648</v>
      </c>
      <c r="B214" s="2" t="s">
        <v>1867</v>
      </c>
      <c r="C214" s="2" t="s">
        <v>1869</v>
      </c>
      <c r="D214" s="2" t="s">
        <v>1871</v>
      </c>
      <c r="E214" s="5" t="str">
        <f ca="1">IFERROR(__xludf.DUMMYFUNCTION("GOOGLETRANSLATE(B225,""ja"",""vi"")"),"GLAY")</f>
        <v>GLAY</v>
      </c>
      <c r="F214" s="4" t="str">
        <f ca="1">IFERROR(__xludf.DUMMYFUNCTION("GOOGLETRANSLATE(C225,""ja"",""vi"")"),"Đấu giá&gt; Sách, tạp chí&gt; Nghệ thuật &amp; giải trí&gt; Hình ảnh&gt; nhạc sĩ&gt; GLAY")</f>
        <v>Đấu giá&gt; Sách, tạp chí&gt; Nghệ thuật &amp; giải trí&gt; Hình ảnh&gt; nhạc sĩ&gt; GLAY</v>
      </c>
      <c r="G214" t="str">
        <f t="shared" ca="1" si="3"/>
        <v>"2084031648" : "GLAY",</v>
      </c>
    </row>
    <row r="215" spans="1:7" ht="14.25" customHeight="1">
      <c r="A215" s="2">
        <v>2084031647</v>
      </c>
      <c r="B215" s="2" t="s">
        <v>1873</v>
      </c>
      <c r="C215" s="2" t="s">
        <v>1876</v>
      </c>
      <c r="D215" s="2" t="s">
        <v>1877</v>
      </c>
      <c r="E215" s="5" t="str">
        <f ca="1">IFERROR(__xludf.DUMMYFUNCTION("GOOGLETRANSLATE(B226,""ja"",""vi"")"),"Gackt")</f>
        <v>Gackt</v>
      </c>
      <c r="F215" s="4" t="str">
        <f ca="1">IFERROR(__xludf.DUMMYFUNCTION("GOOGLETRANSLATE(C226,""ja"",""vi"")"),"Đấu giá&gt; Sách, tạp chí&gt; Nghệ thuật &amp; giải trí&gt; Hình ảnh&gt; nhạc sĩ&gt; Gackt")</f>
        <v>Đấu giá&gt; Sách, tạp chí&gt; Nghệ thuật &amp; giải trí&gt; Hình ảnh&gt; nhạc sĩ&gt; Gackt</v>
      </c>
      <c r="G215" t="str">
        <f t="shared" ca="1" si="3"/>
        <v>"2084031647" : "Gackt",</v>
      </c>
    </row>
    <row r="216" spans="1:7" ht="14.25" customHeight="1">
      <c r="A216" s="2">
        <v>2084031649</v>
      </c>
      <c r="B216" s="2" t="s">
        <v>1881</v>
      </c>
      <c r="C216" s="2" t="s">
        <v>1883</v>
      </c>
      <c r="D216" s="2" t="s">
        <v>1885</v>
      </c>
      <c r="E216" s="5" t="str">
        <f ca="1">IFERROR(__xludf.DUMMYFUNCTION("GOOGLETRANSLATE(B227,""ja"",""vi"")"),"L'Arc-en-Ciel")</f>
        <v>L'Arc-en-Ciel</v>
      </c>
      <c r="F216" s="4" t="str">
        <f ca="1">IFERROR(__xludf.DUMMYFUNCTION("GOOGLETRANSLATE(C227,""ja"",""vi"")"),"Đấu giá&gt; Sách, tạp chí&gt; Nghệ thuật &amp; giải trí&gt; Hình ảnh&gt; nhạc sĩ&gt; L'Arc-en-Ciel")</f>
        <v>Đấu giá&gt; Sách, tạp chí&gt; Nghệ thuật &amp; giải trí&gt; Hình ảnh&gt; nhạc sĩ&gt; L'Arc-en-Ciel</v>
      </c>
      <c r="G216" t="str">
        <f t="shared" ca="1" si="3"/>
        <v>"2084031649" : "L'Arc-en-Ciel",</v>
      </c>
    </row>
    <row r="217" spans="1:7" ht="14.25" customHeight="1">
      <c r="A217" s="2">
        <v>2084031650</v>
      </c>
      <c r="B217" s="2" t="s">
        <v>1890</v>
      </c>
      <c r="C217" s="2" t="s">
        <v>1892</v>
      </c>
      <c r="D217" s="2" t="s">
        <v>1893</v>
      </c>
      <c r="E217" s="5" t="str">
        <f ca="1">IFERROR(__xludf.DUMMYFUNCTION("GOOGLETRANSLATE(B228,""ja"",""vi"")"),"LUNA SEA")</f>
        <v>LUNA SEA</v>
      </c>
      <c r="F217" s="4" t="str">
        <f ca="1">IFERROR(__xludf.DUMMYFUNCTION("GOOGLETRANSLATE(C228,""ja"",""vi"")"),"Đấu giá&gt; Sách, tạp chí&gt; Nghệ thuật &amp; giải trí&gt; Hình ảnh&gt; nhạc sĩ&gt; LUNA SEA")</f>
        <v>Đấu giá&gt; Sách, tạp chí&gt; Nghệ thuật &amp; giải trí&gt; Hình ảnh&gt; nhạc sĩ&gt; LUNA SEA</v>
      </c>
      <c r="G217" t="str">
        <f t="shared" ca="1" si="3"/>
        <v>"2084031650" : "LUNA SEA",</v>
      </c>
    </row>
    <row r="218" spans="1:7" ht="14.25" customHeight="1">
      <c r="A218" s="2">
        <v>2084031651</v>
      </c>
      <c r="B218" s="2" t="s">
        <v>1897</v>
      </c>
      <c r="C218" s="2" t="s">
        <v>1899</v>
      </c>
      <c r="D218" s="2" t="s">
        <v>1900</v>
      </c>
      <c r="E218" s="5" t="str">
        <f ca="1">IFERROR(__xludf.DUMMYFUNCTION("GOOGLETRANSLATE(B229,""ja"",""vi"")"),"Malice Mizer")</f>
        <v>Malice Mizer</v>
      </c>
      <c r="F218" s="4" t="str">
        <f ca="1">IFERROR(__xludf.DUMMYFUNCTION("GOOGLETRANSLATE(C229,""ja"",""vi"")"),"Đấu giá&gt; Sách, tạp chí&gt; Nghệ thuật &amp; giải trí&gt; Hình ảnh&gt; nhạc sĩ&gt; Malice Mizer")</f>
        <v>Đấu giá&gt; Sách, tạp chí&gt; Nghệ thuật &amp; giải trí&gt; Hình ảnh&gt; nhạc sĩ&gt; Malice Mizer</v>
      </c>
      <c r="G218" t="str">
        <f t="shared" ca="1" si="3"/>
        <v>"2084031651" : "Malice Mizer",</v>
      </c>
    </row>
    <row r="219" spans="1:7" ht="14.25" customHeight="1">
      <c r="A219" s="2">
        <v>2084031652</v>
      </c>
      <c r="B219" s="2" t="s">
        <v>1903</v>
      </c>
      <c r="C219" s="2" t="s">
        <v>1904</v>
      </c>
      <c r="D219" s="2" t="s">
        <v>1906</v>
      </c>
      <c r="E219" s="5" t="str">
        <f ca="1">IFERROR(__xludf.DUMMYFUNCTION("GOOGLETRANSLATE(B230,""ja"",""vi"")"),"rolling Stones")</f>
        <v>rolling Stones</v>
      </c>
      <c r="F219" s="4" t="str">
        <f ca="1">IFERROR(__xludf.DUMMYFUNCTION("GOOGLETRANSLATE(C230,""ja"",""vi"")"),"Đấu giá&gt; Sách, tạp chí&gt; Nghệ thuật &amp; giải trí&gt; Hình ảnh&gt; nhạc sĩ&gt; Rolling Stones")</f>
        <v>Đấu giá&gt; Sách, tạp chí&gt; Nghệ thuật &amp; giải trí&gt; Hình ảnh&gt; nhạc sĩ&gt; Rolling Stones</v>
      </c>
      <c r="G219" t="str">
        <f t="shared" ca="1" si="3"/>
        <v>"2084031652" : "rolling Stones",</v>
      </c>
    </row>
    <row r="220" spans="1:7" ht="14.25" customHeight="1">
      <c r="A220" s="2">
        <v>2084031654</v>
      </c>
      <c r="B220" s="2" t="s">
        <v>1911</v>
      </c>
      <c r="C220" s="2" t="s">
        <v>1913</v>
      </c>
      <c r="D220" s="2" t="s">
        <v>1914</v>
      </c>
      <c r="E220" s="5" t="str">
        <f ca="1">IFERROR(__xludf.DUMMYFUNCTION("GOOGLETRANSLATE(B231,""ja"",""vi"")"),"T.M.Revolution")</f>
        <v>T.M.Revolution</v>
      </c>
      <c r="F220" s="4" t="str">
        <f ca="1">IFERROR(__xludf.DUMMYFUNCTION("GOOGLETRANSLATE(C231,""ja"",""vi"")"),"Đấu giá&gt; Sách, tạp chí&gt; Nghệ thuật &amp; giải trí&gt; Hình ảnh&gt; nhạc sĩ&gt; T.M.Revolution")</f>
        <v>Đấu giá&gt; Sách, tạp chí&gt; Nghệ thuật &amp; giải trí&gt; Hình ảnh&gt; nhạc sĩ&gt; T.M.Revolution</v>
      </c>
      <c r="G220" t="str">
        <f t="shared" ca="1" si="3"/>
        <v>"2084031654" : "T.M.Revolution",</v>
      </c>
    </row>
    <row r="221" spans="1:7" ht="14.25" customHeight="1">
      <c r="A221" s="2">
        <v>2084031630</v>
      </c>
      <c r="B221" s="2" t="s">
        <v>1919</v>
      </c>
      <c r="C221" s="2" t="s">
        <v>1922</v>
      </c>
      <c r="D221" s="2" t="s">
        <v>1925</v>
      </c>
      <c r="E221" s="5" t="str">
        <f ca="1">IFERROR(__xludf.DUMMYFUNCTION("GOOGLETRANSLATE(B232,""ja"",""vi"")"),"THE ALFEE")</f>
        <v>THE ALFEE</v>
      </c>
      <c r="F221" s="4" t="str">
        <f ca="1">IFERROR(__xludf.DUMMYFUNCTION("GOOGLETRANSLATE(C232,""ja"",""vi"")"),"Đấu giá&gt; Sách, tạp chí&gt; Nghệ thuật &amp; giải trí&gt; Hình ảnh&gt; nhạc sĩ&gt; THE ALFEE")</f>
        <v>Đấu giá&gt; Sách, tạp chí&gt; Nghệ thuật &amp; giải trí&gt; Hình ảnh&gt; nhạc sĩ&gt; THE ALFEE</v>
      </c>
      <c r="G221" t="str">
        <f t="shared" ca="1" si="3"/>
        <v>"2084031630" : "THE ALFEE",</v>
      </c>
    </row>
    <row r="222" spans="1:7" ht="14.25" customHeight="1">
      <c r="A222" s="2">
        <v>2084031631</v>
      </c>
      <c r="B222" s="2" t="s">
        <v>1929</v>
      </c>
      <c r="C222" s="2" t="s">
        <v>1930</v>
      </c>
      <c r="D222" s="2" t="s">
        <v>1931</v>
      </c>
      <c r="E222" s="5" t="str">
        <f ca="1">IFERROR(__xludf.DUMMYFUNCTION("GOOGLETRANSLATE(B233,""ja"",""vi"")"),"The Beatles")</f>
        <v>The Beatles</v>
      </c>
      <c r="F222" s="4" t="str">
        <f ca="1">IFERROR(__xludf.DUMMYFUNCTION("GOOGLETRANSLATE(C233,""ja"",""vi"")"),"Đấu giá&gt; Sách, tạp chí&gt; Nghệ thuật &amp; giải trí&gt; Hình ảnh&gt; nhạc sĩ&gt; The Beatles")</f>
        <v>Đấu giá&gt; Sách, tạp chí&gt; Nghệ thuật &amp; giải trí&gt; Hình ảnh&gt; nhạc sĩ&gt; The Beatles</v>
      </c>
      <c r="G222" t="str">
        <f t="shared" ca="1" si="3"/>
        <v>"2084031631" : "The Beatles",</v>
      </c>
    </row>
    <row r="223" spans="1:7" ht="14.25" customHeight="1">
      <c r="A223" s="2">
        <v>2084040619</v>
      </c>
      <c r="B223" s="2" t="s">
        <v>1935</v>
      </c>
      <c r="C223" s="2" t="s">
        <v>1936</v>
      </c>
      <c r="D223" s="2" t="s">
        <v>1937</v>
      </c>
      <c r="E223" s="5" t="str">
        <f ca="1">IFERROR(__xludf.DUMMYFUNCTION("GOOGLETRANSLATE(B234,""ja"",""vi"")"),"TM NETWORK")</f>
        <v>TM NETWORK</v>
      </c>
      <c r="F223" s="4" t="str">
        <f ca="1">IFERROR(__xludf.DUMMYFUNCTION("GOOGLETRANSLATE(C234,""ja"",""vi"")"),"Đấu giá&gt; Sách, tạp chí&gt; Nghệ thuật &amp; giải trí&gt; Hình ảnh&gt; nhạc sĩ&gt; TM NETWORK")</f>
        <v>Đấu giá&gt; Sách, tạp chí&gt; Nghệ thuật &amp; giải trí&gt; Hình ảnh&gt; nhạc sĩ&gt; TM NETWORK</v>
      </c>
      <c r="G223" t="str">
        <f t="shared" ca="1" si="3"/>
        <v>"2084040619" : "TM NETWORK",</v>
      </c>
    </row>
    <row r="224" spans="1:7" ht="14.25" customHeight="1">
      <c r="A224" s="2">
        <v>2084040621</v>
      </c>
      <c r="B224" s="2" t="s">
        <v>1941</v>
      </c>
      <c r="C224" s="2" t="s">
        <v>1943</v>
      </c>
      <c r="D224" s="2" t="s">
        <v>1946</v>
      </c>
      <c r="E224" s="5" t="str">
        <f ca="1">IFERROR(__xludf.DUMMYFUNCTION("GOOGLETRANSLATE(B235,""ja"",""vi"")"),"YMO")</f>
        <v>YMO</v>
      </c>
      <c r="F224" s="4" t="str">
        <f ca="1">IFERROR(__xludf.DUMMYFUNCTION("GOOGLETRANSLATE(C235,""ja"",""vi"")"),"Đấu giá&gt; Sách, tạp chí&gt; Nghệ thuật &amp; giải trí&gt; Hình ảnh&gt; nhạc sĩ&gt; YMO")</f>
        <v>Đấu giá&gt; Sách, tạp chí&gt; Nghệ thuật &amp; giải trí&gt; Hình ảnh&gt; nhạc sĩ&gt; YMO</v>
      </c>
      <c r="G224" t="str">
        <f t="shared" ca="1" si="3"/>
        <v>"2084040621" : "YMO",</v>
      </c>
    </row>
    <row r="225" spans="1:7" ht="14.25" customHeight="1">
      <c r="A225" s="2">
        <v>2084040609</v>
      </c>
      <c r="B225" s="2" t="s">
        <v>1949</v>
      </c>
      <c r="C225" s="2" t="s">
        <v>1951</v>
      </c>
      <c r="D225" s="2" t="s">
        <v>1952</v>
      </c>
      <c r="E225" s="5" t="str">
        <f ca="1">IFERROR(__xludf.DUMMYFUNCTION("GOOGLETRANSLATE(B236,""ja"",""vi"")"),"Yoshiki")</f>
        <v>Yoshiki</v>
      </c>
      <c r="F225" s="4" t="str">
        <f ca="1">IFERROR(__xludf.DUMMYFUNCTION("GOOGLETRANSLATE(C236,""ja"",""vi"")"),"Đấu giá&gt; Sách, tạp chí&gt; Nghệ thuật &amp; giải trí&gt; Hình ảnh&gt; nhạc sĩ&gt; Yoshiki")</f>
        <v>Đấu giá&gt; Sách, tạp chí&gt; Nghệ thuật &amp; giải trí&gt; Hình ảnh&gt; nhạc sĩ&gt; Yoshiki</v>
      </c>
      <c r="G225" t="str">
        <f t="shared" ca="1" si="3"/>
        <v>"2084040609" : "Yoshiki",</v>
      </c>
    </row>
    <row r="226" spans="1:7" ht="14.25" customHeight="1">
      <c r="A226" s="2">
        <v>2084040610</v>
      </c>
      <c r="B226" s="2" t="s">
        <v>1955</v>
      </c>
      <c r="C226" s="2" t="s">
        <v>1957</v>
      </c>
      <c r="D226" s="2" t="s">
        <v>1958</v>
      </c>
      <c r="E226" s="5" t="str">
        <f ca="1">IFERROR(__xludf.DUMMYFUNCTION("GOOGLETRANSLATE(B237,""ja"",""vi"")"),"ZARD")</f>
        <v>ZARD</v>
      </c>
      <c r="F226" s="4" t="str">
        <f ca="1">IFERROR(__xludf.DUMMYFUNCTION("GOOGLETRANSLATE(C237,""ja"",""vi"")"),"Đấu giá&gt; Sách, tạp chí&gt; Nghệ thuật &amp; giải trí&gt; Hình ảnh&gt; nhạc sĩ&gt; ZARD")</f>
        <v>Đấu giá&gt; Sách, tạp chí&gt; Nghệ thuật &amp; giải trí&gt; Hình ảnh&gt; nhạc sĩ&gt; ZARD</v>
      </c>
      <c r="G226" t="str">
        <f t="shared" ca="1" si="3"/>
        <v>"2084040610" : "ZARD",</v>
      </c>
    </row>
    <row r="227" spans="1:7" ht="14.25" customHeight="1">
      <c r="A227" s="2">
        <v>2084040611</v>
      </c>
      <c r="B227" s="2" t="s">
        <v>1963</v>
      </c>
      <c r="C227" s="2" t="s">
        <v>1964</v>
      </c>
      <c r="D227" s="2" t="s">
        <v>1965</v>
      </c>
      <c r="E227" s="5" t="str">
        <f ca="1">IFERROR(__xludf.DUMMYFUNCTION("GOOGLETRANSLATE(B238,""ja"",""vi"")"),"hitomi")</f>
        <v>hitomi</v>
      </c>
      <c r="F227" s="4" t="str">
        <f ca="1">IFERROR(__xludf.DUMMYFUNCTION("GOOGLETRANSLATE(C238,""ja"",""vi"")"),"Đấu giá&gt; Sách, tạp chí&gt; Nghệ thuật &amp; giải trí&gt; Hình ảnh&gt; nhạc sĩ&gt; hitomi")</f>
        <v>Đấu giá&gt; Sách, tạp chí&gt; Nghệ thuật &amp; giải trí&gt; Hình ảnh&gt; nhạc sĩ&gt; hitomi</v>
      </c>
      <c r="G227" t="str">
        <f t="shared" ca="1" si="3"/>
        <v>"2084040611" : "hitomi",</v>
      </c>
    </row>
    <row r="228" spans="1:7" ht="14.25" customHeight="1">
      <c r="A228" s="2">
        <v>2084031632</v>
      </c>
      <c r="B228" s="2" t="s">
        <v>1970</v>
      </c>
      <c r="C228" s="2" t="s">
        <v>1971</v>
      </c>
      <c r="D228" s="2" t="s">
        <v>1972</v>
      </c>
      <c r="E228" s="5" t="str">
        <f ca="1">IFERROR(__xludf.DUMMYFUNCTION("GOOGLETRANSLATE(B239,""ja"",""vi"")"),"OFF COURSE")</f>
        <v>OFF COURSE</v>
      </c>
      <c r="F228" s="4" t="str">
        <f ca="1">IFERROR(__xludf.DUMMYFUNCTION("GOOGLETRANSLATE(C239,""ja"",""vi"")"),"Đấu giá&gt; Sách, tạp chí&gt; Nghệ thuật &amp; giải trí&gt; Hình ảnh&gt; nhạc sĩ&gt; Tắt Khóa học")</f>
        <v>Đấu giá&gt; Sách, tạp chí&gt; Nghệ thuật &amp; giải trí&gt; Hình ảnh&gt; nhạc sĩ&gt; Tắt Khóa học</v>
      </c>
      <c r="G228" t="str">
        <f t="shared" ca="1" si="3"/>
        <v>"2084031632" : "OFF COURSE",</v>
      </c>
    </row>
    <row r="229" spans="1:7" ht="14.25" customHeight="1">
      <c r="A229" s="2">
        <v>2084040612</v>
      </c>
      <c r="B229" s="2" t="s">
        <v>1977</v>
      </c>
      <c r="C229" s="2" t="s">
        <v>1978</v>
      </c>
      <c r="D229" s="2" t="s">
        <v>1979</v>
      </c>
      <c r="E229" s="5" t="str">
        <f ca="1">IFERROR(__xludf.DUMMYFUNCTION("GOOGLETRANSLATE(B240,""ja"",""vi"")"),"kỳ lân")</f>
        <v>kỳ lân</v>
      </c>
      <c r="F229" s="4" t="str">
        <f ca="1">IFERROR(__xludf.DUMMYFUNCTION("GOOGLETRANSLATE(C240,""ja"",""vi"")"),"Đấu giá&gt; Sách, tạp chí&gt; Nghệ thuật &amp; giải trí&gt; Hình ảnh&gt; nhạc sĩ&gt; Unicorn")</f>
        <v>Đấu giá&gt; Sách, tạp chí&gt; Nghệ thuật &amp; giải trí&gt; Hình ảnh&gt; nhạc sĩ&gt; Unicorn</v>
      </c>
      <c r="G229" t="str">
        <f t="shared" ca="1" si="3"/>
        <v>"2084040612" : "kỳ lân",</v>
      </c>
    </row>
    <row r="230" spans="1:7" ht="14.25" customHeight="1">
      <c r="A230" s="2">
        <v>2084040613</v>
      </c>
      <c r="B230" s="2" t="s">
        <v>1984</v>
      </c>
      <c r="C230" s="2" t="s">
        <v>1986</v>
      </c>
      <c r="D230" s="2" t="s">
        <v>1989</v>
      </c>
      <c r="E230" s="5" t="str">
        <f ca="1">IFERROR(__xludf.DUMMYFUNCTION("GOOGLETRANSLATE(B241,""ja"",""vi"")"),"Mariko Nagai")</f>
        <v>Mariko Nagai</v>
      </c>
      <c r="F230" s="4" t="str">
        <f ca="1">IFERROR(__xludf.DUMMYFUNCTION("GOOGLETRANSLATE(C241,""ja"",""vi"")"),"Đấu giá&gt; Sách, tạp chí&gt; Nghệ thuật &amp; giải trí&gt; Hình ảnh&gt; nhạc sĩ&gt; Mariko Nagai")</f>
        <v>Đấu giá&gt; Sách, tạp chí&gt; Nghệ thuật &amp; giải trí&gt; Hình ảnh&gt; nhạc sĩ&gt; Mariko Nagai</v>
      </c>
      <c r="G230" t="str">
        <f t="shared" ca="1" si="3"/>
        <v>"2084040613" : "Mariko Nagai",</v>
      </c>
    </row>
    <row r="231" spans="1:7" ht="14.25" customHeight="1">
      <c r="A231" s="2">
        <v>2084040616</v>
      </c>
      <c r="B231" s="2" t="s">
        <v>1993</v>
      </c>
      <c r="C231" s="2" t="s">
        <v>1995</v>
      </c>
      <c r="D231" s="2" t="s">
        <v>1997</v>
      </c>
      <c r="E231" s="5" t="str">
        <f ca="1">IFERROR(__xludf.DUMMYFUNCTION("GOOGLETRANSLATE(B242,""ja"",""vi"")"),"Koji Yoshikawa")</f>
        <v>Koji Yoshikawa</v>
      </c>
      <c r="F231" s="4" t="str">
        <f ca="1">IFERROR(__xludf.DUMMYFUNCTION("GOOGLETRANSLATE(C242,""ja"",""vi"")"),"Đấu giá&gt; Sách, tạp chí&gt; Nghệ thuật &amp; giải trí&gt; Hình ảnh&gt; nhạc sĩ&gt; Koji Kikkawa")</f>
        <v>Đấu giá&gt; Sách, tạp chí&gt; Nghệ thuật &amp; giải trí&gt; Hình ảnh&gt; nhạc sĩ&gt; Koji Kikkawa</v>
      </c>
      <c r="G231" t="str">
        <f t="shared" ca="1" si="3"/>
        <v>"2084040616" : "Koji Yoshikawa",</v>
      </c>
    </row>
    <row r="232" spans="1:7" ht="14.25" customHeight="1">
      <c r="A232" s="2">
        <v>2084031637</v>
      </c>
      <c r="B232" s="2" t="s">
        <v>2000</v>
      </c>
      <c r="C232" s="2" t="s">
        <v>2002</v>
      </c>
      <c r="D232" s="2" t="s">
        <v>2006</v>
      </c>
      <c r="E232" s="5" t="str">
        <f ca="1">IFERROR(__xludf.DUMMYFUNCTION("GOOGLETRANSLATE(B243,""ja"",""vi"")"),"Masayoshi Yamazaki")</f>
        <v>Masayoshi Yamazaki</v>
      </c>
      <c r="F232" s="4" t="str">
        <f ca="1">IFERROR(__xludf.DUMMYFUNCTION("GOOGLETRANSLATE(C243,""ja"",""vi"")"),"Đấu giá&gt; Sách, tạp chí&gt; Nghệ thuật &amp; giải trí&gt; Hình ảnh&gt; nhạc sĩ&gt; Masayoshi Yamazaki")</f>
        <v>Đấu giá&gt; Sách, tạp chí&gt; Nghệ thuật &amp; giải trí&gt; Hình ảnh&gt; nhạc sĩ&gt; Masayoshi Yamazaki</v>
      </c>
      <c r="G232" t="str">
        <f t="shared" ca="1" si="3"/>
        <v>"2084031637" : "Masayoshi Yamazaki",</v>
      </c>
    </row>
    <row r="233" spans="1:7" ht="14.25" customHeight="1">
      <c r="A233" s="2">
        <v>2084031639</v>
      </c>
      <c r="B233" s="2" t="s">
        <v>2009</v>
      </c>
      <c r="C233" s="2" t="s">
        <v>2011</v>
      </c>
      <c r="D233" s="2" t="s">
        <v>2013</v>
      </c>
      <c r="E233" s="5" t="str">
        <f ca="1">IFERROR(__xludf.DUMMYFUNCTION("GOOGLETRANSLATE(B244,""ja"",""vi"")"),"Yumi Tanimura")</f>
        <v>Yumi Tanimura</v>
      </c>
      <c r="F233" s="4" t="str">
        <f ca="1">IFERROR(__xludf.DUMMYFUNCTION("GOOGLETRANSLATE(C244,""ja"",""vi"")"),"Đấu giá&gt; Sách, tạp chí&gt; Nghệ thuật &amp; giải trí&gt; Hình ảnh&gt; nhạc sĩ&gt; Yumi Tanimura")</f>
        <v>Đấu giá&gt; Sách, tạp chí&gt; Nghệ thuật &amp; giải trí&gt; Hình ảnh&gt; nhạc sĩ&gt; Yumi Tanimura</v>
      </c>
      <c r="G233" t="str">
        <f t="shared" ca="1" si="3"/>
        <v>"2084031639" : "Yumi Tanimura",</v>
      </c>
    </row>
    <row r="234" spans="1:7" ht="14.25" customHeight="1">
      <c r="A234" s="2">
        <v>2084031640</v>
      </c>
      <c r="B234" s="2" t="s">
        <v>2016</v>
      </c>
      <c r="C234" s="2" t="s">
        <v>2018</v>
      </c>
      <c r="D234" s="2" t="s">
        <v>2021</v>
      </c>
      <c r="E234" s="5" t="str">
        <f ca="1">IFERROR(__xludf.DUMMYFUNCTION("GOOGLETRANSLATE(B245,""ja"",""vi"")"),"Miyuki Nakajima")</f>
        <v>Miyuki Nakajima</v>
      </c>
      <c r="F234" s="4" t="str">
        <f ca="1">IFERROR(__xludf.DUMMYFUNCTION("GOOGLETRANSLATE(C245,""ja"",""vi"")"),"Đấu giá&gt; Sách, tạp chí&gt; Nghệ thuật &amp; giải trí&gt; Hình ảnh&gt; nhạc sĩ&gt; Miyuki Nakajima")</f>
        <v>Đấu giá&gt; Sách, tạp chí&gt; Nghệ thuật &amp; giải trí&gt; Hình ảnh&gt; nhạc sĩ&gt; Miyuki Nakajima</v>
      </c>
      <c r="G234" t="str">
        <f t="shared" ca="1" si="3"/>
        <v>"2084031640" : "Miyuki Nakajima",</v>
      </c>
    </row>
    <row r="235" spans="1:7" ht="14.25" customHeight="1">
      <c r="A235" s="2">
        <v>2084060024</v>
      </c>
      <c r="B235" s="2" t="s">
        <v>2027</v>
      </c>
      <c r="C235" s="2" t="s">
        <v>2028</v>
      </c>
      <c r="D235" s="2" t="s">
        <v>2029</v>
      </c>
      <c r="E235" s="5" t="str">
        <f ca="1">IFERROR(__xludf.DUMMYFUNCTION("GOOGLETRANSLATE(B246,""ja"",""vi"")"),"Fujii Fumiya")</f>
        <v>Fujii Fumiya</v>
      </c>
      <c r="F235" s="4" t="str">
        <f ca="1">IFERROR(__xludf.DUMMYFUNCTION("GOOGLETRANSLATE(C246,""ja"",""vi"")"),"Đấu giá&gt; Sách, tạp chí&gt; Nghệ thuật &amp; giải trí&gt; Hình ảnh&gt; nhạc sĩ&gt; Fujii Fumiya")</f>
        <v>Đấu giá&gt; Sách, tạp chí&gt; Nghệ thuật &amp; giải trí&gt; Hình ảnh&gt; nhạc sĩ&gt; Fujii Fumiya</v>
      </c>
      <c r="G235" t="str">
        <f t="shared" ca="1" si="3"/>
        <v>"2084060024" : "Fujii Fumiya",</v>
      </c>
    </row>
    <row r="236" spans="1:7" ht="14.25" customHeight="1">
      <c r="A236" s="2">
        <v>2084031641</v>
      </c>
      <c r="B236" s="2" t="s">
        <v>2034</v>
      </c>
      <c r="C236" s="2" t="s">
        <v>2036</v>
      </c>
      <c r="D236" s="2" t="s">
        <v>2038</v>
      </c>
      <c r="E236" s="5" t="str">
        <f ca="1">IFERROR(__xludf.DUMMYFUNCTION("GOOGLETRANSLATE(B247,""ja"",""vi"")"),"Yutaka Ozaki")</f>
        <v>Yutaka Ozaki</v>
      </c>
      <c r="F236" s="4" t="str">
        <f ca="1">IFERROR(__xludf.DUMMYFUNCTION("GOOGLETRANSLATE(C247,""ja"",""vi"")"),"Đấu giá&gt; Sách, tạp chí&gt; Nghệ thuật &amp; giải trí&gt; Hình ảnh&gt; nhạc sĩ&gt; Yutaka Ozaki")</f>
        <v>Đấu giá&gt; Sách, tạp chí&gt; Nghệ thuật &amp; giải trí&gt; Hình ảnh&gt; nhạc sĩ&gt; Yutaka Ozaki</v>
      </c>
      <c r="G236" t="str">
        <f t="shared" ca="1" si="3"/>
        <v>"2084031641" : "Yutaka Ozaki",</v>
      </c>
    </row>
    <row r="237" spans="1:7" ht="14.25" customHeight="1">
      <c r="A237" s="2">
        <v>2084031642</v>
      </c>
      <c r="B237" s="2" t="s">
        <v>2042</v>
      </c>
      <c r="C237" s="2" t="s">
        <v>2043</v>
      </c>
      <c r="D237" s="2" t="s">
        <v>2045</v>
      </c>
      <c r="E237" s="5" t="str">
        <f ca="1">IFERROR(__xludf.DUMMYFUNCTION("GOOGLETRANSLATE(B248,""ja"",""vi"")"),"Masaharu Fukuyama")</f>
        <v>Masaharu Fukuyama</v>
      </c>
      <c r="F237" s="4" t="str">
        <f ca="1">IFERROR(__xludf.DUMMYFUNCTION("GOOGLETRANSLATE(C248,""ja"",""vi"")"),"Đấu giá&gt; Sách, tạp chí&gt; Nghệ thuật &amp; giải trí&gt; Hình ảnh&gt; nhạc sĩ&gt; Masaharu Fukuyama")</f>
        <v>Đấu giá&gt; Sách, tạp chí&gt; Nghệ thuật &amp; giải trí&gt; Hình ảnh&gt; nhạc sĩ&gt; Masaharu Fukuyama</v>
      </c>
      <c r="G237" t="str">
        <f t="shared" ca="1" si="3"/>
        <v>"2084031642" : "Masaharu Fukuyama",</v>
      </c>
    </row>
    <row r="238" spans="1:7" ht="14.25" customHeight="1">
      <c r="A238" s="2">
        <v>2084031644</v>
      </c>
      <c r="B238" s="2" t="s">
        <v>2049</v>
      </c>
      <c r="C238" s="2" t="s">
        <v>2050</v>
      </c>
      <c r="D238" s="2" t="s">
        <v>2052</v>
      </c>
      <c r="E238" s="5" t="str">
        <f ca="1">IFERROR(__xludf.DUMMYFUNCTION("GOOGLETRANSLATE(B249,""ja"",""vi"")"),"Eikichi Yazawa")</f>
        <v>Eikichi Yazawa</v>
      </c>
      <c r="F238" s="4" t="str">
        <f ca="1">IFERROR(__xludf.DUMMYFUNCTION("GOOGLETRANSLATE(C249,""ja"",""vi"")"),"Đấu giá&gt; Sách, tạp chí&gt; Nghệ thuật &amp; giải trí&gt; Hình ảnh&gt; nhạc sĩ&gt; Eikichi Yazawa")</f>
        <v>Đấu giá&gt; Sách, tạp chí&gt; Nghệ thuật &amp; giải trí&gt; Hình ảnh&gt; nhạc sĩ&gt; Eikichi Yazawa</v>
      </c>
      <c r="G238" t="str">
        <f t="shared" ca="1" si="3"/>
        <v>"2084031644" : "Eikichi Yazawa",</v>
      </c>
    </row>
    <row r="239" spans="1:7" ht="14.25" customHeight="1">
      <c r="A239" s="2">
        <v>2084032120</v>
      </c>
      <c r="B239" s="2" t="s">
        <v>46</v>
      </c>
      <c r="C239" s="2" t="s">
        <v>2057</v>
      </c>
      <c r="D239" s="2" t="s">
        <v>2060</v>
      </c>
      <c r="E239" s="5" t="str">
        <f ca="1">IFERROR(__xludf.DUMMYFUNCTION("GOOGLETRANSLATE(B250,""ja"",""vi"")"),"nếu không thì")</f>
        <v>nếu không thì</v>
      </c>
      <c r="F239" s="4" t="str">
        <f ca="1">IFERROR(__xludf.DUMMYFUNCTION("GOOGLETRANSLATE(C250,""ja"",""vi"")"),"Đấu giá&gt; Sách, tạp chí&gt; Nghệ thuật &amp; giải trí&gt; Hình ảnh&gt; nhạc sĩ&gt; Khác")</f>
        <v>Đấu giá&gt; Sách, tạp chí&gt; Nghệ thuật &amp; giải trí&gt; Hình ảnh&gt; nhạc sĩ&gt; Khác</v>
      </c>
      <c r="G239" t="str">
        <f t="shared" ca="1" si="3"/>
        <v>"2084032120" : "nếu không thì",</v>
      </c>
    </row>
    <row r="240" spans="1:7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</sheetData>
  <mergeCells count="3">
    <mergeCell ref="A152:D152"/>
    <mergeCell ref="A198:D198"/>
    <mergeCell ref="A210:D210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9"/>
  <sheetViews>
    <sheetView workbookViewId="0">
      <selection activeCell="F1" sqref="F1"/>
    </sheetView>
  </sheetViews>
  <sheetFormatPr defaultColWidth="12.59765625" defaultRowHeight="15" customHeight="1"/>
  <cols>
    <col min="1" max="1" width="7.3984375" customWidth="1"/>
    <col min="2" max="2" width="14" customWidth="1"/>
    <col min="3" max="3" width="47.69921875" customWidth="1"/>
    <col min="4" max="4" width="7.59765625" customWidth="1"/>
    <col min="5" max="5" width="69.09765625" customWidth="1"/>
    <col min="6" max="26" width="7.59765625" customWidth="1"/>
  </cols>
  <sheetData>
    <row r="1" spans="1:6" ht="21.6">
      <c r="A1" s="12">
        <v>23408</v>
      </c>
      <c r="B1" s="12" t="s">
        <v>1559</v>
      </c>
      <c r="C1" s="12" t="s">
        <v>1560</v>
      </c>
      <c r="D1" s="5" t="str">
        <f ca="1">IFERROR(__xludf.DUMMYFUNCTION("GOOGLETRANSLATE(B2,""ja"",""vi"")"),"Desktop")</f>
        <v>Desktop</v>
      </c>
      <c r="E1" s="4" t="str">
        <f ca="1">IFERROR(__xludf.DUMMYFUNCTION("GOOGLETRANSLATE(C2,""ja"",""vi"")"),"Đấu giá&gt; máy tính&gt; máy tính cá nhân&gt; Windows&gt; Desktop")</f>
        <v>Đấu giá&gt; máy tính&gt; máy tính cá nhân&gt; Windows&gt; Desktop</v>
      </c>
      <c r="F1" t="str">
        <f ca="1">CONCATENATE(CHAR(34)&amp;"",A1,""&amp;CHAR(34)," : ", CHAR(34)&amp;"",D1,""&amp;CHAR(34),",")</f>
        <v>"23408" : "Desktop",</v>
      </c>
    </row>
    <row r="2" spans="1:6" ht="21.6">
      <c r="A2" s="12">
        <v>23412</v>
      </c>
      <c r="B2" s="12" t="s">
        <v>1564</v>
      </c>
      <c r="C2" s="12" t="s">
        <v>1566</v>
      </c>
      <c r="D2" s="5" t="str">
        <f ca="1">IFERROR(__xludf.DUMMYFUNCTION("GOOGLETRANSLATE(B3,""ja"",""vi"")"),"Máy tính xách tay, máy tính xách tay")</f>
        <v>Máy tính xách tay, máy tính xách tay</v>
      </c>
      <c r="E2" s="4" t="str">
        <f ca="1">IFERROR(__xludf.DUMMYFUNCTION("GOOGLETRANSLATE(C3,""ja"",""vi"")"),"Đấu giá&gt; máy tính&gt; máy tính cá nhân&gt; Windows&gt; máy tính xách tay, máy tính xách tay")</f>
        <v>Đấu giá&gt; máy tính&gt; máy tính cá nhân&gt; Windows&gt; máy tính xách tay, máy tính xách tay</v>
      </c>
      <c r="F2" t="str">
        <f t="shared" ref="F2:F65" ca="1" si="0">CONCATENATE(CHAR(34)&amp;"",A2,""&amp;CHAR(34)," : ", CHAR(34)&amp;"",D2,""&amp;CHAR(34),",")</f>
        <v>"23412" : "Máy tính xách tay, máy tính xách tay",</v>
      </c>
    </row>
    <row r="3" spans="1:6" ht="14.4">
      <c r="A3" s="12">
        <v>2084239341</v>
      </c>
      <c r="B3" s="12" t="s">
        <v>1572</v>
      </c>
      <c r="C3" s="12" t="s">
        <v>1573</v>
      </c>
      <c r="D3" s="5" t="str">
        <f ca="1">IFERROR(__xludf.DUMMYFUNCTION("GOOGLETRANSLATE(B4,""ja"",""vi"")"),"Mini-notebook")</f>
        <v>Mini-notebook</v>
      </c>
      <c r="E3" s="4" t="str">
        <f ca="1">IFERROR(__xludf.DUMMYFUNCTION("GOOGLETRANSLATE(C4,""ja"",""vi"")"),"Đấu giá&gt; máy tính&gt; máy tính cá nhân&gt; Windows&gt; mini-notebook")</f>
        <v>Đấu giá&gt; máy tính&gt; máy tính cá nhân&gt; Windows&gt; mini-notebook</v>
      </c>
      <c r="F3" t="str">
        <f t="shared" ca="1" si="0"/>
        <v>"2084239341" : "Mini-notebook",</v>
      </c>
    </row>
    <row r="4" spans="1:6" ht="14.4">
      <c r="A4" s="12">
        <v>2084239342</v>
      </c>
      <c r="B4" s="12" t="s">
        <v>1579</v>
      </c>
      <c r="C4" s="12" t="s">
        <v>1580</v>
      </c>
      <c r="D4" s="5" t="str">
        <f ca="1">IFERROR(__xludf.DUMMYFUNCTION("GOOGLETRANSLATE(B5,""ja"",""vi"")"),"viên thuốc")</f>
        <v>viên thuốc</v>
      </c>
      <c r="E4" s="4" t="str">
        <f ca="1">IFERROR(__xludf.DUMMYFUNCTION("GOOGLETRANSLATE(C5,""ja"",""vi"")"),"Đấu giá&gt; máy tính&gt; máy tính cá nhân&gt; Windows&gt; tablet")</f>
        <v>Đấu giá&gt; máy tính&gt; máy tính cá nhân&gt; Windows&gt; tablet</v>
      </c>
      <c r="F4" t="str">
        <f t="shared" ca="1" si="0"/>
        <v>"2084239342" : "viên thuốc",</v>
      </c>
    </row>
    <row r="5" spans="1:6" ht="14.4">
      <c r="A5" s="12">
        <v>2084008027</v>
      </c>
      <c r="B5" s="12" t="s">
        <v>1586</v>
      </c>
      <c r="C5" s="12" t="s">
        <v>1587</v>
      </c>
      <c r="D5" s="5" t="str">
        <f ca="1">IFERROR(__xludf.DUMMYFUNCTION("GOOGLETRANSLATE(B6,""ja"",""vi"")"),"tạp chí")</f>
        <v>tạp chí</v>
      </c>
      <c r="E5" s="4" t="str">
        <f ca="1">IFERROR(__xludf.DUMMYFUNCTION("GOOGLETRANSLATE(C6,""ja"",""vi"")"),"Đấu giá&gt; máy tính&gt; máy tính cá nhân&gt; Windows&gt; tạp chí")</f>
        <v>Đấu giá&gt; máy tính&gt; máy tính cá nhân&gt; Windows&gt; tạp chí</v>
      </c>
      <c r="F5" t="str">
        <f t="shared" ca="1" si="0"/>
        <v>"2084008027" : "tạp chí",</v>
      </c>
    </row>
    <row r="6" spans="1:6" ht="14.4">
      <c r="A6" s="12">
        <v>23516</v>
      </c>
      <c r="B6" s="12" t="s">
        <v>1559</v>
      </c>
      <c r="C6" s="12" t="s">
        <v>1592</v>
      </c>
      <c r="D6" s="5" t="str">
        <f ca="1">IFERROR(__xludf.DUMMYFUNCTION("GOOGLETRANSLATE(B7,""ja"",""vi"")"),"Desktop")</f>
        <v>Desktop</v>
      </c>
      <c r="E6" s="4" t="str">
        <f ca="1">IFERROR(__xludf.DUMMYFUNCTION("GOOGLETRANSLATE(C7,""ja"",""vi"")"),"Đấu giá&gt; máy tính&gt; máy tính cá nhân&gt; Mac&gt; Desktop")</f>
        <v>Đấu giá&gt; máy tính&gt; máy tính cá nhân&gt; Mac&gt; Desktop</v>
      </c>
      <c r="F6" t="str">
        <f t="shared" ca="1" si="0"/>
        <v>"23516" : "Desktop",</v>
      </c>
    </row>
    <row r="7" spans="1:6" ht="21.6">
      <c r="A7" s="12">
        <v>23520</v>
      </c>
      <c r="B7" s="12" t="s">
        <v>1564</v>
      </c>
      <c r="C7" s="12" t="s">
        <v>1597</v>
      </c>
      <c r="D7" s="5" t="str">
        <f ca="1">IFERROR(__xludf.DUMMYFUNCTION("GOOGLETRANSLATE(B8,""ja"",""vi"")"),"Máy tính xách tay, máy tính xách tay")</f>
        <v>Máy tính xách tay, máy tính xách tay</v>
      </c>
      <c r="E7" s="4" t="str">
        <f ca="1">IFERROR(__xludf.DUMMYFUNCTION("GOOGLETRANSLATE(C8,""ja"",""vi"")"),"Đấu giá&gt; máy tính&gt; máy tính cá nhân&gt; Mac&gt; máy tính xách tay, máy tính xách tay")</f>
        <v>Đấu giá&gt; máy tính&gt; máy tính cá nhân&gt; Mac&gt; máy tính xách tay, máy tính xách tay</v>
      </c>
      <c r="F7" t="str">
        <f t="shared" ca="1" si="0"/>
        <v>"23520" : "Máy tính xách tay, máy tính xách tay",</v>
      </c>
    </row>
    <row r="8" spans="1:6" ht="14.4">
      <c r="A8" s="12">
        <v>2084257082</v>
      </c>
      <c r="B8" s="12" t="s">
        <v>1601</v>
      </c>
      <c r="C8" s="12" t="s">
        <v>1604</v>
      </c>
      <c r="D8" s="5" t="str">
        <f ca="1">IFERROR(__xludf.DUMMYFUNCTION("GOOGLETRANSLATE(B9,""ja"",""vi"")"),"iPad")</f>
        <v>iPad</v>
      </c>
      <c r="E8" s="4" t="str">
        <f ca="1">IFERROR(__xludf.DUMMYFUNCTION("GOOGLETRANSLATE(C9,""ja"",""vi"")"),"Đấu giá&gt; máy tính&gt; máy tính cá nhân&gt; Mac&gt; iPad")</f>
        <v>Đấu giá&gt; máy tính&gt; máy tính cá nhân&gt; Mac&gt; iPad</v>
      </c>
      <c r="F8" t="str">
        <f t="shared" ca="1" si="0"/>
        <v>"2084257082" : "iPad",</v>
      </c>
    </row>
    <row r="9" spans="1:6" ht="14.4">
      <c r="A9" s="12">
        <v>2084041730</v>
      </c>
      <c r="B9" s="12" t="s">
        <v>1607</v>
      </c>
      <c r="C9" s="12" t="s">
        <v>1609</v>
      </c>
      <c r="D9" s="5" t="str">
        <f ca="1">IFERROR(__xludf.DUMMYFUNCTION("GOOGLETRANSLATE(B10,""ja"",""vi"")"),"phần mềm")</f>
        <v>phần mềm</v>
      </c>
      <c r="E9" s="4" t="str">
        <f ca="1">IFERROR(__xludf.DUMMYFUNCTION("GOOGLETRANSLATE(C10,""ja"",""vi"")"),"Đấu giá&gt; máy tính&gt; máy tính cá nhân&gt; Mac&gt; Phần mềm")</f>
        <v>Đấu giá&gt; máy tính&gt; máy tính cá nhân&gt; Mac&gt; Phần mềm</v>
      </c>
      <c r="F9" t="str">
        <f t="shared" ca="1" si="0"/>
        <v>"2084041730" : "phần mềm",</v>
      </c>
    </row>
    <row r="10" spans="1:6" ht="14.4">
      <c r="A10" s="12">
        <v>2084041637</v>
      </c>
      <c r="B10" s="12" t="s">
        <v>1612</v>
      </c>
      <c r="C10" s="12" t="s">
        <v>1614</v>
      </c>
      <c r="D10" s="5" t="str">
        <f ca="1">IFERROR(__xludf.DUMMYFUNCTION("GOOGLETRANSLATE(B11,""ja"",""vi"")"),"bộ phận")</f>
        <v>bộ phận</v>
      </c>
      <c r="E10" s="4" t="str">
        <f ca="1">IFERROR(__xludf.DUMMYFUNCTION("GOOGLETRANSLATE(C11,""ja"",""vi"")"),"Đấu giá&gt; máy tính&gt; máy tính cá nhân&gt; Mac&gt; Linh kiện")</f>
        <v>Đấu giá&gt; máy tính&gt; máy tính cá nhân&gt; Mac&gt; Linh kiện</v>
      </c>
      <c r="F10" t="str">
        <f t="shared" ca="1" si="0"/>
        <v>"2084041637" : "bộ phận",</v>
      </c>
    </row>
    <row r="11" spans="1:6" ht="14.4">
      <c r="A11" s="12">
        <v>2084008026</v>
      </c>
      <c r="B11" s="12" t="s">
        <v>1586</v>
      </c>
      <c r="C11" s="12" t="s">
        <v>1621</v>
      </c>
      <c r="D11" s="5" t="str">
        <f ca="1">IFERROR(__xludf.DUMMYFUNCTION("GOOGLETRANSLATE(B12,""ja"",""vi"")"),"tạp chí")</f>
        <v>tạp chí</v>
      </c>
      <c r="E11" s="4" t="str">
        <f ca="1">IFERROR(__xludf.DUMMYFUNCTION("GOOGLETRANSLATE(C12,""ja"",""vi"")"),"Đấu giá&gt; máy tính&gt; máy tính cá nhân&gt; Mac&gt; tạp chí")</f>
        <v>Đấu giá&gt; máy tính&gt; máy tính cá nhân&gt; Mac&gt; tạp chí</v>
      </c>
      <c r="F11" t="str">
        <f t="shared" ca="1" si="0"/>
        <v>"2084008026" : "tạp chí",</v>
      </c>
    </row>
    <row r="12" spans="1:6" ht="14.4">
      <c r="A12" s="12">
        <v>2084041642</v>
      </c>
      <c r="B12" s="12" t="s">
        <v>1625</v>
      </c>
      <c r="C12" s="12" t="s">
        <v>1627</v>
      </c>
      <c r="D12" s="5" t="str">
        <f ca="1">IFERROR(__xludf.DUMMYFUNCTION("GOOGLETRANSLATE(B13,""ja"",""vi"")"),"chu vi")</f>
        <v>chu vi</v>
      </c>
      <c r="E12" s="4" t="str">
        <f ca="1">IFERROR(__xludf.DUMMYFUNCTION("GOOGLETRANSLATE(C13,""ja"",""vi"")"),"Đấu giá&gt; máy tính&gt; máy tính cá nhân&gt; Mac&gt; Thiết bị ngoại vi")</f>
        <v>Đấu giá&gt; máy tính&gt; máy tính cá nhân&gt; Mac&gt; Thiết bị ngoại vi</v>
      </c>
      <c r="F12" t="str">
        <f t="shared" ca="1" si="0"/>
        <v>"2084041642" : "chu vi",</v>
      </c>
    </row>
    <row r="13" spans="1:6" ht="14.4">
      <c r="A13" s="12">
        <v>2084008801</v>
      </c>
      <c r="B13" s="12" t="s">
        <v>1632</v>
      </c>
      <c r="C13" s="12" t="s">
        <v>1634</v>
      </c>
      <c r="D13" s="5" t="str">
        <f ca="1">IFERROR(__xludf.DUMMYFUNCTION("GOOGLETRANSLATE(B14,""ja"",""vi"")"),"điều này")</f>
        <v>điều này</v>
      </c>
      <c r="E13" s="4" t="str">
        <f ca="1">IFERROR(__xludf.DUMMYFUNCTION("GOOGLETRANSLATE(C14,""ja"",""vi"")"),"Đấu giá&gt; máy tính&gt; máy tính cá nhân&gt; Mac&gt; Sách")</f>
        <v>Đấu giá&gt; máy tính&gt; máy tính cá nhân&gt; Mac&gt; Sách</v>
      </c>
      <c r="F13" t="str">
        <f t="shared" ca="1" si="0"/>
        <v>"2084008801" : "điều này",</v>
      </c>
    </row>
    <row r="14" spans="1:6" ht="14.4">
      <c r="A14" s="12">
        <v>2084045751</v>
      </c>
      <c r="B14" s="12" t="s">
        <v>1559</v>
      </c>
      <c r="C14" s="12" t="s">
        <v>1641</v>
      </c>
      <c r="D14" s="5" t="str">
        <f ca="1">IFERROR(__xludf.DUMMYFUNCTION("GOOGLETRANSLATE(B15,""ja"",""vi"")"),"Desktop")</f>
        <v>Desktop</v>
      </c>
      <c r="E14" s="4" t="str">
        <f ca="1">IFERROR(__xludf.DUMMYFUNCTION("GOOGLETRANSLATE(C15,""ja"",""vi"")"),"Đấu giá&gt; máy tính&gt; máy tính cá nhân&gt; PC-98&gt; Desktop")</f>
        <v>Đấu giá&gt; máy tính&gt; máy tính cá nhân&gt; PC-98&gt; Desktop</v>
      </c>
      <c r="F14" t="str">
        <f t="shared" ca="1" si="0"/>
        <v>"2084045751" : "Desktop",</v>
      </c>
    </row>
    <row r="15" spans="1:6" ht="14.4">
      <c r="A15" s="12">
        <v>2084045752</v>
      </c>
      <c r="B15" s="12" t="s">
        <v>1648</v>
      </c>
      <c r="C15" s="12" t="s">
        <v>1649</v>
      </c>
      <c r="D15" s="5" t="str">
        <f ca="1">IFERROR(__xludf.DUMMYFUNCTION("GOOGLETRANSLATE(B16,""ja"",""vi"")"),"Máy tính xách tay")</f>
        <v>Máy tính xách tay</v>
      </c>
      <c r="E15" s="4" t="str">
        <f ca="1">IFERROR(__xludf.DUMMYFUNCTION("GOOGLETRANSLATE(C16,""ja"",""vi"")"),"Đấu giá&gt; máy tính&gt; máy tính cá nhân&gt; PC-98&gt; máy tính xách tay")</f>
        <v>Đấu giá&gt; máy tính&gt; máy tính cá nhân&gt; PC-98&gt; máy tính xách tay</v>
      </c>
      <c r="F15" t="str">
        <f t="shared" ca="1" si="0"/>
        <v>"2084045752" : "Máy tính xách tay",</v>
      </c>
    </row>
    <row r="16" spans="1:6" ht="14.4">
      <c r="A16" s="12">
        <v>2084045753</v>
      </c>
      <c r="B16" s="12" t="s">
        <v>46</v>
      </c>
      <c r="C16" s="12" t="s">
        <v>1653</v>
      </c>
      <c r="D16" s="5" t="str">
        <f ca="1">IFERROR(__xludf.DUMMYFUNCTION("GOOGLETRANSLATE(B17,""ja"",""vi"")"),"nếu không thì")</f>
        <v>nếu không thì</v>
      </c>
      <c r="E16" s="4" t="str">
        <f ca="1">IFERROR(__xludf.DUMMYFUNCTION("GOOGLETRANSLATE(C17,""ja"",""vi"")"),"Đấu giá&gt; máy tính&gt; máy tính cá nhân&gt; PC-98&gt; Khác")</f>
        <v>Đấu giá&gt; máy tính&gt; máy tính cá nhân&gt; PC-98&gt; Khác</v>
      </c>
      <c r="F16" t="str">
        <f t="shared" ca="1" si="0"/>
        <v>"2084045753" : "nếu không thì",</v>
      </c>
    </row>
    <row r="17" spans="1:6" ht="14.4">
      <c r="A17" s="12">
        <v>2084259337</v>
      </c>
      <c r="B17" s="12" t="s">
        <v>1658</v>
      </c>
      <c r="C17" s="12" t="s">
        <v>1659</v>
      </c>
      <c r="D17" s="5" t="str">
        <f ca="1">IFERROR(__xludf.DUMMYFUNCTION("GOOGLETRANSLATE(B18,""ja"",""vi"")"),"cơ thể iPad")</f>
        <v>cơ thể iPad</v>
      </c>
      <c r="E17" s="4" t="str">
        <f ca="1">IFERROR(__xludf.DUMMYFUNCTION("GOOGLETRANSLATE(C18,""ja"",""vi"")"),"Đấu giá&gt; máy tính&gt; máy tính bảng&gt; Apple&gt; iPad cơ thể")</f>
        <v>Đấu giá&gt; máy tính&gt; máy tính bảng&gt; Apple&gt; iPad cơ thể</v>
      </c>
      <c r="F17" t="str">
        <f t="shared" ca="1" si="0"/>
        <v>"2084259337" : "cơ thể iPad",</v>
      </c>
    </row>
    <row r="18" spans="1:6" ht="21.6">
      <c r="A18" s="12">
        <v>2084259338</v>
      </c>
      <c r="B18" s="12" t="s">
        <v>1664</v>
      </c>
      <c r="C18" s="12" t="s">
        <v>1665</v>
      </c>
      <c r="D18" s="5" t="str">
        <f ca="1">IFERROR(__xludf.DUMMYFUNCTION("GOOGLETRANSLATE(B19,""ja"",""vi"")"),"iPad Phụ kiện")</f>
        <v>iPad Phụ kiện</v>
      </c>
      <c r="E18" s="4" t="str">
        <f ca="1">IFERROR(__xludf.DUMMYFUNCTION("GOOGLETRANSLATE(C19,""ja"",""vi"")"),"Đấu giá&gt; máy tính&gt; máy tính bảng&gt; Apple&gt; Phụ kiện cho iPad")</f>
        <v>Đấu giá&gt; máy tính&gt; máy tính bảng&gt; Apple&gt; Phụ kiện cho iPad</v>
      </c>
      <c r="F18" t="str">
        <f t="shared" ca="1" si="0"/>
        <v>"2084259338" : "iPad Phụ kiện",</v>
      </c>
    </row>
    <row r="19" spans="1:6" ht="14.4">
      <c r="A19" s="12">
        <v>2084229146</v>
      </c>
      <c r="B19" s="12" t="s">
        <v>1671</v>
      </c>
      <c r="C19" s="12" t="s">
        <v>1672</v>
      </c>
      <c r="D19" s="5" t="str">
        <f ca="1">IFERROR(__xludf.DUMMYFUNCTION("GOOGLETRANSLATE(B20,""ja"",""vi"")"),"iPod touch")</f>
        <v>iPod touch</v>
      </c>
      <c r="E19" s="4" t="str">
        <f ca="1">IFERROR(__xludf.DUMMYFUNCTION("GOOGLETRANSLATE(C20,""ja"",""vi"")"),"Đấu giá&gt; máy tính&gt; máy tính bảng&gt; Apple&gt; iPod touch")</f>
        <v>Đấu giá&gt; máy tính&gt; máy tính bảng&gt; Apple&gt; iPod touch</v>
      </c>
      <c r="F19" t="str">
        <f t="shared" ca="1" si="0"/>
        <v>"2084229146" : "iPod touch",</v>
      </c>
    </row>
    <row r="20" spans="1:6" ht="15.75" customHeight="1">
      <c r="A20" s="12">
        <v>2084309439</v>
      </c>
      <c r="B20" s="12" t="s">
        <v>1678</v>
      </c>
      <c r="C20" s="12" t="s">
        <v>1680</v>
      </c>
      <c r="D20" s="5" t="str">
        <f ca="1">IFERROR(__xludf.DUMMYFUNCTION("GOOGLETRANSLATE(B21,""ja"",""vi"")"),"Một cơ thể")</f>
        <v>Một cơ thể</v>
      </c>
      <c r="E20" s="4" t="str">
        <f ca="1">IFERROR(__xludf.DUMMYFUNCTION("GOOGLETRANSLATE(C21,""ja"",""vi"")"),"Đấu giá&gt; máy tính&gt; máy tính bảng&gt; Android&gt; cơ thể")</f>
        <v>Đấu giá&gt; máy tính&gt; máy tính bảng&gt; Android&gt; cơ thể</v>
      </c>
      <c r="F20" t="str">
        <f t="shared" ca="1" si="0"/>
        <v>"2084309439" : "Một cơ thể",</v>
      </c>
    </row>
    <row r="21" spans="1:6" ht="15.75" customHeight="1">
      <c r="A21" s="12">
        <v>2084309440</v>
      </c>
      <c r="B21" s="12" t="s">
        <v>1685</v>
      </c>
      <c r="C21" s="12" t="s">
        <v>1688</v>
      </c>
      <c r="D21" s="5" t="str">
        <f ca="1">IFERROR(__xludf.DUMMYFUNCTION("GOOGLETRANSLATE(B22,""ja"",""vi"")"),"phụ kiện")</f>
        <v>phụ kiện</v>
      </c>
      <c r="E21" s="4" t="str">
        <f ca="1">IFERROR(__xludf.DUMMYFUNCTION("GOOGLETRANSLATE(C22,""ja"",""vi"")"),"Đấu giá&gt; máy tính&gt; máy tính bảng&gt; Android&gt; Accessories")</f>
        <v>Đấu giá&gt; máy tính&gt; máy tính bảng&gt; Android&gt; Accessories</v>
      </c>
      <c r="F21" t="str">
        <f t="shared" ca="1" si="0"/>
        <v>"2084309440" : "phụ kiện",</v>
      </c>
    </row>
    <row r="22" spans="1:6" ht="15.75" customHeight="1">
      <c r="A22" s="12">
        <v>2084252814</v>
      </c>
      <c r="B22" s="12" t="s">
        <v>1693</v>
      </c>
      <c r="C22" s="12" t="s">
        <v>1696</v>
      </c>
      <c r="D22" s="5" t="str">
        <f ca="1">IFERROR(__xludf.DUMMYFUNCTION("GOOGLETRANSLATE(B23,""ja"",""vi"")"),"HTC")</f>
        <v>HTC</v>
      </c>
      <c r="E22" s="4" t="str">
        <f ca="1">IFERROR(__xludf.DUMMYFUNCTION("GOOGLETRANSLATE(C23,""ja"",""vi"")"),"Đấu giá&gt; thiết bị điện tử tiêu dùng, AV, camera&gt; điện thoại di động, điện thoại thông minh&gt; cơ thể điện thoại di động&gt; NTT DoCoMo&gt; HTC")</f>
        <v>Đấu giá&gt; thiết bị điện tử tiêu dùng, AV, camera&gt; điện thoại di động, điện thoại thông minh&gt; cơ thể điện thoại di động&gt; NTT DoCoMo&gt; HTC</v>
      </c>
      <c r="F22" t="str">
        <f t="shared" ca="1" si="0"/>
        <v>"2084252814" : "HTC",</v>
      </c>
    </row>
    <row r="23" spans="1:6" ht="15.75" customHeight="1">
      <c r="A23" s="12">
        <v>2084282453</v>
      </c>
      <c r="B23" s="12" t="s">
        <v>1700</v>
      </c>
      <c r="C23" s="12" t="s">
        <v>1701</v>
      </c>
      <c r="D23" s="5" t="str">
        <f ca="1">IFERROR(__xludf.DUMMYFUNCTION("GOOGLETRANSLATE(B24,""ja"",""vi"")"),"LG Electronics")</f>
        <v>LG Electronics</v>
      </c>
      <c r="E23" s="4" t="str">
        <f ca="1">IFERROR(__xludf.DUMMYFUNCTION("GOOGLETRANSLATE(C24,""ja"",""vi"")"),"Đấu giá&gt; thiết bị điện tử tiêu dùng, AV, camera&gt; điện thoại di động, điện thoại thông minh&gt; cơ thể điện thoại di động&gt; NTT DoCoMo&gt; LG Electronics")</f>
        <v>Đấu giá&gt; thiết bị điện tử tiêu dùng, AV, camera&gt; điện thoại di động, điện thoại thông minh&gt; cơ thể điện thoại di động&gt; NTT DoCoMo&gt; LG Electronics</v>
      </c>
      <c r="F23" t="str">
        <f t="shared" ca="1" si="0"/>
        <v>"2084282453" : "LG Electronics",</v>
      </c>
    </row>
    <row r="24" spans="1:6" ht="15.75" customHeight="1">
      <c r="A24" s="12">
        <v>2084008400</v>
      </c>
      <c r="B24" s="12" t="s">
        <v>1707</v>
      </c>
      <c r="C24" s="12" t="s">
        <v>1708</v>
      </c>
      <c r="D24" s="5" t="str">
        <f ca="1">IFERROR(__xludf.DUMMYFUNCTION("GOOGLETRANSLATE(B25,""ja"",""vi"")"),"NEC")</f>
        <v>NEC</v>
      </c>
      <c r="E24" s="4" t="str">
        <f ca="1">IFERROR(__xludf.DUMMYFUNCTION("GOOGLETRANSLATE(C25,""ja"",""vi"")"),"Đấu giá&gt; thiết bị điện tử tiêu dùng, AV, camera&gt; điện thoại di động, điện thoại thông minh&gt; cơ thể điện thoại di động&gt; NTT DoCoMo&gt; NEC")</f>
        <v>Đấu giá&gt; thiết bị điện tử tiêu dùng, AV, camera&gt; điện thoại di động, điện thoại thông minh&gt; cơ thể điện thoại di động&gt; NTT DoCoMo&gt; NEC</v>
      </c>
      <c r="F24" t="str">
        <f t="shared" ca="1" si="0"/>
        <v>"2084008400" : "NEC",</v>
      </c>
    </row>
    <row r="25" spans="1:6" ht="15.75" customHeight="1">
      <c r="A25" s="12">
        <v>2084008406</v>
      </c>
      <c r="B25" s="12" t="s">
        <v>1716</v>
      </c>
      <c r="C25" s="12" t="s">
        <v>1718</v>
      </c>
      <c r="D25" s="5" t="str">
        <f ca="1">IFERROR(__xludf.DUMMYFUNCTION("GOOGLETRANSLATE(B26,""ja"",""vi"")"),"Ericsson")</f>
        <v>Ericsson</v>
      </c>
      <c r="E25" s="4" t="str">
        <f ca="1">IFERROR(__xludf.DUMMYFUNCTION("GOOGLETRANSLATE(C26,""ja"",""vi"")"),"Đấu giá&gt; thiết bị điện tử tiêu dùng, AV, camera&gt; điện thoại di động, điện thoại thông minh&gt; cơ thể điện thoại di động&gt; NTT DoCoMo&gt; Ericsson")</f>
        <v>Đấu giá&gt; thiết bị điện tử tiêu dùng, AV, camera&gt; điện thoại di động, điện thoại thông minh&gt; cơ thể điện thoại di động&gt; NTT DoCoMo&gt; Ericsson</v>
      </c>
      <c r="F25" t="str">
        <f t="shared" ca="1" si="0"/>
        <v>"2084008406" : "Ericsson",</v>
      </c>
    </row>
    <row r="26" spans="1:6" ht="15.75" customHeight="1">
      <c r="A26" s="12">
        <v>2084288674</v>
      </c>
      <c r="B26" s="12" t="s">
        <v>1724</v>
      </c>
      <c r="C26" s="12" t="s">
        <v>1725</v>
      </c>
      <c r="D26" s="5" t="str">
        <f ca="1">IFERROR(__xludf.DUMMYFUNCTION("GOOGLETRANSLATE(B27,""ja"",""vi"")"),"Samsung")</f>
        <v>Samsung</v>
      </c>
      <c r="E26" s="4" t="str">
        <f ca="1">IFERROR(__xludf.DUMMYFUNCTION("GOOGLETRANSLATE(C27,""ja"",""vi"")"),"Đấu giá&gt; thiết bị điện tử tiêu dùng, AV, camera&gt; điện thoại di động, điện thoại thông minh&gt; cơ thể điện thoại di động&gt; NTT DoCoMo&gt; Samsung")</f>
        <v>Đấu giá&gt; thiết bị điện tử tiêu dùng, AV, camera&gt; điện thoại di động, điện thoại thông minh&gt; cơ thể điện thoại di động&gt; NTT DoCoMo&gt; Samsung</v>
      </c>
      <c r="F26" t="str">
        <f t="shared" ca="1" si="0"/>
        <v>"2084288674" : "Samsung",</v>
      </c>
    </row>
    <row r="27" spans="1:6" ht="15.75" customHeight="1">
      <c r="A27" s="12">
        <v>2084051918</v>
      </c>
      <c r="B27" s="12" t="s">
        <v>1731</v>
      </c>
      <c r="C27" s="12" t="s">
        <v>1732</v>
      </c>
      <c r="D27" s="5" t="str">
        <f ca="1">IFERROR(__xludf.DUMMYFUNCTION("GOOGLETRANSLATE(B28,""ja"",""vi"")"),"nhọn")</f>
        <v>nhọn</v>
      </c>
      <c r="E27" s="4" t="str">
        <f ca="1">IFERROR(__xludf.DUMMYFUNCTION("GOOGLETRANSLATE(C28,""ja"",""vi"")"),"Đấu giá&gt; thiết bị điện tử tiêu dùng, AV, camera&gt; điện thoại di động, điện thoại thông minh&gt; cơ thể điện thoại di động&gt; NTT DoCoMo&gt; sắc nét")</f>
        <v>Đấu giá&gt; thiết bị điện tử tiêu dùng, AV, camera&gt; điện thoại di động, điện thoại thông minh&gt; cơ thể điện thoại di động&gt; NTT DoCoMo&gt; sắc nét</v>
      </c>
      <c r="F27" t="str">
        <f t="shared" ca="1" si="0"/>
        <v>"2084051918" : "nhọn",</v>
      </c>
    </row>
    <row r="28" spans="1:6" ht="15.75" customHeight="1">
      <c r="A28" s="12">
        <v>2084008401</v>
      </c>
      <c r="B28" s="12" t="s">
        <v>1738</v>
      </c>
      <c r="C28" s="12" t="s">
        <v>1739</v>
      </c>
      <c r="D28" s="5" t="str">
        <f ca="1">IFERROR(__xludf.DUMMYFUNCTION("GOOGLETRANSLATE(B29,""ja"",""vi"")"),"Sony")</f>
        <v>Sony</v>
      </c>
      <c r="E28" s="4" t="str">
        <f ca="1">IFERROR(__xludf.DUMMYFUNCTION("GOOGLETRANSLATE(C29,""ja"",""vi"")"),"Đấu giá&gt; thiết bị điện tử tiêu dùng, AV, camera&gt; điện thoại di động, điện thoại thông minh&gt; cơ thể điện thoại di động&gt; NTT DoCoMo&gt; Sony")</f>
        <v>Đấu giá&gt; thiết bị điện tử tiêu dùng, AV, camera&gt; điện thoại di động, điện thoại thông minh&gt; cơ thể điện thoại di động&gt; NTT DoCoMo&gt; Sony</v>
      </c>
      <c r="F28" t="str">
        <f t="shared" ca="1" si="0"/>
        <v>"2084008401" : "Sony",</v>
      </c>
    </row>
    <row r="29" spans="1:6" ht="15.75" customHeight="1">
      <c r="A29" s="12">
        <v>2084051922</v>
      </c>
      <c r="B29" s="12" t="s">
        <v>1741</v>
      </c>
      <c r="C29" s="12" t="s">
        <v>1743</v>
      </c>
      <c r="D29" s="5" t="str">
        <f ca="1">IFERROR(__xludf.DUMMYFUNCTION("GOOGLETRANSLATE(B30,""ja"",""vi"")"),"Sony Ericsson")</f>
        <v>Sony Ericsson</v>
      </c>
      <c r="E29" s="4" t="str">
        <f ca="1">IFERROR(__xludf.DUMMYFUNCTION("GOOGLETRANSLATE(C30,""ja"",""vi"")"),"Đấu giá&gt; thiết bị điện tử tiêu dùng, AV, camera&gt; điện thoại di động, điện thoại thông minh&gt; cơ thể điện thoại di động&gt; NTT DoCoMo&gt; Sony Ericsson")</f>
        <v>Đấu giá&gt; thiết bị điện tử tiêu dùng, AV, camera&gt; điện thoại di động, điện thoại thông minh&gt; cơ thể điện thoại di động&gt; NTT DoCoMo&gt; Sony Ericsson</v>
      </c>
      <c r="F29" t="str">
        <f t="shared" ca="1" si="0"/>
        <v>"2084051922" : "Sony Ericsson",</v>
      </c>
    </row>
    <row r="30" spans="1:6" ht="15.75" customHeight="1">
      <c r="A30" s="12">
        <v>2084051919</v>
      </c>
      <c r="B30" s="12" t="s">
        <v>1747</v>
      </c>
      <c r="C30" s="12" t="s">
        <v>1748</v>
      </c>
      <c r="D30" s="5" t="str">
        <f ca="1">IFERROR(__xludf.DUMMYFUNCTION("GOOGLETRANSLATE(B31,""ja"",""vi"")"),"Nokia")</f>
        <v>Nokia</v>
      </c>
      <c r="E30" s="4" t="str">
        <f ca="1">IFERROR(__xludf.DUMMYFUNCTION("GOOGLETRANSLATE(C31,""ja"",""vi"")"),"Đấu giá&gt; thiết bị điện tử tiêu dùng, AV, camera&gt; điện thoại di động, điện thoại thông minh&gt; cơ thể điện thoại di động&gt; NTT DoCoMo&gt; Nokia")</f>
        <v>Đấu giá&gt; thiết bị điện tử tiêu dùng, AV, camera&gt; điện thoại di động, điện thoại thông minh&gt; cơ thể điện thoại di động&gt; NTT DoCoMo&gt; Nokia</v>
      </c>
      <c r="F30" t="str">
        <f t="shared" ca="1" si="0"/>
        <v>"2084051919" : "Nokia",</v>
      </c>
    </row>
    <row r="31" spans="1:6" ht="15.75" customHeight="1">
      <c r="A31" s="12">
        <v>2084008404</v>
      </c>
      <c r="B31" s="12" t="s">
        <v>1755</v>
      </c>
      <c r="C31" s="12" t="s">
        <v>1757</v>
      </c>
      <c r="D31" s="5" t="str">
        <f ca="1">IFERROR(__xludf.DUMMYFUNCTION("GOOGLETRANSLATE(B32,""ja"",""vi"")"),"Panasonic, Matsushita truyền thông công nghiệp")</f>
        <v>Panasonic, Matsushita truyền thông công nghiệp</v>
      </c>
      <c r="E31" s="4" t="str">
        <f ca="1">IFERROR(__xludf.DUMMYFUNCTION("GOOGLETRANSLATE(C32,""ja"",""vi"")"),"Đấu giá&gt; thiết bị điện tử tiêu dùng, AV, camera&gt; điện thoại di động, điện thoại thông minh&gt; cơ thể điện thoại di động&gt; NTT DoCoMo&gt; Panasonic, Matsushita truyền thông công nghiệp")</f>
        <v>Đấu giá&gt; thiết bị điện tử tiêu dùng, AV, camera&gt; điện thoại di động, điện thoại thông minh&gt; cơ thể điện thoại di động&gt; NTT DoCoMo&gt; Panasonic, Matsushita truyền thông công nghiệp</v>
      </c>
      <c r="F31" t="str">
        <f t="shared" ca="1" si="0"/>
        <v>"2084008404" : "Panasonic, Matsushita truyền thông công nghiệp",</v>
      </c>
    </row>
    <row r="32" spans="1:6" ht="15.75" customHeight="1">
      <c r="A32" s="12">
        <v>2084223945</v>
      </c>
      <c r="B32" s="12" t="s">
        <v>1763</v>
      </c>
      <c r="C32" s="12" t="s">
        <v>1765</v>
      </c>
      <c r="D32" s="5" t="str">
        <f ca="1">IFERROR(__xludf.DUMMYFUNCTION("GOOGLETRANSLATE(B33,""ja"",""vi"")"),"Motorola")</f>
        <v>Motorola</v>
      </c>
      <c r="E32" s="4" t="str">
        <f ca="1">IFERROR(__xludf.DUMMYFUNCTION("GOOGLETRANSLATE(C33,""ja"",""vi"")"),"Đấu giá&gt; thiết bị điện tử tiêu dùng, AV, camera&gt; điện thoại di động, điện thoại thông minh&gt; cơ thể điện thoại di động&gt; NTT DoCoMo&gt; Motorola")</f>
        <v>Đấu giá&gt; thiết bị điện tử tiêu dùng, AV, camera&gt; điện thoại di động, điện thoại thông minh&gt; cơ thể điện thoại di động&gt; NTT DoCoMo&gt; Motorola</v>
      </c>
      <c r="F32" t="str">
        <f t="shared" ca="1" si="0"/>
        <v>"2084223945" : "Motorola",</v>
      </c>
    </row>
    <row r="33" spans="1:6" ht="15.75" customHeight="1">
      <c r="A33" s="12">
        <v>2084008403</v>
      </c>
      <c r="B33" s="12" t="s">
        <v>1770</v>
      </c>
      <c r="C33" s="12" t="s">
        <v>1773</v>
      </c>
      <c r="D33" s="5" t="str">
        <f ca="1">IFERROR(__xludf.DUMMYFUNCTION("GOOGLETRANSLATE(B34,""ja"",""vi"")"),"Mitsubishi Electric")</f>
        <v>Mitsubishi Electric</v>
      </c>
      <c r="E33" s="4" t="str">
        <f ca="1">IFERROR(__xludf.DUMMYFUNCTION("GOOGLETRANSLATE(C34,""ja"",""vi"")"),"Đấu giá&gt; thiết bị điện tử tiêu dùng, AV, camera&gt; điện thoại di động, điện thoại thông minh&gt; cơ thể điện thoại di động&gt; NTT DoCoMo&gt; Mitsubishi Electric")</f>
        <v>Đấu giá&gt; thiết bị điện tử tiêu dùng, AV, camera&gt; điện thoại di động, điện thoại thông minh&gt; cơ thể điện thoại di động&gt; NTT DoCoMo&gt; Mitsubishi Electric</v>
      </c>
      <c r="F33" t="str">
        <f t="shared" ca="1" si="0"/>
        <v>"2084008403" : "Mitsubishi Electric",</v>
      </c>
    </row>
    <row r="34" spans="1:6" ht="15.75" customHeight="1">
      <c r="A34" s="12">
        <v>2084298974</v>
      </c>
      <c r="B34" s="12" t="s">
        <v>1779</v>
      </c>
      <c r="C34" s="12" t="s">
        <v>1780</v>
      </c>
      <c r="D34" s="5" t="str">
        <f ca="1">IFERROR(__xludf.DUMMYFUNCTION("GOOGLETRANSLATE(B35,""ja"",""vi"")"),"Toshiba")</f>
        <v>Toshiba</v>
      </c>
      <c r="E34" s="4" t="str">
        <f ca="1">IFERROR(__xludf.DUMMYFUNCTION("GOOGLETRANSLATE(C35,""ja"",""vi"")"),"Đấu giá&gt; thiết bị điện tử tiêu dùng, AV, camera&gt; điện thoại di động, điện thoại thông minh&gt; cơ thể điện thoại di động&gt; NTT DoCoMo&gt; Toshiba")</f>
        <v>Đấu giá&gt; thiết bị điện tử tiêu dùng, AV, camera&gt; điện thoại di động, điện thoại thông minh&gt; cơ thể điện thoại di động&gt; NTT DoCoMo&gt; Toshiba</v>
      </c>
      <c r="F34" t="str">
        <f t="shared" ca="1" si="0"/>
        <v>"2084298974" : "Toshiba",</v>
      </c>
    </row>
    <row r="35" spans="1:6" ht="15.75" customHeight="1">
      <c r="A35" s="12">
        <v>2084008402</v>
      </c>
      <c r="B35" s="12" t="s">
        <v>1786</v>
      </c>
      <c r="C35" s="12" t="s">
        <v>1788</v>
      </c>
      <c r="D35" s="5" t="str">
        <f ca="1">IFERROR(__xludf.DUMMYFUNCTION("GOOGLETRANSLATE(B36,""ja"",""vi"")"),"Fujitsu")</f>
        <v>Fujitsu</v>
      </c>
      <c r="E35" s="4" t="str">
        <f ca="1">IFERROR(__xludf.DUMMYFUNCTION("GOOGLETRANSLATE(C36,""ja"",""vi"")"),"Đấu giá&gt; thiết bị điện tử tiêu dùng, AV, camera&gt; điện thoại di động, điện thoại thông minh&gt; cơ thể điện thoại di động&gt; NTT DoCoMo&gt; Fujitsu")</f>
        <v>Đấu giá&gt; thiết bị điện tử tiêu dùng, AV, camera&gt; điện thoại di động, điện thoại thông minh&gt; cơ thể điện thoại di động&gt; NTT DoCoMo&gt; Fujitsu</v>
      </c>
      <c r="F35" t="str">
        <f t="shared" ca="1" si="0"/>
        <v>"2084008402" : "Fujitsu",</v>
      </c>
    </row>
    <row r="36" spans="1:6" ht="15.75" customHeight="1">
      <c r="A36" s="12">
        <v>2084051923</v>
      </c>
      <c r="B36" s="12" t="s">
        <v>1794</v>
      </c>
      <c r="C36" s="12" t="s">
        <v>1795</v>
      </c>
      <c r="D36" s="5" t="str">
        <f ca="1">IFERROR(__xludf.DUMMYFUNCTION("GOOGLETRANSLATE(B37,""ja"",""vi"")"),"Áo khoác cho tùy chỉnh")</f>
        <v>Áo khoác cho tùy chỉnh</v>
      </c>
      <c r="E36" s="4" t="str">
        <f ca="1">IFERROR(__xludf.DUMMYFUNCTION("GOOGLETRANSLATE(C37,""ja"",""vi"")"),"Đấu giá&gt; thiết bị điện tử tiêu dùng, AV, camera&gt; điện thoại di động, điện thoại thông minh&gt; cơ thể điện thoại di động&gt; NTT DoCoMo&gt; Áo khoác tùy chỉnh")</f>
        <v>Đấu giá&gt; thiết bị điện tử tiêu dùng, AV, camera&gt; điện thoại di động, điện thoại thông minh&gt; cơ thể điện thoại di động&gt; NTT DoCoMo&gt; Áo khoác tùy chỉnh</v>
      </c>
      <c r="F36" t="str">
        <f t="shared" ca="1" si="0"/>
        <v>"2084051923" : "Áo khoác cho tùy chỉnh",</v>
      </c>
    </row>
    <row r="37" spans="1:6" ht="15.75" customHeight="1">
      <c r="A37" s="12">
        <v>2084005063</v>
      </c>
      <c r="B37" s="12" t="s">
        <v>1797</v>
      </c>
      <c r="C37" s="12" t="s">
        <v>1799</v>
      </c>
      <c r="D37" s="5" t="str">
        <f ca="1">IFERROR(__xludf.DUMMYFUNCTION("GOOGLETRANSLATE(B38,""ja"",""vi"")"),"Pin, sạc")</f>
        <v>Pin, sạc</v>
      </c>
      <c r="E37" s="4" t="str">
        <f ca="1">IFERROR(__xludf.DUMMYFUNCTION("GOOGLETRANSLATE(C38,""ja"",""vi"")"),"Đấu giá&gt; thiết bị điện tử tiêu dùng, AV, camera&gt; điện thoại di động, điện thoại thông minh&gt; cơ thể điện thoại di động&gt; NTT DoCoMo&gt; pin, sạc")</f>
        <v>Đấu giá&gt; thiết bị điện tử tiêu dùng, AV, camera&gt; điện thoại di động, điện thoại thông minh&gt; cơ thể điện thoại di động&gt; NTT DoCoMo&gt; pin, sạc</v>
      </c>
      <c r="F37" t="str">
        <f t="shared" ca="1" si="0"/>
        <v>"2084005063" : "Pin, sạc",</v>
      </c>
    </row>
    <row r="38" spans="1:6" ht="15.75" customHeight="1">
      <c r="A38" s="12">
        <v>2084008405</v>
      </c>
      <c r="B38" s="12" t="s">
        <v>46</v>
      </c>
      <c r="C38" s="12" t="s">
        <v>1800</v>
      </c>
      <c r="D38" s="5" t="str">
        <f ca="1">IFERROR(__xludf.DUMMYFUNCTION("GOOGLETRANSLATE(B39,""ja"",""vi"")"),"nếu không thì")</f>
        <v>nếu không thì</v>
      </c>
      <c r="E38" s="4" t="str">
        <f ca="1">IFERROR(__xludf.DUMMYFUNCTION("GOOGLETRANSLATE(C39,""ja"",""vi"")"),"Đấu giá&gt; thiết bị điện tử tiêu dùng, AV, camera&gt; điện thoại di động, điện thoại thông minh&gt; cơ thể điện thoại di động&gt; NTT DoCoMo&gt; Khác")</f>
        <v>Đấu giá&gt; thiết bị điện tử tiêu dùng, AV, camera&gt; điện thoại di động, điện thoại thông minh&gt; cơ thể điện thoại di động&gt; NTT DoCoMo&gt; Khác</v>
      </c>
      <c r="F38" t="str">
        <f t="shared" ca="1" si="0"/>
        <v>"2084008405" : "nếu không thì",</v>
      </c>
    </row>
    <row r="39" spans="1:6" ht="15.75" customHeight="1">
      <c r="A39" s="12">
        <v>2084298979</v>
      </c>
      <c r="B39" s="12" t="s">
        <v>1693</v>
      </c>
      <c r="C39" s="12" t="s">
        <v>1803</v>
      </c>
      <c r="D39" s="5" t="str">
        <f ca="1">IFERROR(__xludf.DUMMYFUNCTION("GOOGLETRANSLATE(B40,""ja"",""vi"")"),"HTC")</f>
        <v>HTC</v>
      </c>
      <c r="E39" s="4" t="str">
        <f ca="1">IFERROR(__xludf.DUMMYFUNCTION("GOOGLETRANSLATE(C40,""ja"",""vi"")"),"Đấu giá&gt; thiết bị điện tử tiêu dùng, AV, camera&gt; điện thoại di động, điện thoại thông minh&gt; cơ thể điện thoại di động&gt; au&gt; HTC")</f>
        <v>Đấu giá&gt; thiết bị điện tử tiêu dùng, AV, camera&gt; điện thoại di động, điện thoại thông minh&gt; cơ thể điện thoại di động&gt; au&gt; HTC</v>
      </c>
      <c r="F39" t="str">
        <f t="shared" ca="1" si="0"/>
        <v>"2084298979" : "HTC",</v>
      </c>
    </row>
    <row r="40" spans="1:6" ht="15.75" customHeight="1">
      <c r="A40" s="12">
        <v>2084049864</v>
      </c>
      <c r="B40" s="12" t="s">
        <v>1806</v>
      </c>
      <c r="C40" s="12" t="s">
        <v>1807</v>
      </c>
      <c r="D40" s="5" t="str">
        <f ca="1">IFERROR(__xludf.DUMMYFUNCTION("GOOGLETRANSLATE(B41,""ja"",""vi"")"),"Casio")</f>
        <v>Casio</v>
      </c>
      <c r="E40" s="4" t="str">
        <f ca="1">IFERROR(__xludf.DUMMYFUNCTION("GOOGLETRANSLATE(C41,""ja"",""vi"")"),"Đấu giá&gt; thiết bị điện tử tiêu dùng, AV, camera&gt; điện thoại di động, điện thoại thông minh&gt; cơ thể điện thoại di động&gt; au&gt; Casio")</f>
        <v>Đấu giá&gt; thiết bị điện tử tiêu dùng, AV, camera&gt; điện thoại di động, điện thoại thông minh&gt; cơ thể điện thoại di động&gt; au&gt; Casio</v>
      </c>
      <c r="F40" t="str">
        <f t="shared" ca="1" si="0"/>
        <v>"2084049864" : "Casio",</v>
      </c>
    </row>
    <row r="41" spans="1:6" ht="15.75" customHeight="1">
      <c r="A41" s="12">
        <v>2084221102</v>
      </c>
      <c r="B41" s="12" t="s">
        <v>1731</v>
      </c>
      <c r="C41" s="12" t="s">
        <v>1810</v>
      </c>
      <c r="D41" s="5" t="str">
        <f ca="1">IFERROR(__xludf.DUMMYFUNCTION("GOOGLETRANSLATE(B42,""ja"",""vi"")"),"nhọn")</f>
        <v>nhọn</v>
      </c>
      <c r="E41" s="4" t="str">
        <f ca="1">IFERROR(__xludf.DUMMYFUNCTION("GOOGLETRANSLATE(C42,""ja"",""vi"")"),"Đấu giá&gt; thiết bị điện tử tiêu dùng, AV, camera&gt; điện thoại di động, điện thoại thông minh&gt; cơ thể điện thoại di động&gt; au&gt; sắc nét")</f>
        <v>Đấu giá&gt; thiết bị điện tử tiêu dùng, AV, camera&gt; điện thoại di động, điện thoại thông minh&gt; cơ thể điện thoại di động&gt; au&gt; sắc nét</v>
      </c>
      <c r="F41" t="str">
        <f t="shared" ca="1" si="0"/>
        <v>"2084221102" : "nhọn",</v>
      </c>
    </row>
    <row r="42" spans="1:6" ht="15.75" customHeight="1">
      <c r="A42" s="12">
        <v>2084008408</v>
      </c>
      <c r="B42" s="12" t="s">
        <v>1738</v>
      </c>
      <c r="C42" s="12" t="s">
        <v>1811</v>
      </c>
      <c r="D42" s="5" t="str">
        <f ca="1">IFERROR(__xludf.DUMMYFUNCTION("GOOGLETRANSLATE(B43,""ja"",""vi"")"),"Sony")</f>
        <v>Sony</v>
      </c>
      <c r="E42" s="4" t="str">
        <f ca="1">IFERROR(__xludf.DUMMYFUNCTION("GOOGLETRANSLATE(C43,""ja"",""vi"")"),"Đấu giá&gt; thiết bị điện tử tiêu dùng, AV, camera&gt; điện thoại di động, điện thoại thông minh&gt; cơ thể điện thoại di động&gt; au&gt; Sony")</f>
        <v>Đấu giá&gt; thiết bị điện tử tiêu dùng, AV, camera&gt; điện thoại di động, điện thoại thông minh&gt; cơ thể điện thoại di động&gt; au&gt; Sony</v>
      </c>
      <c r="F42" t="str">
        <f t="shared" ca="1" si="0"/>
        <v>"2084008408" : "Sony",</v>
      </c>
    </row>
    <row r="43" spans="1:6" ht="15.75" customHeight="1">
      <c r="A43" s="12">
        <v>2084051921</v>
      </c>
      <c r="B43" s="12" t="s">
        <v>1741</v>
      </c>
      <c r="C43" s="12" t="s">
        <v>1814</v>
      </c>
      <c r="D43" s="5" t="str">
        <f ca="1">IFERROR(__xludf.DUMMYFUNCTION("GOOGLETRANSLATE(B44,""ja"",""vi"")"),"Sony Ericsson")</f>
        <v>Sony Ericsson</v>
      </c>
      <c r="E43" s="4" t="str">
        <f ca="1">IFERROR(__xludf.DUMMYFUNCTION("GOOGLETRANSLATE(C44,""ja"",""vi"")"),"Đấu giá&gt; thiết bị điện tử tiêu dùng, AV, camera&gt; điện thoại di động, điện thoại thông minh&gt; cơ thể điện thoại di động&gt; au&gt; Sony Ericsson")</f>
        <v>Đấu giá&gt; thiết bị điện tử tiêu dùng, AV, camera&gt; điện thoại di động, điện thoại thông minh&gt; cơ thể điện thoại di động&gt; au&gt; Sony Ericsson</v>
      </c>
      <c r="F43" t="str">
        <f t="shared" ca="1" si="0"/>
        <v>"2084051921" : "Sony Ericsson",</v>
      </c>
    </row>
    <row r="44" spans="1:6" ht="15.75" customHeight="1">
      <c r="A44" s="12">
        <v>2084008409</v>
      </c>
      <c r="B44" s="12" t="s">
        <v>1818</v>
      </c>
      <c r="C44" s="12" t="s">
        <v>1819</v>
      </c>
      <c r="D44" s="5" t="str">
        <f ca="1">IFERROR(__xludf.DUMMYFUNCTION("GOOGLETRANSLATE(B45,""ja"",""vi"")"),"DENSO")</f>
        <v>DENSO</v>
      </c>
      <c r="E44" s="4" t="str">
        <f ca="1">IFERROR(__xludf.DUMMYFUNCTION("GOOGLETRANSLATE(C45,""ja"",""vi"")"),"Đấu giá&gt; thiết bị điện tử tiêu dùng, AV, camera&gt; điện thoại di động, điện thoại thông minh&gt; cơ thể điện thoại di động&gt; au&gt; DENSO")</f>
        <v>Đấu giá&gt; thiết bị điện tử tiêu dùng, AV, camera&gt; điện thoại di động, điện thoại thông minh&gt; cơ thể điện thoại di động&gt; au&gt; DENSO</v>
      </c>
      <c r="F44" t="str">
        <f t="shared" ca="1" si="0"/>
        <v>"2084008409" : "DENSO",</v>
      </c>
    </row>
    <row r="45" spans="1:6" ht="15.75" customHeight="1">
      <c r="A45" s="12">
        <v>2084223950</v>
      </c>
      <c r="B45" s="12" t="s">
        <v>1747</v>
      </c>
      <c r="C45" s="12" t="s">
        <v>1822</v>
      </c>
      <c r="D45" s="5" t="str">
        <f ca="1">IFERROR(__xludf.DUMMYFUNCTION("GOOGLETRANSLATE(B46,""ja"",""vi"")"),"Nokia")</f>
        <v>Nokia</v>
      </c>
      <c r="E45" s="4" t="str">
        <f ca="1">IFERROR(__xludf.DUMMYFUNCTION("GOOGLETRANSLATE(C46,""ja"",""vi"")"),"Đấu giá&gt; thiết bị điện tử tiêu dùng, AV, camera&gt; điện thoại di động, điện thoại thông minh&gt; cơ thể điện thoại di động&gt; au&gt; Nokia")</f>
        <v>Đấu giá&gt; thiết bị điện tử tiêu dùng, AV, camera&gt; điện thoại di động, điện thoại thông minh&gt; cơ thể điện thoại di động&gt; au&gt; Nokia</v>
      </c>
      <c r="F45" t="str">
        <f t="shared" ca="1" si="0"/>
        <v>"2084223950" : "Nokia",</v>
      </c>
    </row>
    <row r="46" spans="1:6" ht="15.75" customHeight="1">
      <c r="A46" s="12">
        <v>2084008412</v>
      </c>
      <c r="B46" s="12" t="s">
        <v>1755</v>
      </c>
      <c r="C46" s="12" t="s">
        <v>1826</v>
      </c>
      <c r="D46" s="5" t="str">
        <f ca="1">IFERROR(__xludf.DUMMYFUNCTION("GOOGLETRANSLATE(B47,""ja"",""vi"")"),"Panasonic, Matsushita truyền thông công nghiệp")</f>
        <v>Panasonic, Matsushita truyền thông công nghiệp</v>
      </c>
      <c r="E46" s="4" t="str">
        <f ca="1">IFERROR(__xludf.DUMMYFUNCTION("GOOGLETRANSLATE(C47,""ja"",""vi"")"),"Đấu giá&gt; thiết bị điện tử tiêu dùng, AV, camera&gt; điện thoại di động, điện thoại thông minh&gt; cơ thể điện thoại di động&gt; au&gt; Panasonic, Matsushita truyền thông công nghiệp")</f>
        <v>Đấu giá&gt; thiết bị điện tử tiêu dùng, AV, camera&gt; điện thoại di động, điện thoại thông minh&gt; cơ thể điện thoại di động&gt; au&gt; Panasonic, Matsushita truyền thông công nghiệp</v>
      </c>
      <c r="F46" t="str">
        <f t="shared" ca="1" si="0"/>
        <v>"2084008412" : "Panasonic, Matsushita truyền thông công nghiệp",</v>
      </c>
    </row>
    <row r="47" spans="1:6" ht="15.75" customHeight="1">
      <c r="A47" s="12">
        <v>2084298984</v>
      </c>
      <c r="B47" s="12" t="s">
        <v>1829</v>
      </c>
      <c r="C47" s="12" t="s">
        <v>1830</v>
      </c>
      <c r="D47" s="5" t="str">
        <f ca="1">IFERROR(__xludf.DUMMYFUNCTION("GOOGLETRANSLATE(B48,""ja"",""vi"")"),"Pantech")</f>
        <v>Pantech</v>
      </c>
      <c r="E47" s="4" t="str">
        <f ca="1">IFERROR(__xludf.DUMMYFUNCTION("GOOGLETRANSLATE(C48,""ja"",""vi"")"),"Đấu giá&gt; thiết bị điện tử tiêu dùng, AV, camera&gt; điện thoại di động, điện thoại thông minh&gt; cơ thể điện thoại di động&gt; au&gt; Pantech")</f>
        <v>Đấu giá&gt; thiết bị điện tử tiêu dùng, AV, camera&gt; điện thoại di động, điện thoại thông minh&gt; cơ thể điện thoại di động&gt; au&gt; Pantech</v>
      </c>
      <c r="F47" t="str">
        <f t="shared" ca="1" si="0"/>
        <v>"2084298984" : "Pantech",</v>
      </c>
    </row>
    <row r="48" spans="1:6" ht="15.75" customHeight="1">
      <c r="A48" s="12">
        <v>2084223948</v>
      </c>
      <c r="B48" s="12" t="s">
        <v>1763</v>
      </c>
      <c r="C48" s="12" t="s">
        <v>1834</v>
      </c>
      <c r="D48" s="5" t="str">
        <f ca="1">IFERROR(__xludf.DUMMYFUNCTION("GOOGLETRANSLATE(B49,""ja"",""vi"")"),"Motorola")</f>
        <v>Motorola</v>
      </c>
      <c r="E48" s="4" t="str">
        <f ca="1">IFERROR(__xludf.DUMMYFUNCTION("GOOGLETRANSLATE(C49,""ja"",""vi"")"),"Đấu giá&gt; thiết bị điện tử tiêu dùng, AV, camera&gt; điện thoại di động, điện thoại thông minh&gt; cơ thể điện thoại di động&gt; au&gt; Motorola")</f>
        <v>Đấu giá&gt; thiết bị điện tử tiêu dùng, AV, camera&gt; điện thoại di động, điện thoại thông minh&gt; cơ thể điện thoại di động&gt; au&gt; Motorola</v>
      </c>
      <c r="F48" t="str">
        <f t="shared" ca="1" si="0"/>
        <v>"2084223948" : "Motorola",</v>
      </c>
    </row>
    <row r="49" spans="1:6" ht="15.75" customHeight="1">
      <c r="A49" s="12">
        <v>2084008410</v>
      </c>
      <c r="B49" s="12" t="s">
        <v>1838</v>
      </c>
      <c r="C49" s="12" t="s">
        <v>1839</v>
      </c>
      <c r="D49" s="5" t="str">
        <f ca="1">IFERROR(__xludf.DUMMYFUNCTION("GOOGLETRANSLATE(B50,""ja"",""vi"")"),"Kyocera")</f>
        <v>Kyocera</v>
      </c>
      <c r="E49" s="4" t="str">
        <f ca="1">IFERROR(__xludf.DUMMYFUNCTION("GOOGLETRANSLATE(C50,""ja"",""vi"")"),"Đấu giá&gt; thiết bị điện tử tiêu dùng, AV, camera&gt; điện thoại di động, điện thoại thông minh&gt; cơ thể điện thoại di động&gt; au&gt; Kyocera")</f>
        <v>Đấu giá&gt; thiết bị điện tử tiêu dùng, AV, camera&gt; điện thoại di động, điện thoại thông minh&gt; cơ thể điện thoại di động&gt; au&gt; Kyocera</v>
      </c>
      <c r="F49" t="str">
        <f t="shared" ca="1" si="0"/>
        <v>"2084008410" : "Kyocera",</v>
      </c>
    </row>
    <row r="50" spans="1:6" ht="15.75" customHeight="1">
      <c r="A50" s="12">
        <v>2084008407</v>
      </c>
      <c r="B50" s="12" t="s">
        <v>1842</v>
      </c>
      <c r="C50" s="12" t="s">
        <v>1843</v>
      </c>
      <c r="D50" s="5" t="str">
        <f ca="1">IFERROR(__xludf.DUMMYFUNCTION("GOOGLETRANSLATE(B51,""ja"",""vi"")"),"Sanyo")</f>
        <v>Sanyo</v>
      </c>
      <c r="E50" s="4" t="str">
        <f ca="1">IFERROR(__xludf.DUMMYFUNCTION("GOOGLETRANSLATE(C51,""ja"",""vi"")"),"Đấu giá&gt; thiết bị điện tử tiêu dùng, AV, camera&gt; điện thoại di động, điện thoại thông minh&gt; cơ thể điện thoại di động&gt; au&gt; Sanyo")</f>
        <v>Đấu giá&gt; thiết bị điện tử tiêu dùng, AV, camera&gt; điện thoại di động, điện thoại thông minh&gt; cơ thể điện thoại di động&gt; au&gt; Sanyo</v>
      </c>
      <c r="F50" t="str">
        <f t="shared" ca="1" si="0"/>
        <v>"2084008407" : "Sanyo",</v>
      </c>
    </row>
    <row r="51" spans="1:6" ht="15.75" customHeight="1">
      <c r="A51" s="12">
        <v>2084008411</v>
      </c>
      <c r="B51" s="12" t="s">
        <v>1779</v>
      </c>
      <c r="C51" s="12" t="s">
        <v>1846</v>
      </c>
      <c r="D51" s="5" t="str">
        <f ca="1">IFERROR(__xludf.DUMMYFUNCTION("GOOGLETRANSLATE(B52,""ja"",""vi"")"),"Toshiba")</f>
        <v>Toshiba</v>
      </c>
      <c r="E51" s="4" t="str">
        <f ca="1">IFERROR(__xludf.DUMMYFUNCTION("GOOGLETRANSLATE(C52,""ja"",""vi"")"),"Đấu giá&gt; thiết bị điện tử tiêu dùng, AV, camera&gt; điện thoại di động, điện thoại thông minh&gt; cơ thể điện thoại di động&gt; au&gt; Toshiba")</f>
        <v>Đấu giá&gt; thiết bị điện tử tiêu dùng, AV, camera&gt; điện thoại di động, điện thoại thông minh&gt; cơ thể điện thoại di động&gt; au&gt; Toshiba</v>
      </c>
      <c r="F51" t="str">
        <f t="shared" ca="1" si="0"/>
        <v>"2084008411" : "Toshiba",</v>
      </c>
    </row>
    <row r="52" spans="1:6" ht="15.75" customHeight="1">
      <c r="A52" s="12">
        <v>2084051920</v>
      </c>
      <c r="B52" s="12" t="s">
        <v>1851</v>
      </c>
      <c r="C52" s="12" t="s">
        <v>1853</v>
      </c>
      <c r="D52" s="5" t="str">
        <f ca="1">IFERROR(__xludf.DUMMYFUNCTION("GOOGLETRANSLATE(B53,""ja"",""vi"")"),"Hitachi")</f>
        <v>Hitachi</v>
      </c>
      <c r="E52" s="4" t="str">
        <f ca="1">IFERROR(__xludf.DUMMYFUNCTION("GOOGLETRANSLATE(C53,""ja"",""vi"")"),"Đấu giá&gt; thiết bị điện tử tiêu dùng, AV, camera&gt; điện thoại di động, điện thoại thông minh&gt; cơ thể điện thoại di động&gt; au&gt; Hitachi")</f>
        <v>Đấu giá&gt; thiết bị điện tử tiêu dùng, AV, camera&gt; điện thoại di động, điện thoại thông minh&gt; cơ thể điện thoại di động&gt; au&gt; Hitachi</v>
      </c>
      <c r="F52" t="str">
        <f t="shared" ca="1" si="0"/>
        <v>"2084051920" : "Hitachi",</v>
      </c>
    </row>
    <row r="53" spans="1:6" ht="15.75" customHeight="1">
      <c r="A53" s="12">
        <v>2084005063</v>
      </c>
      <c r="B53" s="12" t="s">
        <v>1797</v>
      </c>
      <c r="C53" s="12" t="s">
        <v>1859</v>
      </c>
      <c r="D53" s="5" t="str">
        <f ca="1">IFERROR(__xludf.DUMMYFUNCTION("GOOGLETRANSLATE(B54,""ja"",""vi"")"),"Pin, sạc")</f>
        <v>Pin, sạc</v>
      </c>
      <c r="E53" s="4" t="str">
        <f ca="1">IFERROR(__xludf.DUMMYFUNCTION("GOOGLETRANSLATE(C54,""ja"",""vi"")"),"Đấu giá&gt; thiết bị điện tử tiêu dùng, AV, camera&gt; điện thoại di động, điện thoại thông minh&gt; cơ thể điện thoại di động&gt; au&gt; pin, sạc")</f>
        <v>Đấu giá&gt; thiết bị điện tử tiêu dùng, AV, camera&gt; điện thoại di động, điện thoại thông minh&gt; cơ thể điện thoại di động&gt; au&gt; pin, sạc</v>
      </c>
      <c r="F53" t="str">
        <f t="shared" ca="1" si="0"/>
        <v>"2084005063" : "Pin, sạc",</v>
      </c>
    </row>
    <row r="54" spans="1:6" ht="15.75" customHeight="1">
      <c r="A54" s="12">
        <v>2084008413</v>
      </c>
      <c r="B54" s="12" t="s">
        <v>46</v>
      </c>
      <c r="C54" s="12" t="s">
        <v>1865</v>
      </c>
      <c r="D54" s="5" t="str">
        <f ca="1">IFERROR(__xludf.DUMMYFUNCTION("GOOGLETRANSLATE(B55,""ja"",""vi"")"),"nếu không thì")</f>
        <v>nếu không thì</v>
      </c>
      <c r="E54" s="4" t="str">
        <f ca="1">IFERROR(__xludf.DUMMYFUNCTION("GOOGLETRANSLATE(C55,""ja"",""vi"")"),"Đấu giá&gt; thiết bị điện tử tiêu dùng, AV, camera&gt; điện thoại di động, điện thoại thông minh&gt; cơ thể điện thoại di động&gt; au&gt; Khác")</f>
        <v>Đấu giá&gt; thiết bị điện tử tiêu dùng, AV, camera&gt; điện thoại di động, điện thoại thông minh&gt; cơ thể điện thoại di động&gt; au&gt; Khác</v>
      </c>
      <c r="F54" t="str">
        <f t="shared" ca="1" si="0"/>
        <v>"2084008413" : "nếu không thì",</v>
      </c>
    </row>
    <row r="55" spans="1:6" ht="15.75" customHeight="1">
      <c r="A55" s="12">
        <v>2084252813</v>
      </c>
      <c r="B55" s="12" t="s">
        <v>1693</v>
      </c>
      <c r="C55" s="12" t="s">
        <v>1872</v>
      </c>
      <c r="D55" s="5" t="str">
        <f ca="1">IFERROR(__xludf.DUMMYFUNCTION("GOOGLETRANSLATE(B56,""ja"",""vi"")"),"HTC")</f>
        <v>HTC</v>
      </c>
      <c r="E55" s="4" t="str">
        <f ca="1">IFERROR(__xludf.DUMMYFUNCTION("GOOGLETRANSLATE(C56,""ja"",""vi"")"),"Đấu giá&gt; thiết bị điện tử tiêu dùng, AV, camera&gt; điện thoại di động, điện thoại thông minh&gt; cơ thể điện thoại di động&gt; Softbank&gt; HTC")</f>
        <v>Đấu giá&gt; thiết bị điện tử tiêu dùng, AV, camera&gt; điện thoại di động, điện thoại thông minh&gt; cơ thể điện thoại di động&gt; Softbank&gt; HTC</v>
      </c>
      <c r="F55" t="str">
        <f t="shared" ca="1" si="0"/>
        <v>"2084252813" : "HTC",</v>
      </c>
    </row>
    <row r="56" spans="1:6" ht="15.75" customHeight="1">
      <c r="A56" s="12">
        <v>2084008414</v>
      </c>
      <c r="B56" s="12" t="s">
        <v>1707</v>
      </c>
      <c r="C56" s="12" t="s">
        <v>1878</v>
      </c>
      <c r="D56" s="5" t="str">
        <f ca="1">IFERROR(__xludf.DUMMYFUNCTION("GOOGLETRANSLATE(B57,""ja"",""vi"")"),"NEC")</f>
        <v>NEC</v>
      </c>
      <c r="E56" s="4" t="str">
        <f ca="1">IFERROR(__xludf.DUMMYFUNCTION("GOOGLETRANSLATE(C57,""ja"",""vi"")"),"Đấu giá&gt; thiết bị điện tử tiêu dùng, AV, camera&gt; điện thoại di động, điện thoại thông minh&gt; cơ thể điện thoại di động&gt; Softbank&gt; NEC")</f>
        <v>Đấu giá&gt; thiết bị điện tử tiêu dùng, AV, camera&gt; điện thoại di động, điện thoại thông minh&gt; cơ thể điện thoại di động&gt; Softbank&gt; NEC</v>
      </c>
      <c r="F56" t="str">
        <f t="shared" ca="1" si="0"/>
        <v>"2084008414" : "NEC",</v>
      </c>
    </row>
    <row r="57" spans="1:6" ht="15.75" customHeight="1">
      <c r="A57" s="12">
        <v>2084298987</v>
      </c>
      <c r="B57" s="12" t="s">
        <v>1882</v>
      </c>
      <c r="C57" s="12" t="s">
        <v>1884</v>
      </c>
      <c r="D57" s="5" t="str">
        <f ca="1">IFERROR(__xludf.DUMMYFUNCTION("GOOGLETRANSLATE(B58,""ja"",""vi"")"),"ZTE")</f>
        <v>ZTE</v>
      </c>
      <c r="E57" s="4" t="str">
        <f ca="1">IFERROR(__xludf.DUMMYFUNCTION("GOOGLETRANSLATE(C58,""ja"",""vi"")"),"Đấu giá&gt; thiết bị điện tử tiêu dùng, AV, camera&gt; điện thoại di động, điện thoại thông minh&gt; cơ thể điện thoại di động&gt; Softbank&gt; ZTE")</f>
        <v>Đấu giá&gt; thiết bị điện tử tiêu dùng, AV, camera&gt; điện thoại di động, điện thoại thông minh&gt; cơ thể điện thoại di động&gt; Softbank&gt; ZTE</v>
      </c>
      <c r="F57" t="str">
        <f t="shared" ca="1" si="0"/>
        <v>"2084298987" : "ZTE",</v>
      </c>
    </row>
    <row r="58" spans="1:6" ht="15.75" customHeight="1">
      <c r="A58" s="12">
        <v>2084243613</v>
      </c>
      <c r="B58" s="12" t="s">
        <v>1889</v>
      </c>
      <c r="C58" s="12" t="s">
        <v>1891</v>
      </c>
      <c r="D58" s="5" t="str">
        <f ca="1">IFERROR(__xludf.DUMMYFUNCTION("GOOGLETRANSLATE(B59,""ja"",""vi"")"),"táo")</f>
        <v>táo</v>
      </c>
      <c r="E58" s="4" t="str">
        <f ca="1">IFERROR(__xludf.DUMMYFUNCTION("GOOGLETRANSLATE(C59,""ja"",""vi"")"),"Đấu giá&gt; thiết bị điện tử tiêu dùng, AV, camera&gt; điện thoại di động, điện thoại thông minh&gt; cơ thể điện thoại di động&gt; SoftBank&gt; Apple")</f>
        <v>Đấu giá&gt; thiết bị điện tử tiêu dùng, AV, camera&gt; điện thoại di động, điện thoại thông minh&gt; cơ thể điện thoại di động&gt; SoftBank&gt; Apple</v>
      </c>
      <c r="F58" t="str">
        <f t="shared" ca="1" si="0"/>
        <v>"2084243613" : "táo",</v>
      </c>
    </row>
    <row r="59" spans="1:6" ht="15.75" customHeight="1">
      <c r="A59" s="12">
        <v>2084248782</v>
      </c>
      <c r="B59" s="12" t="s">
        <v>1724</v>
      </c>
      <c r="C59" s="12" t="s">
        <v>1896</v>
      </c>
      <c r="D59" s="5" t="str">
        <f ca="1">IFERROR(__xludf.DUMMYFUNCTION("GOOGLETRANSLATE(B60,""ja"",""vi"")"),"Samsung")</f>
        <v>Samsung</v>
      </c>
      <c r="E59" s="4" t="str">
        <f ca="1">IFERROR(__xludf.DUMMYFUNCTION("GOOGLETRANSLATE(C60,""ja"",""vi"")"),"Đấu giá&gt; thiết bị điện tử tiêu dùng, AV, camera&gt; điện thoại di động, điện thoại thông minh&gt; cơ thể điện thoại di động&gt; SoftBank&gt; Samsung")</f>
        <v>Đấu giá&gt; thiết bị điện tử tiêu dùng, AV, camera&gt; điện thoại di động, điện thoại thông minh&gt; cơ thể điện thoại di động&gt; SoftBank&gt; Samsung</v>
      </c>
      <c r="F59" t="str">
        <f t="shared" ca="1" si="0"/>
        <v>"2084248782" : "Samsung",</v>
      </c>
    </row>
    <row r="60" spans="1:6" ht="15.75" customHeight="1">
      <c r="A60" s="12">
        <v>2084008415</v>
      </c>
      <c r="B60" s="12" t="s">
        <v>1731</v>
      </c>
      <c r="C60" s="12" t="s">
        <v>1902</v>
      </c>
      <c r="D60" s="5" t="str">
        <f ca="1">IFERROR(__xludf.DUMMYFUNCTION("GOOGLETRANSLATE(B61,""ja"",""vi"")"),"nhọn")</f>
        <v>nhọn</v>
      </c>
      <c r="E60" s="4" t="str">
        <f ca="1">IFERROR(__xludf.DUMMYFUNCTION("GOOGLETRANSLATE(C61,""ja"",""vi"")"),"Đấu giá&gt; thiết bị điện tử tiêu dùng, AV, camera&gt; điện thoại di động, điện thoại thông minh&gt; cơ thể điện thoại di động&gt; SoftBank&gt; sắc nét")</f>
        <v>Đấu giá&gt; thiết bị điện tử tiêu dùng, AV, camera&gt; điện thoại di động, điện thoại thông minh&gt; cơ thể điện thoại di động&gt; SoftBank&gt; sắc nét</v>
      </c>
      <c r="F60" t="str">
        <f t="shared" ca="1" si="0"/>
        <v>"2084008415" : "nhọn",</v>
      </c>
    </row>
    <row r="61" spans="1:6" ht="15.75" customHeight="1">
      <c r="A61" s="12">
        <v>2084299101</v>
      </c>
      <c r="B61" s="12" t="s">
        <v>1908</v>
      </c>
      <c r="C61" s="12" t="s">
        <v>1909</v>
      </c>
      <c r="D61" s="5" t="str">
        <f ca="1">IFERROR(__xludf.DUMMYFUNCTION("GOOGLETRANSLATE(B62,""ja"",""vi"")"),"thung lũng nhỏ")</f>
        <v>thung lũng nhỏ</v>
      </c>
      <c r="E61" s="4" t="str">
        <f ca="1">IFERROR(__xludf.DUMMYFUNCTION("GOOGLETRANSLATE(C62,""ja"",""vi"")"),"Đấu giá&gt; thiết bị điện tử tiêu dùng, AV, camera&gt; điện thoại di động, điện thoại thông minh&gt; cơ thể điện thoại di động&gt; Softbank&gt; del")</f>
        <v>Đấu giá&gt; thiết bị điện tử tiêu dùng, AV, camera&gt; điện thoại di động, điện thoại thông minh&gt; cơ thể điện thoại di động&gt; Softbank&gt; del</v>
      </c>
      <c r="F61" t="str">
        <f t="shared" ca="1" si="0"/>
        <v>"2084299101" : "thung lũng nhỏ",</v>
      </c>
    </row>
    <row r="62" spans="1:6" ht="15.75" customHeight="1">
      <c r="A62" s="12">
        <v>2084223952</v>
      </c>
      <c r="B62" s="12" t="s">
        <v>1747</v>
      </c>
      <c r="C62" s="12" t="s">
        <v>1915</v>
      </c>
      <c r="D62" s="5" t="str">
        <f ca="1">IFERROR(__xludf.DUMMYFUNCTION("GOOGLETRANSLATE(B63,""ja"",""vi"")"),"Nokia")</f>
        <v>Nokia</v>
      </c>
      <c r="E62" s="4" t="str">
        <f ca="1">IFERROR(__xludf.DUMMYFUNCTION("GOOGLETRANSLATE(C63,""ja"",""vi"")"),"Đấu giá&gt; thiết bị điện tử tiêu dùng, AV, camera&gt; điện thoại di động, điện thoại thông minh&gt; cơ thể điện thoại di động&gt; Softbank&gt; Nokia")</f>
        <v>Đấu giá&gt; thiết bị điện tử tiêu dùng, AV, camera&gt; điện thoại di động, điện thoại thông minh&gt; cơ thể điện thoại di động&gt; Softbank&gt; Nokia</v>
      </c>
      <c r="F62" t="str">
        <f t="shared" ca="1" si="0"/>
        <v>"2084223952" : "Nokia",</v>
      </c>
    </row>
    <row r="63" spans="1:6" ht="15.75" customHeight="1">
      <c r="A63" s="12">
        <v>2084051917</v>
      </c>
      <c r="B63" s="12" t="s">
        <v>1918</v>
      </c>
      <c r="C63" s="12" t="s">
        <v>1921</v>
      </c>
      <c r="D63" s="5" t="str">
        <f ca="1">IFERROR(__xludf.DUMMYFUNCTION("GOOGLETRANSLATE(B64,""ja"",""vi"")"),"Panasonic")</f>
        <v>Panasonic</v>
      </c>
      <c r="E63" s="4" t="str">
        <f ca="1">IFERROR(__xludf.DUMMYFUNCTION("GOOGLETRANSLATE(C64,""ja"",""vi"")"),"Đấu giá&gt; thiết bị điện tử tiêu dùng, AV, camera&gt; điện thoại di động, điện thoại thông minh&gt; cơ thể điện thoại di động&gt; SoftBank&gt; Panasonic")</f>
        <v>Đấu giá&gt; thiết bị điện tử tiêu dùng, AV, camera&gt; điện thoại di động, điện thoại thông minh&gt; cơ thể điện thoại di động&gt; SoftBank&gt; Panasonic</v>
      </c>
      <c r="F63" t="str">
        <f t="shared" ca="1" si="0"/>
        <v>"2084051917" : "Panasonic",</v>
      </c>
    </row>
    <row r="64" spans="1:6" ht="15.75" customHeight="1">
      <c r="A64" s="12">
        <v>2084051914</v>
      </c>
      <c r="B64" s="12" t="s">
        <v>1763</v>
      </c>
      <c r="C64" s="12" t="s">
        <v>1927</v>
      </c>
      <c r="D64" s="5" t="str">
        <f ca="1">IFERROR(__xludf.DUMMYFUNCTION("GOOGLETRANSLATE(B65,""ja"",""vi"")"),"Motorola")</f>
        <v>Motorola</v>
      </c>
      <c r="E64" s="4" t="str">
        <f ca="1">IFERROR(__xludf.DUMMYFUNCTION("GOOGLETRANSLATE(C65,""ja"",""vi"")"),"Đấu giá&gt; thiết bị điện tử tiêu dùng, AV, camera&gt; điện thoại di động, điện thoại thông minh&gt; cơ thể điện thoại di động&gt; SoftBank&gt; Motorola")</f>
        <v>Đấu giá&gt; thiết bị điện tử tiêu dùng, AV, camera&gt; điện thoại di động, điện thoại thông minh&gt; cơ thể điện thoại di động&gt; SoftBank&gt; Motorola</v>
      </c>
      <c r="F64" t="str">
        <f t="shared" ca="1" si="0"/>
        <v>"2084051914" : "Motorola",</v>
      </c>
    </row>
    <row r="65" spans="1:6" ht="15.75" customHeight="1">
      <c r="A65" s="12">
        <v>2084051915</v>
      </c>
      <c r="B65" s="12" t="s">
        <v>1770</v>
      </c>
      <c r="C65" s="12" t="s">
        <v>1934</v>
      </c>
      <c r="D65" s="5" t="str">
        <f ca="1">IFERROR(__xludf.DUMMYFUNCTION("GOOGLETRANSLATE(B66,""ja"",""vi"")"),"Mitsubishi Electric")</f>
        <v>Mitsubishi Electric</v>
      </c>
      <c r="E65" s="4" t="str">
        <f ca="1">IFERROR(__xludf.DUMMYFUNCTION("GOOGLETRANSLATE(C66,""ja"",""vi"")"),"Đấu giá&gt; thiết bị điện tử tiêu dùng, AV, camera&gt; điện thoại di động, điện thoại thông minh&gt; cơ thể điện thoại di động&gt; Softbank&gt; Mitsubishi Electric")</f>
        <v>Đấu giá&gt; thiết bị điện tử tiêu dùng, AV, camera&gt; điện thoại di động, điện thoại thông minh&gt; cơ thể điện thoại di động&gt; Softbank&gt; Mitsubishi Electric</v>
      </c>
      <c r="F65" t="str">
        <f t="shared" ca="1" si="0"/>
        <v>"2084051915" : "Mitsubishi Electric",</v>
      </c>
    </row>
    <row r="66" spans="1:6" ht="15.75" customHeight="1">
      <c r="A66" s="12">
        <v>2084051916</v>
      </c>
      <c r="B66" s="12" t="s">
        <v>1842</v>
      </c>
      <c r="C66" s="12" t="s">
        <v>1938</v>
      </c>
      <c r="D66" s="5" t="str">
        <f ca="1">IFERROR(__xludf.DUMMYFUNCTION("GOOGLETRANSLATE(B67,""ja"",""vi"")"),"Sanyo")</f>
        <v>Sanyo</v>
      </c>
      <c r="E66" s="4" t="str">
        <f ca="1">IFERROR(__xludf.DUMMYFUNCTION("GOOGLETRANSLATE(C67,""ja"",""vi"")"),"Đấu giá&gt; thiết bị điện tử tiêu dùng, AV, camera&gt; điện thoại di động, điện thoại thông minh&gt; cơ thể điện thoại di động&gt; SoftBank&gt; Sanyo")</f>
        <v>Đấu giá&gt; thiết bị điện tử tiêu dùng, AV, camera&gt; điện thoại di động, điện thoại thông minh&gt; cơ thể điện thoại di động&gt; SoftBank&gt; Sanyo</v>
      </c>
      <c r="F66" t="str">
        <f t="shared" ref="F66:F129" ca="1" si="1">CONCATENATE(CHAR(34)&amp;"",A66,""&amp;CHAR(34)," : ", CHAR(34)&amp;"",D66,""&amp;CHAR(34),",")</f>
        <v>"2084051916" : "Sanyo",</v>
      </c>
    </row>
    <row r="67" spans="1:6" ht="15.75" customHeight="1">
      <c r="A67" s="12">
        <v>2084008416</v>
      </c>
      <c r="B67" s="12" t="s">
        <v>1779</v>
      </c>
      <c r="C67" s="12" t="s">
        <v>1945</v>
      </c>
      <c r="D67" s="5" t="str">
        <f ca="1">IFERROR(__xludf.DUMMYFUNCTION("GOOGLETRANSLATE(B68,""ja"",""vi"")"),"Toshiba")</f>
        <v>Toshiba</v>
      </c>
      <c r="E67" s="4" t="str">
        <f ca="1">IFERROR(__xludf.DUMMYFUNCTION("GOOGLETRANSLATE(C68,""ja"",""vi"")"),"Đấu giá&gt; thiết bị điện tử tiêu dùng, AV, camera&gt; điện thoại di động, điện thoại thông minh&gt; cơ thể điện thoại di động&gt; SoftBank&gt; Toshiba")</f>
        <v>Đấu giá&gt; thiết bị điện tử tiêu dùng, AV, camera&gt; điện thoại di động, điện thoại thông minh&gt; cơ thể điện thoại di động&gt; SoftBank&gt; Toshiba</v>
      </c>
      <c r="F67" t="str">
        <f t="shared" ca="1" si="1"/>
        <v>"2084008416" : "Toshiba",</v>
      </c>
    </row>
    <row r="68" spans="1:6" ht="15.75" customHeight="1">
      <c r="A68" s="12">
        <v>2084005063</v>
      </c>
      <c r="B68" s="12" t="s">
        <v>1797</v>
      </c>
      <c r="C68" s="12" t="s">
        <v>1950</v>
      </c>
      <c r="D68" s="5" t="str">
        <f ca="1">IFERROR(__xludf.DUMMYFUNCTION("GOOGLETRANSLATE(B69,""ja"",""vi"")"),"Pin, sạc")</f>
        <v>Pin, sạc</v>
      </c>
      <c r="E68" s="4" t="str">
        <f ca="1">IFERROR(__xludf.DUMMYFUNCTION("GOOGLETRANSLATE(C69,""ja"",""vi"")"),"Đấu giá&gt; thiết bị điện tử tiêu dùng, AV, camera&gt; điện thoại di động, điện thoại thông minh&gt; cơ thể điện thoại di động&gt; Softbank&gt; pin, sạc")</f>
        <v>Đấu giá&gt; thiết bị điện tử tiêu dùng, AV, camera&gt; điện thoại di động, điện thoại thông minh&gt; cơ thể điện thoại di động&gt; Softbank&gt; pin, sạc</v>
      </c>
      <c r="F68" t="str">
        <f t="shared" ca="1" si="1"/>
        <v>"2084005063" : "Pin, sạc",</v>
      </c>
    </row>
    <row r="69" spans="1:6" ht="15.75" customHeight="1">
      <c r="A69" s="12">
        <v>2084008417</v>
      </c>
      <c r="B69" s="12" t="s">
        <v>46</v>
      </c>
      <c r="C69" s="12" t="s">
        <v>1956</v>
      </c>
      <c r="D69" s="5" t="str">
        <f ca="1">IFERROR(__xludf.DUMMYFUNCTION("GOOGLETRANSLATE(B70,""ja"",""vi"")"),"nếu không thì")</f>
        <v>nếu không thì</v>
      </c>
      <c r="E69" s="4" t="str">
        <f ca="1">IFERROR(__xludf.DUMMYFUNCTION("GOOGLETRANSLATE(C70,""ja"",""vi"")"),"Đấu giá&gt; thiết bị điện tử tiêu dùng, AV, camera&gt; điện thoại di động, điện thoại thông minh&gt; cơ thể điện thoại di động&gt; Softbank&gt; Khác")</f>
        <v>Đấu giá&gt; thiết bị điện tử tiêu dùng, AV, camera&gt; điện thoại di động, điện thoại thông minh&gt; cơ thể điện thoại di động&gt; Softbank&gt; Khác</v>
      </c>
      <c r="F69" t="str">
        <f t="shared" ca="1" si="1"/>
        <v>"2084008417" : "nếu không thì",</v>
      </c>
    </row>
    <row r="70" spans="1:6" ht="15.75" customHeight="1">
      <c r="A70" s="12">
        <v>2084299103</v>
      </c>
      <c r="B70" s="12" t="s">
        <v>1959</v>
      </c>
      <c r="C70" s="12" t="s">
        <v>1961</v>
      </c>
      <c r="D70" s="5" t="str">
        <f ca="1">IFERROR(__xludf.DUMMYFUNCTION("GOOGLETRANSLATE(B71,""ja"",""vi"")"),"Điện thoại thông minh")</f>
        <v>Điện thoại thông minh</v>
      </c>
      <c r="E70" s="4" t="str">
        <f ca="1">IFERROR(__xludf.DUMMYFUNCTION("GOOGLETRANSLATE(C71,""ja"",""vi"")"),"Đấu giá&gt; thiết bị điện tử tiêu dùng, AV, camera&gt; điện thoại di động, điện thoại thông minh&gt; cơ thể điện thoại di động&gt; Ymobile&gt; Smartphone")</f>
        <v>Đấu giá&gt; thiết bị điện tử tiêu dùng, AV, camera&gt; điện thoại di động, điện thoại thông minh&gt; cơ thể điện thoại di động&gt; Ymobile&gt; Smartphone</v>
      </c>
      <c r="F70" t="str">
        <f t="shared" ca="1" si="1"/>
        <v>"2084299103" : "Điện thoại thông minh",</v>
      </c>
    </row>
    <row r="71" spans="1:6" ht="15.75" customHeight="1">
      <c r="A71" s="12">
        <v>2084299145</v>
      </c>
      <c r="B71" s="12" t="s">
        <v>1966</v>
      </c>
      <c r="C71" s="12" t="s">
        <v>1967</v>
      </c>
      <c r="D71" s="5" t="str">
        <f ca="1">IFERROR(__xludf.DUMMYFUNCTION("GOOGLETRANSLATE(B72,""ja"",""vi"")"),"điện thoại di động")</f>
        <v>điện thoại di động</v>
      </c>
      <c r="E71" s="4" t="str">
        <f ca="1">IFERROR(__xludf.DUMMYFUNCTION("GOOGLETRANSLATE(C72,""ja"",""vi"")"),"Đấu giá&gt; thiết bị điện tử tiêu dùng, AV, camera&gt; điện thoại di động, điện thoại thông minh&gt; cơ thể điện thoại di động&gt; Ymobile&gt; điện thoại di động")</f>
        <v>Đấu giá&gt; thiết bị điện tử tiêu dùng, AV, camera&gt; điện thoại di động, điện thoại thông minh&gt; cơ thể điện thoại di động&gt; Ymobile&gt; điện thoại di động</v>
      </c>
      <c r="F71" t="str">
        <f t="shared" ca="1" si="1"/>
        <v>"2084299145" : "điện thoại di động",</v>
      </c>
    </row>
    <row r="72" spans="1:6" ht="15.75" customHeight="1">
      <c r="A72" s="12">
        <v>2084298966</v>
      </c>
      <c r="B72" s="12" t="s">
        <v>1973</v>
      </c>
      <c r="C72" s="12" t="s">
        <v>1975</v>
      </c>
      <c r="D72" s="5" t="str">
        <f ca="1">IFERROR(__xludf.DUMMYFUNCTION("GOOGLETRANSLATE(B73,""ja"",""vi"")"),"NTT DoCoMo")</f>
        <v>NTT DoCoMo</v>
      </c>
      <c r="E72" s="4" t="str">
        <f ca="1">IFERROR(__xludf.DUMMYFUNCTION("GOOGLETRANSLATE(C73,""ja"",""vi"")"),"Đấu giá&gt; thiết bị điện tử tiêu dùng, AV, camera&gt; điện thoại di động, điện thoại thông minh&gt; cơ thể điện thoại di động&gt; body smartphone&gt; NTT DoCoMo")</f>
        <v>Đấu giá&gt; thiết bị điện tử tiêu dùng, AV, camera&gt; điện thoại di động, điện thoại thông minh&gt; cơ thể điện thoại di động&gt; body smartphone&gt; NTT DoCoMo</v>
      </c>
      <c r="F72" t="str">
        <f t="shared" ca="1" si="1"/>
        <v>"2084298966" : "NTT DoCoMo",</v>
      </c>
    </row>
    <row r="73" spans="1:6" ht="15.75" customHeight="1">
      <c r="A73" s="12">
        <v>2084298978</v>
      </c>
      <c r="B73" s="12" t="s">
        <v>1981</v>
      </c>
      <c r="C73" s="12" t="s">
        <v>1983</v>
      </c>
      <c r="D73" s="5" t="str">
        <f ca="1">IFERROR(__xludf.DUMMYFUNCTION("GOOGLETRANSLATE(B74,""ja"",""vi"")"),"au")</f>
        <v>au</v>
      </c>
      <c r="E73" s="4" t="str">
        <f ca="1">IFERROR(__xludf.DUMMYFUNCTION("GOOGLETRANSLATE(C74,""ja"",""vi"")"),"Đấu giá&gt; thiết bị điện tử tiêu dùng, AV, camera&gt; điện thoại di động, điện thoại thông minh&gt; cơ thể điện thoại di động&gt; điện thoại thông minh body&gt; au")</f>
        <v>Đấu giá&gt; thiết bị điện tử tiêu dùng, AV, camera&gt; điện thoại di động, điện thoại thông minh&gt; cơ thể điện thoại di động&gt; điện thoại thông minh body&gt; au</v>
      </c>
      <c r="F73" t="str">
        <f t="shared" ca="1" si="1"/>
        <v>"2084298978" : "au",</v>
      </c>
    </row>
    <row r="74" spans="1:6" ht="15.75" customHeight="1">
      <c r="A74" s="12">
        <v>2084298986</v>
      </c>
      <c r="B74" s="12" t="s">
        <v>1988</v>
      </c>
      <c r="C74" s="12" t="s">
        <v>1990</v>
      </c>
      <c r="D74" s="5" t="str">
        <f ca="1">IFERROR(__xludf.DUMMYFUNCTION("GOOGLETRANSLATE(B75,""ja"",""vi"")"),"Softbank")</f>
        <v>Softbank</v>
      </c>
      <c r="E74" s="4" t="str">
        <f ca="1">IFERROR(__xludf.DUMMYFUNCTION("GOOGLETRANSLATE(C75,""ja"",""vi"")"),"Đấu giá&gt; thiết bị điện tử tiêu dùng, AV, camera&gt; điện thoại di động, điện thoại thông minh&gt; cơ thể điện thoại di động&gt; body smartphone&gt; Softbank")</f>
        <v>Đấu giá&gt; thiết bị điện tử tiêu dùng, AV, camera&gt; điện thoại di động, điện thoại thông minh&gt; cơ thể điện thoại di động&gt; body smartphone&gt; Softbank</v>
      </c>
      <c r="F74" t="str">
        <f t="shared" ca="1" si="1"/>
        <v>"2084298986" : "Softbank",</v>
      </c>
    </row>
    <row r="75" spans="1:6" ht="15.75" customHeight="1">
      <c r="A75" s="12">
        <v>2084299103</v>
      </c>
      <c r="B75" s="12" t="s">
        <v>1994</v>
      </c>
      <c r="C75" s="12" t="s">
        <v>1996</v>
      </c>
      <c r="D75" s="5" t="str">
        <f ca="1">IFERROR(__xludf.DUMMYFUNCTION("GOOGLETRANSLATE(B76,""ja"",""vi"")"),"Ymobile")</f>
        <v>Ymobile</v>
      </c>
      <c r="E75" s="4" t="str">
        <f ca="1">IFERROR(__xludf.DUMMYFUNCTION("GOOGLETRANSLATE(C76,""ja"",""vi"")"),"Đấu giá&gt; thiết bị điện tử tiêu dùng, AV, camera&gt; điện thoại di động, điện thoại thông minh&gt; cơ thể điện thoại di động&gt; body smartphone&gt; Ymobile")</f>
        <v>Đấu giá&gt; thiết bị điện tử tiêu dùng, AV, camera&gt; điện thoại di động, điện thoại thông minh&gt; cơ thể điện thoại di động&gt; body smartphone&gt; Ymobile</v>
      </c>
      <c r="F75" t="str">
        <f t="shared" ca="1" si="1"/>
        <v>"2084299103" : "Ymobile",</v>
      </c>
    </row>
    <row r="76" spans="1:6" ht="15.75" customHeight="1">
      <c r="A76" s="12">
        <v>2084316073</v>
      </c>
      <c r="B76" s="12" t="s">
        <v>2001</v>
      </c>
      <c r="C76" s="12" t="s">
        <v>2004</v>
      </c>
      <c r="D76" s="5" t="str">
        <f ca="1">IFERROR(__xludf.DUMMYFUNCTION("GOOGLETRANSLATE(B77,""ja"",""vi"")"),"phiên bản nội địa SIM-free")</f>
        <v>phiên bản nội địa SIM-free</v>
      </c>
      <c r="E76" s="4" t="str">
        <f ca="1">IFERROR(__xludf.DUMMYFUNCTION("GOOGLETRANSLATE(C77,""ja"",""vi"")"),"Đấu giá&gt; thiết bị điện tử tiêu dùng, AV, camera&gt; điện thoại di động, điện thoại thông minh&gt; cơ thể điện thoại di động&gt; body smartphone&gt; phiên bản nội địa SIM-free")</f>
        <v>Đấu giá&gt; thiết bị điện tử tiêu dùng, AV, camera&gt; điện thoại di động, điện thoại thông minh&gt; cơ thể điện thoại di động&gt; body smartphone&gt; phiên bản nội địa SIM-free</v>
      </c>
      <c r="F76" t="str">
        <f t="shared" ca="1" si="1"/>
        <v>"2084316073" : "phiên bản nội địa SIM-free",</v>
      </c>
    </row>
    <row r="77" spans="1:6" ht="15.75" customHeight="1">
      <c r="A77" s="12">
        <v>2084299105</v>
      </c>
      <c r="B77" s="12" t="s">
        <v>2010</v>
      </c>
      <c r="C77" s="12" t="s">
        <v>2012</v>
      </c>
      <c r="D77" s="5" t="str">
        <f ca="1">IFERROR(__xludf.DUMMYFUNCTION("GOOGLETRANSLATE(B78,""ja"",""vi"")"),"phiên bản quốc tế miễn phí SIM")</f>
        <v>phiên bản quốc tế miễn phí SIM</v>
      </c>
      <c r="E77" s="4" t="str">
        <f ca="1">IFERROR(__xludf.DUMMYFUNCTION("GOOGLETRANSLATE(C78,""ja"",""vi"")"),"Đấu giá&gt; thiết bị điện tử tiêu dùng, AV, camera&gt; điện thoại di động, điện thoại thông minh&gt; cơ thể điện thoại di động&gt; body smartphone&gt; phiên bản quốc tế SIM miễn phí")</f>
        <v>Đấu giá&gt; thiết bị điện tử tiêu dùng, AV, camera&gt; điện thoại di động, điện thoại thông minh&gt; cơ thể điện thoại di động&gt; body smartphone&gt; phiên bản quốc tế SIM miễn phí</v>
      </c>
      <c r="F77" t="str">
        <f t="shared" ca="1" si="1"/>
        <v>"2084299105" : "phiên bản quốc tế miễn phí SIM",</v>
      </c>
    </row>
    <row r="78" spans="1:6" ht="15.75" customHeight="1">
      <c r="A78" s="12">
        <v>2084305443</v>
      </c>
      <c r="B78" s="12" t="s">
        <v>2017</v>
      </c>
      <c r="C78" s="12" t="s">
        <v>2019</v>
      </c>
      <c r="D78" s="5" t="str">
        <f ca="1">IFERROR(__xludf.DUMMYFUNCTION("GOOGLETRANSLATE(B79,""ja"",""vi"")"),"không gương lật ống kính đơn")</f>
        <v>không gương lật ống kính đơn</v>
      </c>
      <c r="E78" s="4" t="str">
        <f ca="1">IFERROR(__xludf.DUMMYFUNCTION("GOOGLETRANSLATE(C79,""ja"",""vi"")"),"Đấu giá&gt; thiết bị điện tử tiêu dùng, AV, máy ảnh&gt; máy ảnh, thiết bị quang học&gt; máy ảnh kỹ thuật số&gt; digital single-lens&gt; single-lens không gương lật")</f>
        <v>Đấu giá&gt; thiết bị điện tử tiêu dùng, AV, máy ảnh&gt; máy ảnh, thiết bị quang học&gt; máy ảnh kỹ thuật số&gt; digital single-lens&gt; single-lens không gương lật</v>
      </c>
      <c r="F78" t="str">
        <f t="shared" ca="1" si="1"/>
        <v>"2084305443" : "không gương lật ống kính đơn",</v>
      </c>
    </row>
    <row r="79" spans="1:6" ht="15.75" customHeight="1">
      <c r="A79" s="12">
        <v>2084261639</v>
      </c>
      <c r="B79" s="12" t="s">
        <v>2023</v>
      </c>
      <c r="C79" s="12" t="s">
        <v>2026</v>
      </c>
      <c r="D79" s="5" t="str">
        <f ca="1">IFERROR(__xludf.DUMMYFUNCTION("GOOGLETRANSLATE(B80,""ja"",""vi"")"),"Olympus")</f>
        <v>Olympus</v>
      </c>
      <c r="E79" s="4" t="str">
        <f ca="1">IFERROR(__xludf.DUMMYFUNCTION("GOOGLETRANSLATE(C80,""ja"",""vi"")"),"Đấu giá&gt; thiết bị điện tử tiêu dùng, AV, máy ảnh&gt; máy ảnh, thiết bị quang học&gt; máy ảnh kỹ thuật số&gt; digital single-lens&gt; Olympus")</f>
        <v>Đấu giá&gt; thiết bị điện tử tiêu dùng, AV, máy ảnh&gt; máy ảnh, thiết bị quang học&gt; máy ảnh kỹ thuật số&gt; digital single-lens&gt; Olympus</v>
      </c>
      <c r="F79" t="str">
        <f t="shared" ca="1" si="1"/>
        <v>"2084261639" : "Olympus",</v>
      </c>
    </row>
    <row r="80" spans="1:6" ht="15.75" customHeight="1">
      <c r="A80" s="12">
        <v>2084261635</v>
      </c>
      <c r="B80" s="12" t="s">
        <v>2031</v>
      </c>
      <c r="C80" s="12" t="s">
        <v>2033</v>
      </c>
      <c r="D80" s="5" t="str">
        <f ca="1">IFERROR(__xludf.DUMMYFUNCTION("GOOGLETRANSLATE(B81,""ja"",""vi"")"),"Canon")</f>
        <v>Canon</v>
      </c>
      <c r="E80" s="4" t="str">
        <f ca="1">IFERROR(__xludf.DUMMYFUNCTION("GOOGLETRANSLATE(C81,""ja"",""vi"")"),"Đấu giá&gt; thiết bị điện tử tiêu dùng, AV, máy ảnh&gt; máy ảnh, thiết bị quang học&gt; máy ảnh kỹ thuật số&gt; digital single-lens&gt; Canon")</f>
        <v>Đấu giá&gt; thiết bị điện tử tiêu dùng, AV, máy ảnh&gt; máy ảnh, thiết bị quang học&gt; máy ảnh kỹ thuật số&gt; digital single-lens&gt; Canon</v>
      </c>
      <c r="F80" t="str">
        <f t="shared" ca="1" si="1"/>
        <v>"2084261635" : "Canon",</v>
      </c>
    </row>
    <row r="81" spans="1:6" ht="15.75" customHeight="1">
      <c r="A81" s="12">
        <v>2084261638</v>
      </c>
      <c r="B81" s="12" t="s">
        <v>1738</v>
      </c>
      <c r="C81" s="12" t="s">
        <v>2039</v>
      </c>
      <c r="D81" s="5" t="str">
        <f ca="1">IFERROR(__xludf.DUMMYFUNCTION("GOOGLETRANSLATE(B82,""ja"",""vi"")"),"Sony")</f>
        <v>Sony</v>
      </c>
      <c r="E81" s="4" t="str">
        <f ca="1">IFERROR(__xludf.DUMMYFUNCTION("GOOGLETRANSLATE(C82,""ja"",""vi"")"),"Đấu giá&gt; thiết bị điện tử tiêu dùng, AV, máy ảnh&gt; máy ảnh, thiết bị quang học&gt; máy ảnh kỹ thuật số&gt; digital single-lens&gt; Sony")</f>
        <v>Đấu giá&gt; thiết bị điện tử tiêu dùng, AV, máy ảnh&gt; máy ảnh, thiết bị quang học&gt; máy ảnh kỹ thuật số&gt; digital single-lens&gt; Sony</v>
      </c>
      <c r="F81" t="str">
        <f t="shared" ca="1" si="1"/>
        <v>"2084261638" : "Sony",</v>
      </c>
    </row>
    <row r="82" spans="1:6" ht="15.75" customHeight="1">
      <c r="A82" s="12">
        <v>2084261636</v>
      </c>
      <c r="B82" s="12" t="s">
        <v>2044</v>
      </c>
      <c r="C82" s="12" t="s">
        <v>2046</v>
      </c>
      <c r="D82" s="5" t="str">
        <f ca="1">IFERROR(__xludf.DUMMYFUNCTION("GOOGLETRANSLATE(B83,""ja"",""vi"")"),"Nikon")</f>
        <v>Nikon</v>
      </c>
      <c r="E82" s="4" t="str">
        <f ca="1">IFERROR(__xludf.DUMMYFUNCTION("GOOGLETRANSLATE(C83,""ja"",""vi"")"),"Đấu giá&gt; thiết bị điện tử tiêu dùng, AV, máy ảnh&gt; máy ảnh, thiết bị quang học&gt; máy ảnh kỹ thuật số&gt; digital single-lens&gt; Nikon")</f>
        <v>Đấu giá&gt; thiết bị điện tử tiêu dùng, AV, máy ảnh&gt; máy ảnh, thiết bị quang học&gt; máy ảnh kỹ thuật số&gt; digital single-lens&gt; Nikon</v>
      </c>
      <c r="F82" t="str">
        <f t="shared" ca="1" si="1"/>
        <v>"2084261636" : "Nikon",</v>
      </c>
    </row>
    <row r="83" spans="1:6" ht="15.75" customHeight="1">
      <c r="A83" s="12">
        <v>2084261640</v>
      </c>
      <c r="B83" s="12" t="s">
        <v>1918</v>
      </c>
      <c r="C83" s="12" t="s">
        <v>2051</v>
      </c>
      <c r="D83" s="5" t="str">
        <f ca="1">IFERROR(__xludf.DUMMYFUNCTION("GOOGLETRANSLATE(B84,""ja"",""vi"")"),"Panasonic")</f>
        <v>Panasonic</v>
      </c>
      <c r="E83" s="4" t="str">
        <f ca="1">IFERROR(__xludf.DUMMYFUNCTION("GOOGLETRANSLATE(C84,""ja"",""vi"")"),"Đấu giá&gt; thiết bị điện tử tiêu dùng, AV, máy ảnh&gt; máy ảnh, thiết bị quang học&gt; máy ảnh kỹ thuật số&gt; digital single-lens&gt; Panasonic")</f>
        <v>Đấu giá&gt; thiết bị điện tử tiêu dùng, AV, máy ảnh&gt; máy ảnh, thiết bị quang học&gt; máy ảnh kỹ thuật số&gt; digital single-lens&gt; Panasonic</v>
      </c>
      <c r="F83" t="str">
        <f t="shared" ca="1" si="1"/>
        <v>"2084261640" : "Panasonic",</v>
      </c>
    </row>
    <row r="84" spans="1:6" ht="15.75" customHeight="1">
      <c r="A84" s="12">
        <v>2084261637</v>
      </c>
      <c r="B84" s="12" t="s">
        <v>2055</v>
      </c>
      <c r="C84" s="12" t="s">
        <v>2056</v>
      </c>
      <c r="D84" s="5" t="str">
        <f ca="1">IFERROR(__xludf.DUMMYFUNCTION("GOOGLETRANSLATE(B85,""ja"",""vi"")"),"Pentax")</f>
        <v>Pentax</v>
      </c>
      <c r="E84" s="4" t="str">
        <f ca="1">IFERROR(__xludf.DUMMYFUNCTION("GOOGLETRANSLATE(C85,""ja"",""vi"")"),"Đấu giá&gt; thiết bị điện tử tiêu dùng, AV, máy ảnh&gt; máy ảnh, thiết bị quang học&gt; máy ảnh kỹ thuật số&gt; digital single-lens&gt; Pentax")</f>
        <v>Đấu giá&gt; thiết bị điện tử tiêu dùng, AV, máy ảnh&gt; máy ảnh, thiết bị quang học&gt; máy ảnh kỹ thuật số&gt; digital single-lens&gt; Pentax</v>
      </c>
      <c r="F84" t="str">
        <f t="shared" ca="1" si="1"/>
        <v>"2084261637" : "Pentax",</v>
      </c>
    </row>
    <row r="85" spans="1:6" ht="15.75" customHeight="1">
      <c r="A85" s="12">
        <v>2084261641</v>
      </c>
      <c r="B85" s="12" t="s">
        <v>46</v>
      </c>
      <c r="C85" s="12" t="s">
        <v>2062</v>
      </c>
      <c r="D85" s="5" t="str">
        <f ca="1">IFERROR(__xludf.DUMMYFUNCTION("GOOGLETRANSLATE(B86,""ja"",""vi"")"),"nếu không thì")</f>
        <v>nếu không thì</v>
      </c>
      <c r="E85" s="4" t="str">
        <f ca="1">IFERROR(__xludf.DUMMYFUNCTION("GOOGLETRANSLATE(C86,""ja"",""vi"")"),"Đấu giá&gt; thiết bị điện tử tiêu dùng, AV, máy ảnh&gt; máy ảnh, thiết bị quang học&gt; máy ảnh kỹ thuật số&gt; digital single-lens&gt; Khác")</f>
        <v>Đấu giá&gt; thiết bị điện tử tiêu dùng, AV, máy ảnh&gt; máy ảnh, thiết bị quang học&gt; máy ảnh kỹ thuật số&gt; digital single-lens&gt; Khác</v>
      </c>
      <c r="F85" t="str">
        <f t="shared" ca="1" si="1"/>
        <v>"2084261641" : "nếu không thì",</v>
      </c>
    </row>
    <row r="86" spans="1:6" ht="15.75" customHeight="1">
      <c r="A86" s="12">
        <v>2084305448</v>
      </c>
      <c r="B86" s="12" t="s">
        <v>2023</v>
      </c>
      <c r="C86" s="12" t="s">
        <v>2065</v>
      </c>
      <c r="D86" s="5" t="str">
        <f ca="1">IFERROR(__xludf.DUMMYFUNCTION("GOOGLETRANSLATE(B87,""ja"",""vi"")"),"Olympus")</f>
        <v>Olympus</v>
      </c>
      <c r="E86" s="4" t="str">
        <f ca="1">IFERROR(__xludf.DUMMYFUNCTION("GOOGLETRANSLATE(C87,""ja"",""vi"")"),"Đấu giá&gt; thiết bị điện tử tiêu dùng, AV, máy ảnh&gt; máy ảnh, thiết bị quang học&gt; máy ảnh kỹ thuật số&gt; single-lens không gương lật&gt; Olympus")</f>
        <v>Đấu giá&gt; thiết bị điện tử tiêu dùng, AV, máy ảnh&gt; máy ảnh, thiết bị quang học&gt; máy ảnh kỹ thuật số&gt; single-lens không gương lật&gt; Olympus</v>
      </c>
      <c r="F86" t="str">
        <f t="shared" ca="1" si="1"/>
        <v>"2084305448" : "Olympus",</v>
      </c>
    </row>
    <row r="87" spans="1:6" ht="15.75" customHeight="1">
      <c r="A87" s="12">
        <v>2084305444</v>
      </c>
      <c r="B87" s="12" t="s">
        <v>2031</v>
      </c>
      <c r="C87" s="12" t="s">
        <v>2068</v>
      </c>
      <c r="D87" s="5" t="str">
        <f ca="1">IFERROR(__xludf.DUMMYFUNCTION("GOOGLETRANSLATE(B88,""ja"",""vi"")"),"Canon")</f>
        <v>Canon</v>
      </c>
      <c r="E87" s="4" t="str">
        <f ca="1">IFERROR(__xludf.DUMMYFUNCTION("GOOGLETRANSLATE(C88,""ja"",""vi"")"),"Đấu giá&gt; thiết bị điện tử tiêu dùng, AV, máy ảnh&gt; máy ảnh, thiết bị quang học&gt; máy ảnh kỹ thuật số&gt; single-lens không gương lật&gt; Canon")</f>
        <v>Đấu giá&gt; thiết bị điện tử tiêu dùng, AV, máy ảnh&gt; máy ảnh, thiết bị quang học&gt; máy ảnh kỹ thuật số&gt; single-lens không gương lật&gt; Canon</v>
      </c>
      <c r="F87" t="str">
        <f t="shared" ca="1" si="1"/>
        <v>"2084305444" : "Canon",</v>
      </c>
    </row>
    <row r="88" spans="1:6" ht="15.75" customHeight="1">
      <c r="A88" s="12">
        <v>2084305447</v>
      </c>
      <c r="B88" s="12" t="s">
        <v>1738</v>
      </c>
      <c r="C88" s="12" t="s">
        <v>2071</v>
      </c>
      <c r="D88" s="5" t="str">
        <f ca="1">IFERROR(__xludf.DUMMYFUNCTION("GOOGLETRANSLATE(B89,""ja"",""vi"")"),"Sony")</f>
        <v>Sony</v>
      </c>
      <c r="E88" s="4" t="str">
        <f ca="1">IFERROR(__xludf.DUMMYFUNCTION("GOOGLETRANSLATE(C89,""ja"",""vi"")"),"Đấu giá&gt; thiết bị điện tử tiêu dùng, AV, máy ảnh&gt; máy ảnh, thiết bị quang học&gt; máy ảnh kỹ thuật số&gt; single-lens không gương lật&gt; Sony")</f>
        <v>Đấu giá&gt; thiết bị điện tử tiêu dùng, AV, máy ảnh&gt; máy ảnh, thiết bị quang học&gt; máy ảnh kỹ thuật số&gt; single-lens không gương lật&gt; Sony</v>
      </c>
      <c r="F88" t="str">
        <f t="shared" ca="1" si="1"/>
        <v>"2084305447" : "Sony",</v>
      </c>
    </row>
    <row r="89" spans="1:6" ht="15.75" customHeight="1">
      <c r="A89" s="12">
        <v>2084305445</v>
      </c>
      <c r="B89" s="12" t="s">
        <v>2044</v>
      </c>
      <c r="C89" s="12" t="s">
        <v>2074</v>
      </c>
      <c r="D89" s="5" t="str">
        <f ca="1">IFERROR(__xludf.DUMMYFUNCTION("GOOGLETRANSLATE(B90,""ja"",""vi"")"),"Nikon")</f>
        <v>Nikon</v>
      </c>
      <c r="E89" s="4" t="str">
        <f ca="1">IFERROR(__xludf.DUMMYFUNCTION("GOOGLETRANSLATE(C90,""ja"",""vi"")"),"Đấu giá&gt; thiết bị điện tử tiêu dùng, AV, máy ảnh&gt; máy ảnh, thiết bị quang học&gt; máy ảnh kỹ thuật số&gt; single-lens không gương lật&gt; Nikon")</f>
        <v>Đấu giá&gt; thiết bị điện tử tiêu dùng, AV, máy ảnh&gt; máy ảnh, thiết bị quang học&gt; máy ảnh kỹ thuật số&gt; single-lens không gương lật&gt; Nikon</v>
      </c>
      <c r="F89" t="str">
        <f t="shared" ca="1" si="1"/>
        <v>"2084305445" : "Nikon",</v>
      </c>
    </row>
    <row r="90" spans="1:6" ht="15.75" customHeight="1">
      <c r="A90" s="12">
        <v>2084305449</v>
      </c>
      <c r="B90" s="12" t="s">
        <v>1918</v>
      </c>
      <c r="C90" s="12" t="s">
        <v>2077</v>
      </c>
      <c r="D90" s="5" t="str">
        <f ca="1">IFERROR(__xludf.DUMMYFUNCTION("GOOGLETRANSLATE(B91,""ja"",""vi"")"),"Panasonic")</f>
        <v>Panasonic</v>
      </c>
      <c r="E90" s="4" t="str">
        <f ca="1">IFERROR(__xludf.DUMMYFUNCTION("GOOGLETRANSLATE(C91,""ja"",""vi"")"),"Đấu giá&gt; thiết bị điện tử tiêu dùng, AV, máy ảnh&gt; máy ảnh, thiết bị quang học&gt; máy ảnh kỹ thuật số&gt; single-lens không gương lật&gt; Panasonic")</f>
        <v>Đấu giá&gt; thiết bị điện tử tiêu dùng, AV, máy ảnh&gt; máy ảnh, thiết bị quang học&gt; máy ảnh kỹ thuật số&gt; single-lens không gương lật&gt; Panasonic</v>
      </c>
      <c r="F90" t="str">
        <f t="shared" ca="1" si="1"/>
        <v>"2084305449" : "Panasonic",</v>
      </c>
    </row>
    <row r="91" spans="1:6" ht="15.75" customHeight="1">
      <c r="A91" s="12">
        <v>2084305446</v>
      </c>
      <c r="B91" s="12" t="s">
        <v>2055</v>
      </c>
      <c r="C91" s="12" t="s">
        <v>2078</v>
      </c>
      <c r="D91" s="5" t="str">
        <f ca="1">IFERROR(__xludf.DUMMYFUNCTION("GOOGLETRANSLATE(B92,""ja"",""vi"")"),"Pentax")</f>
        <v>Pentax</v>
      </c>
      <c r="E91" s="4" t="str">
        <f ca="1">IFERROR(__xludf.DUMMYFUNCTION("GOOGLETRANSLATE(C92,""ja"",""vi"")"),"Đấu giá&gt; thiết bị điện tử tiêu dùng, AV, máy ảnh&gt; máy ảnh, thiết bị quang học&gt; máy ảnh kỹ thuật số&gt; single-lens không gương lật&gt; Pentax")</f>
        <v>Đấu giá&gt; thiết bị điện tử tiêu dùng, AV, máy ảnh&gt; máy ảnh, thiết bị quang học&gt; máy ảnh kỹ thuật số&gt; single-lens không gương lật&gt; Pentax</v>
      </c>
      <c r="F91" t="str">
        <f t="shared" ca="1" si="1"/>
        <v>"2084305446" : "Pentax",</v>
      </c>
    </row>
    <row r="92" spans="1:6" ht="15.75" customHeight="1">
      <c r="A92" s="12">
        <v>2084305450</v>
      </c>
      <c r="B92" s="12" t="s">
        <v>2081</v>
      </c>
      <c r="C92" s="12" t="s">
        <v>2082</v>
      </c>
      <c r="D92" s="5" t="str">
        <f ca="1">IFERROR(__xludf.DUMMYFUNCTION("GOOGLETRANSLATE(B93,""ja"",""vi"")"),"Fujifilm")</f>
        <v>Fujifilm</v>
      </c>
      <c r="E92" s="4" t="str">
        <f ca="1">IFERROR(__xludf.DUMMYFUNCTION("GOOGLETRANSLATE(C93,""ja"",""vi"")"),"Đấu giá&gt; thiết bị điện tử tiêu dùng, AV, máy ảnh&gt; máy ảnh, thiết bị quang học&gt; máy ảnh kỹ thuật số&gt; single-lens không gương lật&gt; Fujifilm")</f>
        <v>Đấu giá&gt; thiết bị điện tử tiêu dùng, AV, máy ảnh&gt; máy ảnh, thiết bị quang học&gt; máy ảnh kỹ thuật số&gt; single-lens không gương lật&gt; Fujifilm</v>
      </c>
      <c r="F92" t="str">
        <f t="shared" ca="1" si="1"/>
        <v>"2084305450" : "Fujifilm",</v>
      </c>
    </row>
    <row r="93" spans="1:6" ht="15.75" customHeight="1">
      <c r="A93" s="12">
        <v>2084305451</v>
      </c>
      <c r="B93" s="12" t="s">
        <v>46</v>
      </c>
      <c r="C93" s="12" t="s">
        <v>2085</v>
      </c>
      <c r="D93" s="5" t="str">
        <f ca="1">IFERROR(__xludf.DUMMYFUNCTION("GOOGLETRANSLATE(B94,""ja"",""vi"")"),"nếu không thì")</f>
        <v>nếu không thì</v>
      </c>
      <c r="E93" s="4" t="str">
        <f ca="1">IFERROR(__xludf.DUMMYFUNCTION("GOOGLETRANSLATE(C94,""ja"",""vi"")"),"Đấu giá&gt; thiết bị điện tử tiêu dùng, AV, máy ảnh&gt; máy ảnh, thiết bị quang học&gt; máy ảnh kỹ thuật số&gt; single-lens không gương lật&gt; Khác")</f>
        <v>Đấu giá&gt; thiết bị điện tử tiêu dùng, AV, máy ảnh&gt; máy ảnh, thiết bị quang học&gt; máy ảnh kỹ thuật số&gt; single-lens không gương lật&gt; Khác</v>
      </c>
      <c r="F93" t="str">
        <f t="shared" ca="1" si="1"/>
        <v>"2084305451" : "nếu không thì",</v>
      </c>
    </row>
    <row r="94" spans="1:6" ht="15.75" customHeight="1">
      <c r="A94" s="12">
        <v>2084261648</v>
      </c>
      <c r="B94" s="12" t="s">
        <v>2023</v>
      </c>
      <c r="C94" s="12" t="s">
        <v>2088</v>
      </c>
      <c r="D94" s="5" t="str">
        <f ca="1">IFERROR(__xludf.DUMMYFUNCTION("GOOGLETRANSLATE(B95,""ja"",""vi"")"),"Olympus")</f>
        <v>Olympus</v>
      </c>
      <c r="E94" s="4" t="str">
        <f ca="1">IFERROR(__xludf.DUMMYFUNCTION("GOOGLETRANSLATE(C95,""ja"",""vi"")"),"Đấu giá&gt; thiết bị điện tử tiêu dùng, AV, máy ảnh&gt; máy ảnh, thiết bị quang học&gt; máy ảnh kỹ thuật số&gt; Máy ảnh kỹ thuật số compact&gt; Olympus")</f>
        <v>Đấu giá&gt; thiết bị điện tử tiêu dùng, AV, máy ảnh&gt; máy ảnh, thiết bị quang học&gt; máy ảnh kỹ thuật số&gt; Máy ảnh kỹ thuật số compact&gt; Olympus</v>
      </c>
      <c r="F94" t="str">
        <f t="shared" ca="1" si="1"/>
        <v>"2084261648" : "Olympus",</v>
      </c>
    </row>
    <row r="95" spans="1:6" ht="15.75" customHeight="1">
      <c r="A95" s="12">
        <v>2084261650</v>
      </c>
      <c r="B95" s="12" t="s">
        <v>1806</v>
      </c>
      <c r="C95" s="12" t="s">
        <v>2091</v>
      </c>
      <c r="D95" s="5" t="str">
        <f ca="1">IFERROR(__xludf.DUMMYFUNCTION("GOOGLETRANSLATE(B96,""ja"",""vi"")"),"Casio")</f>
        <v>Casio</v>
      </c>
      <c r="E95" s="4" t="str">
        <f ca="1">IFERROR(__xludf.DUMMYFUNCTION("GOOGLETRANSLATE(C96,""ja"",""vi"")"),"Đấu giá&gt; thiết bị điện tử tiêu dùng, AV, máy ảnh&gt; máy ảnh, thiết bị quang học&gt; máy ảnh kỹ thuật số&gt; Máy ảnh kỹ thuật số compact&gt; Casio")</f>
        <v>Đấu giá&gt; thiết bị điện tử tiêu dùng, AV, máy ảnh&gt; máy ảnh, thiết bị quang học&gt; máy ảnh kỹ thuật số&gt; Máy ảnh kỹ thuật số compact&gt; Casio</v>
      </c>
      <c r="F95" t="str">
        <f t="shared" ca="1" si="1"/>
        <v>"2084261650" : "Casio",</v>
      </c>
    </row>
    <row r="96" spans="1:6" ht="15.75" customHeight="1">
      <c r="A96" s="12">
        <v>2084261643</v>
      </c>
      <c r="B96" s="12" t="s">
        <v>2031</v>
      </c>
      <c r="C96" s="12" t="s">
        <v>2094</v>
      </c>
      <c r="D96" s="5" t="str">
        <f ca="1">IFERROR(__xludf.DUMMYFUNCTION("GOOGLETRANSLATE(B97,""ja"",""vi"")"),"Canon")</f>
        <v>Canon</v>
      </c>
      <c r="E96" s="4" t="str">
        <f ca="1">IFERROR(__xludf.DUMMYFUNCTION("GOOGLETRANSLATE(C97,""ja"",""vi"")"),"Đấu giá&gt; thiết bị điện tử tiêu dùng, AV, máy ảnh&gt; máy ảnh, thiết bị quang học&gt; máy ảnh kỹ thuật số&gt; Máy ảnh kỹ thuật số compact&gt; Canon")</f>
        <v>Đấu giá&gt; thiết bị điện tử tiêu dùng, AV, máy ảnh&gt; máy ảnh, thiết bị quang học&gt; máy ảnh kỹ thuật số&gt; Máy ảnh kỹ thuật số compact&gt; Canon</v>
      </c>
      <c r="F96" t="str">
        <f t="shared" ca="1" si="1"/>
        <v>"2084261643" : "Canon",</v>
      </c>
    </row>
    <row r="97" spans="1:6" ht="15.75" customHeight="1">
      <c r="A97" s="12">
        <v>2084261655</v>
      </c>
      <c r="B97" s="12" t="s">
        <v>2095</v>
      </c>
      <c r="C97" s="12" t="s">
        <v>2097</v>
      </c>
      <c r="D97" s="5" t="str">
        <f ca="1">IFERROR(__xludf.DUMMYFUNCTION("GOOGLETRANSLATE(B98,""ja"",""vi"")"),"Sigma")</f>
        <v>Sigma</v>
      </c>
      <c r="E97" s="4" t="str">
        <f ca="1">IFERROR(__xludf.DUMMYFUNCTION("GOOGLETRANSLATE(C98,""ja"",""vi"")"),"Đấu giá&gt; thiết bị điện tử tiêu dùng, AV, máy ảnh&gt; máy ảnh, thiết bị quang học&gt; máy ảnh kỹ thuật số&gt; Máy ảnh kỹ thuật số compact&gt; sigma")</f>
        <v>Đấu giá&gt; thiết bị điện tử tiêu dùng, AV, máy ảnh&gt; máy ảnh, thiết bị quang học&gt; máy ảnh kỹ thuật số&gt; Máy ảnh kỹ thuật số compact&gt; sigma</v>
      </c>
      <c r="F97" t="str">
        <f t="shared" ca="1" si="1"/>
        <v>"2084261655" : "Sigma",</v>
      </c>
    </row>
    <row r="98" spans="1:6" ht="15.75" customHeight="1">
      <c r="A98" s="12">
        <v>2084261646</v>
      </c>
      <c r="B98" s="12" t="s">
        <v>1738</v>
      </c>
      <c r="C98" s="12" t="s">
        <v>2101</v>
      </c>
      <c r="D98" s="5" t="str">
        <f ca="1">IFERROR(__xludf.DUMMYFUNCTION("GOOGLETRANSLATE(B99,""ja"",""vi"")"),"Sony")</f>
        <v>Sony</v>
      </c>
      <c r="E98" s="4" t="str">
        <f ca="1">IFERROR(__xludf.DUMMYFUNCTION("GOOGLETRANSLATE(C99,""ja"",""vi"")"),"Đấu giá&gt; thiết bị điện tử tiêu dùng, AV, máy ảnh&gt; máy ảnh, thiết bị quang học&gt; máy ảnh kỹ thuật số&gt; Máy ảnh kỹ thuật số compact&gt; Sony")</f>
        <v>Đấu giá&gt; thiết bị điện tử tiêu dùng, AV, máy ảnh&gt; máy ảnh, thiết bị quang học&gt; máy ảnh kỹ thuật số&gt; Máy ảnh kỹ thuật số compact&gt; Sony</v>
      </c>
      <c r="F98" t="str">
        <f t="shared" ca="1" si="1"/>
        <v>"2084261646" : "Sony",</v>
      </c>
    </row>
    <row r="99" spans="1:6" ht="15.75" customHeight="1">
      <c r="A99" s="12">
        <v>2084261644</v>
      </c>
      <c r="B99" s="12" t="s">
        <v>2044</v>
      </c>
      <c r="C99" s="12" t="s">
        <v>2104</v>
      </c>
      <c r="D99" s="5" t="str">
        <f ca="1">IFERROR(__xludf.DUMMYFUNCTION("GOOGLETRANSLATE(B100,""ja"",""vi"")"),"Nikon")</f>
        <v>Nikon</v>
      </c>
      <c r="E99" s="4" t="str">
        <f ca="1">IFERROR(__xludf.DUMMYFUNCTION("GOOGLETRANSLATE(C100,""ja"",""vi"")"),"Đấu giá&gt; thiết bị điện tử tiêu dùng, AV, máy ảnh&gt; máy ảnh, thiết bị quang học&gt; máy ảnh kỹ thuật số&gt; Máy ảnh kỹ thuật số compact&gt; Nikon")</f>
        <v>Đấu giá&gt; thiết bị điện tử tiêu dùng, AV, máy ảnh&gt; máy ảnh, thiết bị quang học&gt; máy ảnh kỹ thuật số&gt; Máy ảnh kỹ thuật số compact&gt; Nikon</v>
      </c>
      <c r="F99" t="str">
        <f t="shared" ca="1" si="1"/>
        <v>"2084261644" : "Nikon",</v>
      </c>
    </row>
    <row r="100" spans="1:6" ht="15.75" customHeight="1">
      <c r="A100" s="12">
        <v>2084261649</v>
      </c>
      <c r="B100" s="12" t="s">
        <v>1918</v>
      </c>
      <c r="C100" s="12" t="s">
        <v>2109</v>
      </c>
      <c r="D100" s="5" t="str">
        <f ca="1">IFERROR(__xludf.DUMMYFUNCTION("GOOGLETRANSLATE(B101,""ja"",""vi"")"),"Panasonic")</f>
        <v>Panasonic</v>
      </c>
      <c r="E100" s="4" t="str">
        <f ca="1">IFERROR(__xludf.DUMMYFUNCTION("GOOGLETRANSLATE(C101,""ja"",""vi"")"),"Đấu giá&gt; thiết bị điện tử tiêu dùng, AV, máy ảnh&gt; máy ảnh, thiết bị quang học&gt; máy ảnh kỹ thuật số&gt; Máy ảnh kỹ thuật số compact&gt; Panasonic")</f>
        <v>Đấu giá&gt; thiết bị điện tử tiêu dùng, AV, máy ảnh&gt; máy ảnh, thiết bị quang học&gt; máy ảnh kỹ thuật số&gt; Máy ảnh kỹ thuật số compact&gt; Panasonic</v>
      </c>
      <c r="F100" t="str">
        <f t="shared" ca="1" si="1"/>
        <v>"2084261649" : "Panasonic",</v>
      </c>
    </row>
    <row r="101" spans="1:6" ht="15.75" customHeight="1">
      <c r="A101" s="12">
        <v>2084261645</v>
      </c>
      <c r="B101" s="12" t="s">
        <v>2055</v>
      </c>
      <c r="C101" s="12" t="s">
        <v>2112</v>
      </c>
      <c r="D101" s="5" t="str">
        <f ca="1">IFERROR(__xludf.DUMMYFUNCTION("GOOGLETRANSLATE(B102,""ja"",""vi"")"),"Pentax")</f>
        <v>Pentax</v>
      </c>
      <c r="E101" s="4" t="str">
        <f ca="1">IFERROR(__xludf.DUMMYFUNCTION("GOOGLETRANSLATE(C102,""ja"",""vi"")"),"Đấu giá&gt; thiết bị điện tử tiêu dùng, AV, máy ảnh&gt; máy ảnh, thiết bị quang học&gt; máy ảnh kỹ thuật số&gt; Máy ảnh kỹ thuật số compact&gt; Pentax")</f>
        <v>Đấu giá&gt; thiết bị điện tử tiêu dùng, AV, máy ảnh&gt; máy ảnh, thiết bị quang học&gt; máy ảnh kỹ thuật số&gt; Máy ảnh kỹ thuật số compact&gt; Pentax</v>
      </c>
      <c r="F101" t="str">
        <f t="shared" ca="1" si="1"/>
        <v>"2084261645" : "Pentax",</v>
      </c>
    </row>
    <row r="102" spans="1:6" ht="15.75" customHeight="1">
      <c r="A102" s="12">
        <v>2084261647</v>
      </c>
      <c r="B102" s="12" t="s">
        <v>2116</v>
      </c>
      <c r="C102" s="12" t="s">
        <v>2118</v>
      </c>
      <c r="D102" s="5" t="str">
        <f ca="1">IFERROR(__xludf.DUMMYFUNCTION("GOOGLETRANSLATE(B103,""ja"",""vi"")"),"Minolta, Konica Minolta")</f>
        <v>Minolta, Konica Minolta</v>
      </c>
      <c r="E102" s="4" t="str">
        <f ca="1">IFERROR(__xludf.DUMMYFUNCTION("GOOGLETRANSLATE(C103,""ja"",""vi"")"),"Đấu giá&gt; thiết bị điện tử tiêu dùng, AV, máy ảnh&gt; máy ảnh, thiết bị quang học&gt; máy ảnh kỹ thuật số&gt; Máy ảnh kỹ thuật số compact&gt; Minolta, Konica Minolta")</f>
        <v>Đấu giá&gt; thiết bị điện tử tiêu dùng, AV, máy ảnh&gt; máy ảnh, thiết bị quang học&gt; máy ảnh kỹ thuật số&gt; Máy ảnh kỹ thuật số compact&gt; Minolta, Konica Minolta</v>
      </c>
      <c r="F102" t="str">
        <f t="shared" ca="1" si="1"/>
        <v>"2084261647" : "Minolta, Konica Minolta",</v>
      </c>
    </row>
    <row r="103" spans="1:6" ht="15.75" customHeight="1">
      <c r="A103" s="12">
        <v>2084261654</v>
      </c>
      <c r="B103" s="12" t="s">
        <v>2120</v>
      </c>
      <c r="C103" s="12" t="s">
        <v>2122</v>
      </c>
      <c r="D103" s="5" t="str">
        <f ca="1">IFERROR(__xludf.DUMMYFUNCTION("GOOGLETRANSLATE(B104,""ja"",""vi"")"),"Leica")</f>
        <v>Leica</v>
      </c>
      <c r="E103" s="4" t="str">
        <f ca="1">IFERROR(__xludf.DUMMYFUNCTION("GOOGLETRANSLATE(C104,""ja"",""vi"")"),"Đấu giá&gt; thiết bị điện tử tiêu dùng, AV, máy ảnh&gt; máy ảnh, thiết bị quang học&gt; máy ảnh kỹ thuật số&gt; Máy ảnh kỹ thuật số compact&gt; Leica")</f>
        <v>Đấu giá&gt; thiết bị điện tử tiêu dùng, AV, máy ảnh&gt; máy ảnh, thiết bị quang học&gt; máy ảnh kỹ thuật số&gt; Máy ảnh kỹ thuật số compact&gt; Leica</v>
      </c>
      <c r="F103" t="str">
        <f t="shared" ca="1" si="1"/>
        <v>"2084261654" : "Leica",</v>
      </c>
    </row>
    <row r="104" spans="1:6" ht="15.75" customHeight="1">
      <c r="A104" s="12">
        <v>2084261651</v>
      </c>
      <c r="B104" s="12" t="s">
        <v>2125</v>
      </c>
      <c r="C104" s="12" t="s">
        <v>2127</v>
      </c>
      <c r="D104" s="5" t="str">
        <f ca="1">IFERROR(__xludf.DUMMYFUNCTION("GOOGLETRANSLATE(B105,""ja"",""vi"")"),"Ricoh")</f>
        <v>Ricoh</v>
      </c>
      <c r="E104" s="4" t="str">
        <f ca="1">IFERROR(__xludf.DUMMYFUNCTION("GOOGLETRANSLATE(C105,""ja"",""vi"")"),"Đấu giá&gt; thiết bị điện tử tiêu dùng, AV, máy ảnh&gt; máy ảnh, thiết bị quang học&gt; máy ảnh kỹ thuật số&gt; Máy ảnh kỹ thuật số compact&gt; Ricoh")</f>
        <v>Đấu giá&gt; thiết bị điện tử tiêu dùng, AV, máy ảnh&gt; máy ảnh, thiết bị quang học&gt; máy ảnh kỹ thuật số&gt; Máy ảnh kỹ thuật số compact&gt; Ricoh</v>
      </c>
      <c r="F104" t="str">
        <f t="shared" ca="1" si="1"/>
        <v>"2084261651" : "Ricoh",</v>
      </c>
    </row>
    <row r="105" spans="1:6" ht="15.75" customHeight="1">
      <c r="A105" s="12">
        <v>2084261656</v>
      </c>
      <c r="B105" s="12" t="s">
        <v>2132</v>
      </c>
      <c r="C105" s="12" t="s">
        <v>2134</v>
      </c>
      <c r="D105" s="5" t="str">
        <f ca="1">IFERROR(__xludf.DUMMYFUNCTION("GOOGLETRANSLATE(B106,""ja"",""vi"")"),"Sanyo")</f>
        <v>Sanyo</v>
      </c>
      <c r="E105" s="4" t="str">
        <f ca="1">IFERROR(__xludf.DUMMYFUNCTION("GOOGLETRANSLATE(C106,""ja"",""vi"")"),"Đấu giá&gt; thiết bị điện tử tiêu dùng, AV, máy ảnh&gt; máy ảnh, thiết bị quang học&gt; máy ảnh kỹ thuật số&gt; Máy ảnh kỹ thuật số compact&gt; Sanyo")</f>
        <v>Đấu giá&gt; thiết bị điện tử tiêu dùng, AV, máy ảnh&gt; máy ảnh, thiết bị quang học&gt; máy ảnh kỹ thuật số&gt; Máy ảnh kỹ thuật số compact&gt; Sanyo</v>
      </c>
      <c r="F105" t="str">
        <f t="shared" ca="1" si="1"/>
        <v>"2084261656" : "Sanyo",</v>
      </c>
    </row>
    <row r="106" spans="1:6" ht="15.75" customHeight="1">
      <c r="A106" s="12">
        <v>2084261653</v>
      </c>
      <c r="B106" s="12" t="s">
        <v>1851</v>
      </c>
      <c r="C106" s="12" t="s">
        <v>2138</v>
      </c>
      <c r="D106" s="5" t="str">
        <f ca="1">IFERROR(__xludf.DUMMYFUNCTION("GOOGLETRANSLATE(B107,""ja"",""vi"")"),"Hitachi")</f>
        <v>Hitachi</v>
      </c>
      <c r="E106" s="4" t="str">
        <f ca="1">IFERROR(__xludf.DUMMYFUNCTION("GOOGLETRANSLATE(C107,""ja"",""vi"")"),"Đấu giá&gt; thiết bị điện tử tiêu dùng, AV, máy ảnh&gt; máy ảnh, thiết bị quang học&gt; máy ảnh kỹ thuật số&gt; Máy ảnh kỹ thuật số compact&gt; Hitachi")</f>
        <v>Đấu giá&gt; thiết bị điện tử tiêu dùng, AV, máy ảnh&gt; máy ảnh, thiết bị quang học&gt; máy ảnh kỹ thuật số&gt; Máy ảnh kỹ thuật số compact&gt; Hitachi</v>
      </c>
      <c r="F106" t="str">
        <f t="shared" ca="1" si="1"/>
        <v>"2084261653" : "Hitachi",</v>
      </c>
    </row>
    <row r="107" spans="1:6" ht="15.75" customHeight="1">
      <c r="A107" s="12">
        <v>2084261652</v>
      </c>
      <c r="B107" s="12" t="s">
        <v>2081</v>
      </c>
      <c r="C107" s="12" t="s">
        <v>2145</v>
      </c>
      <c r="D107" s="5" t="str">
        <f ca="1">IFERROR(__xludf.DUMMYFUNCTION("GOOGLETRANSLATE(B108,""ja"",""vi"")"),"Fujifilm")</f>
        <v>Fujifilm</v>
      </c>
      <c r="E107" s="4" t="str">
        <f ca="1">IFERROR(__xludf.DUMMYFUNCTION("GOOGLETRANSLATE(C108,""ja"",""vi"")"),"Đấu giá&gt; thiết bị điện tử tiêu dùng, AV, máy ảnh&gt; máy ảnh, thiết bị quang học&gt; máy ảnh kỹ thuật số&gt; Máy ảnh kỹ thuật số compact&gt; Fujifilm")</f>
        <v>Đấu giá&gt; thiết bị điện tử tiêu dùng, AV, máy ảnh&gt; máy ảnh, thiết bị quang học&gt; máy ảnh kỹ thuật số&gt; Máy ảnh kỹ thuật số compact&gt; Fujifilm</v>
      </c>
      <c r="F107" t="str">
        <f t="shared" ca="1" si="1"/>
        <v>"2084261652" : "Fujifilm",</v>
      </c>
    </row>
    <row r="108" spans="1:6" ht="15.75" customHeight="1">
      <c r="A108" s="12">
        <v>2084261657</v>
      </c>
      <c r="B108" s="12" t="s">
        <v>46</v>
      </c>
      <c r="C108" s="12" t="s">
        <v>2151</v>
      </c>
      <c r="D108" s="5" t="str">
        <f ca="1">IFERROR(__xludf.DUMMYFUNCTION("GOOGLETRANSLATE(B109,""ja"",""vi"")"),"nếu không thì")</f>
        <v>nếu không thì</v>
      </c>
      <c r="E108" s="4" t="str">
        <f ca="1">IFERROR(__xludf.DUMMYFUNCTION("GOOGLETRANSLATE(C109,""ja"",""vi"")"),"Đấu giá&gt; thiết bị điện tử tiêu dùng, AV, máy ảnh&gt; máy ảnh, thiết bị quang học&gt; máy ảnh kỹ thuật số&gt; Máy ảnh kỹ thuật số compact&gt; Khác")</f>
        <v>Đấu giá&gt; thiết bị điện tử tiêu dùng, AV, máy ảnh&gt; máy ảnh, thiết bị quang học&gt; máy ảnh kỹ thuật số&gt; Máy ảnh kỹ thuật số compact&gt; Khác</v>
      </c>
      <c r="F108" t="str">
        <f t="shared" ca="1" si="1"/>
        <v>"2084261657" : "nếu không thì",</v>
      </c>
    </row>
    <row r="109" spans="1:6" ht="15.75" customHeight="1">
      <c r="A109" s="12">
        <v>2084261669</v>
      </c>
      <c r="B109" s="12" t="s">
        <v>2157</v>
      </c>
      <c r="C109" s="12" t="s">
        <v>2158</v>
      </c>
      <c r="D109" s="5" t="str">
        <f ca="1">IFERROR(__xludf.DUMMYFUNCTION("GOOGLETRANSLATE(B110,""ja"",""vi"")"),"Đối với SLR")</f>
        <v>Đối với SLR</v>
      </c>
      <c r="E109" s="4" t="str">
        <f ca="1">IFERROR(__xludf.DUMMYFUNCTION("GOOGLETRANSLATE(C110,""ja"",""vi"")"),"Đấu giá&gt; thiết bị điện tử tiêu dùng, AV, máy ảnh&gt; máy ảnh, thiết bị quang học&gt; máy ảnh kỹ thuật số&gt; pin, sạc&gt; dùng một ống kính")</f>
        <v>Đấu giá&gt; thiết bị điện tử tiêu dùng, AV, máy ảnh&gt; máy ảnh, thiết bị quang học&gt; máy ảnh kỹ thuật số&gt; pin, sạc&gt; dùng một ống kính</v>
      </c>
      <c r="F109" t="str">
        <f t="shared" ca="1" si="1"/>
        <v>"2084261669" : "Đối với SLR",</v>
      </c>
    </row>
    <row r="110" spans="1:6" ht="15.75" customHeight="1">
      <c r="A110" s="12">
        <v>2084261670</v>
      </c>
      <c r="B110" s="12" t="s">
        <v>2162</v>
      </c>
      <c r="C110" s="12" t="s">
        <v>2166</v>
      </c>
      <c r="D110" s="5" t="str">
        <f ca="1">IFERROR(__xludf.DUMMYFUNCTION("GOOGLETRANSLATE(B111,""ja"",""vi"")"),"máy ảnh kỹ thuật số nhỏ gọn")</f>
        <v>máy ảnh kỹ thuật số nhỏ gọn</v>
      </c>
      <c r="E110" s="4" t="str">
        <f ca="1">IFERROR(__xludf.DUMMYFUNCTION("GOOGLETRANSLATE(C111,""ja"",""vi"")"),"Đấu giá&gt; thiết bị điện tử tiêu dùng, AV, máy ảnh&gt; máy ảnh, thiết bị quang học&gt; máy ảnh kỹ thuật số&gt; pin, sạc&gt; cho máy ảnh kỹ thuật số nhỏ gọn")</f>
        <v>Đấu giá&gt; thiết bị điện tử tiêu dùng, AV, máy ảnh&gt; máy ảnh, thiết bị quang học&gt; máy ảnh kỹ thuật số&gt; pin, sạc&gt; cho máy ảnh kỹ thuật số nhỏ gọn</v>
      </c>
      <c r="F110" t="str">
        <f t="shared" ca="1" si="1"/>
        <v>"2084261670" : "máy ảnh kỹ thuật số nhỏ gọn",</v>
      </c>
    </row>
    <row r="111" spans="1:6" ht="15.75" customHeight="1">
      <c r="A111" s="12">
        <v>2084219319</v>
      </c>
      <c r="B111" s="12" t="s">
        <v>2169</v>
      </c>
      <c r="C111" s="12" t="s">
        <v>2172</v>
      </c>
      <c r="D111" s="5" t="str">
        <f ca="1">IFERROR(__xludf.DUMMYFUNCTION("GOOGLETRANSLATE(B112,""ja"",""vi"")"),"USB loại")</f>
        <v>USB loại</v>
      </c>
      <c r="E111" s="4" t="str">
        <f ca="1">IFERROR(__xludf.DUMMYFUNCTION("GOOGLETRANSLATE(C112,""ja"",""vi"")"),"Đấu giá&gt; máy tính&gt; thiết bị ngoại vi&gt; thiết bị đầu vào&gt; đầu đọc thẻ&gt; USB loại")</f>
        <v>Đấu giá&gt; máy tính&gt; thiết bị ngoại vi&gt; thiết bị đầu vào&gt; đầu đọc thẻ&gt; USB loại</v>
      </c>
      <c r="F111" t="str">
        <f t="shared" ca="1" si="1"/>
        <v>"2084219319" : "USB loại",</v>
      </c>
    </row>
    <row r="112" spans="1:6" ht="15.75" customHeight="1">
      <c r="A112" s="12">
        <v>2084219320</v>
      </c>
      <c r="B112" s="12" t="s">
        <v>2177</v>
      </c>
      <c r="C112" s="12" t="s">
        <v>2179</v>
      </c>
      <c r="D112" s="5" t="str">
        <f ca="1">IFERROR(__xludf.DUMMYFUNCTION("GOOGLETRANSLATE(B113,""ja"",""vi"")"),"PC Card Type")</f>
        <v>PC Card Type</v>
      </c>
      <c r="E112" s="4" t="str">
        <f ca="1">IFERROR(__xludf.DUMMYFUNCTION("GOOGLETRANSLATE(C113,""ja"",""vi"")"),"Đấu giá&gt; máy tính&gt; thiết bị ngoại vi&gt; thiết bị đầu vào&gt; đầu đọc thẻ&gt; PC Card Type")</f>
        <v>Đấu giá&gt; máy tính&gt; thiết bị ngoại vi&gt; thiết bị đầu vào&gt; đầu đọc thẻ&gt; PC Card Type</v>
      </c>
      <c r="F112" t="str">
        <f t="shared" ca="1" si="1"/>
        <v>"2084219320" : "PC Card Type",</v>
      </c>
    </row>
    <row r="113" spans="1:6" ht="15.75" customHeight="1">
      <c r="A113" s="12">
        <v>2084219321</v>
      </c>
      <c r="B113" s="12" t="s">
        <v>46</v>
      </c>
      <c r="C113" s="12" t="s">
        <v>2185</v>
      </c>
      <c r="D113" s="5" t="str">
        <f ca="1">IFERROR(__xludf.DUMMYFUNCTION("GOOGLETRANSLATE(B114,""ja"",""vi"")"),"nếu không thì")</f>
        <v>nếu không thì</v>
      </c>
      <c r="E113" s="4" t="str">
        <f ca="1">IFERROR(__xludf.DUMMYFUNCTION("GOOGLETRANSLATE(C114,""ja"",""vi"")"),"Đấu giá&gt; máy tính&gt; thiết bị ngoại vi&gt; thiết bị đầu vào&gt; đầu đọc thẻ&gt; Khác")</f>
        <v>Đấu giá&gt; máy tính&gt; thiết bị ngoại vi&gt; thiết bị đầu vào&gt; đầu đọc thẻ&gt; Khác</v>
      </c>
      <c r="F113" t="str">
        <f t="shared" ca="1" si="1"/>
        <v>"2084219321" : "nếu không thì",</v>
      </c>
    </row>
    <row r="114" spans="1:6" ht="15.75" customHeight="1">
      <c r="A114" s="12">
        <v>2084219309</v>
      </c>
      <c r="B114" s="12" t="s">
        <v>2190</v>
      </c>
      <c r="C114" s="12" t="s">
        <v>2191</v>
      </c>
      <c r="D114" s="5" t="str">
        <f ca="1">IFERROR(__xludf.DUMMYFUNCTION("GOOGLETRANSLATE(B115,""ja"",""vi"")"),"bộ nhớ USB")</f>
        <v>bộ nhớ USB</v>
      </c>
      <c r="E114" s="4" t="str">
        <f ca="1">IFERROR(__xludf.DUMMYFUNCTION("GOOGLETRANSLATE(C115,""ja"",""vi"")"),"Đấu giá&gt; máy tính&gt; cung cấp&gt; bộ nhớ cho ghi âm&gt; bộ nhớ USB")</f>
        <v>Đấu giá&gt; máy tính&gt; cung cấp&gt; bộ nhớ cho ghi âm&gt; bộ nhớ USB</v>
      </c>
      <c r="F114" t="str">
        <f t="shared" ca="1" si="1"/>
        <v>"2084219309" : "bộ nhớ USB",</v>
      </c>
    </row>
    <row r="115" spans="1:6" ht="15.75" customHeight="1">
      <c r="A115" s="12">
        <v>2084047562</v>
      </c>
      <c r="B115" s="12" t="s">
        <v>2195</v>
      </c>
      <c r="C115" s="12" t="s">
        <v>2196</v>
      </c>
      <c r="D115" s="5" t="str">
        <f ca="1">IFERROR(__xludf.DUMMYFUNCTION("GOOGLETRANSLATE(B116,""ja"",""vi"")"),"thẻ nhớ SD, MMC")</f>
        <v>thẻ nhớ SD, MMC</v>
      </c>
      <c r="E115" s="4" t="str">
        <f ca="1">IFERROR(__xludf.DUMMYFUNCTION("GOOGLETRANSLATE(C116,""ja"",""vi"")"),"Đấu giá&gt; máy tính&gt; cung cấp&gt; bộ nhớ cho ghi âm&gt; thẻ nhớ SD, MMC")</f>
        <v>Đấu giá&gt; máy tính&gt; cung cấp&gt; bộ nhớ cho ghi âm&gt; thẻ nhớ SD, MMC</v>
      </c>
      <c r="F115" t="str">
        <f t="shared" ca="1" si="1"/>
        <v>"2084047562" : "thẻ nhớ SD, MMC",</v>
      </c>
    </row>
    <row r="116" spans="1:6" ht="15.75" customHeight="1">
      <c r="A116" s="12">
        <v>2084063998</v>
      </c>
      <c r="B116" s="12" t="s">
        <v>2200</v>
      </c>
      <c r="C116" s="12" t="s">
        <v>2203</v>
      </c>
      <c r="D116" s="5" t="str">
        <f ca="1">IFERROR(__xludf.DUMMYFUNCTION("GOOGLETRANSLATE(B117,""ja"",""vi"")"),"xD Picture-Card")</f>
        <v>xD Picture-Card</v>
      </c>
      <c r="E116" s="4" t="str">
        <f ca="1">IFERROR(__xludf.DUMMYFUNCTION("GOOGLETRANSLATE(C117,""ja"",""vi"")"),"Đấu giá&gt; máy tính&gt; cung cấp&gt; bộ nhớ cho ghi âm&gt; xD Picture Card")</f>
        <v>Đấu giá&gt; máy tính&gt; cung cấp&gt; bộ nhớ cho ghi âm&gt; xD Picture Card</v>
      </c>
      <c r="F116" t="str">
        <f t="shared" ca="1" si="1"/>
        <v>"2084063998" : "xD Picture-Card",</v>
      </c>
    </row>
    <row r="117" spans="1:6" ht="15.75" customHeight="1">
      <c r="A117" s="12">
        <v>2084039471</v>
      </c>
      <c r="B117" s="12" t="s">
        <v>2205</v>
      </c>
      <c r="C117" s="12" t="s">
        <v>2207</v>
      </c>
      <c r="D117" s="5" t="str">
        <f ca="1">IFERROR(__xludf.DUMMYFUNCTION("GOOGLETRANSLATE(B118,""ja"",""vi"")"),"bộ nhớ flash nhỏ gọn")</f>
        <v>bộ nhớ flash nhỏ gọn</v>
      </c>
      <c r="E117" s="4" t="str">
        <f ca="1">IFERROR(__xludf.DUMMYFUNCTION("GOOGLETRANSLATE(C118,""ja"",""vi"")"),"Đấu giá&gt; máy tính&gt; cung cấp&gt; bộ nhớ cho ghi âm&gt; Bộ nhớ Compact Flash")</f>
        <v>Đấu giá&gt; máy tính&gt; cung cấp&gt; bộ nhớ cho ghi âm&gt; Bộ nhớ Compact Flash</v>
      </c>
      <c r="F117" t="str">
        <f t="shared" ca="1" si="1"/>
        <v>"2084039471" : "bộ nhớ flash nhỏ gọn",</v>
      </c>
    </row>
    <row r="118" spans="1:6" ht="15.75" customHeight="1">
      <c r="A118" s="12">
        <v>2084039472</v>
      </c>
      <c r="B118" s="12" t="s">
        <v>2212</v>
      </c>
      <c r="C118" s="12" t="s">
        <v>2213</v>
      </c>
      <c r="D118" s="5" t="str">
        <f ca="1">IFERROR(__xludf.DUMMYFUNCTION("GOOGLETRANSLATE(B119,""ja"",""vi"")"),"smart Media")</f>
        <v>smart Media</v>
      </c>
      <c r="E118" s="4" t="str">
        <f ca="1">IFERROR(__xludf.DUMMYFUNCTION("GOOGLETRANSLATE(C119,""ja"",""vi"")"),"Đấu giá&gt; máy tính&gt; cung cấp&gt; bộ nhớ cho ghi âm&gt; phương tiện truyền thông thông minh")</f>
        <v>Đấu giá&gt; máy tính&gt; cung cấp&gt; bộ nhớ cho ghi âm&gt; phương tiện truyền thông thông minh</v>
      </c>
      <c r="F118" t="str">
        <f t="shared" ca="1" si="1"/>
        <v>"2084039472" : "smart Media",</v>
      </c>
    </row>
    <row r="119" spans="1:6" ht="15.75" customHeight="1">
      <c r="A119" s="12">
        <v>2084042336</v>
      </c>
      <c r="B119" s="12" t="s">
        <v>2217</v>
      </c>
      <c r="C119" s="12" t="s">
        <v>2218</v>
      </c>
      <c r="D119" s="5" t="str">
        <f ca="1">IFERROR(__xludf.DUMMYFUNCTION("GOOGLETRANSLATE(B120,""ja"",""vi"")"),"Memory Stick")</f>
        <v>Memory Stick</v>
      </c>
      <c r="E119" s="4" t="str">
        <f ca="1">IFERROR(__xludf.DUMMYFUNCTION("GOOGLETRANSLATE(C120,""ja"",""vi"")"),"Đấu giá&gt; máy tính&gt; cung cấp&gt; bộ nhớ cho ghi âm&gt; Memory Stick")</f>
        <v>Đấu giá&gt; máy tính&gt; cung cấp&gt; bộ nhớ cho ghi âm&gt; Memory Stick</v>
      </c>
      <c r="F119" t="str">
        <f t="shared" ca="1" si="1"/>
        <v>"2084042336" : "Memory Stick",</v>
      </c>
    </row>
    <row r="120" spans="1:6" ht="15.75" customHeight="1">
      <c r="A120" s="12">
        <v>2084039470</v>
      </c>
      <c r="B120" s="12" t="s">
        <v>2224</v>
      </c>
      <c r="C120" s="12" t="s">
        <v>2227</v>
      </c>
      <c r="D120" s="5" t="str">
        <f ca="1">IFERROR(__xludf.DUMMYFUNCTION("GOOGLETRANSLATE(B121,""ja"",""vi"")"),"thẻ nhớ máy tính")</f>
        <v>thẻ nhớ máy tính</v>
      </c>
      <c r="E120" s="4" t="str">
        <f ca="1">IFERROR(__xludf.DUMMYFUNCTION("GOOGLETRANSLATE(C121,""ja"",""vi"")"),"Đấu giá&gt; máy tính&gt; cung cấp&gt; bộ nhớ cho ghi âm&gt; Bộ nhớ thẻ PC")</f>
        <v>Đấu giá&gt; máy tính&gt; cung cấp&gt; bộ nhớ cho ghi âm&gt; Bộ nhớ thẻ PC</v>
      </c>
      <c r="F120" t="str">
        <f t="shared" ca="1" si="1"/>
        <v>"2084039470" : "thẻ nhớ máy tính",</v>
      </c>
    </row>
    <row r="121" spans="1:6" ht="15.75" customHeight="1">
      <c r="A121" s="12">
        <v>2084042337</v>
      </c>
      <c r="B121" s="12" t="s">
        <v>2232</v>
      </c>
      <c r="C121" s="12" t="s">
        <v>2234</v>
      </c>
      <c r="D121" s="5" t="str">
        <f ca="1">IFERROR(__xludf.DUMMYFUNCTION("GOOGLETRANSLATE(B122,""ja"",""vi"")"),"card Reader")</f>
        <v>card Reader</v>
      </c>
      <c r="E121" s="4" t="str">
        <f ca="1">IFERROR(__xludf.DUMMYFUNCTION("GOOGLETRANSLATE(C122,""ja"",""vi"")"),"Đấu giá&gt; máy tính&gt; cung cấp&gt; bộ nhớ cho ghi âm&gt; Card Reader")</f>
        <v>Đấu giá&gt; máy tính&gt; cung cấp&gt; bộ nhớ cho ghi âm&gt; Card Reader</v>
      </c>
      <c r="F121" t="str">
        <f t="shared" ca="1" si="1"/>
        <v>"2084042337" : "card Reader",</v>
      </c>
    </row>
    <row r="122" spans="1:6" ht="15.75" customHeight="1">
      <c r="A122" s="12">
        <v>2084039473</v>
      </c>
      <c r="B122" s="12" t="s">
        <v>46</v>
      </c>
      <c r="C122" s="12" t="s">
        <v>2239</v>
      </c>
      <c r="D122" s="5" t="str">
        <f ca="1">IFERROR(__xludf.DUMMYFUNCTION("GOOGLETRANSLATE(B123,""ja"",""vi"")"),"nếu không thì")</f>
        <v>nếu không thì</v>
      </c>
      <c r="E122" s="4" t="str">
        <f ca="1">IFERROR(__xludf.DUMMYFUNCTION("GOOGLETRANSLATE(C123,""ja"",""vi"")"),"Đấu giá&gt; máy tính&gt; cung cấp&gt; bộ nhớ cho ghi âm&gt; Khác")</f>
        <v>Đấu giá&gt; máy tính&gt; cung cấp&gt; bộ nhớ cho ghi âm&gt; Khác</v>
      </c>
      <c r="F122" t="str">
        <f t="shared" ca="1" si="1"/>
        <v>"2084039473" : "nếu không thì",</v>
      </c>
    </row>
    <row r="123" spans="1:6" ht="15.75" customHeight="1">
      <c r="A123" s="12">
        <v>2084284248</v>
      </c>
      <c r="B123" s="12" t="s">
        <v>2244</v>
      </c>
      <c r="C123" s="12" t="s">
        <v>2245</v>
      </c>
      <c r="D123" s="5" t="str">
        <f ca="1">IFERROR(__xludf.DUMMYFUNCTION("GOOGLETRANSLATE(B124,""ja"",""vi"")"),"nội bộ")</f>
        <v>nội bộ</v>
      </c>
      <c r="E123" s="4" t="str">
        <f ca="1">IFERROR(__xludf.DUMMYFUNCTION("GOOGLETRANSLATE(C124,""ja"",""vi"")"),"Đấu giá&gt; máy tính&gt; thiết bị ngoại vi&gt; đĩa cứng&gt; built-in")</f>
        <v>Đấu giá&gt; máy tính&gt; thiết bị ngoại vi&gt; đĩa cứng&gt; built-in</v>
      </c>
      <c r="F123" t="str">
        <f t="shared" ca="1" si="1"/>
        <v>"2084284248" : "nội bộ",</v>
      </c>
    </row>
    <row r="124" spans="1:6" ht="15.75" customHeight="1">
      <c r="A124" s="12">
        <v>2084284271</v>
      </c>
      <c r="B124" s="12" t="s">
        <v>2250</v>
      </c>
      <c r="C124" s="12" t="s">
        <v>2253</v>
      </c>
      <c r="D124" s="5" t="str">
        <f ca="1">IFERROR(__xludf.DUMMYFUNCTION("GOOGLETRANSLATE(B125,""ja"",""vi"")"),"ngoài")</f>
        <v>ngoài</v>
      </c>
      <c r="E124" s="4" t="str">
        <f ca="1">IFERROR(__xludf.DUMMYFUNCTION("GOOGLETRANSLATE(C125,""ja"",""vi"")"),"Đấu giá&gt; máy tính&gt; thiết bị ngoại vi&gt; đĩa cứng&gt; External")</f>
        <v>Đấu giá&gt; máy tính&gt; thiết bị ngoại vi&gt; đĩa cứng&gt; External</v>
      </c>
      <c r="F124" t="str">
        <f t="shared" ca="1" si="1"/>
        <v>"2084284271" : "ngoài",</v>
      </c>
    </row>
    <row r="125" spans="1:6" ht="15.75" customHeight="1">
      <c r="A125" s="12">
        <v>2084284272</v>
      </c>
      <c r="B125" s="12" t="s">
        <v>2257</v>
      </c>
      <c r="C125" s="12" t="s">
        <v>2258</v>
      </c>
      <c r="D125" s="5" t="str">
        <f ca="1">IFERROR(__xludf.DUMMYFUNCTION("GOOGLETRANSLATE(B126,""ja"",""vi"")"),"NAS")</f>
        <v>NAS</v>
      </c>
      <c r="E125" s="4" t="str">
        <f ca="1">IFERROR(__xludf.DUMMYFUNCTION("GOOGLETRANSLATE(C126,""ja"",""vi"")"),"Đấu giá&gt; máy tính&gt; thiết bị ngoại vi&gt; đĩa cứng&gt; NAS")</f>
        <v>Đấu giá&gt; máy tính&gt; thiết bị ngoại vi&gt; đĩa cứng&gt; NAS</v>
      </c>
      <c r="F125" t="str">
        <f t="shared" ca="1" si="1"/>
        <v>"2084284272" : "NAS",</v>
      </c>
    </row>
    <row r="126" spans="1:6" ht="15.75" customHeight="1">
      <c r="A126" s="12">
        <v>2084239353</v>
      </c>
      <c r="B126" s="12" t="s">
        <v>2264</v>
      </c>
      <c r="C126" s="12" t="s">
        <v>2266</v>
      </c>
      <c r="D126" s="5" t="str">
        <f ca="1">IFERROR(__xludf.DUMMYFUNCTION("GOOGLETRANSLATE(B127,""ja"",""vi"")"),"di động")</f>
        <v>di động</v>
      </c>
      <c r="E126" s="4" t="str">
        <f ca="1">IFERROR(__xludf.DUMMYFUNCTION("GOOGLETRANSLATE(C127,""ja"",""vi"")"),"Đấu giá&gt; máy tính&gt; thiết bị ngoại vi&gt; đĩa cứng&gt; Thiết bị")</f>
        <v>Đấu giá&gt; máy tính&gt; thiết bị ngoại vi&gt; đĩa cứng&gt; Thiết bị</v>
      </c>
      <c r="F126" t="str">
        <f t="shared" ca="1" si="1"/>
        <v>"2084239353" : "di động",</v>
      </c>
    </row>
    <row r="127" spans="1:6" ht="15.75" customHeight="1">
      <c r="A127" s="12">
        <v>2084239903</v>
      </c>
      <c r="B127" s="12" t="s">
        <v>2269</v>
      </c>
      <c r="C127" s="12" t="s">
        <v>2271</v>
      </c>
      <c r="D127" s="5" t="str">
        <f ca="1">IFERROR(__xludf.DUMMYFUNCTION("GOOGLETRANSLATE(B128,""ja"",""vi"")"),"Mounter, trường hợp")</f>
        <v>Mounter, trường hợp</v>
      </c>
      <c r="E127" s="4" t="str">
        <f ca="1">IFERROR(__xludf.DUMMYFUNCTION("GOOGLETRANSLATE(C128,""ja"",""vi"")"),"Đấu giá&gt; máy tính&gt; thiết bị ngoại vi&gt; đĩa cứng&gt; mounter, trường hợp")</f>
        <v>Đấu giá&gt; máy tính&gt; thiết bị ngoại vi&gt; đĩa cứng&gt; mounter, trường hợp</v>
      </c>
      <c r="F127" t="str">
        <f t="shared" ca="1" si="1"/>
        <v>"2084239903" : "Mounter, trường hợp",</v>
      </c>
    </row>
    <row r="128" spans="1:6" ht="15.75" customHeight="1">
      <c r="A128" s="12">
        <v>2084044825</v>
      </c>
      <c r="B128" s="12" t="s">
        <v>46</v>
      </c>
      <c r="C128" s="12" t="s">
        <v>2276</v>
      </c>
      <c r="D128" s="5" t="str">
        <f ca="1">IFERROR(__xludf.DUMMYFUNCTION("GOOGLETRANSLATE(B129,""ja"",""vi"")"),"nếu không thì")</f>
        <v>nếu không thì</v>
      </c>
      <c r="E128" s="4" t="str">
        <f ca="1">IFERROR(__xludf.DUMMYFUNCTION("GOOGLETRANSLATE(C129,""ja"",""vi"")"),"Đấu giá&gt; máy tính&gt; thiết bị ngoại vi&gt; đĩa cứng&gt; Khác")</f>
        <v>Đấu giá&gt; máy tính&gt; thiết bị ngoại vi&gt; đĩa cứng&gt; Khác</v>
      </c>
      <c r="F128" t="str">
        <f t="shared" ca="1" si="1"/>
        <v>"2084044825" : "nếu không thì",</v>
      </c>
    </row>
    <row r="129" spans="1:6" ht="15.75" customHeight="1">
      <c r="A129" s="12">
        <v>2084284122</v>
      </c>
      <c r="B129" s="12" t="s">
        <v>2281</v>
      </c>
      <c r="C129" s="12" t="s">
        <v>2283</v>
      </c>
      <c r="D129" s="5" t="str">
        <f ca="1">IFERROR(__xludf.DUMMYFUNCTION("GOOGLETRANSLATE(B130,""ja"",""vi"")"),"256GB ~")</f>
        <v>256GB ~</v>
      </c>
      <c r="E129" s="4" t="str">
        <f ca="1">IFERROR(__xludf.DUMMYFUNCTION("GOOGLETRANSLATE(C130,""ja"",""vi"")"),"Đấu giá&gt; máy tính&gt; thiết bị ngoại vi&gt; SSD&gt; 256GB ~")</f>
        <v>Đấu giá&gt; máy tính&gt; thiết bị ngoại vi&gt; SSD&gt; 256GB ~</v>
      </c>
      <c r="F129" t="str">
        <f t="shared" ca="1" si="1"/>
        <v>"2084284122" : "256GB ~",</v>
      </c>
    </row>
    <row r="130" spans="1:6" ht="15.75" customHeight="1">
      <c r="A130" s="12">
        <v>2084284121</v>
      </c>
      <c r="B130" s="12" t="s">
        <v>2287</v>
      </c>
      <c r="C130" s="12" t="s">
        <v>2289</v>
      </c>
      <c r="D130" s="5" t="str">
        <f ca="1">IFERROR(__xludf.DUMMYFUNCTION("GOOGLETRANSLATE(B131,""ja"",""vi"")"),"128GB ~")</f>
        <v>128GB ~</v>
      </c>
      <c r="E130" s="4" t="str">
        <f ca="1">IFERROR(__xludf.DUMMYFUNCTION("GOOGLETRANSLATE(C131,""ja"",""vi"")"),"Đấu giá&gt; máy tính&gt; thiết bị ngoại vi&gt; SSD&gt; 128GB ~")</f>
        <v>Đấu giá&gt; máy tính&gt; thiết bị ngoại vi&gt; SSD&gt; 128GB ~</v>
      </c>
      <c r="F130" t="str">
        <f t="shared" ref="F130:F193" ca="1" si="2">CONCATENATE(CHAR(34)&amp;"",A130,""&amp;CHAR(34)," : ", CHAR(34)&amp;"",D130,""&amp;CHAR(34),",")</f>
        <v>"2084284121" : "128GB ~",</v>
      </c>
    </row>
    <row r="131" spans="1:6" ht="15.75" customHeight="1">
      <c r="A131" s="12">
        <v>2084284120</v>
      </c>
      <c r="B131" s="12" t="s">
        <v>2294</v>
      </c>
      <c r="C131" s="12" t="s">
        <v>2295</v>
      </c>
      <c r="D131" s="5" t="str">
        <f ca="1">IFERROR(__xludf.DUMMYFUNCTION("GOOGLETRANSLATE(B132,""ja"",""vi"")"),"64GB ~")</f>
        <v>64GB ~</v>
      </c>
      <c r="E131" s="4" t="str">
        <f ca="1">IFERROR(__xludf.DUMMYFUNCTION("GOOGLETRANSLATE(C132,""ja"",""vi"")"),"Đấu giá&gt; máy tính&gt; thiết bị ngoại vi&gt; SSD&gt; 64GB ~")</f>
        <v>Đấu giá&gt; máy tính&gt; thiết bị ngoại vi&gt; SSD&gt; 64GB ~</v>
      </c>
      <c r="F131" t="str">
        <f t="shared" ca="1" si="2"/>
        <v>"2084284120" : "64GB ~",</v>
      </c>
    </row>
    <row r="132" spans="1:6" ht="15.75" customHeight="1">
      <c r="A132" s="12">
        <v>2084284119</v>
      </c>
      <c r="B132" s="12" t="s">
        <v>2298</v>
      </c>
      <c r="C132" s="12" t="s">
        <v>2300</v>
      </c>
      <c r="D132" s="5" t="str">
        <f ca="1">IFERROR(__xludf.DUMMYFUNCTION("GOOGLETRANSLATE(B133,""ja"",""vi"")"),"32GB ~")</f>
        <v>32GB ~</v>
      </c>
      <c r="E132" s="4" t="str">
        <f ca="1">IFERROR(__xludf.DUMMYFUNCTION("GOOGLETRANSLATE(C133,""ja"",""vi"")"),"Đấu giá&gt; máy tính&gt; thiết bị ngoại vi&gt; SSD&gt; 32GB ~")</f>
        <v>Đấu giá&gt; máy tính&gt; thiết bị ngoại vi&gt; SSD&gt; 32GB ~</v>
      </c>
      <c r="F132" t="str">
        <f t="shared" ca="1" si="2"/>
        <v>"2084284119" : "32GB ~",</v>
      </c>
    </row>
    <row r="133" spans="1:6" ht="15.75" customHeight="1">
      <c r="A133" s="12">
        <v>2084284123</v>
      </c>
      <c r="B133" s="12" t="s">
        <v>2305</v>
      </c>
      <c r="C133" s="12" t="s">
        <v>2307</v>
      </c>
      <c r="D133" s="5" t="str">
        <f ca="1">IFERROR(__xludf.DUMMYFUNCTION("GOOGLETRANSLATE(B134,""ja"",""vi"")"),"Ít hơn 32GB")</f>
        <v>Ít hơn 32GB</v>
      </c>
      <c r="E133" s="4" t="str">
        <f ca="1">IFERROR(__xludf.DUMMYFUNCTION("GOOGLETRANSLATE(C134,""ja"",""vi"")"),"Đấu giá&gt; máy tính&gt; thiết bị ngoại vi&gt; SSD&gt; ít hơn 32GB")</f>
        <v>Đấu giá&gt; máy tính&gt; thiết bị ngoại vi&gt; SSD&gt; ít hơn 32GB</v>
      </c>
      <c r="F133" t="str">
        <f t="shared" ca="1" si="2"/>
        <v>"2084284123" : "Ít hơn 32GB",</v>
      </c>
    </row>
    <row r="134" spans="1:6" ht="15.75" customHeight="1">
      <c r="A134" s="12">
        <v>2084219309</v>
      </c>
      <c r="B134" s="12" t="s">
        <v>2190</v>
      </c>
      <c r="C134" s="12" t="s">
        <v>2191</v>
      </c>
      <c r="D134" s="5" t="str">
        <f ca="1">IFERROR(__xludf.DUMMYFUNCTION("GOOGLETRANSLATE(B135,""ja"",""vi"")"),"bộ nhớ USB")</f>
        <v>bộ nhớ USB</v>
      </c>
      <c r="E134" s="4" t="str">
        <f ca="1">IFERROR(__xludf.DUMMYFUNCTION("GOOGLETRANSLATE(C135,""ja"",""vi"")"),"Đấu giá&gt; máy tính&gt; cung cấp&gt; bộ nhớ cho ghi âm&gt; bộ nhớ USB")</f>
        <v>Đấu giá&gt; máy tính&gt; cung cấp&gt; bộ nhớ cho ghi âm&gt; bộ nhớ USB</v>
      </c>
      <c r="F134" t="str">
        <f t="shared" ca="1" si="2"/>
        <v>"2084219309" : "bộ nhớ USB",</v>
      </c>
    </row>
    <row r="135" spans="1:6" ht="15.75" customHeight="1">
      <c r="A135" s="12">
        <v>2084047562</v>
      </c>
      <c r="B135" s="12" t="s">
        <v>2195</v>
      </c>
      <c r="C135" s="12" t="s">
        <v>2196</v>
      </c>
      <c r="D135" s="5" t="str">
        <f ca="1">IFERROR(__xludf.DUMMYFUNCTION("GOOGLETRANSLATE(B136,""ja"",""vi"")"),"thẻ nhớ SD, MMC")</f>
        <v>thẻ nhớ SD, MMC</v>
      </c>
      <c r="E135" s="4" t="str">
        <f ca="1">IFERROR(__xludf.DUMMYFUNCTION("GOOGLETRANSLATE(C136,""ja"",""vi"")"),"Đấu giá&gt; máy tính&gt; cung cấp&gt; bộ nhớ cho ghi âm&gt; thẻ nhớ SD, MMC")</f>
        <v>Đấu giá&gt; máy tính&gt; cung cấp&gt; bộ nhớ cho ghi âm&gt; thẻ nhớ SD, MMC</v>
      </c>
      <c r="F135" t="str">
        <f t="shared" ca="1" si="2"/>
        <v>"2084047562" : "thẻ nhớ SD, MMC",</v>
      </c>
    </row>
    <row r="136" spans="1:6" ht="15.75" customHeight="1">
      <c r="A136" s="12">
        <v>2084063998</v>
      </c>
      <c r="B136" s="12" t="s">
        <v>2200</v>
      </c>
      <c r="C136" s="12" t="s">
        <v>2203</v>
      </c>
      <c r="D136" s="5" t="str">
        <f ca="1">IFERROR(__xludf.DUMMYFUNCTION("GOOGLETRANSLATE(B137,""ja"",""vi"")"),"xD Picture-Card")</f>
        <v>xD Picture-Card</v>
      </c>
      <c r="E136" s="4" t="str">
        <f ca="1">IFERROR(__xludf.DUMMYFUNCTION("GOOGLETRANSLATE(C137,""ja"",""vi"")"),"Đấu giá&gt; máy tính&gt; cung cấp&gt; bộ nhớ cho ghi âm&gt; xD Picture Card")</f>
        <v>Đấu giá&gt; máy tính&gt; cung cấp&gt; bộ nhớ cho ghi âm&gt; xD Picture Card</v>
      </c>
      <c r="F136" t="str">
        <f t="shared" ca="1" si="2"/>
        <v>"2084063998" : "xD Picture-Card",</v>
      </c>
    </row>
    <row r="137" spans="1:6" ht="15.75" customHeight="1">
      <c r="A137" s="12">
        <v>2084039471</v>
      </c>
      <c r="B137" s="12" t="s">
        <v>2205</v>
      </c>
      <c r="C137" s="12" t="s">
        <v>2207</v>
      </c>
      <c r="D137" s="5" t="str">
        <f ca="1">IFERROR(__xludf.DUMMYFUNCTION("GOOGLETRANSLATE(B138,""ja"",""vi"")"),"bộ nhớ flash nhỏ gọn")</f>
        <v>bộ nhớ flash nhỏ gọn</v>
      </c>
      <c r="E137" s="4" t="str">
        <f ca="1">IFERROR(__xludf.DUMMYFUNCTION("GOOGLETRANSLATE(C138,""ja"",""vi"")"),"Đấu giá&gt; máy tính&gt; cung cấp&gt; bộ nhớ cho ghi âm&gt; Bộ nhớ Compact Flash")</f>
        <v>Đấu giá&gt; máy tính&gt; cung cấp&gt; bộ nhớ cho ghi âm&gt; Bộ nhớ Compact Flash</v>
      </c>
      <c r="F137" t="str">
        <f t="shared" ca="1" si="2"/>
        <v>"2084039471" : "bộ nhớ flash nhỏ gọn",</v>
      </c>
    </row>
    <row r="138" spans="1:6" ht="15.75" customHeight="1">
      <c r="A138" s="12">
        <v>2084039472</v>
      </c>
      <c r="B138" s="12" t="s">
        <v>2212</v>
      </c>
      <c r="C138" s="12" t="s">
        <v>2213</v>
      </c>
      <c r="D138" s="5" t="str">
        <f ca="1">IFERROR(__xludf.DUMMYFUNCTION("GOOGLETRANSLATE(B139,""ja"",""vi"")"),"smart Media")</f>
        <v>smart Media</v>
      </c>
      <c r="E138" s="4" t="str">
        <f ca="1">IFERROR(__xludf.DUMMYFUNCTION("GOOGLETRANSLATE(C139,""ja"",""vi"")"),"Đấu giá&gt; máy tính&gt; cung cấp&gt; bộ nhớ cho ghi âm&gt; phương tiện truyền thông thông minh")</f>
        <v>Đấu giá&gt; máy tính&gt; cung cấp&gt; bộ nhớ cho ghi âm&gt; phương tiện truyền thông thông minh</v>
      </c>
      <c r="F138" t="str">
        <f t="shared" ca="1" si="2"/>
        <v>"2084039472" : "smart Media",</v>
      </c>
    </row>
    <row r="139" spans="1:6" ht="15.75" customHeight="1">
      <c r="A139" s="12">
        <v>2084042336</v>
      </c>
      <c r="B139" s="12" t="s">
        <v>2217</v>
      </c>
      <c r="C139" s="12" t="s">
        <v>2218</v>
      </c>
      <c r="D139" s="5" t="str">
        <f ca="1">IFERROR(__xludf.DUMMYFUNCTION("GOOGLETRANSLATE(B140,""ja"",""vi"")"),"Memory Stick")</f>
        <v>Memory Stick</v>
      </c>
      <c r="E139" s="4" t="str">
        <f ca="1">IFERROR(__xludf.DUMMYFUNCTION("GOOGLETRANSLATE(C140,""ja"",""vi"")"),"Đấu giá&gt; máy tính&gt; cung cấp&gt; bộ nhớ cho ghi âm&gt; Memory Stick")</f>
        <v>Đấu giá&gt; máy tính&gt; cung cấp&gt; bộ nhớ cho ghi âm&gt; Memory Stick</v>
      </c>
      <c r="F139" t="str">
        <f t="shared" ca="1" si="2"/>
        <v>"2084042336" : "Memory Stick",</v>
      </c>
    </row>
    <row r="140" spans="1:6" ht="15.75" customHeight="1">
      <c r="A140" s="12">
        <v>2084039470</v>
      </c>
      <c r="B140" s="12" t="s">
        <v>2224</v>
      </c>
      <c r="C140" s="12" t="s">
        <v>2227</v>
      </c>
      <c r="D140" s="5" t="str">
        <f ca="1">IFERROR(__xludf.DUMMYFUNCTION("GOOGLETRANSLATE(B141,""ja"",""vi"")"),"thẻ nhớ máy tính")</f>
        <v>thẻ nhớ máy tính</v>
      </c>
      <c r="E140" s="4" t="str">
        <f ca="1">IFERROR(__xludf.DUMMYFUNCTION("GOOGLETRANSLATE(C141,""ja"",""vi"")"),"Đấu giá&gt; máy tính&gt; cung cấp&gt; bộ nhớ cho ghi âm&gt; Bộ nhớ thẻ PC")</f>
        <v>Đấu giá&gt; máy tính&gt; cung cấp&gt; bộ nhớ cho ghi âm&gt; Bộ nhớ thẻ PC</v>
      </c>
      <c r="F140" t="str">
        <f t="shared" ca="1" si="2"/>
        <v>"2084039470" : "thẻ nhớ máy tính",</v>
      </c>
    </row>
    <row r="141" spans="1:6" ht="15.75" customHeight="1">
      <c r="A141" s="12">
        <v>2084042337</v>
      </c>
      <c r="B141" s="12" t="s">
        <v>2232</v>
      </c>
      <c r="C141" s="12" t="s">
        <v>2234</v>
      </c>
      <c r="D141" s="5" t="str">
        <f ca="1">IFERROR(__xludf.DUMMYFUNCTION("GOOGLETRANSLATE(B142,""ja"",""vi"")"),"card Reader")</f>
        <v>card Reader</v>
      </c>
      <c r="E141" s="4" t="str">
        <f ca="1">IFERROR(__xludf.DUMMYFUNCTION("GOOGLETRANSLATE(C142,""ja"",""vi"")"),"Đấu giá&gt; máy tính&gt; cung cấp&gt; bộ nhớ cho ghi âm&gt; Card Reader")</f>
        <v>Đấu giá&gt; máy tính&gt; cung cấp&gt; bộ nhớ cho ghi âm&gt; Card Reader</v>
      </c>
      <c r="F141" t="str">
        <f t="shared" ca="1" si="2"/>
        <v>"2084042337" : "card Reader",</v>
      </c>
    </row>
    <row r="142" spans="1:6" ht="15.75" customHeight="1">
      <c r="A142" s="12">
        <v>2084039473</v>
      </c>
      <c r="B142" s="12" t="s">
        <v>46</v>
      </c>
      <c r="C142" s="12" t="s">
        <v>2239</v>
      </c>
      <c r="D142" s="5" t="str">
        <f ca="1">IFERROR(__xludf.DUMMYFUNCTION("GOOGLETRANSLATE(B143,""ja"",""vi"")"),"nếu không thì")</f>
        <v>nếu không thì</v>
      </c>
      <c r="E142" s="4" t="str">
        <f ca="1">IFERROR(__xludf.DUMMYFUNCTION("GOOGLETRANSLATE(C143,""ja"",""vi"")"),"Đấu giá&gt; máy tính&gt; cung cấp&gt; bộ nhớ cho ghi âm&gt; Khác")</f>
        <v>Đấu giá&gt; máy tính&gt; cung cấp&gt; bộ nhớ cho ghi âm&gt; Khác</v>
      </c>
      <c r="F142" t="str">
        <f t="shared" ca="1" si="2"/>
        <v>"2084039473" : "nếu không thì",</v>
      </c>
    </row>
    <row r="143" spans="1:6" ht="15.75" customHeight="1">
      <c r="A143" s="12">
        <v>2084284890</v>
      </c>
      <c r="B143" s="12" t="s">
        <v>2244</v>
      </c>
      <c r="C143" s="12" t="s">
        <v>2339</v>
      </c>
      <c r="D143" s="5" t="str">
        <f ca="1">IFERROR(__xludf.DUMMYFUNCTION("GOOGLETRANSLATE(B144,""ja"",""vi"")"),"nội bộ")</f>
        <v>nội bộ</v>
      </c>
      <c r="E143" s="4" t="str">
        <f ca="1">IFERROR(__xludf.DUMMYFUNCTION("GOOGLETRANSLATE(C144,""ja"",""vi"")"),"Đấu giá&gt; máy tính&gt; thiết bị ngoại vi&gt; ổ đĩa Blu-ray&gt; xây dựng")</f>
        <v>Đấu giá&gt; máy tính&gt; thiết bị ngoại vi&gt; ổ đĩa Blu-ray&gt; xây dựng</v>
      </c>
      <c r="F143" t="str">
        <f t="shared" ca="1" si="2"/>
        <v>"2084284890" : "nội bộ",</v>
      </c>
    </row>
    <row r="144" spans="1:6" ht="15.75" customHeight="1">
      <c r="A144" s="12">
        <v>2084284891</v>
      </c>
      <c r="B144" s="12" t="s">
        <v>2250</v>
      </c>
      <c r="C144" s="12" t="s">
        <v>2342</v>
      </c>
      <c r="D144" s="5" t="str">
        <f ca="1">IFERROR(__xludf.DUMMYFUNCTION("GOOGLETRANSLATE(B145,""ja"",""vi"")"),"ngoài")</f>
        <v>ngoài</v>
      </c>
      <c r="E144" s="4" t="str">
        <f ca="1">IFERROR(__xludf.DUMMYFUNCTION("GOOGLETRANSLATE(C145,""ja"",""vi"")"),"Đấu giá&gt; máy tính&gt; thiết bị ngoại vi&gt; ổ đĩa Blu-ray&gt; External")</f>
        <v>Đấu giá&gt; máy tính&gt; thiết bị ngoại vi&gt; ổ đĩa Blu-ray&gt; External</v>
      </c>
      <c r="F144" t="str">
        <f t="shared" ca="1" si="2"/>
        <v>"2084284891" : "ngoài",</v>
      </c>
    </row>
    <row r="145" spans="1:6" ht="15.75" customHeight="1">
      <c r="A145" s="12">
        <v>2084284899</v>
      </c>
      <c r="B145" s="12" t="s">
        <v>2250</v>
      </c>
      <c r="C145" s="12" t="s">
        <v>2347</v>
      </c>
      <c r="D145" s="5" t="str">
        <f ca="1">IFERROR(__xludf.DUMMYFUNCTION("GOOGLETRANSLATE(B146,""ja"",""vi"")"),"ngoài")</f>
        <v>ngoài</v>
      </c>
      <c r="E145" s="4" t="str">
        <f ca="1">IFERROR(__xludf.DUMMYFUNCTION("GOOGLETRANSLATE(C146,""ja"",""vi"")"),"Đấu giá&gt; máy tính&gt; thiết bị ngoại vi&gt; ổ DVD&gt; External")</f>
        <v>Đấu giá&gt; máy tính&gt; thiết bị ngoại vi&gt; ổ DVD&gt; External</v>
      </c>
      <c r="F145" t="str">
        <f t="shared" ca="1" si="2"/>
        <v>"2084284899" : "ngoài",</v>
      </c>
    </row>
    <row r="146" spans="1:6" ht="15.75" customHeight="1">
      <c r="A146" s="12">
        <v>2084284893</v>
      </c>
      <c r="B146" s="12" t="s">
        <v>2244</v>
      </c>
      <c r="C146" s="12" t="s">
        <v>2351</v>
      </c>
      <c r="D146" s="5" t="str">
        <f ca="1">IFERROR(__xludf.DUMMYFUNCTION("GOOGLETRANSLATE(B147,""ja"",""vi"")"),"nội bộ")</f>
        <v>nội bộ</v>
      </c>
      <c r="E146" s="4" t="str">
        <f ca="1">IFERROR(__xludf.DUMMYFUNCTION("GOOGLETRANSLATE(C147,""ja"",""vi"")"),"Đấu giá&gt; máy tính&gt; thiết bị ngoại vi&gt; DVD Drive&gt; built-in")</f>
        <v>Đấu giá&gt; máy tính&gt; thiết bị ngoại vi&gt; DVD Drive&gt; built-in</v>
      </c>
      <c r="F146" t="str">
        <f t="shared" ca="1" si="2"/>
        <v>"2084284893" : "nội bộ",</v>
      </c>
    </row>
    <row r="147" spans="1:6" ht="15.75" customHeight="1">
      <c r="A147" s="12">
        <v>2084284907</v>
      </c>
      <c r="B147" s="12" t="s">
        <v>2354</v>
      </c>
      <c r="C147" s="12" t="s">
        <v>2355</v>
      </c>
      <c r="D147" s="5" t="str">
        <f ca="1">IFERROR(__xludf.DUMMYFUNCTION("GOOGLETRANSLATE(B148,""ja"",""vi"")"),"Built-in CD-R / RW")</f>
        <v>Built-in CD-R / RW</v>
      </c>
      <c r="E147" s="4" t="str">
        <f ca="1">IFERROR(__xludf.DUMMYFUNCTION("GOOGLETRANSLATE(C148,""ja"",""vi"")"),"Đấu giá&gt; máy tính&gt; thiết bị ngoại vi&gt; CD drive&gt; built-in CD-R / RW")</f>
        <v>Đấu giá&gt; máy tính&gt; thiết bị ngoại vi&gt; CD drive&gt; built-in CD-R / RW</v>
      </c>
      <c r="F147" t="str">
        <f t="shared" ca="1" si="2"/>
        <v>"2084284907" : "Built-in CD-R / RW",</v>
      </c>
    </row>
    <row r="148" spans="1:6" ht="15.75" customHeight="1">
      <c r="A148" s="12">
        <v>2084284908</v>
      </c>
      <c r="B148" s="12" t="s">
        <v>2360</v>
      </c>
      <c r="C148" s="12" t="s">
        <v>2361</v>
      </c>
      <c r="D148" s="5" t="str">
        <f ca="1">IFERROR(__xludf.DUMMYFUNCTION("GOOGLETRANSLATE(B149,""ja"",""vi"")"),"Built-in CD-ROM")</f>
        <v>Built-in CD-ROM</v>
      </c>
      <c r="E148" s="4" t="str">
        <f ca="1">IFERROR(__xludf.DUMMYFUNCTION("GOOGLETRANSLATE(C149,""ja"",""vi"")"),"Đấu giá&gt; máy tính&gt; thiết bị ngoại vi&gt; ổ đĩa CD&gt; tích hợp ổ đĩa CD-ROM")</f>
        <v>Đấu giá&gt; máy tính&gt; thiết bị ngoại vi&gt; ổ đĩa CD&gt; tích hợp ổ đĩa CD-ROM</v>
      </c>
      <c r="F148" t="str">
        <f t="shared" ca="1" si="2"/>
        <v>"2084284908" : "Built-in CD-ROM",</v>
      </c>
    </row>
    <row r="149" spans="1:6" ht="15.75" customHeight="1">
      <c r="A149" s="12">
        <v>2084284910</v>
      </c>
      <c r="B149" s="12" t="s">
        <v>2365</v>
      </c>
      <c r="C149" s="12" t="s">
        <v>2367</v>
      </c>
      <c r="D149" s="5" t="str">
        <f ca="1">IFERROR(__xludf.DUMMYFUNCTION("GOOGLETRANSLATE(B150,""ja"",""vi"")"),"External CD-R / RW")</f>
        <v>External CD-R / RW</v>
      </c>
      <c r="E149" s="4" t="str">
        <f ca="1">IFERROR(__xludf.DUMMYFUNCTION("GOOGLETRANSLATE(C150,""ja"",""vi"")"),"Đấu giá&gt; máy tính&gt; thiết bị ngoại vi&gt; CD drive&gt; bên ngoài CD-R / RW")</f>
        <v>Đấu giá&gt; máy tính&gt; thiết bị ngoại vi&gt; CD drive&gt; bên ngoài CD-R / RW</v>
      </c>
      <c r="F149" t="str">
        <f t="shared" ca="1" si="2"/>
        <v>"2084284910" : "External CD-R / RW",</v>
      </c>
    </row>
    <row r="150" spans="1:6" ht="15.75" customHeight="1">
      <c r="A150" s="12">
        <v>2084284911</v>
      </c>
      <c r="B150" s="12" t="s">
        <v>2370</v>
      </c>
      <c r="C150" s="12" t="s">
        <v>2372</v>
      </c>
      <c r="D150" s="5" t="str">
        <f ca="1">IFERROR(__xludf.DUMMYFUNCTION("GOOGLETRANSLATE(B151,""ja"",""vi"")"),"Bên ngoài ổ CD-ROM")</f>
        <v>Bên ngoài ổ CD-ROM</v>
      </c>
      <c r="E150" s="4" t="str">
        <f ca="1">IFERROR(__xludf.DUMMYFUNCTION("GOOGLETRANSLATE(C151,""ja"",""vi"")"),"Đấu giá&gt; máy tính&gt; thiết bị ngoại vi&gt; CD drive&gt; ổ đĩa ngoài đĩa CD-ROM")</f>
        <v>Đấu giá&gt; máy tính&gt; thiết bị ngoại vi&gt; CD drive&gt; ổ đĩa ngoài đĩa CD-ROM</v>
      </c>
      <c r="F150" t="str">
        <f t="shared" ca="1" si="2"/>
        <v>"2084284911" : "Bên ngoài ổ CD-ROM",</v>
      </c>
    </row>
    <row r="151" spans="1:6" ht="15.75" customHeight="1">
      <c r="A151" s="12">
        <v>2084047236</v>
      </c>
      <c r="B151" s="12" t="s">
        <v>2375</v>
      </c>
      <c r="C151" s="12" t="s">
        <v>2379</v>
      </c>
      <c r="D151" s="5" t="str">
        <f ca="1">IFERROR(__xludf.DUMMYFUNCTION("GOOGLETRANSLATE(B152,""ja"",""vi"")"),"128MB")</f>
        <v>128MB</v>
      </c>
      <c r="E151" s="4" t="str">
        <f ca="1">IFERROR(__xludf.DUMMYFUNCTION("GOOGLETRANSLATE(C152,""ja"",""vi"")"),"Đấu giá&gt; máy tính&gt; thiết bị ngoại vi&gt; MO drive&gt; 128MB")</f>
        <v>Đấu giá&gt; máy tính&gt; thiết bị ngoại vi&gt; MO drive&gt; 128MB</v>
      </c>
      <c r="F151" t="str">
        <f t="shared" ca="1" si="2"/>
        <v>"2084047236" : "128MB",</v>
      </c>
    </row>
    <row r="152" spans="1:6" ht="15.75" customHeight="1">
      <c r="A152" s="12">
        <v>2084047233</v>
      </c>
      <c r="B152" s="12" t="s">
        <v>2385</v>
      </c>
      <c r="C152" s="12" t="s">
        <v>2386</v>
      </c>
      <c r="D152" s="5" t="str">
        <f ca="1">IFERROR(__xludf.DUMMYFUNCTION("GOOGLETRANSLATE(B153,""ja"",""vi"")"),"230MB")</f>
        <v>230MB</v>
      </c>
      <c r="E152" s="4" t="str">
        <f ca="1">IFERROR(__xludf.DUMMYFUNCTION("GOOGLETRANSLATE(C153,""ja"",""vi"")"),"Đấu giá&gt; máy tính&gt; thiết bị ngoại vi&gt; MO drive&gt; 230MB")</f>
        <v>Đấu giá&gt; máy tính&gt; thiết bị ngoại vi&gt; MO drive&gt; 230MB</v>
      </c>
      <c r="F152" t="str">
        <f t="shared" ca="1" si="2"/>
        <v>"2084047233" : "230MB",</v>
      </c>
    </row>
    <row r="153" spans="1:6" ht="15.75" customHeight="1">
      <c r="A153" s="12">
        <v>2084047234</v>
      </c>
      <c r="B153" s="12" t="s">
        <v>2391</v>
      </c>
      <c r="C153" s="12" t="s">
        <v>2392</v>
      </c>
      <c r="D153" s="5" t="str">
        <f ca="1">IFERROR(__xludf.DUMMYFUNCTION("GOOGLETRANSLATE(B154,""ja"",""vi"")"),"640MB")</f>
        <v>640MB</v>
      </c>
      <c r="E153" s="4" t="str">
        <f ca="1">IFERROR(__xludf.DUMMYFUNCTION("GOOGLETRANSLATE(C154,""ja"",""vi"")"),"Đấu giá&gt; máy tính&gt; thiết bị ngoại vi&gt; MO drive&gt; 640MB")</f>
        <v>Đấu giá&gt; máy tính&gt; thiết bị ngoại vi&gt; MO drive&gt; 640MB</v>
      </c>
      <c r="F153" t="str">
        <f t="shared" ca="1" si="2"/>
        <v>"2084047234" : "640MB",</v>
      </c>
    </row>
    <row r="154" spans="1:6" ht="15.75" customHeight="1">
      <c r="A154" s="12">
        <v>2084047235</v>
      </c>
      <c r="B154" s="12" t="s">
        <v>2395</v>
      </c>
      <c r="C154" s="12" t="s">
        <v>2398</v>
      </c>
      <c r="D154" s="5" t="str">
        <f ca="1">IFERROR(__xludf.DUMMYFUNCTION("GOOGLETRANSLATE(B155,""ja"",""vi"")"),"1,3GB")</f>
        <v>1,3GB</v>
      </c>
      <c r="E154" s="4" t="str">
        <f ca="1">IFERROR(__xludf.DUMMYFUNCTION("GOOGLETRANSLATE(C155,""ja"",""vi"")"),"Đấu giá&gt; máy tính&gt; thiết bị ngoại vi&gt; MO drive&gt; 1,3GB")</f>
        <v>Đấu giá&gt; máy tính&gt; thiết bị ngoại vi&gt; MO drive&gt; 1,3GB</v>
      </c>
      <c r="F154" t="str">
        <f t="shared" ca="1" si="2"/>
        <v>"2084047235" : "1,3GB",</v>
      </c>
    </row>
    <row r="155" spans="1:6" ht="15.75" customHeight="1">
      <c r="A155" s="12">
        <v>2084047238</v>
      </c>
      <c r="B155" s="12" t="s">
        <v>2250</v>
      </c>
      <c r="C155" s="12" t="s">
        <v>2404</v>
      </c>
      <c r="D155" s="5" t="str">
        <f ca="1">IFERROR(__xludf.DUMMYFUNCTION("GOOGLETRANSLATE(B156,""ja"",""vi"")"),"ngoài")</f>
        <v>ngoài</v>
      </c>
      <c r="E155" s="4" t="str">
        <f ca="1">IFERROR(__xludf.DUMMYFUNCTION("GOOGLETRANSLATE(C156,""ja"",""vi"")"),"Đấu giá&gt; máy tính&gt; thiết bị ngoại vi&gt; ổ đĩa mềm&gt; External")</f>
        <v>Đấu giá&gt; máy tính&gt; thiết bị ngoại vi&gt; ổ đĩa mềm&gt; External</v>
      </c>
      <c r="F155" t="str">
        <f t="shared" ca="1" si="2"/>
        <v>"2084047238" : "ngoài",</v>
      </c>
    </row>
    <row r="156" spans="1:6" ht="15.75" customHeight="1">
      <c r="A156" s="12">
        <v>2084047237</v>
      </c>
      <c r="B156" s="12" t="s">
        <v>2244</v>
      </c>
      <c r="C156" s="12" t="s">
        <v>2408</v>
      </c>
      <c r="D156" s="5" t="str">
        <f ca="1">IFERROR(__xludf.DUMMYFUNCTION("GOOGLETRANSLATE(B157,""ja"",""vi"")"),"nội bộ")</f>
        <v>nội bộ</v>
      </c>
      <c r="E156" s="4" t="str">
        <f ca="1">IFERROR(__xludf.DUMMYFUNCTION("GOOGLETRANSLATE(C157,""ja"",""vi"")"),"Đấu giá&gt; máy tính&gt; thiết bị ngoại vi&gt; ổ đĩa mềm&gt; xây dựng")</f>
        <v>Đấu giá&gt; máy tính&gt; thiết bị ngoại vi&gt; ổ đĩa mềm&gt; xây dựng</v>
      </c>
      <c r="F156" t="str">
        <f t="shared" ca="1" si="2"/>
        <v>"2084047237" : "nội bộ",</v>
      </c>
    </row>
    <row r="157" spans="1:6" ht="15.75" customHeight="1">
      <c r="A157" s="12">
        <v>2084039563</v>
      </c>
      <c r="B157" s="12" t="s">
        <v>2411</v>
      </c>
      <c r="C157" s="12" t="s">
        <v>2413</v>
      </c>
      <c r="D157" s="5" t="str">
        <f ca="1">IFERROR(__xludf.DUMMYFUNCTION("GOOGLETRANSLATE(B158,""ja"",""vi"")"),"tinh thể lỏng")</f>
        <v>tinh thể lỏng</v>
      </c>
      <c r="E157" s="4" t="str">
        <f ca="1">IFERROR(__xludf.DUMMYFUNCTION("GOOGLETRANSLATE(C158,""ja"",""vi"")"),"Đấu giá&gt; máy tính&gt; thiết bị ngoại vi&gt; màn hình&gt; tinh thể lỏng")</f>
        <v>Đấu giá&gt; máy tính&gt; thiết bị ngoại vi&gt; màn hình&gt; tinh thể lỏng</v>
      </c>
      <c r="F157" t="str">
        <f t="shared" ca="1" si="2"/>
        <v>"2084039563" : "tinh thể lỏng",</v>
      </c>
    </row>
    <row r="158" spans="1:6" ht="15.75" customHeight="1">
      <c r="A158" s="12">
        <v>2084039564</v>
      </c>
      <c r="B158" s="12" t="s">
        <v>2418</v>
      </c>
      <c r="C158" s="12" t="s">
        <v>2420</v>
      </c>
      <c r="D158" s="5" t="str">
        <f ca="1">IFERROR(__xludf.DUMMYFUNCTION("GOOGLETRANSLATE(B159,""ja"",""vi"")"),"huyết tương")</f>
        <v>huyết tương</v>
      </c>
      <c r="E158" s="4" t="str">
        <f ca="1">IFERROR(__xludf.DUMMYFUNCTION("GOOGLETRANSLATE(C159,""ja"",""vi"")"),"Đấu giá&gt; máy tính&gt; thiết bị ngoại vi&gt; màn hình&gt; plasma")</f>
        <v>Đấu giá&gt; máy tính&gt; thiết bị ngoại vi&gt; màn hình&gt; plasma</v>
      </c>
      <c r="F158" t="str">
        <f t="shared" ca="1" si="2"/>
        <v>"2084039564" : "huyết tương",</v>
      </c>
    </row>
    <row r="159" spans="1:6" ht="15.75" customHeight="1">
      <c r="A159" s="12">
        <v>2084039566</v>
      </c>
      <c r="B159" s="12" t="s">
        <v>2183</v>
      </c>
      <c r="C159" s="12" t="s">
        <v>2426</v>
      </c>
      <c r="D159" s="5" t="str">
        <f ca="1">IFERROR(__xludf.DUMMYFUNCTION("GOOGLETRANSLATE(B160,""ja"",""vi"")"),"máy chiếu")</f>
        <v>máy chiếu</v>
      </c>
      <c r="E159" s="4" t="str">
        <f ca="1">IFERROR(__xludf.DUMMYFUNCTION("GOOGLETRANSLATE(C160,""ja"",""vi"")"),"Đấu giá&gt; máy tính&gt; thiết bị ngoại vi&gt; màn hình&gt; máy chiếu")</f>
        <v>Đấu giá&gt; máy tính&gt; thiết bị ngoại vi&gt; màn hình&gt; máy chiếu</v>
      </c>
      <c r="F159" t="str">
        <f t="shared" ca="1" si="2"/>
        <v>"2084039566" : "máy chiếu",</v>
      </c>
    </row>
    <row r="160" spans="1:6" ht="15.75" customHeight="1">
      <c r="A160" s="12">
        <v>2084039562</v>
      </c>
      <c r="B160" s="12" t="s">
        <v>2428</v>
      </c>
      <c r="C160" s="12" t="s">
        <v>2430</v>
      </c>
      <c r="D160" s="5" t="str">
        <f ca="1">IFERROR(__xludf.DUMMYFUNCTION("GOOGLETRANSLATE(B161,""ja"",""vi"")"),"CRT")</f>
        <v>CRT</v>
      </c>
      <c r="E160" s="4" t="str">
        <f ca="1">IFERROR(__xludf.DUMMYFUNCTION("GOOGLETRANSLATE(C161,""ja"",""vi"")"),"Đấu giá&gt; máy tính&gt; thiết bị ngoại vi&gt; màn hình&gt; CRT")</f>
        <v>Đấu giá&gt; máy tính&gt; thiết bị ngoại vi&gt; màn hình&gt; CRT</v>
      </c>
      <c r="F160" t="str">
        <f t="shared" ca="1" si="2"/>
        <v>"2084039562" : "CRT",</v>
      </c>
    </row>
    <row r="161" spans="1:6" ht="15.75" customHeight="1">
      <c r="A161" s="12">
        <v>2084047672</v>
      </c>
      <c r="B161" s="12" t="s">
        <v>2434</v>
      </c>
      <c r="C161" s="12" t="s">
        <v>2436</v>
      </c>
      <c r="D161" s="5" t="str">
        <f ca="1">IFERROR(__xludf.DUMMYFUNCTION("GOOGLETRANSLATE(B162,""ja"",""vi"")"),"Đối với Mac")</f>
        <v>Đối với Mac</v>
      </c>
      <c r="E161" s="4" t="str">
        <f ca="1">IFERROR(__xludf.DUMMYFUNCTION("GOOGLETRANSLATE(C162,""ja"",""vi"")"),"Đấu giá&gt; máy tính&gt; thiết bị ngoại vi&gt; màn hình&gt; dành cho Mac")</f>
        <v>Đấu giá&gt; máy tính&gt; thiết bị ngoại vi&gt; màn hình&gt; dành cho Mac</v>
      </c>
      <c r="F161" t="str">
        <f t="shared" ca="1" si="2"/>
        <v>"2084047672" : "Đối với Mac",</v>
      </c>
    </row>
    <row r="162" spans="1:6" ht="15.75" customHeight="1">
      <c r="A162" s="12">
        <v>2084039565</v>
      </c>
      <c r="B162" s="12" t="s">
        <v>2441</v>
      </c>
      <c r="C162" s="12" t="s">
        <v>2442</v>
      </c>
      <c r="D162" s="5" t="str">
        <f ca="1">IFERROR(__xludf.DUMMYFUNCTION("GOOGLETRANSLATE(B163,""ja"",""vi"")"),"màn hình cảm ứng")</f>
        <v>màn hình cảm ứng</v>
      </c>
      <c r="E162" s="4" t="str">
        <f ca="1">IFERROR(__xludf.DUMMYFUNCTION("GOOGLETRANSLATE(C163,""ja"",""vi"")"),"Đấu giá&gt; máy tính&gt; thiết bị ngoại vi&gt; màn hình&gt; Màn hình cảm ứng")</f>
        <v>Đấu giá&gt; máy tính&gt; thiết bị ngoại vi&gt; màn hình&gt; Màn hình cảm ứng</v>
      </c>
      <c r="F162" t="str">
        <f t="shared" ca="1" si="2"/>
        <v>"2084039565" : "màn hình cảm ứng",</v>
      </c>
    </row>
    <row r="163" spans="1:6" ht="15.75" customHeight="1">
      <c r="A163" s="12">
        <v>2084039567</v>
      </c>
      <c r="B163" s="12" t="s">
        <v>46</v>
      </c>
      <c r="C163" s="12" t="s">
        <v>2447</v>
      </c>
      <c r="D163" s="5" t="str">
        <f ca="1">IFERROR(__xludf.DUMMYFUNCTION("GOOGLETRANSLATE(B164,""ja"",""vi"")"),"nếu không thì")</f>
        <v>nếu không thì</v>
      </c>
      <c r="E163" s="4" t="str">
        <f ca="1">IFERROR(__xludf.DUMMYFUNCTION("GOOGLETRANSLATE(C164,""ja"",""vi"")"),"Đấu giá&gt; máy tính&gt; thiết bị ngoại vi&gt; màn hình&gt; Khác")</f>
        <v>Đấu giá&gt; máy tính&gt; thiết bị ngoại vi&gt; màn hình&gt; Khác</v>
      </c>
      <c r="F163" t="str">
        <f t="shared" ca="1" si="2"/>
        <v>"2084039567" : "nếu không thì",</v>
      </c>
    </row>
    <row r="164" spans="1:6" ht="15.75" customHeight="1">
      <c r="A164" s="12">
        <v>23524</v>
      </c>
      <c r="B164" s="12" t="s">
        <v>2434</v>
      </c>
      <c r="C164" s="12" t="s">
        <v>2450</v>
      </c>
      <c r="D164" s="5" t="str">
        <f ca="1">IFERROR(__xludf.DUMMYFUNCTION("GOOGLETRANSLATE(B165,""ja"",""vi"")"),"Đối với Mac")</f>
        <v>Đối với Mac</v>
      </c>
      <c r="E164" s="4" t="str">
        <f ca="1">IFERROR(__xludf.DUMMYFUNCTION("GOOGLETRANSLATE(C165,""ja"",""vi"")"),"Đấu giá&gt; máy tính&gt; thiết bị ngoại vi&gt; máy in, máy vẽ&gt; dành cho Mac")</f>
        <v>Đấu giá&gt; máy tính&gt; thiết bị ngoại vi&gt; máy in, máy vẽ&gt; dành cho Mac</v>
      </c>
      <c r="F164" t="str">
        <f t="shared" ca="1" si="2"/>
        <v>"23524" : "Đối với Mac",</v>
      </c>
    </row>
    <row r="165" spans="1:6" ht="15.75" customHeight="1">
      <c r="A165" s="12">
        <v>23428</v>
      </c>
      <c r="B165" s="12" t="s">
        <v>2453</v>
      </c>
      <c r="C165" s="12" t="s">
        <v>2454</v>
      </c>
      <c r="D165" s="5" t="str">
        <f ca="1">IFERROR(__xludf.DUMMYFUNCTION("GOOGLETRANSLATE(B166,""ja"",""vi"")"),"máy in Ink-jet")</f>
        <v>máy in Ink-jet</v>
      </c>
      <c r="E165" s="4" t="str">
        <f ca="1">IFERROR(__xludf.DUMMYFUNCTION("GOOGLETRANSLATE(C166,""ja"",""vi"")"),"Đấu giá&gt; máy tính&gt; thiết bị ngoại vi&gt; máy in, máy vẽ&gt; máy in phun")</f>
        <v>Đấu giá&gt; máy tính&gt; thiết bị ngoại vi&gt; máy in, máy vẽ&gt; máy in phun</v>
      </c>
      <c r="F165" t="str">
        <f t="shared" ca="1" si="2"/>
        <v>"23428" : "máy in Ink-jet",</v>
      </c>
    </row>
    <row r="166" spans="1:6" ht="15.75" customHeight="1">
      <c r="A166" s="12">
        <v>23424</v>
      </c>
      <c r="B166" s="12" t="s">
        <v>2457</v>
      </c>
      <c r="C166" s="12" t="s">
        <v>2458</v>
      </c>
      <c r="D166" s="5" t="str">
        <f ca="1">IFERROR(__xludf.DUMMYFUNCTION("GOOGLETRANSLATE(B167,""ja"",""vi"")"),"máy in ảnh hưởng Dot")</f>
        <v>máy in ảnh hưởng Dot</v>
      </c>
      <c r="E166" s="4" t="str">
        <f ca="1">IFERROR(__xludf.DUMMYFUNCTION("GOOGLETRANSLATE(C167,""ja"",""vi"")"),"Đấu giá&gt; máy tính&gt; thiết bị ngoại vi&gt; máy in, máy vẽ&gt; dot máy in ảnh hưởng")</f>
        <v>Đấu giá&gt; máy tính&gt; thiết bị ngoại vi&gt; máy in, máy vẽ&gt; dot máy in ảnh hưởng</v>
      </c>
      <c r="F166" t="str">
        <f t="shared" ca="1" si="2"/>
        <v>"23424" : "máy in ảnh hưởng Dot",</v>
      </c>
    </row>
    <row r="167" spans="1:6" ht="15.75" customHeight="1">
      <c r="A167" s="12">
        <v>2084039569</v>
      </c>
      <c r="B167" s="12" t="s">
        <v>2461</v>
      </c>
      <c r="C167" s="12" t="s">
        <v>2462</v>
      </c>
      <c r="D167" s="5" t="str">
        <f ca="1">IFERROR(__xludf.DUMMYFUNCTION("GOOGLETRANSLATE(B168,""ja"",""vi"")"),"máy in video")</f>
        <v>máy in video</v>
      </c>
      <c r="E167" s="4" t="str">
        <f ca="1">IFERROR(__xludf.DUMMYFUNCTION("GOOGLETRANSLATE(C168,""ja"",""vi"")"),"Đấu giá&gt; máy tính&gt; thiết bị ngoại vi&gt; máy in, máy vẽ&gt; máy in phim")</f>
        <v>Đấu giá&gt; máy tính&gt; thiết bị ngoại vi&gt; máy in, máy vẽ&gt; máy in phim</v>
      </c>
      <c r="F167" t="str">
        <f t="shared" ca="1" si="2"/>
        <v>"2084039569" : "máy in video",</v>
      </c>
    </row>
    <row r="168" spans="1:6" ht="15.75" customHeight="1">
      <c r="A168" s="12">
        <v>2084039570</v>
      </c>
      <c r="B168" s="12" t="s">
        <v>2466</v>
      </c>
      <c r="C168" s="12" t="s">
        <v>2467</v>
      </c>
      <c r="D168" s="5" t="str">
        <f ca="1">IFERROR(__xludf.DUMMYFUNCTION("GOOGLETRANSLATE(B169,""ja"",""vi"")"),"người âm mưu")</f>
        <v>người âm mưu</v>
      </c>
      <c r="E168" s="4" t="str">
        <f ca="1">IFERROR(__xludf.DUMMYFUNCTION("GOOGLETRANSLATE(C169,""ja"",""vi"")"),"Đấu giá&gt; máy tính&gt; thiết bị ngoại vi&gt; máy in, máy vẽ&gt; plotter")</f>
        <v>Đấu giá&gt; máy tính&gt; thiết bị ngoại vi&gt; máy in, máy vẽ&gt; plotter</v>
      </c>
      <c r="F168" t="str">
        <f t="shared" ca="1" si="2"/>
        <v>"2084039570" : "người âm mưu",</v>
      </c>
    </row>
    <row r="169" spans="1:6" ht="15.75" customHeight="1">
      <c r="A169" s="12">
        <v>23432</v>
      </c>
      <c r="B169" s="12" t="s">
        <v>2470</v>
      </c>
      <c r="C169" s="12" t="s">
        <v>2472</v>
      </c>
      <c r="D169" s="5" t="str">
        <f ca="1">IFERROR(__xludf.DUMMYFUNCTION("GOOGLETRANSLATE(B170,""ja"",""vi"")"),"máy in laser")</f>
        <v>máy in laser</v>
      </c>
      <c r="E169" s="4" t="str">
        <f ca="1">IFERROR(__xludf.DUMMYFUNCTION("GOOGLETRANSLATE(C170,""ja"",""vi"")"),"Đấu giá&gt; máy tính&gt; thiết bị ngoại vi&gt; máy in, máy vẽ&gt; máy in laser")</f>
        <v>Đấu giá&gt; máy tính&gt; thiết bị ngoại vi&gt; máy in, máy vẽ&gt; máy in laser</v>
      </c>
      <c r="F169" t="str">
        <f t="shared" ca="1" si="2"/>
        <v>"23432" : "máy in laser",</v>
      </c>
    </row>
    <row r="170" spans="1:6" ht="15.75" customHeight="1">
      <c r="A170" s="12">
        <v>2084059821</v>
      </c>
      <c r="B170" s="12" t="s">
        <v>2476</v>
      </c>
      <c r="C170" s="12" t="s">
        <v>2477</v>
      </c>
      <c r="D170" s="5" t="str">
        <f ca="1">IFERROR(__xludf.DUMMYFUNCTION("GOOGLETRANSLATE(B171,""ja"",""vi"")"),"MFP")</f>
        <v>MFP</v>
      </c>
      <c r="E170" s="4" t="str">
        <f ca="1">IFERROR(__xludf.DUMMYFUNCTION("GOOGLETRANSLATE(C171,""ja"",""vi"")"),"Đấu giá&gt; máy tính&gt; thiết bị ngoại vi&gt; máy in, máy vẽ&gt; MFP")</f>
        <v>Đấu giá&gt; máy tính&gt; thiết bị ngoại vi&gt; máy in, máy vẽ&gt; MFP</v>
      </c>
      <c r="F170" t="str">
        <f t="shared" ca="1" si="2"/>
        <v>"2084059821" : "MFP",</v>
      </c>
    </row>
    <row r="171" spans="1:6" ht="15.75" customHeight="1">
      <c r="A171" s="12">
        <v>23436</v>
      </c>
      <c r="B171" s="12" t="s">
        <v>46</v>
      </c>
      <c r="C171" s="12" t="s">
        <v>2482</v>
      </c>
      <c r="D171" s="5" t="str">
        <f ca="1">IFERROR(__xludf.DUMMYFUNCTION("GOOGLETRANSLATE(B172,""ja"",""vi"")"),"nếu không thì")</f>
        <v>nếu không thì</v>
      </c>
      <c r="E171" s="4" t="str">
        <f ca="1">IFERROR(__xludf.DUMMYFUNCTION("GOOGLETRANSLATE(C172,""ja"",""vi"")"),"Đấu giá&gt; máy tính&gt; thiết bị ngoại vi&gt; máy in, máy vẽ&gt; Khác")</f>
        <v>Đấu giá&gt; máy tính&gt; thiết bị ngoại vi&gt; máy in, máy vẽ&gt; Khác</v>
      </c>
      <c r="F171" t="str">
        <f t="shared" ca="1" si="2"/>
        <v>"23436" : "nếu không thì",</v>
      </c>
    </row>
    <row r="172" spans="1:6" ht="15.75" customHeight="1">
      <c r="A172" s="12">
        <v>2084193705</v>
      </c>
      <c r="B172" s="12" t="s">
        <v>2484</v>
      </c>
      <c r="C172" s="12" t="s">
        <v>2485</v>
      </c>
      <c r="D172" s="5" t="str">
        <f ca="1">IFERROR(__xludf.DUMMYFUNCTION("GOOGLETRANSLATE(B173,""ja"",""vi"")"),"Epson")</f>
        <v>Epson</v>
      </c>
      <c r="E172" s="4" t="str">
        <f ca="1">IFERROR(__xludf.DUMMYFUNCTION("GOOGLETRANSLATE(C173,""ja"",""vi"")"),"Đấu giá&gt; máy tính&gt; thiết bị ngoại vi&gt; Máy đa chức năng&gt; Epson")</f>
        <v>Đấu giá&gt; máy tính&gt; thiết bị ngoại vi&gt; Máy đa chức năng&gt; Epson</v>
      </c>
      <c r="F172" t="str">
        <f t="shared" ca="1" si="2"/>
        <v>"2084193705" : "Epson",</v>
      </c>
    </row>
    <row r="173" spans="1:6" ht="15.75" customHeight="1">
      <c r="A173" s="12">
        <v>2084193706</v>
      </c>
      <c r="B173" s="12" t="s">
        <v>2031</v>
      </c>
      <c r="C173" s="12" t="s">
        <v>2490</v>
      </c>
      <c r="D173" s="5" t="str">
        <f ca="1">IFERROR(__xludf.DUMMYFUNCTION("GOOGLETRANSLATE(B174,""ja"",""vi"")"),"Canon")</f>
        <v>Canon</v>
      </c>
      <c r="E173" s="4" t="str">
        <f ca="1">IFERROR(__xludf.DUMMYFUNCTION("GOOGLETRANSLATE(C174,""ja"",""vi"")"),"Đấu giá&gt; máy tính&gt; thiết bị ngoại vi&gt; Máy đa chức năng&gt; Canon")</f>
        <v>Đấu giá&gt; máy tính&gt; thiết bị ngoại vi&gt; Máy đa chức năng&gt; Canon</v>
      </c>
      <c r="F173" t="str">
        <f t="shared" ca="1" si="2"/>
        <v>"2084193706" : "Canon",</v>
      </c>
    </row>
    <row r="174" spans="1:6" ht="15.75" customHeight="1">
      <c r="A174" s="12">
        <v>2084193710</v>
      </c>
      <c r="B174" s="12" t="s">
        <v>1731</v>
      </c>
      <c r="C174" s="12" t="s">
        <v>2493</v>
      </c>
      <c r="D174" s="5" t="str">
        <f ca="1">IFERROR(__xludf.DUMMYFUNCTION("GOOGLETRANSLATE(B175,""ja"",""vi"")"),"nhọn")</f>
        <v>nhọn</v>
      </c>
      <c r="E174" s="4" t="str">
        <f ca="1">IFERROR(__xludf.DUMMYFUNCTION("GOOGLETRANSLATE(C175,""ja"",""vi"")"),"Đấu giá&gt; máy tính&gt; thiết bị ngoại vi&gt; Máy đa chức năng&gt; sắc nét")</f>
        <v>Đấu giá&gt; máy tính&gt; thiết bị ngoại vi&gt; Máy đa chức năng&gt; sắc nét</v>
      </c>
      <c r="F174" t="str">
        <f t="shared" ca="1" si="2"/>
        <v>"2084193710" : "nhọn",</v>
      </c>
    </row>
    <row r="175" spans="1:6" ht="15.75" customHeight="1">
      <c r="A175" s="12">
        <v>2084193707</v>
      </c>
      <c r="B175" s="12" t="s">
        <v>2496</v>
      </c>
      <c r="C175" s="12" t="s">
        <v>2498</v>
      </c>
      <c r="D175" s="5" t="str">
        <f ca="1">IFERROR(__xludf.DUMMYFUNCTION("GOOGLETRANSLATE(B176,""ja"",""vi"")"),"em trai")</f>
        <v>em trai</v>
      </c>
      <c r="E175" s="4" t="str">
        <f ca="1">IFERROR(__xludf.DUMMYFUNCTION("GOOGLETRANSLATE(C176,""ja"",""vi"")"),"Đấu giá&gt; máy tính&gt; thiết bị ngoại vi&gt; Máy đa chức năng&gt; Anh")</f>
        <v>Đấu giá&gt; máy tính&gt; thiết bị ngoại vi&gt; Máy đa chức năng&gt; Anh</v>
      </c>
      <c r="F175" t="str">
        <f t="shared" ca="1" si="2"/>
        <v>"2084193707" : "em trai",</v>
      </c>
    </row>
    <row r="176" spans="1:6" ht="15.75" customHeight="1">
      <c r="A176" s="12">
        <v>2084193709</v>
      </c>
      <c r="B176" s="12" t="s">
        <v>2499</v>
      </c>
      <c r="C176" s="12" t="s">
        <v>2500</v>
      </c>
      <c r="D176" s="5" t="str">
        <f ca="1">IFERROR(__xludf.DUMMYFUNCTION("GOOGLETRANSLATE(B177,""ja"",""vi"")"),"Lexmark")</f>
        <v>Lexmark</v>
      </c>
      <c r="E176" s="4" t="str">
        <f ca="1">IFERROR(__xludf.DUMMYFUNCTION("GOOGLETRANSLATE(C177,""ja"",""vi"")"),"Đấu giá&gt; máy tính&gt; thiết bị ngoại vi&gt; Máy đa chức năng&gt; Lexmark")</f>
        <v>Đấu giá&gt; máy tính&gt; thiết bị ngoại vi&gt; Máy đa chức năng&gt; Lexmark</v>
      </c>
      <c r="F176" t="str">
        <f t="shared" ca="1" si="2"/>
        <v>"2084193709" : "Lexmark",</v>
      </c>
    </row>
    <row r="177" spans="1:6" ht="15.75" customHeight="1">
      <c r="A177" s="12">
        <v>2084193708</v>
      </c>
      <c r="B177" s="12" t="s">
        <v>2503</v>
      </c>
      <c r="C177" s="12" t="s">
        <v>2504</v>
      </c>
      <c r="D177" s="5" t="str">
        <f ca="1">IFERROR(__xludf.DUMMYFUNCTION("GOOGLETRANSLATE(B178,""ja"",""vi"")"),"Fuji Xerox")</f>
        <v>Fuji Xerox</v>
      </c>
      <c r="E177" s="4" t="str">
        <f ca="1">IFERROR(__xludf.DUMMYFUNCTION("GOOGLETRANSLATE(C178,""ja"",""vi"")"),"Đấu giá&gt; máy tính&gt; thiết bị ngoại vi&gt; Máy đa chức năng&gt; Fuji Xerox")</f>
        <v>Đấu giá&gt; máy tính&gt; thiết bị ngoại vi&gt; Máy đa chức năng&gt; Fuji Xerox</v>
      </c>
      <c r="F177" t="str">
        <f t="shared" ca="1" si="2"/>
        <v>"2084193708" : "Fuji Xerox",</v>
      </c>
    </row>
    <row r="178" spans="1:6" ht="15.75" customHeight="1">
      <c r="A178" s="12">
        <v>2084193711</v>
      </c>
      <c r="B178" s="12" t="s">
        <v>46</v>
      </c>
      <c r="C178" s="12" t="s">
        <v>2509</v>
      </c>
      <c r="D178" s="5" t="str">
        <f ca="1">IFERROR(__xludf.DUMMYFUNCTION("GOOGLETRANSLATE(B179,""ja"",""vi"")"),"nếu không thì")</f>
        <v>nếu không thì</v>
      </c>
      <c r="E178" s="4" t="str">
        <f ca="1">IFERROR(__xludf.DUMMYFUNCTION("GOOGLETRANSLATE(C179,""ja"",""vi"")"),"Đấu giá&gt; máy tính&gt; thiết bị ngoại vi&gt; Máy đa chức năng&gt; Khác")</f>
        <v>Đấu giá&gt; máy tính&gt; thiết bị ngoại vi&gt; Máy đa chức năng&gt; Khác</v>
      </c>
      <c r="F178" t="str">
        <f t="shared" ca="1" si="2"/>
        <v>"2084193711" : "nếu không thì",</v>
      </c>
    </row>
    <row r="179" spans="1:6" ht="15.75" customHeight="1">
      <c r="A179" s="12">
        <v>2084044807</v>
      </c>
      <c r="B179" s="12" t="s">
        <v>2514</v>
      </c>
      <c r="C179" s="12" t="s">
        <v>2515</v>
      </c>
      <c r="D179" s="5" t="str">
        <f ca="1">IFERROR(__xludf.DUMMYFUNCTION("GOOGLETRANSLATE(B180,""ja"",""vi"")"),"mạng LAN không dây")</f>
        <v>mạng LAN không dây</v>
      </c>
      <c r="E179" s="4" t="str">
        <f ca="1">IFERROR(__xludf.DUMMYFUNCTION("GOOGLETRANSLATE(C180,""ja"",""vi"")"),"Đấu giá&gt; máy tính&gt; thiết bị ngoại vi&gt; Mạng&gt; LAN không dây")</f>
        <v>Đấu giá&gt; máy tính&gt; thiết bị ngoại vi&gt; Mạng&gt; LAN không dây</v>
      </c>
      <c r="F179" t="str">
        <f t="shared" ca="1" si="2"/>
        <v>"2084044807" : "mạng LAN không dây",</v>
      </c>
    </row>
    <row r="180" spans="1:6" ht="15.75" customHeight="1">
      <c r="A180" s="12">
        <v>26414</v>
      </c>
      <c r="B180" s="12" t="s">
        <v>2519</v>
      </c>
      <c r="C180" s="12" t="s">
        <v>2521</v>
      </c>
      <c r="D180" s="5" t="str">
        <f ca="1">IFERROR(__xludf.DUMMYFUNCTION("GOOGLETRANSLATE(B181,""ja"",""vi"")"),"Router")</f>
        <v>Router</v>
      </c>
      <c r="E180" s="4" t="str">
        <f ca="1">IFERROR(__xludf.DUMMYFUNCTION("GOOGLETRANSLATE(C181,""ja"",""vi"")"),"Đấu giá&gt; máy tính&gt; thiết bị ngoại vi&gt; mạng&gt; Router")</f>
        <v>Đấu giá&gt; máy tính&gt; thiết bị ngoại vi&gt; mạng&gt; Router</v>
      </c>
      <c r="F180" t="str">
        <f t="shared" ca="1" si="2"/>
        <v>"26414" : "Router",</v>
      </c>
    </row>
    <row r="181" spans="1:6" ht="15.75" customHeight="1">
      <c r="A181" s="12">
        <v>2084045653</v>
      </c>
      <c r="B181" s="12" t="s">
        <v>2524</v>
      </c>
      <c r="C181" s="12" t="s">
        <v>2525</v>
      </c>
      <c r="D181" s="5" t="str">
        <f ca="1">IFERROR(__xludf.DUMMYFUNCTION("GOOGLETRANSLATE(B182,""ja"",""vi"")"),"modem ADSL")</f>
        <v>modem ADSL</v>
      </c>
      <c r="E181" s="4" t="str">
        <f ca="1">IFERROR(__xludf.DUMMYFUNCTION("GOOGLETRANSLATE(C182,""ja"",""vi"")"),"Đấu giá&gt; máy tính&gt; thiết bị ngoại vi&gt; mạng&gt; modem ADSL")</f>
        <v>Đấu giá&gt; máy tính&gt; thiết bị ngoại vi&gt; mạng&gt; modem ADSL</v>
      </c>
      <c r="F181" t="str">
        <f t="shared" ca="1" si="2"/>
        <v>"2084045653" : "modem ADSL",</v>
      </c>
    </row>
    <row r="182" spans="1:6" ht="15.75" customHeight="1">
      <c r="A182" s="12">
        <v>2084039483</v>
      </c>
      <c r="B182" s="12" t="s">
        <v>2529</v>
      </c>
      <c r="C182" s="12" t="s">
        <v>2530</v>
      </c>
      <c r="D182" s="5" t="str">
        <f ca="1">IFERROR(__xludf.DUMMYFUNCTION("GOOGLETRANSLATE(B183,""ja"",""vi"")"),"thẻ giao diện IEEE1394")</f>
        <v>thẻ giao diện IEEE1394</v>
      </c>
      <c r="E182" s="4" t="str">
        <f ca="1">IFERROR(__xludf.DUMMYFUNCTION("GOOGLETRANSLATE(C183,""ja"",""vi"")"),"Đấu giá&gt; máy tính&gt; thiết bị ngoại vi&gt; mạng&gt; IEEE1394 card giao diện")</f>
        <v>Đấu giá&gt; máy tính&gt; thiết bị ngoại vi&gt; mạng&gt; IEEE1394 card giao diện</v>
      </c>
      <c r="F182" t="str">
        <f t="shared" ca="1" si="2"/>
        <v>"2084039483" : "thẻ giao diện IEEE1394",</v>
      </c>
    </row>
    <row r="183" spans="1:6" ht="15.75" customHeight="1">
      <c r="A183" s="12">
        <v>2084048499</v>
      </c>
      <c r="B183" s="12" t="s">
        <v>2533</v>
      </c>
      <c r="C183" s="12" t="s">
        <v>2534</v>
      </c>
      <c r="D183" s="5" t="str">
        <f ca="1">IFERROR(__xludf.DUMMYFUNCTION("GOOGLETRANSLATE(B184,""ja"",""vi"")"),"LAN")</f>
        <v>LAN</v>
      </c>
      <c r="E183" s="4" t="str">
        <f ca="1">IFERROR(__xludf.DUMMYFUNCTION("GOOGLETRANSLATE(C184,""ja"",""vi"")"),"Đấu giá&gt; máy tính&gt; thiết bị ngoại vi&gt; Mạng&gt; LAN")</f>
        <v>Đấu giá&gt; máy tính&gt; thiết bị ngoại vi&gt; Mạng&gt; LAN</v>
      </c>
      <c r="F183" t="str">
        <f t="shared" ca="1" si="2"/>
        <v>"2084048499" : "LAN",</v>
      </c>
    </row>
    <row r="184" spans="1:6" ht="15.75" customHeight="1">
      <c r="A184" s="12">
        <v>2084039673</v>
      </c>
      <c r="B184" s="12" t="s">
        <v>2537</v>
      </c>
      <c r="C184" s="12" t="s">
        <v>2539</v>
      </c>
      <c r="D184" s="5" t="str">
        <f ca="1">IFERROR(__xludf.DUMMYFUNCTION("GOOGLETRANSLATE(B185,""ja"",""vi"")"),"TA, Ban ISDN")</f>
        <v>TA, Ban ISDN</v>
      </c>
      <c r="E184" s="4" t="str">
        <f ca="1">IFERROR(__xludf.DUMMYFUNCTION("GOOGLETRANSLATE(C185,""ja"",""vi"")"),"Đấu giá&gt; máy tính&gt; thiết bị ngoại vi&gt; mạng&gt; TA, Ban ISDN")</f>
        <v>Đấu giá&gt; máy tính&gt; thiết bị ngoại vi&gt; mạng&gt; TA, Ban ISDN</v>
      </c>
      <c r="F184" t="str">
        <f t="shared" ca="1" si="2"/>
        <v>"2084039673" : "TA, Ban ISDN",</v>
      </c>
    </row>
    <row r="185" spans="1:6" ht="15.75" customHeight="1">
      <c r="A185" s="12">
        <v>2084039484</v>
      </c>
      <c r="B185" s="12" t="s">
        <v>2541</v>
      </c>
      <c r="C185" s="12" t="s">
        <v>2544</v>
      </c>
      <c r="D185" s="5" t="str">
        <f ca="1">IFERROR(__xludf.DUMMYFUNCTION("GOOGLETRANSLATE(B186,""ja"",""vi"")"),"thẻ giao diện USB")</f>
        <v>thẻ giao diện USB</v>
      </c>
      <c r="E185" s="4" t="str">
        <f ca="1">IFERROR(__xludf.DUMMYFUNCTION("GOOGLETRANSLATE(C186,""ja"",""vi"")"),"Đấu giá&gt; máy tính&gt; thiết bị ngoại vi&gt; mạng&gt; thẻ giao diện USB")</f>
        <v>Đấu giá&gt; máy tính&gt; thiết bị ngoại vi&gt; mạng&gt; thẻ giao diện USB</v>
      </c>
      <c r="F185" t="str">
        <f t="shared" ca="1" si="2"/>
        <v>"2084039484" : "thẻ giao diện USB",</v>
      </c>
    </row>
    <row r="186" spans="1:6" ht="15.75" customHeight="1">
      <c r="A186" s="12">
        <v>2084039701</v>
      </c>
      <c r="B186" s="12" t="s">
        <v>2547</v>
      </c>
      <c r="C186" s="12" t="s">
        <v>2549</v>
      </c>
      <c r="D186" s="5" t="str">
        <f ca="1">IFERROR(__xludf.DUMMYFUNCTION("GOOGLETRANSLATE(B187,""ja"",""vi"")"),"hub USB")</f>
        <v>hub USB</v>
      </c>
      <c r="E186" s="4" t="str">
        <f ca="1">IFERROR(__xludf.DUMMYFUNCTION("GOOGLETRANSLATE(C187,""ja"",""vi"")"),"Đấu giá&gt; máy tính&gt; thiết bị ngoại vi&gt; mạng&gt; hub USB")</f>
        <v>Đấu giá&gt; máy tính&gt; thiết bị ngoại vi&gt; mạng&gt; hub USB</v>
      </c>
      <c r="F186" t="str">
        <f t="shared" ca="1" si="2"/>
        <v>"2084039701" : "hub USB",</v>
      </c>
    </row>
    <row r="187" spans="1:6" ht="15.75" customHeight="1">
      <c r="A187" s="12">
        <v>2084039680</v>
      </c>
      <c r="B187" s="12" t="s">
        <v>2553</v>
      </c>
      <c r="C187" s="12" t="s">
        <v>2554</v>
      </c>
      <c r="D187" s="5" t="str">
        <f ca="1">IFERROR(__xludf.DUMMYFUNCTION("GOOGLETRANSLATE(B188,""ja"",""vi"")"),"hub Ethernet")</f>
        <v>hub Ethernet</v>
      </c>
      <c r="E187" s="4" t="str">
        <f ca="1">IFERROR(__xludf.DUMMYFUNCTION("GOOGLETRANSLATE(C188,""ja"",""vi"")"),"Đấu giá&gt; máy tính&gt; thiết bị ngoại vi&gt; mạng&gt; hub Ethernet")</f>
        <v>Đấu giá&gt; máy tính&gt; thiết bị ngoại vi&gt; mạng&gt; hub Ethernet</v>
      </c>
      <c r="F187" t="str">
        <f t="shared" ca="1" si="2"/>
        <v>"2084039680" : "hub Ethernet",</v>
      </c>
    </row>
    <row r="188" spans="1:6" ht="15.75" customHeight="1">
      <c r="A188" s="12">
        <v>2084039539</v>
      </c>
      <c r="B188" s="12" t="s">
        <v>2556</v>
      </c>
      <c r="C188" s="12" t="s">
        <v>2558</v>
      </c>
      <c r="D188" s="5" t="str">
        <f ca="1">IFERROR(__xludf.DUMMYFUNCTION("GOOGLETRANSLATE(B189,""ja"",""vi"")"),"cáp mạng, đầu nối")</f>
        <v>cáp mạng, đầu nối</v>
      </c>
      <c r="E188" s="4" t="str">
        <f ca="1">IFERROR(__xludf.DUMMYFUNCTION("GOOGLETRANSLATE(C189,""ja"",""vi"")"),"Đấu giá&gt; máy tính&gt; thiết bị ngoại vi&gt; Mạng&gt; cáp mạng, đầu nối")</f>
        <v>Đấu giá&gt; máy tính&gt; thiết bị ngoại vi&gt; Mạng&gt; cáp mạng, đầu nối</v>
      </c>
      <c r="F188" t="str">
        <f t="shared" ca="1" si="2"/>
        <v>"2084039539" : "cáp mạng, đầu nối",</v>
      </c>
    </row>
    <row r="189" spans="1:6" ht="15.75" customHeight="1">
      <c r="A189" s="12">
        <v>2084039685</v>
      </c>
      <c r="B189" s="12" t="s">
        <v>2562</v>
      </c>
      <c r="C189" s="12" t="s">
        <v>2563</v>
      </c>
      <c r="D189" s="5" t="str">
        <f ca="1">IFERROR(__xludf.DUMMYFUNCTION("GOOGLETRANSLATE(B190,""ja"",""vi"")"),"máy chủ in")</f>
        <v>máy chủ in</v>
      </c>
      <c r="E189" s="4" t="str">
        <f ca="1">IFERROR(__xludf.DUMMYFUNCTION("GOOGLETRANSLATE(C190,""ja"",""vi"")"),"Đấu giá&gt; máy tính&gt; thiết bị ngoại vi&gt; mạng&gt; Print Server")</f>
        <v>Đấu giá&gt; máy tính&gt; thiết bị ngoại vi&gt; mạng&gt; Print Server</v>
      </c>
      <c r="F189" t="str">
        <f t="shared" ca="1" si="2"/>
        <v>"2084039685" : "máy chủ in",</v>
      </c>
    </row>
    <row r="190" spans="1:6" ht="15.75" customHeight="1">
      <c r="A190" s="12">
        <v>2084039619</v>
      </c>
      <c r="B190" s="12" t="s">
        <v>2566</v>
      </c>
      <c r="C190" s="12" t="s">
        <v>2568</v>
      </c>
      <c r="D190" s="5" t="str">
        <f ca="1">IFERROR(__xludf.DUMMYFUNCTION("GOOGLETRANSLATE(B191,""ja"",""vi"")"),"modem")</f>
        <v>modem</v>
      </c>
      <c r="E190" s="4" t="str">
        <f ca="1">IFERROR(__xludf.DUMMYFUNCTION("GOOGLETRANSLATE(C191,""ja"",""vi"")"),"Đấu giá&gt; máy tính&gt; thiết bị ngoại vi&gt; mạng&gt; Modem")</f>
        <v>Đấu giá&gt; máy tính&gt; thiết bị ngoại vi&gt; mạng&gt; Modem</v>
      </c>
      <c r="F190" t="str">
        <f t="shared" ca="1" si="2"/>
        <v>"2084039619" : "modem",</v>
      </c>
    </row>
    <row r="191" spans="1:6" ht="15.75" customHeight="1">
      <c r="A191" s="12">
        <v>26416</v>
      </c>
      <c r="B191" s="12" t="s">
        <v>2572</v>
      </c>
      <c r="C191" s="12" t="s">
        <v>2573</v>
      </c>
      <c r="D191" s="5" t="str">
        <f ca="1">IFERROR(__xludf.DUMMYFUNCTION("GOOGLETRANSLATE(B192,""ja"",""vi"")"),"Chuyển sang, nhà phân phối")</f>
        <v>Chuyển sang, nhà phân phối</v>
      </c>
      <c r="E191" s="4" t="str">
        <f ca="1">IFERROR(__xludf.DUMMYFUNCTION("GOOGLETRANSLATE(C192,""ja"",""vi"")"),"Đấu giá&gt; máy tính&gt; thiết bị ngoại vi&gt; mạng&gt; Switch, nhà phân phối")</f>
        <v>Đấu giá&gt; máy tính&gt; thiết bị ngoại vi&gt; mạng&gt; Switch, nhà phân phối</v>
      </c>
      <c r="F191" t="str">
        <f t="shared" ca="1" si="2"/>
        <v>"26416" : "Chuyển sang, nhà phân phối",</v>
      </c>
    </row>
    <row r="192" spans="1:6" ht="15.75" customHeight="1">
      <c r="A192" s="12">
        <v>2084039702</v>
      </c>
      <c r="B192" s="12" t="s">
        <v>2577</v>
      </c>
      <c r="C192" s="12" t="s">
        <v>2579</v>
      </c>
      <c r="D192" s="5" t="str">
        <f ca="1">IFERROR(__xludf.DUMMYFUNCTION("GOOGLETRANSLATE(B193,""ja"",""vi"")"),"UPS, cung cấp điện liên tục")</f>
        <v>UPS, cung cấp điện liên tục</v>
      </c>
      <c r="E192" s="4" t="str">
        <f ca="1">IFERROR(__xludf.DUMMYFUNCTION("GOOGLETRANSLATE(C193,""ja"",""vi"")"),"Đấu giá&gt; máy tính&gt; thiết bị ngoại vi&gt; Mạng&gt; UPS, cung cấp điện liên tục")</f>
        <v>Đấu giá&gt; máy tính&gt; thiết bị ngoại vi&gt; Mạng&gt; UPS, cung cấp điện liên tục</v>
      </c>
      <c r="F192" t="str">
        <f t="shared" ca="1" si="2"/>
        <v>"2084039702" : "UPS, cung cấp điện liên tục",</v>
      </c>
    </row>
    <row r="193" spans="1:6" ht="15.75" customHeight="1">
      <c r="A193" s="12">
        <v>26418</v>
      </c>
      <c r="B193" s="12" t="s">
        <v>46</v>
      </c>
      <c r="C193" s="12" t="s">
        <v>2584</v>
      </c>
      <c r="D193" s="5" t="str">
        <f ca="1">IFERROR(__xludf.DUMMYFUNCTION("GOOGLETRANSLATE(B194,""ja"",""vi"")"),"nếu không thì")</f>
        <v>nếu không thì</v>
      </c>
      <c r="E193" s="4" t="str">
        <f ca="1">IFERROR(__xludf.DUMMYFUNCTION("GOOGLETRANSLATE(C194,""ja"",""vi"")"),"Đấu giá&gt; máy tính&gt; thiết bị ngoại vi&gt; mạng&gt; Khác")</f>
        <v>Đấu giá&gt; máy tính&gt; thiết bị ngoại vi&gt; mạng&gt; Khác</v>
      </c>
      <c r="F193" t="str">
        <f t="shared" ca="1" si="2"/>
        <v>"26418" : "nếu không thì",</v>
      </c>
    </row>
    <row r="194" spans="1:6" ht="15.75" customHeight="1">
      <c r="A194" s="12">
        <v>23352</v>
      </c>
      <c r="B194" s="12" t="s">
        <v>2587</v>
      </c>
      <c r="C194" s="12" t="s">
        <v>2589</v>
      </c>
      <c r="D194" s="5" t="str">
        <f ca="1">IFERROR(__xludf.DUMMYFUNCTION("GOOGLETRANSLATE(B195,""ja"",""vi"")"),"bàn phím")</f>
        <v>bàn phím</v>
      </c>
      <c r="E194" s="4" t="str">
        <f ca="1">IFERROR(__xludf.DUMMYFUNCTION("GOOGLETRANSLATE(C195,""ja"",""vi"")"),"Đấu giá&gt; máy tính&gt; thiết bị ngoại vi&gt; thiết bị input&gt; bàn phím")</f>
        <v>Đấu giá&gt; máy tính&gt; thiết bị ngoại vi&gt; thiết bị input&gt; bàn phím</v>
      </c>
      <c r="F194" t="str">
        <f t="shared" ref="F194:F257" ca="1" si="3">CONCATENATE(CHAR(34)&amp;"",A194,""&amp;CHAR(34)," : ", CHAR(34)&amp;"",D194,""&amp;CHAR(34),",")</f>
        <v>"23352" : "bàn phím",</v>
      </c>
    </row>
    <row r="195" spans="1:6" ht="15.75" customHeight="1">
      <c r="A195" s="12">
        <v>23356</v>
      </c>
      <c r="B195" s="12" t="s">
        <v>2591</v>
      </c>
      <c r="C195" s="12" t="s">
        <v>2594</v>
      </c>
      <c r="D195" s="5" t="str">
        <f ca="1">IFERROR(__xludf.DUMMYFUNCTION("GOOGLETRANSLATE(B196,""ja"",""vi"")"),"Một con chuột, trackball")</f>
        <v>Một con chuột, trackball</v>
      </c>
      <c r="E195" s="4" t="str">
        <f ca="1">IFERROR(__xludf.DUMMYFUNCTION("GOOGLETRANSLATE(C196,""ja"",""vi"")"),"Đấu giá&gt; máy tính&gt; thiết bị ngoại vi&gt; thiết bị input&gt; chuột, trackball")</f>
        <v>Đấu giá&gt; máy tính&gt; thiết bị ngoại vi&gt; thiết bị input&gt; chuột, trackball</v>
      </c>
      <c r="F195" t="str">
        <f t="shared" ca="1" si="3"/>
        <v>"23356" : "Một con chuột, trackball",</v>
      </c>
    </row>
    <row r="196" spans="1:6" ht="15.75" customHeight="1">
      <c r="A196" s="12">
        <v>2084039612</v>
      </c>
      <c r="B196" s="12" t="s">
        <v>1579</v>
      </c>
      <c r="C196" s="12" t="s">
        <v>2596</v>
      </c>
      <c r="D196" s="5" t="str">
        <f ca="1">IFERROR(__xludf.DUMMYFUNCTION("GOOGLETRANSLATE(B197,""ja"",""vi"")"),"viên thuốc")</f>
        <v>viên thuốc</v>
      </c>
      <c r="E196" s="4" t="str">
        <f ca="1">IFERROR(__xludf.DUMMYFUNCTION("GOOGLETRANSLATE(C197,""ja"",""vi"")"),"Đấu giá&gt; máy tính&gt; thiết bị ngoại vi&gt; thiết bị input&gt; tablet")</f>
        <v>Đấu giá&gt; máy tính&gt; thiết bị ngoại vi&gt; thiết bị input&gt; tablet</v>
      </c>
      <c r="F196" t="str">
        <f t="shared" ca="1" si="3"/>
        <v>"2084039612" : "viên thuốc",</v>
      </c>
    </row>
    <row r="197" spans="1:6" ht="15.75" customHeight="1">
      <c r="A197" s="12">
        <v>2084042337</v>
      </c>
      <c r="B197" s="12" t="s">
        <v>2232</v>
      </c>
      <c r="C197" s="12" t="s">
        <v>2601</v>
      </c>
      <c r="D197" s="5" t="str">
        <f ca="1">IFERROR(__xludf.DUMMYFUNCTION("GOOGLETRANSLATE(B198,""ja"",""vi"")"),"card Reader")</f>
        <v>card Reader</v>
      </c>
      <c r="E197" s="4" t="str">
        <f ca="1">IFERROR(__xludf.DUMMYFUNCTION("GOOGLETRANSLATE(C198,""ja"",""vi"")"),"Đấu giá&gt; máy tính&gt; thiết bị ngoại vi&gt; thiết bị đầu vào&gt; đầu đọc thẻ")</f>
        <v>Đấu giá&gt; máy tính&gt; thiết bị ngoại vi&gt; thiết bị đầu vào&gt; đầu đọc thẻ</v>
      </c>
      <c r="F197" t="str">
        <f t="shared" ca="1" si="3"/>
        <v>"2084042337" : "card Reader",</v>
      </c>
    </row>
    <row r="198" spans="1:6" ht="15.75" customHeight="1">
      <c r="A198" s="12">
        <v>2084039610</v>
      </c>
      <c r="B198" s="12" t="s">
        <v>2606</v>
      </c>
      <c r="C198" s="12" t="s">
        <v>2607</v>
      </c>
      <c r="D198" s="5" t="str">
        <f ca="1">IFERROR(__xludf.DUMMYFUNCTION("GOOGLETRANSLATE(B199,""ja"",""vi"")"),"thanh Joy")</f>
        <v>thanh Joy</v>
      </c>
      <c r="E198" s="4" t="str">
        <f ca="1">IFERROR(__xludf.DUMMYFUNCTION("GOOGLETRANSLATE(C199,""ja"",""vi"")"),"Đấu giá&gt; máy tính&gt; thiết bị ngoại vi&gt; thiết bị input&gt; phím điều khiển")</f>
        <v>Đấu giá&gt; máy tính&gt; thiết bị ngoại vi&gt; thiết bị input&gt; phím điều khiển</v>
      </c>
      <c r="F198" t="str">
        <f t="shared" ca="1" si="3"/>
        <v>"2084039610" : "thanh Joy",</v>
      </c>
    </row>
    <row r="199" spans="1:6" ht="15.75" customHeight="1">
      <c r="A199" s="12">
        <v>2084049776</v>
      </c>
      <c r="B199" s="12" t="s">
        <v>2611</v>
      </c>
      <c r="C199" s="12" t="s">
        <v>2613</v>
      </c>
      <c r="D199" s="5" t="str">
        <f ca="1">IFERROR(__xludf.DUMMYFUNCTION("GOOGLETRANSLATE(B200,""ja"",""vi"")"),"Mười bàn phím")</f>
        <v>Mười bàn phím</v>
      </c>
      <c r="E199" s="4" t="str">
        <f ca="1">IFERROR(__xludf.DUMMYFUNCTION("GOOGLETRANSLATE(C200,""ja"",""vi"")"),"Đấu giá&gt; máy tính&gt; thiết bị ngoại vi&gt; thiết bị input&gt; bàn phím số")</f>
        <v>Đấu giá&gt; máy tính&gt; thiết bị ngoại vi&gt; thiết bị input&gt; bàn phím số</v>
      </c>
      <c r="F199" t="str">
        <f t="shared" ca="1" si="3"/>
        <v>"2084049776" : "Mười bàn phím",</v>
      </c>
    </row>
    <row r="200" spans="1:6" ht="15.75" customHeight="1">
      <c r="A200" s="12">
        <v>2084039614</v>
      </c>
      <c r="B200" s="12" t="s">
        <v>2617</v>
      </c>
      <c r="C200" s="12" t="s">
        <v>2618</v>
      </c>
      <c r="D200" s="5" t="str">
        <f ca="1">IFERROR(__xludf.DUMMYFUNCTION("GOOGLETRANSLATE(B201,""ja"",""vi"")"),"đầu đọc mã vạch")</f>
        <v>đầu đọc mã vạch</v>
      </c>
      <c r="E200" s="4" t="str">
        <f ca="1">IFERROR(__xludf.DUMMYFUNCTION("GOOGLETRANSLATE(C201,""ja"",""vi"")"),"Đấu giá&gt; máy tính&gt; thiết bị ngoại vi&gt; thiết bị đầu vào&gt; đầu đọc mã vạch")</f>
        <v>Đấu giá&gt; máy tính&gt; thiết bị ngoại vi&gt; thiết bị đầu vào&gt; đầu đọc mã vạch</v>
      </c>
      <c r="F200" t="str">
        <f t="shared" ca="1" si="3"/>
        <v>"2084039614" : "đầu đọc mã vạch",</v>
      </c>
    </row>
    <row r="201" spans="1:6" ht="15.75" customHeight="1">
      <c r="A201" s="12">
        <v>23456</v>
      </c>
      <c r="B201" s="12" t="s">
        <v>2434</v>
      </c>
      <c r="C201" s="12" t="s">
        <v>2623</v>
      </c>
      <c r="D201" s="5" t="str">
        <f ca="1">IFERROR(__xludf.DUMMYFUNCTION("GOOGLETRANSLATE(B202,""ja"",""vi"")"),"Đối với Mac")</f>
        <v>Đối với Mac</v>
      </c>
      <c r="E201" s="4" t="str">
        <f ca="1">IFERROR(__xludf.DUMMYFUNCTION("GOOGLETRANSLATE(C202,""ja"",""vi"")"),"Đấu giá&gt; máy tính&gt; thiết bị ngoại vi&gt; thiết bị input&gt; dành cho Mac")</f>
        <v>Đấu giá&gt; máy tính&gt; thiết bị ngoại vi&gt; thiết bị input&gt; dành cho Mac</v>
      </c>
      <c r="F201" t="str">
        <f t="shared" ca="1" si="3"/>
        <v>"23456" : "Đối với Mac",</v>
      </c>
    </row>
    <row r="202" spans="1:6" ht="15.75" customHeight="1">
      <c r="A202" s="12">
        <v>23360</v>
      </c>
      <c r="B202" s="12" t="s">
        <v>46</v>
      </c>
      <c r="C202" s="12" t="s">
        <v>2625</v>
      </c>
      <c r="D202" s="5" t="str">
        <f ca="1">IFERROR(__xludf.DUMMYFUNCTION("GOOGLETRANSLATE(B203,""ja"",""vi"")"),"nếu không thì")</f>
        <v>nếu không thì</v>
      </c>
      <c r="E202" s="4" t="str">
        <f ca="1">IFERROR(__xludf.DUMMYFUNCTION("GOOGLETRANSLATE(C203,""ja"",""vi"")"),"Đấu giá&gt; máy tính&gt; thiết bị ngoại vi&gt; thiết bị input&gt; Khác")</f>
        <v>Đấu giá&gt; máy tính&gt; thiết bị ngoại vi&gt; thiết bị input&gt; Khác</v>
      </c>
      <c r="F202" t="str">
        <f t="shared" ca="1" si="3"/>
        <v>"23360" : "nếu không thì",</v>
      </c>
    </row>
    <row r="203" spans="1:6" ht="15.75" customHeight="1">
      <c r="A203" s="12">
        <v>2084039602</v>
      </c>
      <c r="B203" s="12" t="s">
        <v>2629</v>
      </c>
      <c r="C203" s="12" t="s">
        <v>2630</v>
      </c>
      <c r="D203" s="5" t="str">
        <f ca="1">IFERROR(__xludf.DUMMYFUNCTION("GOOGLETRANSLATE(B204,""ja"",""vi"")"),"máy quét phẳng")</f>
        <v>máy quét phẳng</v>
      </c>
      <c r="E203" s="4" t="str">
        <f ca="1">IFERROR(__xludf.DUMMYFUNCTION("GOOGLETRANSLATE(C204,""ja"",""vi"")"),"Đấu giá&gt; máy tính&gt; thiết bị ngoại vi&gt; quét&gt; phẳng quét")</f>
        <v>Đấu giá&gt; máy tính&gt; thiết bị ngoại vi&gt; quét&gt; phẳng quét</v>
      </c>
      <c r="F203" t="str">
        <f t="shared" ca="1" si="3"/>
        <v>"2084039602" : "máy quét phẳng",</v>
      </c>
    </row>
    <row r="204" spans="1:6" ht="15.75" customHeight="1">
      <c r="A204" s="12">
        <v>2084039603</v>
      </c>
      <c r="B204" s="12" t="s">
        <v>2634</v>
      </c>
      <c r="C204" s="12" t="s">
        <v>2636</v>
      </c>
      <c r="D204" s="5" t="str">
        <f ca="1">IFERROR(__xludf.DUMMYFUNCTION("GOOGLETRANSLATE(B205,""ja"",""vi"")"),"máy quét Handy")</f>
        <v>máy quét Handy</v>
      </c>
      <c r="E204" s="4" t="str">
        <f ca="1">IFERROR(__xludf.DUMMYFUNCTION("GOOGLETRANSLATE(C205,""ja"",""vi"")"),"Đấu giá&gt; máy tính&gt; thiết bị ngoại vi&gt; quét&gt; quét tiện dụng")</f>
        <v>Đấu giá&gt; máy tính&gt; thiết bị ngoại vi&gt; quét&gt; quét tiện dụng</v>
      </c>
      <c r="F204" t="str">
        <f t="shared" ca="1" si="3"/>
        <v>"2084039603" : "máy quét Handy",</v>
      </c>
    </row>
    <row r="205" spans="1:6" ht="15.75" customHeight="1">
      <c r="A205" s="12">
        <v>2084039604</v>
      </c>
      <c r="B205" s="12" t="s">
        <v>2639</v>
      </c>
      <c r="C205" s="12" t="s">
        <v>2641</v>
      </c>
      <c r="D205" s="5" t="str">
        <f ca="1">IFERROR(__xludf.DUMMYFUNCTION("GOOGLETRANSLATE(B206,""ja"",""vi"")"),"máy quét phim")</f>
        <v>máy quét phim</v>
      </c>
      <c r="E205" s="4" t="str">
        <f ca="1">IFERROR(__xludf.DUMMYFUNCTION("GOOGLETRANSLATE(C206,""ja"",""vi"")"),"Đấu giá&gt; máy tính&gt; thiết bị ngoại vi&gt; quét&gt; máy quét phim")</f>
        <v>Đấu giá&gt; máy tính&gt; thiết bị ngoại vi&gt; quét&gt; máy quét phim</v>
      </c>
      <c r="F205" t="str">
        <f t="shared" ca="1" si="3"/>
        <v>"2084039604" : "máy quét phim",</v>
      </c>
    </row>
    <row r="206" spans="1:6" ht="15.75" customHeight="1">
      <c r="A206" s="12">
        <v>23548</v>
      </c>
      <c r="B206" s="12" t="s">
        <v>2434</v>
      </c>
      <c r="C206" s="12" t="s">
        <v>2645</v>
      </c>
      <c r="D206" s="5" t="str">
        <f ca="1">IFERROR(__xludf.DUMMYFUNCTION("GOOGLETRANSLATE(B207,""ja"",""vi"")"),"Đối với Mac")</f>
        <v>Đối với Mac</v>
      </c>
      <c r="E206" s="4" t="str">
        <f ca="1">IFERROR(__xludf.DUMMYFUNCTION("GOOGLETRANSLATE(C207,""ja"",""vi"")"),"Đấu giá&gt; máy tính&gt; thiết bị ngoại vi&gt; quét&gt; dành cho Mac")</f>
        <v>Đấu giá&gt; máy tính&gt; thiết bị ngoại vi&gt; quét&gt; dành cho Mac</v>
      </c>
      <c r="F206" t="str">
        <f t="shared" ca="1" si="3"/>
        <v>"23548" : "Đối với Mac",</v>
      </c>
    </row>
    <row r="207" spans="1:6" ht="15.75" customHeight="1">
      <c r="A207" s="12">
        <v>2084039605</v>
      </c>
      <c r="B207" s="12" t="s">
        <v>46</v>
      </c>
      <c r="C207" s="12" t="s">
        <v>2649</v>
      </c>
      <c r="D207" s="5" t="str">
        <f ca="1">IFERROR(__xludf.DUMMYFUNCTION("GOOGLETRANSLATE(B208,""ja"",""vi"")"),"nếu không thì")</f>
        <v>nếu không thì</v>
      </c>
      <c r="E207" s="4" t="str">
        <f ca="1">IFERROR(__xludf.DUMMYFUNCTION("GOOGLETRANSLATE(C208,""ja"",""vi"")"),"Đấu giá&gt; máy tính&gt; thiết bị ngoại vi&gt; quét&gt; Khác")</f>
        <v>Đấu giá&gt; máy tính&gt; thiết bị ngoại vi&gt; quét&gt; Khác</v>
      </c>
      <c r="F207" t="str">
        <f t="shared" ca="1" si="3"/>
        <v>"2084039605" : "nếu không thì",</v>
      </c>
    </row>
    <row r="208" spans="1:6" ht="15.75" customHeight="1">
      <c r="A208" s="12">
        <v>2084039704</v>
      </c>
      <c r="B208" s="12" t="s">
        <v>2654</v>
      </c>
      <c r="C208" s="12" t="s">
        <v>2655</v>
      </c>
      <c r="D208" s="5" t="str">
        <f ca="1">IFERROR(__xludf.DUMMYFUNCTION("GOOGLETRANSLATE(B209,""ja"",""vi"")"),"loa")</f>
        <v>loa</v>
      </c>
      <c r="E208" s="4" t="str">
        <f ca="1">IFERROR(__xludf.DUMMYFUNCTION("GOOGLETRANSLATE(C209,""ja"",""vi"")"),"Đấu giá&gt; máy tính&gt; thiết bị ngoại vi&gt; Âm thanh&gt; Loa")</f>
        <v>Đấu giá&gt; máy tính&gt; thiết bị ngoại vi&gt; Âm thanh&gt; Loa</v>
      </c>
      <c r="F208" t="str">
        <f t="shared" ca="1" si="3"/>
        <v>"2084039704" : "loa",</v>
      </c>
    </row>
    <row r="209" spans="1:6" ht="15.75" customHeight="1">
      <c r="A209" s="12">
        <v>2084039706</v>
      </c>
      <c r="B209" s="12" t="s">
        <v>2657</v>
      </c>
      <c r="C209" s="12" t="s">
        <v>2659</v>
      </c>
      <c r="D209" s="5" t="str">
        <f ca="1">IFERROR(__xludf.DUMMYFUNCTION("GOOGLETRANSLATE(B210,""ja"",""vi"")"),"MIDI")</f>
        <v>MIDI</v>
      </c>
      <c r="E209" s="4" t="str">
        <f ca="1">IFERROR(__xludf.DUMMYFUNCTION("GOOGLETRANSLATE(C210,""ja"",""vi"")"),"Đấu giá&gt; máy tính&gt; thiết bị ngoại vi&gt; âm thanh&gt; MIDI")</f>
        <v>Đấu giá&gt; máy tính&gt; thiết bị ngoại vi&gt; âm thanh&gt; MIDI</v>
      </c>
      <c r="F209" t="str">
        <f t="shared" ca="1" si="3"/>
        <v>"2084039706" : "MIDI",</v>
      </c>
    </row>
    <row r="210" spans="1:6" ht="15.75" customHeight="1">
      <c r="A210" s="12">
        <v>2084305426</v>
      </c>
      <c r="B210" s="12" t="s">
        <v>2663</v>
      </c>
      <c r="C210" s="12" t="s">
        <v>2665</v>
      </c>
      <c r="D210" s="5" t="str">
        <f ca="1">IFERROR(__xludf.DUMMYFUNCTION("GOOGLETRANSLATE(B211,""ja"",""vi"")"),"MIDI bàn phím, bộ điều khiển")</f>
        <v>MIDI bàn phím, bộ điều khiển</v>
      </c>
      <c r="E210" s="4" t="str">
        <f ca="1">IFERROR(__xludf.DUMMYFUNCTION("GOOGLETRANSLATE(C211,""ja"",""vi"")"),"Đấu giá&gt; máy tính&gt; thiết bị ngoại vi&gt; âm thanh&gt; MIDI bàn phím, bộ điều khiển")</f>
        <v>Đấu giá&gt; máy tính&gt; thiết bị ngoại vi&gt; âm thanh&gt; MIDI bàn phím, bộ điều khiển</v>
      </c>
      <c r="F210" t="str">
        <f t="shared" ca="1" si="3"/>
        <v>"2084305426" : "MIDI bàn phím, bộ điều khiển",</v>
      </c>
    </row>
    <row r="211" spans="1:6" ht="15.75" customHeight="1">
      <c r="A211" s="12">
        <v>2084039705</v>
      </c>
      <c r="B211" s="12" t="s">
        <v>2670</v>
      </c>
      <c r="C211" s="12" t="s">
        <v>2671</v>
      </c>
      <c r="D211" s="5" t="str">
        <f ca="1">IFERROR(__xludf.DUMMYFUNCTION("GOOGLETRANSLATE(B212,""ja"",""vi"")"),"amp")</f>
        <v>amp</v>
      </c>
      <c r="E211" s="4" t="str">
        <f ca="1">IFERROR(__xludf.DUMMYFUNCTION("GOOGLETRANSLATE(C212,""ja"",""vi"")"),"Đấu giá&gt; máy tính&gt; thiết bị ngoại vi&gt; Âm thanh&gt; Bộ khuếch đại")</f>
        <v>Đấu giá&gt; máy tính&gt; thiết bị ngoại vi&gt; Âm thanh&gt; Bộ khuếch đại</v>
      </c>
      <c r="F211" t="str">
        <f t="shared" ca="1" si="3"/>
        <v>"2084039705" : "amp",</v>
      </c>
    </row>
    <row r="212" spans="1:6" ht="15.75" customHeight="1">
      <c r="A212" s="12">
        <v>2084305428</v>
      </c>
      <c r="B212" s="12" t="s">
        <v>2673</v>
      </c>
      <c r="C212" s="12" t="s">
        <v>2674</v>
      </c>
      <c r="D212" s="5" t="str">
        <f ca="1">IFERROR(__xludf.DUMMYFUNCTION("GOOGLETRANSLATE(B213,""ja"",""vi"")"),"giao diện âm thanh")</f>
        <v>giao diện âm thanh</v>
      </c>
      <c r="E212" s="4" t="str">
        <f ca="1">IFERROR(__xludf.DUMMYFUNCTION("GOOGLETRANSLATE(C213,""ja"",""vi"")"),"Đấu giá&gt; máy tính&gt; thiết bị ngoại vi&gt; âm thanh&gt; giao diện âm thanh")</f>
        <v>Đấu giá&gt; máy tính&gt; thiết bị ngoại vi&gt; âm thanh&gt; giao diện âm thanh</v>
      </c>
      <c r="F212" t="str">
        <f t="shared" ca="1" si="3"/>
        <v>"2084305428" : "giao diện âm thanh",</v>
      </c>
    </row>
    <row r="213" spans="1:6" ht="15.75" customHeight="1">
      <c r="A213" s="12">
        <v>2084019007</v>
      </c>
      <c r="B213" s="12" t="s">
        <v>2679</v>
      </c>
      <c r="C213" s="12" t="s">
        <v>2681</v>
      </c>
      <c r="D213" s="5" t="str">
        <f ca="1">IFERROR(__xludf.DUMMYFUNCTION("GOOGLETRANSLATE(B214,""ja"",""vi"")"),"Lấy mẫu CD")</f>
        <v>Lấy mẫu CD</v>
      </c>
      <c r="E213" s="4" t="str">
        <f ca="1">IFERROR(__xludf.DUMMYFUNCTION("GOOGLETRANSLATE(C214,""ja"",""vi"")"),"Đấu giá&gt; máy tính&gt; thiết bị ngoại vi&gt; âm thanh&gt; lấy mẫu CD")</f>
        <v>Đấu giá&gt; máy tính&gt; thiết bị ngoại vi&gt; âm thanh&gt; lấy mẫu CD</v>
      </c>
      <c r="F213" t="str">
        <f t="shared" ca="1" si="3"/>
        <v>"2084019007" : "Lấy mẫu CD",</v>
      </c>
    </row>
    <row r="214" spans="1:6" ht="15.75" customHeight="1">
      <c r="A214" s="12">
        <v>2084039708</v>
      </c>
      <c r="B214" s="12" t="s">
        <v>2684</v>
      </c>
      <c r="C214" s="12" t="s">
        <v>2686</v>
      </c>
      <c r="D214" s="5" t="str">
        <f ca="1">IFERROR(__xludf.DUMMYFUNCTION("GOOGLETRANSLATE(B215,""ja"",""vi"")"),"máy nghe nhạc")</f>
        <v>máy nghe nhạc</v>
      </c>
      <c r="E214" s="4" t="str">
        <f ca="1">IFERROR(__xludf.DUMMYFUNCTION("GOOGLETRANSLATE(C215,""ja"",""vi"")"),"Đấu giá&gt; máy tính&gt; thiết bị ngoại vi&gt; âm thanh&gt; Một Người Chơi")</f>
        <v>Đấu giá&gt; máy tính&gt; thiết bị ngoại vi&gt; âm thanh&gt; Một Người Chơi</v>
      </c>
      <c r="F214" t="str">
        <f t="shared" ca="1" si="3"/>
        <v>"2084039708" : "máy nghe nhạc",</v>
      </c>
    </row>
    <row r="215" spans="1:6" ht="15.75" customHeight="1">
      <c r="A215" s="12">
        <v>2084024076</v>
      </c>
      <c r="B215" s="12" t="s">
        <v>2559</v>
      </c>
      <c r="C215" s="12" t="s">
        <v>2691</v>
      </c>
      <c r="D215" s="5" t="str">
        <f ca="1">IFERROR(__xludf.DUMMYFUNCTION("GOOGLETRANSLATE(B216,""ja"",""vi"")"),"máy nghe nhạc âm thanh kỹ thuật số")</f>
        <v>máy nghe nhạc âm thanh kỹ thuật số</v>
      </c>
      <c r="E215" s="4" t="str">
        <f ca="1">IFERROR(__xludf.DUMMYFUNCTION("GOOGLETRANSLATE(C216,""ja"",""vi"")"),"Đấu giá&gt; máy tính&gt; thiết bị ngoại vi&gt; âm thanh&gt; Máy nghe âm thanh kỹ thuật số")</f>
        <v>Đấu giá&gt; máy tính&gt; thiết bị ngoại vi&gt; âm thanh&gt; Máy nghe âm thanh kỹ thuật số</v>
      </c>
      <c r="F215" t="str">
        <f t="shared" ca="1" si="3"/>
        <v>"2084024076" : "máy nghe nhạc âm thanh kỹ thuật số",</v>
      </c>
    </row>
    <row r="216" spans="1:6" ht="15.75" customHeight="1">
      <c r="A216" s="12">
        <v>2084039709</v>
      </c>
      <c r="B216" s="12" t="s">
        <v>46</v>
      </c>
      <c r="C216" s="12" t="s">
        <v>2696</v>
      </c>
      <c r="D216" s="5" t="str">
        <f ca="1">IFERROR(__xludf.DUMMYFUNCTION("GOOGLETRANSLATE(B217,""ja"",""vi"")"),"nếu không thì")</f>
        <v>nếu không thì</v>
      </c>
      <c r="E216" s="4" t="str">
        <f ca="1">IFERROR(__xludf.DUMMYFUNCTION("GOOGLETRANSLATE(C217,""ja"",""vi"")"),"Đấu giá&gt; máy tính&gt; thiết bị ngoại vi&gt; âm thanh&gt; Khác")</f>
        <v>Đấu giá&gt; máy tính&gt; thiết bị ngoại vi&gt; âm thanh&gt; Khác</v>
      </c>
      <c r="F216" t="str">
        <f t="shared" ca="1" si="3"/>
        <v>"2084039709" : "nếu không thì",</v>
      </c>
    </row>
    <row r="217" spans="1:6" ht="15.75" customHeight="1">
      <c r="A217" s="12">
        <v>23944</v>
      </c>
      <c r="B217" s="12" t="s">
        <v>2376</v>
      </c>
      <c r="C217" s="12" t="s">
        <v>2701</v>
      </c>
      <c r="D217" s="5" t="str">
        <f ca="1">IFERROR(__xludf.DUMMYFUNCTION("GOOGLETRANSLATE(B218,""ja"",""vi"")"),"máy ảnh video kỹ thuật số")</f>
        <v>máy ảnh video kỹ thuật số</v>
      </c>
      <c r="E217" s="4" t="str">
        <f ca="1">IFERROR(__xludf.DUMMYFUNCTION("GOOGLETRANSLATE(C218,""ja"",""vi"")"),"Đấu giá&gt; máy tính&gt; thiết bị ngoại vi&gt; thiết bị video kỹ thuật số&gt; máy ảnh video kỹ thuật số")</f>
        <v>Đấu giá&gt; máy tính&gt; thiết bị ngoại vi&gt; thiết bị video kỹ thuật số&gt; máy ảnh video kỹ thuật số</v>
      </c>
      <c r="F217" t="str">
        <f t="shared" ca="1" si="3"/>
        <v>"23944" : "máy ảnh video kỹ thuật số",</v>
      </c>
    </row>
    <row r="218" spans="1:6" ht="15.75" customHeight="1">
      <c r="A218" s="12">
        <v>2084226892</v>
      </c>
      <c r="B218" s="12" t="s">
        <v>2704</v>
      </c>
      <c r="C218" s="12" t="s">
        <v>2706</v>
      </c>
      <c r="D218" s="5" t="str">
        <f ca="1">IFERROR(__xludf.DUMMYFUNCTION("GOOGLETRANSLATE(B219,""ja"",""vi"")"),"web cam")</f>
        <v>web cam</v>
      </c>
      <c r="E218" s="4" t="str">
        <f ca="1">IFERROR(__xludf.DUMMYFUNCTION("GOOGLETRANSLATE(C219,""ja"",""vi"")"),"Đấu giá&gt; máy tính&gt; thiết bị ngoại vi&gt; thiết bị video kỹ thuật số&gt; Máy ảnh web")</f>
        <v>Đấu giá&gt; máy tính&gt; thiết bị ngoại vi&gt; thiết bị video kỹ thuật số&gt; Máy ảnh web</v>
      </c>
      <c r="F218" t="str">
        <f t="shared" ca="1" si="3"/>
        <v>"2084226892" : "web cam",</v>
      </c>
    </row>
    <row r="219" spans="1:6" ht="15.75" customHeight="1">
      <c r="A219" s="12">
        <v>2084217224</v>
      </c>
      <c r="B219" s="12" t="s">
        <v>2709</v>
      </c>
      <c r="C219" s="12" t="s">
        <v>2711</v>
      </c>
      <c r="D219" s="5" t="str">
        <f ca="1">IFERROR(__xludf.DUMMYFUNCTION("GOOGLETRANSLATE(B220,""ja"",""vi"")"),"TV tuner")</f>
        <v>TV tuner</v>
      </c>
      <c r="E219" s="4" t="str">
        <f ca="1">IFERROR(__xludf.DUMMYFUNCTION("GOOGLETRANSLATE(C220,""ja"",""vi"")"),"Đấu giá&gt; máy tính&gt; thiết bị ngoại vi&gt; Thiết bị hình ảnh kỹ thuật số&gt; TV tuner")</f>
        <v>Đấu giá&gt; máy tính&gt; thiết bị ngoại vi&gt; Thiết bị hình ảnh kỹ thuật số&gt; TV tuner</v>
      </c>
      <c r="F219" t="str">
        <f t="shared" ca="1" si="3"/>
        <v>"2084217224" : "TV tuner",</v>
      </c>
    </row>
    <row r="220" spans="1:6" ht="15.75" customHeight="1">
      <c r="A220" s="12">
        <v>2084039754</v>
      </c>
      <c r="B220" s="12" t="s">
        <v>2717</v>
      </c>
      <c r="C220" s="12" t="s">
        <v>2719</v>
      </c>
      <c r="D220" s="5" t="str">
        <f ca="1">IFERROR(__xludf.DUMMYFUNCTION("GOOGLETRANSLATE(B221,""ja"",""vi"")"),"chuyển đổi")</f>
        <v>chuyển đổi</v>
      </c>
      <c r="E220" s="4" t="str">
        <f ca="1">IFERROR(__xludf.DUMMYFUNCTION("GOOGLETRANSLATE(C221,""ja"",""vi"")"),"Đấu giá&gt; máy tính&gt; thiết bị ngoại vi&gt; thiết bị video kỹ thuật số&gt; Converters")</f>
        <v>Đấu giá&gt; máy tính&gt; thiết bị ngoại vi&gt; thiết bị video kỹ thuật số&gt; Converters</v>
      </c>
      <c r="F220" t="str">
        <f t="shared" ca="1" si="3"/>
        <v>"2084039754" : "chuyển đổi",</v>
      </c>
    </row>
    <row r="221" spans="1:6" ht="15.75" customHeight="1">
      <c r="A221" s="12">
        <v>2084231456</v>
      </c>
      <c r="B221" s="12" t="s">
        <v>2723</v>
      </c>
      <c r="C221" s="12" t="s">
        <v>2726</v>
      </c>
      <c r="D221" s="5" t="str">
        <f ca="1">IFERROR(__xludf.DUMMYFUNCTION("GOOGLETRANSLATE(B222,""ja"",""vi"")"),"Ảnh kỹ thuật số Khung")</f>
        <v>Ảnh kỹ thuật số Khung</v>
      </c>
      <c r="E221" s="4" t="str">
        <f ca="1">IFERROR(__xludf.DUMMYFUNCTION("GOOGLETRANSLATE(C222,""ja"",""vi"")"),"Đấu giá&gt; máy tính&gt; thiết bị ngoại vi&gt; thiết bị video kỹ thuật số&gt; khung ảnh kỹ thuật số")</f>
        <v>Đấu giá&gt; máy tính&gt; thiết bị ngoại vi&gt; thiết bị video kỹ thuật số&gt; khung ảnh kỹ thuật số</v>
      </c>
      <c r="F221" t="str">
        <f t="shared" ca="1" si="3"/>
        <v>"2084231456" : "Ảnh kỹ thuật số Khung",</v>
      </c>
    </row>
    <row r="222" spans="1:6" ht="15.75" customHeight="1">
      <c r="A222" s="12">
        <v>2084039739</v>
      </c>
      <c r="B222" s="12" t="s">
        <v>2729</v>
      </c>
      <c r="C222" s="12" t="s">
        <v>2731</v>
      </c>
      <c r="D222" s="5" t="str">
        <f ca="1">IFERROR(__xludf.DUMMYFUNCTION("GOOGLETRANSLATE(B223,""ja"",""vi"")"),"Thiết bị chỉnh sửa video")</f>
        <v>Thiết bị chỉnh sửa video</v>
      </c>
      <c r="E222" s="4" t="str">
        <f ca="1">IFERROR(__xludf.DUMMYFUNCTION("GOOGLETRANSLATE(C223,""ja"",""vi"")"),"Đấu giá&gt; máy tính&gt; thiết bị ngoại vi&gt; Thiết bị hình ảnh kỹ thuật số&gt; Thiết bị chỉnh sửa video")</f>
        <v>Đấu giá&gt; máy tính&gt; thiết bị ngoại vi&gt; Thiết bị hình ảnh kỹ thuật số&gt; Thiết bị chỉnh sửa video</v>
      </c>
      <c r="F222" t="str">
        <f t="shared" ca="1" si="3"/>
        <v>"2084039739" : "Thiết bị chỉnh sửa video",</v>
      </c>
    </row>
    <row r="223" spans="1:6" ht="15.75" customHeight="1">
      <c r="A223" s="12">
        <v>23548</v>
      </c>
      <c r="B223" s="12" t="s">
        <v>2735</v>
      </c>
      <c r="C223" s="12" t="s">
        <v>2737</v>
      </c>
      <c r="D223" s="5" t="str">
        <f ca="1">IFERROR(__xludf.DUMMYFUNCTION("GOOGLETRANSLATE(B224,""ja"",""vi"")"),"Scanner")</f>
        <v>Scanner</v>
      </c>
      <c r="E223" s="4" t="str">
        <f ca="1">IFERROR(__xludf.DUMMYFUNCTION("GOOGLETRANSLATE(C224,""ja"",""vi"")"),"Đấu giá&gt; máy tính&gt; thiết bị ngoại vi&gt; cho Mac&gt; máy quét")</f>
        <v>Đấu giá&gt; máy tính&gt; thiết bị ngoại vi&gt; cho Mac&gt; máy quét</v>
      </c>
      <c r="F223" t="str">
        <f t="shared" ca="1" si="3"/>
        <v>"23548" : "Scanner",</v>
      </c>
    </row>
    <row r="224" spans="1:6" ht="15.75" customHeight="1">
      <c r="A224" s="12">
        <v>23524</v>
      </c>
      <c r="B224" s="12" t="s">
        <v>2741</v>
      </c>
      <c r="C224" s="12" t="s">
        <v>2744</v>
      </c>
      <c r="D224" s="5" t="str">
        <f ca="1">IFERROR(__xludf.DUMMYFUNCTION("GOOGLETRANSLATE(B225,""ja"",""vi"")"),"Máy in, máy vẽ")</f>
        <v>Máy in, máy vẽ</v>
      </c>
      <c r="E224" s="4" t="str">
        <f ca="1">IFERROR(__xludf.DUMMYFUNCTION("GOOGLETRANSLATE(C225,""ja"",""vi"")"),"Đấu giá&gt; máy tính&gt; thiết bị ngoại vi&gt; cho Mac&gt; máy in, máy vẽ")</f>
        <v>Đấu giá&gt; máy tính&gt; thiết bị ngoại vi&gt; cho Mac&gt; máy in, máy vẽ</v>
      </c>
      <c r="F224" t="str">
        <f t="shared" ca="1" si="3"/>
        <v>"23524" : "Máy in, máy vẽ",</v>
      </c>
    </row>
    <row r="225" spans="1:6" ht="15.75" customHeight="1">
      <c r="A225" s="12">
        <v>2084047672</v>
      </c>
      <c r="B225" s="12" t="s">
        <v>2748</v>
      </c>
      <c r="C225" s="12" t="s">
        <v>2750</v>
      </c>
      <c r="D225" s="5" t="str">
        <f ca="1">IFERROR(__xludf.DUMMYFUNCTION("GOOGLETRANSLATE(B226,""ja"",""vi"")"),"Monitor")</f>
        <v>Monitor</v>
      </c>
      <c r="E225" s="4" t="str">
        <f ca="1">IFERROR(__xludf.DUMMYFUNCTION("GOOGLETRANSLATE(C226,""ja"",""vi"")"),"Đấu giá&gt; máy tính&gt; thiết bị ngoại vi&gt; cho Mac&gt; màn hình")</f>
        <v>Đấu giá&gt; máy tính&gt; thiết bị ngoại vi&gt; cho Mac&gt; màn hình</v>
      </c>
      <c r="F225" t="str">
        <f t="shared" ca="1" si="3"/>
        <v>"2084047672" : "Monitor",</v>
      </c>
    </row>
    <row r="226" spans="1:6" ht="15.75" customHeight="1">
      <c r="A226" s="12">
        <v>23552</v>
      </c>
      <c r="B226" s="12" t="s">
        <v>2755</v>
      </c>
      <c r="C226" s="12" t="s">
        <v>2757</v>
      </c>
      <c r="D226" s="5" t="str">
        <f ca="1">IFERROR(__xludf.DUMMYFUNCTION("GOOGLETRANSLATE(B227,""ja"",""vi"")"),"lưu trữ")</f>
        <v>lưu trữ</v>
      </c>
      <c r="E226" s="4" t="str">
        <f ca="1">IFERROR(__xludf.DUMMYFUNCTION("GOOGLETRANSLATE(C227,""ja"",""vi"")"),"Đấu giá&gt; máy tính&gt; thiết bị ngoại vi&gt; cho Mac&gt; thiết bị lưu trữ")</f>
        <v>Đấu giá&gt; máy tính&gt; thiết bị ngoại vi&gt; cho Mac&gt; thiết bị lưu trữ</v>
      </c>
      <c r="F226" t="str">
        <f t="shared" ca="1" si="3"/>
        <v>"23552" : "lưu trữ",</v>
      </c>
    </row>
    <row r="227" spans="1:6" ht="15.75" customHeight="1">
      <c r="A227" s="12">
        <v>23456</v>
      </c>
      <c r="B227" s="12" t="s">
        <v>2759</v>
      </c>
      <c r="C227" s="12" t="s">
        <v>2762</v>
      </c>
      <c r="D227" s="5" t="str">
        <f ca="1">IFERROR(__xludf.DUMMYFUNCTION("GOOGLETRANSLATE(B228,""ja"",""vi"")"),"thiết bị đầu vào")</f>
        <v>thiết bị đầu vào</v>
      </c>
      <c r="E227" s="4" t="str">
        <f ca="1">IFERROR(__xludf.DUMMYFUNCTION("GOOGLETRANSLATE(C228,""ja"",""vi"")"),"Đấu giá&gt; máy tính&gt; thiết bị ngoại vi&gt; cho Mac&gt; thiết bị đầu vào")</f>
        <v>Đấu giá&gt; máy tính&gt; thiết bị ngoại vi&gt; cho Mac&gt; thiết bị đầu vào</v>
      </c>
      <c r="F227" t="str">
        <f t="shared" ca="1" si="3"/>
        <v>"23456" : "thiết bị đầu vào",</v>
      </c>
    </row>
    <row r="228" spans="1:6" ht="15.75" customHeight="1">
      <c r="A228" s="12">
        <v>2084041647</v>
      </c>
      <c r="B228" s="12" t="s">
        <v>46</v>
      </c>
      <c r="C228" s="12" t="s">
        <v>2765</v>
      </c>
      <c r="D228" s="5" t="str">
        <f ca="1">IFERROR(__xludf.DUMMYFUNCTION("GOOGLETRANSLATE(B229,""ja"",""vi"")"),"nếu không thì")</f>
        <v>nếu không thì</v>
      </c>
      <c r="E228" s="4" t="str">
        <f ca="1">IFERROR(__xludf.DUMMYFUNCTION("GOOGLETRANSLATE(C229,""ja"",""vi"")"),"Đấu giá&gt; máy tính&gt; thiết bị ngoại vi&gt; cho Mac&gt; Khác")</f>
        <v>Đấu giá&gt; máy tính&gt; thiết bị ngoại vi&gt; cho Mac&gt; Khác</v>
      </c>
      <c r="F228" t="str">
        <f t="shared" ca="1" si="3"/>
        <v>"2084041647" : "nếu không thì",</v>
      </c>
    </row>
    <row r="229" spans="1:6" ht="15.75" customHeight="1">
      <c r="A229" s="12">
        <v>2084039474</v>
      </c>
      <c r="B229" s="12" t="s">
        <v>2770</v>
      </c>
      <c r="C229" s="12" t="s">
        <v>2771</v>
      </c>
      <c r="D229" s="5" t="str">
        <f ca="1">IFERROR(__xludf.DUMMYFUNCTION("GOOGLETRANSLATE(B230,""ja"",""vi"")"),"hộp mực Ink-jet")</f>
        <v>hộp mực Ink-jet</v>
      </c>
      <c r="E229" s="4" t="str">
        <f ca="1">IFERROR(__xludf.DUMMYFUNCTION("GOOGLETRANSLATE(C230,""ja"",""vi"")"),"Đấu giá&gt; Computer&gt; Cung cấp&gt; Cung cấp máy in&gt; Inkjet Cartridges")</f>
        <v>Đấu giá&gt; Computer&gt; Cung cấp&gt; Cung cấp máy in&gt; Inkjet Cartridges</v>
      </c>
      <c r="F229" t="str">
        <f t="shared" ca="1" si="3"/>
        <v>"2084039474" : "hộp mực Ink-jet",</v>
      </c>
    </row>
    <row r="230" spans="1:6" ht="15.75" customHeight="1">
      <c r="A230" s="12">
        <v>2084039476</v>
      </c>
      <c r="B230" s="12" t="s">
        <v>2775</v>
      </c>
      <c r="C230" s="12" t="s">
        <v>2777</v>
      </c>
      <c r="D230" s="5" t="str">
        <f ca="1">IFERROR(__xludf.DUMMYFUNCTION("GOOGLETRANSLATE(B231,""ja"",""vi"")"),"mực ruy băng")</f>
        <v>mực ruy băng</v>
      </c>
      <c r="E230" s="4" t="str">
        <f ca="1">IFERROR(__xludf.DUMMYFUNCTION("GOOGLETRANSLATE(C231,""ja"",""vi"")"),"Đấu giá&gt; máy tính&gt; cung cấp&gt; cung cấp cho máy in&gt; mực ruy băng")</f>
        <v>Đấu giá&gt; máy tính&gt; cung cấp&gt; cung cấp cho máy in&gt; mực ruy băng</v>
      </c>
      <c r="F230" t="str">
        <f t="shared" ca="1" si="3"/>
        <v>"2084039476" : "mực ruy băng",</v>
      </c>
    </row>
    <row r="231" spans="1:6" ht="15.75" customHeight="1">
      <c r="A231" s="12">
        <v>2084039475</v>
      </c>
      <c r="B231" s="12" t="s">
        <v>2779</v>
      </c>
      <c r="C231" s="12" t="s">
        <v>2780</v>
      </c>
      <c r="D231" s="5" t="str">
        <f ca="1">IFERROR(__xludf.DUMMYFUNCTION("GOOGLETRANSLATE(B232,""ja"",""vi"")"),"Toner")</f>
        <v>Toner</v>
      </c>
      <c r="E231" s="4" t="str">
        <f ca="1">IFERROR(__xludf.DUMMYFUNCTION("GOOGLETRANSLATE(C232,""ja"",""vi"")"),"Đấu giá&gt; máy tính&gt; cung cấp&gt; cung cấp cho máy in&gt; toner")</f>
        <v>Đấu giá&gt; máy tính&gt; cung cấp&gt; cung cấp cho máy in&gt; toner</v>
      </c>
      <c r="F231" t="str">
        <f t="shared" ca="1" si="3"/>
        <v>"2084039475" : "Toner",</v>
      </c>
    </row>
    <row r="232" spans="1:6" ht="15.75" customHeight="1">
      <c r="A232" s="12">
        <v>2084039478</v>
      </c>
      <c r="B232" s="12" t="s">
        <v>2783</v>
      </c>
      <c r="C232" s="12" t="s">
        <v>2784</v>
      </c>
      <c r="D232" s="5" t="str">
        <f ca="1">IFERROR(__xludf.DUMMYFUNCTION("GOOGLETRANSLATE(B233,""ja"",""vi"")"),"nhãn")</f>
        <v>nhãn</v>
      </c>
      <c r="E232" s="4" t="str">
        <f ca="1">IFERROR(__xludf.DUMMYFUNCTION("GOOGLETRANSLATE(C233,""ja"",""vi"")"),"Đấu giá&gt; máy tính&gt; cung cấp&gt; cung cấp cho máy in&gt; nhãn")</f>
        <v>Đấu giá&gt; máy tính&gt; cung cấp&gt; cung cấp cho máy in&gt; nhãn</v>
      </c>
      <c r="F232" t="str">
        <f t="shared" ca="1" si="3"/>
        <v>"2084039478" : "nhãn",</v>
      </c>
    </row>
    <row r="233" spans="1:6" ht="15.75" customHeight="1">
      <c r="A233" s="12">
        <v>2084039477</v>
      </c>
      <c r="B233" s="12" t="s">
        <v>2786</v>
      </c>
      <c r="C233" s="12" t="s">
        <v>2788</v>
      </c>
      <c r="D233" s="5" t="str">
        <f ca="1">IFERROR(__xludf.DUMMYFUNCTION("GOOGLETRANSLATE(B234,""ja"",""vi"")"),"Một tờ")</f>
        <v>Một tờ</v>
      </c>
      <c r="E233" s="4" t="str">
        <f ca="1">IFERROR(__xludf.DUMMYFUNCTION("GOOGLETRANSLATE(C234,""ja"",""vi"")"),"Đấu giá&gt; máy tính&gt; cung cấp&gt; cung cấp cho máy in&gt; giấy")</f>
        <v>Đấu giá&gt; máy tính&gt; cung cấp&gt; cung cấp cho máy in&gt; giấy</v>
      </c>
      <c r="F233" t="str">
        <f t="shared" ca="1" si="3"/>
        <v>"2084039477" : "Một tờ",</v>
      </c>
    </row>
    <row r="234" spans="1:6" ht="15.75" customHeight="1">
      <c r="A234" s="12">
        <v>2084039479</v>
      </c>
      <c r="B234" s="12" t="s">
        <v>46</v>
      </c>
      <c r="C234" s="12" t="s">
        <v>2795</v>
      </c>
      <c r="D234" s="5" t="str">
        <f ca="1">IFERROR(__xludf.DUMMYFUNCTION("GOOGLETRANSLATE(B235,""ja"",""vi"")"),"nếu không thì")</f>
        <v>nếu không thì</v>
      </c>
      <c r="E234" s="4" t="str">
        <f ca="1">IFERROR(__xludf.DUMMYFUNCTION("GOOGLETRANSLATE(C235,""ja"",""vi"")"),"Đấu giá&gt; máy tính&gt; cung cấp&gt; cung cấp cho máy in&gt; Khác")</f>
        <v>Đấu giá&gt; máy tính&gt; cung cấp&gt; cung cấp cho máy in&gt; Khác</v>
      </c>
      <c r="F234" t="str">
        <f t="shared" ca="1" si="3"/>
        <v>"2084039479" : "nếu không thì",</v>
      </c>
    </row>
    <row r="235" spans="1:6" ht="15.75" customHeight="1">
      <c r="A235" s="12">
        <v>2084219309</v>
      </c>
      <c r="B235" s="12" t="s">
        <v>2190</v>
      </c>
      <c r="C235" s="12" t="s">
        <v>2191</v>
      </c>
      <c r="D235" s="5" t="str">
        <f ca="1">IFERROR(__xludf.DUMMYFUNCTION("GOOGLETRANSLATE(B236,""ja"",""vi"")"),"bộ nhớ USB")</f>
        <v>bộ nhớ USB</v>
      </c>
      <c r="E235" s="4" t="str">
        <f ca="1">IFERROR(__xludf.DUMMYFUNCTION("GOOGLETRANSLATE(C236,""ja"",""vi"")"),"Đấu giá&gt; máy tính&gt; cung cấp&gt; bộ nhớ cho ghi âm&gt; bộ nhớ USB")</f>
        <v>Đấu giá&gt; máy tính&gt; cung cấp&gt; bộ nhớ cho ghi âm&gt; bộ nhớ USB</v>
      </c>
      <c r="F235" t="str">
        <f t="shared" ca="1" si="3"/>
        <v>"2084219309" : "bộ nhớ USB",</v>
      </c>
    </row>
    <row r="236" spans="1:6" ht="15.75" customHeight="1">
      <c r="A236" s="12">
        <v>2084047562</v>
      </c>
      <c r="B236" s="12" t="s">
        <v>2195</v>
      </c>
      <c r="C236" s="12" t="s">
        <v>2196</v>
      </c>
      <c r="D236" s="5" t="str">
        <f ca="1">IFERROR(__xludf.DUMMYFUNCTION("GOOGLETRANSLATE(B237,""ja"",""vi"")"),"thẻ nhớ SD, MMC")</f>
        <v>thẻ nhớ SD, MMC</v>
      </c>
      <c r="E236" s="4" t="str">
        <f ca="1">IFERROR(__xludf.DUMMYFUNCTION("GOOGLETRANSLATE(C237,""ja"",""vi"")"),"Đấu giá&gt; máy tính&gt; cung cấp&gt; bộ nhớ cho ghi âm&gt; thẻ nhớ SD, MMC")</f>
        <v>Đấu giá&gt; máy tính&gt; cung cấp&gt; bộ nhớ cho ghi âm&gt; thẻ nhớ SD, MMC</v>
      </c>
      <c r="F236" t="str">
        <f t="shared" ca="1" si="3"/>
        <v>"2084047562" : "thẻ nhớ SD, MMC",</v>
      </c>
    </row>
    <row r="237" spans="1:6" ht="15.75" customHeight="1">
      <c r="A237" s="12">
        <v>2084063998</v>
      </c>
      <c r="B237" s="12" t="s">
        <v>2200</v>
      </c>
      <c r="C237" s="12" t="s">
        <v>2203</v>
      </c>
      <c r="D237" s="5" t="str">
        <f ca="1">IFERROR(__xludf.DUMMYFUNCTION("GOOGLETRANSLATE(B238,""ja"",""vi"")"),"xD Picture-Card")</f>
        <v>xD Picture-Card</v>
      </c>
      <c r="E237" s="4" t="str">
        <f ca="1">IFERROR(__xludf.DUMMYFUNCTION("GOOGLETRANSLATE(C238,""ja"",""vi"")"),"Đấu giá&gt; máy tính&gt; cung cấp&gt; bộ nhớ cho ghi âm&gt; xD Picture Card")</f>
        <v>Đấu giá&gt; máy tính&gt; cung cấp&gt; bộ nhớ cho ghi âm&gt; xD Picture Card</v>
      </c>
      <c r="F237" t="str">
        <f t="shared" ca="1" si="3"/>
        <v>"2084063998" : "xD Picture-Card",</v>
      </c>
    </row>
    <row r="238" spans="1:6" ht="15.75" customHeight="1">
      <c r="A238" s="12">
        <v>2084039471</v>
      </c>
      <c r="B238" s="12" t="s">
        <v>2205</v>
      </c>
      <c r="C238" s="12" t="s">
        <v>2207</v>
      </c>
      <c r="D238" s="5" t="str">
        <f ca="1">IFERROR(__xludf.DUMMYFUNCTION("GOOGLETRANSLATE(B239,""ja"",""vi"")"),"bộ nhớ flash nhỏ gọn")</f>
        <v>bộ nhớ flash nhỏ gọn</v>
      </c>
      <c r="E238" s="4" t="str">
        <f ca="1">IFERROR(__xludf.DUMMYFUNCTION("GOOGLETRANSLATE(C239,""ja"",""vi"")"),"Đấu giá&gt; máy tính&gt; cung cấp&gt; bộ nhớ cho ghi âm&gt; Bộ nhớ Compact Flash")</f>
        <v>Đấu giá&gt; máy tính&gt; cung cấp&gt; bộ nhớ cho ghi âm&gt; Bộ nhớ Compact Flash</v>
      </c>
      <c r="F238" t="str">
        <f t="shared" ca="1" si="3"/>
        <v>"2084039471" : "bộ nhớ flash nhỏ gọn",</v>
      </c>
    </row>
    <row r="239" spans="1:6" ht="15.75" customHeight="1">
      <c r="A239" s="12">
        <v>2084039472</v>
      </c>
      <c r="B239" s="12" t="s">
        <v>2212</v>
      </c>
      <c r="C239" s="12" t="s">
        <v>2213</v>
      </c>
      <c r="D239" s="5" t="str">
        <f ca="1">IFERROR(__xludf.DUMMYFUNCTION("GOOGLETRANSLATE(B240,""ja"",""vi"")"),"smart Media")</f>
        <v>smart Media</v>
      </c>
      <c r="E239" s="4" t="str">
        <f ca="1">IFERROR(__xludf.DUMMYFUNCTION("GOOGLETRANSLATE(C240,""ja"",""vi"")"),"Đấu giá&gt; máy tính&gt; cung cấp&gt; bộ nhớ cho ghi âm&gt; phương tiện truyền thông thông minh")</f>
        <v>Đấu giá&gt; máy tính&gt; cung cấp&gt; bộ nhớ cho ghi âm&gt; phương tiện truyền thông thông minh</v>
      </c>
      <c r="F239" t="str">
        <f t="shared" ca="1" si="3"/>
        <v>"2084039472" : "smart Media",</v>
      </c>
    </row>
    <row r="240" spans="1:6" ht="15.75" customHeight="1">
      <c r="A240" s="12">
        <v>2084042336</v>
      </c>
      <c r="B240" s="12" t="s">
        <v>2217</v>
      </c>
      <c r="C240" s="12" t="s">
        <v>2218</v>
      </c>
      <c r="D240" s="5" t="str">
        <f ca="1">IFERROR(__xludf.DUMMYFUNCTION("GOOGLETRANSLATE(B241,""ja"",""vi"")"),"Memory Stick")</f>
        <v>Memory Stick</v>
      </c>
      <c r="E240" s="4" t="str">
        <f ca="1">IFERROR(__xludf.DUMMYFUNCTION("GOOGLETRANSLATE(C241,""ja"",""vi"")"),"Đấu giá&gt; máy tính&gt; cung cấp&gt; bộ nhớ cho ghi âm&gt; Memory Stick")</f>
        <v>Đấu giá&gt; máy tính&gt; cung cấp&gt; bộ nhớ cho ghi âm&gt; Memory Stick</v>
      </c>
      <c r="F240" t="str">
        <f t="shared" ca="1" si="3"/>
        <v>"2084042336" : "Memory Stick",</v>
      </c>
    </row>
    <row r="241" spans="1:6" ht="15.75" customHeight="1">
      <c r="A241" s="12">
        <v>2084039470</v>
      </c>
      <c r="B241" s="12" t="s">
        <v>2224</v>
      </c>
      <c r="C241" s="12" t="s">
        <v>2227</v>
      </c>
      <c r="D241" s="5" t="str">
        <f ca="1">IFERROR(__xludf.DUMMYFUNCTION("GOOGLETRANSLATE(B242,""ja"",""vi"")"),"thẻ nhớ máy tính")</f>
        <v>thẻ nhớ máy tính</v>
      </c>
      <c r="E241" s="4" t="str">
        <f ca="1">IFERROR(__xludf.DUMMYFUNCTION("GOOGLETRANSLATE(C242,""ja"",""vi"")"),"Đấu giá&gt; máy tính&gt; cung cấp&gt; bộ nhớ cho ghi âm&gt; Bộ nhớ thẻ PC")</f>
        <v>Đấu giá&gt; máy tính&gt; cung cấp&gt; bộ nhớ cho ghi âm&gt; Bộ nhớ thẻ PC</v>
      </c>
      <c r="F241" t="str">
        <f t="shared" ca="1" si="3"/>
        <v>"2084039470" : "thẻ nhớ máy tính",</v>
      </c>
    </row>
    <row r="242" spans="1:6" ht="15.75" customHeight="1">
      <c r="A242" s="12">
        <v>2084042337</v>
      </c>
      <c r="B242" s="12" t="s">
        <v>2232</v>
      </c>
      <c r="C242" s="12" t="s">
        <v>2234</v>
      </c>
      <c r="D242" s="5" t="str">
        <f ca="1">IFERROR(__xludf.DUMMYFUNCTION("GOOGLETRANSLATE(B243,""ja"",""vi"")"),"card Reader")</f>
        <v>card Reader</v>
      </c>
      <c r="E242" s="4" t="str">
        <f ca="1">IFERROR(__xludf.DUMMYFUNCTION("GOOGLETRANSLATE(C243,""ja"",""vi"")"),"Đấu giá&gt; máy tính&gt; cung cấp&gt; bộ nhớ cho ghi âm&gt; Card Reader")</f>
        <v>Đấu giá&gt; máy tính&gt; cung cấp&gt; bộ nhớ cho ghi âm&gt; Card Reader</v>
      </c>
      <c r="F242" t="str">
        <f t="shared" ca="1" si="3"/>
        <v>"2084042337" : "card Reader",</v>
      </c>
    </row>
    <row r="243" spans="1:6" ht="15.75" customHeight="1">
      <c r="A243" s="12">
        <v>2084039473</v>
      </c>
      <c r="B243" s="12" t="s">
        <v>46</v>
      </c>
      <c r="C243" s="12" t="s">
        <v>2239</v>
      </c>
      <c r="D243" s="5" t="str">
        <f ca="1">IFERROR(__xludf.DUMMYFUNCTION("GOOGLETRANSLATE(B244,""ja"",""vi"")"),"nếu không thì")</f>
        <v>nếu không thì</v>
      </c>
      <c r="E243" s="4" t="str">
        <f ca="1">IFERROR(__xludf.DUMMYFUNCTION("GOOGLETRANSLATE(C244,""ja"",""vi"")"),"Đấu giá&gt; máy tính&gt; cung cấp&gt; bộ nhớ cho ghi âm&gt; Khác")</f>
        <v>Đấu giá&gt; máy tính&gt; cung cấp&gt; bộ nhớ cho ghi âm&gt; Khác</v>
      </c>
      <c r="F243" t="str">
        <f t="shared" ca="1" si="3"/>
        <v>"2084039473" : "nếu không thì",</v>
      </c>
    </row>
    <row r="244" spans="1:6" ht="15.75" customHeight="1">
      <c r="A244" s="12">
        <v>2084252816</v>
      </c>
      <c r="B244" s="12" t="s">
        <v>2251</v>
      </c>
      <c r="C244" s="12" t="s">
        <v>2833</v>
      </c>
      <c r="D244" s="5" t="str">
        <f ca="1">IFERROR(__xludf.DUMMYFUNCTION("GOOGLETRANSLATE(B245,""ja"",""vi"")"),"Blu-ray")</f>
        <v>Blu-ray</v>
      </c>
      <c r="E244" s="4" t="str">
        <f ca="1">IFERROR(__xludf.DUMMYFUNCTION("GOOGLETRANSLATE(C245,""ja"",""vi"")"),"Đấu giá&gt; máy tính&gt; cung cấp&gt; ghi đĩa&gt; Blu-ray")</f>
        <v>Đấu giá&gt; máy tính&gt; cung cấp&gt; ghi đĩa&gt; Blu-ray</v>
      </c>
      <c r="F244" t="str">
        <f t="shared" ca="1" si="3"/>
        <v>"2084252816" : "Blu-ray",</v>
      </c>
    </row>
    <row r="245" spans="1:6" ht="15.75" customHeight="1">
      <c r="A245" s="12">
        <v>2084047659</v>
      </c>
      <c r="B245" s="12" t="s">
        <v>2838</v>
      </c>
      <c r="C245" s="12" t="s">
        <v>2839</v>
      </c>
      <c r="D245" s="5" t="str">
        <f ca="1">IFERROR(__xludf.DUMMYFUNCTION("GOOGLETRANSLATE(B246,""ja"",""vi"")"),"DVD-R, DVD-RW")</f>
        <v>DVD-R, DVD-RW</v>
      </c>
      <c r="E245" s="4" t="str">
        <f ca="1">IFERROR(__xludf.DUMMYFUNCTION("GOOGLETRANSLATE(C246,""ja"",""vi"")"),"Đấu giá&gt; máy tính&gt; cung cấp&gt; ghi đĩa&gt; DVD-R, DVD-RW")</f>
        <v>Đấu giá&gt; máy tính&gt; cung cấp&gt; ghi đĩa&gt; DVD-R, DVD-RW</v>
      </c>
      <c r="F245" t="str">
        <f t="shared" ca="1" si="3"/>
        <v>"2084047659" : "DVD-R, DVD-RW",</v>
      </c>
    </row>
    <row r="246" spans="1:6" ht="15.75" customHeight="1">
      <c r="A246" s="12">
        <v>2084049774</v>
      </c>
      <c r="B246" s="12" t="s">
        <v>2844</v>
      </c>
      <c r="C246" s="12" t="s">
        <v>2845</v>
      </c>
      <c r="D246" s="5" t="str">
        <f ca="1">IFERROR(__xludf.DUMMYFUNCTION("GOOGLETRANSLATE(B247,""ja"",""vi"")"),"DVD + RW")</f>
        <v>DVD + RW</v>
      </c>
      <c r="E246" s="4" t="str">
        <f ca="1">IFERROR(__xludf.DUMMYFUNCTION("GOOGLETRANSLATE(C247,""ja"",""vi"")"),"Đấu giá&gt; máy tính&gt; cung cấp&gt; ghi đĩa&gt; DVD + RW")</f>
        <v>Đấu giá&gt; máy tính&gt; cung cấp&gt; ghi đĩa&gt; DVD + RW</v>
      </c>
      <c r="F246" t="str">
        <f t="shared" ca="1" si="3"/>
        <v>"2084049774" : "DVD + RW",</v>
      </c>
    </row>
    <row r="247" spans="1:6" ht="15.75" customHeight="1">
      <c r="A247" s="12">
        <v>2084039464</v>
      </c>
      <c r="B247" s="12" t="s">
        <v>2333</v>
      </c>
      <c r="C247" s="12" t="s">
        <v>2850</v>
      </c>
      <c r="D247" s="5" t="str">
        <f ca="1">IFERROR(__xludf.DUMMYFUNCTION("GOOGLETRANSLATE(B248,""ja"",""vi"")"),"DVD-RAM")</f>
        <v>DVD-RAM</v>
      </c>
      <c r="E247" s="4" t="str">
        <f ca="1">IFERROR(__xludf.DUMMYFUNCTION("GOOGLETRANSLATE(C248,""ja"",""vi"")"),"Đấu giá&gt; máy tính&gt; cung cấp&gt; ghi đĩa&gt; DVD-RAM")</f>
        <v>Đấu giá&gt; máy tính&gt; cung cấp&gt; ghi đĩa&gt; DVD-RAM</v>
      </c>
      <c r="F247" t="str">
        <f t="shared" ca="1" si="3"/>
        <v>"2084039464" : "DVD-RAM",</v>
      </c>
    </row>
    <row r="248" spans="1:6" ht="15.75" customHeight="1">
      <c r="A248" s="12">
        <v>2084039463</v>
      </c>
      <c r="B248" s="12" t="s">
        <v>2854</v>
      </c>
      <c r="C248" s="12" t="s">
        <v>2858</v>
      </c>
      <c r="D248" s="5" t="str">
        <f ca="1">IFERROR(__xludf.DUMMYFUNCTION("GOOGLETRANSLATE(B249,""ja"",""vi"")"),"CD-R, CD-RW")</f>
        <v>CD-R, CD-RW</v>
      </c>
      <c r="E248" s="4" t="str">
        <f ca="1">IFERROR(__xludf.DUMMYFUNCTION("GOOGLETRANSLATE(C249,""ja"",""vi"")"),"Đấu giá&gt; máy tính&gt; cung cấp&gt; ghi đĩa&gt; CD-R, CD-RW")</f>
        <v>Đấu giá&gt; máy tính&gt; cung cấp&gt; ghi đĩa&gt; CD-R, CD-RW</v>
      </c>
      <c r="F248" t="str">
        <f t="shared" ca="1" si="3"/>
        <v>"2084039463" : "CD-R, CD-RW",</v>
      </c>
    </row>
    <row r="249" spans="1:6" ht="15.75" customHeight="1">
      <c r="A249" s="12">
        <v>2084039467</v>
      </c>
      <c r="B249" s="12" t="s">
        <v>2861</v>
      </c>
      <c r="C249" s="12" t="s">
        <v>2864</v>
      </c>
      <c r="D249" s="5" t="str">
        <f ca="1">IFERROR(__xludf.DUMMYFUNCTION("GOOGLETRANSLATE(B250,""ja"",""vi"")"),"DAT")</f>
        <v>DAT</v>
      </c>
      <c r="E249" s="4" t="str">
        <f ca="1">IFERROR(__xludf.DUMMYFUNCTION("GOOGLETRANSLATE(C250,""ja"",""vi"")"),"Đấu giá&gt; máy tính&gt; cung cấp&gt; ghi đĩa&gt; DAT")</f>
        <v>Đấu giá&gt; máy tính&gt; cung cấp&gt; ghi đĩa&gt; DAT</v>
      </c>
      <c r="F249" t="str">
        <f t="shared" ca="1" si="3"/>
        <v>"2084039467" : "DAT",</v>
      </c>
    </row>
    <row r="250" spans="1:6" ht="15.75" customHeight="1">
      <c r="A250" s="12">
        <v>2084039466</v>
      </c>
      <c r="B250" s="12" t="s">
        <v>2868</v>
      </c>
      <c r="C250" s="12" t="s">
        <v>2869</v>
      </c>
      <c r="D250" s="5" t="str">
        <f ca="1">IFERROR(__xludf.DUMMYFUNCTION("GOOGLETRANSLATE(B251,""ja"",""vi"")"),"FD")</f>
        <v>FD</v>
      </c>
      <c r="E250" s="4" t="str">
        <f ca="1">IFERROR(__xludf.DUMMYFUNCTION("GOOGLETRANSLATE(C251,""ja"",""vi"")"),"Đấu giá&gt; máy tính&gt; cung cấp&gt; ghi đĩa&gt; FD")</f>
        <v>Đấu giá&gt; máy tính&gt; cung cấp&gt; ghi đĩa&gt; FD</v>
      </c>
      <c r="F250" t="str">
        <f t="shared" ca="1" si="3"/>
        <v>"2084039466" : "FD",</v>
      </c>
    </row>
    <row r="251" spans="1:6" ht="15.75" customHeight="1">
      <c r="A251" s="12">
        <v>2084039465</v>
      </c>
      <c r="B251" s="12" t="s">
        <v>2874</v>
      </c>
      <c r="C251" s="12" t="s">
        <v>2875</v>
      </c>
      <c r="D251" s="5" t="str">
        <f ca="1">IFERROR(__xludf.DUMMYFUNCTION("GOOGLETRANSLATE(B252,""ja"",""vi"")"),"MO")</f>
        <v>MO</v>
      </c>
      <c r="E251" s="4" t="str">
        <f ca="1">IFERROR(__xludf.DUMMYFUNCTION("GOOGLETRANSLATE(C252,""ja"",""vi"")"),"Đấu giá&gt; máy tính&gt; cung cấp&gt; ghi đĩa&gt; MO")</f>
        <v>Đấu giá&gt; máy tính&gt; cung cấp&gt; ghi đĩa&gt; MO</v>
      </c>
      <c r="F251" t="str">
        <f t="shared" ca="1" si="3"/>
        <v>"2084039465" : "MO",</v>
      </c>
    </row>
    <row r="252" spans="1:6" ht="15.75" customHeight="1">
      <c r="A252" s="12">
        <v>2084039468</v>
      </c>
      <c r="B252" s="12" t="s">
        <v>46</v>
      </c>
      <c r="C252" s="12" t="s">
        <v>2879</v>
      </c>
      <c r="D252" s="5" t="str">
        <f ca="1">IFERROR(__xludf.DUMMYFUNCTION("GOOGLETRANSLATE(B253,""ja"",""vi"")"),"nếu không thì")</f>
        <v>nếu không thì</v>
      </c>
      <c r="E252" s="4" t="str">
        <f ca="1">IFERROR(__xludf.DUMMYFUNCTION("GOOGLETRANSLATE(C253,""ja"",""vi"")"),"Đấu giá&gt; máy tính&gt; cung cấp&gt; ghi đĩa&gt; Khác")</f>
        <v>Đấu giá&gt; máy tính&gt; cung cấp&gt; ghi đĩa&gt; Khác</v>
      </c>
      <c r="F252" t="str">
        <f t="shared" ca="1" si="3"/>
        <v>"2084039468" : "nếu không thì",</v>
      </c>
    </row>
    <row r="253" spans="1:6" ht="15.75" customHeight="1">
      <c r="A253" s="12">
        <v>2084049583</v>
      </c>
      <c r="B253" s="12" t="s">
        <v>2889</v>
      </c>
      <c r="C253" s="12" t="s">
        <v>2891</v>
      </c>
      <c r="D253" s="5" t="str">
        <f ca="1">IFERROR(__xludf.DUMMYFUNCTION("GOOGLETRANSLATE(B254,""ja"",""vi"")"),"Đối với máy tính xách tay")</f>
        <v>Đối với máy tính xách tay</v>
      </c>
      <c r="E253" s="4" t="str">
        <f ca="1">IFERROR(__xludf.DUMMYFUNCTION("GOOGLETRANSLATE(C254,""ja"",""vi"")"),"Đấu giá&gt; máy tính&gt; cung cấp&gt; trường hợp&gt; cho máy tính xách tay")</f>
        <v>Đấu giá&gt; máy tính&gt; cung cấp&gt; trường hợp&gt; cho máy tính xách tay</v>
      </c>
      <c r="F253" t="str">
        <f t="shared" ca="1" si="3"/>
        <v>"2084049583" : "Đối với máy tính xách tay",</v>
      </c>
    </row>
    <row r="254" spans="1:6" ht="15.75" customHeight="1">
      <c r="A254" s="12">
        <v>2084239256</v>
      </c>
      <c r="B254" s="12" t="s">
        <v>2897</v>
      </c>
      <c r="C254" s="12" t="s">
        <v>2898</v>
      </c>
      <c r="D254" s="5" t="str">
        <f ca="1">IFERROR(__xludf.DUMMYFUNCTION("GOOGLETRANSLATE(B255,""ja"",""vi"")"),"Đối với iPod touch")</f>
        <v>Đối với iPod touch</v>
      </c>
      <c r="E254" s="4" t="str">
        <f ca="1">IFERROR(__xludf.DUMMYFUNCTION("GOOGLETRANSLATE(C255,""ja"",""vi"")"),"Đấu giá&gt; máy tính&gt; cung cấp&gt; trường hợp&gt; dành cho iPod touch")</f>
        <v>Đấu giá&gt; máy tính&gt; cung cấp&gt; trường hợp&gt; dành cho iPod touch</v>
      </c>
      <c r="F254" t="str">
        <f t="shared" ca="1" si="3"/>
        <v>"2084239256" : "Đối với iPod touch",</v>
      </c>
    </row>
    <row r="255" spans="1:6" ht="15.75" customHeight="1">
      <c r="A255" s="12">
        <v>2084049582</v>
      </c>
      <c r="B255" s="12" t="s">
        <v>2903</v>
      </c>
      <c r="C255" s="12" t="s">
        <v>2905</v>
      </c>
      <c r="D255" s="5" t="str">
        <f ca="1">IFERROR(__xludf.DUMMYFUNCTION("GOOGLETRANSLATE(B256,""ja"",""vi"")"),"Đối với PDA")</f>
        <v>Đối với PDA</v>
      </c>
      <c r="E255" s="4" t="str">
        <f ca="1">IFERROR(__xludf.DUMMYFUNCTION("GOOGLETRANSLATE(C256,""ja"",""vi"")"),"Đấu giá&gt; máy tính&gt; cung cấp&gt; trường hợp&gt; cho PDA")</f>
        <v>Đấu giá&gt; máy tính&gt; cung cấp&gt; trường hợp&gt; cho PDA</v>
      </c>
      <c r="F255" t="str">
        <f t="shared" ca="1" si="3"/>
        <v>"2084049582" : "Đối với PDA",</v>
      </c>
    </row>
    <row r="256" spans="1:6" ht="15.75" customHeight="1">
      <c r="A256" s="12">
        <v>2084049584</v>
      </c>
      <c r="B256" s="12" t="s">
        <v>46</v>
      </c>
      <c r="C256" s="12" t="s">
        <v>2913</v>
      </c>
      <c r="D256" s="5" t="str">
        <f ca="1">IFERROR(__xludf.DUMMYFUNCTION("GOOGLETRANSLATE(B257,""ja"",""vi"")"),"nếu không thì")</f>
        <v>nếu không thì</v>
      </c>
      <c r="E256" s="4" t="str">
        <f ca="1">IFERROR(__xludf.DUMMYFUNCTION("GOOGLETRANSLATE(C257,""ja"",""vi"")"),"Đấu giá&gt; máy tính&gt; cung cấp&gt; trường hợp&gt; Khác")</f>
        <v>Đấu giá&gt; máy tính&gt; cung cấp&gt; trường hợp&gt; Khác</v>
      </c>
      <c r="F256" t="str">
        <f t="shared" ca="1" si="3"/>
        <v>"2084049584" : "nếu không thì",</v>
      </c>
    </row>
    <row r="257" spans="1:6" ht="15.75" customHeight="1">
      <c r="A257" s="12">
        <v>2084039556</v>
      </c>
      <c r="B257" s="12" t="s">
        <v>2918</v>
      </c>
      <c r="C257" s="12" t="s">
        <v>2919</v>
      </c>
      <c r="D257" s="5" t="str">
        <f ca="1">IFERROR(__xludf.DUMMYFUNCTION("GOOGLETRANSLATE(B258,""ja"",""vi"")"),"Intel")</f>
        <v>Intel</v>
      </c>
      <c r="E257" s="4" t="str">
        <f ca="1">IFERROR(__xludf.DUMMYFUNCTION("GOOGLETRANSLATE(C258,""ja"",""vi"")"),"Đấu giá&gt; máy tính&gt; phụ tùng&gt; CPU&gt; Intel")</f>
        <v>Đấu giá&gt; máy tính&gt; phụ tùng&gt; CPU&gt; Intel</v>
      </c>
      <c r="F257" t="str">
        <f t="shared" ca="1" si="3"/>
        <v>"2084039556" : "Intel",</v>
      </c>
    </row>
    <row r="258" spans="1:6" ht="15.75" customHeight="1">
      <c r="A258" s="12">
        <v>2084039557</v>
      </c>
      <c r="B258" s="12" t="s">
        <v>2924</v>
      </c>
      <c r="C258" s="12" t="s">
        <v>2926</v>
      </c>
      <c r="D258" s="5" t="str">
        <f ca="1">IFERROR(__xludf.DUMMYFUNCTION("GOOGLETRANSLATE(B259,""ja"",""vi"")"),"AMD")</f>
        <v>AMD</v>
      </c>
      <c r="E258" s="4" t="str">
        <f ca="1">IFERROR(__xludf.DUMMYFUNCTION("GOOGLETRANSLATE(C259,""ja"",""vi"")"),"Đấu giá&gt; máy tính&gt; phụ tùng&gt; CPU&gt; AMD")</f>
        <v>Đấu giá&gt; máy tính&gt; phụ tùng&gt; CPU&gt; AMD</v>
      </c>
      <c r="F258" t="str">
        <f t="shared" ref="F258:F321" ca="1" si="4">CONCATENATE(CHAR(34)&amp;"",A258,""&amp;CHAR(34)," : ", CHAR(34)&amp;"",D258,""&amp;CHAR(34),",")</f>
        <v>"2084039557" : "AMD",</v>
      </c>
    </row>
    <row r="259" spans="1:6" ht="15.75" customHeight="1">
      <c r="A259" s="12">
        <v>2084039560</v>
      </c>
      <c r="B259" s="12" t="s">
        <v>2931</v>
      </c>
      <c r="C259" s="12" t="s">
        <v>2932</v>
      </c>
      <c r="D259" s="5" t="str">
        <f ca="1">IFERROR(__xludf.DUMMYFUNCTION("GOOGLETRANSLATE(B260,""ja"",""vi"")"),"CPU Cooler")</f>
        <v>CPU Cooler</v>
      </c>
      <c r="E259" s="4" t="str">
        <f ca="1">IFERROR(__xludf.DUMMYFUNCTION("GOOGLETRANSLATE(C260,""ja"",""vi"")"),"Đấu giá&gt; máy tính&gt; phụ tùng&gt; CPU&gt; CPU Cooler")</f>
        <v>Đấu giá&gt; máy tính&gt; phụ tùng&gt; CPU&gt; CPU Cooler</v>
      </c>
      <c r="F259" t="str">
        <f t="shared" ca="1" si="4"/>
        <v>"2084039560" : "CPU Cooler",</v>
      </c>
    </row>
    <row r="260" spans="1:6" ht="15.75" customHeight="1">
      <c r="A260" s="12">
        <v>2084039559</v>
      </c>
      <c r="B260" s="12" t="s">
        <v>2937</v>
      </c>
      <c r="C260" s="12" t="s">
        <v>2938</v>
      </c>
      <c r="D260" s="5" t="str">
        <f ca="1">IFERROR(__xludf.DUMMYFUNCTION("GOOGLETRANSLATE(B261,""ja"",""vi"")"),"Accelerator")</f>
        <v>Accelerator</v>
      </c>
      <c r="E260" s="4" t="str">
        <f ca="1">IFERROR(__xludf.DUMMYFUNCTION("GOOGLETRANSLATE(C261,""ja"",""vi"")"),"Đấu giá&gt; máy tính&gt; phụ tùng&gt; CPU&gt; accelerator")</f>
        <v>Đấu giá&gt; máy tính&gt; phụ tùng&gt; CPU&gt; accelerator</v>
      </c>
      <c r="F260" t="str">
        <f t="shared" ca="1" si="4"/>
        <v>"2084039559" : "Accelerator",</v>
      </c>
    </row>
    <row r="261" spans="1:6" ht="15.75" customHeight="1">
      <c r="A261" s="12">
        <v>23508</v>
      </c>
      <c r="B261" s="12" t="s">
        <v>1763</v>
      </c>
      <c r="C261" s="12" t="s">
        <v>2945</v>
      </c>
      <c r="D261" s="5" t="str">
        <f ca="1">IFERROR(__xludf.DUMMYFUNCTION("GOOGLETRANSLATE(B262,""ja"",""vi"")"),"Motorola")</f>
        <v>Motorola</v>
      </c>
      <c r="E261" s="4" t="str">
        <f ca="1">IFERROR(__xludf.DUMMYFUNCTION("GOOGLETRANSLATE(C262,""ja"",""vi"")"),"Đấu giá&gt; máy tính&gt; phụ tùng&gt; CPU&gt; Motorola")</f>
        <v>Đấu giá&gt; máy tính&gt; phụ tùng&gt; CPU&gt; Motorola</v>
      </c>
      <c r="F261" t="str">
        <f t="shared" ca="1" si="4"/>
        <v>"23508" : "Motorola",</v>
      </c>
    </row>
    <row r="262" spans="1:6" ht="15.75" customHeight="1">
      <c r="A262" s="12">
        <v>2084039558</v>
      </c>
      <c r="B262" s="12" t="s">
        <v>46</v>
      </c>
      <c r="C262" s="12" t="s">
        <v>2951</v>
      </c>
      <c r="D262" s="5" t="str">
        <f ca="1">IFERROR(__xludf.DUMMYFUNCTION("GOOGLETRANSLATE(B263,""ja"",""vi"")"),"nếu không thì")</f>
        <v>nếu không thì</v>
      </c>
      <c r="E262" s="4" t="str">
        <f ca="1">IFERROR(__xludf.DUMMYFUNCTION("GOOGLETRANSLATE(C263,""ja"",""vi"")"),"Đấu giá&gt; máy tính&gt; phụ tùng&gt; CPU&gt; Khác")</f>
        <v>Đấu giá&gt; máy tính&gt; phụ tùng&gt; CPU&gt; Khác</v>
      </c>
      <c r="F262" t="str">
        <f t="shared" ca="1" si="4"/>
        <v>"2084039558" : "nếu không thì",</v>
      </c>
    </row>
    <row r="263" spans="1:6" ht="15.75" customHeight="1">
      <c r="A263" s="12">
        <v>23472</v>
      </c>
      <c r="B263" s="12" t="s">
        <v>2434</v>
      </c>
      <c r="C263" s="12" t="s">
        <v>2959</v>
      </c>
      <c r="D263" s="5" t="str">
        <f ca="1">IFERROR(__xludf.DUMMYFUNCTION("GOOGLETRANSLATE(B264,""ja"",""vi"")"),"Đối với Mac")</f>
        <v>Đối với Mac</v>
      </c>
      <c r="E263" s="4" t="str">
        <f ca="1">IFERROR(__xludf.DUMMYFUNCTION("GOOGLETRANSLATE(C264,""ja"",""vi"")"),"Đấu giá&gt; máy tính&gt; phụ tùng&gt; Bộ nhớ&gt; cho Mac")</f>
        <v>Đấu giá&gt; máy tính&gt; phụ tùng&gt; Bộ nhớ&gt; cho Mac</v>
      </c>
      <c r="F263" t="str">
        <f t="shared" ca="1" si="4"/>
        <v>"23472" : "Đối với Mac",</v>
      </c>
    </row>
    <row r="264" spans="1:6" ht="15.75" customHeight="1">
      <c r="A264" s="12">
        <v>23368</v>
      </c>
      <c r="B264" s="12" t="s">
        <v>2964</v>
      </c>
      <c r="C264" s="12" t="s">
        <v>2965</v>
      </c>
      <c r="D264" s="5" t="str">
        <f ca="1">IFERROR(__xludf.DUMMYFUNCTION("GOOGLETRANSLATE(B265,""ja"",""vi"")"),"Đối với máy tính để bàn")</f>
        <v>Đối với máy tính để bàn</v>
      </c>
      <c r="E264" s="4" t="str">
        <f ca="1">IFERROR(__xludf.DUMMYFUNCTION("GOOGLETRANSLATE(C265,""ja"",""vi"")"),"Đấu giá&gt; máy tính&gt; phụ tùng&gt; Memory&gt; Desktop")</f>
        <v>Đấu giá&gt; máy tính&gt; phụ tùng&gt; Memory&gt; Desktop</v>
      </c>
      <c r="F264" t="str">
        <f t="shared" ca="1" si="4"/>
        <v>"23368" : "Đối với máy tính để bàn",</v>
      </c>
    </row>
    <row r="265" spans="1:6" ht="15.75" customHeight="1">
      <c r="A265" s="12">
        <v>23372</v>
      </c>
      <c r="B265" s="12" t="s">
        <v>2889</v>
      </c>
      <c r="C265" s="12" t="s">
        <v>2972</v>
      </c>
      <c r="D265" s="5" t="str">
        <f ca="1">IFERROR(__xludf.DUMMYFUNCTION("GOOGLETRANSLATE(B266,""ja"",""vi"")"),"Đối với máy tính xách tay")</f>
        <v>Đối với máy tính xách tay</v>
      </c>
      <c r="E265" s="4" t="str">
        <f ca="1">IFERROR(__xludf.DUMMYFUNCTION("GOOGLETRANSLATE(C266,""ja"",""vi"")"),"Đấu giá&gt; máy tính&gt; phụ tùng&gt; Bộ nhớ&gt; cho máy tính xách tay")</f>
        <v>Đấu giá&gt; máy tính&gt; phụ tùng&gt; Bộ nhớ&gt; cho máy tính xách tay</v>
      </c>
      <c r="F265" t="str">
        <f t="shared" ca="1" si="4"/>
        <v>"23372" : "Đối với máy tính xách tay",</v>
      </c>
    </row>
    <row r="266" spans="1:6" ht="15.75" customHeight="1">
      <c r="A266" s="12">
        <v>23376</v>
      </c>
      <c r="B266" s="12" t="s">
        <v>46</v>
      </c>
      <c r="C266" s="12" t="s">
        <v>2976</v>
      </c>
      <c r="D266" s="5" t="str">
        <f ca="1">IFERROR(__xludf.DUMMYFUNCTION("GOOGLETRANSLATE(B267,""ja"",""vi"")"),"nếu không thì")</f>
        <v>nếu không thì</v>
      </c>
      <c r="E266" s="4" t="str">
        <f ca="1">IFERROR(__xludf.DUMMYFUNCTION("GOOGLETRANSLATE(C267,""ja"",""vi"")"),"Đấu giá&gt; máy tính&gt; phụ tùng&gt; Bộ nhớ&gt; Khác")</f>
        <v>Đấu giá&gt; máy tính&gt; phụ tùng&gt; Bộ nhớ&gt; Khác</v>
      </c>
      <c r="F266" t="str">
        <f t="shared" ca="1" si="4"/>
        <v>"23376" : "nếu không thì",</v>
      </c>
    </row>
    <row r="267" spans="1:6" ht="15.75" customHeight="1">
      <c r="A267" s="12">
        <v>2084039483</v>
      </c>
      <c r="B267" s="12" t="s">
        <v>2529</v>
      </c>
      <c r="C267" s="12" t="s">
        <v>2984</v>
      </c>
      <c r="D267" s="5" t="str">
        <f ca="1">IFERROR(__xludf.DUMMYFUNCTION("GOOGLETRANSLATE(B268,""ja"",""vi"")"),"thẻ giao diện IEEE1394")</f>
        <v>thẻ giao diện IEEE1394</v>
      </c>
      <c r="E267" s="4" t="str">
        <f ca="1">IFERROR(__xludf.DUMMYFUNCTION("GOOGLETRANSLATE(C268,""ja"",""vi"")"),"Đấu giá&gt; máy tính&gt; phụ tùng&gt; Thẻ&gt; IEEE1394 card giao diện")</f>
        <v>Đấu giá&gt; máy tính&gt; phụ tùng&gt; Thẻ&gt; IEEE1394 card giao diện</v>
      </c>
      <c r="F267" t="str">
        <f t="shared" ca="1" si="4"/>
        <v>"2084039483" : "thẻ giao diện IEEE1394",</v>
      </c>
    </row>
    <row r="268" spans="1:6" ht="15.75" customHeight="1">
      <c r="A268" s="12">
        <v>2084039485</v>
      </c>
      <c r="B268" s="12" t="s">
        <v>2990</v>
      </c>
      <c r="C268" s="12" t="s">
        <v>2991</v>
      </c>
      <c r="D268" s="5" t="str">
        <f ca="1">IFERROR(__xludf.DUMMYFUNCTION("GOOGLETRANSLATE(B269,""ja"",""vi"")"),"card mạng LAN")</f>
        <v>card mạng LAN</v>
      </c>
      <c r="E268" s="4" t="str">
        <f ca="1">IFERROR(__xludf.DUMMYFUNCTION("GOOGLETRANSLATE(C269,""ja"",""vi"")"),"Đấu giá&gt; máy tính&gt; phụ tùng&gt; Thẻ&gt; Thẻ LAN")</f>
        <v>Đấu giá&gt; máy tính&gt; phụ tùng&gt; Thẻ&gt; Thẻ LAN</v>
      </c>
      <c r="F268" t="str">
        <f t="shared" ca="1" si="4"/>
        <v>"2084039485" : "card mạng LAN",</v>
      </c>
    </row>
    <row r="269" spans="1:6" ht="15.75" customHeight="1">
      <c r="A269" s="12">
        <v>2084039482</v>
      </c>
      <c r="B269" s="12" t="s">
        <v>2996</v>
      </c>
      <c r="C269" s="12" t="s">
        <v>2998</v>
      </c>
      <c r="D269" s="5" t="str">
        <f ca="1">IFERROR(__xludf.DUMMYFUNCTION("GOOGLETRANSLATE(B270,""ja"",""vi"")"),"card SCSI")</f>
        <v>card SCSI</v>
      </c>
      <c r="E269" s="4" t="str">
        <f ca="1">IFERROR(__xludf.DUMMYFUNCTION("GOOGLETRANSLATE(C270,""ja"",""vi"")"),"Đấu giá&gt; máy tính&gt; phụ tùng&gt; Thẻ&gt; Thẻ SCSI")</f>
        <v>Đấu giá&gt; máy tính&gt; phụ tùng&gt; Thẻ&gt; Thẻ SCSI</v>
      </c>
      <c r="F269" t="str">
        <f t="shared" ca="1" si="4"/>
        <v>"2084039482" : "card SCSI",</v>
      </c>
    </row>
    <row r="270" spans="1:6" ht="15.75" customHeight="1">
      <c r="A270" s="12">
        <v>2084217223</v>
      </c>
      <c r="B270" s="12" t="s">
        <v>3003</v>
      </c>
      <c r="C270" s="12" t="s">
        <v>3005</v>
      </c>
      <c r="D270" s="5" t="str">
        <f ca="1">IFERROR(__xludf.DUMMYFUNCTION("GOOGLETRANSLATE(B271,""ja"",""vi"")"),"card TV")</f>
        <v>card TV</v>
      </c>
      <c r="E270" s="4" t="str">
        <f ca="1">IFERROR(__xludf.DUMMYFUNCTION("GOOGLETRANSLATE(C271,""ja"",""vi"")"),"Đấu giá&gt; máy tính&gt; phụ tùng&gt; Thẻ&gt; Thẻ TV tuner")</f>
        <v>Đấu giá&gt; máy tính&gt; phụ tùng&gt; Thẻ&gt; Thẻ TV tuner</v>
      </c>
      <c r="F270" t="str">
        <f t="shared" ca="1" si="4"/>
        <v>"2084217223" : "card TV",</v>
      </c>
    </row>
    <row r="271" spans="1:6" ht="15.75" customHeight="1">
      <c r="A271" s="12">
        <v>2084039484</v>
      </c>
      <c r="B271" s="12" t="s">
        <v>2541</v>
      </c>
      <c r="C271" s="12" t="s">
        <v>3012</v>
      </c>
      <c r="D271" s="5" t="str">
        <f ca="1">IFERROR(__xludf.DUMMYFUNCTION("GOOGLETRANSLATE(B272,""ja"",""vi"")"),"thẻ giao diện USB")</f>
        <v>thẻ giao diện USB</v>
      </c>
      <c r="E271" s="4" t="str">
        <f ca="1">IFERROR(__xludf.DUMMYFUNCTION("GOOGLETRANSLATE(C272,""ja"",""vi"")"),"Đấu giá&gt; máy tính&gt; phụ tùng&gt; Thẻ&gt; Thẻ giao diện USB")</f>
        <v>Đấu giá&gt; máy tính&gt; phụ tùng&gt; Thẻ&gt; Thẻ giao diện USB</v>
      </c>
      <c r="F271" t="str">
        <f t="shared" ca="1" si="4"/>
        <v>"2084039484" : "thẻ giao diện USB",</v>
      </c>
    </row>
    <row r="272" spans="1:6" ht="15.75" customHeight="1">
      <c r="A272" s="12">
        <v>23459</v>
      </c>
      <c r="B272" s="12" t="s">
        <v>3017</v>
      </c>
      <c r="C272" s="12" t="s">
        <v>3018</v>
      </c>
      <c r="D272" s="5" t="str">
        <f ca="1">IFERROR(__xludf.DUMMYFUNCTION("GOOGLETRANSLATE(B273,""ja"",""vi"")"),"Card âm thanh")</f>
        <v>Card âm thanh</v>
      </c>
      <c r="E272" s="4" t="str">
        <f ca="1">IFERROR(__xludf.DUMMYFUNCTION("GOOGLETRANSLATE(C273,""ja"",""vi"")"),"Đấu giá&gt; máy tính&gt; phụ tùng&gt; Thẻ&gt; Thẻ Sound")</f>
        <v>Đấu giá&gt; máy tính&gt; phụ tùng&gt; Thẻ&gt; Thẻ Sound</v>
      </c>
      <c r="F272" t="str">
        <f t="shared" ca="1" si="4"/>
        <v>"23459" : "Card âm thanh",</v>
      </c>
    </row>
    <row r="273" spans="1:6" ht="15.75" customHeight="1">
      <c r="A273" s="12">
        <v>23461</v>
      </c>
      <c r="B273" s="12" t="s">
        <v>3024</v>
      </c>
      <c r="C273" s="12" t="s">
        <v>3025</v>
      </c>
      <c r="D273" s="5" t="str">
        <f ca="1">IFERROR(__xludf.DUMMYFUNCTION("GOOGLETRANSLATE(B274,""ja"",""vi"")"),"Card màn hình")</f>
        <v>Card màn hình</v>
      </c>
      <c r="E273" s="4" t="str">
        <f ca="1">IFERROR(__xludf.DUMMYFUNCTION("GOOGLETRANSLATE(C274,""ja"",""vi"")"),"Đấu giá&gt; máy tính&gt; phụ tùng&gt; Thẻ&gt; Card màn hình")</f>
        <v>Đấu giá&gt; máy tính&gt; phụ tùng&gt; Thẻ&gt; Card màn hình</v>
      </c>
      <c r="F273" t="str">
        <f t="shared" ca="1" si="4"/>
        <v>"23461" : "Card màn hình",</v>
      </c>
    </row>
    <row r="274" spans="1:6" ht="15.75" customHeight="1">
      <c r="A274" s="12">
        <v>2084047889</v>
      </c>
      <c r="B274" s="12" t="s">
        <v>3031</v>
      </c>
      <c r="C274" s="12" t="s">
        <v>3032</v>
      </c>
      <c r="D274" s="5" t="str">
        <f ca="1">IFERROR(__xludf.DUMMYFUNCTION("GOOGLETRANSLATE(B275,""ja"",""vi"")"),"thẻ quay video")</f>
        <v>thẻ quay video</v>
      </c>
      <c r="E274" s="4" t="str">
        <f ca="1">IFERROR(__xludf.DUMMYFUNCTION("GOOGLETRANSLATE(C275,""ja"",""vi"")"),"Đấu giá&gt; máy tính&gt; phụ tùng&gt; Thẻ&gt; Thẻ quay video")</f>
        <v>Đấu giá&gt; máy tính&gt; phụ tùng&gt; Thẻ&gt; Thẻ quay video</v>
      </c>
      <c r="F274" t="str">
        <f t="shared" ca="1" si="4"/>
        <v>"2084047889" : "thẻ quay video",</v>
      </c>
    </row>
    <row r="275" spans="1:6" ht="15.75" customHeight="1">
      <c r="A275" s="12">
        <v>23454</v>
      </c>
      <c r="B275" s="12" t="s">
        <v>46</v>
      </c>
      <c r="C275" s="12" t="s">
        <v>3035</v>
      </c>
      <c r="D275" s="5" t="str">
        <f ca="1">IFERROR(__xludf.DUMMYFUNCTION("GOOGLETRANSLATE(B276,""ja"",""vi"")"),"nếu không thì")</f>
        <v>nếu không thì</v>
      </c>
      <c r="E275" s="4" t="str">
        <f ca="1">IFERROR(__xludf.DUMMYFUNCTION("GOOGLETRANSLATE(C276,""ja"",""vi"")"),"Đấu giá&gt; máy tính&gt; phụ tùng&gt; Thẻ&gt; Khác")</f>
        <v>Đấu giá&gt; máy tính&gt; phụ tùng&gt; Thẻ&gt; Khác</v>
      </c>
      <c r="F275" t="str">
        <f t="shared" ca="1" si="4"/>
        <v>"23454" : "nếu không thì",</v>
      </c>
    </row>
    <row r="276" spans="1:6" ht="15.75" customHeight="1">
      <c r="A276" s="12">
        <v>2084047244</v>
      </c>
      <c r="B276" s="12" t="s">
        <v>3040</v>
      </c>
      <c r="C276" s="12" t="s">
        <v>3043</v>
      </c>
      <c r="D276" s="5" t="str">
        <f ca="1">IFERROR(__xludf.DUMMYFUNCTION("GOOGLETRANSLATE(B277,""ja"",""vi"")"),"ATX mini-tower")</f>
        <v>ATX mini-tower</v>
      </c>
      <c r="E276" s="4" t="str">
        <f ca="1">IFERROR(__xludf.DUMMYFUNCTION("GOOGLETRANSLATE(C277,""ja"",""vi"")"),"Đấu giá&gt; máy tính&gt; phụ tùng&gt; trường hợp&gt; ATX Mini-Tower")</f>
        <v>Đấu giá&gt; máy tính&gt; phụ tùng&gt; trường hợp&gt; ATX Mini-Tower</v>
      </c>
      <c r="F276" t="str">
        <f t="shared" ca="1" si="4"/>
        <v>"2084047244" : "ATX mini-tower",</v>
      </c>
    </row>
    <row r="277" spans="1:6" ht="15.75" customHeight="1">
      <c r="A277" s="12">
        <v>2084047245</v>
      </c>
      <c r="B277" s="12" t="s">
        <v>3046</v>
      </c>
      <c r="C277" s="12" t="s">
        <v>3047</v>
      </c>
      <c r="D277" s="5" t="str">
        <f ca="1">IFERROR(__xludf.DUMMYFUNCTION("GOOGLETRANSLATE(B278,""ja"",""vi"")"),"ATX Mid Tháp")</f>
        <v>ATX Mid Tháp</v>
      </c>
      <c r="E277" s="4" t="str">
        <f ca="1">IFERROR(__xludf.DUMMYFUNCTION("GOOGLETRANSLATE(C278,""ja"",""vi"")"),"Đấu giá&gt; máy tính&gt; phụ tùng&gt; trường hợp&gt; ATX Mid Tháp")</f>
        <v>Đấu giá&gt; máy tính&gt; phụ tùng&gt; trường hợp&gt; ATX Mid Tháp</v>
      </c>
      <c r="F277" t="str">
        <f t="shared" ca="1" si="4"/>
        <v>"2084047245" : "ATX Mid Tháp",</v>
      </c>
    </row>
    <row r="278" spans="1:6" ht="15.75" customHeight="1">
      <c r="A278" s="12">
        <v>2084047246</v>
      </c>
      <c r="B278" s="12" t="s">
        <v>3054</v>
      </c>
      <c r="C278" s="12" t="s">
        <v>3057</v>
      </c>
      <c r="D278" s="5" t="str">
        <f ca="1">IFERROR(__xludf.DUMMYFUNCTION("GOOGLETRANSLATE(B279,""ja"",""vi"")"),"ATX Furutawa")</f>
        <v>ATX Furutawa</v>
      </c>
      <c r="E278" s="4" t="str">
        <f ca="1">IFERROR(__xludf.DUMMYFUNCTION("GOOGLETRANSLATE(C279,""ja"",""vi"")"),"Đấu giá&gt; máy tính&gt; phụ tùng&gt; trường hợp&gt; ATX Furutawa")</f>
        <v>Đấu giá&gt; máy tính&gt; phụ tùng&gt; trường hợp&gt; ATX Furutawa</v>
      </c>
      <c r="F278" t="str">
        <f t="shared" ca="1" si="4"/>
        <v>"2084047246" : "ATX Furutawa",</v>
      </c>
    </row>
    <row r="279" spans="1:6" ht="15.75" customHeight="1">
      <c r="A279" s="12">
        <v>2084047247</v>
      </c>
      <c r="B279" s="12" t="s">
        <v>3060</v>
      </c>
      <c r="C279" s="12" t="s">
        <v>3062</v>
      </c>
      <c r="D279" s="5" t="str">
        <f ca="1">IFERROR(__xludf.DUMMYFUNCTION("GOOGLETRANSLATE(B280,""ja"",""vi"")"),"Micro ATX")</f>
        <v>Micro ATX</v>
      </c>
      <c r="E279" s="4" t="str">
        <f ca="1">IFERROR(__xludf.DUMMYFUNCTION("GOOGLETRANSLATE(C280,""ja"",""vi"")"),"Đấu giá&gt; máy tính&gt; phụ tùng&gt; trường hợp&gt; Micro ATX")</f>
        <v>Đấu giá&gt; máy tính&gt; phụ tùng&gt; trường hợp&gt; Micro ATX</v>
      </c>
      <c r="F279" t="str">
        <f t="shared" ca="1" si="4"/>
        <v>"2084047247" : "Micro ATX",</v>
      </c>
    </row>
    <row r="280" spans="1:6" ht="15.75" customHeight="1">
      <c r="A280" s="12">
        <v>2084047248</v>
      </c>
      <c r="B280" s="12" t="s">
        <v>46</v>
      </c>
      <c r="C280" s="12" t="s">
        <v>3069</v>
      </c>
      <c r="D280" s="5" t="str">
        <f ca="1">IFERROR(__xludf.DUMMYFUNCTION("GOOGLETRANSLATE(B281,""ja"",""vi"")"),"nếu không thì")</f>
        <v>nếu không thì</v>
      </c>
      <c r="E280" s="4" t="str">
        <f ca="1">IFERROR(__xludf.DUMMYFUNCTION("GOOGLETRANSLATE(C281,""ja"",""vi"")"),"Đấu giá&gt; máy tính&gt; phụ tùng&gt; Case&gt; Khác")</f>
        <v>Đấu giá&gt; máy tính&gt; phụ tùng&gt; Case&gt; Khác</v>
      </c>
      <c r="F280" t="str">
        <f t="shared" ca="1" si="4"/>
        <v>"2084047248" : "nếu không thì",</v>
      </c>
    </row>
    <row r="281" spans="1:6" ht="15.75" customHeight="1">
      <c r="A281" s="12">
        <v>2084047239</v>
      </c>
      <c r="B281" s="12" t="s">
        <v>3073</v>
      </c>
      <c r="C281" s="12" t="s">
        <v>3075</v>
      </c>
      <c r="D281" s="5" t="str">
        <f ca="1">IFERROR(__xludf.DUMMYFUNCTION("GOOGLETRANSLATE(B282,""ja"",""vi"")"),"Ít hơn 150W")</f>
        <v>Ít hơn 150W</v>
      </c>
      <c r="E281" s="4" t="str">
        <f ca="1">IFERROR(__xludf.DUMMYFUNCTION("GOOGLETRANSLATE(C282,""ja"",""vi"")"),"Đấu giá&gt; máy tính&gt; phụ tùng&gt; cung cấp điện, AC adapter&gt; ít hơn 150W")</f>
        <v>Đấu giá&gt; máy tính&gt; phụ tùng&gt; cung cấp điện, AC adapter&gt; ít hơn 150W</v>
      </c>
      <c r="F281" t="str">
        <f t="shared" ca="1" si="4"/>
        <v>"2084047239" : "Ít hơn 150W",</v>
      </c>
    </row>
    <row r="282" spans="1:6" ht="15.75" customHeight="1">
      <c r="A282" s="12">
        <v>2084047240</v>
      </c>
      <c r="B282" s="12" t="s">
        <v>3082</v>
      </c>
      <c r="C282" s="12" t="s">
        <v>3084</v>
      </c>
      <c r="D282" s="5" t="str">
        <f ca="1">IFERROR(__xludf.DUMMYFUNCTION("GOOGLETRANSLATE(B283,""ja"",""vi"")"),"150W ~")</f>
        <v>150W ~</v>
      </c>
      <c r="E282" s="4" t="str">
        <f ca="1">IFERROR(__xludf.DUMMYFUNCTION("GOOGLETRANSLATE(C283,""ja"",""vi"")"),"Đấu giá&gt; máy tính&gt; phụ tùng&gt; cung cấp điện, AC adapter&gt; 150W ~")</f>
        <v>Đấu giá&gt; máy tính&gt; phụ tùng&gt; cung cấp điện, AC adapter&gt; 150W ~</v>
      </c>
      <c r="F282" t="str">
        <f t="shared" ca="1" si="4"/>
        <v>"2084047240" : "150W ~",</v>
      </c>
    </row>
    <row r="283" spans="1:6" ht="15.75" customHeight="1">
      <c r="A283" s="12">
        <v>2084047241</v>
      </c>
      <c r="B283" s="12" t="s">
        <v>3090</v>
      </c>
      <c r="C283" s="12" t="s">
        <v>3092</v>
      </c>
      <c r="D283" s="5" t="str">
        <f ca="1">IFERROR(__xludf.DUMMYFUNCTION("GOOGLETRANSLATE(B284,""ja"",""vi"")"),"250W ~")</f>
        <v>250W ~</v>
      </c>
      <c r="E283" s="4" t="str">
        <f ca="1">IFERROR(__xludf.DUMMYFUNCTION("GOOGLETRANSLATE(C284,""ja"",""vi"")"),"Đấu giá&gt; máy tính&gt; phụ tùng&gt; cung cấp điện, AC adapter&gt; 250W ~")</f>
        <v>Đấu giá&gt; máy tính&gt; phụ tùng&gt; cung cấp điện, AC adapter&gt; 250W ~</v>
      </c>
      <c r="F283" t="str">
        <f t="shared" ca="1" si="4"/>
        <v>"2084047241" : "250W ~",</v>
      </c>
    </row>
    <row r="284" spans="1:6" ht="15.75" customHeight="1">
      <c r="A284" s="12">
        <v>2084263196</v>
      </c>
      <c r="B284" s="12" t="s">
        <v>3096</v>
      </c>
      <c r="C284" s="12" t="s">
        <v>3097</v>
      </c>
      <c r="D284" s="5" t="str">
        <f ca="1">IFERROR(__xludf.DUMMYFUNCTION("GOOGLETRANSLATE(B285,""ja"",""vi"")"),"350W ~")</f>
        <v>350W ~</v>
      </c>
      <c r="E284" s="4" t="str">
        <f ca="1">IFERROR(__xludf.DUMMYFUNCTION("GOOGLETRANSLATE(C285,""ja"",""vi"")"),"Đấu giá&gt; máy tính&gt; phụ tùng&gt; cung cấp điện, AC adapter&gt; 350W ~")</f>
        <v>Đấu giá&gt; máy tính&gt; phụ tùng&gt; cung cấp điện, AC adapter&gt; 350W ~</v>
      </c>
      <c r="F284" t="str">
        <f t="shared" ca="1" si="4"/>
        <v>"2084263196" : "350W ~",</v>
      </c>
    </row>
    <row r="285" spans="1:6" ht="15.75" customHeight="1">
      <c r="A285" s="12">
        <v>2084263197</v>
      </c>
      <c r="B285" s="12" t="s">
        <v>3100</v>
      </c>
      <c r="C285" s="12" t="s">
        <v>3104</v>
      </c>
      <c r="D285" s="5" t="str">
        <f ca="1">IFERROR(__xludf.DUMMYFUNCTION("GOOGLETRANSLATE(B286,""ja"",""vi"")"),"450W ~")</f>
        <v>450W ~</v>
      </c>
      <c r="E285" s="4" t="str">
        <f ca="1">IFERROR(__xludf.DUMMYFUNCTION("GOOGLETRANSLATE(C286,""ja"",""vi"")"),"Đấu giá&gt; máy tính&gt; phụ tùng&gt; cung cấp điện, AC adapter&gt; 450W ~")</f>
        <v>Đấu giá&gt; máy tính&gt; phụ tùng&gt; cung cấp điện, AC adapter&gt; 450W ~</v>
      </c>
      <c r="F285" t="str">
        <f t="shared" ca="1" si="4"/>
        <v>"2084263197" : "450W ~",</v>
      </c>
    </row>
    <row r="286" spans="1:6" ht="15.75" customHeight="1">
      <c r="A286" s="12">
        <v>2084263198</v>
      </c>
      <c r="B286" s="12" t="s">
        <v>3108</v>
      </c>
      <c r="C286" s="12" t="s">
        <v>3109</v>
      </c>
      <c r="D286" s="5" t="str">
        <f ca="1">IFERROR(__xludf.DUMMYFUNCTION("GOOGLETRANSLATE(B287,""ja"",""vi"")"),"550W ~")</f>
        <v>550W ~</v>
      </c>
      <c r="E286" s="4" t="str">
        <f ca="1">IFERROR(__xludf.DUMMYFUNCTION("GOOGLETRANSLATE(C287,""ja"",""vi"")"),"Đấu giá&gt; máy tính&gt; phụ tùng&gt; cung cấp điện, AC adapter&gt; 550W ~")</f>
        <v>Đấu giá&gt; máy tính&gt; phụ tùng&gt; cung cấp điện, AC adapter&gt; 550W ~</v>
      </c>
      <c r="F286" t="str">
        <f t="shared" ca="1" si="4"/>
        <v>"2084263198" : "550W ~",</v>
      </c>
    </row>
    <row r="287" spans="1:6" ht="15.75" customHeight="1">
      <c r="A287" s="12">
        <v>2084263199</v>
      </c>
      <c r="B287" s="12" t="s">
        <v>3116</v>
      </c>
      <c r="C287" s="12" t="s">
        <v>3117</v>
      </c>
      <c r="D287" s="5" t="str">
        <f ca="1">IFERROR(__xludf.DUMMYFUNCTION("GOOGLETRANSLATE(B288,""ja"",""vi"")"),"650W ~")</f>
        <v>650W ~</v>
      </c>
      <c r="E287" s="4" t="str">
        <f ca="1">IFERROR(__xludf.DUMMYFUNCTION("GOOGLETRANSLATE(C288,""ja"",""vi"")"),"Đấu giá&gt; máy tính&gt; phụ tùng&gt; cung cấp điện, AC adapter&gt; 650W ~")</f>
        <v>Đấu giá&gt; máy tính&gt; phụ tùng&gt; cung cấp điện, AC adapter&gt; 650W ~</v>
      </c>
      <c r="F287" t="str">
        <f t="shared" ca="1" si="4"/>
        <v>"2084263199" : "650W ~",</v>
      </c>
    </row>
    <row r="288" spans="1:6" ht="15.75" customHeight="1">
      <c r="A288" s="12">
        <v>2084263200</v>
      </c>
      <c r="B288" s="12" t="s">
        <v>3123</v>
      </c>
      <c r="C288" s="12" t="s">
        <v>3126</v>
      </c>
      <c r="D288" s="5" t="str">
        <f ca="1">IFERROR(__xludf.DUMMYFUNCTION("GOOGLETRANSLATE(B289,""ja"",""vi"")"),"750W ~")</f>
        <v>750W ~</v>
      </c>
      <c r="E288" s="4" t="str">
        <f ca="1">IFERROR(__xludf.DUMMYFUNCTION("GOOGLETRANSLATE(C289,""ja"",""vi"")"),"Đấu giá&gt; máy tính&gt; phụ tùng&gt; cung cấp điện, AC adapter&gt; 750W ~")</f>
        <v>Đấu giá&gt; máy tính&gt; phụ tùng&gt; cung cấp điện, AC adapter&gt; 750W ~</v>
      </c>
      <c r="F288" t="str">
        <f t="shared" ca="1" si="4"/>
        <v>"2084263200" : "750W ~",</v>
      </c>
    </row>
    <row r="289" spans="1:6" ht="15.75" customHeight="1">
      <c r="A289" s="12">
        <v>2084263201</v>
      </c>
      <c r="B289" s="12" t="s">
        <v>3132</v>
      </c>
      <c r="C289" s="12" t="s">
        <v>3133</v>
      </c>
      <c r="D289" s="5" t="str">
        <f ca="1">IFERROR(__xludf.DUMMYFUNCTION("GOOGLETRANSLATE(B290,""ja"",""vi"")"),"850W ~")</f>
        <v>850W ~</v>
      </c>
      <c r="E289" s="4" t="str">
        <f ca="1">IFERROR(__xludf.DUMMYFUNCTION("GOOGLETRANSLATE(C290,""ja"",""vi"")"),"Đấu giá&gt; máy tính&gt; phụ tùng&gt; cung cấp điện, AC adapter&gt; 850W ~")</f>
        <v>Đấu giá&gt; máy tính&gt; phụ tùng&gt; cung cấp điện, AC adapter&gt; 850W ~</v>
      </c>
      <c r="F289" t="str">
        <f t="shared" ca="1" si="4"/>
        <v>"2084263201" : "850W ~",</v>
      </c>
    </row>
    <row r="290" spans="1:6" ht="15.75" customHeight="1">
      <c r="A290" s="12">
        <v>2084263202</v>
      </c>
      <c r="B290" s="12" t="s">
        <v>3139</v>
      </c>
      <c r="C290" s="12" t="s">
        <v>3141</v>
      </c>
      <c r="D290" s="5" t="str">
        <f ca="1">IFERROR(__xludf.DUMMYFUNCTION("GOOGLETRANSLATE(B291,""ja"",""vi"")"),"950w ~")</f>
        <v>950w ~</v>
      </c>
      <c r="E290" s="4" t="str">
        <f ca="1">IFERROR(__xludf.DUMMYFUNCTION("GOOGLETRANSLATE(C291,""ja"",""vi"")"),"Đấu giá&gt; máy tính&gt; phụ tùng&gt; cung cấp điện, AC adapter&gt; 950w ~")</f>
        <v>Đấu giá&gt; máy tính&gt; phụ tùng&gt; cung cấp điện, AC adapter&gt; 950w ~</v>
      </c>
      <c r="F290" t="str">
        <f t="shared" ca="1" si="4"/>
        <v>"2084263202" : "950w ~",</v>
      </c>
    </row>
    <row r="291" spans="1:6" ht="15.75" customHeight="1">
      <c r="A291" s="12">
        <v>2084047243</v>
      </c>
      <c r="B291" s="12" t="s">
        <v>3147</v>
      </c>
      <c r="C291" s="12" t="s">
        <v>3148</v>
      </c>
      <c r="D291" s="5" t="str">
        <f ca="1">IFERROR(__xludf.DUMMYFUNCTION("GOOGLETRANSLATE(B292,""ja"",""vi"")"),"AC adapter máy tính xách tay")</f>
        <v>AC adapter máy tính xách tay</v>
      </c>
      <c r="E291" s="4" t="str">
        <f ca="1">IFERROR(__xludf.DUMMYFUNCTION("GOOGLETRANSLATE(C292,""ja"",""vi"")"),"Đấu giá&gt; máy tính&gt; phụ tùng&gt; cung cấp điện, AC adapter&gt; Laptop AC Adapter")</f>
        <v>Đấu giá&gt; máy tính&gt; phụ tùng&gt; cung cấp điện, AC adapter&gt; Laptop AC Adapter</v>
      </c>
      <c r="F291" t="str">
        <f t="shared" ca="1" si="4"/>
        <v>"2084047243" : "AC adapter máy tính xách tay",</v>
      </c>
    </row>
    <row r="292" spans="1:6" ht="15.75" customHeight="1">
      <c r="A292" s="12">
        <v>2084039541</v>
      </c>
      <c r="B292" s="12" t="s">
        <v>3150</v>
      </c>
      <c r="C292" s="12" t="s">
        <v>3152</v>
      </c>
      <c r="D292" s="5" t="str">
        <f ca="1">IFERROR(__xludf.DUMMYFUNCTION("GOOGLETRANSLATE(B293,""ja"",""vi"")"),"IEEE1394")</f>
        <v>IEEE1394</v>
      </c>
      <c r="E292" s="4" t="str">
        <f ca="1">IFERROR(__xludf.DUMMYFUNCTION("GOOGLETRANSLATE(C293,""ja"",""vi"")"),"Đấu giá&gt; máy tính&gt; phụ tùng&gt; cáp, đầu nối&gt; IEEE1394")</f>
        <v>Đấu giá&gt; máy tính&gt; phụ tùng&gt; cáp, đầu nối&gt; IEEE1394</v>
      </c>
      <c r="F292" t="str">
        <f t="shared" ca="1" si="4"/>
        <v>"2084039541" : "IEEE1394",</v>
      </c>
    </row>
    <row r="293" spans="1:6" ht="15.75" customHeight="1">
      <c r="A293" s="12">
        <v>2084039537</v>
      </c>
      <c r="B293" s="12" t="s">
        <v>3159</v>
      </c>
      <c r="C293" s="12" t="s">
        <v>3161</v>
      </c>
      <c r="D293" s="5" t="str">
        <f ca="1">IFERROR(__xludf.DUMMYFUNCTION("GOOGLETRANSLATE(B294,""ja"",""vi"")"),"RS-232C")</f>
        <v>RS-232C</v>
      </c>
      <c r="E293" s="4" t="str">
        <f ca="1">IFERROR(__xludf.DUMMYFUNCTION("GOOGLETRANSLATE(C294,""ja"",""vi"")"),"Đấu giá&gt; máy tính&gt; phụ tùng&gt; cáp, đầu nối&gt; RS-232C")</f>
        <v>Đấu giá&gt; máy tính&gt; phụ tùng&gt; cáp, đầu nối&gt; RS-232C</v>
      </c>
      <c r="F293" t="str">
        <f t="shared" ca="1" si="4"/>
        <v>"2084039537" : "RS-232C",</v>
      </c>
    </row>
    <row r="294" spans="1:6" ht="15.75" customHeight="1">
      <c r="A294" s="12">
        <v>2084039538</v>
      </c>
      <c r="B294" s="12" t="s">
        <v>3165</v>
      </c>
      <c r="C294" s="12" t="s">
        <v>3167</v>
      </c>
      <c r="D294" s="5" t="str">
        <f ca="1">IFERROR(__xludf.DUMMYFUNCTION("GOOGLETRANSLATE(B295,""ja"",""vi"")"),"SCSI")</f>
        <v>SCSI</v>
      </c>
      <c r="E294" s="4" t="str">
        <f ca="1">IFERROR(__xludf.DUMMYFUNCTION("GOOGLETRANSLATE(C295,""ja"",""vi"")"),"Đấu giá&gt; máy tính&gt; phụ tùng&gt; cáp, đầu nối&gt; SCSI")</f>
        <v>Đấu giá&gt; máy tính&gt; phụ tùng&gt; cáp, đầu nối&gt; SCSI</v>
      </c>
      <c r="F294" t="str">
        <f t="shared" ca="1" si="4"/>
        <v>"2084039538" : "SCSI",</v>
      </c>
    </row>
    <row r="295" spans="1:6" ht="15.75" customHeight="1">
      <c r="A295" s="12">
        <v>2084039540</v>
      </c>
      <c r="B295" s="12" t="s">
        <v>3171</v>
      </c>
      <c r="C295" s="12" t="s">
        <v>3172</v>
      </c>
      <c r="D295" s="5" t="str">
        <f ca="1">IFERROR(__xludf.DUMMYFUNCTION("GOOGLETRANSLATE(B296,""ja"",""vi"")"),"USB")</f>
        <v>USB</v>
      </c>
      <c r="E295" s="4" t="str">
        <f ca="1">IFERROR(__xludf.DUMMYFUNCTION("GOOGLETRANSLATE(C296,""ja"",""vi"")"),"Đấu giá&gt; máy tính&gt; phụ tùng&gt; cáp, đầu nối&gt; USB")</f>
        <v>Đấu giá&gt; máy tính&gt; phụ tùng&gt; cáp, đầu nối&gt; USB</v>
      </c>
      <c r="F295" t="str">
        <f t="shared" ca="1" si="4"/>
        <v>"2084039540" : "USB",</v>
      </c>
    </row>
    <row r="296" spans="1:6" ht="15.75" customHeight="1">
      <c r="A296" s="12">
        <v>2084039539</v>
      </c>
      <c r="B296" s="12" t="s">
        <v>3175</v>
      </c>
      <c r="C296" s="12" t="s">
        <v>3177</v>
      </c>
      <c r="D296" s="5" t="str">
        <f ca="1">IFERROR(__xludf.DUMMYFUNCTION("GOOGLETRANSLATE(B297,""ja"",""vi"")"),"mạng")</f>
        <v>mạng</v>
      </c>
      <c r="E296" s="4" t="str">
        <f ca="1">IFERROR(__xludf.DUMMYFUNCTION("GOOGLETRANSLATE(C297,""ja"",""vi"")"),"Đấu giá&gt; máy tính&gt; phụ tùng&gt; cáp, đầu nối&gt; Mạng")</f>
        <v>Đấu giá&gt; máy tính&gt; phụ tùng&gt; cáp, đầu nối&gt; Mạng</v>
      </c>
      <c r="F296" t="str">
        <f t="shared" ca="1" si="4"/>
        <v>"2084039539" : "mạng",</v>
      </c>
    </row>
    <row r="297" spans="1:6" ht="15.75" customHeight="1">
      <c r="A297" s="12">
        <v>2084039536</v>
      </c>
      <c r="B297" s="12" t="s">
        <v>3181</v>
      </c>
      <c r="C297" s="12" t="s">
        <v>3182</v>
      </c>
      <c r="D297" s="5" t="str">
        <f ca="1">IFERROR(__xludf.DUMMYFUNCTION("GOOGLETRANSLATE(B298,""ja"",""vi"")"),"máy in")</f>
        <v>máy in</v>
      </c>
      <c r="E297" s="4" t="str">
        <f ca="1">IFERROR(__xludf.DUMMYFUNCTION("GOOGLETRANSLATE(C298,""ja"",""vi"")"),"Đấu giá&gt; máy tính&gt; phụ tùng&gt; cáp, đầu nối&gt; máy in")</f>
        <v>Đấu giá&gt; máy tính&gt; phụ tùng&gt; cáp, đầu nối&gt; máy in</v>
      </c>
      <c r="F297" t="str">
        <f t="shared" ca="1" si="4"/>
        <v>"2084039536" : "máy in",</v>
      </c>
    </row>
    <row r="298" spans="1:6" ht="15.75" customHeight="1">
      <c r="A298" s="12">
        <v>2084039486</v>
      </c>
      <c r="B298" s="12" t="s">
        <v>2748</v>
      </c>
      <c r="C298" s="12" t="s">
        <v>3189</v>
      </c>
      <c r="D298" s="5" t="str">
        <f ca="1">IFERROR(__xludf.DUMMYFUNCTION("GOOGLETRANSLATE(B299,""ja"",""vi"")"),"Monitor")</f>
        <v>Monitor</v>
      </c>
      <c r="E298" s="4" t="str">
        <f ca="1">IFERROR(__xludf.DUMMYFUNCTION("GOOGLETRANSLATE(C299,""ja"",""vi"")"),"Đấu giá&gt; máy tính&gt; phụ tùng&gt; cáp, đầu nối&gt; màn hình")</f>
        <v>Đấu giá&gt; máy tính&gt; phụ tùng&gt; cáp, đầu nối&gt; màn hình</v>
      </c>
      <c r="F298" t="str">
        <f t="shared" ca="1" si="4"/>
        <v>"2084039486" : "Monitor",</v>
      </c>
    </row>
    <row r="299" spans="1:6" ht="15.75" customHeight="1">
      <c r="A299" s="12">
        <v>2084039542</v>
      </c>
      <c r="B299" s="12" t="s">
        <v>46</v>
      </c>
      <c r="C299" s="12" t="s">
        <v>3195</v>
      </c>
      <c r="D299" s="5" t="str">
        <f ca="1">IFERROR(__xludf.DUMMYFUNCTION("GOOGLETRANSLATE(B300,""ja"",""vi"")"),"nếu không thì")</f>
        <v>nếu không thì</v>
      </c>
      <c r="E299" s="4" t="str">
        <f ca="1">IFERROR(__xludf.DUMMYFUNCTION("GOOGLETRANSLATE(C300,""ja"",""vi"")"),"Đấu giá&gt; máy tính&gt; phụ tùng&gt; cáp, đầu nối&gt; Khác")</f>
        <v>Đấu giá&gt; máy tính&gt; phụ tùng&gt; cáp, đầu nối&gt; Khác</v>
      </c>
      <c r="F299" t="str">
        <f t="shared" ca="1" si="4"/>
        <v>"2084039542" : "nếu không thì",</v>
      </c>
    </row>
    <row r="300" spans="1:6" ht="15.75" customHeight="1">
      <c r="A300" s="12">
        <v>2084048327</v>
      </c>
      <c r="B300" s="12" t="s">
        <v>3197</v>
      </c>
      <c r="C300" s="12" t="s">
        <v>3199</v>
      </c>
      <c r="D300" s="5" t="str">
        <f ca="1">IFERROR(__xludf.DUMMYFUNCTION("GOOGLETRANSLATE(B301,""ja"",""vi"")"),"CPU")</f>
        <v>CPU</v>
      </c>
      <c r="E300" s="4" t="str">
        <f ca="1">IFERROR(__xludf.DUMMYFUNCTION("GOOGLETRANSLATE(C301,""ja"",""vi"")"),"Đấu giá&gt; máy tính&gt; phụ tùng&gt; cho Mac&gt; CPU")</f>
        <v>Đấu giá&gt; máy tính&gt; phụ tùng&gt; cho Mac&gt; CPU</v>
      </c>
      <c r="F300" t="str">
        <f t="shared" ca="1" si="4"/>
        <v>"2084048327" : "CPU",</v>
      </c>
    </row>
    <row r="301" spans="1:6" ht="15.75" customHeight="1">
      <c r="A301" s="12">
        <v>23512</v>
      </c>
      <c r="B301" s="12" t="s">
        <v>3204</v>
      </c>
      <c r="C301" s="12" t="s">
        <v>3206</v>
      </c>
      <c r="D301" s="5" t="str">
        <f ca="1">IFERROR(__xludf.DUMMYFUNCTION("GOOGLETRANSLATE(B302,""ja"",""vi"")"),"Bo mạch chủ")</f>
        <v>Bo mạch chủ</v>
      </c>
      <c r="E301" s="4" t="str">
        <f ca="1">IFERROR(__xludf.DUMMYFUNCTION("GOOGLETRANSLATE(C302,""ja"",""vi"")"),"Đấu giá&gt; máy tính&gt; phụ tùng&gt; cho Mac&gt; bo mạch chủ")</f>
        <v>Đấu giá&gt; máy tính&gt; phụ tùng&gt; cho Mac&gt; bo mạch chủ</v>
      </c>
      <c r="F301" t="str">
        <f t="shared" ca="1" si="4"/>
        <v>"23512" : "Bo mạch chủ",</v>
      </c>
    </row>
    <row r="302" spans="1:6" ht="15.75" customHeight="1">
      <c r="A302" s="12">
        <v>23472</v>
      </c>
      <c r="B302" s="12" t="s">
        <v>3207</v>
      </c>
      <c r="C302" s="12" t="s">
        <v>3209</v>
      </c>
      <c r="D302" s="5" t="str">
        <f ca="1">IFERROR(__xludf.DUMMYFUNCTION("GOOGLETRANSLATE(B303,""ja"",""vi"")"),"ký ức")</f>
        <v>ký ức</v>
      </c>
      <c r="E302" s="4" t="str">
        <f ca="1">IFERROR(__xludf.DUMMYFUNCTION("GOOGLETRANSLATE(C303,""ja"",""vi"")"),"Đấu giá&gt; máy tính&gt; phụ tùng&gt; cho Mac&gt; bộ nhớ")</f>
        <v>Đấu giá&gt; máy tính&gt; phụ tùng&gt; cho Mac&gt; bộ nhớ</v>
      </c>
      <c r="F302" t="str">
        <f t="shared" ca="1" si="4"/>
        <v>"23472" : "ký ức",</v>
      </c>
    </row>
    <row r="303" spans="1:6" ht="15.75" customHeight="1">
      <c r="A303" s="12">
        <v>2084041648</v>
      </c>
      <c r="B303" s="12" t="s">
        <v>46</v>
      </c>
      <c r="C303" s="12" t="s">
        <v>3213</v>
      </c>
      <c r="D303" s="5" t="str">
        <f ca="1">IFERROR(__xludf.DUMMYFUNCTION("GOOGLETRANSLATE(B304,""ja"",""vi"")"),"nếu không thì")</f>
        <v>nếu không thì</v>
      </c>
      <c r="E303" s="4" t="str">
        <f ca="1">IFERROR(__xludf.DUMMYFUNCTION("GOOGLETRANSLATE(C304,""ja"",""vi"")"),"Đấu giá&gt; máy tính&gt; phụ tùng&gt; cho Mac&gt; Khác")</f>
        <v>Đấu giá&gt; máy tính&gt; phụ tùng&gt; cho Mac&gt; Khác</v>
      </c>
      <c r="F303" t="str">
        <f t="shared" ca="1" si="4"/>
        <v>"2084041648" : "nếu không thì",</v>
      </c>
    </row>
    <row r="304" spans="1:6" ht="15.75" customHeight="1">
      <c r="A304" s="12">
        <v>2084219507</v>
      </c>
      <c r="B304" s="12" t="s">
        <v>3216</v>
      </c>
      <c r="C304" s="12" t="s">
        <v>3217</v>
      </c>
      <c r="D304" s="5" t="str">
        <f ca="1">IFERROR(__xludf.DUMMYFUNCTION("GOOGLETRANSLATE(B305,""ja"",""vi"")"),"HP, Compaq")</f>
        <v>HP, Compaq</v>
      </c>
      <c r="E304" s="4" t="str">
        <f ca="1">IFERROR(__xludf.DUMMYFUNCTION("GOOGLETRANSLATE(C305,""ja"",""vi"")"),"Đấu giá&gt; máy tính&gt; Máy chủ&gt; Máy chủ body&gt; HP, Compaq")</f>
        <v>Đấu giá&gt; máy tính&gt; Máy chủ&gt; Máy chủ body&gt; HP, Compaq</v>
      </c>
      <c r="F304" t="str">
        <f t="shared" ca="1" si="4"/>
        <v>"2084219507" : "HP, Compaq",</v>
      </c>
    </row>
    <row r="305" spans="1:6" ht="15.75" customHeight="1">
      <c r="A305" s="12">
        <v>2084219506</v>
      </c>
      <c r="B305" s="12" t="s">
        <v>3219</v>
      </c>
      <c r="C305" s="12" t="s">
        <v>3220</v>
      </c>
      <c r="D305" s="5" t="str">
        <f ca="1">IFERROR(__xludf.DUMMYFUNCTION("GOOGLETRANSLATE(B306,""ja"",""vi"")"),"IBM, Lenovo")</f>
        <v>IBM, Lenovo</v>
      </c>
      <c r="E305" s="4" t="str">
        <f ca="1">IFERROR(__xludf.DUMMYFUNCTION("GOOGLETRANSLATE(C306,""ja"",""vi"")"),"Đấu giá&gt; máy tính&gt; Máy chủ&gt; Máy chủ body&gt; IBM, Lenovo")</f>
        <v>Đấu giá&gt; máy tính&gt; Máy chủ&gt; Máy chủ body&gt; IBM, Lenovo</v>
      </c>
      <c r="F305" t="str">
        <f t="shared" ca="1" si="4"/>
        <v>"2084219506" : "IBM, Lenovo",</v>
      </c>
    </row>
    <row r="306" spans="1:6" ht="15.75" customHeight="1">
      <c r="A306" s="12">
        <v>2084219509</v>
      </c>
      <c r="B306" s="12" t="s">
        <v>1707</v>
      </c>
      <c r="C306" s="12" t="s">
        <v>3223</v>
      </c>
      <c r="D306" s="5" t="str">
        <f ca="1">IFERROR(__xludf.DUMMYFUNCTION("GOOGLETRANSLATE(B307,""ja"",""vi"")"),"NEC")</f>
        <v>NEC</v>
      </c>
      <c r="E306" s="4" t="str">
        <f ca="1">IFERROR(__xludf.DUMMYFUNCTION("GOOGLETRANSLATE(C307,""ja"",""vi"")"),"Đấu giá&gt; máy tính&gt; Máy chủ&gt; cơ thể server&gt; NEC")</f>
        <v>Đấu giá&gt; máy tính&gt; Máy chủ&gt; cơ thể server&gt; NEC</v>
      </c>
      <c r="F306" t="str">
        <f t="shared" ca="1" si="4"/>
        <v>"2084219509" : "NEC",</v>
      </c>
    </row>
    <row r="307" spans="1:6" ht="15.75" customHeight="1">
      <c r="A307" s="12">
        <v>2084219505</v>
      </c>
      <c r="B307" s="12" t="s">
        <v>1908</v>
      </c>
      <c r="C307" s="12" t="s">
        <v>3227</v>
      </c>
      <c r="D307" s="5" t="str">
        <f ca="1">IFERROR(__xludf.DUMMYFUNCTION("GOOGLETRANSLATE(B308,""ja"",""vi"")"),"thung lũng nhỏ")</f>
        <v>thung lũng nhỏ</v>
      </c>
      <c r="E307" s="4" t="str">
        <f ca="1">IFERROR(__xludf.DUMMYFUNCTION("GOOGLETRANSLATE(C308,""ja"",""vi"")"),"Đấu giá&gt; máy tính&gt; Máy chủ&gt; cơ thể server&gt; del")</f>
        <v>Đấu giá&gt; máy tính&gt; Máy chủ&gt; cơ thể server&gt; del</v>
      </c>
      <c r="F307" t="str">
        <f t="shared" ca="1" si="4"/>
        <v>"2084219505" : "thung lũng nhỏ",</v>
      </c>
    </row>
    <row r="308" spans="1:6" ht="15.75" customHeight="1">
      <c r="A308" s="12">
        <v>2084219508</v>
      </c>
      <c r="B308" s="12" t="s">
        <v>1786</v>
      </c>
      <c r="C308" s="12" t="s">
        <v>3232</v>
      </c>
      <c r="D308" s="5" t="str">
        <f ca="1">IFERROR(__xludf.DUMMYFUNCTION("GOOGLETRANSLATE(B309,""ja"",""vi"")"),"Fujitsu")</f>
        <v>Fujitsu</v>
      </c>
      <c r="E308" s="4" t="str">
        <f ca="1">IFERROR(__xludf.DUMMYFUNCTION("GOOGLETRANSLATE(C309,""ja"",""vi"")"),"Đấu giá&gt; máy tính&gt; Máy chủ&gt; cơ thể server&gt; Fujitsu")</f>
        <v>Đấu giá&gt; máy tính&gt; Máy chủ&gt; cơ thể server&gt; Fujitsu</v>
      </c>
      <c r="F308" t="str">
        <f t="shared" ca="1" si="4"/>
        <v>"2084219508" : "Fujitsu",</v>
      </c>
    </row>
    <row r="309" spans="1:6" ht="15.75" customHeight="1">
      <c r="A309" s="12">
        <v>2084219510</v>
      </c>
      <c r="B309" s="12" t="s">
        <v>46</v>
      </c>
      <c r="C309" s="12" t="s">
        <v>3235</v>
      </c>
      <c r="D309" s="5" t="str">
        <f ca="1">IFERROR(__xludf.DUMMYFUNCTION("GOOGLETRANSLATE(B310,""ja"",""vi"")"),"nếu không thì")</f>
        <v>nếu không thì</v>
      </c>
      <c r="E309" s="4" t="str">
        <f ca="1">IFERROR(__xludf.DUMMYFUNCTION("GOOGLETRANSLATE(C310,""ja"",""vi"")"),"Đấu giá&gt; máy tính&gt; Máy chủ&gt; cơ thể server&gt; Khác")</f>
        <v>Đấu giá&gt; máy tính&gt; Máy chủ&gt; cơ thể server&gt; Khác</v>
      </c>
      <c r="F309" t="str">
        <f t="shared" ca="1" si="4"/>
        <v>"2084219510" : "nếu không thì",</v>
      </c>
    </row>
    <row r="310" spans="1:6" ht="15.75" customHeight="1">
      <c r="A310" s="12">
        <v>2084049580</v>
      </c>
      <c r="B310" s="12" t="s">
        <v>3239</v>
      </c>
      <c r="C310" s="12" t="s">
        <v>3241</v>
      </c>
      <c r="D310" s="5" t="str">
        <f ca="1">IFERROR(__xludf.DUMMYFUNCTION("GOOGLETRANSLATE(B311,""ja"",""vi"")"),"CLIE")</f>
        <v>CLIE</v>
      </c>
      <c r="E310" s="4" t="str">
        <f ca="1">IFERROR(__xludf.DUMMYFUNCTION("GOOGLETRANSLATE(C311,""ja"",""vi"")"),"Đấu giá&gt; máy tính&gt; PDA&gt; CLIE")</f>
        <v>Đấu giá&gt; máy tính&gt; PDA&gt; CLIE</v>
      </c>
      <c r="F310" t="str">
        <f t="shared" ca="1" si="4"/>
        <v>"2084049580" : "CLIE",</v>
      </c>
    </row>
    <row r="311" spans="1:6" ht="15.75" customHeight="1">
      <c r="A311" s="12">
        <v>2084049582</v>
      </c>
      <c r="B311" s="12" t="s">
        <v>3246</v>
      </c>
      <c r="C311" s="12" t="s">
        <v>3247</v>
      </c>
      <c r="D311" s="5" t="str">
        <f ca="1">IFERROR(__xludf.DUMMYFUNCTION("GOOGLETRANSLATE(B312,""ja"",""vi"")"),"Trường hợp cho PDA")</f>
        <v>Trường hợp cho PDA</v>
      </c>
      <c r="E311" s="4" t="str">
        <f ca="1">IFERROR(__xludf.DUMMYFUNCTION("GOOGLETRANSLATE(C312,""ja"",""vi"")"),"Đấu giá&gt; máy tính&gt; PDA&gt; Case cho PDA")</f>
        <v>Đấu giá&gt; máy tính&gt; PDA&gt; Case cho PDA</v>
      </c>
      <c r="F311" t="str">
        <f t="shared" ca="1" si="4"/>
        <v>"2084049582" : "Trường hợp cho PDA",</v>
      </c>
    </row>
    <row r="312" spans="1:6" ht="15.75" customHeight="1">
      <c r="A312" s="12">
        <v>44385</v>
      </c>
      <c r="B312" s="12" t="s">
        <v>3251</v>
      </c>
      <c r="C312" s="12" t="s">
        <v>3254</v>
      </c>
      <c r="D312" s="5" t="str">
        <f ca="1">IFERROR(__xludf.DUMMYFUNCTION("GOOGLETRANSLATE(B313,""ja"",""vi"")"),"Palm Dòng")</f>
        <v>Palm Dòng</v>
      </c>
      <c r="E312" s="4" t="str">
        <f ca="1">IFERROR(__xludf.DUMMYFUNCTION("GOOGLETRANSLATE(C313,""ja"",""vi"")"),"Đấu giá&gt; máy tính&gt; PDA&gt; loạt Palm")</f>
        <v>Đấu giá&gt; máy tính&gt; PDA&gt; loạt Palm</v>
      </c>
      <c r="F312" t="str">
        <f t="shared" ca="1" si="4"/>
        <v>"44385" : "Palm Dòng",</v>
      </c>
    </row>
    <row r="313" spans="1:6" ht="15.75" customHeight="1">
      <c r="A313" s="12">
        <v>44389</v>
      </c>
      <c r="B313" s="12" t="s">
        <v>3258</v>
      </c>
      <c r="C313" s="12" t="s">
        <v>3259</v>
      </c>
      <c r="D313" s="5" t="str">
        <f ca="1">IFERROR(__xludf.DUMMYFUNCTION("GOOGLETRANSLATE(B314,""ja"",""vi"")"),"windows CE")</f>
        <v>windows CE</v>
      </c>
      <c r="E313" s="4" t="str">
        <f ca="1">IFERROR(__xludf.DUMMYFUNCTION("GOOGLETRANSLATE(C314,""ja"",""vi"")"),"Đấu giá&gt; máy tính&gt; PDA&gt; Windows CE")</f>
        <v>Đấu giá&gt; máy tính&gt; PDA&gt; Windows CE</v>
      </c>
      <c r="F313" t="str">
        <f t="shared" ca="1" si="4"/>
        <v>"44389" : "windows CE",</v>
      </c>
    </row>
    <row r="314" spans="1:6" ht="15.75" customHeight="1">
      <c r="A314" s="12">
        <v>2084005095</v>
      </c>
      <c r="B314" s="12" t="s">
        <v>3262</v>
      </c>
      <c r="C314" s="12" t="s">
        <v>3264</v>
      </c>
      <c r="D314" s="5" t="str">
        <f ca="1">IFERROR(__xludf.DUMMYFUNCTION("GOOGLETRANSLATE(B315,""ja"",""vi"")"),"Zaurus")</f>
        <v>Zaurus</v>
      </c>
      <c r="E314" s="4" t="str">
        <f ca="1">IFERROR(__xludf.DUMMYFUNCTION("GOOGLETRANSLATE(C315,""ja"",""vi"")"),"Đấu giá&gt; máy tính&gt; PDA&gt; Zaurus")</f>
        <v>Đấu giá&gt; máy tính&gt; PDA&gt; Zaurus</v>
      </c>
      <c r="F314" t="str">
        <f t="shared" ca="1" si="4"/>
        <v>"2084005095" : "Zaurus",</v>
      </c>
    </row>
    <row r="315" spans="1:6" ht="15.75" customHeight="1">
      <c r="A315" s="12">
        <v>2084005096</v>
      </c>
      <c r="B315" s="12" t="s">
        <v>3267</v>
      </c>
      <c r="C315" s="12" t="s">
        <v>3268</v>
      </c>
      <c r="D315" s="5" t="str">
        <f ca="1">IFERROR(__xludf.DUMMYFUNCTION("GOOGLETRANSLATE(B316,""ja"",""vi"")"),"Pocket bảng")</f>
        <v>Pocket bảng</v>
      </c>
      <c r="E315" s="4" t="str">
        <f ca="1">IFERROR(__xludf.DUMMYFUNCTION("GOOGLETRANSLATE(C316,""ja"",""vi"")"),"Đấu giá&gt; máy tính&gt; PDA&gt; board túi")</f>
        <v>Đấu giá&gt; máy tính&gt; PDA&gt; board túi</v>
      </c>
      <c r="F315" t="str">
        <f t="shared" ca="1" si="4"/>
        <v>"2084005096" : "Pocket bảng",</v>
      </c>
    </row>
    <row r="316" spans="1:6" ht="15.75" customHeight="1">
      <c r="A316" s="12">
        <v>44390</v>
      </c>
      <c r="B316" s="12" t="s">
        <v>46</v>
      </c>
      <c r="C316" s="12" t="s">
        <v>3272</v>
      </c>
      <c r="D316" s="5" t="str">
        <f ca="1">IFERROR(__xludf.DUMMYFUNCTION("GOOGLETRANSLATE(B317,""ja"",""vi"")"),"nếu không thì")</f>
        <v>nếu không thì</v>
      </c>
      <c r="E316" s="4" t="str">
        <f ca="1">IFERROR(__xludf.DUMMYFUNCTION("GOOGLETRANSLATE(C317,""ja"",""vi"")"),"Đấu giá&gt; máy tính&gt; PDA&gt; Khác")</f>
        <v>Đấu giá&gt; máy tính&gt; PDA&gt; Khác</v>
      </c>
      <c r="F316" t="str">
        <f t="shared" ca="1" si="4"/>
        <v>"44390" : "nếu không thì",</v>
      </c>
    </row>
    <row r="317" spans="1:6" ht="15.75" customHeight="1">
      <c r="A317" s="12">
        <v>2084047878</v>
      </c>
      <c r="B317" s="12" t="s">
        <v>1678</v>
      </c>
      <c r="C317" s="12" t="s">
        <v>3277</v>
      </c>
      <c r="D317" s="5" t="str">
        <f ca="1">IFERROR(__xludf.DUMMYFUNCTION("GOOGLETRANSLATE(B318,""ja"",""vi"")"),"Một cơ thể")</f>
        <v>Một cơ thể</v>
      </c>
      <c r="E317" s="4" t="str">
        <f ca="1">IFERROR(__xludf.DUMMYFUNCTION("GOOGLETRANSLATE(C318,""ja"",""vi"")"),"Đấu giá&gt; máy tính&gt; PDA&gt; Palm loạt&gt; cơ thể")</f>
        <v>Đấu giá&gt; máy tính&gt; PDA&gt; Palm loạt&gt; cơ thể</v>
      </c>
      <c r="F317" t="str">
        <f t="shared" ca="1" si="4"/>
        <v>"2084047878" : "Một cơ thể",</v>
      </c>
    </row>
    <row r="318" spans="1:6" ht="15.75" customHeight="1">
      <c r="A318" s="12">
        <v>2084047879</v>
      </c>
      <c r="B318" s="12" t="s">
        <v>46</v>
      </c>
      <c r="C318" s="12" t="s">
        <v>3279</v>
      </c>
      <c r="D318" s="5" t="str">
        <f ca="1">IFERROR(__xludf.DUMMYFUNCTION("GOOGLETRANSLATE(B319,""ja"",""vi"")"),"nếu không thì")</f>
        <v>nếu không thì</v>
      </c>
      <c r="E318" s="4" t="str">
        <f ca="1">IFERROR(__xludf.DUMMYFUNCTION("GOOGLETRANSLATE(C319,""ja"",""vi"")"),"Đấu giá&gt; máy tính&gt; PDA&gt; Palm loạt&gt; Khác")</f>
        <v>Đấu giá&gt; máy tính&gt; PDA&gt; Palm loạt&gt; Khác</v>
      </c>
      <c r="F318" t="str">
        <f t="shared" ca="1" si="4"/>
        <v>"2084047879" : "nếu không thì",</v>
      </c>
    </row>
    <row r="319" spans="1:6" ht="15.75" customHeight="1">
      <c r="A319" s="12">
        <v>2084062771</v>
      </c>
      <c r="B319" s="12" t="s">
        <v>3283</v>
      </c>
      <c r="C319" s="12" t="s">
        <v>3284</v>
      </c>
      <c r="D319" s="5" t="str">
        <f ca="1">IFERROR(__xludf.DUMMYFUNCTION("GOOGLETRANSLATE(B320,""ja"",""vi"")"),"Acrylic, nhựa")</f>
        <v>Acrylic, nhựa</v>
      </c>
      <c r="E319" s="4" t="str">
        <f ca="1">IFERROR(__xludf.DUMMYFUNCTION("GOOGLETRANSLATE(C320,""ja"",""vi"")"),"Đấu giá&gt; nhà, nội thất&gt; nội thất, nội thất&gt; bàn&gt; bàn máy tính&gt; chung&gt; acrylic, nhựa")</f>
        <v>Đấu giá&gt; nhà, nội thất&gt; nội thất, nội thất&gt; bàn&gt; bàn máy tính&gt; chung&gt; acrylic, nhựa</v>
      </c>
      <c r="F319" t="str">
        <f t="shared" ca="1" si="4"/>
        <v>"2084062771" : "Acrylic, nhựa",</v>
      </c>
    </row>
    <row r="320" spans="1:6" ht="15.75" customHeight="1">
      <c r="A320" s="12">
        <v>2084062768</v>
      </c>
      <c r="B320" s="12" t="s">
        <v>3287</v>
      </c>
      <c r="C320" s="12" t="s">
        <v>3289</v>
      </c>
      <c r="D320" s="5" t="str">
        <f ca="1">IFERROR(__xludf.DUMMYFUNCTION("GOOGLETRANSLATE(B321,""ja"",""vi"")"),"ly")</f>
        <v>ly</v>
      </c>
      <c r="E320" s="4" t="str">
        <f ca="1">IFERROR(__xludf.DUMMYFUNCTION("GOOGLETRANSLATE(C321,""ja"",""vi"")"),"Đấu giá&gt; nhà, nội thất&gt; nội thất, nội thất&gt; bàn&gt; bàn máy tính&gt; chung&gt; kính")</f>
        <v>Đấu giá&gt; nhà, nội thất&gt; nội thất, nội thất&gt; bàn&gt; bàn máy tính&gt; chung&gt; kính</v>
      </c>
      <c r="F320" t="str">
        <f t="shared" ca="1" si="4"/>
        <v>"2084062768" : "ly",</v>
      </c>
    </row>
    <row r="321" spans="1:6" ht="15.75" customHeight="1">
      <c r="A321" s="12">
        <v>2084062770</v>
      </c>
      <c r="B321" s="12" t="s">
        <v>3292</v>
      </c>
      <c r="C321" s="12" t="s">
        <v>3294</v>
      </c>
      <c r="D321" s="5" t="str">
        <f ca="1">IFERROR(__xludf.DUMMYFUNCTION("GOOGLETRANSLATE(B322,""ja"",""vi"")"),"kim khí")</f>
        <v>kim khí</v>
      </c>
      <c r="E321" s="4" t="str">
        <f ca="1">IFERROR(__xludf.DUMMYFUNCTION("GOOGLETRANSLATE(C322,""ja"",""vi"")"),"Đấu giá&gt; nhà, nội thất&gt; nội thất, nội thất&gt; bàn&gt; bàn máy tính&gt; chung&gt; kim loại")</f>
        <v>Đấu giá&gt; nhà, nội thất&gt; nội thất, nội thất&gt; bàn&gt; bàn máy tính&gt; chung&gt; kim loại</v>
      </c>
      <c r="F321" t="str">
        <f t="shared" ca="1" si="4"/>
        <v>"2084062770" : "kim khí",</v>
      </c>
    </row>
    <row r="322" spans="1:6" ht="15.75" customHeight="1">
      <c r="A322" s="12">
        <v>2084062769</v>
      </c>
      <c r="B322" s="12" t="s">
        <v>3297</v>
      </c>
      <c r="C322" s="12" t="s">
        <v>3298</v>
      </c>
      <c r="D322" s="5" t="str">
        <f ca="1">IFERROR(__xludf.DUMMYFUNCTION("GOOGLETRANSLATE(B323,""ja"",""vi"")"),"gỗ")</f>
        <v>gỗ</v>
      </c>
      <c r="E322" s="4" t="str">
        <f ca="1">IFERROR(__xludf.DUMMYFUNCTION("GOOGLETRANSLATE(C323,""ja"",""vi"")"),"Đấu giá&gt; nhà, nội thất&gt; nội thất, nội thất&gt; bàn&gt; bàn máy tính&gt; chung&gt; Gỗ")</f>
        <v>Đấu giá&gt; nhà, nội thất&gt; nội thất, nội thất&gt; bàn&gt; bàn máy tính&gt; chung&gt; Gỗ</v>
      </c>
      <c r="F322" t="str">
        <f t="shared" ref="F322:F385" ca="1" si="5">CONCATENATE(CHAR(34)&amp;"",A322,""&amp;CHAR(34)," : ", CHAR(34)&amp;"",D322,""&amp;CHAR(34),",")</f>
        <v>"2084062769" : "gỗ",</v>
      </c>
    </row>
    <row r="323" spans="1:6" ht="15.75" customHeight="1">
      <c r="A323" s="12">
        <v>2084062772</v>
      </c>
      <c r="B323" s="12" t="s">
        <v>46</v>
      </c>
      <c r="C323" s="12" t="s">
        <v>3302</v>
      </c>
      <c r="D323" s="5" t="str">
        <f ca="1">IFERROR(__xludf.DUMMYFUNCTION("GOOGLETRANSLATE(B324,""ja"",""vi"")"),"nếu không thì")</f>
        <v>nếu không thì</v>
      </c>
      <c r="E323" s="4" t="str">
        <f ca="1">IFERROR(__xludf.DUMMYFUNCTION("GOOGLETRANSLATE(C324,""ja"",""vi"")"),"Đấu giá&gt; nhà, nội thất&gt; nội thất, nội thất&gt; bàn&gt; bàn máy tính&gt; General&gt; Khác")</f>
        <v>Đấu giá&gt; nhà, nội thất&gt; nội thất, nội thất&gt; bàn&gt; bàn máy tính&gt; General&gt; Khác</v>
      </c>
      <c r="F323" t="str">
        <f t="shared" ca="1" si="5"/>
        <v>"2084062772" : "nếu không thì",</v>
      </c>
    </row>
    <row r="324" spans="1:6" ht="15.75" customHeight="1">
      <c r="A324" s="12">
        <v>2084258172</v>
      </c>
      <c r="B324" s="12" t="s">
        <v>3306</v>
      </c>
      <c r="C324" s="12" t="s">
        <v>3307</v>
      </c>
      <c r="D324" s="5" t="str">
        <f ca="1">IFERROR(__xludf.DUMMYFUNCTION("GOOGLETRANSLATE(B325,""ja"",""vi"")"),"windows 7")</f>
        <v>windows 7</v>
      </c>
      <c r="E324" s="4" t="str">
        <f ca="1">IFERROR(__xludf.DUMMYFUNCTION("GOOGLETRANSLATE(C325,""ja"",""vi"")"),"Đấu giá&gt; cuốn sách, tạp chí&gt; máy tính và internet&gt; OS&gt; Windows 7")</f>
        <v>Đấu giá&gt; cuốn sách, tạp chí&gt; máy tính và internet&gt; OS&gt; Windows 7</v>
      </c>
      <c r="F324" t="str">
        <f t="shared" ca="1" si="5"/>
        <v>"2084258172" : "windows 7",</v>
      </c>
    </row>
    <row r="325" spans="1:6" ht="15.75" customHeight="1">
      <c r="A325" s="12">
        <v>2084258171</v>
      </c>
      <c r="B325" s="12" t="s">
        <v>3311</v>
      </c>
      <c r="C325" s="12" t="s">
        <v>3312</v>
      </c>
      <c r="D325" s="5" t="str">
        <f ca="1">IFERROR(__xludf.DUMMYFUNCTION("GOOGLETRANSLATE(B326,""ja"",""vi"")"),"windows Vista")</f>
        <v>windows Vista</v>
      </c>
      <c r="E325" s="4" t="str">
        <f ca="1">IFERROR(__xludf.DUMMYFUNCTION("GOOGLETRANSLATE(C326,""ja"",""vi"")"),"Đấu giá&gt; cuốn sách, tạp chí&gt; máy tính và internet&gt; OS&gt; Windows Vista")</f>
        <v>Đấu giá&gt; cuốn sách, tạp chí&gt; máy tính và internet&gt; OS&gt; Windows Vista</v>
      </c>
      <c r="F325" t="str">
        <f t="shared" ca="1" si="5"/>
        <v>"2084258171" : "windows Vista",</v>
      </c>
    </row>
    <row r="326" spans="1:6" ht="15.75" customHeight="1">
      <c r="A326" s="12">
        <v>2084047509</v>
      </c>
      <c r="B326" s="12" t="s">
        <v>3315</v>
      </c>
      <c r="C326" s="12" t="s">
        <v>3316</v>
      </c>
      <c r="D326" s="5" t="str">
        <f ca="1">IFERROR(__xludf.DUMMYFUNCTION("GOOGLETRANSLATE(B327,""ja"",""vi"")"),"WindowsXP")</f>
        <v>WindowsXP</v>
      </c>
      <c r="E326" s="4" t="str">
        <f ca="1">IFERROR(__xludf.DUMMYFUNCTION("GOOGLETRANSLATE(C327,""ja"",""vi"")"),"Đấu giá&gt; cuốn sách, tạp chí&gt; máy tính và internet&gt; OS&gt; WindowsXP")</f>
        <v>Đấu giá&gt; cuốn sách, tạp chí&gt; máy tính và internet&gt; OS&gt; WindowsXP</v>
      </c>
      <c r="F326" t="str">
        <f t="shared" ca="1" si="5"/>
        <v>"2084047509" : "WindowsXP",</v>
      </c>
    </row>
    <row r="327" spans="1:6" ht="15.75" customHeight="1">
      <c r="A327" s="12">
        <v>2084008815</v>
      </c>
      <c r="B327" s="12" t="s">
        <v>3320</v>
      </c>
      <c r="C327" s="12" t="s">
        <v>3321</v>
      </c>
      <c r="D327" s="5" t="str">
        <f ca="1">IFERROR(__xludf.DUMMYFUNCTION("GOOGLETRANSLATE(B328,""ja"",""vi"")"),"Windows NT / 2000")</f>
        <v>Windows NT / 2000</v>
      </c>
      <c r="E327" s="4" t="str">
        <f ca="1">IFERROR(__xludf.DUMMYFUNCTION("GOOGLETRANSLATE(C328,""ja"",""vi"")"),"Đấu giá&gt; cuốn sách, tạp chí&gt; máy tính và internet&gt; OS&gt; Windows NT / 2000")</f>
        <v>Đấu giá&gt; cuốn sách, tạp chí&gt; máy tính và internet&gt; OS&gt; Windows NT / 2000</v>
      </c>
      <c r="F327" t="str">
        <f t="shared" ca="1" si="5"/>
        <v>"2084008815" : "Windows NT / 2000",</v>
      </c>
    </row>
    <row r="328" spans="1:6" ht="15.75" customHeight="1">
      <c r="A328" s="12">
        <v>2084048351</v>
      </c>
      <c r="B328" s="12" t="s">
        <v>3323</v>
      </c>
      <c r="C328" s="12" t="s">
        <v>3325</v>
      </c>
      <c r="D328" s="5" t="str">
        <f ca="1">IFERROR(__xludf.DUMMYFUNCTION("GOOGLETRANSLATE(B329,""ja"",""vi"")"),"windows Me")</f>
        <v>windows Me</v>
      </c>
      <c r="E328" s="4" t="str">
        <f ca="1">IFERROR(__xludf.DUMMYFUNCTION("GOOGLETRANSLATE(C329,""ja"",""vi"")"),"Đấu giá&gt; cuốn sách, tạp chí&gt; máy tính và internet&gt; OS&gt; Windows Me")</f>
        <v>Đấu giá&gt; cuốn sách, tạp chí&gt; máy tính và internet&gt; OS&gt; Windows Me</v>
      </c>
      <c r="F328" t="str">
        <f t="shared" ca="1" si="5"/>
        <v>"2084048351" : "windows Me",</v>
      </c>
    </row>
    <row r="329" spans="1:6" ht="15.75" customHeight="1">
      <c r="A329" s="12">
        <v>2084008814</v>
      </c>
      <c r="B329" s="12" t="s">
        <v>3329</v>
      </c>
      <c r="C329" s="12" t="s">
        <v>3331</v>
      </c>
      <c r="D329" s="5" t="str">
        <f ca="1">IFERROR(__xludf.DUMMYFUNCTION("GOOGLETRANSLATE(B330,""ja"",""vi"")"),"Windows95 / 98 / CE")</f>
        <v>Windows95 / 98 / CE</v>
      </c>
      <c r="E329" s="4" t="str">
        <f ca="1">IFERROR(__xludf.DUMMYFUNCTION("GOOGLETRANSLATE(C330,""ja"",""vi"")"),"Đấu giá&gt; cuốn sách, tạp chí&gt; máy tính và internet&gt; OS&gt; Windows95 / 98 / CE")</f>
        <v>Đấu giá&gt; cuốn sách, tạp chí&gt; máy tính và internet&gt; OS&gt; Windows95 / 98 / CE</v>
      </c>
      <c r="F329" t="str">
        <f t="shared" ca="1" si="5"/>
        <v>"2084008814" : "Windows95 / 98 / CE",</v>
      </c>
    </row>
    <row r="330" spans="1:6" ht="15.75" customHeight="1">
      <c r="A330" s="12">
        <v>2084008810</v>
      </c>
      <c r="B330" s="12" t="s">
        <v>3332</v>
      </c>
      <c r="C330" s="12" t="s">
        <v>3336</v>
      </c>
      <c r="D330" s="5" t="str">
        <f ca="1">IFERROR(__xludf.DUMMYFUNCTION("GOOGLETRANSLATE(B331,""ja"",""vi"")"),"MS-DOS")</f>
        <v>MS-DOS</v>
      </c>
      <c r="E330" s="4" t="str">
        <f ca="1">IFERROR(__xludf.DUMMYFUNCTION("GOOGLETRANSLATE(C331,""ja"",""vi"")"),"Đấu giá&gt; cuốn sách, tạp chí&gt; máy tính và internet&gt; OS&gt; MS-DOS")</f>
        <v>Đấu giá&gt; cuốn sách, tạp chí&gt; máy tính và internet&gt; OS&gt; MS-DOS</v>
      </c>
      <c r="F330" t="str">
        <f t="shared" ca="1" si="5"/>
        <v>"2084008810" : "MS-DOS",</v>
      </c>
    </row>
    <row r="331" spans="1:6" ht="15.75" customHeight="1">
      <c r="A331" s="12">
        <v>2084008811</v>
      </c>
      <c r="B331" s="12" t="s">
        <v>3339</v>
      </c>
      <c r="C331" s="12" t="s">
        <v>3340</v>
      </c>
      <c r="D331" s="5" t="str">
        <f ca="1">IFERROR(__xludf.DUMMYFUNCTION("GOOGLETRANSLATE(B332,""ja"",""vi"")"),"OS / 2")</f>
        <v>OS / 2</v>
      </c>
      <c r="E331" s="4" t="str">
        <f ca="1">IFERROR(__xludf.DUMMYFUNCTION("GOOGLETRANSLATE(C332,""ja"",""vi"")"),"Đấu giá&gt; cuốn sách, tạp chí&gt; máy tính và internet&gt; OS&gt; OS / 2")</f>
        <v>Đấu giá&gt; cuốn sách, tạp chí&gt; máy tính và internet&gt; OS&gt; OS / 2</v>
      </c>
      <c r="F331" t="str">
        <f t="shared" ca="1" si="5"/>
        <v>"2084008811" : "OS / 2",</v>
      </c>
    </row>
    <row r="332" spans="1:6" ht="15.75" customHeight="1">
      <c r="A332" s="12">
        <v>2084008813</v>
      </c>
      <c r="B332" s="12" t="s">
        <v>3346</v>
      </c>
      <c r="C332" s="12" t="s">
        <v>3347</v>
      </c>
      <c r="D332" s="5" t="str">
        <f ca="1">IFERROR(__xludf.DUMMYFUNCTION("GOOGLETRANSLATE(B333,""ja"",""vi"")"),"PC-UNIX, Linux, BSD")</f>
        <v>PC-UNIX, Linux, BSD</v>
      </c>
      <c r="E332" s="4" t="str">
        <f ca="1">IFERROR(__xludf.DUMMYFUNCTION("GOOGLETRANSLATE(C333,""ja"",""vi"")"),"Đấu giá&gt; cuốn sách, tạp chí&gt; máy tính và internet&gt; OS&gt; PC-UNIX, Linux, BSD")</f>
        <v>Đấu giá&gt; cuốn sách, tạp chí&gt; máy tính và internet&gt; OS&gt; PC-UNIX, Linux, BSD</v>
      </c>
      <c r="F332" t="str">
        <f t="shared" ca="1" si="5"/>
        <v>"2084008813" : "PC-UNIX, Linux, BSD",</v>
      </c>
    </row>
    <row r="333" spans="1:6" ht="15.75" customHeight="1">
      <c r="A333" s="12">
        <v>2084008812</v>
      </c>
      <c r="B333" s="12" t="s">
        <v>3352</v>
      </c>
      <c r="C333" s="12" t="s">
        <v>3353</v>
      </c>
      <c r="D333" s="5" t="str">
        <f ca="1">IFERROR(__xludf.DUMMYFUNCTION("GOOGLETRANSLATE(B334,""ja"",""vi"")"),"UNIX")</f>
        <v>UNIX</v>
      </c>
      <c r="E333" s="4" t="str">
        <f ca="1">IFERROR(__xludf.DUMMYFUNCTION("GOOGLETRANSLATE(C334,""ja"",""vi"")"),"Đấu giá&gt; cuốn sách, tạp chí&gt; máy tính và internet&gt; OS&gt; UNIX")</f>
        <v>Đấu giá&gt; cuốn sách, tạp chí&gt; máy tính và internet&gt; OS&gt; UNIX</v>
      </c>
      <c r="F333" t="str">
        <f t="shared" ca="1" si="5"/>
        <v>"2084008812" : "UNIX",</v>
      </c>
    </row>
    <row r="334" spans="1:6" ht="15.75" customHeight="1">
      <c r="A334" s="12">
        <v>2084008816</v>
      </c>
      <c r="B334" s="12" t="s">
        <v>46</v>
      </c>
      <c r="C334" s="12" t="s">
        <v>3357</v>
      </c>
      <c r="D334" s="5" t="str">
        <f ca="1">IFERROR(__xludf.DUMMYFUNCTION("GOOGLETRANSLATE(B335,""ja"",""vi"")"),"nếu không thì")</f>
        <v>nếu không thì</v>
      </c>
      <c r="E334" s="4" t="str">
        <f ca="1">IFERROR(__xludf.DUMMYFUNCTION("GOOGLETRANSLATE(C335,""ja"",""vi"")"),"Đấu giá&gt; cuốn sách, tạp chí&gt; máy tính và internet&gt; OS&gt; Khác")</f>
        <v>Đấu giá&gt; cuốn sách, tạp chí&gt; máy tính và internet&gt; OS&gt; Khác</v>
      </c>
      <c r="F334" t="str">
        <f t="shared" ca="1" si="5"/>
        <v>"2084008816" : "nếu không thì",</v>
      </c>
    </row>
    <row r="335" spans="1:6" ht="15.75" customHeight="1">
      <c r="A335" s="12">
        <v>2084008827</v>
      </c>
      <c r="B335" s="12" t="s">
        <v>3360</v>
      </c>
      <c r="C335" s="12" t="s">
        <v>3361</v>
      </c>
      <c r="D335" s="5" t="str">
        <f ca="1">IFERROR(__xludf.DUMMYFUNCTION("GOOGLETRANSLATE(B336,""ja"",""vi"")"),"Cơ sở dữ liệu")</f>
        <v>Cơ sở dữ liệu</v>
      </c>
      <c r="E335" s="4" t="str">
        <f ca="1">IFERROR(__xludf.DUMMYFUNCTION("GOOGLETRANSLATE(C336,""ja"",""vi"")"),"Đấu giá&gt; cuốn sách, tạp chí&gt; máy tính và internet&gt; Ứng dụng&gt; cơ sở dữ liệu")</f>
        <v>Đấu giá&gt; cuốn sách, tạp chí&gt; máy tính và internet&gt; Ứng dụng&gt; cơ sở dữ liệu</v>
      </c>
      <c r="F335" t="str">
        <f t="shared" ca="1" si="5"/>
        <v>"2084008827" : "Cơ sở dữ liệu",</v>
      </c>
    </row>
    <row r="336" spans="1:6" ht="15.75" customHeight="1">
      <c r="A336" s="12">
        <v>2084008843</v>
      </c>
      <c r="B336" s="12" t="s">
        <v>3366</v>
      </c>
      <c r="C336" s="12" t="s">
        <v>3367</v>
      </c>
      <c r="D336" s="5" t="str">
        <f ca="1">IFERROR(__xludf.DUMMYFUNCTION("GOOGLETRANSLATE(B337,""ja"",""vi"")"),"bảng tính")</f>
        <v>bảng tính</v>
      </c>
      <c r="E336" s="4" t="str">
        <f ca="1">IFERROR(__xludf.DUMMYFUNCTION("GOOGLETRANSLATE(C337,""ja"",""vi"")"),"Đấu giá&gt; cuốn sách, tạp chí&gt; máy tính và internet&gt; Ứng dụng&gt; Spreadsheet")</f>
        <v>Đấu giá&gt; cuốn sách, tạp chí&gt; máy tính và internet&gt; Ứng dụng&gt; Spreadsheet</v>
      </c>
      <c r="F336" t="str">
        <f t="shared" ca="1" si="5"/>
        <v>"2084008843" : "bảng tính",</v>
      </c>
    </row>
    <row r="337" spans="1:6" ht="15.75" customHeight="1">
      <c r="A337" s="12">
        <v>2084008842</v>
      </c>
      <c r="B337" s="12" t="s">
        <v>3370</v>
      </c>
      <c r="C337" s="12" t="s">
        <v>3371</v>
      </c>
      <c r="D337" s="5" t="str">
        <f ca="1">IFERROR(__xludf.DUMMYFUNCTION("GOOGLETRANSLATE(B338,""ja"",""vi"")"),"xử lý văn bản")</f>
        <v>xử lý văn bản</v>
      </c>
      <c r="E337" s="4" t="str">
        <f ca="1">IFERROR(__xludf.DUMMYFUNCTION("GOOGLETRANSLATE(C338,""ja"",""vi"")"),"Đấu giá&gt; cuốn sách, tạp chí&gt; máy tính và Internet&gt; Ứng dụng&gt; Word Processor")</f>
        <v>Đấu giá&gt; cuốn sách, tạp chí&gt; máy tính và Internet&gt; Ứng dụng&gt; Word Processor</v>
      </c>
      <c r="F337" t="str">
        <f t="shared" ca="1" si="5"/>
        <v>"2084008842" : "xử lý văn bản",</v>
      </c>
    </row>
    <row r="338" spans="1:6" ht="15.75" customHeight="1">
      <c r="A338" s="12">
        <v>2084008838</v>
      </c>
      <c r="B338" s="12" t="s">
        <v>3374</v>
      </c>
      <c r="C338" s="12" t="s">
        <v>3379</v>
      </c>
      <c r="D338" s="5" t="str">
        <f ca="1">IFERROR(__xludf.DUMMYFUNCTION("GOOGLETRANSLATE(B339,""ja"",""vi"")"),"Trình bày")</f>
        <v>Trình bày</v>
      </c>
      <c r="E338" s="4" t="str">
        <f ca="1">IFERROR(__xludf.DUMMYFUNCTION("GOOGLETRANSLATE(C339,""ja"",""vi"")"),"Đấu giá&gt; cuốn sách, tạp chí&gt; máy tính và internet&gt; Ứng dụng&gt; Presentation")</f>
        <v>Đấu giá&gt; cuốn sách, tạp chí&gt; máy tính và internet&gt; Ứng dụng&gt; Presentation</v>
      </c>
      <c r="F338" t="str">
        <f t="shared" ca="1" si="5"/>
        <v>"2084008838" : "Trình bày",</v>
      </c>
    </row>
    <row r="339" spans="1:6" ht="15.75" customHeight="1">
      <c r="A339" s="12">
        <v>2084008829</v>
      </c>
      <c r="B339" s="12" t="s">
        <v>3383</v>
      </c>
      <c r="C339" s="12" t="s">
        <v>3385</v>
      </c>
      <c r="D339" s="5" t="str">
        <f ca="1">IFERROR(__xludf.DUMMYFUNCTION("GOOGLETRANSLATE(B340,""ja"",""vi"")"),"ảnh chỉnh sửa")</f>
        <v>ảnh chỉnh sửa</v>
      </c>
      <c r="E339" s="4" t="str">
        <f ca="1">IFERROR(__xludf.DUMMYFUNCTION("GOOGLETRANSLATE(C340,""ja"",""vi"")"),"Đấu giá&gt; cuốn sách, tạp chí&gt; máy tính và internet&gt; Ứng dụng&gt; Hình ảnh chỉnh sửa")</f>
        <v>Đấu giá&gt; cuốn sách, tạp chí&gt; máy tính và internet&gt; Ứng dụng&gt; Hình ảnh chỉnh sửa</v>
      </c>
      <c r="F339" t="str">
        <f t="shared" ca="1" si="5"/>
        <v>"2084008829" : "ảnh chỉnh sửa",</v>
      </c>
    </row>
    <row r="340" spans="1:6" ht="15.75" customHeight="1">
      <c r="A340" s="12">
        <v>2084008830</v>
      </c>
      <c r="B340" s="12" t="s">
        <v>3392</v>
      </c>
      <c r="C340" s="12" t="s">
        <v>3393</v>
      </c>
      <c r="D340" s="5" t="str">
        <f ca="1">IFERROR(__xludf.DUMMYFUNCTION("GOOGLETRANSLATE(B341,""ja"",""vi"")"),"Sơn, vẽ")</f>
        <v>Sơn, vẽ</v>
      </c>
      <c r="E340" s="4" t="str">
        <f ca="1">IFERROR(__xludf.DUMMYFUNCTION("GOOGLETRANSLATE(C341,""ja"",""vi"")"),"Đấu giá&gt; cuốn sách, tạp chí&gt; máy tính và internet&gt; Ứng dụng&gt; sơn, vẽ")</f>
        <v>Đấu giá&gt; cuốn sách, tạp chí&gt; máy tính và internet&gt; Ứng dụng&gt; sơn, vẽ</v>
      </c>
      <c r="F340" t="str">
        <f t="shared" ca="1" si="5"/>
        <v>"2084008830" : "Sơn, vẽ",</v>
      </c>
    </row>
    <row r="341" spans="1:6" ht="15.75" customHeight="1">
      <c r="A341" s="12">
        <v>2084008841</v>
      </c>
      <c r="B341" s="12" t="s">
        <v>3399</v>
      </c>
      <c r="C341" s="12" t="s">
        <v>3402</v>
      </c>
      <c r="D341" s="5" t="str">
        <f ca="1">IFERROR(__xludf.DUMMYFUNCTION("GOOGLETRANSLATE(B342,""ja"",""vi"")"),"CAD")</f>
        <v>CAD</v>
      </c>
      <c r="E341" s="4" t="str">
        <f ca="1">IFERROR(__xludf.DUMMYFUNCTION("GOOGLETRANSLATE(C342,""ja"",""vi"")"),"Đấu giá&gt; cuốn sách, tạp chí&gt; máy tính và internet&gt; Ứng dụng&gt; CAD")</f>
        <v>Đấu giá&gt; cuốn sách, tạp chí&gt; máy tính và internet&gt; Ứng dụng&gt; CAD</v>
      </c>
      <c r="F341" t="str">
        <f t="shared" ca="1" si="5"/>
        <v>"2084008841" : "CAD",</v>
      </c>
    </row>
    <row r="342" spans="1:6" ht="15.75" customHeight="1">
      <c r="A342" s="12">
        <v>2084008834</v>
      </c>
      <c r="B342" s="12" t="s">
        <v>3407</v>
      </c>
      <c r="C342" s="12" t="s">
        <v>3409</v>
      </c>
      <c r="D342" s="5" t="str">
        <f ca="1">IFERROR(__xludf.DUMMYFUNCTION("GOOGLETRANSLATE(B343,""ja"",""vi"")"),"DTP, phông chữ")</f>
        <v>DTP, phông chữ</v>
      </c>
      <c r="E342" s="4" t="str">
        <f ca="1">IFERROR(__xludf.DUMMYFUNCTION("GOOGLETRANSLATE(C343,""ja"",""vi"")"),"Đấu giá&gt; cuốn sách, tạp chí&gt; máy tính và internet&gt; Ứng dụng&gt; DTP, phông chữ")</f>
        <v>Đấu giá&gt; cuốn sách, tạp chí&gt; máy tính và internet&gt; Ứng dụng&gt; DTP, phông chữ</v>
      </c>
      <c r="F342" t="str">
        <f t="shared" ca="1" si="5"/>
        <v>"2084008834" : "DTP, phông chữ",</v>
      </c>
    </row>
    <row r="343" spans="1:6" ht="15.75" customHeight="1">
      <c r="A343" s="12">
        <v>2084008837</v>
      </c>
      <c r="B343" s="12" t="s">
        <v>3413</v>
      </c>
      <c r="C343" s="12" t="s">
        <v>3415</v>
      </c>
      <c r="D343" s="5" t="str">
        <f ca="1">IFERROR(__xludf.DUMMYFUNCTION("GOOGLETRANSLATE(B344,""ja"",""vi"")"),"Tex")</f>
        <v>Tex</v>
      </c>
      <c r="E343" s="4" t="str">
        <f ca="1">IFERROR(__xludf.DUMMYFUNCTION("GOOGLETRANSLATE(C344,""ja"",""vi"")"),"Đấu giá&gt; cuốn sách, tạp chí&gt; máy tính và internet&gt; Ứng dụng&gt; Tex")</f>
        <v>Đấu giá&gt; cuốn sách, tạp chí&gt; máy tính và internet&gt; Ứng dụng&gt; Tex</v>
      </c>
      <c r="F343" t="str">
        <f t="shared" ca="1" si="5"/>
        <v>"2084008837" : "Tex",</v>
      </c>
    </row>
    <row r="344" spans="1:6" ht="15.75" customHeight="1">
      <c r="A344" s="12">
        <v>2084008828</v>
      </c>
      <c r="B344" s="12" t="s">
        <v>3421</v>
      </c>
      <c r="C344" s="12" t="s">
        <v>3422</v>
      </c>
      <c r="D344" s="5" t="str">
        <f ca="1">IFERROR(__xludf.DUMMYFUNCTION("GOOGLETRANSLATE(B345,""ja"",""vi"")"),"Biên tập viên")</f>
        <v>Biên tập viên</v>
      </c>
      <c r="E344" s="4" t="str">
        <f ca="1">IFERROR(__xludf.DUMMYFUNCTION("GOOGLETRANSLATE(C345,""ja"",""vi"")"),"Đấu giá&gt; cuốn sách, tạp chí&gt; máy tính và internet&gt; Ứng dụng&gt; Biên tập viên")</f>
        <v>Đấu giá&gt; cuốn sách, tạp chí&gt; máy tính và internet&gt; Ứng dụng&gt; Biên tập viên</v>
      </c>
      <c r="F344" t="str">
        <f t="shared" ca="1" si="5"/>
        <v>"2084008828" : "Biên tập viên",</v>
      </c>
    </row>
    <row r="345" spans="1:6" ht="15.75" customHeight="1">
      <c r="A345" s="12">
        <v>2084008836</v>
      </c>
      <c r="B345" s="12" t="s">
        <v>3427</v>
      </c>
      <c r="C345" s="12" t="s">
        <v>3428</v>
      </c>
      <c r="D345" s="5" t="str">
        <f ca="1">IFERROR(__xludf.DUMMYFUNCTION("GOOGLETRANSLATE(B346,""ja"",""vi"")"),"phần mềm trực tuyến")</f>
        <v>phần mềm trực tuyến</v>
      </c>
      <c r="E345" s="4" t="str">
        <f ca="1">IFERROR(__xludf.DUMMYFUNCTION("GOOGLETRANSLATE(C346,""ja"",""vi"")"),"Đấu giá&gt; cuốn sách, tạp chí&gt; máy tính và internet&gt; Ứng dụng&gt; Phần mềm trực tuyến")</f>
        <v>Đấu giá&gt; cuốn sách, tạp chí&gt; máy tính và internet&gt; Ứng dụng&gt; Phần mềm trực tuyến</v>
      </c>
      <c r="F345" t="str">
        <f t="shared" ca="1" si="5"/>
        <v>"2084008836" : "phần mềm trực tuyến",</v>
      </c>
    </row>
    <row r="346" spans="1:6" ht="15.75" customHeight="1">
      <c r="A346" s="12">
        <v>2084008840</v>
      </c>
      <c r="B346" s="12" t="s">
        <v>3435</v>
      </c>
      <c r="C346" s="12" t="s">
        <v>3438</v>
      </c>
      <c r="D346" s="5" t="str">
        <f ca="1">IFERROR(__xludf.DUMMYFUNCTION("GOOGLETRANSLATE(B347,""ja"",""vi"")"),"tiêu đề đa phương tiện")</f>
        <v>tiêu đề đa phương tiện</v>
      </c>
      <c r="E346" s="4" t="str">
        <f ca="1">IFERROR(__xludf.DUMMYFUNCTION("GOOGLETRANSLATE(C347,""ja"",""vi"")"),"Đấu giá&gt; cuốn sách, tạp chí&gt; máy tính và internet&gt; Ứng dụng&gt; title Multimedia")</f>
        <v>Đấu giá&gt; cuốn sách, tạp chí&gt; máy tính và internet&gt; Ứng dụng&gt; title Multimedia</v>
      </c>
      <c r="F346" t="str">
        <f t="shared" ca="1" si="5"/>
        <v>"2084008840" : "tiêu đề đa phương tiện",</v>
      </c>
    </row>
    <row r="347" spans="1:6" ht="15.75" customHeight="1">
      <c r="A347" s="12">
        <v>2084008833</v>
      </c>
      <c r="B347" s="12" t="s">
        <v>3443</v>
      </c>
      <c r="C347" s="12" t="s">
        <v>3446</v>
      </c>
      <c r="D347" s="5" t="str">
        <f ca="1">IFERROR(__xludf.DUMMYFUNCTION("GOOGLETRANSLATE(B348,""ja"",""vi"")"),"hữu dụng")</f>
        <v>hữu dụng</v>
      </c>
      <c r="E347" s="4" t="str">
        <f ca="1">IFERROR(__xludf.DUMMYFUNCTION("GOOGLETRANSLATE(C348,""ja"",""vi"")"),"Đấu giá&gt; cuốn sách, tạp chí&gt; máy tính và internet&gt; Application&gt; Utilities")</f>
        <v>Đấu giá&gt; cuốn sách, tạp chí&gt; máy tính và internet&gt; Application&gt; Utilities</v>
      </c>
      <c r="F347" t="str">
        <f t="shared" ca="1" si="5"/>
        <v>"2084008833" : "hữu dụng",</v>
      </c>
    </row>
    <row r="348" spans="1:6" ht="15.75" customHeight="1">
      <c r="A348" s="12">
        <v>2084008831</v>
      </c>
      <c r="B348" s="12" t="s">
        <v>3449</v>
      </c>
      <c r="C348" s="12" t="s">
        <v>3451</v>
      </c>
      <c r="D348" s="5" t="str">
        <f ca="1">IFERROR(__xludf.DUMMYFUNCTION("GOOGLETRANSLATE(B349,""ja"",""vi"")"),"Rendering")</f>
        <v>Rendering</v>
      </c>
      <c r="E348" s="4" t="str">
        <f ca="1">IFERROR(__xludf.DUMMYFUNCTION("GOOGLETRANSLATE(C349,""ja"",""vi"")"),"Đấu giá&gt; cuốn sách, tạp chí&gt; máy tính và internet&gt; Ứng dụng&gt; Rendering")</f>
        <v>Đấu giá&gt; cuốn sách, tạp chí&gt; máy tính và internet&gt; Ứng dụng&gt; Rendering</v>
      </c>
      <c r="F348" t="str">
        <f t="shared" ca="1" si="5"/>
        <v>"2084008831" : "Rendering",</v>
      </c>
    </row>
    <row r="349" spans="1:6" ht="15.75" customHeight="1">
      <c r="A349" s="12">
        <v>2084008835</v>
      </c>
      <c r="B349" s="12" t="s">
        <v>3453</v>
      </c>
      <c r="C349" s="12" t="s">
        <v>3455</v>
      </c>
      <c r="D349" s="5" t="str">
        <f ca="1">IFERROR(__xludf.DUMMYFUNCTION("GOOGLETRANSLATE(B350,""ja"",""vi"")"),"chỉnh sửa âm nhạc, DTM")</f>
        <v>chỉnh sửa âm nhạc, DTM</v>
      </c>
      <c r="E349" s="4" t="str">
        <f ca="1">IFERROR(__xludf.DUMMYFUNCTION("GOOGLETRANSLATE(C350,""ja"",""vi"")"),"Đấu giá&gt; cuốn sách, tạp chí&gt; máy tính và internet&gt; Ứng dụng&gt; nhạc chỉnh sửa, DTM")</f>
        <v>Đấu giá&gt; cuốn sách, tạp chí&gt; máy tính và internet&gt; Ứng dụng&gt; nhạc chỉnh sửa, DTM</v>
      </c>
      <c r="F349" t="str">
        <f t="shared" ca="1" si="5"/>
        <v>"2084008835" : "chỉnh sửa âm nhạc, DTM",</v>
      </c>
    </row>
    <row r="350" spans="1:6" ht="15.75" customHeight="1">
      <c r="A350" s="12">
        <v>2084008839</v>
      </c>
      <c r="B350" s="12" t="s">
        <v>3458</v>
      </c>
      <c r="C350" s="12" t="s">
        <v>3459</v>
      </c>
      <c r="D350" s="5" t="str">
        <f ca="1">IFERROR(__xludf.DUMMYFUNCTION("GOOGLETRANSLATE(B351,""ja"",""vi"")"),"Quản lý thông tin, PIM")</f>
        <v>Quản lý thông tin, PIM</v>
      </c>
      <c r="E350" s="4" t="str">
        <f ca="1">IFERROR(__xludf.DUMMYFUNCTION("GOOGLETRANSLATE(C351,""ja"",""vi"")"),"Đấu giá&gt; cuốn sách, tạp chí&gt; máy tính và internet&gt; Ứng dụng&gt; Quản lý thông tin, PIM")</f>
        <v>Đấu giá&gt; cuốn sách, tạp chí&gt; máy tính và internet&gt; Ứng dụng&gt; Quản lý thông tin, PIM</v>
      </c>
      <c r="F350" t="str">
        <f t="shared" ca="1" si="5"/>
        <v>"2084008839" : "Quản lý thông tin, PIM",</v>
      </c>
    </row>
    <row r="351" spans="1:6" ht="15.75" customHeight="1">
      <c r="A351" s="12">
        <v>2084008832</v>
      </c>
      <c r="B351" s="12" t="s">
        <v>3463</v>
      </c>
      <c r="C351" s="12" t="s">
        <v>3464</v>
      </c>
      <c r="D351" s="5" t="str">
        <f ca="1">IFERROR(__xludf.DUMMYFUNCTION("GOOGLETRANSLATE(B352,""ja"",""vi"")"),"phần mềm tích hợp")</f>
        <v>phần mềm tích hợp</v>
      </c>
      <c r="E351" s="4" t="str">
        <f ca="1">IFERROR(__xludf.DUMMYFUNCTION("GOOGLETRANSLATE(C352,""ja"",""vi"")"),"Đấu giá&gt; cuốn sách, tạp chí&gt; máy tính và internet&gt; Ứng dụng&gt; Phần mềm tích hợp")</f>
        <v>Đấu giá&gt; cuốn sách, tạp chí&gt; máy tính và internet&gt; Ứng dụng&gt; Phần mềm tích hợp</v>
      </c>
      <c r="F351" t="str">
        <f t="shared" ca="1" si="5"/>
        <v>"2084008832" : "phần mềm tích hợp",</v>
      </c>
    </row>
    <row r="352" spans="1:6" ht="15.75" customHeight="1">
      <c r="A352" s="12">
        <v>2084008844</v>
      </c>
      <c r="B352" s="12" t="s">
        <v>46</v>
      </c>
      <c r="C352" s="12" t="s">
        <v>3467</v>
      </c>
      <c r="D352" s="5" t="str">
        <f ca="1">IFERROR(__xludf.DUMMYFUNCTION("GOOGLETRANSLATE(B353,""ja"",""vi"")"),"nếu không thì")</f>
        <v>nếu không thì</v>
      </c>
      <c r="E352" s="4" t="str">
        <f ca="1">IFERROR(__xludf.DUMMYFUNCTION("GOOGLETRANSLATE(C353,""ja"",""vi"")"),"Đấu giá&gt; cuốn sách, tạp chí&gt; máy tính và internet&gt; Ứng dụng&gt; Khác")</f>
        <v>Đấu giá&gt; cuốn sách, tạp chí&gt; máy tính và internet&gt; Ứng dụng&gt; Khác</v>
      </c>
      <c r="F352" t="str">
        <f t="shared" ca="1" si="5"/>
        <v>"2084008844" : "nếu không thì",</v>
      </c>
    </row>
    <row r="353" spans="1:6" ht="15.75" customHeight="1">
      <c r="A353" s="12">
        <v>2084008850</v>
      </c>
      <c r="B353" s="12" t="s">
        <v>3471</v>
      </c>
      <c r="C353" s="12" t="s">
        <v>3472</v>
      </c>
      <c r="D353" s="5" t="str">
        <f ca="1">IFERROR(__xludf.DUMMYFUNCTION("GOOGLETRANSLATE(B354,""ja"",""vi"")"),"DB phần mềm nhóm")</f>
        <v>DB phần mềm nhóm</v>
      </c>
      <c r="E353" s="4" t="str">
        <f ca="1">IFERROR(__xludf.DUMMYFUNCTION("GOOGLETRANSLATE(C354,""ja"",""vi"")"),"Đấu giá&gt; cuốn sách, tạp chí&gt; máy tính và internet&gt; Internet, thông tin liên lạc&gt; DB phần mềm nhóm")</f>
        <v>Đấu giá&gt; cuốn sách, tạp chí&gt; máy tính và internet&gt; Internet, thông tin liên lạc&gt; DB phần mềm nhóm</v>
      </c>
      <c r="F353" t="str">
        <f t="shared" ca="1" si="5"/>
        <v>"2084008850" : "DB phần mềm nhóm",</v>
      </c>
    </row>
    <row r="354" spans="1:6" ht="15.75" customHeight="1">
      <c r="A354" s="12">
        <v>2084008853</v>
      </c>
      <c r="B354" s="12" t="s">
        <v>3476</v>
      </c>
      <c r="C354" s="12" t="s">
        <v>3477</v>
      </c>
      <c r="D354" s="5" t="str">
        <f ca="1">IFERROR(__xludf.DUMMYFUNCTION("GOOGLETRANSLATE(B355,""ja"",""vi"")"),"JAVA")</f>
        <v>JAVA</v>
      </c>
      <c r="E354" s="4" t="str">
        <f ca="1">IFERROR(__xludf.DUMMYFUNCTION("GOOGLETRANSLATE(C355,""ja"",""vi"")"),"Đấu giá&gt; cuốn sách, tạp chí&gt; máy tính và internet&gt; Internet, thông tin liên lạc&gt; JAVA")</f>
        <v>Đấu giá&gt; cuốn sách, tạp chí&gt; máy tính và internet&gt; Internet, thông tin liên lạc&gt; JAVA</v>
      </c>
      <c r="F354" t="str">
        <f t="shared" ca="1" si="5"/>
        <v>"2084008853" : "JAVA",</v>
      </c>
    </row>
    <row r="355" spans="1:6" ht="15.75" customHeight="1">
      <c r="A355" s="12">
        <v>2084008854</v>
      </c>
      <c r="B355" s="12" t="s">
        <v>3480</v>
      </c>
      <c r="C355" s="12" t="s">
        <v>3482</v>
      </c>
      <c r="D355" s="5" t="str">
        <f ca="1">IFERROR(__xludf.DUMMYFUNCTION("GOOGLETRANSLATE(B356,""ja"",""vi"")"),"máy chủ Internet")</f>
        <v>máy chủ Internet</v>
      </c>
      <c r="E355" s="4" t="str">
        <f ca="1">IFERROR(__xludf.DUMMYFUNCTION("GOOGLETRANSLATE(C356,""ja"",""vi"")"),"Đấu giá&gt; cuốn sách, tạp chí&gt; máy tính và internet&gt; Internet, truyền thông&gt; Máy chủ Internet")</f>
        <v>Đấu giá&gt; cuốn sách, tạp chí&gt; máy tính và internet&gt; Internet, truyền thông&gt; Máy chủ Internet</v>
      </c>
      <c r="F355" t="str">
        <f t="shared" ca="1" si="5"/>
        <v>"2084008854" : "máy chủ Internet",</v>
      </c>
    </row>
    <row r="356" spans="1:6" ht="15.75" customHeight="1">
      <c r="A356" s="12">
        <v>2084008847</v>
      </c>
      <c r="B356" s="12" t="s">
        <v>3486</v>
      </c>
      <c r="C356" s="12" t="s">
        <v>3487</v>
      </c>
      <c r="D356" s="5" t="str">
        <f ca="1">IFERROR(__xludf.DUMMYFUNCTION("GOOGLETRANSLATE(B357,""ja"",""vi"")"),"hệ thống mạng")</f>
        <v>hệ thống mạng</v>
      </c>
      <c r="E356" s="4" t="str">
        <f ca="1">IFERROR(__xludf.DUMMYFUNCTION("GOOGLETRANSLATE(C357,""ja"",""vi"")"),"Đấu giá&gt; cuốn sách, tạp chí&gt; máy tính và internet&gt; Internet, truyền thông&gt; Hệ thống mạng")</f>
        <v>Đấu giá&gt; cuốn sách, tạp chí&gt; máy tính và internet&gt; Internet, truyền thông&gt; Hệ thống mạng</v>
      </c>
      <c r="F356" t="str">
        <f t="shared" ca="1" si="5"/>
        <v>"2084008847" : "hệ thống mạng",</v>
      </c>
    </row>
    <row r="357" spans="1:6" ht="15.75" customHeight="1">
      <c r="A357" s="12">
        <v>2084008848</v>
      </c>
      <c r="B357" s="12" t="s">
        <v>3490</v>
      </c>
      <c r="C357" s="12" t="s">
        <v>3493</v>
      </c>
      <c r="D357" s="5" t="str">
        <f ca="1">IFERROR(__xludf.DUMMYFUNCTION("GOOGLETRANSLATE(B358,""ja"",""vi"")"),"giao tiếp máy tính cá nhân, phần mềm giao tiếp")</f>
        <v>giao tiếp máy tính cá nhân, phần mềm giao tiếp</v>
      </c>
      <c r="E357" s="4" t="str">
        <f ca="1">IFERROR(__xludf.DUMMYFUNCTION("GOOGLETRANSLATE(C358,""ja"",""vi"")"),"Đấu giá&gt; cuốn sách, tạp chí&gt; máy tính và internet&gt; internet, truyền&gt; truyền thông máy tính cá nhân, phần mềm giao tiếp")</f>
        <v>Đấu giá&gt; cuốn sách, tạp chí&gt; máy tính và internet&gt; internet, truyền&gt; truyền thông máy tính cá nhân, phần mềm giao tiếp</v>
      </c>
      <c r="F357" t="str">
        <f t="shared" ca="1" si="5"/>
        <v>"2084008848" : "giao tiếp máy tính cá nhân, phần mềm giao tiếp",</v>
      </c>
    </row>
    <row r="358" spans="1:6" ht="15.75" customHeight="1">
      <c r="A358" s="12">
        <v>2084008851</v>
      </c>
      <c r="B358" s="12" t="s">
        <v>3496</v>
      </c>
      <c r="C358" s="12" t="s">
        <v>3499</v>
      </c>
      <c r="D358" s="5" t="str">
        <f ca="1">IFERROR(__xludf.DUMMYFUNCTION("GOOGLETRANSLATE(B359,""ja"",""vi"")"),"Browser, bưu phẩm")</f>
        <v>Browser, bưu phẩm</v>
      </c>
      <c r="E358" s="4" t="str">
        <f ca="1">IFERROR(__xludf.DUMMYFUNCTION("GOOGLETRANSLATE(C359,""ja"",""vi"")"),"Đấu giá&gt; cuốn sách, tạp chí&gt; máy tính và internet&gt; Internet, thông tin liên lạc&gt; trình duyệt, bưu phẩm")</f>
        <v>Đấu giá&gt; cuốn sách, tạp chí&gt; máy tính và internet&gt; Internet, thông tin liên lạc&gt; trình duyệt, bưu phẩm</v>
      </c>
      <c r="F358" t="str">
        <f t="shared" ca="1" si="5"/>
        <v>"2084008851" : "Browser, bưu phẩm",</v>
      </c>
    </row>
    <row r="359" spans="1:6" ht="15.75" customHeight="1">
      <c r="A359" s="12">
        <v>2084008849</v>
      </c>
      <c r="B359" s="12" t="s">
        <v>3503</v>
      </c>
      <c r="C359" s="12" t="s">
        <v>3506</v>
      </c>
      <c r="D359" s="5" t="str">
        <f ca="1">IFERROR(__xludf.DUMMYFUNCTION("GOOGLETRANSLATE(B360,""ja"",""vi"")"),"Nghị định thư")</f>
        <v>Nghị định thư</v>
      </c>
      <c r="E359" s="4" t="str">
        <f ca="1">IFERROR(__xludf.DUMMYFUNCTION("GOOGLETRANSLATE(C360,""ja"",""vi"")"),"Đấu giá&gt; cuốn sách, tạp chí&gt; máy tính và internet&gt; Internet, thông tin liên lạc&gt; giao thức")</f>
        <v>Đấu giá&gt; cuốn sách, tạp chí&gt; máy tính và internet&gt; Internet, thông tin liên lạc&gt; giao thức</v>
      </c>
      <c r="F359" t="str">
        <f t="shared" ca="1" si="5"/>
        <v>"2084008849" : "Nghị định thư",</v>
      </c>
    </row>
    <row r="360" spans="1:6" ht="15.75" customHeight="1">
      <c r="A360" s="12">
        <v>2084008855</v>
      </c>
      <c r="B360" s="12" t="s">
        <v>3509</v>
      </c>
      <c r="C360" s="12" t="s">
        <v>3510</v>
      </c>
      <c r="D360" s="5" t="str">
        <f ca="1">IFERROR(__xludf.DUMMYFUNCTION("GOOGLETRANSLATE(B361,""ja"",""vi"")"),"Trang chủ Hướng dẫn")</f>
        <v>Trang chủ Hướng dẫn</v>
      </c>
      <c r="E360" s="4" t="str">
        <f ca="1">IFERROR(__xludf.DUMMYFUNCTION("GOOGLETRANSLATE(C361,""ja"",""vi"")"),"Đấu giá&gt; cuốn sách, tạp chí&gt; máy tính và internet&gt; Internet, thông tin liên lạc&gt; trang chủ hướng dẫn")</f>
        <v>Đấu giá&gt; cuốn sách, tạp chí&gt; máy tính và internet&gt; Internet, thông tin liên lạc&gt; trang chủ hướng dẫn</v>
      </c>
      <c r="F360" t="str">
        <f t="shared" ca="1" si="5"/>
        <v>"2084008855" : "Trang chủ Hướng dẫn",</v>
      </c>
    </row>
    <row r="361" spans="1:6" ht="15.75" customHeight="1">
      <c r="A361" s="12">
        <v>2084008852</v>
      </c>
      <c r="B361" s="12" t="s">
        <v>3516</v>
      </c>
      <c r="C361" s="12" t="s">
        <v>3517</v>
      </c>
      <c r="D361" s="5" t="str">
        <f ca="1">IFERROR(__xludf.DUMMYFUNCTION("GOOGLETRANSLATE(B362,""ja"",""vi"")"),"tạo trang web")</f>
        <v>tạo trang web</v>
      </c>
      <c r="E361" s="4" t="str">
        <f ca="1">IFERROR(__xludf.DUMMYFUNCTION("GOOGLETRANSLATE(C362,""ja"",""vi"")"),"Đấu giá&gt; cuốn sách, tạp chí&gt; máy tính và internet&gt; Internet, thông tin liên lạc&gt; tạo trang chủ")</f>
        <v>Đấu giá&gt; cuốn sách, tạp chí&gt; máy tính và internet&gt; Internet, thông tin liên lạc&gt; tạo trang chủ</v>
      </c>
      <c r="F361" t="str">
        <f t="shared" ca="1" si="5"/>
        <v>"2084008852" : "tạo trang web",</v>
      </c>
    </row>
    <row r="362" spans="1:6" ht="15.75" customHeight="1">
      <c r="A362" s="12">
        <v>2084008846</v>
      </c>
      <c r="B362" s="12" t="s">
        <v>3522</v>
      </c>
      <c r="C362" s="12" t="s">
        <v>3523</v>
      </c>
      <c r="D362" s="5" t="str">
        <f ca="1">IFERROR(__xludf.DUMMYFUNCTION("GOOGLETRANSLATE(B363,""ja"",""vi"")"),"Bắt đầu")</f>
        <v>Bắt đầu</v>
      </c>
      <c r="E362" s="4" t="str">
        <f ca="1">IFERROR(__xludf.DUMMYFUNCTION("GOOGLETRANSLATE(C363,""ja"",""vi"")"),"Đấu giá&gt; cuốn sách, tạp chí&gt; máy tính và internet&gt; Internet, thông tin liên lạc&gt; Primer")</f>
        <v>Đấu giá&gt; cuốn sách, tạp chí&gt; máy tính và internet&gt; Internet, thông tin liên lạc&gt; Primer</v>
      </c>
      <c r="F362" t="str">
        <f t="shared" ca="1" si="5"/>
        <v>"2084008846" : "Bắt đầu",</v>
      </c>
    </row>
    <row r="363" spans="1:6" ht="15.75" customHeight="1">
      <c r="A363" s="12">
        <v>2084008859</v>
      </c>
      <c r="B363" s="12" t="s">
        <v>3525</v>
      </c>
      <c r="C363" s="12" t="s">
        <v>3527</v>
      </c>
      <c r="D363" s="5" t="str">
        <f ca="1">IFERROR(__xludf.DUMMYFUNCTION("GOOGLETRANSLATE(B364,""ja"",""vi"")"),"MCP, mous")</f>
        <v>MCP, mous</v>
      </c>
      <c r="E363" s="4" t="str">
        <f ca="1">IFERROR(__xludf.DUMMYFUNCTION("GOOGLETRANSLATE(C364,""ja"",""vi"")"),"Đấu giá&gt; cuốn sách, tạp chí&gt; máy tính và internet&gt; máy tính đủ điều kiện kiểm tra&gt; MCP, mous")</f>
        <v>Đấu giá&gt; cuốn sách, tạp chí&gt; máy tính và internet&gt; máy tính đủ điều kiện kiểm tra&gt; MCP, mous</v>
      </c>
      <c r="F363" t="str">
        <f t="shared" ca="1" si="5"/>
        <v>"2084008859" : "MCP, mous",</v>
      </c>
    </row>
    <row r="364" spans="1:6" ht="15.75" customHeight="1">
      <c r="A364" s="12">
        <v>2084008857</v>
      </c>
      <c r="B364" s="12" t="s">
        <v>3532</v>
      </c>
      <c r="C364" s="12" t="s">
        <v>3533</v>
      </c>
      <c r="D364" s="5" t="str">
        <f ca="1">IFERROR(__xludf.DUMMYFUNCTION("GOOGLETRANSLATE(B365,""ja"",""vi"")"),"Quản trị hệ thống")</f>
        <v>Quản trị hệ thống</v>
      </c>
      <c r="E364" s="4" t="str">
        <f ca="1">IFERROR(__xludf.DUMMYFUNCTION("GOOGLETRANSLATE(C365,""ja"",""vi"")"),"Đấu giá&gt; cuốn sách, tạp chí&gt; máy tính và internet&gt; đủ điều kiện kiểm tra máy tính&gt; System Administrator")</f>
        <v>Đấu giá&gt; cuốn sách, tạp chí&gt; máy tính và internet&gt; đủ điều kiện kiểm tra máy tính&gt; System Administrator</v>
      </c>
      <c r="F364" t="str">
        <f t="shared" ca="1" si="5"/>
        <v>"2084008857" : "Quản trị hệ thống",</v>
      </c>
    </row>
    <row r="365" spans="1:6" ht="15.75" customHeight="1">
      <c r="A365" s="12">
        <v>2084008858</v>
      </c>
      <c r="B365" s="12" t="s">
        <v>3539</v>
      </c>
      <c r="C365" s="12" t="s">
        <v>3540</v>
      </c>
      <c r="D365" s="5" t="str">
        <f ca="1">IFERROR(__xludf.DUMMYFUNCTION("GOOGLETRANSLATE(B366,""ja"",""vi"")"),"Công nghệ thông tin Kỹ sư kiểm tra")</f>
        <v>Công nghệ thông tin Kỹ sư kiểm tra</v>
      </c>
      <c r="E365" s="4" t="str">
        <f ca="1">IFERROR(__xludf.DUMMYFUNCTION("GOOGLETRANSLATE(C366,""ja"",""vi"")"),"Đấu giá&gt; cuốn sách, tạp chí&gt; máy tính và internet&gt; đủ điều kiện kiểm tra máy tính&gt; Công nghệ thông tin Kỹ sư kiểm tra")</f>
        <v>Đấu giá&gt; cuốn sách, tạp chí&gt; máy tính và internet&gt; đủ điều kiện kiểm tra máy tính&gt; Công nghệ thông tin Kỹ sư kiểm tra</v>
      </c>
      <c r="F365" t="str">
        <f t="shared" ca="1" si="5"/>
        <v>"2084008858" : "Công nghệ thông tin Kỹ sư kiểm tra",</v>
      </c>
    </row>
    <row r="366" spans="1:6" ht="15.75" customHeight="1">
      <c r="A366" s="12">
        <v>2084008860</v>
      </c>
      <c r="B366" s="12" t="s">
        <v>46</v>
      </c>
      <c r="C366" s="12" t="s">
        <v>3545</v>
      </c>
      <c r="D366" s="5" t="str">
        <f ca="1">IFERROR(__xludf.DUMMYFUNCTION("GOOGLETRANSLATE(B367,""ja"",""vi"")"),"nếu không thì")</f>
        <v>nếu không thì</v>
      </c>
      <c r="E366" s="4" t="str">
        <f ca="1">IFERROR(__xludf.DUMMYFUNCTION("GOOGLETRANSLATE(C367,""ja"",""vi"")"),"Đấu giá&gt; cuốn sách, tạp chí&gt; máy tính và internet&gt; máy tính đủ điều kiện kiểm tra&gt; Khác")</f>
        <v>Đấu giá&gt; cuốn sách, tạp chí&gt; máy tính và internet&gt; máy tính đủ điều kiện kiểm tra&gt; Khác</v>
      </c>
      <c r="F366" t="str">
        <f t="shared" ca="1" si="5"/>
        <v>"2084008860" : "nếu không thì",</v>
      </c>
    </row>
    <row r="367" spans="1:6" ht="15.75" customHeight="1">
      <c r="A367" s="12">
        <v>2084048459</v>
      </c>
      <c r="B367" s="12" t="s">
        <v>3548</v>
      </c>
      <c r="C367" s="12" t="s">
        <v>3551</v>
      </c>
      <c r="D367" s="5" t="str">
        <f ca="1">IFERROR(__xludf.DUMMYFUNCTION("GOOGLETRANSLATE(B368,""ja"",""vi"")"),"3D")</f>
        <v>3D</v>
      </c>
      <c r="E367" s="4" t="str">
        <f ca="1">IFERROR(__xludf.DUMMYFUNCTION("GOOGLETRANSLATE(C368,""ja"",""vi"")"),"Đấu giá&gt; cuốn sách, tạp chí&gt; máy tính và internet&gt; Digital Tạo&gt; 3D")</f>
        <v>Đấu giá&gt; cuốn sách, tạp chí&gt; máy tính và internet&gt; Digital Tạo&gt; 3D</v>
      </c>
      <c r="F367" t="str">
        <f t="shared" ca="1" si="5"/>
        <v>"2084048459" : "3D",</v>
      </c>
    </row>
    <row r="368" spans="1:6" ht="15.75" customHeight="1">
      <c r="A368" s="12">
        <v>2084048460</v>
      </c>
      <c r="B368" s="12" t="s">
        <v>3399</v>
      </c>
      <c r="C368" s="12" t="s">
        <v>3557</v>
      </c>
      <c r="D368" s="5" t="str">
        <f ca="1">IFERROR(__xludf.DUMMYFUNCTION("GOOGLETRANSLATE(B369,""ja"",""vi"")"),"CAD")</f>
        <v>CAD</v>
      </c>
      <c r="E368" s="4" t="str">
        <f ca="1">IFERROR(__xludf.DUMMYFUNCTION("GOOGLETRANSLATE(C369,""ja"",""vi"")"),"Đấu giá&gt; cuốn sách, tạp chí&gt; máy tính và internet&gt; Digital Tạo&gt; CAD")</f>
        <v>Đấu giá&gt; cuốn sách, tạp chí&gt; máy tính và internet&gt; Digital Tạo&gt; CAD</v>
      </c>
      <c r="F368" t="str">
        <f t="shared" ca="1" si="5"/>
        <v>"2084048460" : "CAD",</v>
      </c>
    </row>
    <row r="369" spans="1:6" ht="15.75" customHeight="1">
      <c r="A369" s="12">
        <v>2084048461</v>
      </c>
      <c r="B369" s="12" t="s">
        <v>3407</v>
      </c>
      <c r="C369" s="12" t="s">
        <v>3563</v>
      </c>
      <c r="D369" s="5" t="str">
        <f ca="1">IFERROR(__xludf.DUMMYFUNCTION("GOOGLETRANSLATE(B370,""ja"",""vi"")"),"DTP, phông chữ")</f>
        <v>DTP, phông chữ</v>
      </c>
      <c r="E369" s="4" t="str">
        <f ca="1">IFERROR(__xludf.DUMMYFUNCTION("GOOGLETRANSLATE(C370,""ja"",""vi"")"),"Đấu giá&gt; cuốn sách, tạp chí&gt; máy tính và internet&gt; Digital Tạo&gt; DTP, phông chữ")</f>
        <v>Đấu giá&gt; cuốn sách, tạp chí&gt; máy tính và internet&gt; Digital Tạo&gt; DTP, phông chữ</v>
      </c>
      <c r="F369" t="str">
        <f t="shared" ca="1" si="5"/>
        <v>"2084048461" : "DTP, phông chữ",</v>
      </c>
    </row>
    <row r="370" spans="1:6" ht="15.75" customHeight="1">
      <c r="A370" s="12">
        <v>2084048463</v>
      </c>
      <c r="B370" s="12" t="s">
        <v>3566</v>
      </c>
      <c r="C370" s="12" t="s">
        <v>3569</v>
      </c>
      <c r="D370" s="5" t="str">
        <f ca="1">IFERROR(__xludf.DUMMYFUNCTION("GOOGLETRANSLATE(B371,""ja"",""vi"")"),"DTV, video kỹ thuật số")</f>
        <v>DTV, video kỹ thuật số</v>
      </c>
      <c r="E370" s="4" t="str">
        <f ca="1">IFERROR(__xludf.DUMMYFUNCTION("GOOGLETRANSLATE(C371,""ja"",""vi"")"),"Đấu giá&gt; cuốn sách, tạp chí&gt; máy tính và internet&gt; Digital Tạo&gt; DTV, video kỹ thuật số")</f>
        <v>Đấu giá&gt; cuốn sách, tạp chí&gt; máy tính và internet&gt; Digital Tạo&gt; DTV, video kỹ thuật số</v>
      </c>
      <c r="F370" t="str">
        <f t="shared" ca="1" si="5"/>
        <v>"2084048463" : "DTV, video kỹ thuật số",</v>
      </c>
    </row>
    <row r="371" spans="1:6" ht="15.75" customHeight="1">
      <c r="A371" s="12">
        <v>2084048457</v>
      </c>
      <c r="B371" s="12" t="s">
        <v>3383</v>
      </c>
      <c r="C371" s="12" t="s">
        <v>3574</v>
      </c>
      <c r="D371" s="5" t="str">
        <f ca="1">IFERROR(__xludf.DUMMYFUNCTION("GOOGLETRANSLATE(B372,""ja"",""vi"")"),"ảnh chỉnh sửa")</f>
        <v>ảnh chỉnh sửa</v>
      </c>
      <c r="E371" s="4" t="str">
        <f ca="1">IFERROR(__xludf.DUMMYFUNCTION("GOOGLETRANSLATE(C372,""ja"",""vi"")"),"Đấu giá&gt; cuốn sách, tạp chí&gt; máy tính và internet&gt; Digital Tạo&gt; Ảnh chỉnh sửa")</f>
        <v>Đấu giá&gt; cuốn sách, tạp chí&gt; máy tính và internet&gt; Digital Tạo&gt; Ảnh chỉnh sửa</v>
      </c>
      <c r="F371" t="str">
        <f t="shared" ca="1" si="5"/>
        <v>"2084048457" : "ảnh chỉnh sửa",</v>
      </c>
    </row>
    <row r="372" spans="1:6" ht="15.75" customHeight="1">
      <c r="A372" s="12">
        <v>2084048458</v>
      </c>
      <c r="B372" s="12" t="s">
        <v>3392</v>
      </c>
      <c r="C372" s="12" t="s">
        <v>3578</v>
      </c>
      <c r="D372" s="5" t="str">
        <f ca="1">IFERROR(__xludf.DUMMYFUNCTION("GOOGLETRANSLATE(B373,""ja"",""vi"")"),"Sơn, vẽ")</f>
        <v>Sơn, vẽ</v>
      </c>
      <c r="E372" s="4" t="str">
        <f ca="1">IFERROR(__xludf.DUMMYFUNCTION("GOOGLETRANSLATE(C373,""ja"",""vi"")"),"Đấu giá&gt; cuốn sách, tạp chí&gt; máy tính và internet&gt; Tạo Digital&gt; sơn, vẽ")</f>
        <v>Đấu giá&gt; cuốn sách, tạp chí&gt; máy tính và internet&gt; Tạo Digital&gt; sơn, vẽ</v>
      </c>
      <c r="F372" t="str">
        <f t="shared" ca="1" si="5"/>
        <v>"2084048458" : "Sơn, vẽ",</v>
      </c>
    </row>
    <row r="373" spans="1:6" ht="15.75" customHeight="1">
      <c r="A373" s="12">
        <v>2084048462</v>
      </c>
      <c r="B373" s="12" t="s">
        <v>3453</v>
      </c>
      <c r="C373" s="12" t="s">
        <v>3581</v>
      </c>
      <c r="D373" s="5" t="str">
        <f ca="1">IFERROR(__xludf.DUMMYFUNCTION("GOOGLETRANSLATE(B374,""ja"",""vi"")"),"chỉnh sửa âm nhạc, DTM")</f>
        <v>chỉnh sửa âm nhạc, DTM</v>
      </c>
      <c r="E373" s="4" t="str">
        <f ca="1">IFERROR(__xludf.DUMMYFUNCTION("GOOGLETRANSLATE(C374,""ja"",""vi"")"),"Đấu giá&gt; cuốn sách, tạp chí&gt; máy tính và internet&gt; Digital Tạo&gt; nhạc chỉnh sửa, DTM")</f>
        <v>Đấu giá&gt; cuốn sách, tạp chí&gt; máy tính và internet&gt; Digital Tạo&gt; nhạc chỉnh sửa, DTM</v>
      </c>
      <c r="F373" t="str">
        <f t="shared" ca="1" si="5"/>
        <v>"2084048462" : "chỉnh sửa âm nhạc, DTM",</v>
      </c>
    </row>
    <row r="374" spans="1:6" ht="15.75" customHeight="1">
      <c r="A374" s="12">
        <v>2084048464</v>
      </c>
      <c r="B374" s="12" t="s">
        <v>46</v>
      </c>
      <c r="C374" s="12" t="s">
        <v>3584</v>
      </c>
      <c r="D374" s="5" t="str">
        <f ca="1">IFERROR(__xludf.DUMMYFUNCTION("GOOGLETRANSLATE(B375,""ja"",""vi"")"),"nếu không thì")</f>
        <v>nếu không thì</v>
      </c>
      <c r="E374" s="4" t="str">
        <f ca="1">IFERROR(__xludf.DUMMYFUNCTION("GOOGLETRANSLATE(C375,""ja"",""vi"")"),"Đấu giá&gt; cuốn sách, tạp chí&gt; máy tính và internet&gt; Digital Tạo&gt; Khác")</f>
        <v>Đấu giá&gt; cuốn sách, tạp chí&gt; máy tính và internet&gt; Digital Tạo&gt; Khác</v>
      </c>
      <c r="F374" t="str">
        <f t="shared" ca="1" si="5"/>
        <v>"2084048464" : "nếu không thì",</v>
      </c>
    </row>
    <row r="375" spans="1:6" ht="15.75" customHeight="1">
      <c r="A375" s="12">
        <v>2084008807</v>
      </c>
      <c r="B375" s="12" t="s">
        <v>3197</v>
      </c>
      <c r="C375" s="12" t="s">
        <v>3588</v>
      </c>
      <c r="D375" s="5" t="str">
        <f ca="1">IFERROR(__xludf.DUMMYFUNCTION("GOOGLETRANSLATE(B376,""ja"",""vi"")"),"CPU")</f>
        <v>CPU</v>
      </c>
      <c r="E375" s="4" t="str">
        <f ca="1">IFERROR(__xludf.DUMMYFUNCTION("GOOGLETRANSLATE(C376,""ja"",""vi"")"),"Đấu giá&gt; cuốn sách, tạp chí&gt; máy tính và internet&gt; phần cứng&gt; CPU")</f>
        <v>Đấu giá&gt; cuốn sách, tạp chí&gt; máy tính và internet&gt; phần cứng&gt; CPU</v>
      </c>
      <c r="F375" t="str">
        <f t="shared" ca="1" si="5"/>
        <v>"2084008807" : "CPU",</v>
      </c>
    </row>
    <row r="376" spans="1:6" ht="15.75" customHeight="1">
      <c r="A376" s="12">
        <v>2084258235</v>
      </c>
      <c r="B376" s="12" t="s">
        <v>3591</v>
      </c>
      <c r="C376" s="12" t="s">
        <v>3593</v>
      </c>
      <c r="D376" s="5" t="str">
        <f ca="1">IFERROR(__xludf.DUMMYFUNCTION("GOOGLETRANSLATE(B377,""ja"",""vi"")"),"iPhone")</f>
        <v>iPhone</v>
      </c>
      <c r="E376" s="4" t="str">
        <f ca="1">IFERROR(__xludf.DUMMYFUNCTION("GOOGLETRANSLATE(C377,""ja"",""vi"")"),"Đấu giá&gt; cuốn sách, tạp chí&gt; máy tính và internet&gt; phần cứng&gt; iPhone")</f>
        <v>Đấu giá&gt; cuốn sách, tạp chí&gt; máy tính và internet&gt; phần cứng&gt; iPhone</v>
      </c>
      <c r="F376" t="str">
        <f t="shared" ca="1" si="5"/>
        <v>"2084258235" : "iPhone",</v>
      </c>
    </row>
    <row r="377" spans="1:6" ht="15.75" customHeight="1">
      <c r="A377" s="12">
        <v>2084008808</v>
      </c>
      <c r="B377" s="12" t="s">
        <v>3596</v>
      </c>
      <c r="C377" s="12" t="s">
        <v>3598</v>
      </c>
      <c r="D377" s="5" t="str">
        <f ca="1">IFERROR(__xludf.DUMMYFUNCTION("GOOGLETRANSLATE(B378,""ja"",""vi"")"),"i-mode, điện thoại di động")</f>
        <v>i-mode, điện thoại di động</v>
      </c>
      <c r="E377" s="4" t="str">
        <f ca="1">IFERROR(__xludf.DUMMYFUNCTION("GOOGLETRANSLATE(C378,""ja"",""vi"")"),"Đấu giá&gt; cuốn sách, tạp chí&gt; máy tính và internet&gt; phần cứng&gt; i-mode, điện thoại di động")</f>
        <v>Đấu giá&gt; cuốn sách, tạp chí&gt; máy tính và internet&gt; phần cứng&gt; i-mode, điện thoại di động</v>
      </c>
      <c r="F377" t="str">
        <f t="shared" ca="1" si="5"/>
        <v>"2084008808" : "i-mode, điện thoại di động",</v>
      </c>
    </row>
    <row r="378" spans="1:6" ht="15.75" customHeight="1">
      <c r="A378" s="12">
        <v>2084008806</v>
      </c>
      <c r="B378" s="12" t="s">
        <v>3601</v>
      </c>
      <c r="C378" s="12" t="s">
        <v>3602</v>
      </c>
      <c r="D378" s="5" t="str">
        <f ca="1">IFERROR(__xludf.DUMMYFUNCTION("GOOGLETRANSLATE(B379,""ja"",""vi"")"),"máy ảnh kỹ thuật số, xử lý ảnh")</f>
        <v>máy ảnh kỹ thuật số, xử lý ảnh</v>
      </c>
      <c r="E378" s="4" t="str">
        <f ca="1">IFERROR(__xludf.DUMMYFUNCTION("GOOGLETRANSLATE(C379,""ja"",""vi"")"),"Đấu giá&gt; cuốn sách, tạp chí&gt; máy tính và internet&gt; phần cứng&gt; máy ảnh kỹ thuật số, xử lý ảnh")</f>
        <v>Đấu giá&gt; cuốn sách, tạp chí&gt; máy tính và internet&gt; phần cứng&gt; máy ảnh kỹ thuật số, xử lý ảnh</v>
      </c>
      <c r="F378" t="str">
        <f t="shared" ca="1" si="5"/>
        <v>"2084008806" : "máy ảnh kỹ thuật số, xử lý ảnh",</v>
      </c>
    </row>
    <row r="379" spans="1:6" ht="15.75" customHeight="1">
      <c r="A379" s="12">
        <v>2084008803</v>
      </c>
      <c r="B379" s="12" t="s">
        <v>3609</v>
      </c>
      <c r="C379" s="12" t="s">
        <v>3611</v>
      </c>
      <c r="D379" s="5" t="str">
        <f ca="1">IFERROR(__xludf.DUMMYFUNCTION("GOOGLETRANSLATE(B380,""ja"",""vi"")"),"PC")</f>
        <v>PC</v>
      </c>
      <c r="E379" s="4" t="str">
        <f ca="1">IFERROR(__xludf.DUMMYFUNCTION("GOOGLETRANSLATE(C380,""ja"",""vi"")"),"Đấu giá&gt; cuốn sách, tạp chí&gt; máy tính và internet&gt; phần cứng&gt; PC")</f>
        <v>Đấu giá&gt; cuốn sách, tạp chí&gt; máy tính và internet&gt; phần cứng&gt; PC</v>
      </c>
      <c r="F379" t="str">
        <f t="shared" ca="1" si="5"/>
        <v>"2084008803" : "PC",</v>
      </c>
    </row>
    <row r="380" spans="1:6" ht="15.75" customHeight="1">
      <c r="A380" s="12">
        <v>2084008805</v>
      </c>
      <c r="B380" s="12" t="s">
        <v>3617</v>
      </c>
      <c r="C380" s="12" t="s">
        <v>3619</v>
      </c>
      <c r="D380" s="5" t="str">
        <f ca="1">IFERROR(__xludf.DUMMYFUNCTION("GOOGLETRANSLATE(B381,""ja"",""vi"")"),"thiết bị di động")</f>
        <v>thiết bị di động</v>
      </c>
      <c r="E380" s="4" t="str">
        <f ca="1">IFERROR(__xludf.DUMMYFUNCTION("GOOGLETRANSLATE(C381,""ja"",""vi"")"),"Đấu giá&gt; cuốn sách, tạp chí&gt; máy tính và internet&gt; phần cứng&gt; Thiết bị di động")</f>
        <v>Đấu giá&gt; cuốn sách, tạp chí&gt; máy tính và internet&gt; phần cứng&gt; Thiết bị di động</v>
      </c>
      <c r="F380" t="str">
        <f t="shared" ca="1" si="5"/>
        <v>"2084008805" : "thiết bị di động",</v>
      </c>
    </row>
    <row r="381" spans="1:6" ht="15.75" customHeight="1">
      <c r="A381" s="12">
        <v>2084008804</v>
      </c>
      <c r="B381" s="12" t="s">
        <v>3625</v>
      </c>
      <c r="C381" s="12" t="s">
        <v>3626</v>
      </c>
      <c r="D381" s="5" t="str">
        <f ca="1">IFERROR(__xludf.DUMMYFUNCTION("GOOGLETRANSLATE(B382,""ja"",""vi"")"),"Thiết bị ngoại vi, thiết bị lưu trữ")</f>
        <v>Thiết bị ngoại vi, thiết bị lưu trữ</v>
      </c>
      <c r="E381" s="4" t="str">
        <f ca="1">IFERROR(__xludf.DUMMYFUNCTION("GOOGLETRANSLATE(C382,""ja"",""vi"")"),"Đấu giá&gt; cuốn sách, tạp chí&gt; máy tính và internet&gt; phần cứng&gt; thiết bị ngoại vi, thiết bị lưu trữ")</f>
        <v>Đấu giá&gt; cuốn sách, tạp chí&gt; máy tính và internet&gt; phần cứng&gt; thiết bị ngoại vi, thiết bị lưu trữ</v>
      </c>
      <c r="F381" t="str">
        <f t="shared" ca="1" si="5"/>
        <v>"2084008804" : "Thiết bị ngoại vi, thiết bị lưu trữ",</v>
      </c>
    </row>
    <row r="382" spans="1:6" ht="15.75" customHeight="1">
      <c r="A382" s="12">
        <v>2084008820</v>
      </c>
      <c r="B382" s="12" t="s">
        <v>3632</v>
      </c>
      <c r="C382" s="12" t="s">
        <v>3634</v>
      </c>
      <c r="D382" s="5" t="str">
        <f ca="1">IFERROR(__xludf.DUMMYFUNCTION("GOOGLETRANSLATE(B383,""ja"",""vi"")"),"căn bản")</f>
        <v>căn bản</v>
      </c>
      <c r="E382" s="4" t="str">
        <f ca="1">IFERROR(__xludf.DUMMYFUNCTION("GOOGLETRANSLATE(C383,""ja"",""vi"")"),"Đấu giá&gt; cuốn sách, tạp chí&gt; máy tính và internet&gt; Ngôn ngữ&gt; Basic")</f>
        <v>Đấu giá&gt; cuốn sách, tạp chí&gt; máy tính và internet&gt; Ngôn ngữ&gt; Basic</v>
      </c>
      <c r="F382" t="str">
        <f t="shared" ca="1" si="5"/>
        <v>"2084008820" : "căn bản",</v>
      </c>
    </row>
    <row r="383" spans="1:6" ht="15.75" customHeight="1">
      <c r="A383" s="12">
        <v>2084008818</v>
      </c>
      <c r="B383" s="12" t="s">
        <v>3639</v>
      </c>
      <c r="C383" s="12" t="s">
        <v>3641</v>
      </c>
      <c r="D383" s="5" t="str">
        <f ca="1">IFERROR(__xludf.DUMMYFUNCTION("GOOGLETRANSLATE(B384,""ja"",""vi"")"),"C / C ++")</f>
        <v>C / C ++</v>
      </c>
      <c r="E383" s="4" t="str">
        <f ca="1">IFERROR(__xludf.DUMMYFUNCTION("GOOGLETRANSLATE(C384,""ja"",""vi"")"),"Đấu giá&gt; cuốn sách, tạp chí&gt; máy tính và internet&gt; Ngôn ngữ&gt; C / C ++")</f>
        <v>Đấu giá&gt; cuốn sách, tạp chí&gt; máy tính và internet&gt; Ngôn ngữ&gt; C / C ++</v>
      </c>
      <c r="F383" t="str">
        <f t="shared" ca="1" si="5"/>
        <v>"2084008818" : "C / C ++",</v>
      </c>
    </row>
    <row r="384" spans="1:6" ht="15.75" customHeight="1">
      <c r="A384" s="12">
        <v>2084008978</v>
      </c>
      <c r="B384" s="12" t="s">
        <v>3645</v>
      </c>
      <c r="C384" s="12" t="s">
        <v>3647</v>
      </c>
      <c r="D384" s="5" t="str">
        <f ca="1">IFERROR(__xludf.DUMMYFUNCTION("GOOGLETRANSLATE(B385,""ja"",""vi"")"),"COBOL")</f>
        <v>COBOL</v>
      </c>
      <c r="E384" s="4" t="str">
        <f ca="1">IFERROR(__xludf.DUMMYFUNCTION("GOOGLETRANSLATE(C385,""ja"",""vi"")"),"Đấu giá&gt; cuốn sách, tạp chí&gt; máy tính và internet&gt; Ngôn ngữ&gt; COBOL")</f>
        <v>Đấu giá&gt; cuốn sách, tạp chí&gt; máy tính và internet&gt; Ngôn ngữ&gt; COBOL</v>
      </c>
      <c r="F384" t="str">
        <f t="shared" ca="1" si="5"/>
        <v>"2084008978" : "COBOL",</v>
      </c>
    </row>
    <row r="385" spans="1:6" ht="15.75" customHeight="1">
      <c r="A385" s="12">
        <v>2084008824</v>
      </c>
      <c r="B385" s="12" t="s">
        <v>3652</v>
      </c>
      <c r="C385" s="12" t="s">
        <v>3653</v>
      </c>
      <c r="D385" s="5" t="str">
        <f ca="1">IFERROR(__xludf.DUMMYFUNCTION("GOOGLETRANSLATE(B386,""ja"",""vi"")"),"Delphi")</f>
        <v>Delphi</v>
      </c>
      <c r="E385" s="4" t="str">
        <f ca="1">IFERROR(__xludf.DUMMYFUNCTION("GOOGLETRANSLATE(C386,""ja"",""vi"")"),"Đấu giá&gt; cuốn sách, tạp chí&gt; máy tính và internet&gt; Ngôn ngữ&gt; Delphi")</f>
        <v>Đấu giá&gt; cuốn sách, tạp chí&gt; máy tính và internet&gt; Ngôn ngữ&gt; Delphi</v>
      </c>
      <c r="F385" t="str">
        <f t="shared" ca="1" si="5"/>
        <v>"2084008824" : "Delphi",</v>
      </c>
    </row>
    <row r="386" spans="1:6" ht="15.75" customHeight="1">
      <c r="A386" s="12">
        <v>2084008822</v>
      </c>
      <c r="B386" s="12" t="s">
        <v>3658</v>
      </c>
      <c r="C386" s="12" t="s">
        <v>3659</v>
      </c>
      <c r="D386" s="5" t="str">
        <f ca="1">IFERROR(__xludf.DUMMYFUNCTION("GOOGLETRANSLATE(B387,""ja"",""vi"")"),"FORTRAN")</f>
        <v>FORTRAN</v>
      </c>
      <c r="E386" s="4" t="str">
        <f ca="1">IFERROR(__xludf.DUMMYFUNCTION("GOOGLETRANSLATE(C387,""ja"",""vi"")"),"Đấu giá&gt; cuốn sách, tạp chí&gt; máy tính và internet&gt; Ngôn ngữ&gt; FORTRAN")</f>
        <v>Đấu giá&gt; cuốn sách, tạp chí&gt; máy tính và internet&gt; Ngôn ngữ&gt; FORTRAN</v>
      </c>
      <c r="F386" t="str">
        <f t="shared" ref="F386:F397" ca="1" si="6">CONCATENATE(CHAR(34)&amp;"",A386,""&amp;CHAR(34)," : ", CHAR(34)&amp;"",D386,""&amp;CHAR(34),",")</f>
        <v>"2084008822" : "FORTRAN",</v>
      </c>
    </row>
    <row r="387" spans="1:6" ht="15.75" customHeight="1">
      <c r="A387" s="12">
        <v>2084008853</v>
      </c>
      <c r="B387" s="12" t="s">
        <v>3476</v>
      </c>
      <c r="C387" s="12" t="s">
        <v>3664</v>
      </c>
      <c r="D387" s="5" t="str">
        <f ca="1">IFERROR(__xludf.DUMMYFUNCTION("GOOGLETRANSLATE(B388,""ja"",""vi"")"),"JAVA")</f>
        <v>JAVA</v>
      </c>
      <c r="E387" s="4" t="str">
        <f ca="1">IFERROR(__xludf.DUMMYFUNCTION("GOOGLETRANSLATE(C388,""ja"",""vi"")"),"Đấu giá&gt; cuốn sách, tạp chí&gt; máy tính và internet&gt; Ngôn ngữ&gt; JAVA")</f>
        <v>Đấu giá&gt; cuốn sách, tạp chí&gt; máy tính và internet&gt; Ngôn ngữ&gt; JAVA</v>
      </c>
      <c r="F387" t="str">
        <f t="shared" ca="1" si="6"/>
        <v>"2084008853" : "JAVA",</v>
      </c>
    </row>
    <row r="388" spans="1:6" ht="15.75" customHeight="1">
      <c r="A388" s="12">
        <v>2084008821</v>
      </c>
      <c r="B388" s="12" t="s">
        <v>3670</v>
      </c>
      <c r="C388" s="12" t="s">
        <v>3671</v>
      </c>
      <c r="D388" s="5" t="str">
        <f ca="1">IFERROR(__xludf.DUMMYFUNCTION("GOOGLETRANSLATE(B389,""ja"",""vi"")"),"visual Basic")</f>
        <v>visual Basic</v>
      </c>
      <c r="E388" s="4" t="str">
        <f ca="1">IFERROR(__xludf.DUMMYFUNCTION("GOOGLETRANSLATE(C389,""ja"",""vi"")"),"Đấu giá&gt; cuốn sách, tạp chí&gt; máy tính và internet&gt; Ngôn ngữ&gt; Visual Basic")</f>
        <v>Đấu giá&gt; cuốn sách, tạp chí&gt; máy tính và internet&gt; Ngôn ngữ&gt; Visual Basic</v>
      </c>
      <c r="F388" t="str">
        <f t="shared" ca="1" si="6"/>
        <v>"2084008821" : "visual Basic",</v>
      </c>
    </row>
    <row r="389" spans="1:6" ht="15.75" customHeight="1">
      <c r="A389" s="12">
        <v>2084008819</v>
      </c>
      <c r="B389" s="12" t="s">
        <v>3677</v>
      </c>
      <c r="C389" s="12" t="s">
        <v>3678</v>
      </c>
      <c r="D389" s="5" t="str">
        <f ca="1">IFERROR(__xludf.DUMMYFUNCTION("GOOGLETRANSLATE(B390,""ja"",""vi"")"),"visual C ++")</f>
        <v>visual C ++</v>
      </c>
      <c r="E389" s="4" t="str">
        <f ca="1">IFERROR(__xludf.DUMMYFUNCTION("GOOGLETRANSLATE(C390,""ja"",""vi"")"),"Đấu giá&gt; cuốn sách, tạp chí&gt; máy tính và internet&gt; Ngôn ngữ&gt; visual C ++")</f>
        <v>Đấu giá&gt; cuốn sách, tạp chí&gt; máy tính và internet&gt; Ngôn ngữ&gt; visual C ++</v>
      </c>
      <c r="F389" t="str">
        <f t="shared" ca="1" si="6"/>
        <v>"2084008819" : "visual C ++",</v>
      </c>
    </row>
    <row r="390" spans="1:6" ht="15.75" customHeight="1">
      <c r="A390" s="12">
        <v>2084008823</v>
      </c>
      <c r="B390" s="12" t="s">
        <v>3683</v>
      </c>
      <c r="C390" s="12" t="s">
        <v>3684</v>
      </c>
      <c r="D390" s="5" t="str">
        <f ca="1">IFERROR(__xludf.DUMMYFUNCTION("GOOGLETRANSLATE(B391,""ja"",""vi"")"),"assembler")</f>
        <v>assembler</v>
      </c>
      <c r="E390" s="4" t="str">
        <f ca="1">IFERROR(__xludf.DUMMYFUNCTION("GOOGLETRANSLATE(C391,""ja"",""vi"")"),"Đấu giá&gt; cuốn sách, tạp chí&gt; máy tính và internet&gt; Ngôn ngữ&gt; lắp ráp")</f>
        <v>Đấu giá&gt; cuốn sách, tạp chí&gt; máy tính và internet&gt; Ngôn ngữ&gt; lắp ráp</v>
      </c>
      <c r="F390" t="str">
        <f t="shared" ca="1" si="6"/>
        <v>"2084008823" : "assembler",</v>
      </c>
    </row>
    <row r="391" spans="1:6" ht="15.75" customHeight="1">
      <c r="A391" s="12">
        <v>2084008825</v>
      </c>
      <c r="B391" s="12" t="s">
        <v>46</v>
      </c>
      <c r="C391" s="12" t="s">
        <v>3691</v>
      </c>
      <c r="D391" s="5" t="str">
        <f ca="1">IFERROR(__xludf.DUMMYFUNCTION("GOOGLETRANSLATE(B392,""ja"",""vi"")"),"nếu không thì")</f>
        <v>nếu không thì</v>
      </c>
      <c r="E391" s="4" t="str">
        <f ca="1">IFERROR(__xludf.DUMMYFUNCTION("GOOGLETRANSLATE(C392,""ja"",""vi"")"),"Đấu giá&gt; cuốn sách, tạp chí&gt; máy tính và internet&gt; Ngôn ngữ&gt; Khác")</f>
        <v>Đấu giá&gt; cuốn sách, tạp chí&gt; máy tính và internet&gt; Ngôn ngữ&gt; Khác</v>
      </c>
      <c r="F391" t="str">
        <f t="shared" ca="1" si="6"/>
        <v>"2084008825" : "nếu không thì",</v>
      </c>
    </row>
    <row r="392" spans="1:6" ht="15.75" customHeight="1">
      <c r="A392" s="12">
        <v>2084008024</v>
      </c>
      <c r="B392" s="12" t="s">
        <v>3696</v>
      </c>
      <c r="C392" s="12" t="s">
        <v>3698</v>
      </c>
      <c r="D392" s="5" t="str">
        <f ca="1">IFERROR(__xludf.DUMMYFUNCTION("GOOGLETRANSLATE(B393,""ja"",""vi"")"),"PC chung")</f>
        <v>PC chung</v>
      </c>
      <c r="E392" s="4" t="str">
        <f ca="1">IFERROR(__xludf.DUMMYFUNCTION("GOOGLETRANSLATE(C393,""ja"",""vi"")"),"Đấu giá&gt; cuốn sách, tạp chí&gt; Tạp chí&gt; máy tính và internet&gt; chung máy tính cá nhân")</f>
        <v>Đấu giá&gt; cuốn sách, tạp chí&gt; Tạp chí&gt; máy tính và internet&gt; chung máy tính cá nhân</v>
      </c>
      <c r="F392" t="str">
        <f t="shared" ca="1" si="6"/>
        <v>"2084008024" : "PC chung",</v>
      </c>
    </row>
    <row r="393" spans="1:6" ht="15.75" customHeight="1">
      <c r="A393" s="12">
        <v>2084008026</v>
      </c>
      <c r="B393" s="12" t="s">
        <v>3703</v>
      </c>
      <c r="C393" s="12" t="s">
        <v>3705</v>
      </c>
      <c r="D393" s="5" t="str">
        <f ca="1">IFERROR(__xludf.DUMMYFUNCTION("GOOGLETRANSLATE(B394,""ja"",""vi"")"),"tạp chí Mac")</f>
        <v>tạp chí Mac</v>
      </c>
      <c r="E393" s="4" t="str">
        <f ca="1">IFERROR(__xludf.DUMMYFUNCTION("GOOGLETRANSLATE(C394,""ja"",""vi"")"),"Đấu giá&gt; cuốn sách, tạp chí&gt; Tạp chí&gt; máy tính và internet&gt; Mac tạp chí liên quan")</f>
        <v>Đấu giá&gt; cuốn sách, tạp chí&gt; Tạp chí&gt; máy tính và internet&gt; Mac tạp chí liên quan</v>
      </c>
      <c r="F393" t="str">
        <f t="shared" ca="1" si="6"/>
        <v>"2084008026" : "tạp chí Mac",</v>
      </c>
    </row>
    <row r="394" spans="1:6" ht="15.75" customHeight="1">
      <c r="A394" s="12">
        <v>2084008027</v>
      </c>
      <c r="B394" s="12" t="s">
        <v>3709</v>
      </c>
      <c r="C394" s="12" t="s">
        <v>3712</v>
      </c>
      <c r="D394" s="5" t="str">
        <f ca="1">IFERROR(__xludf.DUMMYFUNCTION("GOOGLETRANSLATE(B395,""ja"",""vi"")"),"tạp chí có liên quan của Windows")</f>
        <v>tạp chí có liên quan của Windows</v>
      </c>
      <c r="E394" s="4" t="str">
        <f ca="1">IFERROR(__xludf.DUMMYFUNCTION("GOOGLETRANSLATE(C395,""ja"",""vi"")"),"Đấu giá&gt; cuốn sách, tạp chí&gt; Tạp chí&gt; máy tính và internet&gt; tạp chí có liên quan của Windows")</f>
        <v>Đấu giá&gt; cuốn sách, tạp chí&gt; Tạp chí&gt; máy tính và internet&gt; tạp chí có liên quan của Windows</v>
      </c>
      <c r="F394" t="str">
        <f t="shared" ca="1" si="6"/>
        <v>"2084008027" : "tạp chí có liên quan của Windows",</v>
      </c>
    </row>
    <row r="395" spans="1:6" ht="15.75" customHeight="1">
      <c r="A395" s="12">
        <v>2084008028</v>
      </c>
      <c r="B395" s="12" t="s">
        <v>3715</v>
      </c>
      <c r="C395" s="12" t="s">
        <v>3718</v>
      </c>
      <c r="D395" s="5" t="str">
        <f ca="1">IFERROR(__xludf.DUMMYFUNCTION("GOOGLETRANSLATE(B396,""ja"",""vi"")"),"Internet, truyền thông")</f>
        <v>Internet, truyền thông</v>
      </c>
      <c r="E395" s="4" t="str">
        <f ca="1">IFERROR(__xludf.DUMMYFUNCTION("GOOGLETRANSLATE(C396,""ja"",""vi"")"),"Đấu giá&gt; cuốn sách, tạp chí&gt; Tạp chí&gt; máy tính và internet&gt; Internet, thông tin liên lạc")</f>
        <v>Đấu giá&gt; cuốn sách, tạp chí&gt; Tạp chí&gt; máy tính và internet&gt; Internet, thông tin liên lạc</v>
      </c>
      <c r="F395" t="str">
        <f t="shared" ca="1" si="6"/>
        <v>"2084008028" : "Internet, truyền thông",</v>
      </c>
    </row>
    <row r="396" spans="1:6" ht="15.75" customHeight="1">
      <c r="A396" s="12">
        <v>2084008029</v>
      </c>
      <c r="B396" s="12" t="s">
        <v>3722</v>
      </c>
      <c r="C396" s="12" t="s">
        <v>3724</v>
      </c>
      <c r="D396" s="5" t="str">
        <f ca="1">IFERROR(__xludf.DUMMYFUNCTION("GOOGLETRANSLATE(B397,""ja"",""vi"")"),"nhạc máy tính, DTM")</f>
        <v>nhạc máy tính, DTM</v>
      </c>
      <c r="E396" s="4" t="str">
        <f ca="1">IFERROR(__xludf.DUMMYFUNCTION("GOOGLETRANSLATE(C397,""ja"",""vi"")"),"Đấu giá&gt; cuốn sách, tạp chí&gt; Tạp chí&gt; máy tính và internet&gt; nhạc máy tính, DTM")</f>
        <v>Đấu giá&gt; cuốn sách, tạp chí&gt; Tạp chí&gt; máy tính và internet&gt; nhạc máy tính, DTM</v>
      </c>
      <c r="F396" t="str">
        <f t="shared" ca="1" si="6"/>
        <v>"2084008029" : "nhạc máy tính, DTM",</v>
      </c>
    </row>
    <row r="397" spans="1:6" ht="15.75" customHeight="1">
      <c r="A397" s="12">
        <v>2084008025</v>
      </c>
      <c r="B397" s="12" t="s">
        <v>3728</v>
      </c>
      <c r="C397" s="12" t="s">
        <v>3730</v>
      </c>
      <c r="D397" s="5" t="str">
        <f ca="1">IFERROR(__xludf.DUMMYFUNCTION("GOOGLETRANSLATE(B398,""ja"",""vi"")"),"PC Games")</f>
        <v>PC Games</v>
      </c>
      <c r="E397" s="4" t="str">
        <f ca="1">IFERROR(__xludf.DUMMYFUNCTION("GOOGLETRANSLATE(C398,""ja"",""vi"")"),"Đấu giá&gt; cuốn sách, tạp chí&gt; Tạp chí&gt; máy tính và internet&gt; trò chơi máy tính cá nhân")</f>
        <v>Đấu giá&gt; cuốn sách, tạp chí&gt; Tạp chí&gt; máy tính và internet&gt; trò chơi máy tính cá nhân</v>
      </c>
      <c r="F397" t="str">
        <f t="shared" ca="1" si="6"/>
        <v>"2084008025" : "PC Games",</v>
      </c>
    </row>
    <row r="398" spans="1:6" ht="15.75" customHeight="1"/>
    <row r="399" spans="1:6" ht="15.75" customHeight="1"/>
    <row r="400" spans="1:6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8"/>
  <sheetViews>
    <sheetView workbookViewId="0">
      <selection activeCell="F1" sqref="F1"/>
    </sheetView>
  </sheetViews>
  <sheetFormatPr defaultColWidth="12.59765625" defaultRowHeight="15" customHeight="1"/>
  <cols>
    <col min="1" max="1" width="10.09765625" customWidth="1"/>
    <col min="2" max="2" width="12.8984375" customWidth="1"/>
    <col min="3" max="3" width="40.3984375" customWidth="1"/>
    <col min="4" max="4" width="7.59765625" customWidth="1"/>
    <col min="5" max="5" width="72.8984375" customWidth="1"/>
    <col min="6" max="26" width="7.59765625" customWidth="1"/>
  </cols>
  <sheetData>
    <row r="1" spans="1:6" ht="21.6">
      <c r="A1" s="14">
        <v>2084232179</v>
      </c>
      <c r="B1" s="14" t="s">
        <v>2105</v>
      </c>
      <c r="C1" s="14" t="s">
        <v>2108</v>
      </c>
      <c r="D1" s="5" t="str">
        <f ca="1">IFERROR(__xludf.DUMMYFUNCTION("GOOGLETRANSLATE(B1,""ja"",""vi"")"),"60 inches -")</f>
        <v>60 inches -</v>
      </c>
      <c r="E1" s="4" t="str">
        <f ca="1">IFERROR(__xludf.DUMMYFUNCTION("GOOGLETRANSLATE(C1,""ja"",""vi"")"),"Đấu giá&gt; thiết bị điện tử tiêu dùng, AV, máy ảnh&gt; Thiết bị hình ảnh&gt; TV&gt; 60 inches -")</f>
        <v>Đấu giá&gt; thiết bị điện tử tiêu dùng, AV, máy ảnh&gt; Thiết bị hình ảnh&gt; TV&gt; 60 inches -</v>
      </c>
      <c r="F1" t="str">
        <f ca="1">CONCATENATE(CHAR(34)&amp;"",A1,""&amp;CHAR(34)," : ", CHAR(34)&amp;"",D1,""&amp;CHAR(34),",")</f>
        <v>"2084232179" : "60 inches -",</v>
      </c>
    </row>
    <row r="2" spans="1:6" ht="21.6">
      <c r="A2" s="14">
        <v>2084231835</v>
      </c>
      <c r="B2" s="14" t="s">
        <v>2114</v>
      </c>
      <c r="C2" s="14" t="s">
        <v>2117</v>
      </c>
      <c r="D2" s="5" t="str">
        <f ca="1">IFERROR(__xludf.DUMMYFUNCTION("GOOGLETRANSLATE(B2,""ja"",""vi"")"),"50 inches -")</f>
        <v>50 inches -</v>
      </c>
      <c r="E2" s="4" t="str">
        <f ca="1">IFERROR(__xludf.DUMMYFUNCTION("GOOGLETRANSLATE(C2,""ja"",""vi"")"),"Đấu giá&gt; thiết bị điện tử tiêu dùng, AV, máy ảnh&gt; Thiết bị hình ảnh&gt; TV của&gt; 50 inch đến")</f>
        <v>Đấu giá&gt; thiết bị điện tử tiêu dùng, AV, máy ảnh&gt; Thiết bị hình ảnh&gt; TV của&gt; 50 inch đến</v>
      </c>
      <c r="F2" t="str">
        <f t="shared" ref="F2:F65" ca="1" si="0">CONCATENATE(CHAR(34)&amp;"",A2,""&amp;CHAR(34)," : ", CHAR(34)&amp;"",D2,""&amp;CHAR(34),",")</f>
        <v>"2084231835" : "50 inches -",</v>
      </c>
    </row>
    <row r="3" spans="1:6" ht="21.6">
      <c r="A3" s="14">
        <v>2084219564</v>
      </c>
      <c r="B3" s="14" t="s">
        <v>2123</v>
      </c>
      <c r="C3" s="14" t="s">
        <v>2124</v>
      </c>
      <c r="D3" s="5" t="str">
        <f ca="1">IFERROR(__xludf.DUMMYFUNCTION("GOOGLETRANSLATE(B3,""ja"",""vi"")"),"40 inch ~")</f>
        <v>40 inch ~</v>
      </c>
      <c r="E3" s="4" t="str">
        <f ca="1">IFERROR(__xludf.DUMMYFUNCTION("GOOGLETRANSLATE(C3,""ja"",""vi"")"),"Đấu giá&gt; thiết bị điện tử tiêu dùng, AV, máy ảnh&gt; Thiết bị hình ảnh&gt; TV&gt; 40 inches -")</f>
        <v>Đấu giá&gt; thiết bị điện tử tiêu dùng, AV, máy ảnh&gt; Thiết bị hình ảnh&gt; TV&gt; 40 inches -</v>
      </c>
      <c r="F3" t="str">
        <f t="shared" ca="1" si="0"/>
        <v>"2084219564" : "40 inch ~",</v>
      </c>
    </row>
    <row r="4" spans="1:6" ht="21.6">
      <c r="A4" s="14">
        <v>2084219563</v>
      </c>
      <c r="B4" s="14" t="s">
        <v>2129</v>
      </c>
      <c r="C4" s="14" t="s">
        <v>2131</v>
      </c>
      <c r="D4" s="5" t="str">
        <f ca="1">IFERROR(__xludf.DUMMYFUNCTION("GOOGLETRANSLATE(B4,""ja"",""vi"")"),"37 inch ~")</f>
        <v>37 inch ~</v>
      </c>
      <c r="E4" s="4" t="str">
        <f ca="1">IFERROR(__xludf.DUMMYFUNCTION("GOOGLETRANSLATE(C4,""ja"",""vi"")"),"Đấu giá&gt; thiết bị điện tử tiêu dùng, AV, máy ảnh&gt; Thiết bị hình ảnh&gt; TV&gt; 37 inches -")</f>
        <v>Đấu giá&gt; thiết bị điện tử tiêu dùng, AV, máy ảnh&gt; Thiết bị hình ảnh&gt; TV&gt; 37 inches -</v>
      </c>
      <c r="F4" t="str">
        <f t="shared" ca="1" si="0"/>
        <v>"2084219563" : "37 inch ~",</v>
      </c>
    </row>
    <row r="5" spans="1:6" ht="21.6">
      <c r="A5" s="14">
        <v>2084219562</v>
      </c>
      <c r="B5" s="14" t="s">
        <v>2135</v>
      </c>
      <c r="C5" s="14" t="s">
        <v>2137</v>
      </c>
      <c r="D5" s="5" t="str">
        <f ca="1">IFERROR(__xludf.DUMMYFUNCTION("GOOGLETRANSLATE(B5,""ja"",""vi"")"),"32 inch ~")</f>
        <v>32 inch ~</v>
      </c>
      <c r="E5" s="4" t="str">
        <f ca="1">IFERROR(__xludf.DUMMYFUNCTION("GOOGLETRANSLATE(C5,""ja"",""vi"")"),"Đấu giá&gt; thiết bị điện tử tiêu dùng, AV, máy ảnh&gt; Thiết bị hình ảnh&gt; TV&gt; 32 inches -")</f>
        <v>Đấu giá&gt; thiết bị điện tử tiêu dùng, AV, máy ảnh&gt; Thiết bị hình ảnh&gt; TV&gt; 32 inches -</v>
      </c>
      <c r="F5" t="str">
        <f t="shared" ca="1" si="0"/>
        <v>"2084219562" : "32 inch ~",</v>
      </c>
    </row>
    <row r="6" spans="1:6" ht="21.6">
      <c r="A6" s="14">
        <v>2084018956</v>
      </c>
      <c r="B6" s="14" t="s">
        <v>2140</v>
      </c>
      <c r="C6" s="14" t="s">
        <v>2142</v>
      </c>
      <c r="D6" s="5" t="str">
        <f ca="1">IFERROR(__xludf.DUMMYFUNCTION("GOOGLETRANSLATE(B6,""ja"",""vi"")"),"25 inch ~")</f>
        <v>25 inch ~</v>
      </c>
      <c r="E6" s="4" t="str">
        <f ca="1">IFERROR(__xludf.DUMMYFUNCTION("GOOGLETRANSLATE(C6,""ja"",""vi"")"),"Đấu giá&gt; thiết bị điện tử tiêu dùng, AV, máy ảnh&gt; Thiết bị hình ảnh&gt; TV&gt; 25 inches -")</f>
        <v>Đấu giá&gt; thiết bị điện tử tiêu dùng, AV, máy ảnh&gt; Thiết bị hình ảnh&gt; TV&gt; 25 inches -</v>
      </c>
      <c r="F6" t="str">
        <f t="shared" ca="1" si="0"/>
        <v>"2084018956" : "25 inch ~",</v>
      </c>
    </row>
    <row r="7" spans="1:6" ht="21.6">
      <c r="A7" s="14">
        <v>2084018955</v>
      </c>
      <c r="B7" s="14" t="s">
        <v>2146</v>
      </c>
      <c r="C7" s="14" t="s">
        <v>2147</v>
      </c>
      <c r="D7" s="5" t="str">
        <f ca="1">IFERROR(__xludf.DUMMYFUNCTION("GOOGLETRANSLATE(B7,""ja"",""vi"")"),"15 inch ~")</f>
        <v>15 inch ~</v>
      </c>
      <c r="E7" s="4" t="str">
        <f ca="1">IFERROR(__xludf.DUMMYFUNCTION("GOOGLETRANSLATE(C7,""ja"",""vi"")"),"Đấu giá&gt; thiết bị điện tử tiêu dùng, AV, máy ảnh&gt; Thiết bị hình ảnh&gt; TV&gt; 15 inches -")</f>
        <v>Đấu giá&gt; thiết bị điện tử tiêu dùng, AV, máy ảnh&gt; Thiết bị hình ảnh&gt; TV&gt; 15 inches -</v>
      </c>
      <c r="F7" t="str">
        <f t="shared" ca="1" si="0"/>
        <v>"2084018955" : "15 inch ~",</v>
      </c>
    </row>
    <row r="8" spans="1:6" ht="21.6">
      <c r="A8" s="14">
        <v>2084018954</v>
      </c>
      <c r="B8" s="14" t="s">
        <v>2150</v>
      </c>
      <c r="C8" s="14" t="s">
        <v>2152</v>
      </c>
      <c r="D8" s="5" t="str">
        <f ca="1">IFERROR(__xludf.DUMMYFUNCTION("GOOGLETRANSLATE(B8,""ja"",""vi"")"),"14 inch hoặc nhỏ hơn")</f>
        <v>14 inch hoặc nhỏ hơn</v>
      </c>
      <c r="E8" s="4" t="str">
        <f ca="1">IFERROR(__xludf.DUMMYFUNCTION("GOOGLETRANSLATE(C8,""ja"",""vi"")"),"Đấu giá&gt; thiết bị điện tử tiêu dùng, AV, máy ảnh&gt; Thiết bị hình ảnh&gt; TV&gt; 14 inch hoặc nhỏ hơn")</f>
        <v>Đấu giá&gt; thiết bị điện tử tiêu dùng, AV, máy ảnh&gt; Thiết bị hình ảnh&gt; TV&gt; 14 inch hoặc nhỏ hơn</v>
      </c>
      <c r="F8" t="str">
        <f t="shared" ca="1" si="0"/>
        <v>"2084018954" : "14 inch hoặc nhỏ hơn",</v>
      </c>
    </row>
    <row r="9" spans="1:6" ht="21.6">
      <c r="A9" s="14">
        <v>2084018957</v>
      </c>
      <c r="B9" s="14" t="s">
        <v>2155</v>
      </c>
      <c r="C9" s="14" t="s">
        <v>2156</v>
      </c>
      <c r="D9" s="5" t="str">
        <f ca="1">IFERROR(__xludf.DUMMYFUNCTION("GOOGLETRANSLATE(B9,""ja"",""vi"")"),"Video được xây dựng-in TV")</f>
        <v>Video được xây dựng-in TV</v>
      </c>
      <c r="E9" s="4" t="str">
        <f ca="1">IFERROR(__xludf.DUMMYFUNCTION("GOOGLETRANSLATE(C9,""ja"",""vi"")"),"Đấu giá&gt; thiết bị điện tử tiêu dùng, AV, máy ảnh&gt; Thiết bị hình ảnh&gt; TV&gt; Video built-in TV")</f>
        <v>Đấu giá&gt; thiết bị điện tử tiêu dùng, AV, máy ảnh&gt; Thiết bị hình ảnh&gt; TV&gt; Video built-in TV</v>
      </c>
      <c r="F9" t="str">
        <f t="shared" ca="1" si="0"/>
        <v>"2084018957" : "Video được xây dựng-in TV",</v>
      </c>
    </row>
    <row r="10" spans="1:6" ht="21.6">
      <c r="A10" s="14">
        <v>23896</v>
      </c>
      <c r="B10" s="14" t="s">
        <v>2161</v>
      </c>
      <c r="C10" s="14" t="s">
        <v>2164</v>
      </c>
      <c r="D10" s="5" t="str">
        <f ca="1">IFERROR(__xludf.DUMMYFUNCTION("GOOGLETRANSLATE(B10,""ja"",""vi"")"),"TV di động")</f>
        <v>TV di động</v>
      </c>
      <c r="E10" s="4" t="str">
        <f ca="1">IFERROR(__xludf.DUMMYFUNCTION("GOOGLETRANSLATE(C10,""ja"",""vi"")"),"Đấu giá&gt; thiết bị điện tử tiêu dùng, AV, máy ảnh&gt; Thiết bị hình ảnh&gt; TV&gt; Thiết bị truyền hình")</f>
        <v>Đấu giá&gt; thiết bị điện tử tiêu dùng, AV, máy ảnh&gt; Thiết bị hình ảnh&gt; TV&gt; Thiết bị truyền hình</v>
      </c>
      <c r="F10" t="str">
        <f t="shared" ca="1" si="0"/>
        <v>"23896" : "TV di động",</v>
      </c>
    </row>
    <row r="11" spans="1:6" ht="21.6">
      <c r="A11" s="14">
        <v>2084018964</v>
      </c>
      <c r="B11" s="14" t="s">
        <v>2167</v>
      </c>
      <c r="C11" s="14" t="s">
        <v>2168</v>
      </c>
      <c r="D11" s="5" t="str">
        <f ca="1">IFERROR(__xludf.DUMMYFUNCTION("GOOGLETRANSLATE(B11,""ja"",""vi"")"),"Antenna")</f>
        <v>Antenna</v>
      </c>
      <c r="E11" s="4" t="str">
        <f ca="1">IFERROR(__xludf.DUMMYFUNCTION("GOOGLETRANSLATE(C11,""ja"",""vi"")"),"Đấu giá&gt; thiết bị điện tử tiêu dùng, AV, máy ảnh&gt; Thiết bị hình ảnh&gt; TV&gt; ăng ten")</f>
        <v>Đấu giá&gt; thiết bị điện tử tiêu dùng, AV, máy ảnh&gt; Thiết bị hình ảnh&gt; TV&gt; ăng ten</v>
      </c>
      <c r="F11" t="str">
        <f t="shared" ca="1" si="0"/>
        <v>"2084018964" : "Antenna",</v>
      </c>
    </row>
    <row r="12" spans="1:6" ht="21.6">
      <c r="A12" s="14">
        <v>2084047099</v>
      </c>
      <c r="B12" s="14" t="s">
        <v>2173</v>
      </c>
      <c r="C12" s="14" t="s">
        <v>2174</v>
      </c>
      <c r="D12" s="5" t="str">
        <f ca="1">IFERROR(__xludf.DUMMYFUNCTION("GOOGLETRANSLATE(B12,""ja"",""vi"")"),"đĩa cứng")</f>
        <v>đĩa cứng</v>
      </c>
      <c r="E12" s="4" t="str">
        <f ca="1">IFERROR(__xludf.DUMMYFUNCTION("GOOGLETRANSLATE(C12,""ja"",""vi"")"),"Đấu giá&gt; thiết bị điện tử tiêu dùng, AV, máy ảnh&gt; Thiết bị hình ảnh&gt; TV&gt; đĩa cứng")</f>
        <v>Đấu giá&gt; thiết bị điện tử tiêu dùng, AV, máy ảnh&gt; Thiết bị hình ảnh&gt; TV&gt; đĩa cứng</v>
      </c>
      <c r="F12" t="str">
        <f t="shared" ca="1" si="0"/>
        <v>"2084047099" : "đĩa cứng",</v>
      </c>
    </row>
    <row r="13" spans="1:6" ht="21.6">
      <c r="A13" s="14">
        <v>2084018961</v>
      </c>
      <c r="B13" s="14" t="s">
        <v>2178</v>
      </c>
      <c r="C13" s="14" t="s">
        <v>2180</v>
      </c>
      <c r="D13" s="5" t="str">
        <f ca="1">IFERROR(__xludf.DUMMYFUNCTION("GOOGLETRANSLATE(B13,""ja"",""vi"")"),"điều khiển từ xa")</f>
        <v>điều khiển từ xa</v>
      </c>
      <c r="E13" s="4" t="str">
        <f ca="1">IFERROR(__xludf.DUMMYFUNCTION("GOOGLETRANSLATE(C13,""ja"",""vi"")"),"Đấu giá&gt; thiết bị điện tử tiêu dùng, AV, máy ảnh&gt; Thiết bị hình ảnh&gt; TV&gt; Remote Control")</f>
        <v>Đấu giá&gt; thiết bị điện tử tiêu dùng, AV, máy ảnh&gt; Thiết bị hình ảnh&gt; TV&gt; Remote Control</v>
      </c>
      <c r="F13" t="str">
        <f t="shared" ca="1" si="0"/>
        <v>"2084018961" : "điều khiển từ xa",</v>
      </c>
    </row>
    <row r="14" spans="1:6" ht="21.6">
      <c r="A14" s="14">
        <v>2084018963</v>
      </c>
      <c r="B14" s="14" t="s">
        <v>2183</v>
      </c>
      <c r="C14" s="14" t="s">
        <v>2184</v>
      </c>
      <c r="D14" s="5" t="str">
        <f ca="1">IFERROR(__xludf.DUMMYFUNCTION("GOOGLETRANSLATE(B14,""ja"",""vi"")"),"máy chiếu")</f>
        <v>máy chiếu</v>
      </c>
      <c r="E14" s="4" t="str">
        <f ca="1">IFERROR(__xludf.DUMMYFUNCTION("GOOGLETRANSLATE(C14,""ja"",""vi"")"),"Đấu giá&gt; thiết bị điện tử tiêu dùng, AV, máy ảnh&gt; Thiết bị hình ảnh&gt; TV&gt; Máy chiếu")</f>
        <v>Đấu giá&gt; thiết bị điện tử tiêu dùng, AV, máy ảnh&gt; Thiết bị hình ảnh&gt; TV&gt; Máy chiếu</v>
      </c>
      <c r="F14" t="str">
        <f t="shared" ca="1" si="0"/>
        <v>"2084018963" : "máy chiếu",</v>
      </c>
    </row>
    <row r="15" spans="1:6" ht="21.6">
      <c r="A15" s="14">
        <v>2084015554</v>
      </c>
      <c r="B15" s="14" t="s">
        <v>2188</v>
      </c>
      <c r="C15" s="14" t="s">
        <v>2189</v>
      </c>
      <c r="D15" s="5" t="str">
        <f ca="1">IFERROR(__xludf.DUMMYFUNCTION("GOOGLETRANSLATE(B15,""ja"",""vi"")"),"Kệ TV gỗ, bảng AV")</f>
        <v>Kệ TV gỗ, bảng AV</v>
      </c>
      <c r="E15" s="4" t="str">
        <f ca="1">IFERROR(__xludf.DUMMYFUNCTION("GOOGLETRANSLATE(C15,""ja"",""vi"")"),"Đấu giá&gt; thiết bị điện tử tiêu dùng, AV, máy ảnh&gt; Thiết bị hình ảnh&gt; TV&gt; TV đứng, Ban AV")</f>
        <v>Đấu giá&gt; thiết bị điện tử tiêu dùng, AV, máy ảnh&gt; Thiết bị hình ảnh&gt; TV&gt; TV đứng, Ban AV</v>
      </c>
      <c r="F15" t="str">
        <f t="shared" ca="1" si="0"/>
        <v>"2084015554" : "Kệ TV gỗ, bảng AV",</v>
      </c>
    </row>
    <row r="16" spans="1:6" ht="21.6">
      <c r="A16" s="14">
        <v>2084018959</v>
      </c>
      <c r="B16" s="14" t="s">
        <v>46</v>
      </c>
      <c r="C16" s="14" t="s">
        <v>2194</v>
      </c>
      <c r="D16" s="5" t="str">
        <f ca="1">IFERROR(__xludf.DUMMYFUNCTION("GOOGLETRANSLATE(B16,""ja"",""vi"")"),"nếu không thì")</f>
        <v>nếu không thì</v>
      </c>
      <c r="E16" s="4" t="str">
        <f ca="1">IFERROR(__xludf.DUMMYFUNCTION("GOOGLETRANSLATE(C16,""ja"",""vi"")"),"Đấu giá&gt; thiết bị điện tử tiêu dùng, AV, máy ảnh&gt; Thiết bị hình ảnh&gt; TV&gt; Khác")</f>
        <v>Đấu giá&gt; thiết bị điện tử tiêu dùng, AV, máy ảnh&gt; Thiết bị hình ảnh&gt; TV&gt; Khác</v>
      </c>
      <c r="F16" t="str">
        <f t="shared" ca="1" si="0"/>
        <v>"2084018959" : "nếu không thì",</v>
      </c>
    </row>
    <row r="17" spans="1:6" ht="21.6">
      <c r="A17" s="14">
        <v>2084221508</v>
      </c>
      <c r="B17" s="14" t="s">
        <v>1678</v>
      </c>
      <c r="C17" s="14" t="s">
        <v>2197</v>
      </c>
      <c r="D17" s="5" t="str">
        <f ca="1">IFERROR(__xludf.DUMMYFUNCTION("GOOGLETRANSLATE(B17,""ja"",""vi"")"),"Một cơ thể")</f>
        <v>Một cơ thể</v>
      </c>
      <c r="E17" s="4" t="str">
        <f ca="1">IFERROR(__xludf.DUMMYFUNCTION("GOOGLETRANSLATE(C17,""ja"",""vi"")"),"Đấu giá&gt; thiết bị điện tử tiêu dùng, AV, máy ảnh&gt; Thiết bị hình ảnh&gt; Máy chiếu&gt; cơ thể")</f>
        <v>Đấu giá&gt; thiết bị điện tử tiêu dùng, AV, máy ảnh&gt; Thiết bị hình ảnh&gt; Máy chiếu&gt; cơ thể</v>
      </c>
      <c r="F17" t="str">
        <f t="shared" ca="1" si="0"/>
        <v>"2084221508" : "Một cơ thể",</v>
      </c>
    </row>
    <row r="18" spans="1:6" ht="21.6">
      <c r="A18" s="14">
        <v>2084221509</v>
      </c>
      <c r="B18" s="14" t="s">
        <v>2202</v>
      </c>
      <c r="C18" s="14" t="s">
        <v>2204</v>
      </c>
      <c r="D18" s="5" t="str">
        <f ca="1">IFERROR(__xludf.DUMMYFUNCTION("GOOGLETRANSLATE(B18,""ja"",""vi"")"),"màn")</f>
        <v>màn</v>
      </c>
      <c r="E18" s="4" t="str">
        <f ca="1">IFERROR(__xludf.DUMMYFUNCTION("GOOGLETRANSLATE(C18,""ja"",""vi"")"),"Đấu giá&gt; thiết bị điện tử tiêu dùng, AV, máy ảnh&gt; Thiết bị hình ảnh&gt; Máy chiếu&gt; Màn hình")</f>
        <v>Đấu giá&gt; thiết bị điện tử tiêu dùng, AV, máy ảnh&gt; Thiết bị hình ảnh&gt; Máy chiếu&gt; Màn hình</v>
      </c>
      <c r="F18" t="str">
        <f t="shared" ca="1" si="0"/>
        <v>"2084221509" : "màn",</v>
      </c>
    </row>
    <row r="19" spans="1:6" ht="21.6">
      <c r="A19" s="14">
        <v>2084221510</v>
      </c>
      <c r="B19" s="14" t="s">
        <v>46</v>
      </c>
      <c r="C19" s="14" t="s">
        <v>2206</v>
      </c>
      <c r="D19" s="5" t="str">
        <f ca="1">IFERROR(__xludf.DUMMYFUNCTION("GOOGLETRANSLATE(B19,""ja"",""vi"")"),"nếu không thì")</f>
        <v>nếu không thì</v>
      </c>
      <c r="E19" s="4" t="str">
        <f ca="1">IFERROR(__xludf.DUMMYFUNCTION("GOOGLETRANSLATE(C19,""ja"",""vi"")"),"Đấu giá&gt; thiết bị điện tử tiêu dùng, AV, máy ảnh&gt; Thiết bị hình ảnh&gt; Máy chiếu&gt; Khác")</f>
        <v>Đấu giá&gt; thiết bị điện tử tiêu dùng, AV, máy ảnh&gt; Thiết bị hình ảnh&gt; Máy chiếu&gt; Khác</v>
      </c>
      <c r="F19" t="str">
        <f t="shared" ca="1" si="0"/>
        <v>"2084221510" : "nếu không thì",</v>
      </c>
    </row>
    <row r="20" spans="1:6" ht="21.6">
      <c r="A20" s="14">
        <v>2084307205</v>
      </c>
      <c r="B20" s="14" t="s">
        <v>2210</v>
      </c>
      <c r="C20" s="14" t="s">
        <v>2211</v>
      </c>
      <c r="D20" s="5" t="str">
        <f ca="1">IFERROR(__xludf.DUMMYFUNCTION("GOOGLETRANSLATE(B20,""ja"",""vi"")"),"DX ăng ten")</f>
        <v>DX ăng ten</v>
      </c>
      <c r="E20" s="4" t="str">
        <f ca="1">IFERROR(__xludf.DUMMYFUNCTION("GOOGLETRANSLATE(C20,""ja"",""vi"")"),"Đấu giá&gt; thiết bị điện tử tiêu dùng, AV, máy ảnh&gt; Thiết bị hình ảnh&gt; Blu-ray ghi&gt; DX ăng ten")</f>
        <v>Đấu giá&gt; thiết bị điện tử tiêu dùng, AV, máy ảnh&gt; Thiết bị hình ảnh&gt; Blu-ray ghi&gt; DX ăng ten</v>
      </c>
      <c r="F20" t="str">
        <f t="shared" ca="1" si="0"/>
        <v>"2084307205" : "DX ăng ten",</v>
      </c>
    </row>
    <row r="21" spans="1:6" ht="15.75" customHeight="1">
      <c r="A21" s="14">
        <v>2084307206</v>
      </c>
      <c r="B21" s="14" t="s">
        <v>1700</v>
      </c>
      <c r="C21" s="14" t="s">
        <v>2214</v>
      </c>
      <c r="D21" s="5" t="str">
        <f ca="1">IFERROR(__xludf.DUMMYFUNCTION("GOOGLETRANSLATE(B21,""ja"",""vi"")"),"LG Electronics")</f>
        <v>LG Electronics</v>
      </c>
      <c r="E21" s="4" t="str">
        <f ca="1">IFERROR(__xludf.DUMMYFUNCTION("GOOGLETRANSLATE(C21,""ja"",""vi"")"),"Đấu giá&gt; thiết bị điện tử tiêu dùng, AV, máy ảnh&gt; Thiết bị hình ảnh&gt; Máy ghi Blu-ray&gt; LG Electronics")</f>
        <v>Đấu giá&gt; thiết bị điện tử tiêu dùng, AV, máy ảnh&gt; Thiết bị hình ảnh&gt; Máy ghi Blu-ray&gt; LG Electronics</v>
      </c>
      <c r="F21" t="str">
        <f t="shared" ca="1" si="0"/>
        <v>"2084307206" : "LG Electronics",</v>
      </c>
    </row>
    <row r="22" spans="1:6" ht="15.75" customHeight="1">
      <c r="A22" s="14">
        <v>2084307201</v>
      </c>
      <c r="B22" s="14" t="s">
        <v>1731</v>
      </c>
      <c r="C22" s="14" t="s">
        <v>2220</v>
      </c>
      <c r="D22" s="5" t="str">
        <f ca="1">IFERROR(__xludf.DUMMYFUNCTION("GOOGLETRANSLATE(B22,""ja"",""vi"")"),"nhọn")</f>
        <v>nhọn</v>
      </c>
      <c r="E22" s="4" t="str">
        <f ca="1">IFERROR(__xludf.DUMMYFUNCTION("GOOGLETRANSLATE(C22,""ja"",""vi"")"),"Đấu giá&gt; thiết bị điện tử tiêu dùng, AV, máy ảnh&gt; Thiết bị hình ảnh&gt; ghi Blu-ray&gt; Sharp")</f>
        <v>Đấu giá&gt; thiết bị điện tử tiêu dùng, AV, máy ảnh&gt; Thiết bị hình ảnh&gt; ghi Blu-ray&gt; Sharp</v>
      </c>
      <c r="F22" t="str">
        <f t="shared" ca="1" si="0"/>
        <v>"2084307201" : "nhọn",</v>
      </c>
    </row>
    <row r="23" spans="1:6" ht="15.75" customHeight="1">
      <c r="A23" s="14">
        <v>2084307203</v>
      </c>
      <c r="B23" s="14" t="s">
        <v>1738</v>
      </c>
      <c r="C23" s="14" t="s">
        <v>2223</v>
      </c>
      <c r="D23" s="5" t="str">
        <f ca="1">IFERROR(__xludf.DUMMYFUNCTION("GOOGLETRANSLATE(B23,""ja"",""vi"")"),"Sony")</f>
        <v>Sony</v>
      </c>
      <c r="E23" s="4" t="str">
        <f ca="1">IFERROR(__xludf.DUMMYFUNCTION("GOOGLETRANSLATE(C23,""ja"",""vi"")"),"Đấu giá&gt; thiết bị điện tử tiêu dùng, AV, máy ảnh&gt; Thiết bị hình ảnh&gt; Máy ghi Blu-ray&gt; Sony")</f>
        <v>Đấu giá&gt; thiết bị điện tử tiêu dùng, AV, máy ảnh&gt; Thiết bị hình ảnh&gt; Máy ghi Blu-ray&gt; Sony</v>
      </c>
      <c r="F23" t="str">
        <f t="shared" ca="1" si="0"/>
        <v>"2084307203" : "Sony",</v>
      </c>
    </row>
    <row r="24" spans="1:6" ht="15.75" customHeight="1">
      <c r="A24" s="14">
        <v>2084307200</v>
      </c>
      <c r="B24" s="14" t="s">
        <v>1918</v>
      </c>
      <c r="C24" s="14" t="s">
        <v>2229</v>
      </c>
      <c r="D24" s="5" t="str">
        <f ca="1">IFERROR(__xludf.DUMMYFUNCTION("GOOGLETRANSLATE(B24,""ja"",""vi"")"),"Panasonic")</f>
        <v>Panasonic</v>
      </c>
      <c r="E24" s="4" t="str">
        <f ca="1">IFERROR(__xludf.DUMMYFUNCTION("GOOGLETRANSLATE(C24,""ja"",""vi"")"),"Đấu giá&gt; thiết bị điện tử tiêu dùng, AV, máy ảnh&gt; Thiết bị hình ảnh&gt; Máy ghi Blu-ray&gt; Panasonic")</f>
        <v>Đấu giá&gt; thiết bị điện tử tiêu dùng, AV, máy ảnh&gt; Thiết bị hình ảnh&gt; Máy ghi Blu-ray&gt; Panasonic</v>
      </c>
      <c r="F24" t="str">
        <f t="shared" ca="1" si="0"/>
        <v>"2084307200" : "Panasonic",</v>
      </c>
    </row>
    <row r="25" spans="1:6" ht="15.75" customHeight="1">
      <c r="A25" s="14">
        <v>2084307204</v>
      </c>
      <c r="B25" s="14" t="s">
        <v>1770</v>
      </c>
      <c r="C25" s="14" t="s">
        <v>2231</v>
      </c>
      <c r="D25" s="5" t="str">
        <f ca="1">IFERROR(__xludf.DUMMYFUNCTION("GOOGLETRANSLATE(B25,""ja"",""vi"")"),"Mitsubishi Electric")</f>
        <v>Mitsubishi Electric</v>
      </c>
      <c r="E25" s="4" t="str">
        <f ca="1">IFERROR(__xludf.DUMMYFUNCTION("GOOGLETRANSLATE(C25,""ja"",""vi"")"),"Đấu giá&gt; thiết bị điện tử tiêu dùng, AV, máy ảnh&gt; Thiết bị hình ảnh&gt; Máy ghi Blu-ray&gt; Mitsubishi Electric")</f>
        <v>Đấu giá&gt; thiết bị điện tử tiêu dùng, AV, máy ảnh&gt; Thiết bị hình ảnh&gt; Máy ghi Blu-ray&gt; Mitsubishi Electric</v>
      </c>
      <c r="F25" t="str">
        <f t="shared" ca="1" si="0"/>
        <v>"2084307204" : "Mitsubishi Electric",</v>
      </c>
    </row>
    <row r="26" spans="1:6" ht="15.75" customHeight="1">
      <c r="A26" s="14">
        <v>2084307202</v>
      </c>
      <c r="B26" s="14" t="s">
        <v>1779</v>
      </c>
      <c r="C26" s="14" t="s">
        <v>2235</v>
      </c>
      <c r="D26" s="5" t="str">
        <f ca="1">IFERROR(__xludf.DUMMYFUNCTION("GOOGLETRANSLATE(B26,""ja"",""vi"")"),"Toshiba")</f>
        <v>Toshiba</v>
      </c>
      <c r="E26" s="4" t="str">
        <f ca="1">IFERROR(__xludf.DUMMYFUNCTION("GOOGLETRANSLATE(C26,""ja"",""vi"")"),"Đấu giá&gt; thiết bị điện tử tiêu dùng, AV, máy ảnh&gt; Thiết bị hình ảnh&gt; ghi Blu-ray&gt; Toshiba")</f>
        <v>Đấu giá&gt; thiết bị điện tử tiêu dùng, AV, máy ảnh&gt; Thiết bị hình ảnh&gt; ghi Blu-ray&gt; Toshiba</v>
      </c>
      <c r="F26" t="str">
        <f t="shared" ca="1" si="0"/>
        <v>"2084307202" : "Toshiba",</v>
      </c>
    </row>
    <row r="27" spans="1:6" ht="15.75" customHeight="1">
      <c r="A27" s="14">
        <v>2084307207</v>
      </c>
      <c r="B27" s="14" t="s">
        <v>46</v>
      </c>
      <c r="C27" s="14" t="s">
        <v>2238</v>
      </c>
      <c r="D27" s="5" t="str">
        <f ca="1">IFERROR(__xludf.DUMMYFUNCTION("GOOGLETRANSLATE(B27,""ja"",""vi"")"),"nếu không thì")</f>
        <v>nếu không thì</v>
      </c>
      <c r="E27" s="4" t="str">
        <f ca="1">IFERROR(__xludf.DUMMYFUNCTION("GOOGLETRANSLATE(C27,""ja"",""vi"")"),"Đấu giá&gt; thiết bị điện tử tiêu dùng, AV, máy ảnh&gt; Thiết bị hình ảnh&gt; Máy ghi Blu-ray&gt; Khác")</f>
        <v>Đấu giá&gt; thiết bị điện tử tiêu dùng, AV, máy ảnh&gt; Thiết bị hình ảnh&gt; Máy ghi Blu-ray&gt; Khác</v>
      </c>
      <c r="F27" t="str">
        <f t="shared" ca="1" si="0"/>
        <v>"2084307207" : "nếu không thì",</v>
      </c>
    </row>
    <row r="28" spans="1:6" ht="15.75" customHeight="1">
      <c r="A28" s="14">
        <v>2084221506</v>
      </c>
      <c r="B28" s="14" t="s">
        <v>2241</v>
      </c>
      <c r="C28" s="14" t="s">
        <v>2243</v>
      </c>
      <c r="D28" s="5" t="str">
        <f ca="1">IFERROR(__xludf.DUMMYFUNCTION("GOOGLETRANSLATE(B28,""ja"",""vi"")"),"chung")</f>
        <v>chung</v>
      </c>
      <c r="E28" s="4" t="str">
        <f ca="1">IFERROR(__xludf.DUMMYFUNCTION("GOOGLETRANSLATE(C28,""ja"",""vi"")"),"Đấu giá&gt; thiết bị điện tử tiêu dùng, AV, máy ảnh&gt; Thiết bị hình ảnh&gt; DVD ghi&gt; General")</f>
        <v>Đấu giá&gt; thiết bị điện tử tiêu dùng, AV, máy ảnh&gt; Thiết bị hình ảnh&gt; DVD ghi&gt; General</v>
      </c>
      <c r="F28" t="str">
        <f t="shared" ca="1" si="0"/>
        <v>"2084221506" : "chung",</v>
      </c>
    </row>
    <row r="29" spans="1:6" ht="15.75" customHeight="1">
      <c r="A29" s="14">
        <v>2084221507</v>
      </c>
      <c r="B29" s="14" t="s">
        <v>2246</v>
      </c>
      <c r="C29" s="14" t="s">
        <v>2248</v>
      </c>
      <c r="D29" s="5" t="str">
        <f ca="1">IFERROR(__xludf.DUMMYFUNCTION("GOOGLETRANSLATE(B29,""ja"",""vi"")"),"Built-in HDD")</f>
        <v>Built-in HDD</v>
      </c>
      <c r="E29" s="4" t="str">
        <f ca="1">IFERROR(__xludf.DUMMYFUNCTION("GOOGLETRANSLATE(C29,""ja"",""vi"")"),"Đấu giá&gt; thiết bị điện tử tiêu dùng, AV, máy ảnh&gt; Thiết bị hình ảnh&gt; DVD ghi&gt; HDD built-in")</f>
        <v>Đấu giá&gt; thiết bị điện tử tiêu dùng, AV, máy ảnh&gt; Thiết bị hình ảnh&gt; DVD ghi&gt; HDD built-in</v>
      </c>
      <c r="F29" t="str">
        <f t="shared" ca="1" si="0"/>
        <v>"2084221507" : "Built-in HDD",</v>
      </c>
    </row>
    <row r="30" spans="1:6" ht="15.75" customHeight="1">
      <c r="A30" s="14">
        <v>2084230819</v>
      </c>
      <c r="B30" s="14" t="s">
        <v>2251</v>
      </c>
      <c r="C30" s="14" t="s">
        <v>2252</v>
      </c>
      <c r="D30" s="5" t="str">
        <f ca="1">IFERROR(__xludf.DUMMYFUNCTION("GOOGLETRANSLATE(B30,""ja"",""vi"")"),"Blu-ray")</f>
        <v>Blu-ray</v>
      </c>
      <c r="E30" s="4" t="str">
        <f ca="1">IFERROR(__xludf.DUMMYFUNCTION("GOOGLETRANSLATE(C30,""ja"",""vi"")"),"Đấu giá&gt; thiết bị điện tử tiêu dùng, AV, máy ảnh&gt; Thiết bị hình ảnh&gt; DVD ghi&gt; Blu-ray")</f>
        <v>Đấu giá&gt; thiết bị điện tử tiêu dùng, AV, máy ảnh&gt; Thiết bị hình ảnh&gt; DVD ghi&gt; Blu-ray</v>
      </c>
      <c r="F30" t="str">
        <f t="shared" ca="1" si="0"/>
        <v>"2084230819" : "Blu-ray",</v>
      </c>
    </row>
    <row r="31" spans="1:6" ht="15.75" customHeight="1">
      <c r="A31" s="14">
        <v>2084045789</v>
      </c>
      <c r="B31" s="14" t="s">
        <v>2241</v>
      </c>
      <c r="C31" s="14" t="s">
        <v>2256</v>
      </c>
      <c r="D31" s="5" t="str">
        <f ca="1">IFERROR(__xludf.DUMMYFUNCTION("GOOGLETRANSLATE(B31,""ja"",""vi"")"),"chung")</f>
        <v>chung</v>
      </c>
      <c r="E31" s="4" t="str">
        <f ca="1">IFERROR(__xludf.DUMMYFUNCTION("GOOGLETRANSLATE(C31,""ja"",""vi"")"),"Đấu giá&gt; thiết bị điện tử tiêu dùng, AV, máy ảnh&gt; Thiết bị hình ảnh&gt; DVD&gt; General")</f>
        <v>Đấu giá&gt; thiết bị điện tử tiêu dùng, AV, máy ảnh&gt; Thiết bị hình ảnh&gt; DVD&gt; General</v>
      </c>
      <c r="F31" t="str">
        <f t="shared" ca="1" si="0"/>
        <v>"2084045789" : "chung",</v>
      </c>
    </row>
    <row r="32" spans="1:6" ht="15.75" customHeight="1">
      <c r="A32" s="14">
        <v>2084045788</v>
      </c>
      <c r="B32" s="14" t="s">
        <v>2261</v>
      </c>
      <c r="C32" s="14" t="s">
        <v>2262</v>
      </c>
      <c r="D32" s="5" t="str">
        <f ca="1">IFERROR(__xludf.DUMMYFUNCTION("GOOGLETRANSLATE(B32,""ja"",""vi"")"),"xách tay chơi")</f>
        <v>xách tay chơi</v>
      </c>
      <c r="E32" s="4" t="str">
        <f ca="1">IFERROR(__xludf.DUMMYFUNCTION("GOOGLETRANSLATE(C32,""ja"",""vi"")"),"Đấu giá&gt; thiết bị điện tử tiêu dùng, AV, máy ảnh&gt; Thiết bị hình ảnh&gt; DVD&gt; Thiết bị chơi")</f>
        <v>Đấu giá&gt; thiết bị điện tử tiêu dùng, AV, máy ảnh&gt; Thiết bị hình ảnh&gt; DVD&gt; Thiết bị chơi</v>
      </c>
      <c r="F32" t="str">
        <f t="shared" ca="1" si="0"/>
        <v>"2084045788" : "xách tay chơi",</v>
      </c>
    </row>
    <row r="33" spans="1:6" ht="15.75" customHeight="1">
      <c r="A33" s="14">
        <v>2084282462</v>
      </c>
      <c r="B33" s="14" t="s">
        <v>2267</v>
      </c>
      <c r="C33" s="14" t="s">
        <v>2268</v>
      </c>
      <c r="D33" s="5" t="str">
        <f ca="1">IFERROR(__xludf.DUMMYFUNCTION("GOOGLETRANSLATE(B33,""ja"",""vi"")"),"Terrestrial ăng ten tương ứng kỹ thuật số cho trong nhà")</f>
        <v>Terrestrial ăng ten tương ứng kỹ thuật số cho trong nhà</v>
      </c>
      <c r="E33" s="4" t="str">
        <f ca="1">IFERROR(__xludf.DUMMYFUNCTION("GOOGLETRANSLATE(C33,""ja"",""vi"")"),"Đấu giá&gt; thiết bị điện tử tiêu dùng, AV, máy ảnh&gt; Thiết bị hình ảnh&gt; ăng ten&gt; mặt đất kỹ thuật số ăng ten tương ứng cho trong nhà")</f>
        <v>Đấu giá&gt; thiết bị điện tử tiêu dùng, AV, máy ảnh&gt; Thiết bị hình ảnh&gt; ăng ten&gt; mặt đất kỹ thuật số ăng ten tương ứng cho trong nhà</v>
      </c>
      <c r="F33" t="str">
        <f t="shared" ca="1" si="0"/>
        <v>"2084282462" : "Terrestrial ăng ten tương ứng kỹ thuật số cho trong nhà",</v>
      </c>
    </row>
    <row r="34" spans="1:6" ht="15.75" customHeight="1">
      <c r="A34" s="14">
        <v>2084239148</v>
      </c>
      <c r="B34" s="14" t="s">
        <v>2270</v>
      </c>
      <c r="C34" s="14" t="s">
        <v>2272</v>
      </c>
      <c r="D34" s="5" t="str">
        <f ca="1">IFERROR(__xludf.DUMMYFUNCTION("GOOGLETRANSLATE(B34,""ja"",""vi"")"),"Ngoài trời kỹ thuật số ăng ten tương ứng trên cạn")</f>
        <v>Ngoài trời kỹ thuật số ăng ten tương ứng trên cạn</v>
      </c>
      <c r="E34" s="4" t="str">
        <f ca="1">IFERROR(__xludf.DUMMYFUNCTION("GOOGLETRANSLATE(C34,""ja"",""vi"")"),"Đấu giá&gt; thiết bị điện tử tiêu dùng, AV, máy ảnh&gt; Thiết bị hình ảnh&gt; ăng ten&gt; Ngoài trời trên mặt đất kỹ thuật số ăng ten tương ứng")</f>
        <v>Đấu giá&gt; thiết bị điện tử tiêu dùng, AV, máy ảnh&gt; Thiết bị hình ảnh&gt; ăng ten&gt; Ngoài trời trên mặt đất kỹ thuật số ăng ten tương ứng</v>
      </c>
      <c r="F34" t="str">
        <f t="shared" ca="1" si="0"/>
        <v>"2084239148" : "Ngoài trời kỹ thuật số ăng ten tương ứng trên cạn",</v>
      </c>
    </row>
    <row r="35" spans="1:6" ht="15.75" customHeight="1">
      <c r="A35" s="14">
        <v>2084239147</v>
      </c>
      <c r="B35" s="14" t="s">
        <v>2275</v>
      </c>
      <c r="C35" s="14" t="s">
        <v>2277</v>
      </c>
      <c r="D35" s="5" t="str">
        <f ca="1">IFERROR(__xludf.DUMMYFUNCTION("GOOGLETRANSLATE(B35,""ja"",""vi"")"),"CS · BS ăng ten tương ứng")</f>
        <v>CS · BS ăng ten tương ứng</v>
      </c>
      <c r="E35" s="4" t="str">
        <f ca="1">IFERROR(__xludf.DUMMYFUNCTION("GOOGLETRANSLATE(C35,""ja"",""vi"")"),"Đấu giá&gt; thiết bị điện tử tiêu dùng, AV, máy ảnh&gt; Thiết bị hình ảnh&gt; ăng ten&gt; CS · BS ăng ten tương ứng")</f>
        <v>Đấu giá&gt; thiết bị điện tử tiêu dùng, AV, máy ảnh&gt; Thiết bị hình ảnh&gt; ăng ten&gt; CS · BS ăng ten tương ứng</v>
      </c>
      <c r="F35" t="str">
        <f t="shared" ca="1" si="0"/>
        <v>"2084239147" : "CS · BS ăng ten tương ứng",</v>
      </c>
    </row>
    <row r="36" spans="1:6" ht="15.75" customHeight="1">
      <c r="A36" s="14">
        <v>2084282466</v>
      </c>
      <c r="B36" s="14" t="s">
        <v>2280</v>
      </c>
      <c r="C36" s="14" t="s">
        <v>2282</v>
      </c>
      <c r="D36" s="5" t="str">
        <f ca="1">IFERROR(__xludf.DUMMYFUNCTION("GOOGLETRANSLATE(B36,""ja"",""vi"")"),"kết nối")</f>
        <v>kết nối</v>
      </c>
      <c r="E36" s="4" t="str">
        <f ca="1">IFERROR(__xludf.DUMMYFUNCTION("GOOGLETRANSLATE(C36,""ja"",""vi"")"),"Đấu giá&gt; thiết bị điện tử tiêu dùng, AV, máy ảnh&gt; Thiết bị hình ảnh&gt; ăng ten&gt; kết nối")</f>
        <v>Đấu giá&gt; thiết bị điện tử tiêu dùng, AV, máy ảnh&gt; Thiết bị hình ảnh&gt; ăng ten&gt; kết nối</v>
      </c>
      <c r="F36" t="str">
        <f t="shared" ca="1" si="0"/>
        <v>"2084282466" : "kết nối",</v>
      </c>
    </row>
    <row r="37" spans="1:6" ht="15.75" customHeight="1">
      <c r="A37" s="14">
        <v>2084282468</v>
      </c>
      <c r="B37" s="14" t="s">
        <v>2285</v>
      </c>
      <c r="C37" s="14" t="s">
        <v>2288</v>
      </c>
      <c r="D37" s="5" t="str">
        <f ca="1">IFERROR(__xludf.DUMMYFUNCTION("GOOGLETRANSLATE(B37,""ja"",""vi"")"),"ổ cắm TV")</f>
        <v>ổ cắm TV</v>
      </c>
      <c r="E37" s="4" t="str">
        <f ca="1">IFERROR(__xludf.DUMMYFUNCTION("GOOGLETRANSLATE(C37,""ja"",""vi"")"),"Đấu giá&gt; thiết bị điện tử tiêu dùng, AV, máy ảnh&gt; Thiết bị hình ảnh&gt; ăng ten&gt; ổ cắm TV")</f>
        <v>Đấu giá&gt; thiết bị điện tử tiêu dùng, AV, máy ảnh&gt; Thiết bị hình ảnh&gt; ăng ten&gt; ổ cắm TV</v>
      </c>
      <c r="F37" t="str">
        <f t="shared" ca="1" si="0"/>
        <v>"2084282468" : "ổ cắm TV",</v>
      </c>
    </row>
    <row r="38" spans="1:6" ht="15.75" customHeight="1">
      <c r="A38" s="14">
        <v>2084282463</v>
      </c>
      <c r="B38" s="14" t="s">
        <v>2290</v>
      </c>
      <c r="C38" s="14" t="s">
        <v>2292</v>
      </c>
      <c r="D38" s="5" t="str">
        <f ca="1">IFERROR(__xludf.DUMMYFUNCTION("GOOGLETRANSLATE(B38,""ja"",""vi"")"),"Booster")</f>
        <v>Booster</v>
      </c>
      <c r="E38" s="4" t="str">
        <f ca="1">IFERROR(__xludf.DUMMYFUNCTION("GOOGLETRANSLATE(C38,""ja"",""vi"")"),"Đấu giá&gt; thiết bị điện tử tiêu dùng, AV, máy ảnh&gt; Thiết bị hình ảnh&gt; ăng ten&gt; Booster")</f>
        <v>Đấu giá&gt; thiết bị điện tử tiêu dùng, AV, máy ảnh&gt; Thiết bị hình ảnh&gt; ăng ten&gt; Booster</v>
      </c>
      <c r="F38" t="str">
        <f t="shared" ca="1" si="0"/>
        <v>"2084282463" : "Booster",</v>
      </c>
    </row>
    <row r="39" spans="1:6" ht="15.75" customHeight="1">
      <c r="A39" s="14">
        <v>2084282465</v>
      </c>
      <c r="B39" s="14" t="s">
        <v>2296</v>
      </c>
      <c r="C39" s="14" t="s">
        <v>2299</v>
      </c>
      <c r="D39" s="5" t="str">
        <f ca="1">IFERROR(__xludf.DUMMYFUNCTION("GOOGLETRANSLATE(B39,""ja"",""vi"")"),"máy trộn")</f>
        <v>máy trộn</v>
      </c>
      <c r="E39" s="4" t="str">
        <f ca="1">IFERROR(__xludf.DUMMYFUNCTION("GOOGLETRANSLATE(C39,""ja"",""vi"")"),"Đấu giá&gt; thiết bị điện tử tiêu dùng, AV, máy ảnh&gt; Thiết bị hình ảnh&gt; ăng ten&gt; máy trộn")</f>
        <v>Đấu giá&gt; thiết bị điện tử tiêu dùng, AV, máy ảnh&gt; Thiết bị hình ảnh&gt; ăng ten&gt; máy trộn</v>
      </c>
      <c r="F39" t="str">
        <f t="shared" ca="1" si="0"/>
        <v>"2084282465" : "máy trộn",</v>
      </c>
    </row>
    <row r="40" spans="1:6" ht="15.75" customHeight="1">
      <c r="A40" s="14">
        <v>2084282467</v>
      </c>
      <c r="B40" s="14" t="s">
        <v>2302</v>
      </c>
      <c r="C40" s="14" t="s">
        <v>2304</v>
      </c>
      <c r="D40" s="5" t="str">
        <f ca="1">IFERROR(__xludf.DUMMYFUNCTION("GOOGLETRANSLATE(B40,""ja"",""vi"")"),"cáp đồng trục")</f>
        <v>cáp đồng trục</v>
      </c>
      <c r="E40" s="4" t="str">
        <f ca="1">IFERROR(__xludf.DUMMYFUNCTION("GOOGLETRANSLATE(C40,""ja"",""vi"")"),"Đấu giá&gt; thiết bị điện tử tiêu dùng, AV, máy ảnh&gt; Thiết bị hình ảnh&gt; ăng ten&gt; đồng trục cáp")</f>
        <v>Đấu giá&gt; thiết bị điện tử tiêu dùng, AV, máy ảnh&gt; Thiết bị hình ảnh&gt; ăng ten&gt; đồng trục cáp</v>
      </c>
      <c r="F40" t="str">
        <f t="shared" ca="1" si="0"/>
        <v>"2084282467" : "cáp đồng trục",</v>
      </c>
    </row>
    <row r="41" spans="1:6" ht="15.75" customHeight="1">
      <c r="A41" s="14">
        <v>2084286801</v>
      </c>
      <c r="B41" s="14" t="s">
        <v>2308</v>
      </c>
      <c r="C41" s="14" t="s">
        <v>2309</v>
      </c>
      <c r="D41" s="5" t="str">
        <f ca="1">IFERROR(__xludf.DUMMYFUNCTION("GOOGLETRANSLATE(B41,""ja"",""vi"")"),"demultiplexer")</f>
        <v>demultiplexer</v>
      </c>
      <c r="E41" s="4" t="str">
        <f ca="1">IFERROR(__xludf.DUMMYFUNCTION("GOOGLETRANSLATE(C41,""ja"",""vi"")"),"Đấu giá&gt; thiết bị điện tử tiêu dùng, AV, máy ảnh&gt; Thiết bị hình ảnh&gt; ăng ten&gt; demultiplexer")</f>
        <v>Đấu giá&gt; thiết bị điện tử tiêu dùng, AV, máy ảnh&gt; Thiết bị hình ảnh&gt; ăng ten&gt; demultiplexer</v>
      </c>
      <c r="F41" t="str">
        <f t="shared" ca="1" si="0"/>
        <v>"2084286801" : "demultiplexer",</v>
      </c>
    </row>
    <row r="42" spans="1:6" ht="15.75" customHeight="1">
      <c r="A42" s="14">
        <v>2084282464</v>
      </c>
      <c r="B42" s="14" t="s">
        <v>2312</v>
      </c>
      <c r="C42" s="14" t="s">
        <v>2313</v>
      </c>
      <c r="D42" s="5" t="str">
        <f ca="1">IFERROR(__xludf.DUMMYFUNCTION("GOOGLETRANSLATE(B42,""ja"",""vi"")"),"Nhà phân phối")</f>
        <v>Nhà phân phối</v>
      </c>
      <c r="E42" s="4" t="str">
        <f ca="1">IFERROR(__xludf.DUMMYFUNCTION("GOOGLETRANSLATE(C42,""ja"",""vi"")"),"Đấu giá&gt; thiết bị điện tử tiêu dùng, AV, máy ảnh&gt; Thiết bị hình ảnh&gt; ăng ten&gt; nhà phân phối")</f>
        <v>Đấu giá&gt; thiết bị điện tử tiêu dùng, AV, máy ảnh&gt; Thiết bị hình ảnh&gt; ăng ten&gt; nhà phân phối</v>
      </c>
      <c r="F42" t="str">
        <f t="shared" ca="1" si="0"/>
        <v>"2084282464" : "Nhà phân phối",</v>
      </c>
    </row>
    <row r="43" spans="1:6" ht="15.75" customHeight="1">
      <c r="A43" s="14">
        <v>2084239149</v>
      </c>
      <c r="B43" s="14" t="s">
        <v>46</v>
      </c>
      <c r="C43" s="14" t="s">
        <v>2316</v>
      </c>
      <c r="D43" s="5" t="str">
        <f ca="1">IFERROR(__xludf.DUMMYFUNCTION("GOOGLETRANSLATE(B43,""ja"",""vi"")"),"nếu không thì")</f>
        <v>nếu không thì</v>
      </c>
      <c r="E43" s="4" t="str">
        <f ca="1">IFERROR(__xludf.DUMMYFUNCTION("GOOGLETRANSLATE(C43,""ja"",""vi"")"),"Đấu giá&gt; thiết bị điện tử tiêu dùng, AV, máy ảnh&gt; Thiết bị hình ảnh&gt; ăng ten&gt; Khác")</f>
        <v>Đấu giá&gt; thiết bị điện tử tiêu dùng, AV, máy ảnh&gt; Thiết bị hình ảnh&gt; ăng ten&gt; Khác</v>
      </c>
      <c r="F43" t="str">
        <f t="shared" ca="1" si="0"/>
        <v>"2084239149" : "nếu không thì",</v>
      </c>
    </row>
    <row r="44" spans="1:6" ht="15.75" customHeight="1">
      <c r="A44" s="14">
        <v>2084239150</v>
      </c>
      <c r="B44" s="14" t="s">
        <v>2318</v>
      </c>
      <c r="C44" s="14" t="s">
        <v>2320</v>
      </c>
      <c r="D44" s="5" t="str">
        <f ca="1">IFERROR(__xludf.DUMMYFUNCTION("GOOGLETRANSLATE(B44,""ja"",""vi"")"),"CS chỉnh")</f>
        <v>CS chỉnh</v>
      </c>
      <c r="E44" s="4" t="str">
        <f ca="1">IFERROR(__xludf.DUMMYFUNCTION("GOOGLETRANSLATE(C44,""ja"",""vi"")"),"Đấu giá&gt; thiết bị điện tử tiêu dùng, AV, máy ảnh&gt; Thiết bị hình ảnh&gt; chỉnh&gt; CS chỉnh")</f>
        <v>Đấu giá&gt; thiết bị điện tử tiêu dùng, AV, máy ảnh&gt; Thiết bị hình ảnh&gt; chỉnh&gt; CS chỉnh</v>
      </c>
      <c r="F44" t="str">
        <f t="shared" ca="1" si="0"/>
        <v>"2084239150" : "CS chỉnh",</v>
      </c>
    </row>
    <row r="45" spans="1:6" ht="15.75" customHeight="1">
      <c r="A45" s="14">
        <v>2084239151</v>
      </c>
      <c r="B45" s="14" t="s">
        <v>2321</v>
      </c>
      <c r="C45" s="14" t="s">
        <v>2323</v>
      </c>
      <c r="D45" s="5" t="str">
        <f ca="1">IFERROR(__xludf.DUMMYFUNCTION("GOOGLETRANSLATE(B45,""ja"",""vi"")"),"tuner kỹ thuật số mặt đất")</f>
        <v>tuner kỹ thuật số mặt đất</v>
      </c>
      <c r="E45" s="4" t="str">
        <f ca="1">IFERROR(__xludf.DUMMYFUNCTION("GOOGLETRANSLATE(C45,""ja"",""vi"")"),"Đấu giá&gt; thiết bị điện tử tiêu dùng, AV, máy ảnh&gt; Thiết bị hình ảnh&gt; chỉnh&gt; trên cạn tuner kỹ thuật số")</f>
        <v>Đấu giá&gt; thiết bị điện tử tiêu dùng, AV, máy ảnh&gt; Thiết bị hình ảnh&gt; chỉnh&gt; trên cạn tuner kỹ thuật số</v>
      </c>
      <c r="F45" t="str">
        <f t="shared" ca="1" si="0"/>
        <v>"2084239151" : "tuner kỹ thuật số mặt đất",</v>
      </c>
    </row>
    <row r="46" spans="1:6" ht="15.75" customHeight="1">
      <c r="A46" s="14">
        <v>2084239152</v>
      </c>
      <c r="B46" s="14" t="s">
        <v>46</v>
      </c>
      <c r="C46" s="14" t="s">
        <v>2325</v>
      </c>
      <c r="D46" s="5" t="str">
        <f ca="1">IFERROR(__xludf.DUMMYFUNCTION("GOOGLETRANSLATE(B46,""ja"",""vi"")"),"nếu không thì")</f>
        <v>nếu không thì</v>
      </c>
      <c r="E46" s="4" t="str">
        <f ca="1">IFERROR(__xludf.DUMMYFUNCTION("GOOGLETRANSLATE(C46,""ja"",""vi"")"),"Đấu giá&gt; thiết bị điện tử tiêu dùng, AV, máy ảnh&gt; Thiết bị hình ảnh&gt; chỉnh&gt; Khác")</f>
        <v>Đấu giá&gt; thiết bị điện tử tiêu dùng, AV, máy ảnh&gt; Thiết bị hình ảnh&gt; chỉnh&gt; Khác</v>
      </c>
      <c r="F46" t="str">
        <f t="shared" ca="1" si="0"/>
        <v>"2084239152" : "nếu không thì",</v>
      </c>
    </row>
    <row r="47" spans="1:6" ht="15.75" customHeight="1">
      <c r="A47" s="14">
        <v>2084239224</v>
      </c>
      <c r="B47" s="14" t="s">
        <v>2251</v>
      </c>
      <c r="C47" s="14" t="s">
        <v>2328</v>
      </c>
      <c r="D47" s="5" t="str">
        <f ca="1">IFERROR(__xludf.DUMMYFUNCTION("GOOGLETRANSLATE(B47,""ja"",""vi"")"),"Blu-ray")</f>
        <v>Blu-ray</v>
      </c>
      <c r="E47" s="4" t="str">
        <f ca="1">IFERROR(__xludf.DUMMYFUNCTION("GOOGLETRANSLATE(C47,""ja"",""vi"")"),"Đấu giá&gt; thiết bị điện tử tiêu dùng, AV, máy ảnh&gt; Thiết bị hình ảnh&gt; kỷ lục vừa&gt; Blu-ray")</f>
        <v>Đấu giá&gt; thiết bị điện tử tiêu dùng, AV, máy ảnh&gt; Thiết bị hình ảnh&gt; kỷ lục vừa&gt; Blu-ray</v>
      </c>
      <c r="F47" t="str">
        <f t="shared" ca="1" si="0"/>
        <v>"2084239224" : "Blu-ray",</v>
      </c>
    </row>
    <row r="48" spans="1:6" ht="15.75" customHeight="1">
      <c r="A48" s="14">
        <v>2084239219</v>
      </c>
      <c r="B48" s="14" t="s">
        <v>2329</v>
      </c>
      <c r="C48" s="14" t="s">
        <v>2330</v>
      </c>
      <c r="D48" s="5" t="str">
        <f ca="1">IFERROR(__xludf.DUMMYFUNCTION("GOOGLETRANSLATE(B48,""ja"",""vi"")"),"DVD-R")</f>
        <v>DVD-R</v>
      </c>
      <c r="E48" s="4" t="str">
        <f ca="1">IFERROR(__xludf.DUMMYFUNCTION("GOOGLETRANSLATE(C48,""ja"",""vi"")"),"Đấu giá&gt; thiết bị điện tử tiêu dùng, AV, máy ảnh&gt; Thiết bị hình ảnh&gt; kỷ lục vừa&gt; DVD-R")</f>
        <v>Đấu giá&gt; thiết bị điện tử tiêu dùng, AV, máy ảnh&gt; Thiết bị hình ảnh&gt; kỷ lục vừa&gt; DVD-R</v>
      </c>
      <c r="F48" t="str">
        <f t="shared" ca="1" si="0"/>
        <v>"2084239219" : "DVD-R",</v>
      </c>
    </row>
    <row r="49" spans="1:6" ht="15.75" customHeight="1">
      <c r="A49" s="14">
        <v>2084239220</v>
      </c>
      <c r="B49" s="14" t="s">
        <v>2333</v>
      </c>
      <c r="C49" s="14" t="s">
        <v>2334</v>
      </c>
      <c r="D49" s="5" t="str">
        <f ca="1">IFERROR(__xludf.DUMMYFUNCTION("GOOGLETRANSLATE(B49,""ja"",""vi"")"),"DVD-RAM")</f>
        <v>DVD-RAM</v>
      </c>
      <c r="E49" s="4" t="str">
        <f ca="1">IFERROR(__xludf.DUMMYFUNCTION("GOOGLETRANSLATE(C49,""ja"",""vi"")"),"Đấu giá&gt; thiết bị điện tử tiêu dùng, AV, máy ảnh&gt; Thiết bị hình ảnh&gt; kỷ lục vừa&gt; DVD-RAM")</f>
        <v>Đấu giá&gt; thiết bị điện tử tiêu dùng, AV, máy ảnh&gt; Thiết bị hình ảnh&gt; kỷ lục vừa&gt; DVD-RAM</v>
      </c>
      <c r="F49" t="str">
        <f t="shared" ca="1" si="0"/>
        <v>"2084239220" : "DVD-RAM",</v>
      </c>
    </row>
    <row r="50" spans="1:6" ht="15.75" customHeight="1">
      <c r="A50" s="14">
        <v>2084239221</v>
      </c>
      <c r="B50" s="14" t="s">
        <v>2335</v>
      </c>
      <c r="C50" s="14" t="s">
        <v>2337</v>
      </c>
      <c r="D50" s="5" t="str">
        <f ca="1">IFERROR(__xludf.DUMMYFUNCTION("GOOGLETRANSLATE(B50,""ja"",""vi"")"),"DVD-RW")</f>
        <v>DVD-RW</v>
      </c>
      <c r="E50" s="4" t="str">
        <f ca="1">IFERROR(__xludf.DUMMYFUNCTION("GOOGLETRANSLATE(C50,""ja"",""vi"")"),"Đấu giá&gt; thiết bị điện tử tiêu dùng, AV, máy ảnh&gt; Thiết bị hình ảnh&gt; kỷ lục vừa&gt; DVD-RW")</f>
        <v>Đấu giá&gt; thiết bị điện tử tiêu dùng, AV, máy ảnh&gt; Thiết bị hình ảnh&gt; kỷ lục vừa&gt; DVD-RW</v>
      </c>
      <c r="F50" t="str">
        <f t="shared" ca="1" si="0"/>
        <v>"2084239221" : "DVD-RW",</v>
      </c>
    </row>
    <row r="51" spans="1:6" ht="15.75" customHeight="1">
      <c r="A51" s="14">
        <v>2084239222</v>
      </c>
      <c r="B51" s="14" t="s">
        <v>2340</v>
      </c>
      <c r="C51" s="14" t="s">
        <v>2341</v>
      </c>
      <c r="D51" s="5" t="str">
        <f ca="1">IFERROR(__xludf.DUMMYFUNCTION("GOOGLETRANSLATE(B51,""ja"",""vi"")"),"Mini DV")</f>
        <v>Mini DV</v>
      </c>
      <c r="E51" s="4" t="str">
        <f ca="1">IFERROR(__xludf.DUMMYFUNCTION("GOOGLETRANSLATE(C51,""ja"",""vi"")"),"Đấu giá&gt; thiết bị điện tử tiêu dùng, AV, máy ảnh&gt; Thiết bị hình ảnh&gt; kỷ lục vừa&gt; Mini DV")</f>
        <v>Đấu giá&gt; thiết bị điện tử tiêu dùng, AV, máy ảnh&gt; Thiết bị hình ảnh&gt; kỷ lục vừa&gt; Mini DV</v>
      </c>
      <c r="F51" t="str">
        <f t="shared" ca="1" si="0"/>
        <v>"2084239222" : "Mini DV",</v>
      </c>
    </row>
    <row r="52" spans="1:6" ht="15.75" customHeight="1">
      <c r="A52" s="14">
        <v>2084018953</v>
      </c>
      <c r="B52" s="14" t="s">
        <v>2343</v>
      </c>
      <c r="C52" s="14" t="s">
        <v>2345</v>
      </c>
      <c r="D52" s="5" t="str">
        <f ca="1">IFERROR(__xludf.DUMMYFUNCTION("GOOGLETRANSLATE(B52,""ja"",""vi"")"),"băng video")</f>
        <v>băng video</v>
      </c>
      <c r="E52" s="4" t="str">
        <f ca="1">IFERROR(__xludf.DUMMYFUNCTION("GOOGLETRANSLATE(C52,""ja"",""vi"")"),"Đấu giá&gt; thiết bị điện tử tiêu dùng, AV, máy ảnh&gt; Thiết bị hình ảnh&gt; kỷ lục vừa&gt; băng video")</f>
        <v>Đấu giá&gt; thiết bị điện tử tiêu dùng, AV, máy ảnh&gt; Thiết bị hình ảnh&gt; kỷ lục vừa&gt; băng video</v>
      </c>
      <c r="F52" t="str">
        <f t="shared" ca="1" si="0"/>
        <v>"2084018953" : "băng video",</v>
      </c>
    </row>
    <row r="53" spans="1:6" ht="15.75" customHeight="1">
      <c r="A53" s="14">
        <v>2084239223</v>
      </c>
      <c r="B53" s="14" t="s">
        <v>46</v>
      </c>
      <c r="C53" s="14" t="s">
        <v>2348</v>
      </c>
      <c r="D53" s="5" t="str">
        <f ca="1">IFERROR(__xludf.DUMMYFUNCTION("GOOGLETRANSLATE(B53,""ja"",""vi"")"),"nếu không thì")</f>
        <v>nếu không thì</v>
      </c>
      <c r="E53" s="4" t="str">
        <f ca="1">IFERROR(__xludf.DUMMYFUNCTION("GOOGLETRANSLATE(C53,""ja"",""vi"")"),"Đấu giá&gt; thiết bị điện tử tiêu dùng, AV, máy ảnh&gt; Thiết bị hình ảnh&gt; vừa kỷ lục&gt; Khác")</f>
        <v>Đấu giá&gt; thiết bị điện tử tiêu dùng, AV, máy ảnh&gt; Thiết bị hình ảnh&gt; vừa kỷ lục&gt; Khác</v>
      </c>
      <c r="F53" t="str">
        <f t="shared" ca="1" si="0"/>
        <v>"2084239223" : "nếu không thì",</v>
      </c>
    </row>
    <row r="54" spans="1:6" ht="15.75" customHeight="1">
      <c r="A54" s="14">
        <v>2084239135</v>
      </c>
      <c r="B54" s="14" t="s">
        <v>2352</v>
      </c>
      <c r="C54" s="14" t="s">
        <v>2353</v>
      </c>
      <c r="D54" s="5" t="str">
        <f ca="1">IFERROR(__xludf.DUMMYFUNCTION("GOOGLETRANSLATE(B54,""ja"",""vi"")"),"D cáp thiết bị đầu cuối")</f>
        <v>D cáp thiết bị đầu cuối</v>
      </c>
      <c r="E54" s="4" t="str">
        <f ca="1">IFERROR(__xludf.DUMMYFUNCTION("GOOGLETRANSLATE(C54,""ja"",""vi"")"),"Đấu giá&gt; thiết bị điện tử tiêu dùng, AV, máy ảnh&gt; Thiết bị hình ảnh&gt; cáp video&gt; D cáp thiết bị đầu cuối")</f>
        <v>Đấu giá&gt; thiết bị điện tử tiêu dùng, AV, máy ảnh&gt; Thiết bị hình ảnh&gt; cáp video&gt; D cáp thiết bị đầu cuối</v>
      </c>
      <c r="F54" t="str">
        <f t="shared" ca="1" si="0"/>
        <v>"2084239135" : "D cáp thiết bị đầu cuối",</v>
      </c>
    </row>
    <row r="55" spans="1:6" ht="15.75" customHeight="1">
      <c r="A55" s="14">
        <v>2084239134</v>
      </c>
      <c r="B55" s="14" t="s">
        <v>2358</v>
      </c>
      <c r="C55" s="14" t="s">
        <v>2359</v>
      </c>
      <c r="D55" s="5" t="str">
        <f ca="1">IFERROR(__xludf.DUMMYFUNCTION("GOOGLETRANSLATE(B55,""ja"",""vi"")"),"cáp HDMI")</f>
        <v>cáp HDMI</v>
      </c>
      <c r="E55" s="4" t="str">
        <f ca="1">IFERROR(__xludf.DUMMYFUNCTION("GOOGLETRANSLATE(C55,""ja"",""vi"")"),"Đấu giá&gt; thiết bị điện tử tiêu dùng, AV, máy ảnh&gt; Thiết bị hình ảnh&gt; cáp video&gt; cáp HDMI")</f>
        <v>Đấu giá&gt; thiết bị điện tử tiêu dùng, AV, máy ảnh&gt; Thiết bị hình ảnh&gt; cáp video&gt; cáp HDMI</v>
      </c>
      <c r="F55" t="str">
        <f t="shared" ca="1" si="0"/>
        <v>"2084239134" : "cáp HDMI",</v>
      </c>
    </row>
    <row r="56" spans="1:6" ht="15.75" customHeight="1">
      <c r="A56" s="14">
        <v>2084239136</v>
      </c>
      <c r="B56" s="14" t="s">
        <v>2362</v>
      </c>
      <c r="C56" s="14" t="s">
        <v>2363</v>
      </c>
      <c r="D56" s="5" t="str">
        <f ca="1">IFERROR(__xludf.DUMMYFUNCTION("GOOGLETRANSLATE(B56,""ja"",""vi"")"),"S cáp thiết bị đầu cuối")</f>
        <v>S cáp thiết bị đầu cuối</v>
      </c>
      <c r="E56" s="4" t="str">
        <f ca="1">IFERROR(__xludf.DUMMYFUNCTION("GOOGLETRANSLATE(C56,""ja"",""vi"")"),"Đấu giá&gt; thiết bị điện tử tiêu dùng, AV, máy ảnh&gt; Thiết bị hình ảnh&gt; cáp video&gt; S cáp thiết bị đầu cuối")</f>
        <v>Đấu giá&gt; thiết bị điện tử tiêu dùng, AV, máy ảnh&gt; Thiết bị hình ảnh&gt; cáp video&gt; S cáp thiết bị đầu cuối</v>
      </c>
      <c r="F56" t="str">
        <f t="shared" ca="1" si="0"/>
        <v>"2084239136" : "S cáp thiết bị đầu cuối",</v>
      </c>
    </row>
    <row r="57" spans="1:6" ht="15.75" customHeight="1">
      <c r="A57" s="14">
        <v>2084239137</v>
      </c>
      <c r="B57" s="14" t="s">
        <v>2368</v>
      </c>
      <c r="C57" s="14" t="s">
        <v>2369</v>
      </c>
      <c r="D57" s="5" t="str">
        <f ca="1">IFERROR(__xludf.DUMMYFUNCTION("GOOGLETRANSLATE(B57,""ja"",""vi"")"),"cáp pin")</f>
        <v>cáp pin</v>
      </c>
      <c r="E57" s="4" t="str">
        <f ca="1">IFERROR(__xludf.DUMMYFUNCTION("GOOGLETRANSLATE(C57,""ja"",""vi"")"),"Đấu giá&gt; thiết bị điện tử tiêu dùng, AV, máy ảnh&gt; Thiết bị hình ảnh&gt; cáp video&gt; cáp pin")</f>
        <v>Đấu giá&gt; thiết bị điện tử tiêu dùng, AV, máy ảnh&gt; Thiết bị hình ảnh&gt; cáp video&gt; cáp pin</v>
      </c>
      <c r="F57" t="str">
        <f t="shared" ca="1" si="0"/>
        <v>"2084239137" : "cáp pin",</v>
      </c>
    </row>
    <row r="58" spans="1:6" ht="15.75" customHeight="1">
      <c r="A58" s="14">
        <v>2084239138</v>
      </c>
      <c r="B58" s="14" t="s">
        <v>46</v>
      </c>
      <c r="C58" s="14" t="s">
        <v>2374</v>
      </c>
      <c r="D58" s="5" t="str">
        <f ca="1">IFERROR(__xludf.DUMMYFUNCTION("GOOGLETRANSLATE(B58,""ja"",""vi"")"),"nếu không thì")</f>
        <v>nếu không thì</v>
      </c>
      <c r="E58" s="4" t="str">
        <f ca="1">IFERROR(__xludf.DUMMYFUNCTION("GOOGLETRANSLATE(C58,""ja"",""vi"")"),"Đấu giá&gt; thiết bị điện tử tiêu dùng, AV, máy ảnh&gt; Thiết bị hình ảnh&gt; cáp video&gt; Khác")</f>
        <v>Đấu giá&gt; thiết bị điện tử tiêu dùng, AV, máy ảnh&gt; Thiết bị hình ảnh&gt; cáp video&gt; Khác</v>
      </c>
      <c r="F58" t="str">
        <f t="shared" ca="1" si="0"/>
        <v>"2084239138" : "nếu không thì",</v>
      </c>
    </row>
    <row r="59" spans="1:6" ht="15.75" customHeight="1">
      <c r="A59" s="14">
        <v>23944</v>
      </c>
      <c r="B59" s="14" t="s">
        <v>2376</v>
      </c>
      <c r="C59" s="14" t="s">
        <v>2378</v>
      </c>
      <c r="D59" s="5" t="str">
        <f ca="1">IFERROR(__xludf.DUMMYFUNCTION("GOOGLETRANSLATE(B59,""ja"",""vi"")"),"máy ảnh video kỹ thuật số")</f>
        <v>máy ảnh video kỹ thuật số</v>
      </c>
      <c r="E59" s="4" t="str">
        <f ca="1">IFERROR(__xludf.DUMMYFUNCTION("GOOGLETRANSLATE(C59,""ja"",""vi"")"),"Đấu giá&gt; thiết bị điện tử tiêu dùng, AV, máy ảnh&gt; máy ảnh, thiết bị quang học&gt; camera&gt; camera video kỹ thuật số")</f>
        <v>Đấu giá&gt; thiết bị điện tử tiêu dùng, AV, máy ảnh&gt; máy ảnh, thiết bị quang học&gt; camera&gt; camera video kỹ thuật số</v>
      </c>
      <c r="F59" t="str">
        <f t="shared" ca="1" si="0"/>
        <v>"23944" : "máy ảnh video kỹ thuật số",</v>
      </c>
    </row>
    <row r="60" spans="1:6" ht="15.75" customHeight="1">
      <c r="A60" s="14">
        <v>23940</v>
      </c>
      <c r="B60" s="14" t="s">
        <v>2381</v>
      </c>
      <c r="C60" s="14" t="s">
        <v>2382</v>
      </c>
      <c r="D60" s="5" t="str">
        <f ca="1">IFERROR(__xludf.DUMMYFUNCTION("GOOGLETRANSLATE(B60,""ja"",""vi"")"),"máy quay phim 8 mm")</f>
        <v>máy quay phim 8 mm</v>
      </c>
      <c r="E60" s="4" t="str">
        <f ca="1">IFERROR(__xludf.DUMMYFUNCTION("GOOGLETRANSLATE(C60,""ja"",""vi"")"),"Đấu giá&gt; thiết bị điện tử tiêu dùng, AV, máy ảnh&gt; máy ảnh, thiết bị quang học&gt; camera video&gt; video camera 8 mm")</f>
        <v>Đấu giá&gt; thiết bị điện tử tiêu dùng, AV, máy ảnh&gt; máy ảnh, thiết bị quang học&gt; camera video&gt; video camera 8 mm</v>
      </c>
      <c r="F60" t="str">
        <f t="shared" ca="1" si="0"/>
        <v>"23940" : "máy quay phim 8 mm",</v>
      </c>
    </row>
    <row r="61" spans="1:6" ht="15.75" customHeight="1">
      <c r="A61" s="14">
        <v>2084018948</v>
      </c>
      <c r="B61" s="14" t="s">
        <v>2387</v>
      </c>
      <c r="C61" s="14" t="s">
        <v>2388</v>
      </c>
      <c r="D61" s="5" t="str">
        <f ca="1">IFERROR(__xludf.DUMMYFUNCTION("GOOGLETRANSLATE(B61,""ja"",""vi"")"),"phụ kiện")</f>
        <v>phụ kiện</v>
      </c>
      <c r="E61" s="4" t="str">
        <f ca="1">IFERROR(__xludf.DUMMYFUNCTION("GOOGLETRANSLATE(C61,""ja"",""vi"")"),"Đấu giá&gt; thiết bị điện tử tiêu dùng, AV, máy ảnh&gt; máy ảnh, thiết bị quang học&gt; camera&gt; Phụ kiện")</f>
        <v>Đấu giá&gt; thiết bị điện tử tiêu dùng, AV, máy ảnh&gt; máy ảnh, thiết bị quang học&gt; camera&gt; Phụ kiện</v>
      </c>
      <c r="F61" t="str">
        <f t="shared" ca="1" si="0"/>
        <v>"2084018948" : "phụ kiện",</v>
      </c>
    </row>
    <row r="62" spans="1:6" ht="15.75" customHeight="1">
      <c r="A62" s="14">
        <v>2084018952</v>
      </c>
      <c r="B62" s="14" t="s">
        <v>1797</v>
      </c>
      <c r="C62" s="14" t="s">
        <v>2393</v>
      </c>
      <c r="D62" s="5" t="str">
        <f ca="1">IFERROR(__xludf.DUMMYFUNCTION("GOOGLETRANSLATE(B62,""ja"",""vi"")"),"Pin, sạc")</f>
        <v>Pin, sạc</v>
      </c>
      <c r="E62" s="4" t="str">
        <f ca="1">IFERROR(__xludf.DUMMYFUNCTION("GOOGLETRANSLATE(C62,""ja"",""vi"")"),"Đấu giá&gt; thiết bị điện tử tiêu dùng, AV, máy ảnh&gt; máy ảnh, thiết bị quang học&gt; camera&gt; pin, sạc")</f>
        <v>Đấu giá&gt; thiết bị điện tử tiêu dùng, AV, máy ảnh&gt; máy ảnh, thiết bị quang học&gt; camera&gt; pin, sạc</v>
      </c>
      <c r="F62" t="str">
        <f t="shared" ca="1" si="0"/>
        <v>"2084018952" : "Pin, sạc",</v>
      </c>
    </row>
    <row r="63" spans="1:6" ht="15.75" customHeight="1">
      <c r="A63" s="14">
        <v>2084239145</v>
      </c>
      <c r="B63" s="14" t="s">
        <v>2397</v>
      </c>
      <c r="C63" s="14" t="s">
        <v>2399</v>
      </c>
      <c r="D63" s="5" t="str">
        <f ca="1">IFERROR(__xludf.DUMMYFUNCTION("GOOGLETRANSLATE(B63,""ja"",""vi"")"),"Chuyên nghiệp, cho doanh nghiệp")</f>
        <v>Chuyên nghiệp, cho doanh nghiệp</v>
      </c>
      <c r="E63" s="4" t="str">
        <f ca="1">IFERROR(__xludf.DUMMYFUNCTION("GOOGLETRANSLATE(C63,""ja"",""vi"")"),"Đấu giá&gt; thiết bị điện tử tiêu dùng, AV, máy ảnh&gt; máy ảnh, ống kính thiết bị&gt; máy quay phim&gt; chuyên nghiệp, cho doanh nghiệp")</f>
        <v>Đấu giá&gt; thiết bị điện tử tiêu dùng, AV, máy ảnh&gt; máy ảnh, ống kính thiết bị&gt; máy quay phim&gt; chuyên nghiệp, cho doanh nghiệp</v>
      </c>
      <c r="F63" t="str">
        <f t="shared" ca="1" si="0"/>
        <v>"2084239145" : "Chuyên nghiệp, cho doanh nghiệp",</v>
      </c>
    </row>
    <row r="64" spans="1:6" ht="15.75" customHeight="1">
      <c r="A64" s="14">
        <v>2084018951</v>
      </c>
      <c r="B64" s="14" t="s">
        <v>2402</v>
      </c>
      <c r="C64" s="14" t="s">
        <v>2405</v>
      </c>
      <c r="D64" s="5" t="str">
        <f ca="1">IFERROR(__xludf.DUMMYFUNCTION("GOOGLETRANSLATE(B64,""ja"",""vi"")"),"phương tiện truyền thông ghi âm")</f>
        <v>phương tiện truyền thông ghi âm</v>
      </c>
      <c r="E64" s="4" t="str">
        <f ca="1">IFERROR(__xludf.DUMMYFUNCTION("GOOGLETRANSLATE(C64,""ja"",""vi"")"),"Đấu giá&gt; thiết bị điện tử tiêu dùng, AV, máy ảnh&gt; máy ảnh, thiết bị quang học&gt; camera&gt; ghi trung bình")</f>
        <v>Đấu giá&gt; thiết bị điện tử tiêu dùng, AV, máy ảnh&gt; máy ảnh, thiết bị quang học&gt; camera&gt; ghi trung bình</v>
      </c>
      <c r="F64" t="str">
        <f t="shared" ca="1" si="0"/>
        <v>"2084018951" : "phương tiện truyền thông ghi âm",</v>
      </c>
    </row>
    <row r="65" spans="1:6" ht="15.75" customHeight="1">
      <c r="A65" s="14">
        <v>2084313032</v>
      </c>
      <c r="B65" s="14" t="s">
        <v>2406</v>
      </c>
      <c r="C65" s="14" t="s">
        <v>2407</v>
      </c>
      <c r="D65" s="5" t="str">
        <f ca="1">IFERROR(__xludf.DUMMYFUNCTION("GOOGLETRANSLATE(B65,""ja"",""vi"")"),"mục lục")</f>
        <v>mục lục</v>
      </c>
      <c r="E65" s="4" t="str">
        <f ca="1">IFERROR(__xludf.DUMMYFUNCTION("GOOGLETRANSLATE(C65,""ja"",""vi"")"),"Đấu giá&gt; thiết bị điện tử tiêu dùng, AV, máy ảnh&gt; máy ảnh, thiết bị quang học&gt; camera&gt; Catalogue")</f>
        <v>Đấu giá&gt; thiết bị điện tử tiêu dùng, AV, máy ảnh&gt; máy ảnh, thiết bị quang học&gt; camera&gt; Catalogue</v>
      </c>
      <c r="F65" t="str">
        <f t="shared" ca="1" si="0"/>
        <v>"2084313032" : "mục lục",</v>
      </c>
    </row>
    <row r="66" spans="1:6" ht="15.75" customHeight="1">
      <c r="A66" s="14">
        <v>2084052265</v>
      </c>
      <c r="B66" s="14" t="s">
        <v>2412</v>
      </c>
      <c r="C66" s="14" t="s">
        <v>2414</v>
      </c>
      <c r="D66" s="5" t="str">
        <f ca="1">IFERROR(__xludf.DUMMYFUNCTION("GOOGLETRANSLATE(B66,""ja"",""vi"")"),"hướng dẫn")</f>
        <v>hướng dẫn</v>
      </c>
      <c r="E66" s="4" t="str">
        <f ca="1">IFERROR(__xludf.DUMMYFUNCTION("GOOGLETRANSLATE(C66,""ja"",""vi"")"),"Đấu giá&gt; thiết bị điện tử tiêu dùng, AV, máy ảnh&gt; máy ảnh, ống kính thiết bị&gt; máy quay phim&gt; Manual")</f>
        <v>Đấu giá&gt; thiết bị điện tử tiêu dùng, AV, máy ảnh&gt; máy ảnh, ống kính thiết bị&gt; máy quay phim&gt; Manual</v>
      </c>
      <c r="F66" t="str">
        <f t="shared" ref="F66:F129" ca="1" si="1">CONCATENATE(CHAR(34)&amp;"",A66,""&amp;CHAR(34)," : ", CHAR(34)&amp;"",D66,""&amp;CHAR(34),",")</f>
        <v>"2084052265" : "hướng dẫn",</v>
      </c>
    </row>
    <row r="67" spans="1:6" ht="15.75" customHeight="1">
      <c r="A67" s="14">
        <v>23948</v>
      </c>
      <c r="B67" s="14" t="s">
        <v>46</v>
      </c>
      <c r="C67" s="14" t="s">
        <v>2419</v>
      </c>
      <c r="D67" s="5" t="str">
        <f ca="1">IFERROR(__xludf.DUMMYFUNCTION("GOOGLETRANSLATE(B67,""ja"",""vi"")"),"nếu không thì")</f>
        <v>nếu không thì</v>
      </c>
      <c r="E67" s="4" t="str">
        <f ca="1">IFERROR(__xludf.DUMMYFUNCTION("GOOGLETRANSLATE(C67,""ja"",""vi"")"),"Đấu giá&gt; thiết bị điện tử tiêu dùng, AV, máy ảnh&gt; máy ảnh, ống kính thiết bị&gt; máy quay phim&gt; Khác")</f>
        <v>Đấu giá&gt; thiết bị điện tử tiêu dùng, AV, máy ảnh&gt; máy ảnh, ống kính thiết bị&gt; máy quay phim&gt; Khác</v>
      </c>
      <c r="F67" t="str">
        <f t="shared" ca="1" si="1"/>
        <v>"23948" : "nếu không thì",</v>
      </c>
    </row>
    <row r="68" spans="1:6" ht="15.75" customHeight="1">
      <c r="A68" s="14">
        <v>23920</v>
      </c>
      <c r="B68" s="14" t="s">
        <v>2424</v>
      </c>
      <c r="C68" s="14" t="s">
        <v>2425</v>
      </c>
      <c r="D68" s="5" t="str">
        <f ca="1">IFERROR(__xludf.DUMMYFUNCTION("GOOGLETRANSLATE(B68,""ja"",""vi"")"),"boong video VHS")</f>
        <v>boong video VHS</v>
      </c>
      <c r="E68" s="4" t="str">
        <f ca="1">IFERROR(__xludf.DUMMYFUNCTION("GOOGLETRANSLATE(C68,""ja"",""vi"")"),"Đấu giá&gt; thiết bị điện tử tiêu dùng, AV, máy ảnh&gt; Thiết bị hình ảnh&gt; boong video&gt; boong video VHS")</f>
        <v>Đấu giá&gt; thiết bị điện tử tiêu dùng, AV, máy ảnh&gt; Thiết bị hình ảnh&gt; boong video&gt; boong video VHS</v>
      </c>
      <c r="F68" t="str">
        <f t="shared" ca="1" si="1"/>
        <v>"23920" : "boong video VHS",</v>
      </c>
    </row>
    <row r="69" spans="1:6" ht="15.75" customHeight="1">
      <c r="A69" s="14">
        <v>23916</v>
      </c>
      <c r="B69" s="14" t="s">
        <v>2427</v>
      </c>
      <c r="C69" s="14" t="s">
        <v>2429</v>
      </c>
      <c r="D69" s="5" t="str">
        <f ca="1">IFERROR(__xludf.DUMMYFUNCTION("GOOGLETRANSLATE(B69,""ja"",""vi"")"),"boong Video S-VHS")</f>
        <v>boong Video S-VHS</v>
      </c>
      <c r="E69" s="4" t="str">
        <f ca="1">IFERROR(__xludf.DUMMYFUNCTION("GOOGLETRANSLATE(C69,""ja"",""vi"")"),"Đấu giá&gt; thiết bị điện tử tiêu dùng, AV, máy ảnh&gt; Thiết bị hình ảnh&gt; Video boong&gt; boong Video S-VHS")</f>
        <v>Đấu giá&gt; thiết bị điện tử tiêu dùng, AV, máy ảnh&gt; Thiết bị hình ảnh&gt; Video boong&gt; boong Video S-VHS</v>
      </c>
      <c r="F69" t="str">
        <f t="shared" ca="1" si="1"/>
        <v>"23916" : "boong Video S-VHS",</v>
      </c>
    </row>
    <row r="70" spans="1:6" ht="15.75" customHeight="1">
      <c r="A70" s="14">
        <v>23912</v>
      </c>
      <c r="B70" s="14" t="s">
        <v>2433</v>
      </c>
      <c r="C70" s="14" t="s">
        <v>2435</v>
      </c>
      <c r="D70" s="5" t="str">
        <f ca="1">IFERROR(__xludf.DUMMYFUNCTION("GOOGLETRANSLATE(B70,""ja"",""vi"")"),"boong Video Beta")</f>
        <v>boong Video Beta</v>
      </c>
      <c r="E70" s="4" t="str">
        <f ca="1">IFERROR(__xludf.DUMMYFUNCTION("GOOGLETRANSLATE(C70,""ja"",""vi"")"),"Đấu giá&gt; thiết bị điện tử tiêu dùng, AV, máy ảnh&gt; Thiết bị hình ảnh&gt; boong video&gt; boong video beta")</f>
        <v>Đấu giá&gt; thiết bị điện tử tiêu dùng, AV, máy ảnh&gt; Thiết bị hình ảnh&gt; boong video&gt; boong video beta</v>
      </c>
      <c r="F70" t="str">
        <f t="shared" ca="1" si="1"/>
        <v>"23912" : "boong Video Beta",</v>
      </c>
    </row>
    <row r="71" spans="1:6" ht="15.75" customHeight="1">
      <c r="A71" s="14">
        <v>2084049863</v>
      </c>
      <c r="B71" s="14" t="s">
        <v>2438</v>
      </c>
      <c r="C71" s="14" t="s">
        <v>2440</v>
      </c>
      <c r="D71" s="5" t="str">
        <f ca="1">IFERROR(__xludf.DUMMYFUNCTION("GOOGLETRANSLATE(B71,""ja"",""vi"")"),"boong video 8-mm")</f>
        <v>boong video 8-mm</v>
      </c>
      <c r="E71" s="4" t="str">
        <f ca="1">IFERROR(__xludf.DUMMYFUNCTION("GOOGLETRANSLATE(C71,""ja"",""vi"")"),"Đấu giá&gt; thiết bị điện tử tiêu dùng, AV, máy ảnh&gt; Thiết bị hình ảnh&gt; boong video&gt; boong phim 8 mm")</f>
        <v>Đấu giá&gt; thiết bị điện tử tiêu dùng, AV, máy ảnh&gt; Thiết bị hình ảnh&gt; boong video&gt; boong phim 8 mm</v>
      </c>
      <c r="F71" t="str">
        <f t="shared" ca="1" si="1"/>
        <v>"2084049863" : "boong video 8-mm",</v>
      </c>
    </row>
    <row r="72" spans="1:6" ht="15.75" customHeight="1">
      <c r="A72" s="14">
        <v>2084048538</v>
      </c>
      <c r="B72" s="14" t="s">
        <v>2443</v>
      </c>
      <c r="C72" s="14" t="s">
        <v>2445</v>
      </c>
      <c r="D72" s="5" t="str">
        <f ca="1">IFERROR(__xludf.DUMMYFUNCTION("GOOGLETRANSLATE(B72,""ja"",""vi"")"),"boong phim D-VHS")</f>
        <v>boong phim D-VHS</v>
      </c>
      <c r="E72" s="4" t="str">
        <f ca="1">IFERROR(__xludf.DUMMYFUNCTION("GOOGLETRANSLATE(C72,""ja"",""vi"")"),"Đấu giá&gt; thiết bị điện tử tiêu dùng, AV, máy ảnh&gt; Thiết bị hình ảnh&gt; Video boong&gt; D-VHS boong Video")</f>
        <v>Đấu giá&gt; thiết bị điện tử tiêu dùng, AV, máy ảnh&gt; Thiết bị hình ảnh&gt; Video boong&gt; D-VHS boong Video</v>
      </c>
      <c r="F72" t="str">
        <f t="shared" ca="1" si="1"/>
        <v>"2084048538" : "boong phim D-VHS",</v>
      </c>
    </row>
    <row r="73" spans="1:6" ht="15.75" customHeight="1">
      <c r="A73" s="14">
        <v>2084018957</v>
      </c>
      <c r="B73" s="14" t="s">
        <v>2155</v>
      </c>
      <c r="C73" s="14" t="s">
        <v>2448</v>
      </c>
      <c r="D73" s="5" t="str">
        <f ca="1">IFERROR(__xludf.DUMMYFUNCTION("GOOGLETRANSLATE(B73,""ja"",""vi"")"),"Video được xây dựng-in TV")</f>
        <v>Video được xây dựng-in TV</v>
      </c>
      <c r="E73" s="4" t="str">
        <f ca="1">IFERROR(__xludf.DUMMYFUNCTION("GOOGLETRANSLATE(C73,""ja"",""vi"")"),"Đấu giá&gt; thiết bị điện tử tiêu dùng, AV, máy ảnh&gt; Thiết bị hình ảnh&gt; Video boong&gt; Video built-in TV")</f>
        <v>Đấu giá&gt; thiết bị điện tử tiêu dùng, AV, máy ảnh&gt; Thiết bị hình ảnh&gt; Video boong&gt; Video built-in TV</v>
      </c>
      <c r="F73" t="str">
        <f t="shared" ca="1" si="1"/>
        <v>"2084018957" : "Video được xây dựng-in TV",</v>
      </c>
    </row>
    <row r="74" spans="1:6" ht="15.75" customHeight="1">
      <c r="A74" s="14">
        <v>2084239146</v>
      </c>
      <c r="B74" s="14" t="s">
        <v>2397</v>
      </c>
      <c r="C74" s="14" t="s">
        <v>2452</v>
      </c>
      <c r="D74" s="5" t="str">
        <f ca="1">IFERROR(__xludf.DUMMYFUNCTION("GOOGLETRANSLATE(B74,""ja"",""vi"")"),"Chuyên nghiệp, cho doanh nghiệp")</f>
        <v>Chuyên nghiệp, cho doanh nghiệp</v>
      </c>
      <c r="E74" s="4" t="str">
        <f ca="1">IFERROR(__xludf.DUMMYFUNCTION("GOOGLETRANSLATE(C74,""ja"",""vi"")"),"Đấu giá&gt; thiết bị điện tử tiêu dùng, AV, máy ảnh&gt; Thiết bị hình ảnh&gt; Video boong&gt; chuyên nghiệp, cho doanh nghiệp")</f>
        <v>Đấu giá&gt; thiết bị điện tử tiêu dùng, AV, máy ảnh&gt; Thiết bị hình ảnh&gt; Video boong&gt; chuyên nghiệp, cho doanh nghiệp</v>
      </c>
      <c r="F74" t="str">
        <f t="shared" ca="1" si="1"/>
        <v>"2084239146" : "Chuyên nghiệp, cho doanh nghiệp",</v>
      </c>
    </row>
    <row r="75" spans="1:6" ht="15.75" customHeight="1">
      <c r="A75" s="14">
        <v>2084018953</v>
      </c>
      <c r="B75" s="14" t="s">
        <v>2402</v>
      </c>
      <c r="C75" s="14" t="s">
        <v>2455</v>
      </c>
      <c r="D75" s="5" t="str">
        <f ca="1">IFERROR(__xludf.DUMMYFUNCTION("GOOGLETRANSLATE(B75,""ja"",""vi"")"),"phương tiện truyền thông ghi âm")</f>
        <v>phương tiện truyền thông ghi âm</v>
      </c>
      <c r="E75" s="4" t="str">
        <f ca="1">IFERROR(__xludf.DUMMYFUNCTION("GOOGLETRANSLATE(C75,""ja"",""vi"")"),"Đấu giá&gt; thiết bị điện tử tiêu dùng, AV, máy ảnh&gt; Thiết bị hình ảnh&gt; boong video&gt; ghi trung bình")</f>
        <v>Đấu giá&gt; thiết bị điện tử tiêu dùng, AV, máy ảnh&gt; Thiết bị hình ảnh&gt; boong video&gt; ghi trung bình</v>
      </c>
      <c r="F75" t="str">
        <f t="shared" ca="1" si="1"/>
        <v>"2084018953" : "phương tiện truyền thông ghi âm",</v>
      </c>
    </row>
    <row r="76" spans="1:6" ht="15.75" customHeight="1">
      <c r="A76" s="14">
        <v>2084205437</v>
      </c>
      <c r="B76" s="14" t="s">
        <v>2178</v>
      </c>
      <c r="C76" s="14" t="s">
        <v>2460</v>
      </c>
      <c r="D76" s="5" t="str">
        <f ca="1">IFERROR(__xludf.DUMMYFUNCTION("GOOGLETRANSLATE(B76,""ja"",""vi"")"),"điều khiển từ xa")</f>
        <v>điều khiển từ xa</v>
      </c>
      <c r="E76" s="4" t="str">
        <f ca="1">IFERROR(__xludf.DUMMYFUNCTION("GOOGLETRANSLATE(C76,""ja"",""vi"")"),"Đấu giá&gt; thiết bị điện tử tiêu dùng, AV, máy ảnh&gt; Thiết bị hình ảnh&gt; Video boong&gt; điều khiển từ xa")</f>
        <v>Đấu giá&gt; thiết bị điện tử tiêu dùng, AV, máy ảnh&gt; Thiết bị hình ảnh&gt; Video boong&gt; điều khiển từ xa</v>
      </c>
      <c r="F76" t="str">
        <f t="shared" ca="1" si="1"/>
        <v>"2084205437" : "điều khiển từ xa",</v>
      </c>
    </row>
    <row r="77" spans="1:6" ht="15.75" customHeight="1">
      <c r="A77" s="14">
        <v>23908</v>
      </c>
      <c r="B77" s="14" t="s">
        <v>46</v>
      </c>
      <c r="C77" s="14" t="s">
        <v>2465</v>
      </c>
      <c r="D77" s="5" t="str">
        <f ca="1">IFERROR(__xludf.DUMMYFUNCTION("GOOGLETRANSLATE(B77,""ja"",""vi"")"),"nếu không thì")</f>
        <v>nếu không thì</v>
      </c>
      <c r="E77" s="4" t="str">
        <f ca="1">IFERROR(__xludf.DUMMYFUNCTION("GOOGLETRANSLATE(C77,""ja"",""vi"")"),"Đấu giá&gt; thiết bị điện tử tiêu dùng, AV, máy ảnh&gt; Thiết bị hình ảnh&gt; Video boong&gt; Khác")</f>
        <v>Đấu giá&gt; thiết bị điện tử tiêu dùng, AV, máy ảnh&gt; Thiết bị hình ảnh&gt; Video boong&gt; Khác</v>
      </c>
      <c r="F77" t="str">
        <f t="shared" ca="1" si="1"/>
        <v>"23908" : "nếu không thì",</v>
      </c>
    </row>
    <row r="78" spans="1:6" ht="15.75" customHeight="1">
      <c r="A78" s="14">
        <v>2084205441</v>
      </c>
      <c r="B78" s="14" t="s">
        <v>2468</v>
      </c>
      <c r="C78" s="14" t="s">
        <v>2469</v>
      </c>
      <c r="D78" s="5" t="str">
        <f ca="1">IFERROR(__xludf.DUMMYFUNCTION("GOOGLETRANSLATE(B78,""ja"",""vi"")"),"điều khiển đa từ xa")</f>
        <v>điều khiển đa từ xa</v>
      </c>
      <c r="E78" s="4" t="str">
        <f ca="1">IFERROR(__xludf.DUMMYFUNCTION("GOOGLETRANSLATE(C78,""ja"",""vi"")"),"Đấu giá&gt; thiết bị điện tử tiêu dùng, AV, máy ảnh&gt; Thiết bị hình ảnh&gt; điều khiển từ xa&gt; kiểm soát Multi-xa")</f>
        <v>Đấu giá&gt; thiết bị điện tử tiêu dùng, AV, máy ảnh&gt; Thiết bị hình ảnh&gt; điều khiển từ xa&gt; kiểm soát Multi-xa</v>
      </c>
      <c r="F78" t="str">
        <f t="shared" ca="1" si="1"/>
        <v>"2084205441" : "điều khiển đa từ xa",</v>
      </c>
    </row>
    <row r="79" spans="1:6" ht="15.75" customHeight="1">
      <c r="A79" s="14">
        <v>2084018961</v>
      </c>
      <c r="B79" s="14" t="s">
        <v>2474</v>
      </c>
      <c r="C79" s="14" t="s">
        <v>2475</v>
      </c>
      <c r="D79" s="5" t="str">
        <f ca="1">IFERROR(__xludf.DUMMYFUNCTION("GOOGLETRANSLATE(B79,""ja"",""vi"")"),"Đối với truyền hình")</f>
        <v>Đối với truyền hình</v>
      </c>
      <c r="E79" s="4" t="str">
        <f ca="1">IFERROR(__xludf.DUMMYFUNCTION("GOOGLETRANSLATE(C79,""ja"",""vi"")"),"Đấu giá&gt; thiết bị điện tử tiêu dùng, AV, máy ảnh&gt; Thiết bị hình ảnh&gt; điều khiển từ xa&gt; TV")</f>
        <v>Đấu giá&gt; thiết bị điện tử tiêu dùng, AV, máy ảnh&gt; Thiết bị hình ảnh&gt; điều khiển từ xa&gt; TV</v>
      </c>
      <c r="F79" t="str">
        <f t="shared" ca="1" si="1"/>
        <v>"2084018961" : "Đối với truyền hình",</v>
      </c>
    </row>
    <row r="80" spans="1:6" ht="15.75" customHeight="1">
      <c r="A80" s="14">
        <v>2084205437</v>
      </c>
      <c r="B80" s="14" t="s">
        <v>2478</v>
      </c>
      <c r="C80" s="14" t="s">
        <v>2479</v>
      </c>
      <c r="D80" s="5" t="str">
        <f ca="1">IFERROR(__xludf.DUMMYFUNCTION("GOOGLETRANSLATE(B80,""ja"",""vi"")"),"video")</f>
        <v>video</v>
      </c>
      <c r="E80" s="4" t="str">
        <f ca="1">IFERROR(__xludf.DUMMYFUNCTION("GOOGLETRANSLATE(C80,""ja"",""vi"")"),"Đấu giá&gt; thiết bị điện tử tiêu dùng, AV, máy ảnh&gt; Thiết bị hình ảnh&gt; điều khiển từ xa&gt; Video")</f>
        <v>Đấu giá&gt; thiết bị điện tử tiêu dùng, AV, máy ảnh&gt; Thiết bị hình ảnh&gt; điều khiển từ xa&gt; Video</v>
      </c>
      <c r="F80" t="str">
        <f t="shared" ca="1" si="1"/>
        <v>"2084205437" : "video",</v>
      </c>
    </row>
    <row r="81" spans="1:6" ht="15.75" customHeight="1">
      <c r="A81" s="14">
        <v>2084205442</v>
      </c>
      <c r="B81" s="14" t="s">
        <v>46</v>
      </c>
      <c r="C81" s="14" t="s">
        <v>2483</v>
      </c>
      <c r="D81" s="5" t="str">
        <f ca="1">IFERROR(__xludf.DUMMYFUNCTION("GOOGLETRANSLATE(B81,""ja"",""vi"")"),"nếu không thì")</f>
        <v>nếu không thì</v>
      </c>
      <c r="E81" s="4" t="str">
        <f ca="1">IFERROR(__xludf.DUMMYFUNCTION("GOOGLETRANSLATE(C81,""ja"",""vi"")"),"Đấu giá&gt; thiết bị điện tử tiêu dùng, AV, máy ảnh&gt; Thiết bị hình ảnh&gt; điều khiển từ xa&gt; Khác")</f>
        <v>Đấu giá&gt; thiết bị điện tử tiêu dùng, AV, máy ảnh&gt; Thiết bị hình ảnh&gt; điều khiển từ xa&gt; Khác</v>
      </c>
      <c r="F81" t="str">
        <f t="shared" ca="1" si="1"/>
        <v>"2084205442" : "nếu không thì",</v>
      </c>
    </row>
    <row r="82" spans="1:6" ht="15.75" customHeight="1">
      <c r="A82" s="14">
        <v>2084241312</v>
      </c>
      <c r="B82" s="14" t="s">
        <v>2487</v>
      </c>
      <c r="C82" s="14" t="s">
        <v>2489</v>
      </c>
      <c r="D82" s="5" t="str">
        <f ca="1">IFERROR(__xludf.DUMMYFUNCTION("GOOGLETRANSLATE(B82,""ja"",""vi"")"),"Onkyo")</f>
        <v>Onkyo</v>
      </c>
      <c r="E82" s="4" t="str">
        <f ca="1">IFERROR(__xludf.DUMMYFUNCTION("GOOGLETRANSLATE(C82,""ja"",""vi"")"),"Đấu giá&gt; thiết bị điện tử tiêu dùng, AV, máy ảnh&gt; Thiết bị âm thanh&gt; Bộ khuếch đại&gt; AV Bộ khuếch đại&gt; Onkyo")</f>
        <v>Đấu giá&gt; thiết bị điện tử tiêu dùng, AV, máy ảnh&gt; Thiết bị âm thanh&gt; Bộ khuếch đại&gt; AV Bộ khuếch đại&gt; Onkyo</v>
      </c>
      <c r="F82" t="str">
        <f t="shared" ca="1" si="1"/>
        <v>"2084241312" : "Onkyo",</v>
      </c>
    </row>
    <row r="83" spans="1:6" ht="15.75" customHeight="1">
      <c r="A83" s="14">
        <v>2084241315</v>
      </c>
      <c r="B83" s="14" t="s">
        <v>2491</v>
      </c>
      <c r="C83" s="14" t="s">
        <v>2492</v>
      </c>
      <c r="D83" s="5" t="str">
        <f ca="1">IFERROR(__xludf.DUMMYFUNCTION("GOOGLETRANSLATE(B83,""ja"",""vi"")"),"Kenwood")</f>
        <v>Kenwood</v>
      </c>
      <c r="E83" s="4" t="str">
        <f ca="1">IFERROR(__xludf.DUMMYFUNCTION("GOOGLETRANSLATE(C83,""ja"",""vi"")"),"Đấu giá&gt; thiết bị điện tử tiêu dùng, AV, máy ảnh&gt; Thiết bị âm thanh&gt; Bộ khuếch đại&gt; AV Bộ khuếch đại&gt; Kenwood")</f>
        <v>Đấu giá&gt; thiết bị điện tử tiêu dùng, AV, máy ảnh&gt; Thiết bị âm thanh&gt; Bộ khuếch đại&gt; AV Bộ khuếch đại&gt; Kenwood</v>
      </c>
      <c r="F83" t="str">
        <f t="shared" ca="1" si="1"/>
        <v>"2084241315" : "Kenwood",</v>
      </c>
    </row>
    <row r="84" spans="1:6" ht="15.75" customHeight="1">
      <c r="A84" s="14">
        <v>2084241313</v>
      </c>
      <c r="B84" s="14" t="s">
        <v>1738</v>
      </c>
      <c r="C84" s="14" t="s">
        <v>2497</v>
      </c>
      <c r="D84" s="5" t="str">
        <f ca="1">IFERROR(__xludf.DUMMYFUNCTION("GOOGLETRANSLATE(B84,""ja"",""vi"")"),"Sony")</f>
        <v>Sony</v>
      </c>
      <c r="E84" s="4" t="str">
        <f ca="1">IFERROR(__xludf.DUMMYFUNCTION("GOOGLETRANSLATE(C84,""ja"",""vi"")"),"Đấu giá&gt; thiết bị điện tử tiêu dùng, AV, máy ảnh&gt; Thiết bị âm thanh&gt; Bộ khuếch đại&gt; AV khuếch đại&gt; Sony")</f>
        <v>Đấu giá&gt; thiết bị điện tử tiêu dùng, AV, máy ảnh&gt; Thiết bị âm thanh&gt; Bộ khuếch đại&gt; AV khuếch đại&gt; Sony</v>
      </c>
      <c r="F84" t="str">
        <f t="shared" ca="1" si="1"/>
        <v>"2084241313" : "Sony",</v>
      </c>
    </row>
    <row r="85" spans="1:6" ht="15.75" customHeight="1">
      <c r="A85" s="14">
        <v>2084241314</v>
      </c>
      <c r="B85" s="14" t="s">
        <v>2501</v>
      </c>
      <c r="C85" s="14" t="s">
        <v>2502</v>
      </c>
      <c r="D85" s="5" t="str">
        <f ca="1">IFERROR(__xludf.DUMMYFUNCTION("GOOGLETRANSLATE(B85,""ja"",""vi"")"),"Denon")</f>
        <v>Denon</v>
      </c>
      <c r="E85" s="4" t="str">
        <f ca="1">IFERROR(__xludf.DUMMYFUNCTION("GOOGLETRANSLATE(C85,""ja"",""vi"")"),"Đấu giá&gt; thiết bị điện tử tiêu dùng, AV, máy ảnh&gt; Thiết bị âm thanh&gt; Bộ khuếch đại&gt; AV Bộ khuếch đại&gt; Denon")</f>
        <v>Đấu giá&gt; thiết bị điện tử tiêu dùng, AV, máy ảnh&gt; Thiết bị âm thanh&gt; Bộ khuếch đại&gt; AV Bộ khuếch đại&gt; Denon</v>
      </c>
      <c r="F85" t="str">
        <f t="shared" ca="1" si="1"/>
        <v>"2084241314" : "Denon",</v>
      </c>
    </row>
    <row r="86" spans="1:6" ht="15.75" customHeight="1">
      <c r="A86" s="14">
        <v>2084241316</v>
      </c>
      <c r="B86" s="14" t="s">
        <v>2507</v>
      </c>
      <c r="C86" s="14" t="s">
        <v>2508</v>
      </c>
      <c r="D86" s="5" t="str">
        <f ca="1">IFERROR(__xludf.DUMMYFUNCTION("GOOGLETRANSLATE(B86,""ja"",""vi"")"),"Pioneer")</f>
        <v>Pioneer</v>
      </c>
      <c r="E86" s="4" t="str">
        <f ca="1">IFERROR(__xludf.DUMMYFUNCTION("GOOGLETRANSLATE(C86,""ja"",""vi"")"),"Đấu giá&gt; thiết bị điện tử tiêu dùng, AV, máy ảnh&gt; Thiết bị âm thanh&gt; Bộ khuếch đại&gt; AV Bộ khuếch đại&gt; Pioneer")</f>
        <v>Đấu giá&gt; thiết bị điện tử tiêu dùng, AV, máy ảnh&gt; Thiết bị âm thanh&gt; Bộ khuếch đại&gt; AV Bộ khuếch đại&gt; Pioneer</v>
      </c>
      <c r="F86" t="str">
        <f t="shared" ca="1" si="1"/>
        <v>"2084241316" : "Pioneer",</v>
      </c>
    </row>
    <row r="87" spans="1:6" ht="15.75" customHeight="1">
      <c r="A87" s="14">
        <v>2084241318</v>
      </c>
      <c r="B87" s="14" t="s">
        <v>2510</v>
      </c>
      <c r="C87" s="14" t="s">
        <v>2512</v>
      </c>
      <c r="D87" s="5" t="str">
        <f ca="1">IFERROR(__xludf.DUMMYFUNCTION("GOOGLETRANSLATE(B87,""ja"",""vi"")"),"kẻ thắng cuộc")</f>
        <v>kẻ thắng cuộc</v>
      </c>
      <c r="E87" s="4" t="str">
        <f ca="1">IFERROR(__xludf.DUMMYFUNCTION("GOOGLETRANSLATE(C87,""ja"",""vi"")"),"Đấu giá&gt; thiết bị điện tử tiêu dùng, AV, máy ảnh&gt; Thiết bị âm thanh&gt; Bộ khuếch đại&gt; AV khuếch đại&gt; Victor")</f>
        <v>Đấu giá&gt; thiết bị điện tử tiêu dùng, AV, máy ảnh&gt; Thiết bị âm thanh&gt; Bộ khuếch đại&gt; AV khuếch đại&gt; Victor</v>
      </c>
      <c r="F87" t="str">
        <f t="shared" ca="1" si="1"/>
        <v>"2084241318" : "kẻ thắng cuộc",</v>
      </c>
    </row>
    <row r="88" spans="1:6" ht="15.75" customHeight="1">
      <c r="A88" s="14">
        <v>2084241317</v>
      </c>
      <c r="B88" s="14" t="s">
        <v>2516</v>
      </c>
      <c r="C88" s="14" t="s">
        <v>2517</v>
      </c>
      <c r="D88" s="5" t="str">
        <f ca="1">IFERROR(__xludf.DUMMYFUNCTION("GOOGLETRANSLATE(B88,""ja"",""vi"")"),"Marantz")</f>
        <v>Marantz</v>
      </c>
      <c r="E88" s="4" t="str">
        <f ca="1">IFERROR(__xludf.DUMMYFUNCTION("GOOGLETRANSLATE(C88,""ja"",""vi"")"),"Đấu giá&gt; thiết bị điện tử tiêu dùng, AV, máy ảnh&gt; Thiết bị âm thanh&gt; Bộ khuếch đại&gt; AV Bộ khuếch đại&gt; Marantz")</f>
        <v>Đấu giá&gt; thiết bị điện tử tiêu dùng, AV, máy ảnh&gt; Thiết bị âm thanh&gt; Bộ khuếch đại&gt; AV Bộ khuếch đại&gt; Marantz</v>
      </c>
      <c r="F88" t="str">
        <f t="shared" ca="1" si="1"/>
        <v>"2084241317" : "Marantz",</v>
      </c>
    </row>
    <row r="89" spans="1:6" ht="15.75" customHeight="1">
      <c r="A89" s="14">
        <v>2084241311</v>
      </c>
      <c r="B89" s="14" t="s">
        <v>2522</v>
      </c>
      <c r="C89" s="14" t="s">
        <v>2523</v>
      </c>
      <c r="D89" s="5" t="str">
        <f ca="1">IFERROR(__xludf.DUMMYFUNCTION("GOOGLETRANSLATE(B89,""ja"",""vi"")"),"Yamaha")</f>
        <v>Yamaha</v>
      </c>
      <c r="E89" s="4" t="str">
        <f ca="1">IFERROR(__xludf.DUMMYFUNCTION("GOOGLETRANSLATE(C89,""ja"",""vi"")"),"Đấu giá&gt; thiết bị điện tử tiêu dùng, AV, máy ảnh&gt; Thiết bị âm thanh&gt; Bộ khuếch đại&gt; AV khuếch đại&gt; Yamaha")</f>
        <v>Đấu giá&gt; thiết bị điện tử tiêu dùng, AV, máy ảnh&gt; Thiết bị âm thanh&gt; Bộ khuếch đại&gt; AV khuếch đại&gt; Yamaha</v>
      </c>
      <c r="F89" t="str">
        <f t="shared" ca="1" si="1"/>
        <v>"2084241311" : "Yamaha",</v>
      </c>
    </row>
    <row r="90" spans="1:6" ht="15.75" customHeight="1">
      <c r="A90" s="14">
        <v>2084241319</v>
      </c>
      <c r="B90" s="14" t="s">
        <v>46</v>
      </c>
      <c r="C90" s="14" t="s">
        <v>2528</v>
      </c>
      <c r="D90" s="5" t="str">
        <f ca="1">IFERROR(__xludf.DUMMYFUNCTION("GOOGLETRANSLATE(B90,""ja"",""vi"")"),"nếu không thì")</f>
        <v>nếu không thì</v>
      </c>
      <c r="E90" s="4" t="str">
        <f ca="1">IFERROR(__xludf.DUMMYFUNCTION("GOOGLETRANSLATE(C90,""ja"",""vi"")"),"Đấu giá&gt; thiết bị điện tử tiêu dùng, AV, máy ảnh&gt; Thiết bị âm thanh&gt; Bộ khuếch đại&gt; AV khuếch đại&gt; Khác")</f>
        <v>Đấu giá&gt; thiết bị điện tử tiêu dùng, AV, máy ảnh&gt; Thiết bị âm thanh&gt; Bộ khuếch đại&gt; AV khuếch đại&gt; Khác</v>
      </c>
      <c r="F90" t="str">
        <f t="shared" ca="1" si="1"/>
        <v>"2084241319" : "nếu không thì",</v>
      </c>
    </row>
    <row r="91" spans="1:6" ht="15.75" customHeight="1">
      <c r="A91" s="14">
        <v>2084245354</v>
      </c>
      <c r="B91" s="14" t="s">
        <v>2531</v>
      </c>
      <c r="C91" s="14" t="s">
        <v>2532</v>
      </c>
      <c r="D91" s="5" t="str">
        <f ca="1">IFERROR(__xludf.DUMMYFUNCTION("GOOGLETRANSLATE(B91,""ja"",""vi"")"),"loại thấp (ít hơn chiều cao 60cm)")</f>
        <v>loại thấp (ít hơn chiều cao 60cm)</v>
      </c>
      <c r="E91" s="4" t="str">
        <f ca="1">IFERROR(__xludf.DUMMYFUNCTION("GOOGLETRANSLATE(C91,""ja"",""vi"")"),"Đấu giá&gt; nhà, nội thất&gt; nội thất, nội thất&gt; kệ, tủ&gt; truyền hình đứng, Ban AV&gt; loại thấp (ít hơn chiều cao 60cm)")</f>
        <v>Đấu giá&gt; nhà, nội thất&gt; nội thất, nội thất&gt; kệ, tủ&gt; truyền hình đứng, Ban AV&gt; loại thấp (ít hơn chiều cao 60cm)</v>
      </c>
      <c r="F91" t="str">
        <f t="shared" ca="1" si="1"/>
        <v>"2084245354" : "loại thấp (ít hơn chiều cao 60cm)",</v>
      </c>
    </row>
    <row r="92" spans="1:6" ht="15.75" customHeight="1">
      <c r="A92" s="14">
        <v>2084245355</v>
      </c>
      <c r="B92" s="14" t="s">
        <v>2538</v>
      </c>
      <c r="C92" s="14" t="s">
        <v>2540</v>
      </c>
      <c r="D92" s="5" t="str">
        <f ca="1">IFERROR(__xludf.DUMMYFUNCTION("GOOGLETRANSLATE(B92,""ja"",""vi"")"),"loại cao (hơn chiều cao 60cm)")</f>
        <v>loại cao (hơn chiều cao 60cm)</v>
      </c>
      <c r="E92" s="4" t="str">
        <f ca="1">IFERROR(__xludf.DUMMYFUNCTION("GOOGLETRANSLATE(C92,""ja"",""vi"")"),"Đấu giá&gt; nhà, nội thất&gt; nội thất, nội thất&gt; kệ, tủ&gt; truyền hình đứng, Ban AV&gt; loại cao (hơn chiều cao 60cm)")</f>
        <v>Đấu giá&gt; nhà, nội thất&gt; nội thất, nội thất&gt; kệ, tủ&gt; truyền hình đứng, Ban AV&gt; loại cao (hơn chiều cao 60cm)</v>
      </c>
      <c r="F92" t="str">
        <f t="shared" ca="1" si="1"/>
        <v>"2084245355" : "loại cao (hơn chiều cao 60cm)",</v>
      </c>
    </row>
    <row r="93" spans="1:6" ht="15.75" customHeight="1">
      <c r="A93" s="14">
        <v>2084245356</v>
      </c>
      <c r="B93" s="14" t="s">
        <v>2543</v>
      </c>
      <c r="C93" s="14" t="s">
        <v>2546</v>
      </c>
      <c r="D93" s="5" t="str">
        <f ca="1">IFERROR(__xludf.DUMMYFUNCTION("GOOGLETRANSLATE(B93,""ja"",""vi"")"),"loại tường")</f>
        <v>loại tường</v>
      </c>
      <c r="E93" s="4" t="str">
        <f ca="1">IFERROR(__xludf.DUMMYFUNCTION("GOOGLETRANSLATE(C93,""ja"",""vi"")"),"Đấu giá&gt; nhà, nội thất&gt; nội thất, nội thất&gt; kệ, tủ&gt; truyền hình đứng, Ban AV&gt; loại tường")</f>
        <v>Đấu giá&gt; nhà, nội thất&gt; nội thất, nội thất&gt; kệ, tủ&gt; truyền hình đứng, Ban AV&gt; loại tường</v>
      </c>
      <c r="F93" t="str">
        <f t="shared" ca="1" si="1"/>
        <v>"2084245356" : "loại tường",</v>
      </c>
    </row>
    <row r="94" spans="1:6" ht="15.75" customHeight="1">
      <c r="A94" s="14">
        <v>2084245357</v>
      </c>
      <c r="B94" s="14" t="s">
        <v>2548</v>
      </c>
      <c r="C94" s="14" t="s">
        <v>2550</v>
      </c>
      <c r="D94" s="5" t="str">
        <f ca="1">IFERROR(__xludf.DUMMYFUNCTION("GOOGLETRANSLATE(B94,""ja"",""vi"")"),"loại góc")</f>
        <v>loại góc</v>
      </c>
      <c r="E94" s="4" t="str">
        <f ca="1">IFERROR(__xludf.DUMMYFUNCTION("GOOGLETRANSLATE(C94,""ja"",""vi"")"),"Đấu giá&gt; nhà, nội thất&gt; nội thất, nội thất&gt; kệ, tủ&gt; truyền hình đứng, Ban AV&gt; loại góc")</f>
        <v>Đấu giá&gt; nhà, nội thất&gt; nội thất, nội thất&gt; kệ, tủ&gt; truyền hình đứng, Ban AV&gt; loại góc</v>
      </c>
      <c r="F94" t="str">
        <f t="shared" ca="1" si="1"/>
        <v>"2084245357" : "loại góc",</v>
      </c>
    </row>
    <row r="95" spans="1:6" ht="15.75" customHeight="1">
      <c r="A95" s="14">
        <v>2084245358</v>
      </c>
      <c r="B95" s="14" t="s">
        <v>46</v>
      </c>
      <c r="C95" s="14" t="s">
        <v>2555</v>
      </c>
      <c r="D95" s="5" t="str">
        <f ca="1">IFERROR(__xludf.DUMMYFUNCTION("GOOGLETRANSLATE(B95,""ja"",""vi"")"),"nếu không thì")</f>
        <v>nếu không thì</v>
      </c>
      <c r="E95" s="4" t="str">
        <f ca="1">IFERROR(__xludf.DUMMYFUNCTION("GOOGLETRANSLATE(C95,""ja"",""vi"")"),"Đấu giá&gt; nhà, nội thất&gt; nội thất, nội thất&gt; kệ, tủ&gt; truyền hình đứng, Ban AV&gt; Khác")</f>
        <v>Đấu giá&gt; nhà, nội thất&gt; nội thất, nội thất&gt; kệ, tủ&gt; truyền hình đứng, Ban AV&gt; Khác</v>
      </c>
      <c r="F95" t="str">
        <f t="shared" ca="1" si="1"/>
        <v>"2084245358" : "nếu không thì",</v>
      </c>
    </row>
    <row r="96" spans="1:6" ht="15.75" customHeight="1">
      <c r="A96" s="14">
        <v>2084024076</v>
      </c>
      <c r="B96" s="14" t="s">
        <v>2559</v>
      </c>
      <c r="C96" s="14" t="s">
        <v>2561</v>
      </c>
      <c r="D96" s="5" t="str">
        <f ca="1">IFERROR(__xludf.DUMMYFUNCTION("GOOGLETRANSLATE(B96,""ja"",""vi"")"),"máy nghe nhạc âm thanh kỹ thuật số")</f>
        <v>máy nghe nhạc âm thanh kỹ thuật số</v>
      </c>
      <c r="E96" s="4" t="str">
        <f ca="1">IFERROR(__xludf.DUMMYFUNCTION("GOOGLETRANSLATE(C96,""ja"",""vi"")"),"Đấu giá&gt; thiết bị điện tử tiêu dùng, AV, máy ảnh&gt; Thiết bị âm thanh&gt; nghe nhạc cầm tay&gt; Máy nghe âm thanh kỹ thuật số")</f>
        <v>Đấu giá&gt; thiết bị điện tử tiêu dùng, AV, máy ảnh&gt; Thiết bị âm thanh&gt; nghe nhạc cầm tay&gt; Máy nghe âm thanh kỹ thuật số</v>
      </c>
      <c r="F96" t="str">
        <f t="shared" ca="1" si="1"/>
        <v>"2084024076" : "máy nghe nhạc âm thanh kỹ thuật số",</v>
      </c>
    </row>
    <row r="97" spans="1:6" ht="15.75" customHeight="1">
      <c r="A97" s="14">
        <v>2084290675</v>
      </c>
      <c r="B97" s="14" t="s">
        <v>2564</v>
      </c>
      <c r="C97" s="14" t="s">
        <v>2565</v>
      </c>
      <c r="D97" s="5" t="str">
        <f ca="1">IFERROR(__xludf.DUMMYFUNCTION("GOOGLETRANSLATE(B97,""ja"",""vi"")"),"máy phát FM")</f>
        <v>máy phát FM</v>
      </c>
      <c r="E97" s="4" t="str">
        <f ca="1">IFERROR(__xludf.DUMMYFUNCTION("GOOGLETRANSLATE(C97,""ja"",""vi"")"),"Đấu giá&gt; thiết bị điện tử tiêu dùng, AV, máy ảnh&gt; Thiết bị âm thanh&gt; Máy nghe di động&gt; máy phát FM")</f>
        <v>Đấu giá&gt; thiết bị điện tử tiêu dùng, AV, máy ảnh&gt; Thiết bị âm thanh&gt; Máy nghe di động&gt; máy phát FM</v>
      </c>
      <c r="F97" t="str">
        <f t="shared" ca="1" si="1"/>
        <v>"2084290675" : "máy phát FM",</v>
      </c>
    </row>
    <row r="98" spans="1:6" ht="15.75" customHeight="1">
      <c r="A98" s="14">
        <v>44763</v>
      </c>
      <c r="B98" s="14" t="s">
        <v>2570</v>
      </c>
      <c r="C98" s="14" t="s">
        <v>2571</v>
      </c>
      <c r="D98" s="5" t="str">
        <f ca="1">IFERROR(__xludf.DUMMYFUNCTION("GOOGLETRANSLATE(B98,""ja"",""vi"")"),"máy chơi CD")</f>
        <v>máy chơi CD</v>
      </c>
      <c r="E98" s="4" t="str">
        <f ca="1">IFERROR(__xludf.DUMMYFUNCTION("GOOGLETRANSLATE(C98,""ja"",""vi"")"),"Đấu giá&gt; thiết bị điện tử tiêu dùng, AV, máy ảnh&gt; Thiết bị âm thanh&gt; nghe nhạc cầm tay&gt; CD")</f>
        <v>Đấu giá&gt; thiết bị điện tử tiêu dùng, AV, máy ảnh&gt; Thiết bị âm thanh&gt; nghe nhạc cầm tay&gt; CD</v>
      </c>
      <c r="F98" t="str">
        <f t="shared" ca="1" si="1"/>
        <v>"44763" : "máy chơi CD",</v>
      </c>
    </row>
    <row r="99" spans="1:6" ht="15.75" customHeight="1">
      <c r="A99" s="14">
        <v>2084005262</v>
      </c>
      <c r="B99" s="14" t="s">
        <v>2576</v>
      </c>
      <c r="C99" s="14" t="s">
        <v>2578</v>
      </c>
      <c r="D99" s="5" t="str">
        <f ca="1">IFERROR(__xludf.DUMMYFUNCTION("GOOGLETRANSLATE(B99,""ja"",""vi"")"),"người chơi MD")</f>
        <v>người chơi MD</v>
      </c>
      <c r="E99" s="4" t="str">
        <f ca="1">IFERROR(__xludf.DUMMYFUNCTION("GOOGLETRANSLATE(C99,""ja"",""vi"")"),"Đấu giá&gt; thiết bị điện tử tiêu dùng, AV, máy ảnh&gt; Thiết bị âm thanh&gt; nghe nhạc cầm tay&gt; Máy nghe MD")</f>
        <v>Đấu giá&gt; thiết bị điện tử tiêu dùng, AV, máy ảnh&gt; Thiết bị âm thanh&gt; nghe nhạc cầm tay&gt; Máy nghe MD</v>
      </c>
      <c r="F99" t="str">
        <f t="shared" ca="1" si="1"/>
        <v>"2084005262" : "người chơi MD",</v>
      </c>
    </row>
    <row r="100" spans="1:6" ht="15.75" customHeight="1">
      <c r="A100" s="14">
        <v>44762</v>
      </c>
      <c r="B100" s="14" t="s">
        <v>2581</v>
      </c>
      <c r="C100" s="14" t="s">
        <v>2583</v>
      </c>
      <c r="D100" s="5" t="str">
        <f ca="1">IFERROR(__xludf.DUMMYFUNCTION("GOOGLETRANSLATE(B100,""ja"",""vi"")"),"cassette")</f>
        <v>cassette</v>
      </c>
      <c r="E100" s="4" t="str">
        <f ca="1">IFERROR(__xludf.DUMMYFUNCTION("GOOGLETRANSLATE(C100,""ja"",""vi"")"),"Đấu giá&gt; thiết bị điện tử tiêu dùng, AV, máy ảnh&gt; Thiết bị âm thanh&gt; nghe nhạc cầm tay&gt; cassette")</f>
        <v>Đấu giá&gt; thiết bị điện tử tiêu dùng, AV, máy ảnh&gt; Thiết bị âm thanh&gt; nghe nhạc cầm tay&gt; cassette</v>
      </c>
      <c r="F100" t="str">
        <f t="shared" ca="1" si="1"/>
        <v>"44762" : "cassette",</v>
      </c>
    </row>
    <row r="101" spans="1:6" ht="15.75" customHeight="1">
      <c r="A101" s="14">
        <v>44765</v>
      </c>
      <c r="B101" s="14" t="s">
        <v>46</v>
      </c>
      <c r="C101" s="14" t="s">
        <v>2586</v>
      </c>
      <c r="D101" s="5" t="str">
        <f ca="1">IFERROR(__xludf.DUMMYFUNCTION("GOOGLETRANSLATE(B101,""ja"",""vi"")"),"nếu không thì")</f>
        <v>nếu không thì</v>
      </c>
      <c r="E101" s="4" t="str">
        <f ca="1">IFERROR(__xludf.DUMMYFUNCTION("GOOGLETRANSLATE(C101,""ja"",""vi"")"),"Đấu giá&gt; thiết bị điện tử tiêu dùng, AV, máy ảnh&gt; Thiết bị âm thanh&gt; nghe nhạc cầm tay&gt; Khác")</f>
        <v>Đấu giá&gt; thiết bị điện tử tiêu dùng, AV, máy ảnh&gt; Thiết bị âm thanh&gt; nghe nhạc cầm tay&gt; Khác</v>
      </c>
      <c r="F101" t="str">
        <f t="shared" ca="1" si="1"/>
        <v>"44765" : "nếu không thì",</v>
      </c>
    </row>
    <row r="102" spans="1:6" ht="15.75" customHeight="1">
      <c r="A102" s="14">
        <v>2084219566</v>
      </c>
      <c r="B102" s="14" t="s">
        <v>2590</v>
      </c>
      <c r="C102" s="14" t="s">
        <v>2593</v>
      </c>
      <c r="D102" s="5" t="str">
        <f ca="1">IFERROR(__xludf.DUMMYFUNCTION("GOOGLETRANSLATE(B102,""ja"",""vi"")"),"Tai nghe")</f>
        <v>Tai nghe</v>
      </c>
      <c r="E102" s="4" t="str">
        <f ca="1">IFERROR(__xludf.DUMMYFUNCTION("GOOGLETRANSLATE(C102,""ja"",""vi"")"),"Đấu giá&gt; thiết bị điện tử tiêu dùng, AV, máy ảnh&gt; Thiết bị âm thanh&gt; tai nghe, tai nghe&gt; tai nghe")</f>
        <v>Đấu giá&gt; thiết bị điện tử tiêu dùng, AV, máy ảnh&gt; Thiết bị âm thanh&gt; tai nghe, tai nghe&gt; tai nghe</v>
      </c>
      <c r="F102" t="str">
        <f t="shared" ca="1" si="1"/>
        <v>"2084219566" : "Tai nghe",</v>
      </c>
    </row>
    <row r="103" spans="1:6" ht="15.75" customHeight="1">
      <c r="A103" s="14">
        <v>2084219565</v>
      </c>
      <c r="B103" s="14" t="s">
        <v>2597</v>
      </c>
      <c r="C103" s="14" t="s">
        <v>2599</v>
      </c>
      <c r="D103" s="5" t="str">
        <f ca="1">IFERROR(__xludf.DUMMYFUNCTION("GOOGLETRANSLATE(B103,""ja"",""vi"")"),"Tai nghe")</f>
        <v>Tai nghe</v>
      </c>
      <c r="E103" s="4" t="str">
        <f ca="1">IFERROR(__xludf.DUMMYFUNCTION("GOOGLETRANSLATE(C103,""ja"",""vi"")"),"Đấu giá&gt; thiết bị điện tử tiêu dùng, AV, máy ảnh&gt; Thiết bị âm thanh&gt; tai nghe, tai nghe&gt; tai nghe")</f>
        <v>Đấu giá&gt; thiết bị điện tử tiêu dùng, AV, máy ảnh&gt; Thiết bị âm thanh&gt; tai nghe, tai nghe&gt; tai nghe</v>
      </c>
      <c r="F103" t="str">
        <f t="shared" ca="1" si="1"/>
        <v>"2084219565" : "Tai nghe",</v>
      </c>
    </row>
    <row r="104" spans="1:6" ht="15.75" customHeight="1">
      <c r="A104" s="14">
        <v>2084244084</v>
      </c>
      <c r="B104" s="14" t="s">
        <v>2602</v>
      </c>
      <c r="C104" s="14" t="s">
        <v>2604</v>
      </c>
      <c r="D104" s="5" t="str">
        <f ca="1">IFERROR(__xludf.DUMMYFUNCTION("GOOGLETRANSLATE(B104,""ja"",""vi"")"),"headphone Amplifier")</f>
        <v>headphone Amplifier</v>
      </c>
      <c r="E104" s="4" t="str">
        <f ca="1">IFERROR(__xludf.DUMMYFUNCTION("GOOGLETRANSLATE(C104,""ja"",""vi"")"),"Đấu giá&gt; thiết bị điện tử tiêu dùng, AV, máy ảnh&gt; Thiết bị âm thanh&gt; tai nghe, tai nghe&gt; tai nghe khuếch đại")</f>
        <v>Đấu giá&gt; thiết bị điện tử tiêu dùng, AV, máy ảnh&gt; Thiết bị âm thanh&gt; tai nghe, tai nghe&gt; tai nghe khuếch đại</v>
      </c>
      <c r="F104" t="str">
        <f t="shared" ca="1" si="1"/>
        <v>"2084244084" : "headphone Amplifier",</v>
      </c>
    </row>
    <row r="105" spans="1:6" ht="15.75" customHeight="1">
      <c r="A105" s="14">
        <v>84037425</v>
      </c>
      <c r="B105" s="14" t="s">
        <v>2241</v>
      </c>
      <c r="C105" s="14" t="s">
        <v>2609</v>
      </c>
      <c r="D105" s="5" t="str">
        <f ca="1">IFERROR(__xludf.DUMMYFUNCTION("GOOGLETRANSLATE(B105,""ja"",""vi"")"),"chung")</f>
        <v>chung</v>
      </c>
      <c r="E105" s="4" t="str">
        <f ca="1">IFERROR(__xludf.DUMMYFUNCTION("GOOGLETRANSLATE(C105,""ja"",""vi"")"),"Đấu giá&gt; thiết bị điện tử tiêu dùng, AV, máy ảnh&gt; Thiết bị âm thanh&gt; Bộ khuếch đại&gt; General")</f>
        <v>Đấu giá&gt; thiết bị điện tử tiêu dùng, AV, máy ảnh&gt; Thiết bị âm thanh&gt; Bộ khuếch đại&gt; General</v>
      </c>
      <c r="F105" t="str">
        <f t="shared" ca="1" si="1"/>
        <v>"84037425" : "chung",</v>
      </c>
    </row>
    <row r="106" spans="1:6" ht="15.75" customHeight="1">
      <c r="A106" s="14">
        <v>2084037424</v>
      </c>
      <c r="B106" s="14" t="s">
        <v>2612</v>
      </c>
      <c r="C106" s="14" t="s">
        <v>2614</v>
      </c>
      <c r="D106" s="5" t="str">
        <f ca="1">IFERROR(__xludf.DUMMYFUNCTION("GOOGLETRANSLATE(B106,""ja"",""vi"")"),"AV khuếch đại")</f>
        <v>AV khuếch đại</v>
      </c>
      <c r="E106" s="4" t="str">
        <f ca="1">IFERROR(__xludf.DUMMYFUNCTION("GOOGLETRANSLATE(C106,""ja"",""vi"")"),"Đấu giá&gt; thiết bị điện tử tiêu dùng, AV, máy ảnh&gt; Thiết bị âm thanh&gt; Bộ khuếch đại&gt; AV khuếch đại")</f>
        <v>Đấu giá&gt; thiết bị điện tử tiêu dùng, AV, máy ảnh&gt; Thiết bị âm thanh&gt; Bộ khuếch đại&gt; AV khuếch đại</v>
      </c>
      <c r="F106" t="str">
        <f t="shared" ca="1" si="1"/>
        <v>"2084037424" : "AV khuếch đại",</v>
      </c>
    </row>
    <row r="107" spans="1:6" ht="15.75" customHeight="1">
      <c r="A107" s="14">
        <v>2084037423</v>
      </c>
      <c r="B107" s="14" t="s">
        <v>2619</v>
      </c>
      <c r="C107" s="14" t="s">
        <v>2620</v>
      </c>
      <c r="D107" s="5" t="str">
        <f ca="1">IFERROR(__xludf.DUMMYFUNCTION("GOOGLETRANSLATE(B107,""ja"",""vi"")"),"khuếch đại ống chân không")</f>
        <v>khuếch đại ống chân không</v>
      </c>
      <c r="E107" s="4" t="str">
        <f ca="1">IFERROR(__xludf.DUMMYFUNCTION("GOOGLETRANSLATE(C107,""ja"",""vi"")"),"Đấu giá&gt; thiết bị điện tử tiêu dùng, AV, máy ảnh&gt; Thiết bị âm thanh&gt; khuếch đại&gt; ampli đèn chân không")</f>
        <v>Đấu giá&gt; thiết bị điện tử tiêu dùng, AV, máy ảnh&gt; Thiết bị âm thanh&gt; khuếch đại&gt; ampli đèn chân không</v>
      </c>
      <c r="F107" t="str">
        <f t="shared" ca="1" si="1"/>
        <v>"2084037423" : "khuếch đại ống chân không",</v>
      </c>
    </row>
    <row r="108" spans="1:6" ht="15.75" customHeight="1">
      <c r="A108" s="14">
        <v>2084244084</v>
      </c>
      <c r="B108" s="14" t="s">
        <v>2602</v>
      </c>
      <c r="C108" s="14" t="s">
        <v>2624</v>
      </c>
      <c r="D108" s="5" t="str">
        <f ca="1">IFERROR(__xludf.DUMMYFUNCTION("GOOGLETRANSLATE(B108,""ja"",""vi"")"),"headphone Amplifier")</f>
        <v>headphone Amplifier</v>
      </c>
      <c r="E108" s="4" t="str">
        <f ca="1">IFERROR(__xludf.DUMMYFUNCTION("GOOGLETRANSLATE(C108,""ja"",""vi"")"),"Đấu giá&gt; thiết bị điện tử tiêu dùng, AV, máy ảnh&gt; Thiết bị âm thanh&gt; khuếch đại&gt; Headphone Amplifier")</f>
        <v>Đấu giá&gt; thiết bị điện tử tiêu dùng, AV, máy ảnh&gt; Thiết bị âm thanh&gt; khuếch đại&gt; Headphone Amplifier</v>
      </c>
      <c r="F108" t="str">
        <f t="shared" ca="1" si="1"/>
        <v>"2084244084" : "headphone Amplifier",</v>
      </c>
    </row>
    <row r="109" spans="1:6" ht="15.75" customHeight="1">
      <c r="A109" s="14">
        <v>2084024130</v>
      </c>
      <c r="B109" s="14" t="s">
        <v>2241</v>
      </c>
      <c r="C109" s="14" t="s">
        <v>2627</v>
      </c>
      <c r="D109" s="5" t="str">
        <f ca="1">IFERROR(__xludf.DUMMYFUNCTION("GOOGLETRANSLATE(B109,""ja"",""vi"")"),"chung")</f>
        <v>chung</v>
      </c>
      <c r="E109" s="4" t="str">
        <f ca="1">IFERROR(__xludf.DUMMYFUNCTION("GOOGLETRANSLATE(C109,""ja"",""vi"")"),"Đấu giá&gt; thiết bị điện tử tiêu dùng, AV, máy ảnh&gt; Thiết bị âm thanh&gt; Loa&gt; chung")</f>
        <v>Đấu giá&gt; thiết bị điện tử tiêu dùng, AV, máy ảnh&gt; Thiết bị âm thanh&gt; Loa&gt; chung</v>
      </c>
      <c r="F109" t="str">
        <f t="shared" ca="1" si="1"/>
        <v>"2084024130" : "chung",</v>
      </c>
    </row>
    <row r="110" spans="1:6" ht="15.75" customHeight="1">
      <c r="A110" s="14">
        <v>2084024131</v>
      </c>
      <c r="B110" s="14" t="s">
        <v>2631</v>
      </c>
      <c r="C110" s="14" t="s">
        <v>2632</v>
      </c>
      <c r="D110" s="5" t="str">
        <f ca="1">IFERROR(__xludf.DUMMYFUNCTION("GOOGLETRANSLATE(B110,""ja"",""vi"")"),"woofer")</f>
        <v>woofer</v>
      </c>
      <c r="E110" s="4" t="str">
        <f ca="1">IFERROR(__xludf.DUMMYFUNCTION("GOOGLETRANSLATE(C110,""ja"",""vi"")"),"Đấu giá&gt; thiết bị điện tử tiêu dùng, AV, máy ảnh&gt; Thiết bị âm thanh&gt; Loa&gt; woofer")</f>
        <v>Đấu giá&gt; thiết bị điện tử tiêu dùng, AV, máy ảnh&gt; Thiết bị âm thanh&gt; Loa&gt; woofer</v>
      </c>
      <c r="F110" t="str">
        <f t="shared" ca="1" si="1"/>
        <v>"2084024131" : "woofer",</v>
      </c>
    </row>
    <row r="111" spans="1:6" ht="15.75" customHeight="1">
      <c r="A111" s="14">
        <v>2084024133</v>
      </c>
      <c r="B111" s="14" t="s">
        <v>2637</v>
      </c>
      <c r="C111" s="14" t="s">
        <v>2638</v>
      </c>
      <c r="D111" s="5" t="str">
        <f ca="1">IFERROR(__xludf.DUMMYFUNCTION("GOOGLETRANSLATE(B111,""ja"",""vi"")"),"bộ Surround")</f>
        <v>bộ Surround</v>
      </c>
      <c r="E111" s="4" t="str">
        <f ca="1">IFERROR(__xludf.DUMMYFUNCTION("GOOGLETRANSLATE(C111,""ja"",""vi"")"),"Đấu giá&gt; thiết bị điện tử tiêu dùng, AV, máy ảnh&gt; Thiết bị âm thanh&gt; Loa&gt; Surround bộ")</f>
        <v>Đấu giá&gt; thiết bị điện tử tiêu dùng, AV, máy ảnh&gt; Thiết bị âm thanh&gt; Loa&gt; Surround bộ</v>
      </c>
      <c r="F111" t="str">
        <f t="shared" ca="1" si="1"/>
        <v>"2084024133" : "bộ Surround",</v>
      </c>
    </row>
    <row r="112" spans="1:6" ht="15.75" customHeight="1">
      <c r="A112" s="14">
        <v>2084316078</v>
      </c>
      <c r="B112" s="14" t="s">
        <v>2642</v>
      </c>
      <c r="C112" s="14" t="s">
        <v>2644</v>
      </c>
      <c r="D112" s="5" t="str">
        <f ca="1">IFERROR(__xludf.DUMMYFUNCTION("GOOGLETRANSLATE(B112,""ja"",""vi"")"),"loa thông minh")</f>
        <v>loa thông minh</v>
      </c>
      <c r="E112" s="4" t="str">
        <f ca="1">IFERROR(__xludf.DUMMYFUNCTION("GOOGLETRANSLATE(C112,""ja"",""vi"")"),"Đấu giá&gt; thiết bị điện tử tiêu dùng, AV, máy ảnh&gt; Thiết bị âm thanh&gt; Loa&gt; Loa thông minh")</f>
        <v>Đấu giá&gt; thiết bị điện tử tiêu dùng, AV, máy ảnh&gt; Thiết bị âm thanh&gt; Loa&gt; Loa thông minh</v>
      </c>
      <c r="F112" t="str">
        <f t="shared" ca="1" si="1"/>
        <v>"2084316078" : "loa thông minh",</v>
      </c>
    </row>
    <row r="113" spans="1:6" ht="15.75" customHeight="1">
      <c r="A113" s="14">
        <v>2084024134</v>
      </c>
      <c r="B113" s="14" t="s">
        <v>46</v>
      </c>
      <c r="C113" s="14" t="s">
        <v>2647</v>
      </c>
      <c r="D113" s="5" t="str">
        <f ca="1">IFERROR(__xludf.DUMMYFUNCTION("GOOGLETRANSLATE(B113,""ja"",""vi"")"),"nếu không thì")</f>
        <v>nếu không thì</v>
      </c>
      <c r="E113" s="4" t="str">
        <f ca="1">IFERROR(__xludf.DUMMYFUNCTION("GOOGLETRANSLATE(C113,""ja"",""vi"")"),"Đấu giá&gt; thiết bị điện tử tiêu dùng, AV, máy ảnh&gt; Thiết bị âm thanh&gt; Loa&gt; Khác")</f>
        <v>Đấu giá&gt; thiết bị điện tử tiêu dùng, AV, máy ảnh&gt; Thiết bị âm thanh&gt; Loa&gt; Khác</v>
      </c>
      <c r="F113" t="str">
        <f t="shared" ca="1" si="1"/>
        <v>"2084024134" : "nếu không thì",</v>
      </c>
    </row>
    <row r="114" spans="1:6" ht="15.75" customHeight="1">
      <c r="A114" s="14">
        <v>44763</v>
      </c>
      <c r="B114" s="14" t="s">
        <v>2650</v>
      </c>
      <c r="C114" s="14" t="s">
        <v>2651</v>
      </c>
      <c r="D114" s="5" t="str">
        <f ca="1">IFERROR(__xludf.DUMMYFUNCTION("GOOGLETRANSLATE(B114,""ja"",""vi"")"),"xách tay chơi")</f>
        <v>xách tay chơi</v>
      </c>
      <c r="E114" s="4" t="str">
        <f ca="1">IFERROR(__xludf.DUMMYFUNCTION("GOOGLETRANSLATE(C114,""ja"",""vi"")"),"Đấu giá&gt; thiết bị điện tử tiêu dùng, AV, máy ảnh&gt; Thiết bị âm thanh&gt; CD boong&gt; Thiết bị chơi")</f>
        <v>Đấu giá&gt; thiết bị điện tử tiêu dùng, AV, máy ảnh&gt; Thiết bị âm thanh&gt; CD boong&gt; Thiết bị chơi</v>
      </c>
      <c r="F114" t="str">
        <f t="shared" ca="1" si="1"/>
        <v>"44763" : "xách tay chơi",</v>
      </c>
    </row>
    <row r="115" spans="1:6" ht="15.75" customHeight="1">
      <c r="A115" s="14">
        <v>2084024118</v>
      </c>
      <c r="B115" s="14" t="s">
        <v>2241</v>
      </c>
      <c r="C115" s="14" t="s">
        <v>2656</v>
      </c>
      <c r="D115" s="5" t="str">
        <f ca="1">IFERROR(__xludf.DUMMYFUNCTION("GOOGLETRANSLATE(B115,""ja"",""vi"")"),"chung")</f>
        <v>chung</v>
      </c>
      <c r="E115" s="4" t="str">
        <f ca="1">IFERROR(__xludf.DUMMYFUNCTION("GOOGLETRANSLATE(C115,""ja"",""vi"")"),"Đấu giá&gt; thiết bị điện tử tiêu dùng, AV, máy ảnh&gt; Thiết bị âm thanh&gt; CD boong&gt; General")</f>
        <v>Đấu giá&gt; thiết bị điện tử tiêu dùng, AV, máy ảnh&gt; Thiết bị âm thanh&gt; CD boong&gt; General</v>
      </c>
      <c r="F115" t="str">
        <f t="shared" ca="1" si="1"/>
        <v>"2084024118" : "chung",</v>
      </c>
    </row>
    <row r="116" spans="1:6" ht="15.75" customHeight="1">
      <c r="A116" s="14">
        <v>2084307723</v>
      </c>
      <c r="B116" s="14" t="s">
        <v>2661</v>
      </c>
      <c r="C116" s="14" t="s">
        <v>2662</v>
      </c>
      <c r="D116" s="5" t="str">
        <f ca="1">IFERROR(__xludf.DUMMYFUNCTION("GOOGLETRANSLATE(B116,""ja"",""vi"")"),"KENWOOD")</f>
        <v>KENWOOD</v>
      </c>
      <c r="E116" s="4" t="str">
        <f ca="1">IFERROR(__xludf.DUMMYFUNCTION("GOOGLETRANSLATE(C116,""ja"",""vi"")"),"Đấu giá&gt; thiết bị điện tử tiêu dùng, AV, máy ảnh&gt; Thiết bị âm thanh&gt; CD boong&gt; KENWOOD")</f>
        <v>Đấu giá&gt; thiết bị điện tử tiêu dùng, AV, máy ảnh&gt; Thiết bị âm thanh&gt; CD boong&gt; KENWOOD</v>
      </c>
      <c r="F116" t="str">
        <f t="shared" ca="1" si="1"/>
        <v>"2084307723" : "KENWOOD",</v>
      </c>
    </row>
    <row r="117" spans="1:6" ht="15.75" customHeight="1">
      <c r="A117" s="14">
        <v>2084307724</v>
      </c>
      <c r="B117" s="14" t="s">
        <v>2668</v>
      </c>
      <c r="C117" s="14" t="s">
        <v>2669</v>
      </c>
      <c r="D117" s="5" t="str">
        <f ca="1">IFERROR(__xludf.DUMMYFUNCTION("GOOGLETRANSLATE(B117,""ja"",""vi"")"),"ONKYO")</f>
        <v>ONKYO</v>
      </c>
      <c r="E117" s="4" t="str">
        <f ca="1">IFERROR(__xludf.DUMMYFUNCTION("GOOGLETRANSLATE(C117,""ja"",""vi"")"),"Đấu giá&gt; thiết bị điện tử tiêu dùng, AV, máy ảnh&gt; Thiết bị âm thanh&gt; CD boong&gt; ONKYO")</f>
        <v>Đấu giá&gt; thiết bị điện tử tiêu dùng, AV, máy ảnh&gt; Thiết bị âm thanh&gt; CD boong&gt; ONKYO</v>
      </c>
      <c r="F117" t="str">
        <f t="shared" ca="1" si="1"/>
        <v>"2084307724" : "ONKYO",</v>
      </c>
    </row>
    <row r="118" spans="1:6" ht="15.75" customHeight="1">
      <c r="A118" s="14">
        <v>2084307726</v>
      </c>
      <c r="B118" s="14" t="s">
        <v>1738</v>
      </c>
      <c r="C118" s="14" t="s">
        <v>2672</v>
      </c>
      <c r="D118" s="5" t="str">
        <f ca="1">IFERROR(__xludf.DUMMYFUNCTION("GOOGLETRANSLATE(B118,""ja"",""vi"")"),"Sony")</f>
        <v>Sony</v>
      </c>
      <c r="E118" s="4" t="str">
        <f ca="1">IFERROR(__xludf.DUMMYFUNCTION("GOOGLETRANSLATE(C118,""ja"",""vi"")"),"Đấu giá&gt; thiết bị điện tử tiêu dùng, AV, máy ảnh&gt; Thiết bị âm thanh&gt; CD boong&gt; Sony")</f>
        <v>Đấu giá&gt; thiết bị điện tử tiêu dùng, AV, máy ảnh&gt; Thiết bị âm thanh&gt; CD boong&gt; Sony</v>
      </c>
      <c r="F118" t="str">
        <f t="shared" ca="1" si="1"/>
        <v>"2084307726" : "Sony",</v>
      </c>
    </row>
    <row r="119" spans="1:6" ht="15.75" customHeight="1">
      <c r="A119" s="14">
        <v>2084307722</v>
      </c>
      <c r="B119" s="14" t="s">
        <v>2678</v>
      </c>
      <c r="C119" s="14" t="s">
        <v>2680</v>
      </c>
      <c r="D119" s="5" t="str">
        <f ca="1">IFERROR(__xludf.DUMMYFUNCTION("GOOGLETRANSLATE(B119,""ja"",""vi"")"),"DENON")</f>
        <v>DENON</v>
      </c>
      <c r="E119" s="4" t="str">
        <f ca="1">IFERROR(__xludf.DUMMYFUNCTION("GOOGLETRANSLATE(C119,""ja"",""vi"")"),"Đấu giá&gt; thiết bị điện tử tiêu dùng, AV, máy ảnh&gt; Thiết bị âm thanh&gt; CD boong&gt; DENON")</f>
        <v>Đấu giá&gt; thiết bị điện tử tiêu dùng, AV, máy ảnh&gt; Thiết bị âm thanh&gt; CD boong&gt; DENON</v>
      </c>
      <c r="F119" t="str">
        <f t="shared" ca="1" si="1"/>
        <v>"2084307722" : "DENON",</v>
      </c>
    </row>
    <row r="120" spans="1:6" ht="15.75" customHeight="1">
      <c r="A120" s="14">
        <v>2084307727</v>
      </c>
      <c r="B120" s="14" t="s">
        <v>2507</v>
      </c>
      <c r="C120" s="14" t="s">
        <v>2685</v>
      </c>
      <c r="D120" s="5" t="str">
        <f ca="1">IFERROR(__xludf.DUMMYFUNCTION("GOOGLETRANSLATE(B120,""ja"",""vi"")"),"Pioneer")</f>
        <v>Pioneer</v>
      </c>
      <c r="E120" s="4" t="str">
        <f ca="1">IFERROR(__xludf.DUMMYFUNCTION("GOOGLETRANSLATE(C120,""ja"",""vi"")"),"Đấu giá&gt; thiết bị điện tử tiêu dùng, AV, máy ảnh&gt; Thiết bị âm thanh&gt; CD boong&gt; Pioneer")</f>
        <v>Đấu giá&gt; thiết bị điện tử tiêu dùng, AV, máy ảnh&gt; Thiết bị âm thanh&gt; CD boong&gt; Pioneer</v>
      </c>
      <c r="F120" t="str">
        <f t="shared" ca="1" si="1"/>
        <v>"2084307727" : "Pioneer",</v>
      </c>
    </row>
    <row r="121" spans="1:6" ht="15.75" customHeight="1">
      <c r="A121" s="14">
        <v>2084307728</v>
      </c>
      <c r="B121" s="14" t="s">
        <v>2516</v>
      </c>
      <c r="C121" s="14" t="s">
        <v>2690</v>
      </c>
      <c r="D121" s="5" t="str">
        <f ca="1">IFERROR(__xludf.DUMMYFUNCTION("GOOGLETRANSLATE(B121,""ja"",""vi"")"),"Marantz")</f>
        <v>Marantz</v>
      </c>
      <c r="E121" s="4" t="str">
        <f ca="1">IFERROR(__xludf.DUMMYFUNCTION("GOOGLETRANSLATE(C121,""ja"",""vi"")"),"Đấu giá&gt; thiết bị điện tử tiêu dùng, AV, máy ảnh&gt; Thiết bị âm thanh&gt; CD boong&gt; Marantz")</f>
        <v>Đấu giá&gt; thiết bị điện tử tiêu dùng, AV, máy ảnh&gt; Thiết bị âm thanh&gt; CD boong&gt; Marantz</v>
      </c>
      <c r="F121" t="str">
        <f t="shared" ca="1" si="1"/>
        <v>"2084307728" : "Marantz",</v>
      </c>
    </row>
    <row r="122" spans="1:6" ht="15.75" customHeight="1">
      <c r="A122" s="14">
        <v>2084307725</v>
      </c>
      <c r="B122" s="14" t="s">
        <v>2693</v>
      </c>
      <c r="C122" s="14" t="s">
        <v>2695</v>
      </c>
      <c r="D122" s="5" t="str">
        <f ca="1">IFERROR(__xludf.DUMMYFUNCTION("GOOGLETRANSLATE(B122,""ja"",""vi"")"),"YAMAHA")</f>
        <v>YAMAHA</v>
      </c>
      <c r="E122" s="4" t="str">
        <f ca="1">IFERROR(__xludf.DUMMYFUNCTION("GOOGLETRANSLATE(C122,""ja"",""vi"")"),"Đấu giá&gt; thiết bị điện tử tiêu dùng, AV, máy ảnh&gt; Thiết bị âm thanh&gt; CD boong&gt; YAMAHA")</f>
        <v>Đấu giá&gt; thiết bị điện tử tiêu dùng, AV, máy ảnh&gt; Thiết bị âm thanh&gt; CD boong&gt; YAMAHA</v>
      </c>
      <c r="F122" t="str">
        <f t="shared" ca="1" si="1"/>
        <v>"2084307725" : "YAMAHA",</v>
      </c>
    </row>
    <row r="123" spans="1:6" ht="15.75" customHeight="1">
      <c r="A123" s="14">
        <v>2084261083</v>
      </c>
      <c r="B123" s="14" t="s">
        <v>2697</v>
      </c>
      <c r="C123" s="14" t="s">
        <v>2699</v>
      </c>
      <c r="D123" s="5" t="str">
        <f ca="1">IFERROR(__xludf.DUMMYFUNCTION("GOOGLETRANSLATE(B123,""ja"",""vi"")"),"CDJ")</f>
        <v>CDJ</v>
      </c>
      <c r="E123" s="4" t="str">
        <f ca="1">IFERROR(__xludf.DUMMYFUNCTION("GOOGLETRANSLATE(C123,""ja"",""vi"")"),"Đấu giá&gt; Sở thích, văn hóa&gt; nhạc cụ, thiết bị&gt; Thiết bị DJ&gt; CDJ")</f>
        <v>Đấu giá&gt; Sở thích, văn hóa&gt; nhạc cụ, thiết bị&gt; Thiết bị DJ&gt; CDJ</v>
      </c>
      <c r="F123" t="str">
        <f t="shared" ca="1" si="1"/>
        <v>"2084261083" : "CDJ",</v>
      </c>
    </row>
    <row r="124" spans="1:6" ht="15.75" customHeight="1">
      <c r="A124" s="14">
        <v>2084261082</v>
      </c>
      <c r="B124" s="14" t="s">
        <v>2703</v>
      </c>
      <c r="C124" s="14" t="s">
        <v>2707</v>
      </c>
      <c r="D124" s="5" t="str">
        <f ca="1">IFERROR(__xludf.DUMMYFUNCTION("GOOGLETRANSLATE(B124,""ja"",""vi"")"),"DJ mixer")</f>
        <v>DJ mixer</v>
      </c>
      <c r="E124" s="4" t="str">
        <f ca="1">IFERROR(__xludf.DUMMYFUNCTION("GOOGLETRANSLATE(C124,""ja"",""vi"")"),"Đấu giá&gt; Sở thích, văn hóa&gt; nhạc cụ, thiết bị&gt; Thiết bị DJ&gt; DJ mixer")</f>
        <v>Đấu giá&gt; Sở thích, văn hóa&gt; nhạc cụ, thiết bị&gt; Thiết bị DJ&gt; DJ mixer</v>
      </c>
      <c r="F124" t="str">
        <f t="shared" ca="1" si="1"/>
        <v>"2084261082" : "DJ mixer",</v>
      </c>
    </row>
    <row r="125" spans="1:6" ht="15.75" customHeight="1">
      <c r="A125" s="14">
        <v>2084305407</v>
      </c>
      <c r="B125" s="14" t="s">
        <v>2710</v>
      </c>
      <c r="C125" s="14" t="s">
        <v>2712</v>
      </c>
      <c r="D125" s="5" t="str">
        <f ca="1">IFERROR(__xludf.DUMMYFUNCTION("GOOGLETRANSLATE(B125,""ja"",""vi"")"),"DJ effector")</f>
        <v>DJ effector</v>
      </c>
      <c r="E125" s="4" t="str">
        <f ca="1">IFERROR(__xludf.DUMMYFUNCTION("GOOGLETRANSLATE(C125,""ja"",""vi"")"),"Đấu giá&gt; Sở thích, văn hóa&gt; nhạc cụ, thiết bị&gt; Thiết bị DJ&gt; DJ effector")</f>
        <v>Đấu giá&gt; Sở thích, văn hóa&gt; nhạc cụ, thiết bị&gt; Thiết bị DJ&gt; DJ effector</v>
      </c>
      <c r="F125" t="str">
        <f t="shared" ca="1" si="1"/>
        <v>"2084305407" : "DJ effector",</v>
      </c>
    </row>
    <row r="126" spans="1:6" ht="15.75" customHeight="1">
      <c r="A126" s="14">
        <v>2084305408</v>
      </c>
      <c r="B126" s="14" t="s">
        <v>2715</v>
      </c>
      <c r="C126" s="14" t="s">
        <v>2716</v>
      </c>
      <c r="D126" s="5" t="str">
        <f ca="1">IFERROR(__xludf.DUMMYFUNCTION("GOOGLETRANSLATE(B126,""ja"",""vi"")"),"DJ điều khiển")</f>
        <v>DJ điều khiển</v>
      </c>
      <c r="E126" s="4" t="str">
        <f ca="1">IFERROR(__xludf.DUMMYFUNCTION("GOOGLETRANSLATE(C126,""ja"",""vi"")"),"Đấu giá&gt; Sở thích, văn hóa&gt; nhạc cụ, thiết bị&gt; Thiết bị DJ&gt; DJ điều khiển")</f>
        <v>Đấu giá&gt; Sở thích, văn hóa&gt; nhạc cụ, thiết bị&gt; Thiết bị DJ&gt; DJ điều khiển</v>
      </c>
      <c r="F126" t="str">
        <f t="shared" ca="1" si="1"/>
        <v>"2084305408" : "DJ điều khiển",</v>
      </c>
    </row>
    <row r="127" spans="1:6" ht="15.75" customHeight="1">
      <c r="A127" s="14">
        <v>2084305410</v>
      </c>
      <c r="B127" s="14" t="s">
        <v>2721</v>
      </c>
      <c r="C127" s="14" t="s">
        <v>2722</v>
      </c>
      <c r="D127" s="5" t="str">
        <f ca="1">IFERROR(__xludf.DUMMYFUNCTION("GOOGLETRANSLATE(B127,""ja"",""vi"")"),"PCDJ")</f>
        <v>PCDJ</v>
      </c>
      <c r="E127" s="4" t="str">
        <f ca="1">IFERROR(__xludf.DUMMYFUNCTION("GOOGLETRANSLATE(C127,""ja"",""vi"")"),"Đấu giá&gt; Sở thích, văn hóa&gt; nhạc cụ, thiết bị&gt; Thiết bị DJ&gt; PCDJ")</f>
        <v>Đấu giá&gt; Sở thích, văn hóa&gt; nhạc cụ, thiết bị&gt; Thiết bị DJ&gt; PCDJ</v>
      </c>
      <c r="F127" t="str">
        <f t="shared" ca="1" si="1"/>
        <v>"2084305410" : "PCDJ",</v>
      </c>
    </row>
    <row r="128" spans="1:6" ht="15.75" customHeight="1">
      <c r="A128" s="14">
        <v>2084305418</v>
      </c>
      <c r="B128" s="14" t="s">
        <v>2727</v>
      </c>
      <c r="C128" s="14" t="s">
        <v>2728</v>
      </c>
      <c r="D128" s="5" t="str">
        <f ca="1">IFERROR(__xludf.DUMMYFUNCTION("GOOGLETRANSLATE(B128,""ja"",""vi"")"),"turntable")</f>
        <v>turntable</v>
      </c>
      <c r="E128" s="4" t="str">
        <f ca="1">IFERROR(__xludf.DUMMYFUNCTION("GOOGLETRANSLATE(C128,""ja"",""vi"")"),"Đấu giá&gt; Sở thích, văn hóa&gt; nhạc cụ, thiết bị&gt; Thiết bị DJ&gt; bàn xoay")</f>
        <v>Đấu giá&gt; Sở thích, văn hóa&gt; nhạc cụ, thiết bị&gt; Thiết bị DJ&gt; bàn xoay</v>
      </c>
      <c r="F128" t="str">
        <f t="shared" ca="1" si="1"/>
        <v>"2084305418" : "turntable",</v>
      </c>
    </row>
    <row r="129" spans="1:6" ht="15.75" customHeight="1">
      <c r="A129" s="14">
        <v>2084305419</v>
      </c>
      <c r="B129" s="14" t="s">
        <v>2733</v>
      </c>
      <c r="C129" s="14" t="s">
        <v>2734</v>
      </c>
      <c r="D129" s="5" t="str">
        <f ca="1">IFERROR(__xludf.DUMMYFUNCTION("GOOGLETRANSLATE(B129,""ja"",""vi"")"),"Trưởng vỏ")</f>
        <v>Trưởng vỏ</v>
      </c>
      <c r="E129" s="4" t="str">
        <f ca="1">IFERROR(__xludf.DUMMYFUNCTION("GOOGLETRANSLATE(C129,""ja"",""vi"")"),"Đấu giá&gt; Sở thích, văn hóa&gt; nhạc cụ, thiết bị&gt; Thiết bị DJ&gt; vỏ đầu")</f>
        <v>Đấu giá&gt; Sở thích, văn hóa&gt; nhạc cụ, thiết bị&gt; Thiết bị DJ&gt; vỏ đầu</v>
      </c>
      <c r="F129" t="str">
        <f t="shared" ca="1" si="1"/>
        <v>"2084305419" : "Trưởng vỏ",</v>
      </c>
    </row>
    <row r="130" spans="1:6" ht="15.75" customHeight="1">
      <c r="A130" s="14">
        <v>2084305420</v>
      </c>
      <c r="B130" s="14" t="s">
        <v>2740</v>
      </c>
      <c r="C130" s="14" t="s">
        <v>2742</v>
      </c>
      <c r="D130" s="5" t="str">
        <f ca="1">IFERROR(__xludf.DUMMYFUNCTION("GOOGLETRANSLATE(B130,""ja"",""vi"")"),"mực Ghi")</f>
        <v>mực Ghi</v>
      </c>
      <c r="E130" s="4" t="str">
        <f ca="1">IFERROR(__xludf.DUMMYFUNCTION("GOOGLETRANSLATE(C130,""ja"",""vi"")"),"Đấu giá&gt; Sở thích, văn hóa&gt; nhạc cụ, thiết bị&gt; Thiết bị DJ&gt; Ghi mực")</f>
        <v>Đấu giá&gt; Sở thích, văn hóa&gt; nhạc cụ, thiết bị&gt; Thiết bị DJ&gt; Ghi mực</v>
      </c>
      <c r="F130" t="str">
        <f t="shared" ref="F130:F193" ca="1" si="2">CONCATENATE(CHAR(34)&amp;"",A130,""&amp;CHAR(34)," : ", CHAR(34)&amp;"",D130,""&amp;CHAR(34),",")</f>
        <v>"2084305420" : "mực Ghi",</v>
      </c>
    </row>
    <row r="131" spans="1:6" ht="15.75" customHeight="1">
      <c r="A131" s="14">
        <v>2084305422</v>
      </c>
      <c r="B131" s="14" t="s">
        <v>2747</v>
      </c>
      <c r="C131" s="14" t="s">
        <v>2749</v>
      </c>
      <c r="D131" s="5" t="str">
        <f ca="1">IFERROR(__xludf.DUMMYFUNCTION("GOOGLETRANSLATE(B131,""ja"",""vi"")"),"kim Ghi")</f>
        <v>kim Ghi</v>
      </c>
      <c r="E131" s="4" t="str">
        <f ca="1">IFERROR(__xludf.DUMMYFUNCTION("GOOGLETRANSLATE(C131,""ja"",""vi"")"),"Đấu giá&gt; Sở thích, văn hóa&gt; nhạc cụ, thiết bị&gt; Thiết bị DJ&gt; Ghi kim")</f>
        <v>Đấu giá&gt; Sở thích, văn hóa&gt; nhạc cụ, thiết bị&gt; Thiết bị DJ&gt; Ghi kim</v>
      </c>
      <c r="F131" t="str">
        <f t="shared" ca="1" si="2"/>
        <v>"2084305422" : "kim Ghi",</v>
      </c>
    </row>
    <row r="132" spans="1:6" ht="15.75" customHeight="1">
      <c r="A132" s="14">
        <v>2084305416</v>
      </c>
      <c r="B132" s="14" t="s">
        <v>2754</v>
      </c>
      <c r="C132" s="14" t="s">
        <v>2756</v>
      </c>
      <c r="D132" s="5" t="str">
        <f ca="1">IFERROR(__xludf.DUMMYFUNCTION("GOOGLETRANSLATE(B132,""ja"",""vi"")"),"thiết bị VJ liên quan")</f>
        <v>thiết bị VJ liên quan</v>
      </c>
      <c r="E132" s="4" t="str">
        <f ca="1">IFERROR(__xludf.DUMMYFUNCTION("GOOGLETRANSLATE(C132,""ja"",""vi"")"),"Đấu giá&gt; Sở thích, văn hóa&gt; nhạc cụ, thiết bị&gt; Thiết bị DJ&gt; thiết bị VJ liên quan")</f>
        <v>Đấu giá&gt; Sở thích, văn hóa&gt; nhạc cụ, thiết bị&gt; Thiết bị DJ&gt; thiết bị VJ liên quan</v>
      </c>
      <c r="F132" t="str">
        <f t="shared" ca="1" si="2"/>
        <v>"2084305416" : "thiết bị VJ liên quan",</v>
      </c>
    </row>
    <row r="133" spans="1:6" ht="15.75" customHeight="1">
      <c r="A133" s="14">
        <v>2084305417</v>
      </c>
      <c r="B133" s="14" t="s">
        <v>2761</v>
      </c>
      <c r="C133" s="14" t="s">
        <v>2764</v>
      </c>
      <c r="D133" s="5" t="str">
        <f ca="1">IFERROR(__xludf.DUMMYFUNCTION("GOOGLETRANSLATE(B133,""ja"",""vi"")"),"trượt Mat")</f>
        <v>trượt Mat</v>
      </c>
      <c r="E133" s="4" t="str">
        <f ca="1">IFERROR(__xludf.DUMMYFUNCTION("GOOGLETRANSLATE(C133,""ja"",""vi"")"),"Đấu giá&gt; Sở thích, văn hóa&gt; nhạc cụ, thiết bị&gt; Thiết bị DJ&gt; trượt mat")</f>
        <v>Đấu giá&gt; Sở thích, văn hóa&gt; nhạc cụ, thiết bị&gt; Thiết bị DJ&gt; trượt mat</v>
      </c>
      <c r="F133" t="str">
        <f t="shared" ca="1" si="2"/>
        <v>"2084305417" : "trượt Mat",</v>
      </c>
    </row>
    <row r="134" spans="1:6" ht="15.75" customHeight="1">
      <c r="A134" s="14">
        <v>2084305409</v>
      </c>
      <c r="B134" s="14" t="s">
        <v>2767</v>
      </c>
      <c r="C134" s="14" t="s">
        <v>2769</v>
      </c>
      <c r="D134" s="5" t="str">
        <f ca="1">IFERROR(__xludf.DUMMYFUNCTION("GOOGLETRANSLATE(B134,""ja"",""vi"")"),"bảng DJ")</f>
        <v>bảng DJ</v>
      </c>
      <c r="E134" s="4" t="str">
        <f ca="1">IFERROR(__xludf.DUMMYFUNCTION("GOOGLETRANSLATE(C134,""ja"",""vi"")"),"Đấu giá&gt; Sở thích, văn hóa&gt; nhạc cụ, thiết bị&gt; Thiết bị DJ&gt; DJ bảng")</f>
        <v>Đấu giá&gt; Sở thích, văn hóa&gt; nhạc cụ, thiết bị&gt; Thiết bị DJ&gt; DJ bảng</v>
      </c>
      <c r="F134" t="str">
        <f t="shared" ca="1" si="2"/>
        <v>"2084305409" : "bảng DJ",</v>
      </c>
    </row>
    <row r="135" spans="1:6" ht="15.75" customHeight="1">
      <c r="A135" s="14">
        <v>2084305421</v>
      </c>
      <c r="B135" s="14" t="s">
        <v>2772</v>
      </c>
      <c r="C135" s="14" t="s">
        <v>2773</v>
      </c>
      <c r="D135" s="5" t="str">
        <f ca="1">IFERROR(__xludf.DUMMYFUNCTION("GOOGLETRANSLATE(B135,""ja"",""vi"")"),"Ghi lại trường hợp, túi")</f>
        <v>Ghi lại trường hợp, túi</v>
      </c>
      <c r="E135" s="4" t="str">
        <f ca="1">IFERROR(__xludf.DUMMYFUNCTION("GOOGLETRANSLATE(C135,""ja"",""vi"")"),"Đấu giá&gt; Sở thích, văn hóa&gt; nhạc cụ, thiết bị&gt; Thiết bị DJ&gt; Ghi lại trường hợp, túi")</f>
        <v>Đấu giá&gt; Sở thích, văn hóa&gt; nhạc cụ, thiết bị&gt; Thiết bị DJ&gt; Ghi lại trường hợp, túi</v>
      </c>
      <c r="F135" t="str">
        <f t="shared" ca="1" si="2"/>
        <v>"2084305421" : "Ghi lại trường hợp, túi",</v>
      </c>
    </row>
    <row r="136" spans="1:6" ht="15.75" customHeight="1">
      <c r="A136" s="14">
        <v>2084261084</v>
      </c>
      <c r="B136" s="14" t="s">
        <v>46</v>
      </c>
      <c r="C136" s="14" t="s">
        <v>2778</v>
      </c>
      <c r="D136" s="5" t="str">
        <f ca="1">IFERROR(__xludf.DUMMYFUNCTION("GOOGLETRANSLATE(B136,""ja"",""vi"")"),"nếu không thì")</f>
        <v>nếu không thì</v>
      </c>
      <c r="E136" s="4" t="str">
        <f ca="1">IFERROR(__xludf.DUMMYFUNCTION("GOOGLETRANSLATE(C136,""ja"",""vi"")"),"Đấu giá&gt; Sở thích, văn hóa&gt; nhạc cụ, thiết bị&gt; Thiết bị DJ&gt; Khác")</f>
        <v>Đấu giá&gt; Sở thích, văn hóa&gt; nhạc cụ, thiết bị&gt; Thiết bị DJ&gt; Khác</v>
      </c>
      <c r="F136" t="str">
        <f t="shared" ca="1" si="2"/>
        <v>"2084261084" : "nếu không thì",</v>
      </c>
    </row>
    <row r="137" spans="1:6" ht="15.75" customHeight="1">
      <c r="A137" s="14">
        <v>2084046927</v>
      </c>
      <c r="B137" s="14" t="s">
        <v>1678</v>
      </c>
      <c r="C137" s="14" t="s">
        <v>2785</v>
      </c>
      <c r="D137" s="5" t="str">
        <f ca="1">IFERROR(__xludf.DUMMYFUNCTION("GOOGLETRANSLATE(B137,""ja"",""vi"")"),"Một cơ thể")</f>
        <v>Một cơ thể</v>
      </c>
      <c r="E137" s="4" t="str">
        <f ca="1">IFERROR(__xludf.DUMMYFUNCTION("GOOGLETRANSLATE(C137,""ja"",""vi"")"),"Đấu giá&gt; thiết bị điện tử tiêu dùng, AV, máy ảnh&gt; Thiết bị âm thanh&gt; bàn xoay&gt; cơ thể")</f>
        <v>Đấu giá&gt; thiết bị điện tử tiêu dùng, AV, máy ảnh&gt; Thiết bị âm thanh&gt; bàn xoay&gt; cơ thể</v>
      </c>
      <c r="F137" t="str">
        <f t="shared" ca="1" si="2"/>
        <v>"2084046927" : "Một cơ thể",</v>
      </c>
    </row>
    <row r="138" spans="1:6" ht="15.75" customHeight="1">
      <c r="A138" s="14">
        <v>2084046928</v>
      </c>
      <c r="B138" s="14" t="s">
        <v>2787</v>
      </c>
      <c r="C138" s="14" t="s">
        <v>2789</v>
      </c>
      <c r="D138" s="5" t="str">
        <f ca="1">IFERROR(__xludf.DUMMYFUNCTION("GOOGLETRANSLATE(B138,""ja"",""vi"")"),"Trao đổi bơm kim tiêm, hộp mực")</f>
        <v>Trao đổi bơm kim tiêm, hộp mực</v>
      </c>
      <c r="E138" s="4" t="str">
        <f ca="1">IFERROR(__xludf.DUMMYFUNCTION("GOOGLETRANSLATE(C138,""ja"",""vi"")"),"Đấu giá&gt; thiết bị điện tử tiêu dùng, AV, máy ảnh&gt; Thiết bị âm thanh&gt; bàn xoay&gt; trao đổi bơm kim tiêm, hộp mực")</f>
        <v>Đấu giá&gt; thiết bị điện tử tiêu dùng, AV, máy ảnh&gt; Thiết bị âm thanh&gt; bàn xoay&gt; trao đổi bơm kim tiêm, hộp mực</v>
      </c>
      <c r="F138" t="str">
        <f t="shared" ca="1" si="2"/>
        <v>"2084046928" : "Trao đổi bơm kim tiêm, hộp mực",</v>
      </c>
    </row>
    <row r="139" spans="1:6" ht="15.75" customHeight="1">
      <c r="A139" s="14">
        <v>2084305418</v>
      </c>
      <c r="B139" s="14" t="s">
        <v>2793</v>
      </c>
      <c r="C139" s="14" t="s">
        <v>2794</v>
      </c>
      <c r="D139" s="5" t="str">
        <f ca="1">IFERROR(__xludf.DUMMYFUNCTION("GOOGLETRANSLATE(B139,""ja"",""vi"")"),"DJ cơ thể bàn xoay")</f>
        <v>DJ cơ thể bàn xoay</v>
      </c>
      <c r="E139" s="4" t="str">
        <f ca="1">IFERROR(__xludf.DUMMYFUNCTION("GOOGLETRANSLATE(C139,""ja"",""vi"")"),"Đấu giá&gt; thiết bị điện tử tiêu dùng, AV, máy ảnh&gt; Thiết bị âm thanh&gt; bàn xoay&gt; bàn xoay cơ thể cho DJ")</f>
        <v>Đấu giá&gt; thiết bị điện tử tiêu dùng, AV, máy ảnh&gt; Thiết bị âm thanh&gt; bàn xoay&gt; bàn xoay cơ thể cho DJ</v>
      </c>
      <c r="F139" t="str">
        <f t="shared" ca="1" si="2"/>
        <v>"2084305418" : "DJ cơ thể bàn xoay",</v>
      </c>
    </row>
    <row r="140" spans="1:6" ht="15.75" customHeight="1">
      <c r="A140" s="14">
        <v>2084261081</v>
      </c>
      <c r="B140" s="14" t="s">
        <v>2796</v>
      </c>
      <c r="C140" s="14" t="s">
        <v>2798</v>
      </c>
      <c r="D140" s="5" t="str">
        <f ca="1">IFERROR(__xludf.DUMMYFUNCTION("GOOGLETRANSLATE(B140,""ja"",""vi"")"),"thiết bị DJ")</f>
        <v>thiết bị DJ</v>
      </c>
      <c r="E140" s="4" t="str">
        <f ca="1">IFERROR(__xludf.DUMMYFUNCTION("GOOGLETRANSLATE(C140,""ja"",""vi"")"),"Đấu giá&gt; thiết bị điện tử tiêu dùng, AV, máy ảnh&gt; Thiết bị âm thanh&gt; bàn xoay&gt; DJ thiết bị")</f>
        <v>Đấu giá&gt; thiết bị điện tử tiêu dùng, AV, máy ảnh&gt; Thiết bị âm thanh&gt; bàn xoay&gt; DJ thiết bị</v>
      </c>
      <c r="F140" t="str">
        <f t="shared" ca="1" si="2"/>
        <v>"2084261081" : "thiết bị DJ",</v>
      </c>
    </row>
    <row r="141" spans="1:6" ht="15.75" customHeight="1">
      <c r="A141" s="14">
        <v>2084305420</v>
      </c>
      <c r="B141" s="14" t="s">
        <v>2801</v>
      </c>
      <c r="C141" s="14" t="s">
        <v>2802</v>
      </c>
      <c r="D141" s="5" t="str">
        <f ca="1">IFERROR(__xludf.DUMMYFUNCTION("GOOGLETRANSLATE(B141,""ja"",""vi"")"),"DJ cho mực kỷ lục")</f>
        <v>DJ cho mực kỷ lục</v>
      </c>
      <c r="E141" s="4" t="str">
        <f ca="1">IFERROR(__xludf.DUMMYFUNCTION("GOOGLETRANSLATE(C141,""ja"",""vi"")"),"Đấu giá&gt; thiết bị điện tử tiêu dùng, AV, máy ảnh&gt; Thiết bị âm thanh&gt; bàn xoay&gt; đăng ký cuối cùng DJ mực")</f>
        <v>Đấu giá&gt; thiết bị điện tử tiêu dùng, AV, máy ảnh&gt; Thiết bị âm thanh&gt; bàn xoay&gt; đăng ký cuối cùng DJ mực</v>
      </c>
      <c r="F141" t="str">
        <f t="shared" ca="1" si="2"/>
        <v>"2084305420" : "DJ cho mực kỷ lục",</v>
      </c>
    </row>
    <row r="142" spans="1:6" ht="15.75" customHeight="1">
      <c r="A142" s="14">
        <v>2084305422</v>
      </c>
      <c r="B142" s="14" t="s">
        <v>2803</v>
      </c>
      <c r="C142" s="14" t="s">
        <v>2805</v>
      </c>
      <c r="D142" s="5" t="str">
        <f ca="1">IFERROR(__xludf.DUMMYFUNCTION("GOOGLETRANSLATE(B142,""ja"",""vi"")"),"kim kỷ lục cho DJ")</f>
        <v>kim kỷ lục cho DJ</v>
      </c>
      <c r="E142" s="4" t="str">
        <f ca="1">IFERROR(__xludf.DUMMYFUNCTION("GOOGLETRANSLATE(C142,""ja"",""vi"")"),"Đấu giá&gt; thiết bị điện tử tiêu dùng, AV, máy ảnh&gt; Thiết bị âm thanh&gt; bàn xoay&gt; kim kỷ lục cho DJ")</f>
        <v>Đấu giá&gt; thiết bị điện tử tiêu dùng, AV, máy ảnh&gt; Thiết bị âm thanh&gt; bàn xoay&gt; kim kỷ lục cho DJ</v>
      </c>
      <c r="F142" t="str">
        <f t="shared" ca="1" si="2"/>
        <v>"2084305422" : "kim kỷ lục cho DJ",</v>
      </c>
    </row>
    <row r="143" spans="1:6" ht="15.75" customHeight="1">
      <c r="A143" s="14">
        <v>2084051264</v>
      </c>
      <c r="B143" s="14" t="s">
        <v>46</v>
      </c>
      <c r="C143" s="14" t="s">
        <v>2809</v>
      </c>
      <c r="D143" s="5" t="str">
        <f ca="1">IFERROR(__xludf.DUMMYFUNCTION("GOOGLETRANSLATE(B143,""ja"",""vi"")"),"nếu không thì")</f>
        <v>nếu không thì</v>
      </c>
      <c r="E143" s="4" t="str">
        <f ca="1">IFERROR(__xludf.DUMMYFUNCTION("GOOGLETRANSLATE(C143,""ja"",""vi"")"),"Đấu giá&gt; thiết bị điện tử tiêu dùng, AV, máy ảnh&gt; Thiết bị âm thanh&gt; bàn xoay&gt; Khác")</f>
        <v>Đấu giá&gt; thiết bị điện tử tiêu dùng, AV, máy ảnh&gt; Thiết bị âm thanh&gt; bàn xoay&gt; Khác</v>
      </c>
      <c r="F143" t="str">
        <f t="shared" ca="1" si="2"/>
        <v>"2084051264" : "nếu không thì",</v>
      </c>
    </row>
    <row r="144" spans="1:6" ht="15.75" customHeight="1">
      <c r="A144" s="14">
        <v>2084221543</v>
      </c>
      <c r="B144" s="14" t="s">
        <v>2810</v>
      </c>
      <c r="C144" s="14" t="s">
        <v>2812</v>
      </c>
      <c r="D144" s="5" t="str">
        <f ca="1">IFERROR(__xludf.DUMMYFUNCTION("GOOGLETRANSLATE(B144,""ja"",""vi"")"),"thành phần DVD")</f>
        <v>thành phần DVD</v>
      </c>
      <c r="E144" s="4" t="str">
        <f ca="1">IFERROR(__xludf.DUMMYFUNCTION("GOOGLETRANSLATE(C144,""ja"",""vi"")"),"Đấu giá&gt; thiết bị điện tử tiêu dùng, AV, máy ảnh&gt; Thiết bị âm thanh&gt; thành phần hệ thống&gt; thành phần DVD")</f>
        <v>Đấu giá&gt; thiết bị điện tử tiêu dùng, AV, máy ảnh&gt; Thiết bị âm thanh&gt; thành phần hệ thống&gt; thành phần DVD</v>
      </c>
      <c r="F144" t="str">
        <f t="shared" ca="1" si="2"/>
        <v>"2084221543" : "thành phần DVD",</v>
      </c>
    </row>
    <row r="145" spans="1:6" ht="15.75" customHeight="1">
      <c r="A145" s="14">
        <v>2084221581</v>
      </c>
      <c r="B145" s="14" t="s">
        <v>2814</v>
      </c>
      <c r="C145" s="14" t="s">
        <v>2815</v>
      </c>
      <c r="D145" s="5" t="str">
        <f ca="1">IFERROR(__xludf.DUMMYFUNCTION("GOOGLETRANSLATE(B145,""ja"",""vi"")"),"thành phần HDD")</f>
        <v>thành phần HDD</v>
      </c>
      <c r="E145" s="4" t="str">
        <f ca="1">IFERROR(__xludf.DUMMYFUNCTION("GOOGLETRANSLATE(C145,""ja"",""vi"")"),"Đấu giá&gt; thiết bị điện tử tiêu dùng, AV, máy ảnh&gt; Thiết bị âm thanh&gt; thành phần hệ thống&gt; phần HDD")</f>
        <v>Đấu giá&gt; thiết bị điện tử tiêu dùng, AV, máy ảnh&gt; Thiết bị âm thanh&gt; thành phần hệ thống&gt; phần HDD</v>
      </c>
      <c r="F145" t="str">
        <f t="shared" ca="1" si="2"/>
        <v>"2084221581" : "thành phần HDD",</v>
      </c>
    </row>
    <row r="146" spans="1:6" ht="15.75" customHeight="1">
      <c r="A146" s="14">
        <v>2084221513</v>
      </c>
      <c r="B146" s="14" t="s">
        <v>2818</v>
      </c>
      <c r="C146" s="14" t="s">
        <v>2819</v>
      </c>
      <c r="D146" s="5" t="str">
        <f ca="1">IFERROR(__xludf.DUMMYFUNCTION("GOOGLETRANSLATE(B146,""ja"",""vi"")"),"thành phần MD")</f>
        <v>thành phần MD</v>
      </c>
      <c r="E146" s="4" t="str">
        <f ca="1">IFERROR(__xludf.DUMMYFUNCTION("GOOGLETRANSLATE(C146,""ja"",""vi"")"),"Đấu giá&gt; thiết bị điện tử tiêu dùng, AV, máy ảnh&gt; Thiết bị âm thanh&gt; thành phần hệ thống&gt; phần MD")</f>
        <v>Đấu giá&gt; thiết bị điện tử tiêu dùng, AV, máy ảnh&gt; Thiết bị âm thanh&gt; thành phần hệ thống&gt; phần MD</v>
      </c>
      <c r="F146" t="str">
        <f t="shared" ca="1" si="2"/>
        <v>"2084221513" : "thành phần MD",</v>
      </c>
    </row>
    <row r="147" spans="1:6" ht="15.75" customHeight="1">
      <c r="A147" s="14">
        <v>2084221623</v>
      </c>
      <c r="B147" s="14" t="s">
        <v>46</v>
      </c>
      <c r="C147" s="14" t="s">
        <v>2822</v>
      </c>
      <c r="D147" s="5" t="str">
        <f ca="1">IFERROR(__xludf.DUMMYFUNCTION("GOOGLETRANSLATE(B147,""ja"",""vi"")"),"nếu không thì")</f>
        <v>nếu không thì</v>
      </c>
      <c r="E147" s="4" t="str">
        <f ca="1">IFERROR(__xludf.DUMMYFUNCTION("GOOGLETRANSLATE(C147,""ja"",""vi"")"),"Đấu giá&gt; thiết bị điện tử tiêu dùng, AV, máy ảnh&gt; Thiết bị âm thanh&gt; thành phần hệ thống&gt; Khác")</f>
        <v>Đấu giá&gt; thiết bị điện tử tiêu dùng, AV, máy ảnh&gt; Thiết bị âm thanh&gt; thành phần hệ thống&gt; Khác</v>
      </c>
      <c r="F147" t="str">
        <f t="shared" ca="1" si="2"/>
        <v>"2084221623" : "nếu không thì",</v>
      </c>
    </row>
    <row r="148" spans="1:6" ht="15.75" customHeight="1">
      <c r="A148" s="14">
        <v>2084239140</v>
      </c>
      <c r="B148" s="14" t="s">
        <v>2826</v>
      </c>
      <c r="C148" s="14" t="s">
        <v>2827</v>
      </c>
      <c r="D148" s="5" t="str">
        <f ca="1">IFERROR(__xludf.DUMMYFUNCTION("GOOGLETRANSLATE(B148,""ja"",""vi"")"),"cáp RCA")</f>
        <v>cáp RCA</v>
      </c>
      <c r="E148" s="4" t="str">
        <f ca="1">IFERROR(__xludf.DUMMYFUNCTION("GOOGLETRANSLATE(C148,""ja"",""vi"")"),"Đấu giá&gt; thiết bị điện tử tiêu dùng, AV, máy ảnh&gt; Thiết bị âm thanh&gt; cáp âm thanh&gt; cáp RCA")</f>
        <v>Đấu giá&gt; thiết bị điện tử tiêu dùng, AV, máy ảnh&gt; Thiết bị âm thanh&gt; cáp âm thanh&gt; cáp RCA</v>
      </c>
      <c r="F148" t="str">
        <f t="shared" ca="1" si="2"/>
        <v>"2084239140" : "cáp RCA",</v>
      </c>
    </row>
    <row r="149" spans="1:6" ht="15.75" customHeight="1">
      <c r="A149" s="14">
        <v>2084239141</v>
      </c>
      <c r="B149" s="14" t="s">
        <v>2829</v>
      </c>
      <c r="C149" s="14" t="s">
        <v>2831</v>
      </c>
      <c r="D149" s="5" t="str">
        <f ca="1">IFERROR(__xludf.DUMMYFUNCTION("GOOGLETRANSLATE(B149,""ja"",""vi"")"),"cáp XLR")</f>
        <v>cáp XLR</v>
      </c>
      <c r="E149" s="4" t="str">
        <f ca="1">IFERROR(__xludf.DUMMYFUNCTION("GOOGLETRANSLATE(C149,""ja"",""vi"")"),"Đấu giá&gt; thiết bị điện tử tiêu dùng, AV, máy ảnh&gt; Thiết bị âm thanh&gt; cáp âm thanh&gt; cáp XLR")</f>
        <v>Đấu giá&gt; thiết bị điện tử tiêu dùng, AV, máy ảnh&gt; Thiết bị âm thanh&gt; cáp âm thanh&gt; cáp XLR</v>
      </c>
      <c r="F149" t="str">
        <f t="shared" ca="1" si="2"/>
        <v>"2084239141" : "cáp XLR",</v>
      </c>
    </row>
    <row r="150" spans="1:6" ht="15.75" customHeight="1">
      <c r="A150" s="14">
        <v>2084239139</v>
      </c>
      <c r="B150" s="14" t="s">
        <v>2834</v>
      </c>
      <c r="C150" s="14" t="s">
        <v>2836</v>
      </c>
      <c r="D150" s="5" t="str">
        <f ca="1">IFERROR(__xludf.DUMMYFUNCTION("GOOGLETRANSLATE(B150,""ja"",""vi"")"),"cáp loa")</f>
        <v>cáp loa</v>
      </c>
      <c r="E150" s="4" t="str">
        <f ca="1">IFERROR(__xludf.DUMMYFUNCTION("GOOGLETRANSLATE(C150,""ja"",""vi"")"),"Đấu giá&gt; thiết bị điện tử tiêu dùng, AV, máy ảnh&gt; Thiết bị âm thanh&gt; cáp âm thanh&gt; cáp loa")</f>
        <v>Đấu giá&gt; thiết bị điện tử tiêu dùng, AV, máy ảnh&gt; Thiết bị âm thanh&gt; cáp âm thanh&gt; cáp loa</v>
      </c>
      <c r="F150" t="str">
        <f t="shared" ca="1" si="2"/>
        <v>"2084239139" : "cáp loa",</v>
      </c>
    </row>
    <row r="151" spans="1:6" ht="15.75" customHeight="1">
      <c r="A151" s="14">
        <v>2084239142</v>
      </c>
      <c r="B151" s="14" t="s">
        <v>2840</v>
      </c>
      <c r="C151" s="14" t="s">
        <v>2841</v>
      </c>
      <c r="D151" s="5" t="str">
        <f ca="1">IFERROR(__xludf.DUMMYFUNCTION("GOOGLETRANSLATE(B151,""ja"",""vi"")"),"cáp kỹ thuật số")</f>
        <v>cáp kỹ thuật số</v>
      </c>
      <c r="E151" s="4" t="str">
        <f ca="1">IFERROR(__xludf.DUMMYFUNCTION("GOOGLETRANSLATE(C151,""ja"",""vi"")"),"Đấu giá&gt; thiết bị điện tử tiêu dùng, AV, máy ảnh&gt; Thiết bị âm thanh&gt; cáp âm thanh&gt; cáp kỹ thuật số")</f>
        <v>Đấu giá&gt; thiết bị điện tử tiêu dùng, AV, máy ảnh&gt; Thiết bị âm thanh&gt; cáp âm thanh&gt; cáp kỹ thuật số</v>
      </c>
      <c r="F151" t="str">
        <f t="shared" ca="1" si="2"/>
        <v>"2084239142" : "cáp kỹ thuật số",</v>
      </c>
    </row>
    <row r="152" spans="1:6" ht="15.75" customHeight="1">
      <c r="A152" s="14">
        <v>2084239143</v>
      </c>
      <c r="B152" s="14" t="s">
        <v>46</v>
      </c>
      <c r="C152" s="14" t="s">
        <v>2846</v>
      </c>
      <c r="D152" s="5" t="str">
        <f ca="1">IFERROR(__xludf.DUMMYFUNCTION("GOOGLETRANSLATE(B152,""ja"",""vi"")"),"nếu không thì")</f>
        <v>nếu không thì</v>
      </c>
      <c r="E152" s="4" t="str">
        <f ca="1">IFERROR(__xludf.DUMMYFUNCTION("GOOGLETRANSLATE(C152,""ja"",""vi"")"),"Đấu giá&gt; thiết bị điện tử tiêu dùng, AV, máy ảnh&gt; Thiết bị âm thanh&gt; cáp âm thanh&gt; Khác")</f>
        <v>Đấu giá&gt; thiết bị điện tử tiêu dùng, AV, máy ảnh&gt; Thiết bị âm thanh&gt; cáp âm thanh&gt; Khác</v>
      </c>
      <c r="F152" t="str">
        <f t="shared" ca="1" si="2"/>
        <v>"2084239143" : "nếu không thì",</v>
      </c>
    </row>
    <row r="153" spans="1:6" ht="15.75" customHeight="1">
      <c r="A153" s="14">
        <v>2084024102</v>
      </c>
      <c r="B153" s="14" t="s">
        <v>2241</v>
      </c>
      <c r="C153" s="14" t="s">
        <v>2849</v>
      </c>
      <c r="D153" s="5" t="str">
        <f ca="1">IFERROR(__xludf.DUMMYFUNCTION("GOOGLETRANSLATE(B153,""ja"",""vi"")"),"chung")</f>
        <v>chung</v>
      </c>
      <c r="E153" s="4" t="str">
        <f ca="1">IFERROR(__xludf.DUMMYFUNCTION("GOOGLETRANSLATE(C153,""ja"",""vi"")"),"Đấu giá&gt; thiết bị điện tử tiêu dùng, AV, máy ảnh&gt; Thiết bị âm thanh&gt; MD boong&gt; General")</f>
        <v>Đấu giá&gt; thiết bị điện tử tiêu dùng, AV, máy ảnh&gt; Thiết bị âm thanh&gt; MD boong&gt; General</v>
      </c>
      <c r="F153" t="str">
        <f t="shared" ca="1" si="2"/>
        <v>"2084024102" : "chung",</v>
      </c>
    </row>
    <row r="154" spans="1:6" ht="15.75" customHeight="1">
      <c r="A154" s="14">
        <v>2084005262</v>
      </c>
      <c r="B154" s="14" t="s">
        <v>2650</v>
      </c>
      <c r="C154" s="14" t="s">
        <v>2856</v>
      </c>
      <c r="D154" s="5" t="str">
        <f ca="1">IFERROR(__xludf.DUMMYFUNCTION("GOOGLETRANSLATE(B154,""ja"",""vi"")"),"xách tay chơi")</f>
        <v>xách tay chơi</v>
      </c>
      <c r="E154" s="4" t="str">
        <f ca="1">IFERROR(__xludf.DUMMYFUNCTION("GOOGLETRANSLATE(C154,""ja"",""vi"")"),"Đấu giá&gt; thiết bị điện tử tiêu dùng, AV, máy ảnh&gt; Thiết bị âm thanh&gt; MD boong&gt; Thiết bị chơi")</f>
        <v>Đấu giá&gt; thiết bị điện tử tiêu dùng, AV, máy ảnh&gt; Thiết bị âm thanh&gt; MD boong&gt; Thiết bị chơi</v>
      </c>
      <c r="F154" t="str">
        <f t="shared" ca="1" si="2"/>
        <v>"2084005262" : "xách tay chơi",</v>
      </c>
    </row>
    <row r="155" spans="1:6" ht="15.75" customHeight="1">
      <c r="A155" s="14">
        <v>2084024093</v>
      </c>
      <c r="B155" s="14" t="s">
        <v>2241</v>
      </c>
      <c r="C155" s="14" t="s">
        <v>2862</v>
      </c>
      <c r="D155" s="5" t="str">
        <f ca="1">IFERROR(__xludf.DUMMYFUNCTION("GOOGLETRANSLATE(B155,""ja"",""vi"")"),"chung")</f>
        <v>chung</v>
      </c>
      <c r="E155" s="4" t="str">
        <f ca="1">IFERROR(__xludf.DUMMYFUNCTION("GOOGLETRANSLATE(C155,""ja"",""vi"")"),"Đấu giá&gt; thiết bị điện tử tiêu dùng, AV, máy ảnh&gt; Thiết bị âm thanh&gt; băng boong&gt; General")</f>
        <v>Đấu giá&gt; thiết bị điện tử tiêu dùng, AV, máy ảnh&gt; Thiết bị âm thanh&gt; băng boong&gt; General</v>
      </c>
      <c r="F155" t="str">
        <f t="shared" ca="1" si="2"/>
        <v>"2084024093" : "chung",</v>
      </c>
    </row>
    <row r="156" spans="1:6" ht="15.75" customHeight="1">
      <c r="A156" s="14">
        <v>44762</v>
      </c>
      <c r="B156" s="14" t="s">
        <v>2650</v>
      </c>
      <c r="C156" s="14" t="s">
        <v>2867</v>
      </c>
      <c r="D156" s="5" t="str">
        <f ca="1">IFERROR(__xludf.DUMMYFUNCTION("GOOGLETRANSLATE(B156,""ja"",""vi"")"),"xách tay chơi")</f>
        <v>xách tay chơi</v>
      </c>
      <c r="E156" s="4" t="str">
        <f ca="1">IFERROR(__xludf.DUMMYFUNCTION("GOOGLETRANSLATE(C156,""ja"",""vi"")"),"Đấu giá&gt; thiết bị điện tử tiêu dùng, AV, máy ảnh&gt; Thiết bị âm thanh&gt; băng boong&gt; Thiết bị chơi")</f>
        <v>Đấu giá&gt; thiết bị điện tử tiêu dùng, AV, máy ảnh&gt; Thiết bị âm thanh&gt; băng boong&gt; Thiết bị chơi</v>
      </c>
      <c r="F156" t="str">
        <f t="shared" ca="1" si="2"/>
        <v>"44762" : "xách tay chơi",</v>
      </c>
    </row>
    <row r="157" spans="1:6" ht="15.75" customHeight="1">
      <c r="A157" s="14">
        <v>44764</v>
      </c>
      <c r="B157" s="14" t="s">
        <v>2870</v>
      </c>
      <c r="C157" s="14" t="s">
        <v>2872</v>
      </c>
      <c r="D157" s="5" t="str">
        <f ca="1">IFERROR(__xludf.DUMMYFUNCTION("GOOGLETRANSLATE(B157,""ja"",""vi"")"),"hộp Boom")</f>
        <v>hộp Boom</v>
      </c>
      <c r="E157" s="4" t="str">
        <f ca="1">IFERROR(__xludf.DUMMYFUNCTION("GOOGLETRANSLATE(C157,""ja"",""vi"")"),"Đấu giá&gt; thiết bị điện tử tiêu dùng, AV, máy ảnh&gt; Thiết bị âm thanh&gt; băng boong&gt; Boombox")</f>
        <v>Đấu giá&gt; thiết bị điện tử tiêu dùng, AV, máy ảnh&gt; Thiết bị âm thanh&gt; băng boong&gt; Boombox</v>
      </c>
      <c r="F157" t="str">
        <f t="shared" ca="1" si="2"/>
        <v>"44764" : "hộp Boom",</v>
      </c>
    </row>
    <row r="158" spans="1:6" ht="15.75" customHeight="1">
      <c r="A158" s="14">
        <v>2084024142</v>
      </c>
      <c r="B158" s="14" t="s">
        <v>2241</v>
      </c>
      <c r="C158" s="14" t="s">
        <v>2876</v>
      </c>
      <c r="D158" s="5" t="str">
        <f ca="1">IFERROR(__xludf.DUMMYFUNCTION("GOOGLETRANSLATE(B158,""ja"",""vi"")"),"chung")</f>
        <v>chung</v>
      </c>
      <c r="E158" s="4" t="str">
        <f ca="1">IFERROR(__xludf.DUMMYFUNCTION("GOOGLETRANSLATE(C158,""ja"",""vi"")"),"Đấu giá&gt; thiết bị điện tử tiêu dùng, AV, máy ảnh&gt; Thiết bị âm thanh&gt; Radio&gt; General")</f>
        <v>Đấu giá&gt; thiết bị điện tử tiêu dùng, AV, máy ảnh&gt; Thiết bị âm thanh&gt; Radio&gt; General</v>
      </c>
      <c r="F158" t="str">
        <f t="shared" ca="1" si="2"/>
        <v>"2084024142" : "chung",</v>
      </c>
    </row>
    <row r="159" spans="1:6" ht="15.75" customHeight="1">
      <c r="A159" s="14">
        <v>20020</v>
      </c>
      <c r="B159" s="14" t="s">
        <v>2880</v>
      </c>
      <c r="C159" s="14" t="s">
        <v>2881</v>
      </c>
      <c r="D159" s="5" t="str">
        <f ca="1">IFERROR(__xludf.DUMMYFUNCTION("GOOGLETRANSLATE(B159,""ja"",""vi"")"),"đồ cổ")</f>
        <v>đồ cổ</v>
      </c>
      <c r="E159" s="4" t="str">
        <f ca="1">IFERROR(__xludf.DUMMYFUNCTION("GOOGLETRANSLATE(C159,""ja"",""vi"")"),"Đấu giá&gt; thiết bị điện tử tiêu dùng, AV, máy ảnh&gt; Thiết bị âm thanh&gt; Radio&gt; Antique")</f>
        <v>Đấu giá&gt; thiết bị điện tử tiêu dùng, AV, máy ảnh&gt; Thiết bị âm thanh&gt; Radio&gt; Antique</v>
      </c>
      <c r="F159" t="str">
        <f t="shared" ca="1" si="2"/>
        <v>"20020" : "đồ cổ",</v>
      </c>
    </row>
    <row r="160" spans="1:6" ht="15.75" customHeight="1">
      <c r="A160" s="14">
        <v>44764</v>
      </c>
      <c r="B160" s="14" t="s">
        <v>2870</v>
      </c>
      <c r="C160" s="14" t="s">
        <v>2885</v>
      </c>
      <c r="D160" s="5" t="str">
        <f ca="1">IFERROR(__xludf.DUMMYFUNCTION("GOOGLETRANSLATE(B160,""ja"",""vi"")"),"hộp Boom")</f>
        <v>hộp Boom</v>
      </c>
      <c r="E160" s="4" t="str">
        <f ca="1">IFERROR(__xludf.DUMMYFUNCTION("GOOGLETRANSLATE(C160,""ja"",""vi"")"),"Đấu giá&gt; thiết bị điện tử tiêu dùng, AV, máy ảnh&gt; Thiết bị âm thanh&gt; Radio&gt; Boombox")</f>
        <v>Đấu giá&gt; thiết bị điện tử tiêu dùng, AV, máy ảnh&gt; Thiết bị âm thanh&gt; Radio&gt; Boombox</v>
      </c>
      <c r="F160" t="str">
        <f t="shared" ca="1" si="2"/>
        <v>"44764" : "hộp Boom",</v>
      </c>
    </row>
    <row r="161" spans="1:6" ht="15.75" customHeight="1">
      <c r="A161" s="14">
        <v>2084055696</v>
      </c>
      <c r="B161" s="14" t="s">
        <v>2888</v>
      </c>
      <c r="C161" s="14" t="s">
        <v>2890</v>
      </c>
      <c r="D161" s="5" t="str">
        <f ca="1">IFERROR(__xludf.DUMMYFUNCTION("GOOGLETRANSLATE(B161,""ja"",""vi"")"),"đài phát thanh phòng chống thiên tai")</f>
        <v>đài phát thanh phòng chống thiên tai</v>
      </c>
      <c r="E161" s="4" t="str">
        <f ca="1">IFERROR(__xludf.DUMMYFUNCTION("GOOGLETRANSLATE(C161,""ja"",""vi"")"),"Đấu giá&gt; thiết bị điện tử tiêu dùng, AV, máy ảnh&gt; Thiết bị âm thanh&gt; Radio&gt; Radio phòng chống thiên tai")</f>
        <v>Đấu giá&gt; thiết bị điện tử tiêu dùng, AV, máy ảnh&gt; Thiết bị âm thanh&gt; Radio&gt; Radio phòng chống thiên tai</v>
      </c>
      <c r="F161" t="str">
        <f t="shared" ca="1" si="2"/>
        <v>"2084055696" : "đài phát thanh phòng chống thiên tai",</v>
      </c>
    </row>
    <row r="162" spans="1:6" ht="15.75" customHeight="1">
      <c r="A162" s="14">
        <v>2084263362</v>
      </c>
      <c r="B162" s="14" t="s">
        <v>2895</v>
      </c>
      <c r="C162" s="14" t="s">
        <v>2896</v>
      </c>
      <c r="D162" s="5" t="str">
        <f ca="1">IFERROR(__xludf.DUMMYFUNCTION("GOOGLETRANSLATE(B162,""ja"",""vi"")"),"LED")</f>
        <v>LED</v>
      </c>
      <c r="E162" s="4" t="str">
        <f ca="1">IFERROR(__xludf.DUMMYFUNCTION("GOOGLETRANSLATE(C162,""ja"",""vi"")"),"Đấu giá&gt; thiết bị điện tử tiêu dùng, AV, camera&gt; Linh kiện điện tử&gt; LED")</f>
        <v>Đấu giá&gt; thiết bị điện tử tiêu dùng, AV, camera&gt; Linh kiện điện tử&gt; LED</v>
      </c>
      <c r="F162" t="str">
        <f t="shared" ca="1" si="2"/>
        <v>"2084263362" : "LED",</v>
      </c>
    </row>
    <row r="163" spans="1:6" ht="15.75" customHeight="1">
      <c r="A163" s="14">
        <v>2084263371</v>
      </c>
      <c r="B163" s="14" t="s">
        <v>2901</v>
      </c>
      <c r="C163" s="14" t="s">
        <v>2902</v>
      </c>
      <c r="D163" s="5" t="str">
        <f ca="1">IFERROR(__xludf.DUMMYFUNCTION("GOOGLETRANSLATE(B163,""ja"",""vi"")"),"cuộn")</f>
        <v>cuộn</v>
      </c>
      <c r="E163" s="4" t="str">
        <f ca="1">IFERROR(__xludf.DUMMYFUNCTION("GOOGLETRANSLATE(C163,""ja"",""vi"")"),"Đấu giá&gt; thiết bị điện tử tiêu dùng, AV, camera&gt; Linh kiện điện tử&gt; cuộn dây")</f>
        <v>Đấu giá&gt; thiết bị điện tử tiêu dùng, AV, camera&gt; Linh kiện điện tử&gt; cuộn dây</v>
      </c>
      <c r="F163" t="str">
        <f t="shared" ca="1" si="2"/>
        <v>"2084263371" : "cuộn",</v>
      </c>
    </row>
    <row r="164" spans="1:6" ht="15.75" customHeight="1">
      <c r="A164" s="14">
        <v>2084263359</v>
      </c>
      <c r="B164" s="14" t="s">
        <v>2908</v>
      </c>
      <c r="C164" s="14" t="s">
        <v>2909</v>
      </c>
      <c r="D164" s="5" t="str">
        <f ca="1">IFERROR(__xludf.DUMMYFUNCTION("GOOGLETRANSLATE(B164,""ja"",""vi"")"),"Condenser")</f>
        <v>Condenser</v>
      </c>
      <c r="E164" s="4" t="str">
        <f ca="1">IFERROR(__xludf.DUMMYFUNCTION("GOOGLETRANSLATE(C164,""ja"",""vi"")"),"Đấu giá&gt; thiết bị điện tử tiêu dùng, AV, camera&gt; Linh kiện điện tử&gt; tụ")</f>
        <v>Đấu giá&gt; thiết bị điện tử tiêu dùng, AV, camera&gt; Linh kiện điện tử&gt; tụ</v>
      </c>
      <c r="F164" t="str">
        <f t="shared" ca="1" si="2"/>
        <v>"2084263359" : "Condenser",</v>
      </c>
    </row>
    <row r="165" spans="1:6" ht="15.75" customHeight="1">
      <c r="A165" s="14">
        <v>2084263365</v>
      </c>
      <c r="B165" s="14" t="s">
        <v>2912</v>
      </c>
      <c r="C165" s="14" t="s">
        <v>2915</v>
      </c>
      <c r="D165" s="5" t="str">
        <f ca="1">IFERROR(__xludf.DUMMYFUNCTION("GOOGLETRANSLATE(B165,""ja"",""vi"")"),"điện trở biến")</f>
        <v>điện trở biến</v>
      </c>
      <c r="E165" s="4" t="str">
        <f ca="1">IFERROR(__xludf.DUMMYFUNCTION("GOOGLETRANSLATE(C165,""ja"",""vi"")"),"Đấu giá&gt; thiết bị điện tử tiêu dùng, AV, camera&gt; Linh kiện điện tử&gt; kháng biến")</f>
        <v>Đấu giá&gt; thiết bị điện tử tiêu dùng, AV, camera&gt; Linh kiện điện tử&gt; kháng biến</v>
      </c>
      <c r="F165" t="str">
        <f t="shared" ca="1" si="2"/>
        <v>"2084263365" : "điện trở biến",</v>
      </c>
    </row>
    <row r="166" spans="1:6" ht="15.75" customHeight="1">
      <c r="A166" s="14">
        <v>2084263364</v>
      </c>
      <c r="B166" s="14" t="s">
        <v>2916</v>
      </c>
      <c r="C166" s="14" t="s">
        <v>2917</v>
      </c>
      <c r="D166" s="5" t="str">
        <f ca="1">IFERROR(__xludf.DUMMYFUNCTION("GOOGLETRANSLATE(B166,""ja"",""vi"")"),"điện trở cố định")</f>
        <v>điện trở cố định</v>
      </c>
      <c r="E166" s="4" t="str">
        <f ca="1">IFERROR(__xludf.DUMMYFUNCTION("GOOGLETRANSLATE(C166,""ja"",""vi"")"),"Đấu giá&gt; thiết bị điện tử tiêu dùng, AV, camera&gt; Linh kiện điện tử&gt; điện trở cố định")</f>
        <v>Đấu giá&gt; thiết bị điện tử tiêu dùng, AV, camera&gt; Linh kiện điện tử&gt; điện trở cố định</v>
      </c>
      <c r="F166" t="str">
        <f t="shared" ca="1" si="2"/>
        <v>"2084263364" : "điện trở cố định",</v>
      </c>
    </row>
    <row r="167" spans="1:6" ht="15.75" customHeight="1">
      <c r="A167" s="14">
        <v>2084263366</v>
      </c>
      <c r="B167" s="14" t="s">
        <v>2922</v>
      </c>
      <c r="C167" s="14" t="s">
        <v>2923</v>
      </c>
      <c r="D167" s="5" t="str">
        <f ca="1">IFERROR(__xludf.DUMMYFUNCTION("GOOGLETRANSLATE(B167,""ja"",""vi"")"),"công tắc")</f>
        <v>công tắc</v>
      </c>
      <c r="E167" s="4" t="str">
        <f ca="1">IFERROR(__xludf.DUMMYFUNCTION("GOOGLETRANSLATE(C167,""ja"",""vi"")"),"Đấu giá&gt; thiết bị điện tử tiêu dùng, AV, camera&gt; Linh kiện điện tử&gt; chuyển đổi")</f>
        <v>Đấu giá&gt; thiết bị điện tử tiêu dùng, AV, camera&gt; Linh kiện điện tử&gt; chuyển đổi</v>
      </c>
      <c r="F167" t="str">
        <f t="shared" ca="1" si="2"/>
        <v>"2084263366" : "công tắc",</v>
      </c>
    </row>
    <row r="168" spans="1:6" ht="15.75" customHeight="1">
      <c r="A168" s="14">
        <v>2084263367</v>
      </c>
      <c r="B168" s="14" t="s">
        <v>2928</v>
      </c>
      <c r="C168" s="14" t="s">
        <v>2930</v>
      </c>
      <c r="D168" s="5" t="str">
        <f ca="1">IFERROR(__xludf.DUMMYFUNCTION("GOOGLETRANSLATE(B168,""ja"",""vi"")"),"Chuyển mạch cung cấp điện")</f>
        <v>Chuyển mạch cung cấp điện</v>
      </c>
      <c r="E168" s="4" t="str">
        <f ca="1">IFERROR(__xludf.DUMMYFUNCTION("GOOGLETRANSLATE(C168,""ja"",""vi"")"),"Đấu giá&gt; thiết bị điện tử tiêu dùng, AV, camera&gt; Linh kiện điện tử&gt; cung Switching điện")</f>
        <v>Đấu giá&gt; thiết bị điện tử tiêu dùng, AV, camera&gt; Linh kiện điện tử&gt; cung Switching điện</v>
      </c>
      <c r="F168" t="str">
        <f t="shared" ca="1" si="2"/>
        <v>"2084263367" : "Chuyển mạch cung cấp điện",</v>
      </c>
    </row>
    <row r="169" spans="1:6" ht="15.75" customHeight="1">
      <c r="A169" s="14">
        <v>2084263361</v>
      </c>
      <c r="B169" s="14" t="s">
        <v>2933</v>
      </c>
      <c r="C169" s="14" t="s">
        <v>2935</v>
      </c>
      <c r="D169" s="5" t="str">
        <f ca="1">IFERROR(__xludf.DUMMYFUNCTION("GOOGLETRANSLATE(B169,""ja"",""vi"")"),"diode")</f>
        <v>diode</v>
      </c>
      <c r="E169" s="4" t="str">
        <f ca="1">IFERROR(__xludf.DUMMYFUNCTION("GOOGLETRANSLATE(C169,""ja"",""vi"")"),"Đấu giá&gt; thiết bị điện tử tiêu dùng, AV, camera&gt; Linh kiện điện tử&gt; Điốt")</f>
        <v>Đấu giá&gt; thiết bị điện tử tiêu dùng, AV, camera&gt; Linh kiện điện tử&gt; Điốt</v>
      </c>
      <c r="F169" t="str">
        <f t="shared" ca="1" si="2"/>
        <v>"2084263361" : "diode",</v>
      </c>
    </row>
    <row r="170" spans="1:6" ht="15.75" customHeight="1">
      <c r="A170" s="14">
        <v>2084263360</v>
      </c>
      <c r="B170" s="14" t="s">
        <v>2939</v>
      </c>
      <c r="C170" s="14" t="s">
        <v>2940</v>
      </c>
      <c r="D170" s="5" t="str">
        <f ca="1">IFERROR(__xludf.DUMMYFUNCTION("GOOGLETRANSLATE(B170,""ja"",""vi"")"),"transistor")</f>
        <v>transistor</v>
      </c>
      <c r="E170" s="4" t="str">
        <f ca="1">IFERROR(__xludf.DUMMYFUNCTION("GOOGLETRANSLATE(C170,""ja"",""vi"")"),"Đấu giá&gt; thiết bị điện tử tiêu dùng, AV, camera&gt; Linh kiện điện tử&gt; Transitor")</f>
        <v>Đấu giá&gt; thiết bị điện tử tiêu dùng, AV, camera&gt; Linh kiện điện tử&gt; Transitor</v>
      </c>
      <c r="F170" t="str">
        <f t="shared" ca="1" si="2"/>
        <v>"2084263360" : "transistor",</v>
      </c>
    </row>
    <row r="171" spans="1:6" ht="15.75" customHeight="1">
      <c r="A171" s="14">
        <v>2084263363</v>
      </c>
      <c r="B171" s="14" t="s">
        <v>2942</v>
      </c>
      <c r="C171" s="14" t="s">
        <v>2944</v>
      </c>
      <c r="D171" s="5" t="str">
        <f ca="1">IFERROR(__xludf.DUMMYFUNCTION("GOOGLETRANSLATE(B171,""ja"",""vi"")"),"varistor")</f>
        <v>varistor</v>
      </c>
      <c r="E171" s="4" t="str">
        <f ca="1">IFERROR(__xludf.DUMMYFUNCTION("GOOGLETRANSLATE(C171,""ja"",""vi"")"),"Đấu giá&gt; thiết bị điện tử tiêu dùng, AV, camera&gt; Linh kiện điện tử&gt; varistor")</f>
        <v>Đấu giá&gt; thiết bị điện tử tiêu dùng, AV, camera&gt; Linh kiện điện tử&gt; varistor</v>
      </c>
      <c r="F171" t="str">
        <f t="shared" ca="1" si="2"/>
        <v>"2084263363" : "varistor",</v>
      </c>
    </row>
    <row r="172" spans="1:6" ht="15.75" customHeight="1">
      <c r="A172" s="14">
        <v>2084263370</v>
      </c>
      <c r="B172" s="14" t="s">
        <v>2946</v>
      </c>
      <c r="C172" s="14" t="s">
        <v>2947</v>
      </c>
      <c r="D172" s="5" t="str">
        <f ca="1">IFERROR(__xludf.DUMMYFUNCTION("GOOGLETRANSLATE(B172,""ja"",""vi"")"),"tản nhiệt")</f>
        <v>tản nhiệt</v>
      </c>
      <c r="E172" s="4" t="str">
        <f ca="1">IFERROR(__xludf.DUMMYFUNCTION("GOOGLETRANSLATE(C172,""ja"",""vi"")"),"Đấu giá&gt; thiết bị điện tử tiêu dùng, AV, camera&gt; Linh kiện điện tử&gt; tản nhiệt")</f>
        <v>Đấu giá&gt; thiết bị điện tử tiêu dùng, AV, camera&gt; Linh kiện điện tử&gt; tản nhiệt</v>
      </c>
      <c r="F172" t="str">
        <f t="shared" ca="1" si="2"/>
        <v>"2084263370" : "tản nhiệt",</v>
      </c>
    </row>
    <row r="173" spans="1:6" ht="15.75" customHeight="1">
      <c r="A173" s="14">
        <v>2084263368</v>
      </c>
      <c r="B173" s="14" t="s">
        <v>2952</v>
      </c>
      <c r="C173" s="14" t="s">
        <v>2953</v>
      </c>
      <c r="D173" s="5" t="str">
        <f ca="1">IFERROR(__xludf.DUMMYFUNCTION("GOOGLETRANSLATE(B173,""ja"",""vi"")"),"cầu chì")</f>
        <v>cầu chì</v>
      </c>
      <c r="E173" s="4" t="str">
        <f ca="1">IFERROR(__xludf.DUMMYFUNCTION("GOOGLETRANSLATE(C173,""ja"",""vi"")"),"Đấu giá&gt; thiết bị điện tử tiêu dùng, AV, camera&gt; Linh kiện điện tử&gt; cầu chì")</f>
        <v>Đấu giá&gt; thiết bị điện tử tiêu dùng, AV, camera&gt; Linh kiện điện tử&gt; cầu chì</v>
      </c>
      <c r="F173" t="str">
        <f t="shared" ca="1" si="2"/>
        <v>"2084263368" : "cầu chì",</v>
      </c>
    </row>
    <row r="174" spans="1:6" ht="15.75" customHeight="1">
      <c r="A174" s="14">
        <v>2084263373</v>
      </c>
      <c r="B174" s="14" t="s">
        <v>2957</v>
      </c>
      <c r="C174" s="14" t="s">
        <v>2958</v>
      </c>
      <c r="D174" s="5" t="str">
        <f ca="1">IFERROR(__xludf.DUMMYFUNCTION("GOOGLETRANSLATE(B174,""ja"",""vi"")"),"bảng mạch in")</f>
        <v>bảng mạch in</v>
      </c>
      <c r="E174" s="4" t="str">
        <f ca="1">IFERROR(__xludf.DUMMYFUNCTION("GOOGLETRANSLATE(C174,""ja"",""vi"")"),"Đấu giá&gt; thiết bị điện tử tiêu dùng, AV, camera&gt; Linh kiện điện tử&gt; bảng mạch in")</f>
        <v>Đấu giá&gt; thiết bị điện tử tiêu dùng, AV, camera&gt; Linh kiện điện tử&gt; bảng mạch in</v>
      </c>
      <c r="F174" t="str">
        <f t="shared" ca="1" si="2"/>
        <v>"2084263373" : "bảng mạch in",</v>
      </c>
    </row>
    <row r="175" spans="1:6" ht="15.75" customHeight="1">
      <c r="A175" s="14">
        <v>2084263369</v>
      </c>
      <c r="B175" s="14" t="s">
        <v>2962</v>
      </c>
      <c r="C175" s="14" t="s">
        <v>2963</v>
      </c>
      <c r="D175" s="5" t="str">
        <f ca="1">IFERROR(__xludf.DUMMYFUNCTION("GOOGLETRANSLATE(B175,""ja"",""vi"")"),"Meter")</f>
        <v>Meter</v>
      </c>
      <c r="E175" s="4" t="str">
        <f ca="1">IFERROR(__xludf.DUMMYFUNCTION("GOOGLETRANSLATE(C175,""ja"",""vi"")"),"Đấu giá&gt; thiết bị điện tử tiêu dùng, AV, camera&gt; Linh kiện điện tử&gt; mét")</f>
        <v>Đấu giá&gt; thiết bị điện tử tiêu dùng, AV, camera&gt; Linh kiện điện tử&gt; mét</v>
      </c>
      <c r="F175" t="str">
        <f t="shared" ca="1" si="2"/>
        <v>"2084263369" : "Meter",</v>
      </c>
    </row>
    <row r="176" spans="1:6" ht="15.75" customHeight="1">
      <c r="A176" s="14">
        <v>2084263372</v>
      </c>
      <c r="B176" s="14" t="s">
        <v>2969</v>
      </c>
      <c r="C176" s="14" t="s">
        <v>2970</v>
      </c>
      <c r="D176" s="5" t="str">
        <f ca="1">IFERROR(__xludf.DUMMYFUNCTION("GOOGLETRANSLATE(B176,""ja"",""vi"")"),"Rơ le")</f>
        <v>Rơ le</v>
      </c>
      <c r="E176" s="4" t="str">
        <f ca="1">IFERROR(__xludf.DUMMYFUNCTION("GOOGLETRANSLATE(C176,""ja"",""vi"")"),"Đấu giá&gt; thiết bị điện tử tiêu dùng, AV, camera&gt; Linh kiện điện tử&gt; Relays")</f>
        <v>Đấu giá&gt; thiết bị điện tử tiêu dùng, AV, camera&gt; Linh kiện điện tử&gt; Relays</v>
      </c>
      <c r="F176" t="str">
        <f t="shared" ca="1" si="2"/>
        <v>"2084263372" : "Rơ le",</v>
      </c>
    </row>
    <row r="177" spans="1:6" ht="15.75" customHeight="1">
      <c r="A177" s="14">
        <v>2084282461</v>
      </c>
      <c r="B177" s="14" t="s">
        <v>2280</v>
      </c>
      <c r="C177" s="14" t="s">
        <v>2974</v>
      </c>
      <c r="D177" s="5" t="str">
        <f ca="1">IFERROR(__xludf.DUMMYFUNCTION("GOOGLETRANSLATE(B177,""ja"",""vi"")"),"kết nối")</f>
        <v>kết nối</v>
      </c>
      <c r="E177" s="4" t="str">
        <f ca="1">IFERROR(__xludf.DUMMYFUNCTION("GOOGLETRANSLATE(C177,""ja"",""vi"")"),"Đấu giá&gt; thiết bị điện tử tiêu dùng, AV, camera&gt; Linh kiện điện tử&gt; Connectors")</f>
        <v>Đấu giá&gt; thiết bị điện tử tiêu dùng, AV, camera&gt; Linh kiện điện tử&gt; Connectors</v>
      </c>
      <c r="F177" t="str">
        <f t="shared" ca="1" si="2"/>
        <v>"2084282461" : "kết nối",</v>
      </c>
    </row>
    <row r="178" spans="1:6" ht="15.75" customHeight="1">
      <c r="A178" s="14">
        <v>2084286804</v>
      </c>
      <c r="B178" s="14" t="s">
        <v>2654</v>
      </c>
      <c r="C178" s="14" t="s">
        <v>2978</v>
      </c>
      <c r="D178" s="5" t="str">
        <f ca="1">IFERROR(__xludf.DUMMYFUNCTION("GOOGLETRANSLATE(B178,""ja"",""vi"")"),"loa")</f>
        <v>loa</v>
      </c>
      <c r="E178" s="4" t="str">
        <f ca="1">IFERROR(__xludf.DUMMYFUNCTION("GOOGLETRANSLATE(C178,""ja"",""vi"")"),"Đấu giá&gt; thiết bị điện tử tiêu dùng, AV, camera&gt; Linh kiện điện tử&gt; Loa")</f>
        <v>Đấu giá&gt; thiết bị điện tử tiêu dùng, AV, camera&gt; Linh kiện điện tử&gt; Loa</v>
      </c>
      <c r="F178" t="str">
        <f t="shared" ca="1" si="2"/>
        <v>"2084286804" : "loa",</v>
      </c>
    </row>
    <row r="179" spans="1:6" ht="15.75" customHeight="1">
      <c r="A179" s="14">
        <v>2084286805</v>
      </c>
      <c r="B179" s="14" t="s">
        <v>2981</v>
      </c>
      <c r="C179" s="14" t="s">
        <v>2983</v>
      </c>
      <c r="D179" s="5" t="str">
        <f ca="1">IFERROR(__xludf.DUMMYFUNCTION("GOOGLETRANSLATE(B179,""ja"",""vi"")"),"Pickup")</f>
        <v>Pickup</v>
      </c>
      <c r="E179" s="4" t="str">
        <f ca="1">IFERROR(__xludf.DUMMYFUNCTION("GOOGLETRANSLATE(C179,""ja"",""vi"")"),"Đấu giá&gt; thiết bị điện tử tiêu dùng, AV, camera&gt; Linh kiện điện tử&gt; đón")</f>
        <v>Đấu giá&gt; thiết bị điện tử tiêu dùng, AV, camera&gt; Linh kiện điện tử&gt; đón</v>
      </c>
      <c r="F179" t="str">
        <f t="shared" ca="1" si="2"/>
        <v>"2084286805" : "Pickup",</v>
      </c>
    </row>
    <row r="180" spans="1:6" ht="15.75" customHeight="1">
      <c r="A180" s="14">
        <v>2084286803</v>
      </c>
      <c r="B180" s="14" t="s">
        <v>2987</v>
      </c>
      <c r="C180" s="14" t="s">
        <v>2989</v>
      </c>
      <c r="D180" s="5" t="str">
        <f ca="1">IFERROR(__xludf.DUMMYFUNCTION("GOOGLETRANSLATE(B180,""ja"",""vi"")"),"mạch tích hợp")</f>
        <v>mạch tích hợp</v>
      </c>
      <c r="E180" s="4" t="str">
        <f ca="1">IFERROR(__xludf.DUMMYFUNCTION("GOOGLETRANSLATE(C180,""ja"",""vi"")"),"Đấu giá&gt; thiết bị điện tử tiêu dùng, AV, camera&gt; Linh kiện điện tử&gt; mạch tích hợp")</f>
        <v>Đấu giá&gt; thiết bị điện tử tiêu dùng, AV, camera&gt; Linh kiện điện tử&gt; mạch tích hợp</v>
      </c>
      <c r="F180" t="str">
        <f t="shared" ca="1" si="2"/>
        <v>"2084286803" : "mạch tích hợp",</v>
      </c>
    </row>
    <row r="181" spans="1:6" ht="15.75" customHeight="1">
      <c r="A181" s="14">
        <v>2084286802</v>
      </c>
      <c r="B181" s="14" t="s">
        <v>2995</v>
      </c>
      <c r="C181" s="14" t="s">
        <v>2997</v>
      </c>
      <c r="D181" s="5" t="str">
        <f ca="1">IFERROR(__xludf.DUMMYFUNCTION("GOOGLETRANSLATE(B181,""ja"",""vi"")"),"khối thiết bị đầu cuối")</f>
        <v>khối thiết bị đầu cuối</v>
      </c>
      <c r="E181" s="4" t="str">
        <f ca="1">IFERROR(__xludf.DUMMYFUNCTION("GOOGLETRANSLATE(C181,""ja"",""vi"")"),"Đấu giá&gt; thiết bị điện tử tiêu dùng, AV, camera&gt; Linh kiện điện tử&gt; khối thiết bị đầu cuối")</f>
        <v>Đấu giá&gt; thiết bị điện tử tiêu dùng, AV, camera&gt; Linh kiện điện tử&gt; khối thiết bị đầu cuối</v>
      </c>
      <c r="F181" t="str">
        <f t="shared" ca="1" si="2"/>
        <v>"2084286802" : "khối thiết bị đầu cuối",</v>
      </c>
    </row>
    <row r="182" spans="1:6" ht="15.75" customHeight="1">
      <c r="A182" s="14">
        <v>2084263374</v>
      </c>
      <c r="B182" s="14" t="s">
        <v>46</v>
      </c>
      <c r="C182" s="14" t="s">
        <v>2999</v>
      </c>
      <c r="D182" s="5" t="str">
        <f ca="1">IFERROR(__xludf.DUMMYFUNCTION("GOOGLETRANSLATE(B182,""ja"",""vi"")"),"nếu không thì")</f>
        <v>nếu không thì</v>
      </c>
      <c r="E182" s="4" t="str">
        <f ca="1">IFERROR(__xludf.DUMMYFUNCTION("GOOGLETRANSLATE(C182,""ja"",""vi"")"),"Đấu giá&gt; thiết bị điện tử tiêu dùng, AV, camera&gt; Linh kiện điện tử&gt; Khác")</f>
        <v>Đấu giá&gt; thiết bị điện tử tiêu dùng, AV, camera&gt; Linh kiện điện tử&gt; Khác</v>
      </c>
      <c r="F182" t="str">
        <f t="shared" ca="1" si="2"/>
        <v>"2084263374" : "nếu không thì",</v>
      </c>
    </row>
    <row r="183" spans="1:6" ht="15.75" customHeight="1">
      <c r="A183" s="14">
        <v>2084022802</v>
      </c>
      <c r="B183" s="14" t="s">
        <v>3004</v>
      </c>
      <c r="C183" s="14" t="s">
        <v>3006</v>
      </c>
      <c r="D183" s="5" t="str">
        <f ca="1">IFERROR(__xludf.DUMMYFUNCTION("GOOGLETRANSLATE(B183,""ja"",""vi"")"),"Đối với phần mềm Windows")</f>
        <v>Đối với phần mềm Windows</v>
      </c>
      <c r="E183" s="4" t="str">
        <f ca="1">IFERROR(__xludf.DUMMYFUNCTION("GOOGLETRANSLATE(C183,""ja"",""vi"")"),"Đấu giá&gt; Sở thích, văn hóa&gt; nhạc cụ, thiết bị&gt; DTM, DAW&gt; Phần mềm cho Windows")</f>
        <v>Đấu giá&gt; Sở thích, văn hóa&gt; nhạc cụ, thiết bị&gt; DTM, DAW&gt; Phần mềm cho Windows</v>
      </c>
      <c r="F183" t="str">
        <f t="shared" ca="1" si="2"/>
        <v>"2084022802" : "Đối với phần mềm Windows",</v>
      </c>
    </row>
    <row r="184" spans="1:6" ht="15.75" customHeight="1">
      <c r="A184" s="14">
        <v>2084023577</v>
      </c>
      <c r="B184" s="14" t="s">
        <v>3010</v>
      </c>
      <c r="C184" s="14" t="s">
        <v>3011</v>
      </c>
      <c r="D184" s="5" t="str">
        <f ca="1">IFERROR(__xludf.DUMMYFUNCTION("GOOGLETRANSLATE(B184,""ja"",""vi"")"),"Phần mềm cho phần mềm Mac")</f>
        <v>Phần mềm cho phần mềm Mac</v>
      </c>
      <c r="E184" s="4" t="str">
        <f ca="1">IFERROR(__xludf.DUMMYFUNCTION("GOOGLETRANSLATE(C184,""ja"",""vi"")"),"Đấu giá&gt; Sở thích, văn hóa&gt; nhạc cụ, thiết bị&gt; DTM, DAW&gt; phần mềm cho phần mềm Mac")</f>
        <v>Đấu giá&gt; Sở thích, văn hóa&gt; nhạc cụ, thiết bị&gt; DTM, DAW&gt; phần mềm cho phần mềm Mac</v>
      </c>
      <c r="F184" t="str">
        <f t="shared" ca="1" si="2"/>
        <v>"2084023577" : "Phần mềm cho phần mềm Mac",</v>
      </c>
    </row>
    <row r="185" spans="1:6" ht="15.75" customHeight="1">
      <c r="A185" s="14">
        <v>2084305426</v>
      </c>
      <c r="B185" s="14" t="s">
        <v>2663</v>
      </c>
      <c r="C185" s="14" t="s">
        <v>3015</v>
      </c>
      <c r="D185" s="5" t="str">
        <f ca="1">IFERROR(__xludf.DUMMYFUNCTION("GOOGLETRANSLATE(B185,""ja"",""vi"")"),"MIDI bàn phím, bộ điều khiển")</f>
        <v>MIDI bàn phím, bộ điều khiển</v>
      </c>
      <c r="E185" s="4" t="str">
        <f ca="1">IFERROR(__xludf.DUMMYFUNCTION("GOOGLETRANSLATE(C185,""ja"",""vi"")"),"Đấu giá&gt; Sở thích, văn hóa&gt; nhạc cụ, thiết bị&gt; DTM, DAW&gt; MIDI bàn phím, bộ điều khiển")</f>
        <v>Đấu giá&gt; Sở thích, văn hóa&gt; nhạc cụ, thiết bị&gt; DTM, DAW&gt; MIDI bàn phím, bộ điều khiển</v>
      </c>
      <c r="F185" t="str">
        <f t="shared" ca="1" si="2"/>
        <v>"2084305426" : "MIDI bàn phím, bộ điều khiển",</v>
      </c>
    </row>
    <row r="186" spans="1:6" ht="15.75" customHeight="1">
      <c r="A186" s="14">
        <v>2084305429</v>
      </c>
      <c r="B186" s="14" t="s">
        <v>3020</v>
      </c>
      <c r="C186" s="14" t="s">
        <v>3022</v>
      </c>
      <c r="D186" s="5" t="str">
        <f ca="1">IFERROR(__xludf.DUMMYFUNCTION("GOOGLETRANSLATE(B186,""ja"",""vi"")"),"người làm hàng mẫu")</f>
        <v>người làm hàng mẫu</v>
      </c>
      <c r="E186" s="4" t="str">
        <f ca="1">IFERROR(__xludf.DUMMYFUNCTION("GOOGLETRANSLATE(C186,""ja"",""vi"")"),"Đấu giá&gt; Sở thích, văn hóa&gt; nhạc cụ, thiết bị&gt; DTM, DAW&gt; sampler")</f>
        <v>Đấu giá&gt; Sở thích, văn hóa&gt; nhạc cụ, thiết bị&gt; DTM, DAW&gt; sampler</v>
      </c>
      <c r="F186" t="str">
        <f t="shared" ca="1" si="2"/>
        <v>"2084305429" : "người làm hàng mẫu",</v>
      </c>
    </row>
    <row r="187" spans="1:6" ht="15.75" customHeight="1">
      <c r="A187" s="14">
        <v>2084019007</v>
      </c>
      <c r="B187" s="14" t="s">
        <v>2679</v>
      </c>
      <c r="C187" s="14" t="s">
        <v>3026</v>
      </c>
      <c r="D187" s="5" t="str">
        <f ca="1">IFERROR(__xludf.DUMMYFUNCTION("GOOGLETRANSLATE(B187,""ja"",""vi"")"),"Lấy mẫu CD")</f>
        <v>Lấy mẫu CD</v>
      </c>
      <c r="E187" s="4" t="str">
        <f ca="1">IFERROR(__xludf.DUMMYFUNCTION("GOOGLETRANSLATE(C187,""ja"",""vi"")"),"Đấu giá&gt; Sở thích, văn hóa&gt; nhạc cụ, thiết bị&gt; DTM, DAW&gt; lấy mẫu CD")</f>
        <v>Đấu giá&gt; Sở thích, văn hóa&gt; nhạc cụ, thiết bị&gt; DTM, DAW&gt; lấy mẫu CD</v>
      </c>
      <c r="F187" t="str">
        <f t="shared" ca="1" si="2"/>
        <v>"2084019007" : "Lấy mẫu CD",</v>
      </c>
    </row>
    <row r="188" spans="1:6" ht="15.75" customHeight="1">
      <c r="A188" s="14">
        <v>2084305428</v>
      </c>
      <c r="B188" s="14" t="s">
        <v>2673</v>
      </c>
      <c r="C188" s="14" t="s">
        <v>3030</v>
      </c>
      <c r="D188" s="5" t="str">
        <f ca="1">IFERROR(__xludf.DUMMYFUNCTION("GOOGLETRANSLATE(B188,""ja"",""vi"")"),"giao diện âm thanh")</f>
        <v>giao diện âm thanh</v>
      </c>
      <c r="E188" s="4" t="str">
        <f ca="1">IFERROR(__xludf.DUMMYFUNCTION("GOOGLETRANSLATE(C188,""ja"",""vi"")"),"Đấu giá&gt; Sở thích, văn hóa&gt; nhạc cụ, thiết bị&gt; DTM, DAW&gt; giao diện âm thanh")</f>
        <v>Đấu giá&gt; Sở thích, văn hóa&gt; nhạc cụ, thiết bị&gt; DTM, DAW&gt; giao diện âm thanh</v>
      </c>
      <c r="F188" t="str">
        <f t="shared" ca="1" si="2"/>
        <v>"2084305428" : "giao diện âm thanh",</v>
      </c>
    </row>
    <row r="189" spans="1:6" ht="15.75" customHeight="1">
      <c r="A189" s="14">
        <v>2084019004</v>
      </c>
      <c r="B189" s="14" t="s">
        <v>3033</v>
      </c>
      <c r="C189" s="14" t="s">
        <v>3034</v>
      </c>
      <c r="D189" s="5" t="str">
        <f ca="1">IFERROR(__xludf.DUMMYFUNCTION("GOOGLETRANSLATE(B189,""ja"",""vi"")"),"mô-đun âm thanh")</f>
        <v>mô-đun âm thanh</v>
      </c>
      <c r="E189" s="4" t="str">
        <f ca="1">IFERROR(__xludf.DUMMYFUNCTION("GOOGLETRANSLATE(C189,""ja"",""vi"")"),"Đấu giá&gt; Sở thích, văn hóa&gt; nhạc cụ, thiết bị&gt; DTM, DAW&gt; mô-đun âm thanh")</f>
        <v>Đấu giá&gt; Sở thích, văn hóa&gt; nhạc cụ, thiết bị&gt; DTM, DAW&gt; mô-đun âm thanh</v>
      </c>
      <c r="F189" t="str">
        <f t="shared" ca="1" si="2"/>
        <v>"2084019004" : "mô-đun âm thanh",</v>
      </c>
    </row>
    <row r="190" spans="1:6" ht="15.75" customHeight="1">
      <c r="A190" s="14">
        <v>2084305427</v>
      </c>
      <c r="B190" s="14" t="s">
        <v>3036</v>
      </c>
      <c r="C190" s="14" t="s">
        <v>3038</v>
      </c>
      <c r="D190" s="5" t="str">
        <f ca="1">IFERROR(__xludf.DUMMYFUNCTION("GOOGLETRANSLATE(B190,""ja"",""vi"")"),"thiết bị MIDI cho PC")</f>
        <v>thiết bị MIDI cho PC</v>
      </c>
      <c r="E190" s="4" t="str">
        <f ca="1">IFERROR(__xludf.DUMMYFUNCTION("GOOGLETRANSLATE(C190,""ja"",""vi"")"),"Đấu giá&gt; Sở thích, văn hóa&gt; nhạc cụ, thiết bị&gt; DTM, DAW&gt; thiết bị MIDI cho PC")</f>
        <v>Đấu giá&gt; Sở thích, văn hóa&gt; nhạc cụ, thiết bị&gt; DTM, DAW&gt; thiết bị MIDI cho PC</v>
      </c>
      <c r="F190" t="str">
        <f t="shared" ca="1" si="2"/>
        <v>"2084305427" : "thiết bị MIDI cho PC",</v>
      </c>
    </row>
    <row r="191" spans="1:6" ht="15.75" customHeight="1">
      <c r="A191" s="14">
        <v>2084019005</v>
      </c>
      <c r="B191" s="14" t="s">
        <v>3041</v>
      </c>
      <c r="C191" s="14" t="s">
        <v>3042</v>
      </c>
      <c r="D191" s="5" t="str">
        <f ca="1">IFERROR(__xludf.DUMMYFUNCTION("GOOGLETRANSLATE(B191,""ja"",""vi"")"),"máy nhịp")</f>
        <v>máy nhịp</v>
      </c>
      <c r="E191" s="4" t="str">
        <f ca="1">IFERROR(__xludf.DUMMYFUNCTION("GOOGLETRANSLATE(C191,""ja"",""vi"")"),"Đấu giá&gt; Sở thích, văn hóa&gt; nhạc cụ, thiết bị&gt; DTM, DAW&gt; máy nhịp")</f>
        <v>Đấu giá&gt; Sở thích, văn hóa&gt; nhạc cụ, thiết bị&gt; DTM, DAW&gt; máy nhịp</v>
      </c>
      <c r="F191" t="str">
        <f t="shared" ca="1" si="2"/>
        <v>"2084019005" : "máy nhịp",</v>
      </c>
    </row>
    <row r="192" spans="1:6" ht="15.75" customHeight="1">
      <c r="A192" s="14">
        <v>2084019003</v>
      </c>
      <c r="B192" s="14" t="s">
        <v>3044</v>
      </c>
      <c r="C192" s="14" t="s">
        <v>3045</v>
      </c>
      <c r="D192" s="5" t="str">
        <f ca="1">IFERROR(__xludf.DUMMYFUNCTION("GOOGLETRANSLATE(B192,""ja"",""vi"")"),"Bàn phím, tổng hợp")</f>
        <v>Bàn phím, tổng hợp</v>
      </c>
      <c r="E192" s="4" t="str">
        <f ca="1">IFERROR(__xludf.DUMMYFUNCTION("GOOGLETRANSLATE(C192,""ja"",""vi"")"),"Đấu giá&gt; Sở thích, văn hóa&gt; nhạc cụ, thiết bị&gt; DTM, DAW&gt; bàn phím, tổng hợp")</f>
        <v>Đấu giá&gt; Sở thích, văn hóa&gt; nhạc cụ, thiết bị&gt; DTM, DAW&gt; bàn phím, tổng hợp</v>
      </c>
      <c r="F192" t="str">
        <f t="shared" ca="1" si="2"/>
        <v>"2084019003" : "Bàn phím, tổng hợp",</v>
      </c>
    </row>
    <row r="193" spans="1:6" ht="15.75" customHeight="1">
      <c r="A193" s="14">
        <v>2084039706</v>
      </c>
      <c r="B193" s="14" t="s">
        <v>3049</v>
      </c>
      <c r="C193" s="14" t="s">
        <v>3051</v>
      </c>
      <c r="D193" s="5" t="str">
        <f ca="1">IFERROR(__xludf.DUMMYFUNCTION("GOOGLETRANSLATE(B193,""ja"",""vi"")"),"thiết bị ngoại vi máy tính")</f>
        <v>thiết bị ngoại vi máy tính</v>
      </c>
      <c r="E193" s="4" t="str">
        <f ca="1">IFERROR(__xludf.DUMMYFUNCTION("GOOGLETRANSLATE(C193,""ja"",""vi"")"),"Đấu giá&gt; Sở thích, văn hóa&gt; nhạc cụ, thiết bị&gt; DTM, DAW&gt; thiết bị ngoại vi máy tính")</f>
        <v>Đấu giá&gt; Sở thích, văn hóa&gt; nhạc cụ, thiết bị&gt; DTM, DAW&gt; thiết bị ngoại vi máy tính</v>
      </c>
      <c r="F193" t="str">
        <f t="shared" ca="1" si="2"/>
        <v>"2084039706" : "thiết bị ngoại vi máy tính",</v>
      </c>
    </row>
    <row r="194" spans="1:6" ht="15.75" customHeight="1">
      <c r="A194" s="14">
        <v>2084019009</v>
      </c>
      <c r="B194" s="14" t="s">
        <v>46</v>
      </c>
      <c r="C194" s="14" t="s">
        <v>3053</v>
      </c>
      <c r="D194" s="5" t="str">
        <f ca="1">IFERROR(__xludf.DUMMYFUNCTION("GOOGLETRANSLATE(B194,""ja"",""vi"")"),"nếu không thì")</f>
        <v>nếu không thì</v>
      </c>
      <c r="E194" s="4" t="str">
        <f ca="1">IFERROR(__xludf.DUMMYFUNCTION("GOOGLETRANSLATE(C194,""ja"",""vi"")"),"Đấu giá&gt; Sở thích, văn hóa&gt; nhạc cụ, thiết bị&gt; DTM, DAW&gt; Khác")</f>
        <v>Đấu giá&gt; Sở thích, văn hóa&gt; nhạc cụ, thiết bị&gt; DTM, DAW&gt; Khác</v>
      </c>
      <c r="F194" t="str">
        <f t="shared" ref="F194:F257" ca="1" si="3">CONCATENATE(CHAR(34)&amp;"",A194,""&amp;CHAR(34)," : ", CHAR(34)&amp;"",D194,""&amp;CHAR(34),",")</f>
        <v>"2084019009" : "nếu không thì",</v>
      </c>
    </row>
    <row r="195" spans="1:6" ht="15.75" customHeight="1">
      <c r="A195" s="14">
        <v>2084290675</v>
      </c>
      <c r="B195" s="14" t="s">
        <v>2564</v>
      </c>
      <c r="C195" s="14" t="s">
        <v>3059</v>
      </c>
      <c r="D195" s="5" t="str">
        <f ca="1">IFERROR(__xludf.DUMMYFUNCTION("GOOGLETRANSLATE(B195,""ja"",""vi"")"),"máy phát FM")</f>
        <v>máy phát FM</v>
      </c>
      <c r="E195" s="4" t="str">
        <f ca="1">IFERROR(__xludf.DUMMYFUNCTION("GOOGLETRANSLATE(C195,""ja"",""vi"")"),"Đấu giá&gt; ô tô, xe máy&gt; Car Audio&gt; máy phát FM")</f>
        <v>Đấu giá&gt; ô tô, xe máy&gt; Car Audio&gt; máy phát FM</v>
      </c>
      <c r="F195" t="str">
        <f t="shared" ca="1" si="3"/>
        <v>"2084290675" : "máy phát FM",</v>
      </c>
    </row>
    <row r="196" spans="1:6" ht="15.75" customHeight="1">
      <c r="A196" s="14">
        <v>2084048436</v>
      </c>
      <c r="B196" s="14" t="s">
        <v>3064</v>
      </c>
      <c r="C196" s="14" t="s">
        <v>3065</v>
      </c>
      <c r="D196" s="5" t="str">
        <f ca="1">IFERROR(__xludf.DUMMYFUNCTION("GOOGLETRANSLATE(B196,""ja"",""vi"")"),"CD &amp; MD")</f>
        <v>CD &amp; MD</v>
      </c>
      <c r="E196" s="4" t="str">
        <f ca="1">IFERROR(__xludf.DUMMYFUNCTION("GOOGLETRANSLATE(C196,""ja"",""vi"")"),"Đấu giá&gt; ô tô, xe máy&gt; Car Audio&gt; CD &amp; MD chơi")</f>
        <v>Đấu giá&gt; ô tô, xe máy&gt; Car Audio&gt; CD &amp; MD chơi</v>
      </c>
      <c r="F196" t="str">
        <f t="shared" ca="1" si="3"/>
        <v>"2084048436" : "CD &amp; MD",</v>
      </c>
    </row>
    <row r="197" spans="1:6" ht="15.75" customHeight="1">
      <c r="A197" s="14">
        <v>2084048437</v>
      </c>
      <c r="B197" s="14" t="s">
        <v>3067</v>
      </c>
      <c r="C197" s="14" t="s">
        <v>3068</v>
      </c>
      <c r="D197" s="5" t="str">
        <f ca="1">IFERROR(__xludf.DUMMYFUNCTION("GOOGLETRANSLATE(B197,""ja"",""vi"")"),"CD &amp; băng cassette nghe nhạc")</f>
        <v>CD &amp; băng cassette nghe nhạc</v>
      </c>
      <c r="E197" s="4" t="str">
        <f ca="1">IFERROR(__xludf.DUMMYFUNCTION("GOOGLETRANSLATE(C197,""ja"",""vi"")"),"Đấu giá&gt; ô tô, xe máy&gt; Car Audio&gt; CD &amp; băng cassette nghe nhạc")</f>
        <v>Đấu giá&gt; ô tô, xe máy&gt; Car Audio&gt; CD &amp; băng cassette nghe nhạc</v>
      </c>
      <c r="F197" t="str">
        <f t="shared" ca="1" si="3"/>
        <v>"2084048437" : "CD &amp; băng cassette nghe nhạc",</v>
      </c>
    </row>
    <row r="198" spans="1:6" ht="15.75" customHeight="1">
      <c r="A198" s="14">
        <v>23856</v>
      </c>
      <c r="B198" s="14" t="s">
        <v>3071</v>
      </c>
      <c r="C198" s="14" t="s">
        <v>3072</v>
      </c>
      <c r="D198" s="5" t="str">
        <f ca="1">IFERROR(__xludf.DUMMYFUNCTION("GOOGLETRANSLATE(B198,""ja"",""vi"")"),"CD changer")</f>
        <v>CD changer</v>
      </c>
      <c r="E198" s="4" t="str">
        <f ca="1">IFERROR(__xludf.DUMMYFUNCTION("GOOGLETRANSLATE(C198,""ja"",""vi"")"),"Đấu giá&gt; ô tô, xe máy&gt; Car Audio&gt; CD changer")</f>
        <v>Đấu giá&gt; ô tô, xe máy&gt; Car Audio&gt; CD changer</v>
      </c>
      <c r="F198" t="str">
        <f t="shared" ca="1" si="3"/>
        <v>"23856" : "CD changer",</v>
      </c>
    </row>
    <row r="199" spans="1:6" ht="15.75" customHeight="1">
      <c r="A199" s="14">
        <v>23860</v>
      </c>
      <c r="B199" s="14" t="s">
        <v>2570</v>
      </c>
      <c r="C199" s="14" t="s">
        <v>3076</v>
      </c>
      <c r="D199" s="5" t="str">
        <f ca="1">IFERROR(__xludf.DUMMYFUNCTION("GOOGLETRANSLATE(B199,""ja"",""vi"")"),"máy chơi CD")</f>
        <v>máy chơi CD</v>
      </c>
      <c r="E199" s="4" t="str">
        <f ca="1">IFERROR(__xludf.DUMMYFUNCTION("GOOGLETRANSLATE(C199,""ja"",""vi"")"),"Đấu giá&gt; ô tô, xe máy&gt; Car Audio&gt; CD")</f>
        <v>Đấu giá&gt; ô tô, xe máy&gt; Car Audio&gt; CD</v>
      </c>
      <c r="F199" t="str">
        <f t="shared" ca="1" si="3"/>
        <v>"23860" : "máy chơi CD",</v>
      </c>
    </row>
    <row r="200" spans="1:6" ht="15.75" customHeight="1">
      <c r="A200" s="14">
        <v>2084049686</v>
      </c>
      <c r="B200" s="14" t="s">
        <v>3078</v>
      </c>
      <c r="C200" s="14" t="s">
        <v>3079</v>
      </c>
      <c r="D200" s="5" t="str">
        <f ca="1">IFERROR(__xludf.DUMMYFUNCTION("GOOGLETRANSLATE(B200,""ja"",""vi"")"),"DVD đổi")</f>
        <v>DVD đổi</v>
      </c>
      <c r="E200" s="4" t="str">
        <f ca="1">IFERROR(__xludf.DUMMYFUNCTION("GOOGLETRANSLATE(C200,""ja"",""vi"")"),"Đấu giá&gt; ô tô, xe máy&gt; Car Audio&gt; đổi DVD")</f>
        <v>Đấu giá&gt; ô tô, xe máy&gt; Car Audio&gt; đổi DVD</v>
      </c>
      <c r="F200" t="str">
        <f t="shared" ca="1" si="3"/>
        <v>"2084049686" : "DVD đổi",</v>
      </c>
    </row>
    <row r="201" spans="1:6" ht="15.75" customHeight="1">
      <c r="A201" s="14">
        <v>2084049685</v>
      </c>
      <c r="B201" s="14" t="s">
        <v>3085</v>
      </c>
      <c r="C201" s="14" t="s">
        <v>3086</v>
      </c>
      <c r="D201" s="5" t="str">
        <f ca="1">IFERROR(__xludf.DUMMYFUNCTION("GOOGLETRANSLATE(B201,""ja"",""vi"")"),"đầu máy DVD")</f>
        <v>đầu máy DVD</v>
      </c>
      <c r="E201" s="4" t="str">
        <f ca="1">IFERROR(__xludf.DUMMYFUNCTION("GOOGLETRANSLATE(C201,""ja"",""vi"")"),"Đấu giá&gt; ô tô, xe máy&gt; Car Audio&gt; Đầu DVD")</f>
        <v>Đấu giá&gt; ô tô, xe máy&gt; Car Audio&gt; Đầu DVD</v>
      </c>
      <c r="F201" t="str">
        <f t="shared" ca="1" si="3"/>
        <v>"2084049685" : "đầu máy DVD",</v>
      </c>
    </row>
    <row r="202" spans="1:6" ht="15.75" customHeight="1">
      <c r="A202" s="14">
        <v>2084005295</v>
      </c>
      <c r="B202" s="14" t="s">
        <v>2576</v>
      </c>
      <c r="C202" s="14" t="s">
        <v>3091</v>
      </c>
      <c r="D202" s="5" t="str">
        <f ca="1">IFERROR(__xludf.DUMMYFUNCTION("GOOGLETRANSLATE(B202,""ja"",""vi"")"),"người chơi MD")</f>
        <v>người chơi MD</v>
      </c>
      <c r="E202" s="4" t="str">
        <f ca="1">IFERROR(__xludf.DUMMYFUNCTION("GOOGLETRANSLATE(C202,""ja"",""vi"")"),"Đấu giá&gt; ô tô, xe máy&gt; Car Audio&gt; máy nghe nhạc MD")</f>
        <v>Đấu giá&gt; ô tô, xe máy&gt; Car Audio&gt; máy nghe nhạc MD</v>
      </c>
      <c r="F202" t="str">
        <f t="shared" ca="1" si="3"/>
        <v>"2084005295" : "người chơi MD",</v>
      </c>
    </row>
    <row r="203" spans="1:6" ht="15.75" customHeight="1">
      <c r="A203" s="14">
        <v>2084005294</v>
      </c>
      <c r="B203" s="14" t="s">
        <v>2670</v>
      </c>
      <c r="C203" s="14" t="s">
        <v>3098</v>
      </c>
      <c r="D203" s="5" t="str">
        <f ca="1">IFERROR(__xludf.DUMMYFUNCTION("GOOGLETRANSLATE(B203,""ja"",""vi"")"),"amp")</f>
        <v>amp</v>
      </c>
      <c r="E203" s="4" t="str">
        <f ca="1">IFERROR(__xludf.DUMMYFUNCTION("GOOGLETRANSLATE(C203,""ja"",""vi"")"),"Đấu giá&gt; ô tô, xe máy&gt; Car Audio&gt; Bộ khuếch đại")</f>
        <v>Đấu giá&gt; ô tô, xe máy&gt; Car Audio&gt; Bộ khuếch đại</v>
      </c>
      <c r="F203" t="str">
        <f t="shared" ca="1" si="3"/>
        <v>"2084005294" : "amp",</v>
      </c>
    </row>
    <row r="204" spans="1:6" ht="15.75" customHeight="1">
      <c r="A204" s="14">
        <v>2084048322</v>
      </c>
      <c r="B204" s="14" t="s">
        <v>3101</v>
      </c>
      <c r="C204" s="14" t="s">
        <v>3103</v>
      </c>
      <c r="D204" s="5" t="str">
        <f ca="1">IFERROR(__xludf.DUMMYFUNCTION("GOOGLETRANSLATE(B204,""ja"",""vi"")"),"woofer")</f>
        <v>woofer</v>
      </c>
      <c r="E204" s="4" t="str">
        <f ca="1">IFERROR(__xludf.DUMMYFUNCTION("GOOGLETRANSLATE(C204,""ja"",""vi"")"),"Đấu giá&gt; ô tô, xe máy&gt; Car Audio&gt; woofer")</f>
        <v>Đấu giá&gt; ô tô, xe máy&gt; Car Audio&gt; woofer</v>
      </c>
      <c r="F204" t="str">
        <f t="shared" ca="1" si="3"/>
        <v>"2084048322" : "woofer",</v>
      </c>
    </row>
    <row r="205" spans="1:6" ht="15.75" customHeight="1">
      <c r="A205" s="14">
        <v>23864</v>
      </c>
      <c r="B205" s="14" t="s">
        <v>2654</v>
      </c>
      <c r="C205" s="14" t="s">
        <v>3110</v>
      </c>
      <c r="D205" s="5" t="str">
        <f ca="1">IFERROR(__xludf.DUMMYFUNCTION("GOOGLETRANSLATE(B205,""ja"",""vi"")"),"loa")</f>
        <v>loa</v>
      </c>
      <c r="E205" s="4" t="str">
        <f ca="1">IFERROR(__xludf.DUMMYFUNCTION("GOOGLETRANSLATE(C205,""ja"",""vi"")"),"Đấu giá&gt; ô tô, xe máy&gt; Car Audio&gt; Loa")</f>
        <v>Đấu giá&gt; ô tô, xe máy&gt; Car Audio&gt; Loa</v>
      </c>
      <c r="F205" t="str">
        <f t="shared" ca="1" si="3"/>
        <v>"23864" : "loa",</v>
      </c>
    </row>
    <row r="206" spans="1:6" ht="15.75" customHeight="1">
      <c r="A206" s="14">
        <v>23872</v>
      </c>
      <c r="B206" s="14" t="s">
        <v>3114</v>
      </c>
      <c r="C206" s="14" t="s">
        <v>3115</v>
      </c>
      <c r="D206" s="5" t="str">
        <f ca="1">IFERROR(__xludf.DUMMYFUNCTION("GOOGLETRANSLATE(B206,""ja"",""vi"")"),"Tuner")</f>
        <v>Tuner</v>
      </c>
      <c r="E206" s="4" t="str">
        <f ca="1">IFERROR(__xludf.DUMMYFUNCTION("GOOGLETRANSLATE(C206,""ja"",""vi"")"),"Đấu giá&gt; ô tô, xe máy&gt; Car Audio&gt; chỉnh")</f>
        <v>Đấu giá&gt; ô tô, xe máy&gt; Car Audio&gt; chỉnh</v>
      </c>
      <c r="F206" t="str">
        <f t="shared" ca="1" si="3"/>
        <v>"23872" : "Tuner",</v>
      </c>
    </row>
    <row r="207" spans="1:6" ht="15.75" customHeight="1">
      <c r="A207" s="14">
        <v>23868</v>
      </c>
      <c r="B207" s="14" t="s">
        <v>3119</v>
      </c>
      <c r="C207" s="14" t="s">
        <v>3121</v>
      </c>
      <c r="D207" s="5" t="str">
        <f ca="1">IFERROR(__xludf.DUMMYFUNCTION("GOOGLETRANSLATE(B207,""ja"",""vi"")"),"boong Tape")</f>
        <v>boong Tape</v>
      </c>
      <c r="E207" s="4" t="str">
        <f ca="1">IFERROR(__xludf.DUMMYFUNCTION("GOOGLETRANSLATE(C207,""ja"",""vi"")"),"Đấu giá&gt; ô tô, xe máy&gt; Car Audio&gt; boong băng")</f>
        <v>Đấu giá&gt; ô tô, xe máy&gt; Car Audio&gt; boong băng</v>
      </c>
      <c r="F207" t="str">
        <f t="shared" ca="1" si="3"/>
        <v>"23868" : "boong Tape",</v>
      </c>
    </row>
    <row r="208" spans="1:6" ht="15.75" customHeight="1">
      <c r="A208" s="14">
        <v>2084290676</v>
      </c>
      <c r="B208" s="14" t="s">
        <v>3124</v>
      </c>
      <c r="C208" s="14" t="s">
        <v>3125</v>
      </c>
      <c r="D208" s="5" t="str">
        <f ca="1">IFERROR(__xludf.DUMMYFUNCTION("GOOGLETRANSLATE(B208,""ja"",""vi"")"),"Deadning nguồn cung cấp")</f>
        <v>Deadning nguồn cung cấp</v>
      </c>
      <c r="E208" s="4" t="str">
        <f ca="1">IFERROR(__xludf.DUMMYFUNCTION("GOOGLETRANSLATE(C208,""ja"",""vi"")"),"Đấu giá&gt; ô tô, xe máy&gt; Car Audio&gt; nguồn cung cấp Deadning")</f>
        <v>Đấu giá&gt; ô tô, xe máy&gt; Car Audio&gt; nguồn cung cấp Deadning</v>
      </c>
      <c r="F208" t="str">
        <f t="shared" ca="1" si="3"/>
        <v>"2084290676" : "Deadning nguồn cung cấp",</v>
      </c>
    </row>
    <row r="209" spans="1:6" ht="15.75" customHeight="1">
      <c r="A209" s="14">
        <v>2084290677</v>
      </c>
      <c r="B209" s="14" t="s">
        <v>2178</v>
      </c>
      <c r="C209" s="14" t="s">
        <v>3129</v>
      </c>
      <c r="D209" s="5" t="str">
        <f ca="1">IFERROR(__xludf.DUMMYFUNCTION("GOOGLETRANSLATE(B209,""ja"",""vi"")"),"điều khiển từ xa")</f>
        <v>điều khiển từ xa</v>
      </c>
      <c r="E209" s="4" t="str">
        <f ca="1">IFERROR(__xludf.DUMMYFUNCTION("GOOGLETRANSLATE(C209,""ja"",""vi"")"),"Đấu giá&gt; ô tô, xe máy&gt; Car Audio&gt; điều khiển từ xa")</f>
        <v>Đấu giá&gt; ô tô, xe máy&gt; Car Audio&gt; điều khiển từ xa</v>
      </c>
      <c r="F209" t="str">
        <f t="shared" ca="1" si="3"/>
        <v>"2084290677" : "điều khiển từ xa",</v>
      </c>
    </row>
    <row r="210" spans="1:6" ht="15.75" customHeight="1">
      <c r="A210" s="14">
        <v>2084049687</v>
      </c>
      <c r="B210" s="14" t="s">
        <v>3131</v>
      </c>
      <c r="C210" s="14" t="s">
        <v>3135</v>
      </c>
      <c r="D210" s="5" t="str">
        <f ca="1">IFERROR(__xludf.DUMMYFUNCTION("GOOGLETRANSLATE(B210,""ja"",""vi"")"),"Gắn bộ, hệ thống dây điện")</f>
        <v>Gắn bộ, hệ thống dây điện</v>
      </c>
      <c r="E210" s="4" t="str">
        <f ca="1">IFERROR(__xludf.DUMMYFUNCTION("GOOGLETRANSLATE(C210,""ja"",""vi"")"),"Đấu giá&gt; ô tô, xe máy&gt; Car Audio&gt; bộ cài đặt, hệ thống dây điện")</f>
        <v>Đấu giá&gt; ô tô, xe máy&gt; Car Audio&gt; bộ cài đặt, hệ thống dây điện</v>
      </c>
      <c r="F210" t="str">
        <f t="shared" ca="1" si="3"/>
        <v>"2084049687" : "Gắn bộ, hệ thống dây điện",</v>
      </c>
    </row>
    <row r="211" spans="1:6" ht="15.75" customHeight="1">
      <c r="A211" s="14">
        <v>2084048323</v>
      </c>
      <c r="B211" s="14" t="s">
        <v>3138</v>
      </c>
      <c r="C211" s="14" t="s">
        <v>3140</v>
      </c>
      <c r="D211" s="5" t="str">
        <f ca="1">IFERROR(__xludf.DUMMYFUNCTION("GOOGLETRANSLATE(B211,""ja"",""vi"")"),"bộ")</f>
        <v>bộ</v>
      </c>
      <c r="E211" s="4" t="str">
        <f ca="1">IFERROR(__xludf.DUMMYFUNCTION("GOOGLETRANSLATE(C211,""ja"",""vi"")"),"Đấu giá&gt; ô tô, xe máy&gt; Car Audio&gt; bộ")</f>
        <v>Đấu giá&gt; ô tô, xe máy&gt; Car Audio&gt; bộ</v>
      </c>
      <c r="F211" t="str">
        <f t="shared" ca="1" si="3"/>
        <v>"2084048323" : "bộ",</v>
      </c>
    </row>
    <row r="212" spans="1:6" ht="15.75" customHeight="1">
      <c r="A212" s="14">
        <v>2084214143</v>
      </c>
      <c r="B212" s="14" t="s">
        <v>3143</v>
      </c>
      <c r="C212" s="14" t="s">
        <v>3145</v>
      </c>
      <c r="D212" s="5" t="str">
        <f ca="1">IFERROR(__xludf.DUMMYFUNCTION("GOOGLETRANSLATE(B212,""ja"",""vi"")"),"dịch vụ lắp đặt")</f>
        <v>dịch vụ lắp đặt</v>
      </c>
      <c r="E212" s="4" t="str">
        <f ca="1">IFERROR(__xludf.DUMMYFUNCTION("GOOGLETRANSLATE(C212,""ja"",""vi"")"),"Đấu giá&gt; ô tô, xe máy&gt; Car Audio&gt; Dịch vụ lắp đặt")</f>
        <v>Đấu giá&gt; ô tô, xe máy&gt; Car Audio&gt; Dịch vụ lắp đặt</v>
      </c>
      <c r="F212" t="str">
        <f t="shared" ca="1" si="3"/>
        <v>"2084214143" : "dịch vụ lắp đặt",</v>
      </c>
    </row>
    <row r="213" spans="1:6" ht="15.75" customHeight="1">
      <c r="A213" s="14">
        <v>23876</v>
      </c>
      <c r="B213" s="14" t="s">
        <v>46</v>
      </c>
      <c r="C213" s="14" t="s">
        <v>3149</v>
      </c>
      <c r="D213" s="5" t="str">
        <f ca="1">IFERROR(__xludf.DUMMYFUNCTION("GOOGLETRANSLATE(B213,""ja"",""vi"")"),"nếu không thì")</f>
        <v>nếu không thì</v>
      </c>
      <c r="E213" s="4" t="str">
        <f ca="1">IFERROR(__xludf.DUMMYFUNCTION("GOOGLETRANSLATE(C213,""ja"",""vi"")"),"Đấu giá&gt; ô tô, xe máy&gt; Car Audio&gt; Khác")</f>
        <v>Đấu giá&gt; ô tô, xe máy&gt; Car Audio&gt; Khác</v>
      </c>
      <c r="F213" t="str">
        <f t="shared" ca="1" si="3"/>
        <v>"23876" : "nếu không thì",</v>
      </c>
    </row>
    <row r="214" spans="1:6" ht="15.75" customHeight="1">
      <c r="A214" s="14">
        <v>2084221512</v>
      </c>
      <c r="B214" s="14" t="s">
        <v>3151</v>
      </c>
      <c r="C214" s="14" t="s">
        <v>3154</v>
      </c>
      <c r="D214" s="5" t="str">
        <f ca="1">IFERROR(__xludf.DUMMYFUNCTION("GOOGLETRANSLATE(B214,""ja"",""vi"")"),"loại bình ngưng")</f>
        <v>loại bình ngưng</v>
      </c>
      <c r="E214" s="4" t="str">
        <f ca="1">IFERROR(__xludf.DUMMYFUNCTION("GOOGLETRANSLATE(C214,""ja"",""vi"")"),"Đấu giá&gt; thiết bị điện tử tiêu dùng, AV, máy ảnh&gt; Thiết bị âm thanh&gt; Microphone&gt; loại Condenser")</f>
        <v>Đấu giá&gt; thiết bị điện tử tiêu dùng, AV, máy ảnh&gt; Thiết bị âm thanh&gt; Microphone&gt; loại Condenser</v>
      </c>
      <c r="F214" t="str">
        <f t="shared" ca="1" si="3"/>
        <v>"2084221512" : "loại bình ngưng",</v>
      </c>
    </row>
    <row r="215" spans="1:6" ht="15.75" customHeight="1">
      <c r="A215" s="14">
        <v>2084221511</v>
      </c>
      <c r="B215" s="14" t="s">
        <v>3156</v>
      </c>
      <c r="C215" s="14" t="s">
        <v>3158</v>
      </c>
      <c r="D215" s="5" t="str">
        <f ca="1">IFERROR(__xludf.DUMMYFUNCTION("GOOGLETRANSLATE(B215,""ja"",""vi"")"),"loại động")</f>
        <v>loại động</v>
      </c>
      <c r="E215" s="4" t="str">
        <f ca="1">IFERROR(__xludf.DUMMYFUNCTION("GOOGLETRANSLATE(C215,""ja"",""vi"")"),"Đấu giá&gt; thiết bị điện tử tiêu dùng, AV, máy ảnh&gt; Thiết bị âm thanh&gt; Microphone&gt; loại động")</f>
        <v>Đấu giá&gt; thiết bị điện tử tiêu dùng, AV, máy ảnh&gt; Thiết bị âm thanh&gt; Microphone&gt; loại động</v>
      </c>
      <c r="F215" t="str">
        <f t="shared" ca="1" si="3"/>
        <v>"2084221511" : "loại động",</v>
      </c>
    </row>
    <row r="216" spans="1:6" ht="15.75" customHeight="1">
      <c r="A216" s="14">
        <v>2084305787</v>
      </c>
      <c r="B216" s="14" t="s">
        <v>3163</v>
      </c>
      <c r="C216" s="14" t="s">
        <v>3164</v>
      </c>
      <c r="D216" s="5" t="str">
        <f ca="1">IFERROR(__xludf.DUMMYFUNCTION("GOOGLETRANSLATE(B216,""ja"",""vi"")"),"micro ghi âm")</f>
        <v>micro ghi âm</v>
      </c>
      <c r="E216" s="4" t="str">
        <f ca="1">IFERROR(__xludf.DUMMYFUNCTION("GOOGLETRANSLATE(C216,""ja"",""vi"")"),"Đấu giá&gt; thiết bị điện tử tiêu dùng, AV, máy ảnh&gt; Thiết bị âm thanh&gt; Microphone&gt; Recording Microphone")</f>
        <v>Đấu giá&gt; thiết bị điện tử tiêu dùng, AV, máy ảnh&gt; Thiết bị âm thanh&gt; Microphone&gt; Recording Microphone</v>
      </c>
      <c r="F216" t="str">
        <f t="shared" ca="1" si="3"/>
        <v>"2084305787" : "micro ghi âm",</v>
      </c>
    </row>
    <row r="217" spans="1:6" ht="15.75" customHeight="1">
      <c r="A217" s="14">
        <v>2084239144</v>
      </c>
      <c r="B217" s="14" t="s">
        <v>46</v>
      </c>
      <c r="C217" s="14" t="s">
        <v>3170</v>
      </c>
      <c r="D217" s="5" t="str">
        <f ca="1">IFERROR(__xludf.DUMMYFUNCTION("GOOGLETRANSLATE(B217,""ja"",""vi"")"),"nếu không thì")</f>
        <v>nếu không thì</v>
      </c>
      <c r="E217" s="4" t="str">
        <f ca="1">IFERROR(__xludf.DUMMYFUNCTION("GOOGLETRANSLATE(C217,""ja"",""vi"")"),"Đấu giá&gt; thiết bị điện tử tiêu dùng, AV, máy ảnh&gt; Thiết bị âm thanh&gt; Microphone&gt; Khác")</f>
        <v>Đấu giá&gt; thiết bị điện tử tiêu dùng, AV, máy ảnh&gt; Thiết bị âm thanh&gt; Microphone&gt; Khác</v>
      </c>
      <c r="F217" t="str">
        <f t="shared" ca="1" si="3"/>
        <v>"2084239144" : "nếu không thì",</v>
      </c>
    </row>
    <row r="218" spans="1:6" ht="15.75" customHeight="1">
      <c r="A218" s="14">
        <v>2084224175</v>
      </c>
      <c r="B218" s="14" t="s">
        <v>1678</v>
      </c>
      <c r="C218" s="14" t="s">
        <v>3173</v>
      </c>
      <c r="D218" s="5" t="str">
        <f ca="1">IFERROR(__xludf.DUMMYFUNCTION("GOOGLETRANSLATE(B218,""ja"",""vi"")"),"Một cơ thể")</f>
        <v>Một cơ thể</v>
      </c>
      <c r="E218" s="4" t="str">
        <f ca="1">IFERROR(__xludf.DUMMYFUNCTION("GOOGLETRANSLATE(C218,""ja"",""vi"")"),"Đấu giá&gt; cổ, bộ sưu tập&gt; máy hát&gt; cơ thể")</f>
        <v>Đấu giá&gt; cổ, bộ sưu tập&gt; máy hát&gt; cơ thể</v>
      </c>
      <c r="F218" t="str">
        <f t="shared" ca="1" si="3"/>
        <v>"2084224175" : "Một cơ thể",</v>
      </c>
    </row>
    <row r="219" spans="1:6" ht="15.75" customHeight="1">
      <c r="A219" s="14">
        <v>2084224176</v>
      </c>
      <c r="B219" s="14" t="s">
        <v>3179</v>
      </c>
      <c r="C219" s="14" t="s">
        <v>3180</v>
      </c>
      <c r="D219" s="5" t="str">
        <f ca="1">IFERROR(__xludf.DUMMYFUNCTION("GOOGLETRANSLATE(B219,""ja"",""vi"")"),"SP bảng")</f>
        <v>SP bảng</v>
      </c>
      <c r="E219" s="4" t="str">
        <f ca="1">IFERROR(__xludf.DUMMYFUNCTION("GOOGLETRANSLATE(C219,""ja"",""vi"")"),"Đấu giá&gt; cổ, bộ sưu tập&gt; máy hát&gt; SP bản")</f>
        <v>Đấu giá&gt; cổ, bộ sưu tập&gt; máy hát&gt; SP bản</v>
      </c>
      <c r="F219" t="str">
        <f t="shared" ca="1" si="3"/>
        <v>"2084224176" : "SP bảng",</v>
      </c>
    </row>
    <row r="220" spans="1:6" ht="15.75" customHeight="1">
      <c r="A220" s="14">
        <v>2084224177</v>
      </c>
      <c r="B220" s="14" t="s">
        <v>46</v>
      </c>
      <c r="C220" s="14" t="s">
        <v>3184</v>
      </c>
      <c r="D220" s="5" t="str">
        <f ca="1">IFERROR(__xludf.DUMMYFUNCTION("GOOGLETRANSLATE(B220,""ja"",""vi"")"),"nếu không thì")</f>
        <v>nếu không thì</v>
      </c>
      <c r="E220" s="4" t="str">
        <f ca="1">IFERROR(__xludf.DUMMYFUNCTION("GOOGLETRANSLATE(C220,""ja"",""vi"")"),"Đấu giá&gt; cổ, bộ sưu tập&gt; máy hát&gt; Khác")</f>
        <v>Đấu giá&gt; cổ, bộ sưu tập&gt; máy hát&gt; Khác</v>
      </c>
      <c r="F220" t="str">
        <f t="shared" ca="1" si="3"/>
        <v>"2084224177" : "nếu không thì",</v>
      </c>
    </row>
    <row r="221" spans="1:6" ht="15.75" customHeight="1">
      <c r="A221" s="14">
        <v>2084261634</v>
      </c>
      <c r="B221" s="14" t="s">
        <v>3187</v>
      </c>
      <c r="C221" s="14" t="s">
        <v>3188</v>
      </c>
      <c r="D221" s="5" t="str">
        <f ca="1">IFERROR(__xludf.DUMMYFUNCTION("GOOGLETRANSLATE(B221,""ja"",""vi"")"),"Digital SLR")</f>
        <v>Digital SLR</v>
      </c>
      <c r="E221" s="4" t="str">
        <f ca="1">IFERROR(__xludf.DUMMYFUNCTION("GOOGLETRANSLATE(C221,""ja"",""vi"")"),"Đấu giá&gt; thiết bị điện tử tiêu dùng, AV, máy ảnh&gt; máy ảnh, thiết bị quang học&gt; máy ảnh kỹ thuật số&gt; digital single-lens")</f>
        <v>Đấu giá&gt; thiết bị điện tử tiêu dùng, AV, máy ảnh&gt; máy ảnh, thiết bị quang học&gt; máy ảnh kỹ thuật số&gt; digital single-lens</v>
      </c>
      <c r="F221" t="str">
        <f t="shared" ca="1" si="3"/>
        <v>"2084261634" : "Digital SLR",</v>
      </c>
    </row>
    <row r="222" spans="1:6" ht="15.75" customHeight="1">
      <c r="A222" s="14">
        <v>2084305443</v>
      </c>
      <c r="B222" s="14" t="s">
        <v>2017</v>
      </c>
      <c r="C222" s="14" t="s">
        <v>3190</v>
      </c>
      <c r="D222" s="5" t="str">
        <f ca="1">IFERROR(__xludf.DUMMYFUNCTION("GOOGLETRANSLATE(B222,""ja"",""vi"")"),"không gương lật ống kính đơn")</f>
        <v>không gương lật ống kính đơn</v>
      </c>
      <c r="E222" s="4" t="str">
        <f ca="1">IFERROR(__xludf.DUMMYFUNCTION("GOOGLETRANSLATE(C222,""ja"",""vi"")"),"Đấu giá&gt; thiết bị điện tử tiêu dùng, AV, máy ảnh&gt; máy ảnh, thiết bị quang học&gt; máy ảnh kỹ thuật số&gt; single-lens không gương lật")</f>
        <v>Đấu giá&gt; thiết bị điện tử tiêu dùng, AV, máy ảnh&gt; máy ảnh, thiết bị quang học&gt; máy ảnh kỹ thuật số&gt; single-lens không gương lật</v>
      </c>
      <c r="F222" t="str">
        <f t="shared" ca="1" si="3"/>
        <v>"2084305443" : "không gương lật ống kính đơn",</v>
      </c>
    </row>
    <row r="223" spans="1:6" ht="15.75" customHeight="1">
      <c r="A223" s="14">
        <v>2084261642</v>
      </c>
      <c r="B223" s="14" t="s">
        <v>3194</v>
      </c>
      <c r="C223" s="14" t="s">
        <v>3196</v>
      </c>
      <c r="D223" s="5" t="str">
        <f ca="1">IFERROR(__xludf.DUMMYFUNCTION("GOOGLETRANSLATE(B223,""ja"",""vi"")"),"máy ảnh kỹ thuật số nhỏ gọn")</f>
        <v>máy ảnh kỹ thuật số nhỏ gọn</v>
      </c>
      <c r="E223" s="4" t="str">
        <f ca="1">IFERROR(__xludf.DUMMYFUNCTION("GOOGLETRANSLATE(C223,""ja"",""vi"")"),"Đấu giá&gt; thiết bị điện tử tiêu dùng, AV, máy ảnh&gt; máy ảnh, thiết bị quang học&gt; máy ảnh kỹ thuật số&gt; Máy ảnh kỹ thuật số nhỏ gọn")</f>
        <v>Đấu giá&gt; thiết bị điện tử tiêu dùng, AV, máy ảnh&gt; máy ảnh, thiết bị quang học&gt; máy ảnh kỹ thuật số&gt; Máy ảnh kỹ thuật số nhỏ gọn</v>
      </c>
      <c r="F223" t="str">
        <f t="shared" ca="1" si="3"/>
        <v>"2084261642" : "máy ảnh kỹ thuật số nhỏ gọn",</v>
      </c>
    </row>
    <row r="224" spans="1:6" ht="15.75" customHeight="1">
      <c r="A224" s="14">
        <v>2084261659</v>
      </c>
      <c r="B224" s="14" t="s">
        <v>1797</v>
      </c>
      <c r="C224" s="14" t="s">
        <v>3198</v>
      </c>
      <c r="D224" s="5" t="str">
        <f ca="1">IFERROR(__xludf.DUMMYFUNCTION("GOOGLETRANSLATE(B224,""ja"",""vi"")"),"Pin, sạc")</f>
        <v>Pin, sạc</v>
      </c>
      <c r="E224" s="4" t="str">
        <f ca="1">IFERROR(__xludf.DUMMYFUNCTION("GOOGLETRANSLATE(C224,""ja"",""vi"")"),"Đấu giá&gt; thiết bị điện tử tiêu dùng, AV, máy ảnh&gt; máy ảnh, thiết bị quang học&gt; máy ảnh kỹ thuật số&gt; pin, sạc")</f>
        <v>Đấu giá&gt; thiết bị điện tử tiêu dùng, AV, máy ảnh&gt; máy ảnh, thiết bị quang học&gt; máy ảnh kỹ thuật số&gt; pin, sạc</v>
      </c>
      <c r="F224" t="str">
        <f t="shared" ca="1" si="3"/>
        <v>"2084261659" : "Pin, sạc",</v>
      </c>
    </row>
    <row r="225" spans="1:6" ht="15.75" customHeight="1">
      <c r="A225" s="14">
        <v>2084261658</v>
      </c>
      <c r="B225" s="14" t="s">
        <v>3203</v>
      </c>
      <c r="C225" s="14" t="s">
        <v>3205</v>
      </c>
      <c r="D225" s="5" t="str">
        <f ca="1">IFERROR(__xludf.DUMMYFUNCTION("GOOGLETRANSLATE(B225,""ja"",""vi"")"),"PC Connection Kit")</f>
        <v>PC Connection Kit</v>
      </c>
      <c r="E225" s="4" t="str">
        <f ca="1">IFERROR(__xludf.DUMMYFUNCTION("GOOGLETRANSLATE(C225,""ja"",""vi"")"),"Đấu giá&gt; thiết bị điện tử tiêu dùng, AV, máy ảnh&gt; máy ảnh, thiết bị quang học&gt; máy ảnh kỹ thuật số&gt; kit kết nối PC")</f>
        <v>Đấu giá&gt; thiết bị điện tử tiêu dùng, AV, máy ảnh&gt; máy ảnh, thiết bị quang học&gt; máy ảnh kỹ thuật số&gt; kit kết nối PC</v>
      </c>
      <c r="F225" t="str">
        <f t="shared" ca="1" si="3"/>
        <v>"2084261658" : "PC Connection Kit",</v>
      </c>
    </row>
    <row r="226" spans="1:6" ht="15.75" customHeight="1">
      <c r="A226" s="14">
        <v>2084052265</v>
      </c>
      <c r="B226" s="14" t="s">
        <v>2412</v>
      </c>
      <c r="C226" s="14" t="s">
        <v>3212</v>
      </c>
      <c r="D226" s="5" t="str">
        <f ca="1">IFERROR(__xludf.DUMMYFUNCTION("GOOGLETRANSLATE(B226,""ja"",""vi"")"),"hướng dẫn")</f>
        <v>hướng dẫn</v>
      </c>
      <c r="E226" s="4" t="str">
        <f ca="1">IFERROR(__xludf.DUMMYFUNCTION("GOOGLETRANSLATE(C226,""ja"",""vi"")"),"Đấu giá&gt; thiết bị điện tử tiêu dùng, AV, máy ảnh&gt; máy ảnh, thiết bị quang học&gt; máy ảnh kỹ thuật số&gt; Manual")</f>
        <v>Đấu giá&gt; thiết bị điện tử tiêu dùng, AV, máy ảnh&gt; máy ảnh, thiết bị quang học&gt; máy ảnh kỹ thuật số&gt; Manual</v>
      </c>
      <c r="F226" t="str">
        <f t="shared" ca="1" si="3"/>
        <v>"2084052265" : "hướng dẫn",</v>
      </c>
    </row>
    <row r="227" spans="1:6" ht="15.75" customHeight="1">
      <c r="A227" s="14">
        <v>2084313032</v>
      </c>
      <c r="B227" s="14" t="s">
        <v>2406</v>
      </c>
      <c r="C227" s="14" t="s">
        <v>3214</v>
      </c>
      <c r="D227" s="5" t="str">
        <f ca="1">IFERROR(__xludf.DUMMYFUNCTION("GOOGLETRANSLATE(B227,""ja"",""vi"")"),"mục lục")</f>
        <v>mục lục</v>
      </c>
      <c r="E227" s="4" t="str">
        <f ca="1">IFERROR(__xludf.DUMMYFUNCTION("GOOGLETRANSLATE(C227,""ja"",""vi"")"),"Đấu giá&gt; thiết bị điện tử tiêu dùng, AV, máy ảnh&gt; máy ảnh, thiết bị quang học&gt; máy ảnh kỹ thuật số&gt; Danh mục hàng")</f>
        <v>Đấu giá&gt; thiết bị điện tử tiêu dùng, AV, máy ảnh&gt; máy ảnh, thiết bị quang học&gt; máy ảnh kỹ thuật số&gt; Danh mục hàng</v>
      </c>
      <c r="F227" t="str">
        <f t="shared" ca="1" si="3"/>
        <v>"2084313032" : "mục lục",</v>
      </c>
    </row>
    <row r="228" spans="1:6" ht="15.75" customHeight="1">
      <c r="A228" s="14">
        <v>2084042337</v>
      </c>
      <c r="B228" s="14" t="s">
        <v>2232</v>
      </c>
      <c r="C228" s="14" t="s">
        <v>3221</v>
      </c>
      <c r="D228" s="5" t="str">
        <f ca="1">IFERROR(__xludf.DUMMYFUNCTION("GOOGLETRANSLATE(B228,""ja"",""vi"")"),"card Reader")</f>
        <v>card Reader</v>
      </c>
      <c r="E228" s="4" t="str">
        <f ca="1">IFERROR(__xludf.DUMMYFUNCTION("GOOGLETRANSLATE(C228,""ja"",""vi"")"),"Đấu giá&gt; thiết bị điện tử tiêu dùng, AV, máy ảnh&gt; máy ảnh, thiết bị quang học&gt; máy ảnh kỹ thuật số&gt; Card Reader")</f>
        <v>Đấu giá&gt; thiết bị điện tử tiêu dùng, AV, máy ảnh&gt; máy ảnh, thiết bị quang học&gt; máy ảnh kỹ thuật số&gt; Card Reader</v>
      </c>
      <c r="F228" t="str">
        <f t="shared" ca="1" si="3"/>
        <v>"2084042337" : "card Reader",</v>
      </c>
    </row>
    <row r="229" spans="1:6" ht="15.75" customHeight="1">
      <c r="A229" s="14">
        <v>2084039469</v>
      </c>
      <c r="B229" s="14" t="s">
        <v>3225</v>
      </c>
      <c r="C229" s="14" t="s">
        <v>3226</v>
      </c>
      <c r="D229" s="5" t="str">
        <f ca="1">IFERROR(__xludf.DUMMYFUNCTION("GOOGLETRANSLATE(B229,""ja"",""vi"")"),"bộ nhớ ghi âm")</f>
        <v>bộ nhớ ghi âm</v>
      </c>
      <c r="E229" s="4" t="str">
        <f ca="1">IFERROR(__xludf.DUMMYFUNCTION("GOOGLETRANSLATE(C229,""ja"",""vi"")"),"Đấu giá&gt; thiết bị điện tử tiêu dùng, AV, máy ảnh&gt; máy ảnh, thiết bị quang học&gt; máy ảnh kỹ thuật số&gt; ghi nhớ")</f>
        <v>Đấu giá&gt; thiết bị điện tử tiêu dùng, AV, máy ảnh&gt; máy ảnh, thiết bị quang học&gt; máy ảnh kỹ thuật số&gt; ghi nhớ</v>
      </c>
      <c r="F229" t="str">
        <f t="shared" ca="1" si="3"/>
        <v>"2084039469" : "bộ nhớ ghi âm",</v>
      </c>
    </row>
    <row r="230" spans="1:6" ht="15.75" customHeight="1">
      <c r="A230" s="14">
        <v>2084231456</v>
      </c>
      <c r="B230" s="14" t="s">
        <v>2723</v>
      </c>
      <c r="C230" s="14" t="s">
        <v>3230</v>
      </c>
      <c r="D230" s="5" t="str">
        <f ca="1">IFERROR(__xludf.DUMMYFUNCTION("GOOGLETRANSLATE(B230,""ja"",""vi"")"),"Ảnh kỹ thuật số Khung")</f>
        <v>Ảnh kỹ thuật số Khung</v>
      </c>
      <c r="E230" s="4" t="str">
        <f ca="1">IFERROR(__xludf.DUMMYFUNCTION("GOOGLETRANSLATE(C230,""ja"",""vi"")"),"Đấu giá&gt; thiết bị điện tử tiêu dùng, AV, máy ảnh&gt; máy ảnh, thiết bị quang học&gt; máy ảnh kỹ thuật số&gt; khung ảnh kỹ thuật số")</f>
        <v>Đấu giá&gt; thiết bị điện tử tiêu dùng, AV, máy ảnh&gt; máy ảnh, thiết bị quang học&gt; máy ảnh kỹ thuật số&gt; khung ảnh kỹ thuật số</v>
      </c>
      <c r="F230" t="str">
        <f t="shared" ca="1" si="3"/>
        <v>"2084231456" : "Ảnh kỹ thuật số Khung",</v>
      </c>
    </row>
    <row r="231" spans="1:6" ht="15.75" customHeight="1">
      <c r="A231" s="14">
        <v>2084005101</v>
      </c>
      <c r="B231" s="14" t="s">
        <v>3233</v>
      </c>
      <c r="C231" s="14" t="s">
        <v>3234</v>
      </c>
      <c r="D231" s="5" t="str">
        <f ca="1">IFERROR(__xludf.DUMMYFUNCTION("GOOGLETRANSLATE(B231,""ja"",""vi"")"),"Độc thân ống kính máy ảnh phản xạ")</f>
        <v>Độc thân ống kính máy ảnh phản xạ</v>
      </c>
      <c r="E231" s="4" t="str">
        <f ca="1">IFERROR(__xludf.DUMMYFUNCTION("GOOGLETRANSLATE(C231,""ja"",""vi"")"),"Đấu giá&gt; thiết bị điện tử tiêu dùng, AV, máy ảnh&gt; máy ảnh, thiết bị quang học&gt; máy ảnh phim&gt; single-lens reflex")</f>
        <v>Đấu giá&gt; thiết bị điện tử tiêu dùng, AV, máy ảnh&gt; máy ảnh, thiết bị quang học&gt; máy ảnh phim&gt; single-lens reflex</v>
      </c>
      <c r="F231" t="str">
        <f t="shared" ca="1" si="3"/>
        <v>"2084005101" : "Độc thân ống kính máy ảnh phản xạ",</v>
      </c>
    </row>
    <row r="232" spans="1:6" ht="15.75" customHeight="1">
      <c r="A232" s="14">
        <v>2084041673</v>
      </c>
      <c r="B232" s="14" t="s">
        <v>3238</v>
      </c>
      <c r="C232" s="14" t="s">
        <v>3240</v>
      </c>
      <c r="D232" s="5" t="str">
        <f ca="1">IFERROR(__xludf.DUMMYFUNCTION("GOOGLETRANSLATE(B232,""ja"",""vi"")"),"Tức thì, Polaroid")</f>
        <v>Tức thì, Polaroid</v>
      </c>
      <c r="E232" s="4" t="str">
        <f ca="1">IFERROR(__xludf.DUMMYFUNCTION("GOOGLETRANSLATE(C232,""ja"",""vi"")"),"Đấu giá&gt; thiết bị điện tử tiêu dùng, AV, máy ảnh&gt; máy ảnh, ống kính thiết bị&gt; máy ảnh phim&gt; ngay lập tức, Polaroid")</f>
        <v>Đấu giá&gt; thiết bị điện tử tiêu dùng, AV, máy ảnh&gt; máy ảnh, ống kính thiết bị&gt; máy ảnh phim&gt; ngay lập tức, Polaroid</v>
      </c>
      <c r="F232" t="str">
        <f t="shared" ca="1" si="3"/>
        <v>"2084041673" : "Tức thì, Polaroid",</v>
      </c>
    </row>
    <row r="233" spans="1:6" ht="15.75" customHeight="1">
      <c r="A233" s="14">
        <v>2084005100</v>
      </c>
      <c r="B233" s="14" t="s">
        <v>3243</v>
      </c>
      <c r="C233" s="14" t="s">
        <v>3244</v>
      </c>
      <c r="D233" s="5" t="str">
        <f ca="1">IFERROR(__xludf.DUMMYFUNCTION("GOOGLETRANSLATE(B233,""ja"",""vi"")"),"máy chụp ảnh nhỏ gọn")</f>
        <v>máy chụp ảnh nhỏ gọn</v>
      </c>
      <c r="E233" s="4" t="str">
        <f ca="1">IFERROR(__xludf.DUMMYFUNCTION("GOOGLETRANSLATE(C233,""ja"",""vi"")"),"Đấu giá&gt; thiết bị điện tử tiêu dùng, AV, máy ảnh&gt; máy ảnh, thiết bị quang học&gt; máy ảnh phim&gt; máy ảnh compact")</f>
        <v>Đấu giá&gt; thiết bị điện tử tiêu dùng, AV, máy ảnh&gt; máy ảnh, thiết bị quang học&gt; máy ảnh phim&gt; máy ảnh compact</v>
      </c>
      <c r="F233" t="str">
        <f t="shared" ca="1" si="3"/>
        <v>"2084005100" : "máy chụp ảnh nhỏ gọn",</v>
      </c>
    </row>
    <row r="234" spans="1:6" ht="15.75" customHeight="1">
      <c r="A234" s="14">
        <v>2084041672</v>
      </c>
      <c r="B234" s="14" t="s">
        <v>3249</v>
      </c>
      <c r="C234" s="14" t="s">
        <v>3250</v>
      </c>
      <c r="D234" s="5" t="str">
        <f ca="1">IFERROR(__xludf.DUMMYFUNCTION("GOOGLETRANSLATE(B234,""ja"",""vi"")"),"8 mm")</f>
        <v>8 mm</v>
      </c>
      <c r="E234" s="4" t="str">
        <f ca="1">IFERROR(__xludf.DUMMYFUNCTION("GOOGLETRANSLATE(C234,""ja"",""vi"")"),"Đấu giá&gt; thiết bị điện tử tiêu dùng, AV, máy ảnh&gt; máy ảnh, thiết bị quang học&gt; máy ảnh phim&gt; 8 mm")</f>
        <v>Đấu giá&gt; thiết bị điện tử tiêu dùng, AV, máy ảnh&gt; máy ảnh, thiết bị quang học&gt; máy ảnh phim&gt; 8 mm</v>
      </c>
      <c r="F234" t="str">
        <f t="shared" ca="1" si="3"/>
        <v>"2084041672" : "8 mm",</v>
      </c>
    </row>
    <row r="235" spans="1:6" ht="15.75" customHeight="1">
      <c r="A235" s="14">
        <v>2084005099</v>
      </c>
      <c r="B235" s="14" t="s">
        <v>3253</v>
      </c>
      <c r="C235" s="14" t="s">
        <v>3255</v>
      </c>
      <c r="D235" s="5" t="str">
        <f ca="1">IFERROR(__xludf.DUMMYFUNCTION("GOOGLETRANSLATE(B235,""ja"",""vi"")"),"APS")</f>
        <v>APS</v>
      </c>
      <c r="E235" s="4" t="str">
        <f ca="1">IFERROR(__xludf.DUMMYFUNCTION("GOOGLETRANSLATE(C235,""ja"",""vi"")"),"Đấu giá&gt; thiết bị điện tử tiêu dùng, AV, máy ảnh&gt; máy ảnh, ống kính thiết bị&gt; máy ảnh phim&gt; APS")</f>
        <v>Đấu giá&gt; thiết bị điện tử tiêu dùng, AV, máy ảnh&gt; máy ảnh, ống kính thiết bị&gt; máy ảnh phim&gt; APS</v>
      </c>
      <c r="F235" t="str">
        <f t="shared" ca="1" si="3"/>
        <v>"2084005099" : "APS",</v>
      </c>
    </row>
    <row r="236" spans="1:6" ht="15.75" customHeight="1">
      <c r="A236" s="14">
        <v>2084041670</v>
      </c>
      <c r="B236" s="14" t="s">
        <v>3260</v>
      </c>
      <c r="C236" s="14" t="s">
        <v>3261</v>
      </c>
      <c r="D236" s="5" t="str">
        <f ca="1">IFERROR(__xludf.DUMMYFUNCTION("GOOGLETRANSLATE(B236,""ja"",""vi"")"),"Phạm vi công cụ tìm")</f>
        <v>Phạm vi công cụ tìm</v>
      </c>
      <c r="E236" s="4" t="str">
        <f ca="1">IFERROR(__xludf.DUMMYFUNCTION("GOOGLETRANSLATE(C236,""ja"",""vi"")"),"Đấu giá&gt; thiết bị điện tử tiêu dùng, AV, máy ảnh&gt; máy ảnh, thiết bị quang học&gt; máy ảnh phim&gt; công cụ tìm phạm vi")</f>
        <v>Đấu giá&gt; thiết bị điện tử tiêu dùng, AV, máy ảnh&gt; máy ảnh, thiết bị quang học&gt; máy ảnh phim&gt; công cụ tìm phạm vi</v>
      </c>
      <c r="F236" t="str">
        <f t="shared" ca="1" si="3"/>
        <v>"2084041670" : "Phạm vi công cụ tìm",</v>
      </c>
    </row>
    <row r="237" spans="1:6" ht="15.75" customHeight="1">
      <c r="A237" s="14">
        <v>2084041680</v>
      </c>
      <c r="B237" s="14" t="s">
        <v>3269</v>
      </c>
      <c r="C237" s="14" t="s">
        <v>3270</v>
      </c>
      <c r="D237" s="5" t="str">
        <f ca="1">IFERROR(__xludf.DUMMYFUNCTION("GOOGLETRANSLATE(B237,""ja"",""vi"")"),"khổ lớn, định dạng phương tiện")</f>
        <v>khổ lớn, định dạng phương tiện</v>
      </c>
      <c r="E237" s="4" t="str">
        <f ca="1">IFERROR(__xludf.DUMMYFUNCTION("GOOGLETRANSLATE(C237,""ja"",""vi"")"),"Đấu giá&gt; thiết bị điện tử tiêu dùng, AV, máy ảnh&gt; máy ảnh, thiết bị quang học&gt; máy ảnh phim&gt; khổ lớn, định dạng phương tiện")</f>
        <v>Đấu giá&gt; thiết bị điện tử tiêu dùng, AV, máy ảnh&gt; máy ảnh, thiết bị quang học&gt; máy ảnh phim&gt; khổ lớn, định dạng phương tiện</v>
      </c>
      <c r="F237" t="str">
        <f t="shared" ca="1" si="3"/>
        <v>"2084041680" : "khổ lớn, định dạng phương tiện",</v>
      </c>
    </row>
    <row r="238" spans="1:6" ht="15.75" customHeight="1">
      <c r="A238" s="14">
        <v>2084041671</v>
      </c>
      <c r="B238" s="14" t="s">
        <v>3274</v>
      </c>
      <c r="C238" s="14" t="s">
        <v>3276</v>
      </c>
      <c r="D238" s="5" t="str">
        <f ca="1">IFERROR(__xludf.DUMMYFUNCTION("GOOGLETRANSLATE(B238,""ja"",""vi"")"),"Phản xạ Twin-ống kính")</f>
        <v>Phản xạ Twin-ống kính</v>
      </c>
      <c r="E238" s="4" t="str">
        <f ca="1">IFERROR(__xludf.DUMMYFUNCTION("GOOGLETRANSLATE(C238,""ja"",""vi"")"),"Đấu giá&gt; thiết bị điện tử tiêu dùng, AV, máy ảnh&gt; máy ảnh, thiết bị quang học&gt; máy ảnh phim&gt; twin-lens reflex")</f>
        <v>Đấu giá&gt; thiết bị điện tử tiêu dùng, AV, máy ảnh&gt; máy ảnh, thiết bị quang học&gt; máy ảnh phim&gt; twin-lens reflex</v>
      </c>
      <c r="F238" t="str">
        <f t="shared" ca="1" si="3"/>
        <v>"2084041671" : "Phản xạ Twin-ống kính",</v>
      </c>
    </row>
    <row r="239" spans="1:6" ht="15.75" customHeight="1">
      <c r="A239" s="14">
        <v>2084313032</v>
      </c>
      <c r="B239" s="14" t="s">
        <v>2406</v>
      </c>
      <c r="C239" s="14" t="s">
        <v>3281</v>
      </c>
      <c r="D239" s="5" t="str">
        <f ca="1">IFERROR(__xludf.DUMMYFUNCTION("GOOGLETRANSLATE(B239,""ja"",""vi"")"),"mục lục")</f>
        <v>mục lục</v>
      </c>
      <c r="E239" s="4" t="str">
        <f ca="1">IFERROR(__xludf.DUMMYFUNCTION("GOOGLETRANSLATE(C239,""ja"",""vi"")"),"Đấu giá&gt; thiết bị điện tử tiêu dùng, AV, máy ảnh&gt; máy ảnh, thiết bị quang học&gt; máy ảnh phim&gt; Catalogue")</f>
        <v>Đấu giá&gt; thiết bị điện tử tiêu dùng, AV, máy ảnh&gt; máy ảnh, thiết bị quang học&gt; máy ảnh phim&gt; Catalogue</v>
      </c>
      <c r="F239" t="str">
        <f t="shared" ca="1" si="3"/>
        <v>"2084313032" : "mục lục",</v>
      </c>
    </row>
    <row r="240" spans="1:6" ht="15.75" customHeight="1">
      <c r="A240" s="14">
        <v>2084052265</v>
      </c>
      <c r="B240" s="14" t="s">
        <v>2412</v>
      </c>
      <c r="C240" s="14" t="s">
        <v>3285</v>
      </c>
      <c r="D240" s="5" t="str">
        <f ca="1">IFERROR(__xludf.DUMMYFUNCTION("GOOGLETRANSLATE(B240,""ja"",""vi"")"),"hướng dẫn")</f>
        <v>hướng dẫn</v>
      </c>
      <c r="E240" s="4" t="str">
        <f ca="1">IFERROR(__xludf.DUMMYFUNCTION("GOOGLETRANSLATE(C240,""ja"",""vi"")"),"Đấu giá&gt; thiết bị điện tử tiêu dùng, AV, máy ảnh&gt; máy ảnh, ống kính thiết bị&gt; máy ảnh phim&gt; Manual")</f>
        <v>Đấu giá&gt; thiết bị điện tử tiêu dùng, AV, máy ảnh&gt; máy ảnh, ống kính thiết bị&gt; máy ảnh phim&gt; Manual</v>
      </c>
      <c r="F240" t="str">
        <f t="shared" ca="1" si="3"/>
        <v>"2084052265" : "hướng dẫn",</v>
      </c>
    </row>
    <row r="241" spans="1:6" ht="15.75" customHeight="1">
      <c r="A241" s="14">
        <v>23660</v>
      </c>
      <c r="B241" s="14" t="s">
        <v>46</v>
      </c>
      <c r="C241" s="14" t="s">
        <v>3291</v>
      </c>
      <c r="D241" s="5" t="str">
        <f ca="1">IFERROR(__xludf.DUMMYFUNCTION("GOOGLETRANSLATE(B241,""ja"",""vi"")"),"nếu không thì")</f>
        <v>nếu không thì</v>
      </c>
      <c r="E241" s="4" t="str">
        <f ca="1">IFERROR(__xludf.DUMMYFUNCTION("GOOGLETRANSLATE(C241,""ja"",""vi"")"),"Đấu giá&gt; thiết bị điện tử tiêu dùng, AV, máy ảnh&gt; máy ảnh, ống kính thiết bị&gt; máy ảnh phim&gt; Khác")</f>
        <v>Đấu giá&gt; thiết bị điện tử tiêu dùng, AV, máy ảnh&gt; máy ảnh, ống kính thiết bị&gt; máy ảnh phim&gt; Khác</v>
      </c>
      <c r="F241" t="str">
        <f t="shared" ca="1" si="3"/>
        <v>"23660" : "nếu không thì",</v>
      </c>
    </row>
    <row r="242" spans="1:6" ht="15.75" customHeight="1">
      <c r="A242" s="14">
        <v>23944</v>
      </c>
      <c r="B242" s="14" t="s">
        <v>2376</v>
      </c>
      <c r="C242" s="14" t="s">
        <v>2378</v>
      </c>
      <c r="D242" s="5" t="str">
        <f ca="1">IFERROR(__xludf.DUMMYFUNCTION("GOOGLETRANSLATE(B242,""ja"",""vi"")"),"máy ảnh video kỹ thuật số")</f>
        <v>máy ảnh video kỹ thuật số</v>
      </c>
      <c r="E242" s="4" t="str">
        <f ca="1">IFERROR(__xludf.DUMMYFUNCTION("GOOGLETRANSLATE(C242,""ja"",""vi"")"),"Đấu giá&gt; thiết bị điện tử tiêu dùng, AV, máy ảnh&gt; máy ảnh, thiết bị quang học&gt; camera&gt; camera video kỹ thuật số")</f>
        <v>Đấu giá&gt; thiết bị điện tử tiêu dùng, AV, máy ảnh&gt; máy ảnh, thiết bị quang học&gt; camera&gt; camera video kỹ thuật số</v>
      </c>
      <c r="F242" t="str">
        <f t="shared" ca="1" si="3"/>
        <v>"23944" : "máy ảnh video kỹ thuật số",</v>
      </c>
    </row>
    <row r="243" spans="1:6" ht="15.75" customHeight="1">
      <c r="A243" s="14">
        <v>23940</v>
      </c>
      <c r="B243" s="14" t="s">
        <v>2381</v>
      </c>
      <c r="C243" s="14" t="s">
        <v>2382</v>
      </c>
      <c r="D243" s="5" t="str">
        <f ca="1">IFERROR(__xludf.DUMMYFUNCTION("GOOGLETRANSLATE(B243,""ja"",""vi"")"),"máy quay phim 8 mm")</f>
        <v>máy quay phim 8 mm</v>
      </c>
      <c r="E243" s="4" t="str">
        <f ca="1">IFERROR(__xludf.DUMMYFUNCTION("GOOGLETRANSLATE(C243,""ja"",""vi"")"),"Đấu giá&gt; thiết bị điện tử tiêu dùng, AV, máy ảnh&gt; máy ảnh, thiết bị quang học&gt; camera video&gt; video camera 8 mm")</f>
        <v>Đấu giá&gt; thiết bị điện tử tiêu dùng, AV, máy ảnh&gt; máy ảnh, thiết bị quang học&gt; camera video&gt; video camera 8 mm</v>
      </c>
      <c r="F243" t="str">
        <f t="shared" ca="1" si="3"/>
        <v>"23940" : "máy quay phim 8 mm",</v>
      </c>
    </row>
    <row r="244" spans="1:6" ht="15.75" customHeight="1">
      <c r="A244" s="14">
        <v>2084018948</v>
      </c>
      <c r="B244" s="14" t="s">
        <v>2387</v>
      </c>
      <c r="C244" s="14" t="s">
        <v>2388</v>
      </c>
      <c r="D244" s="5" t="str">
        <f ca="1">IFERROR(__xludf.DUMMYFUNCTION("GOOGLETRANSLATE(B244,""ja"",""vi"")"),"phụ kiện")</f>
        <v>phụ kiện</v>
      </c>
      <c r="E244" s="4" t="str">
        <f ca="1">IFERROR(__xludf.DUMMYFUNCTION("GOOGLETRANSLATE(C244,""ja"",""vi"")"),"Đấu giá&gt; thiết bị điện tử tiêu dùng, AV, máy ảnh&gt; máy ảnh, thiết bị quang học&gt; camera&gt; Phụ kiện")</f>
        <v>Đấu giá&gt; thiết bị điện tử tiêu dùng, AV, máy ảnh&gt; máy ảnh, thiết bị quang học&gt; camera&gt; Phụ kiện</v>
      </c>
      <c r="F244" t="str">
        <f t="shared" ca="1" si="3"/>
        <v>"2084018948" : "phụ kiện",</v>
      </c>
    </row>
    <row r="245" spans="1:6" ht="15.75" customHeight="1">
      <c r="A245" s="14">
        <v>2084018952</v>
      </c>
      <c r="B245" s="14" t="s">
        <v>1797</v>
      </c>
      <c r="C245" s="14" t="s">
        <v>2393</v>
      </c>
      <c r="D245" s="5" t="str">
        <f ca="1">IFERROR(__xludf.DUMMYFUNCTION("GOOGLETRANSLATE(B245,""ja"",""vi"")"),"Pin, sạc")</f>
        <v>Pin, sạc</v>
      </c>
      <c r="E245" s="4" t="str">
        <f ca="1">IFERROR(__xludf.DUMMYFUNCTION("GOOGLETRANSLATE(C245,""ja"",""vi"")"),"Đấu giá&gt; thiết bị điện tử tiêu dùng, AV, máy ảnh&gt; máy ảnh, thiết bị quang học&gt; camera&gt; pin, sạc")</f>
        <v>Đấu giá&gt; thiết bị điện tử tiêu dùng, AV, máy ảnh&gt; máy ảnh, thiết bị quang học&gt; camera&gt; pin, sạc</v>
      </c>
      <c r="F245" t="str">
        <f t="shared" ca="1" si="3"/>
        <v>"2084018952" : "Pin, sạc",</v>
      </c>
    </row>
    <row r="246" spans="1:6" ht="15.75" customHeight="1">
      <c r="A246" s="14">
        <v>2084239145</v>
      </c>
      <c r="B246" s="14" t="s">
        <v>2397</v>
      </c>
      <c r="C246" s="14" t="s">
        <v>2399</v>
      </c>
      <c r="D246" s="5" t="str">
        <f ca="1">IFERROR(__xludf.DUMMYFUNCTION("GOOGLETRANSLATE(B246,""ja"",""vi"")"),"Chuyên nghiệp, cho doanh nghiệp")</f>
        <v>Chuyên nghiệp, cho doanh nghiệp</v>
      </c>
      <c r="E246" s="4" t="str">
        <f ca="1">IFERROR(__xludf.DUMMYFUNCTION("GOOGLETRANSLATE(C246,""ja"",""vi"")"),"Đấu giá&gt; thiết bị điện tử tiêu dùng, AV, máy ảnh&gt; máy ảnh, ống kính thiết bị&gt; máy quay phim&gt; chuyên nghiệp, cho doanh nghiệp")</f>
        <v>Đấu giá&gt; thiết bị điện tử tiêu dùng, AV, máy ảnh&gt; máy ảnh, ống kính thiết bị&gt; máy quay phim&gt; chuyên nghiệp, cho doanh nghiệp</v>
      </c>
      <c r="F246" t="str">
        <f t="shared" ca="1" si="3"/>
        <v>"2084239145" : "Chuyên nghiệp, cho doanh nghiệp",</v>
      </c>
    </row>
    <row r="247" spans="1:6" ht="15.75" customHeight="1">
      <c r="A247" s="14">
        <v>2084018951</v>
      </c>
      <c r="B247" s="14" t="s">
        <v>2402</v>
      </c>
      <c r="C247" s="14" t="s">
        <v>2405</v>
      </c>
      <c r="D247" s="5" t="str">
        <f ca="1">IFERROR(__xludf.DUMMYFUNCTION("GOOGLETRANSLATE(B247,""ja"",""vi"")"),"phương tiện truyền thông ghi âm")</f>
        <v>phương tiện truyền thông ghi âm</v>
      </c>
      <c r="E247" s="4" t="str">
        <f ca="1">IFERROR(__xludf.DUMMYFUNCTION("GOOGLETRANSLATE(C247,""ja"",""vi"")"),"Đấu giá&gt; thiết bị điện tử tiêu dùng, AV, máy ảnh&gt; máy ảnh, thiết bị quang học&gt; camera&gt; ghi trung bình")</f>
        <v>Đấu giá&gt; thiết bị điện tử tiêu dùng, AV, máy ảnh&gt; máy ảnh, thiết bị quang học&gt; camera&gt; ghi trung bình</v>
      </c>
      <c r="F247" t="str">
        <f t="shared" ca="1" si="3"/>
        <v>"2084018951" : "phương tiện truyền thông ghi âm",</v>
      </c>
    </row>
    <row r="248" spans="1:6" ht="15.75" customHeight="1">
      <c r="A248" s="14">
        <v>2084313032</v>
      </c>
      <c r="B248" s="14" t="s">
        <v>2406</v>
      </c>
      <c r="C248" s="14" t="s">
        <v>2407</v>
      </c>
      <c r="D248" s="5" t="str">
        <f ca="1">IFERROR(__xludf.DUMMYFUNCTION("GOOGLETRANSLATE(B248,""ja"",""vi"")"),"mục lục")</f>
        <v>mục lục</v>
      </c>
      <c r="E248" s="4" t="str">
        <f ca="1">IFERROR(__xludf.DUMMYFUNCTION("GOOGLETRANSLATE(C248,""ja"",""vi"")"),"Đấu giá&gt; thiết bị điện tử tiêu dùng, AV, máy ảnh&gt; máy ảnh, thiết bị quang học&gt; camera&gt; Catalogue")</f>
        <v>Đấu giá&gt; thiết bị điện tử tiêu dùng, AV, máy ảnh&gt; máy ảnh, thiết bị quang học&gt; camera&gt; Catalogue</v>
      </c>
      <c r="F248" t="str">
        <f t="shared" ca="1" si="3"/>
        <v>"2084313032" : "mục lục",</v>
      </c>
    </row>
    <row r="249" spans="1:6" ht="15.75" customHeight="1">
      <c r="A249" s="14">
        <v>2084052265</v>
      </c>
      <c r="B249" s="14" t="s">
        <v>2412</v>
      </c>
      <c r="C249" s="14" t="s">
        <v>2414</v>
      </c>
      <c r="D249" s="5" t="str">
        <f ca="1">IFERROR(__xludf.DUMMYFUNCTION("GOOGLETRANSLATE(B249,""ja"",""vi"")"),"hướng dẫn")</f>
        <v>hướng dẫn</v>
      </c>
      <c r="E249" s="4" t="str">
        <f ca="1">IFERROR(__xludf.DUMMYFUNCTION("GOOGLETRANSLATE(C249,""ja"",""vi"")"),"Đấu giá&gt; thiết bị điện tử tiêu dùng, AV, máy ảnh&gt; máy ảnh, ống kính thiết bị&gt; máy quay phim&gt; Manual")</f>
        <v>Đấu giá&gt; thiết bị điện tử tiêu dùng, AV, máy ảnh&gt; máy ảnh, ống kính thiết bị&gt; máy quay phim&gt; Manual</v>
      </c>
      <c r="F249" t="str">
        <f t="shared" ca="1" si="3"/>
        <v>"2084052265" : "hướng dẫn",</v>
      </c>
    </row>
    <row r="250" spans="1:6" ht="15.75" customHeight="1">
      <c r="A250" s="14">
        <v>23948</v>
      </c>
      <c r="B250" s="14" t="s">
        <v>46</v>
      </c>
      <c r="C250" s="14" t="s">
        <v>2419</v>
      </c>
      <c r="D250" s="5" t="str">
        <f ca="1">IFERROR(__xludf.DUMMYFUNCTION("GOOGLETRANSLATE(B250,""ja"",""vi"")"),"nếu không thì")</f>
        <v>nếu không thì</v>
      </c>
      <c r="E250" s="4" t="str">
        <f ca="1">IFERROR(__xludf.DUMMYFUNCTION("GOOGLETRANSLATE(C250,""ja"",""vi"")"),"Đấu giá&gt; thiết bị điện tử tiêu dùng, AV, máy ảnh&gt; máy ảnh, ống kính thiết bị&gt; máy quay phim&gt; Khác")</f>
        <v>Đấu giá&gt; thiết bị điện tử tiêu dùng, AV, máy ảnh&gt; máy ảnh, ống kính thiết bị&gt; máy quay phim&gt; Khác</v>
      </c>
      <c r="F250" t="str">
        <f t="shared" ca="1" si="3"/>
        <v>"23948" : "nếu không thì",</v>
      </c>
    </row>
    <row r="251" spans="1:6" ht="15.75" customHeight="1">
      <c r="A251" s="14">
        <v>2084261682</v>
      </c>
      <c r="B251" s="14" t="s">
        <v>3334</v>
      </c>
      <c r="C251" s="14" t="s">
        <v>3337</v>
      </c>
      <c r="D251" s="5" t="str">
        <f ca="1">IFERROR(__xludf.DUMMYFUNCTION("GOOGLETRANSLATE(B251,""ja"",""vi"")"),"Đối với máy ảnh ống kính đơn (tự động lấy nét)")</f>
        <v>Đối với máy ảnh ống kính đơn (tự động lấy nét)</v>
      </c>
      <c r="E251" s="4" t="str">
        <f ca="1">IFERROR(__xludf.DUMMYFUNCTION("GOOGLETRANSLATE(C251,""ja"",""vi"")"),"Đấu giá&gt; thiết bị điện tử tiêu dùng, AV, máy ảnh&gt; máy ảnh, thiết bị quang học&gt; ống kính&gt; cho máy ảnh ống kính đơn (tự động lấy nét)")</f>
        <v>Đấu giá&gt; thiết bị điện tử tiêu dùng, AV, máy ảnh&gt; máy ảnh, thiết bị quang học&gt; ống kính&gt; cho máy ảnh ống kính đơn (tự động lấy nét)</v>
      </c>
      <c r="F251" t="str">
        <f t="shared" ca="1" si="3"/>
        <v>"2084261682" : "Đối với máy ảnh ống kính đơn (tự động lấy nét)",</v>
      </c>
    </row>
    <row r="252" spans="1:6" ht="15.75" customHeight="1">
      <c r="A252" s="14">
        <v>2084261691</v>
      </c>
      <c r="B252" s="14" t="s">
        <v>3341</v>
      </c>
      <c r="C252" s="14" t="s">
        <v>3343</v>
      </c>
      <c r="D252" s="5" t="str">
        <f ca="1">IFERROR(__xludf.DUMMYFUNCTION("GOOGLETRANSLATE(B252,""ja"",""vi"")"),"Đối với máy ảnh ống kính đơn (lấy nét bằng tay)")</f>
        <v>Đối với máy ảnh ống kính đơn (lấy nét bằng tay)</v>
      </c>
      <c r="E252" s="4" t="str">
        <f ca="1">IFERROR(__xludf.DUMMYFUNCTION("GOOGLETRANSLATE(C252,""ja"",""vi"")"),"Đấu giá&gt; thiết bị điện tử tiêu dùng, AV, máy ảnh&gt; máy ảnh, thiết bị quang học&gt; ống kính&gt; cho máy ảnh ống kính đơn (lấy nét bằng tay)")</f>
        <v>Đấu giá&gt; thiết bị điện tử tiêu dùng, AV, máy ảnh&gt; máy ảnh, thiết bị quang học&gt; ống kính&gt; cho máy ảnh ống kính đơn (lấy nét bằng tay)</v>
      </c>
      <c r="F252" t="str">
        <f t="shared" ca="1" si="3"/>
        <v>"2084261691" : "Đối với máy ảnh ống kính đơn (lấy nét bằng tay)",</v>
      </c>
    </row>
    <row r="253" spans="1:6" ht="15.75" customHeight="1">
      <c r="A253" s="14">
        <v>23692</v>
      </c>
      <c r="B253" s="14" t="s">
        <v>3348</v>
      </c>
      <c r="C253" s="14" t="s">
        <v>3349</v>
      </c>
      <c r="D253" s="5" t="str">
        <f ca="1">IFERROR(__xludf.DUMMYFUNCTION("GOOGLETRANSLATE(B253,""ja"",""vi"")"),"khổ lớn, cho một máy ảnh vừa định dạng")</f>
        <v>khổ lớn, cho một máy ảnh vừa định dạng</v>
      </c>
      <c r="E253" s="4" t="str">
        <f ca="1">IFERROR(__xludf.DUMMYFUNCTION("GOOGLETRANSLATE(C253,""ja"",""vi"")"),"Đấu giá&gt; thiết bị điện tử tiêu dùng, AV, máy ảnh&gt; máy ảnh, thiết bị quang học&gt; ống kính&gt; khổ lớn, cho một máy ảnh vừa định dạng")</f>
        <v>Đấu giá&gt; thiết bị điện tử tiêu dùng, AV, máy ảnh&gt; máy ảnh, thiết bị quang học&gt; ống kính&gt; khổ lớn, cho một máy ảnh vừa định dạng</v>
      </c>
      <c r="F253" t="str">
        <f t="shared" ca="1" si="3"/>
        <v>"23692" : "khổ lớn, cho một máy ảnh vừa định dạng",</v>
      </c>
    </row>
    <row r="254" spans="1:6" ht="15.75" customHeight="1">
      <c r="A254" s="14">
        <v>2084041624</v>
      </c>
      <c r="B254" s="14" t="s">
        <v>3354</v>
      </c>
      <c r="C254" s="14" t="s">
        <v>3355</v>
      </c>
      <c r="D254" s="5" t="str">
        <f ca="1">IFERROR(__xludf.DUMMYFUNCTION("GOOGLETRANSLATE(B254,""ja"",""vi"")"),"Đối với máy ảnh compact")</f>
        <v>Đối với máy ảnh compact</v>
      </c>
      <c r="E254" s="4" t="str">
        <f ca="1">IFERROR(__xludf.DUMMYFUNCTION("GOOGLETRANSLATE(C254,""ja"",""vi"")"),"Đấu giá&gt; thiết bị điện tử tiêu dùng, AV, máy ảnh&gt; máy ảnh, thiết bị quang học&gt; ống kính&gt; cho máy ảnh compact")</f>
        <v>Đấu giá&gt; thiết bị điện tử tiêu dùng, AV, máy ảnh&gt; máy ảnh, thiết bị quang học&gt; ống kính&gt; cho máy ảnh compact</v>
      </c>
      <c r="F254" t="str">
        <f t="shared" ca="1" si="3"/>
        <v>"2084041624" : "Đối với máy ảnh compact",</v>
      </c>
    </row>
    <row r="255" spans="1:6" ht="15.75" customHeight="1">
      <c r="A255" s="14">
        <v>2084313032</v>
      </c>
      <c r="B255" s="14" t="s">
        <v>2406</v>
      </c>
      <c r="C255" s="14" t="s">
        <v>3359</v>
      </c>
      <c r="D255" s="5" t="str">
        <f ca="1">IFERROR(__xludf.DUMMYFUNCTION("GOOGLETRANSLATE(B255,""ja"",""vi"")"),"mục lục")</f>
        <v>mục lục</v>
      </c>
      <c r="E255" s="4" t="str">
        <f ca="1">IFERROR(__xludf.DUMMYFUNCTION("GOOGLETRANSLATE(C255,""ja"",""vi"")"),"Đấu giá&gt; thiết bị điện tử tiêu dùng, AV, máy ảnh&gt; máy ảnh, thiết bị quang học&gt; ống kính&gt; Catalogue")</f>
        <v>Đấu giá&gt; thiết bị điện tử tiêu dùng, AV, máy ảnh&gt; máy ảnh, thiết bị quang học&gt; ống kính&gt; Catalogue</v>
      </c>
      <c r="F255" t="str">
        <f t="shared" ca="1" si="3"/>
        <v>"2084313032" : "mục lục",</v>
      </c>
    </row>
    <row r="256" spans="1:6" ht="15.75" customHeight="1">
      <c r="A256" s="14">
        <v>2084052265</v>
      </c>
      <c r="B256" s="14" t="s">
        <v>2412</v>
      </c>
      <c r="C256" s="14" t="s">
        <v>3364</v>
      </c>
      <c r="D256" s="5" t="str">
        <f ca="1">IFERROR(__xludf.DUMMYFUNCTION("GOOGLETRANSLATE(B256,""ja"",""vi"")"),"hướng dẫn")</f>
        <v>hướng dẫn</v>
      </c>
      <c r="E256" s="4" t="str">
        <f ca="1">IFERROR(__xludf.DUMMYFUNCTION("GOOGLETRANSLATE(C256,""ja"",""vi"")"),"Đấu giá&gt; thiết bị điện tử tiêu dùng, AV, máy ảnh&gt; máy ảnh, thiết bị quang học&gt; ống kính&gt; Manual")</f>
        <v>Đấu giá&gt; thiết bị điện tử tiêu dùng, AV, máy ảnh&gt; máy ảnh, thiết bị quang học&gt; ống kính&gt; Manual</v>
      </c>
      <c r="F256" t="str">
        <f t="shared" ca="1" si="3"/>
        <v>"2084052265" : "hướng dẫn",</v>
      </c>
    </row>
    <row r="257" spans="1:6" ht="15.75" customHeight="1">
      <c r="A257" s="14">
        <v>23716</v>
      </c>
      <c r="B257" s="14" t="s">
        <v>46</v>
      </c>
      <c r="C257" s="14" t="s">
        <v>3373</v>
      </c>
      <c r="D257" s="5" t="str">
        <f ca="1">IFERROR(__xludf.DUMMYFUNCTION("GOOGLETRANSLATE(B257,""ja"",""vi"")"),"nếu không thì")</f>
        <v>nếu không thì</v>
      </c>
      <c r="E257" s="4" t="str">
        <f ca="1">IFERROR(__xludf.DUMMYFUNCTION("GOOGLETRANSLATE(C257,""ja"",""vi"")"),"Đấu giá&gt; thiết bị điện tử tiêu dùng, AV, máy ảnh&gt; máy ảnh, thiết bị quang học&gt; ống kính&gt; Khác")</f>
        <v>Đấu giá&gt; thiết bị điện tử tiêu dùng, AV, máy ảnh&gt; máy ảnh, thiết bị quang học&gt; ống kính&gt; Khác</v>
      </c>
      <c r="F257" t="str">
        <f t="shared" ca="1" si="3"/>
        <v>"23716" : "nếu không thì",</v>
      </c>
    </row>
    <row r="258" spans="1:6" ht="15.75" customHeight="1">
      <c r="A258" s="14">
        <v>2084261995</v>
      </c>
      <c r="B258" s="14" t="s">
        <v>3376</v>
      </c>
      <c r="C258" s="14" t="s">
        <v>3378</v>
      </c>
      <c r="D258" s="5" t="str">
        <f ca="1">IFERROR(__xludf.DUMMYFUNCTION("GOOGLETRANSLATE(B258,""ja"",""vi"")"),"mũ lưỡi trai")</f>
        <v>mũ lưỡi trai</v>
      </c>
      <c r="E258" s="4" t="str">
        <f ca="1">IFERROR(__xludf.DUMMYFUNCTION("GOOGLETRANSLATE(C258,""ja"",""vi"")"),"Đấu giá&gt; thiết bị điện tử tiêu dùng, AV, máy ảnh&gt; máy ảnh, thiết bị quang học&gt; Accessories&gt; nắp")</f>
        <v>Đấu giá&gt; thiết bị điện tử tiêu dùng, AV, máy ảnh&gt; máy ảnh, thiết bị quang học&gt; Accessories&gt; nắp</v>
      </c>
      <c r="F258" t="str">
        <f t="shared" ref="F258:F321" ca="1" si="4">CONCATENATE(CHAR(34)&amp;"",A258,""&amp;CHAR(34)," : ", CHAR(34)&amp;"",D258,""&amp;CHAR(34),",")</f>
        <v>"2084261995" : "mũ lưỡi trai",</v>
      </c>
    </row>
    <row r="259" spans="1:6" ht="15.75" customHeight="1">
      <c r="A259" s="14">
        <v>23724</v>
      </c>
      <c r="B259" s="14" t="s">
        <v>3381</v>
      </c>
      <c r="C259" s="14" t="s">
        <v>3382</v>
      </c>
      <c r="D259" s="5" t="str">
        <f ca="1">IFERROR(__xludf.DUMMYFUNCTION("GOOGLETRANSLATE(B259,""ja"",""vi"")"),"Trường hợp, túi")</f>
        <v>Trường hợp, túi</v>
      </c>
      <c r="E259" s="4" t="str">
        <f ca="1">IFERROR(__xludf.DUMMYFUNCTION("GOOGLETRANSLATE(C259,""ja"",""vi"")"),"Đấu giá&gt; thiết bị điện tử tiêu dùng, AV, máy ảnh&gt; máy ảnh, thiết bị quang học&gt; Accessories&gt; trường hợp, túi")</f>
        <v>Đấu giá&gt; thiết bị điện tử tiêu dùng, AV, máy ảnh&gt; máy ảnh, thiết bị quang học&gt; Accessories&gt; trường hợp, túi</v>
      </c>
      <c r="F259" t="str">
        <f t="shared" ca="1" si="4"/>
        <v>"23724" : "Trường hợp, túi",</v>
      </c>
    </row>
    <row r="260" spans="1:6" ht="15.75" customHeight="1">
      <c r="A260" s="14">
        <v>23744</v>
      </c>
      <c r="B260" s="14" t="s">
        <v>3387</v>
      </c>
      <c r="C260" s="14" t="s">
        <v>3389</v>
      </c>
      <c r="D260" s="5" t="str">
        <f ca="1">IFERROR(__xludf.DUMMYFUNCTION("GOOGLETRANSLATE(B260,""ja"",""vi"")"),"Strobe, ánh sáng")</f>
        <v>Strobe, ánh sáng</v>
      </c>
      <c r="E260" s="4" t="str">
        <f ca="1">IFERROR(__xludf.DUMMYFUNCTION("GOOGLETRANSLATE(C260,""ja"",""vi"")"),"Đấu giá&gt; thiết bị điện tử tiêu dùng, AV, máy ảnh&gt; máy ảnh, thiết bị quang học&gt; Accessories&gt; nhấp nháy, ánh sáng")</f>
        <v>Đấu giá&gt; thiết bị điện tử tiêu dùng, AV, máy ảnh&gt; máy ảnh, thiết bị quang học&gt; Accessories&gt; nhấp nháy, ánh sáng</v>
      </c>
      <c r="F260" t="str">
        <f t="shared" ca="1" si="4"/>
        <v>"23744" : "Strobe, ánh sáng",</v>
      </c>
    </row>
    <row r="261" spans="1:6" ht="15.75" customHeight="1">
      <c r="A261" s="14">
        <v>2084261994</v>
      </c>
      <c r="B261" s="14" t="s">
        <v>3394</v>
      </c>
      <c r="C261" s="14" t="s">
        <v>3395</v>
      </c>
      <c r="D261" s="5" t="str">
        <f ca="1">IFERROR(__xludf.DUMMYFUNCTION("GOOGLETRANSLATE(B261,""ja"",""vi"")"),"thức ăn")</f>
        <v>thức ăn</v>
      </c>
      <c r="E261" s="4" t="str">
        <f ca="1">IFERROR(__xludf.DUMMYFUNCTION("GOOGLETRANSLATE(C261,""ja"",""vi"")"),"Đấu giá&gt; thiết bị điện tử tiêu dùng, AV, máy ảnh&gt; máy ảnh, thiết bị quang học&gt; Accessories&gt; Thực phẩm")</f>
        <v>Đấu giá&gt; thiết bị điện tử tiêu dùng, AV, máy ảnh&gt; máy ảnh, thiết bị quang học&gt; Accessories&gt; Thực phẩm</v>
      </c>
      <c r="F261" t="str">
        <f t="shared" ca="1" si="4"/>
        <v>"2084261994" : "thức ăn",</v>
      </c>
    </row>
    <row r="262" spans="1:6" ht="15.75" customHeight="1">
      <c r="A262" s="14">
        <v>23736</v>
      </c>
      <c r="B262" s="14" t="s">
        <v>3400</v>
      </c>
      <c r="C262" s="14" t="s">
        <v>3401</v>
      </c>
      <c r="D262" s="5" t="str">
        <f ca="1">IFERROR(__xludf.DUMMYFUNCTION("GOOGLETRANSLATE(B262,""ja"",""vi"")"),"Lọc")</f>
        <v>Lọc</v>
      </c>
      <c r="E262" s="4" t="str">
        <f ca="1">IFERROR(__xludf.DUMMYFUNCTION("GOOGLETRANSLATE(C262,""ja"",""vi"")"),"Đấu giá&gt; thiết bị điện tử tiêu dùng, AV, máy ảnh&gt; máy ảnh, thiết bị quang học&gt; phụ kiện&gt; bộ lọc")</f>
        <v>Đấu giá&gt; thiết bị điện tử tiêu dùng, AV, máy ảnh&gt; máy ảnh, thiết bị quang học&gt; phụ kiện&gt; bộ lọc</v>
      </c>
      <c r="F262" t="str">
        <f t="shared" ca="1" si="4"/>
        <v>"23736" : "Lọc",</v>
      </c>
    </row>
    <row r="263" spans="1:6" ht="15.75" customHeight="1">
      <c r="A263" s="14">
        <v>2084282460</v>
      </c>
      <c r="B263" s="14" t="s">
        <v>3406</v>
      </c>
      <c r="C263" s="14" t="s">
        <v>3408</v>
      </c>
      <c r="D263" s="5" t="str">
        <f ca="1">IFERROR(__xludf.DUMMYFUNCTION("GOOGLETRANSLATE(B263,""ja"",""vi"")"),"Studio Mini")</f>
        <v>Studio Mini</v>
      </c>
      <c r="E263" s="4" t="str">
        <f ca="1">IFERROR(__xludf.DUMMYFUNCTION("GOOGLETRANSLATE(C263,""ja"",""vi"")"),"Đấu giá&gt; thiết bị điện tử tiêu dùng, AV, máy ảnh&gt; máy ảnh, thiết bị quang học&gt; Accessories&gt; studio nhỏ")</f>
        <v>Đấu giá&gt; thiết bị điện tử tiêu dùng, AV, máy ảnh&gt; máy ảnh, thiết bị quang học&gt; Accessories&gt; studio nhỏ</v>
      </c>
      <c r="F263" t="str">
        <f t="shared" ca="1" si="4"/>
        <v>"2084282460" : "Studio Mini",</v>
      </c>
    </row>
    <row r="264" spans="1:6" ht="15.75" customHeight="1">
      <c r="A264" s="14">
        <v>2084261961</v>
      </c>
      <c r="B264" s="14" t="s">
        <v>2178</v>
      </c>
      <c r="C264" s="14" t="s">
        <v>3414</v>
      </c>
      <c r="D264" s="5" t="str">
        <f ca="1">IFERROR(__xludf.DUMMYFUNCTION("GOOGLETRANSLATE(B264,""ja"",""vi"")"),"điều khiển từ xa")</f>
        <v>điều khiển từ xa</v>
      </c>
      <c r="E264" s="4" t="str">
        <f ca="1">IFERROR(__xludf.DUMMYFUNCTION("GOOGLETRANSLATE(C264,""ja"",""vi"")"),"Đấu giá&gt; thiết bị điện tử tiêu dùng, AV, máy ảnh&gt; máy ảnh, thiết bị quang học&gt; Accessories&gt; Remote Control")</f>
        <v>Đấu giá&gt; thiết bị điện tử tiêu dùng, AV, máy ảnh&gt; máy ảnh, thiết bị quang học&gt; Accessories&gt; Remote Control</v>
      </c>
      <c r="F264" t="str">
        <f t="shared" ca="1" si="4"/>
        <v>"2084261961" : "điều khiển từ xa",</v>
      </c>
    </row>
    <row r="265" spans="1:6" ht="15.75" customHeight="1">
      <c r="A265" s="14">
        <v>2084261962</v>
      </c>
      <c r="B265" s="14" t="s">
        <v>3417</v>
      </c>
      <c r="C265" s="14" t="s">
        <v>3420</v>
      </c>
      <c r="D265" s="5" t="str">
        <f ca="1">IFERROR(__xludf.DUMMYFUNCTION("GOOGLETRANSLATE(B265,""ja"",""vi"")"),"phóng thích")</f>
        <v>phóng thích</v>
      </c>
      <c r="E265" s="4" t="str">
        <f ca="1">IFERROR(__xludf.DUMMYFUNCTION("GOOGLETRANSLATE(C265,""ja"",""vi"")"),"Đấu giá&gt; thiết bị điện tử tiêu dùng, AV, máy ảnh&gt; máy ảnh, thiết bị quang học&gt; Accessories&gt; phát hành")</f>
        <v>Đấu giá&gt; thiết bị điện tử tiêu dùng, AV, máy ảnh&gt; máy ảnh, thiết bị quang học&gt; Accessories&gt; phát hành</v>
      </c>
      <c r="F265" t="str">
        <f t="shared" ca="1" si="4"/>
        <v>"2084261962" : "phóng thích",</v>
      </c>
    </row>
    <row r="266" spans="1:6" ht="15.75" customHeight="1">
      <c r="A266" s="14">
        <v>23756</v>
      </c>
      <c r="B266" s="14" t="s">
        <v>3425</v>
      </c>
      <c r="C266" s="14" t="s">
        <v>3426</v>
      </c>
      <c r="D266" s="5" t="str">
        <f ca="1">IFERROR(__xludf.DUMMYFUNCTION("GOOGLETRANSLATE(B266,""ja"",""vi"")"),"Tripod, monopod")</f>
        <v>Tripod, monopod</v>
      </c>
      <c r="E266" s="4" t="str">
        <f ca="1">IFERROR(__xludf.DUMMYFUNCTION("GOOGLETRANSLATE(C266,""ja"",""vi"")"),"Đấu giá&gt; thiết bị điện tử tiêu dùng, AV, máy ảnh&gt; máy ảnh, thiết bị quang học&gt; Accessories&gt; tripod, monopod")</f>
        <v>Đấu giá&gt; thiết bị điện tử tiêu dùng, AV, máy ảnh&gt; máy ảnh, thiết bị quang học&gt; Accessories&gt; tripod, monopod</v>
      </c>
      <c r="F266" t="str">
        <f t="shared" ca="1" si="4"/>
        <v>"23756" : "Tripod, monopod",</v>
      </c>
    </row>
    <row r="267" spans="1:6" ht="15.75" customHeight="1">
      <c r="A267" s="14">
        <v>2084261996</v>
      </c>
      <c r="B267" s="14" t="s">
        <v>3431</v>
      </c>
      <c r="C267" s="14" t="s">
        <v>3433</v>
      </c>
      <c r="D267" s="5" t="str">
        <f ca="1">IFERROR(__xludf.DUMMYFUNCTION("GOOGLETRANSLATE(B267,""ja"",""vi"")"),"Độ ẩm lưu trữ bằng chứng")</f>
        <v>Độ ẩm lưu trữ bằng chứng</v>
      </c>
      <c r="E267" s="4" t="str">
        <f ca="1">IFERROR(__xludf.DUMMYFUNCTION("GOOGLETRANSLATE(C267,""ja"",""vi"")"),"Đấu giá&gt; thiết bị điện tử tiêu dùng, AV, máy ảnh&gt; máy ảnh, thiết bị quang học&gt; Accessories&gt; lưu trữ ẩm ướt")</f>
        <v>Đấu giá&gt; thiết bị điện tử tiêu dùng, AV, máy ảnh&gt; máy ảnh, thiết bị quang học&gt; Accessories&gt; lưu trữ ẩm ướt</v>
      </c>
      <c r="F267" t="str">
        <f t="shared" ca="1" si="4"/>
        <v>"2084261996" : "Độ ẩm lưu trữ bằng chứng",</v>
      </c>
    </row>
    <row r="268" spans="1:6" ht="15.75" customHeight="1">
      <c r="A268" s="14">
        <v>23740</v>
      </c>
      <c r="B268" s="14" t="s">
        <v>3437</v>
      </c>
      <c r="C268" s="14" t="s">
        <v>3440</v>
      </c>
      <c r="D268" s="5" t="str">
        <f ca="1">IFERROR(__xludf.DUMMYFUNCTION("GOOGLETRANSLATE(B268,""ja"",""vi"")"),"mét tiếp xúc")</f>
        <v>mét tiếp xúc</v>
      </c>
      <c r="E268" s="4" t="str">
        <f ca="1">IFERROR(__xludf.DUMMYFUNCTION("GOOGLETRANSLATE(C268,""ja"",""vi"")"),"Đấu giá&gt; thiết bị điện tử tiêu dùng, AV, máy ảnh&gt; máy ảnh, thiết bị quang học&gt; Accessories&gt; mét tiếp xúc")</f>
        <v>Đấu giá&gt; thiết bị điện tử tiêu dùng, AV, máy ảnh&gt; máy ảnh, thiết bị quang học&gt; Accessories&gt; mét tiếp xúc</v>
      </c>
      <c r="F268" t="str">
        <f t="shared" ca="1" si="4"/>
        <v>"23740" : "mét tiếp xúc",</v>
      </c>
    </row>
    <row r="269" spans="1:6" ht="15.75" customHeight="1">
      <c r="A269" s="14">
        <v>23728</v>
      </c>
      <c r="B269" s="14" t="s">
        <v>3442</v>
      </c>
      <c r="C269" s="14" t="s">
        <v>3445</v>
      </c>
      <c r="D269" s="5" t="str">
        <f ca="1">IFERROR(__xludf.DUMMYFUNCTION("GOOGLETRANSLATE(B269,""ja"",""vi"")"),"Tối liên quan đến phòng nguồn cung cấp")</f>
        <v>Tối liên quan đến phòng nguồn cung cấp</v>
      </c>
      <c r="E269" s="4" t="str">
        <f ca="1">IFERROR(__xludf.DUMMYFUNCTION("GOOGLETRANSLATE(C269,""ja"",""vi"")"),"Đấu giá&gt; thiết bị điện tử tiêu dùng, AV, máy ảnh&gt; máy ảnh, thiết bị quang học&gt; Accessories&gt; phòng tối liên quan đến nguồn cung cấp")</f>
        <v>Đấu giá&gt; thiết bị điện tử tiêu dùng, AV, máy ảnh&gt; máy ảnh, thiết bị quang học&gt; Accessories&gt; phòng tối liên quan đến nguồn cung cấp</v>
      </c>
      <c r="F269" t="str">
        <f t="shared" ca="1" si="4"/>
        <v>"23728" : "Tối liên quan đến phòng nguồn cung cấp",</v>
      </c>
    </row>
    <row r="270" spans="1:6" ht="15.75" customHeight="1">
      <c r="A270" s="14">
        <v>23760</v>
      </c>
      <c r="B270" s="14" t="s">
        <v>46</v>
      </c>
      <c r="C270" s="14" t="s">
        <v>3448</v>
      </c>
      <c r="D270" s="5" t="str">
        <f ca="1">IFERROR(__xludf.DUMMYFUNCTION("GOOGLETRANSLATE(B270,""ja"",""vi"")"),"nếu không thì")</f>
        <v>nếu không thì</v>
      </c>
      <c r="E270" s="4" t="str">
        <f ca="1">IFERROR(__xludf.DUMMYFUNCTION("GOOGLETRANSLATE(C270,""ja"",""vi"")"),"Đấu giá&gt; thiết bị điện tử tiêu dùng, AV, máy ảnh&gt; máy ảnh, thiết bị quang học&gt; Accessories&gt; Khác")</f>
        <v>Đấu giá&gt; thiết bị điện tử tiêu dùng, AV, máy ảnh&gt; máy ảnh, thiết bị quang học&gt; Accessories&gt; Khác</v>
      </c>
      <c r="F270" t="str">
        <f t="shared" ca="1" si="4"/>
        <v>"23760" : "nếu không thì",</v>
      </c>
    </row>
    <row r="271" spans="1:6" ht="15.75" customHeight="1">
      <c r="A271" s="14">
        <v>2084219309</v>
      </c>
      <c r="B271" s="14" t="s">
        <v>2190</v>
      </c>
      <c r="C271" s="14" t="s">
        <v>2191</v>
      </c>
      <c r="D271" s="5" t="str">
        <f ca="1">IFERROR(__xludf.DUMMYFUNCTION("GOOGLETRANSLATE(B271,""ja"",""vi"")"),"bộ nhớ USB")</f>
        <v>bộ nhớ USB</v>
      </c>
      <c r="E271" s="4" t="str">
        <f ca="1">IFERROR(__xludf.DUMMYFUNCTION("GOOGLETRANSLATE(C271,""ja"",""vi"")"),"Đấu giá&gt; máy tính&gt; cung cấp&gt; bộ nhớ cho ghi âm&gt; bộ nhớ USB")</f>
        <v>Đấu giá&gt; máy tính&gt; cung cấp&gt; bộ nhớ cho ghi âm&gt; bộ nhớ USB</v>
      </c>
      <c r="F271" t="str">
        <f t="shared" ca="1" si="4"/>
        <v>"2084219309" : "bộ nhớ USB",</v>
      </c>
    </row>
    <row r="272" spans="1:6" ht="15.75" customHeight="1">
      <c r="A272" s="14">
        <v>2084047562</v>
      </c>
      <c r="B272" s="14" t="s">
        <v>2195</v>
      </c>
      <c r="C272" s="14" t="s">
        <v>2196</v>
      </c>
      <c r="D272" s="5" t="str">
        <f ca="1">IFERROR(__xludf.DUMMYFUNCTION("GOOGLETRANSLATE(B272,""ja"",""vi"")"),"thẻ nhớ SD, MMC")</f>
        <v>thẻ nhớ SD, MMC</v>
      </c>
      <c r="E272" s="4" t="str">
        <f ca="1">IFERROR(__xludf.DUMMYFUNCTION("GOOGLETRANSLATE(C272,""ja"",""vi"")"),"Đấu giá&gt; máy tính&gt; cung cấp&gt; bộ nhớ cho ghi âm&gt; thẻ nhớ SD, MMC")</f>
        <v>Đấu giá&gt; máy tính&gt; cung cấp&gt; bộ nhớ cho ghi âm&gt; thẻ nhớ SD, MMC</v>
      </c>
      <c r="F272" t="str">
        <f t="shared" ca="1" si="4"/>
        <v>"2084047562" : "thẻ nhớ SD, MMC",</v>
      </c>
    </row>
    <row r="273" spans="1:6" ht="15.75" customHeight="1">
      <c r="A273" s="14">
        <v>2084063998</v>
      </c>
      <c r="B273" s="14" t="s">
        <v>2200</v>
      </c>
      <c r="C273" s="14" t="s">
        <v>2203</v>
      </c>
      <c r="D273" s="5" t="str">
        <f ca="1">IFERROR(__xludf.DUMMYFUNCTION("GOOGLETRANSLATE(B273,""ja"",""vi"")"),"xD Picture-Card")</f>
        <v>xD Picture-Card</v>
      </c>
      <c r="E273" s="4" t="str">
        <f ca="1">IFERROR(__xludf.DUMMYFUNCTION("GOOGLETRANSLATE(C273,""ja"",""vi"")"),"Đấu giá&gt; máy tính&gt; cung cấp&gt; bộ nhớ cho ghi âm&gt; xD Picture Card")</f>
        <v>Đấu giá&gt; máy tính&gt; cung cấp&gt; bộ nhớ cho ghi âm&gt; xD Picture Card</v>
      </c>
      <c r="F273" t="str">
        <f t="shared" ca="1" si="4"/>
        <v>"2084063998" : "xD Picture-Card",</v>
      </c>
    </row>
    <row r="274" spans="1:6" ht="15.75" customHeight="1">
      <c r="A274" s="14">
        <v>2084039471</v>
      </c>
      <c r="B274" s="14" t="s">
        <v>2205</v>
      </c>
      <c r="C274" s="14" t="s">
        <v>2207</v>
      </c>
      <c r="D274" s="5" t="str">
        <f ca="1">IFERROR(__xludf.DUMMYFUNCTION("GOOGLETRANSLATE(B274,""ja"",""vi"")"),"bộ nhớ flash nhỏ gọn")</f>
        <v>bộ nhớ flash nhỏ gọn</v>
      </c>
      <c r="E274" s="4" t="str">
        <f ca="1">IFERROR(__xludf.DUMMYFUNCTION("GOOGLETRANSLATE(C274,""ja"",""vi"")"),"Đấu giá&gt; máy tính&gt; cung cấp&gt; bộ nhớ cho ghi âm&gt; Bộ nhớ Compact Flash")</f>
        <v>Đấu giá&gt; máy tính&gt; cung cấp&gt; bộ nhớ cho ghi âm&gt; Bộ nhớ Compact Flash</v>
      </c>
      <c r="F274" t="str">
        <f t="shared" ca="1" si="4"/>
        <v>"2084039471" : "bộ nhớ flash nhỏ gọn",</v>
      </c>
    </row>
    <row r="275" spans="1:6" ht="15.75" customHeight="1">
      <c r="A275" s="14">
        <v>2084039472</v>
      </c>
      <c r="B275" s="14" t="s">
        <v>2212</v>
      </c>
      <c r="C275" s="14" t="s">
        <v>2213</v>
      </c>
      <c r="D275" s="5" t="str">
        <f ca="1">IFERROR(__xludf.DUMMYFUNCTION("GOOGLETRANSLATE(B275,""ja"",""vi"")"),"smart Media")</f>
        <v>smart Media</v>
      </c>
      <c r="E275" s="4" t="str">
        <f ca="1">IFERROR(__xludf.DUMMYFUNCTION("GOOGLETRANSLATE(C275,""ja"",""vi"")"),"Đấu giá&gt; máy tính&gt; cung cấp&gt; bộ nhớ cho ghi âm&gt; phương tiện truyền thông thông minh")</f>
        <v>Đấu giá&gt; máy tính&gt; cung cấp&gt; bộ nhớ cho ghi âm&gt; phương tiện truyền thông thông minh</v>
      </c>
      <c r="F275" t="str">
        <f t="shared" ca="1" si="4"/>
        <v>"2084039472" : "smart Media",</v>
      </c>
    </row>
    <row r="276" spans="1:6" ht="15.75" customHeight="1">
      <c r="A276" s="14">
        <v>2084042336</v>
      </c>
      <c r="B276" s="14" t="s">
        <v>2217</v>
      </c>
      <c r="C276" s="14" t="s">
        <v>2218</v>
      </c>
      <c r="D276" s="5" t="str">
        <f ca="1">IFERROR(__xludf.DUMMYFUNCTION("GOOGLETRANSLATE(B276,""ja"",""vi"")"),"Memory Stick")</f>
        <v>Memory Stick</v>
      </c>
      <c r="E276" s="4" t="str">
        <f ca="1">IFERROR(__xludf.DUMMYFUNCTION("GOOGLETRANSLATE(C276,""ja"",""vi"")"),"Đấu giá&gt; máy tính&gt; cung cấp&gt; bộ nhớ cho ghi âm&gt; Memory Stick")</f>
        <v>Đấu giá&gt; máy tính&gt; cung cấp&gt; bộ nhớ cho ghi âm&gt; Memory Stick</v>
      </c>
      <c r="F276" t="str">
        <f t="shared" ca="1" si="4"/>
        <v>"2084042336" : "Memory Stick",</v>
      </c>
    </row>
    <row r="277" spans="1:6" ht="15.75" customHeight="1">
      <c r="A277" s="14">
        <v>2084039470</v>
      </c>
      <c r="B277" s="14" t="s">
        <v>2224</v>
      </c>
      <c r="C277" s="14" t="s">
        <v>2227</v>
      </c>
      <c r="D277" s="5" t="str">
        <f ca="1">IFERROR(__xludf.DUMMYFUNCTION("GOOGLETRANSLATE(B277,""ja"",""vi"")"),"thẻ nhớ máy tính")</f>
        <v>thẻ nhớ máy tính</v>
      </c>
      <c r="E277" s="4" t="str">
        <f ca="1">IFERROR(__xludf.DUMMYFUNCTION("GOOGLETRANSLATE(C277,""ja"",""vi"")"),"Đấu giá&gt; máy tính&gt; cung cấp&gt; bộ nhớ cho ghi âm&gt; Bộ nhớ thẻ PC")</f>
        <v>Đấu giá&gt; máy tính&gt; cung cấp&gt; bộ nhớ cho ghi âm&gt; Bộ nhớ thẻ PC</v>
      </c>
      <c r="F277" t="str">
        <f t="shared" ca="1" si="4"/>
        <v>"2084039470" : "thẻ nhớ máy tính",</v>
      </c>
    </row>
    <row r="278" spans="1:6" ht="15.75" customHeight="1">
      <c r="A278" s="14">
        <v>2084042337</v>
      </c>
      <c r="B278" s="14" t="s">
        <v>2232</v>
      </c>
      <c r="C278" s="14" t="s">
        <v>2234</v>
      </c>
      <c r="D278" s="5" t="str">
        <f ca="1">IFERROR(__xludf.DUMMYFUNCTION("GOOGLETRANSLATE(B278,""ja"",""vi"")"),"card Reader")</f>
        <v>card Reader</v>
      </c>
      <c r="E278" s="4" t="str">
        <f ca="1">IFERROR(__xludf.DUMMYFUNCTION("GOOGLETRANSLATE(C278,""ja"",""vi"")"),"Đấu giá&gt; máy tính&gt; cung cấp&gt; bộ nhớ cho ghi âm&gt; Card Reader")</f>
        <v>Đấu giá&gt; máy tính&gt; cung cấp&gt; bộ nhớ cho ghi âm&gt; Card Reader</v>
      </c>
      <c r="F278" t="str">
        <f t="shared" ca="1" si="4"/>
        <v>"2084042337" : "card Reader",</v>
      </c>
    </row>
    <row r="279" spans="1:6" ht="15.75" customHeight="1">
      <c r="A279" s="14">
        <v>2084039473</v>
      </c>
      <c r="B279" s="14" t="s">
        <v>46</v>
      </c>
      <c r="C279" s="14" t="s">
        <v>2239</v>
      </c>
      <c r="D279" s="5" t="str">
        <f ca="1">IFERROR(__xludf.DUMMYFUNCTION("GOOGLETRANSLATE(B279,""ja"",""vi"")"),"nếu không thì")</f>
        <v>nếu không thì</v>
      </c>
      <c r="E279" s="4" t="str">
        <f ca="1">IFERROR(__xludf.DUMMYFUNCTION("GOOGLETRANSLATE(C279,""ja"",""vi"")"),"Đấu giá&gt; máy tính&gt; cung cấp&gt; bộ nhớ cho ghi âm&gt; Khác")</f>
        <v>Đấu giá&gt; máy tính&gt; cung cấp&gt; bộ nhớ cho ghi âm&gt; Khác</v>
      </c>
      <c r="F279" t="str">
        <f t="shared" ca="1" si="4"/>
        <v>"2084039473" : "nếu không thì",</v>
      </c>
    </row>
    <row r="280" spans="1:6" ht="15.75" customHeight="1">
      <c r="A280" s="14">
        <v>2084263449</v>
      </c>
      <c r="B280" s="14" t="s">
        <v>2023</v>
      </c>
      <c r="C280" s="14" t="s">
        <v>3478</v>
      </c>
      <c r="D280" s="5" t="str">
        <f ca="1">IFERROR(__xludf.DUMMYFUNCTION("GOOGLETRANSLATE(B280,""ja"",""vi"")"),"Olympus")</f>
        <v>Olympus</v>
      </c>
      <c r="E280" s="4" t="str">
        <f ca="1">IFERROR(__xludf.DUMMYFUNCTION("GOOGLETRANSLATE(C280,""ja"",""vi"")"),"Đấu giá&gt; thiết bị điện tử tiêu dùng, AV, máy ảnh&gt; máy ảnh, thiết bị quang học&gt; ống nhòm&gt; Olympus")</f>
        <v>Đấu giá&gt; thiết bị điện tử tiêu dùng, AV, máy ảnh&gt; máy ảnh, thiết bị quang học&gt; ống nhòm&gt; Olympus</v>
      </c>
      <c r="F280" t="str">
        <f t="shared" ca="1" si="4"/>
        <v>"2084263449" : "Olympus",</v>
      </c>
    </row>
    <row r="281" spans="1:6" ht="15.75" customHeight="1">
      <c r="A281" s="14">
        <v>2084263448</v>
      </c>
      <c r="B281" s="14" t="s">
        <v>3484</v>
      </c>
      <c r="C281" s="14" t="s">
        <v>3485</v>
      </c>
      <c r="D281" s="5" t="str">
        <f ca="1">IFERROR(__xludf.DUMMYFUNCTION("GOOGLETRANSLATE(B281,""ja"",""vi"")"),"Carl Zeiss")</f>
        <v>Carl Zeiss</v>
      </c>
      <c r="E281" s="4" t="str">
        <f ca="1">IFERROR(__xludf.DUMMYFUNCTION("GOOGLETRANSLATE(C281,""ja"",""vi"")"),"Đấu giá&gt; thiết bị điện tử tiêu dùng, AV, máy ảnh&gt; máy ảnh, thiết bị quang học&gt; ống nhòm&gt; Carl Zeiss")</f>
        <v>Đấu giá&gt; thiết bị điện tử tiêu dùng, AV, máy ảnh&gt; máy ảnh, thiết bị quang học&gt; ống nhòm&gt; Carl Zeiss</v>
      </c>
      <c r="F281" t="str">
        <f t="shared" ca="1" si="4"/>
        <v>"2084263448" : "Carl Zeiss",</v>
      </c>
    </row>
    <row r="282" spans="1:6" ht="15.75" customHeight="1">
      <c r="A282" s="14">
        <v>2084282469</v>
      </c>
      <c r="B282" s="14" t="s">
        <v>2031</v>
      </c>
      <c r="C282" s="14" t="s">
        <v>3491</v>
      </c>
      <c r="D282" s="5" t="str">
        <f ca="1">IFERROR(__xludf.DUMMYFUNCTION("GOOGLETRANSLATE(B282,""ja"",""vi"")"),"Canon")</f>
        <v>Canon</v>
      </c>
      <c r="E282" s="4" t="str">
        <f ca="1">IFERROR(__xludf.DUMMYFUNCTION("GOOGLETRANSLATE(C282,""ja"",""vi"")"),"Đấu giá&gt; thiết bị điện tử tiêu dùng, AV, máy ảnh&gt; máy ảnh, thiết bị quang học&gt; ống nhòm&gt; Canon")</f>
        <v>Đấu giá&gt; thiết bị điện tử tiêu dùng, AV, máy ảnh&gt; máy ảnh, thiết bị quang học&gt; ống nhòm&gt; Canon</v>
      </c>
      <c r="F282" t="str">
        <f t="shared" ca="1" si="4"/>
        <v>"2084282469" : "Canon",</v>
      </c>
    </row>
    <row r="283" spans="1:6" ht="15.75" customHeight="1">
      <c r="A283" s="14">
        <v>2084263450</v>
      </c>
      <c r="B283" s="14" t="s">
        <v>3494</v>
      </c>
      <c r="C283" s="14" t="s">
        <v>3497</v>
      </c>
      <c r="D283" s="5" t="str">
        <f ca="1">IFERROR(__xludf.DUMMYFUNCTION("GOOGLETRANSLATE(B283,""ja"",""vi"")"),"Kenko")</f>
        <v>Kenko</v>
      </c>
      <c r="E283" s="4" t="str">
        <f ca="1">IFERROR(__xludf.DUMMYFUNCTION("GOOGLETRANSLATE(C283,""ja"",""vi"")"),"Đấu giá&gt; thiết bị điện tử tiêu dùng, AV, máy ảnh&gt; máy ảnh, thiết bị quang học&gt; ống nhòm&gt; Kenko")</f>
        <v>Đấu giá&gt; thiết bị điện tử tiêu dùng, AV, máy ảnh&gt; máy ảnh, thiết bị quang học&gt; ống nhòm&gt; Kenko</v>
      </c>
      <c r="F283" t="str">
        <f t="shared" ca="1" si="4"/>
        <v>"2084263450" : "Kenko",</v>
      </c>
    </row>
    <row r="284" spans="1:6" ht="15.75" customHeight="1">
      <c r="A284" s="14">
        <v>2084263639</v>
      </c>
      <c r="B284" s="14" t="s">
        <v>3501</v>
      </c>
      <c r="C284" s="14" t="s">
        <v>3504</v>
      </c>
      <c r="D284" s="5" t="str">
        <f ca="1">IFERROR(__xludf.DUMMYFUNCTION("GOOGLETRANSLATE(B284,""ja"",""vi"")"),"Nashika")</f>
        <v>Nashika</v>
      </c>
      <c r="E284" s="4" t="str">
        <f ca="1">IFERROR(__xludf.DUMMYFUNCTION("GOOGLETRANSLATE(C284,""ja"",""vi"")"),"Đấu giá&gt; thiết bị điện tử tiêu dùng, AV, máy ảnh&gt; máy ảnh, thiết bị quang học&gt; ống nhòm&gt; Nashika")</f>
        <v>Đấu giá&gt; thiết bị điện tử tiêu dùng, AV, máy ảnh&gt; máy ảnh, thiết bị quang học&gt; ống nhòm&gt; Nashika</v>
      </c>
      <c r="F284" t="str">
        <f t="shared" ca="1" si="4"/>
        <v>"2084263639" : "Nashika",</v>
      </c>
    </row>
    <row r="285" spans="1:6" ht="15.75" customHeight="1">
      <c r="A285" s="14">
        <v>2084263451</v>
      </c>
      <c r="B285" s="14" t="s">
        <v>2044</v>
      </c>
      <c r="C285" s="14" t="s">
        <v>3508</v>
      </c>
      <c r="D285" s="5" t="str">
        <f ca="1">IFERROR(__xludf.DUMMYFUNCTION("GOOGLETRANSLATE(B285,""ja"",""vi"")"),"Nikon")</f>
        <v>Nikon</v>
      </c>
      <c r="E285" s="4" t="str">
        <f ca="1">IFERROR(__xludf.DUMMYFUNCTION("GOOGLETRANSLATE(C285,""ja"",""vi"")"),"Đấu giá&gt; thiết bị điện tử tiêu dùng, AV, máy ảnh&gt; máy ảnh, thiết bị quang học&gt; Ống nhòm&gt; Nikon")</f>
        <v>Đấu giá&gt; thiết bị điện tử tiêu dùng, AV, máy ảnh&gt; máy ảnh, thiết bị quang học&gt; Ống nhòm&gt; Nikon</v>
      </c>
      <c r="F285" t="str">
        <f t="shared" ca="1" si="4"/>
        <v>"2084263451" : "Nikon",</v>
      </c>
    </row>
    <row r="286" spans="1:6" ht="15.75" customHeight="1">
      <c r="A286" s="14">
        <v>2084263452</v>
      </c>
      <c r="B286" s="14" t="s">
        <v>3514</v>
      </c>
      <c r="C286" s="14" t="s">
        <v>3515</v>
      </c>
      <c r="D286" s="5" t="str">
        <f ca="1">IFERROR(__xludf.DUMMYFUNCTION("GOOGLETRANSLATE(B286,""ja"",""vi"")"),"chồn cái")</f>
        <v>chồn cái</v>
      </c>
      <c r="E286" s="4" t="str">
        <f ca="1">IFERROR(__xludf.DUMMYFUNCTION("GOOGLETRANSLATE(C286,""ja"",""vi"")"),"Đấu giá&gt; thiết bị điện tử tiêu dùng, AV, máy ảnh&gt; máy ảnh, thiết bị quang học&gt; ống nhòm&gt; Vixen")</f>
        <v>Đấu giá&gt; thiết bị điện tử tiêu dùng, AV, máy ảnh&gt; máy ảnh, thiết bị quang học&gt; ống nhòm&gt; Vixen</v>
      </c>
      <c r="F286" t="str">
        <f t="shared" ca="1" si="4"/>
        <v>"2084263452" : "chồn cái",</v>
      </c>
    </row>
    <row r="287" spans="1:6" ht="15.75" customHeight="1">
      <c r="A287" s="14">
        <v>2084263453</v>
      </c>
      <c r="B287" s="14" t="s">
        <v>2055</v>
      </c>
      <c r="C287" s="14" t="s">
        <v>3520</v>
      </c>
      <c r="D287" s="5" t="str">
        <f ca="1">IFERROR(__xludf.DUMMYFUNCTION("GOOGLETRANSLATE(B287,""ja"",""vi"")"),"Pentax")</f>
        <v>Pentax</v>
      </c>
      <c r="E287" s="4" t="str">
        <f ca="1">IFERROR(__xludf.DUMMYFUNCTION("GOOGLETRANSLATE(C287,""ja"",""vi"")"),"Đấu giá&gt; thiết bị điện tử tiêu dùng, AV, máy ảnh&gt; máy ảnh, thiết bị quang học&gt; Ống nhòm&gt; Pentax")</f>
        <v>Đấu giá&gt; thiết bị điện tử tiêu dùng, AV, máy ảnh&gt; máy ảnh, thiết bị quang học&gt; Ống nhòm&gt; Pentax</v>
      </c>
      <c r="F287" t="str">
        <f t="shared" ca="1" si="4"/>
        <v>"2084263453" : "Pentax",</v>
      </c>
    </row>
    <row r="288" spans="1:6" ht="15.75" customHeight="1">
      <c r="A288" s="14">
        <v>2084282470</v>
      </c>
      <c r="B288" s="14" t="s">
        <v>2120</v>
      </c>
      <c r="C288" s="14" t="s">
        <v>3524</v>
      </c>
      <c r="D288" s="5" t="str">
        <f ca="1">IFERROR(__xludf.DUMMYFUNCTION("GOOGLETRANSLATE(B288,""ja"",""vi"")"),"Leica")</f>
        <v>Leica</v>
      </c>
      <c r="E288" s="4" t="str">
        <f ca="1">IFERROR(__xludf.DUMMYFUNCTION("GOOGLETRANSLATE(C288,""ja"",""vi"")"),"Đấu giá&gt; thiết bị điện tử tiêu dùng, AV, máy ảnh&gt; máy ảnh, thiết bị quang học&gt; Ống nhòm&gt; Leica")</f>
        <v>Đấu giá&gt; thiết bị điện tử tiêu dùng, AV, máy ảnh&gt; máy ảnh, thiết bị quang học&gt; Ống nhòm&gt; Leica</v>
      </c>
      <c r="F288" t="str">
        <f t="shared" ca="1" si="4"/>
        <v>"2084282470" : "Leica",</v>
      </c>
    </row>
    <row r="289" spans="1:6" ht="15.75" customHeight="1">
      <c r="A289" s="14">
        <v>2084263454</v>
      </c>
      <c r="B289" s="14" t="s">
        <v>3530</v>
      </c>
      <c r="C289" s="14" t="s">
        <v>3531</v>
      </c>
      <c r="D289" s="5" t="str">
        <f ca="1">IFERROR(__xludf.DUMMYFUNCTION("GOOGLETRANSLATE(B289,""ja"",""vi"")"),"ống dòm")</f>
        <v>ống dòm</v>
      </c>
      <c r="E289" s="4" t="str">
        <f ca="1">IFERROR(__xludf.DUMMYFUNCTION("GOOGLETRANSLATE(C289,""ja"",""vi"")"),"Đấu giá&gt; thiết bị điện tử tiêu dùng, AV, máy ảnh&gt; máy ảnh, thiết bị quang học&gt; ống nhòm&gt; kính opera")</f>
        <v>Đấu giá&gt; thiết bị điện tử tiêu dùng, AV, máy ảnh&gt; máy ảnh, thiết bị quang học&gt; ống nhòm&gt; kính opera</v>
      </c>
      <c r="F289" t="str">
        <f t="shared" ca="1" si="4"/>
        <v>"2084263454" : "ống dòm",</v>
      </c>
    </row>
    <row r="290" spans="1:6" ht="15.75" customHeight="1">
      <c r="A290" s="14">
        <v>2084263446</v>
      </c>
      <c r="B290" s="14" t="s">
        <v>3537</v>
      </c>
      <c r="C290" s="14" t="s">
        <v>3538</v>
      </c>
      <c r="D290" s="5" t="str">
        <f ca="1">IFERROR(__xludf.DUMMYFUNCTION("GOOGLETRANSLATE(B290,""ja"",""vi"")"),"kiến một mắt")</f>
        <v>kiến một mắt</v>
      </c>
      <c r="E290" s="4" t="str">
        <f ca="1">IFERROR(__xludf.DUMMYFUNCTION("GOOGLETRANSLATE(C290,""ja"",""vi"")"),"Đấu giá&gt; thiết bị điện tử tiêu dùng, AV, máy ảnh&gt; máy ảnh, thiết bị quang học&gt; ống nhòm&gt; mắt kiếng")</f>
        <v>Đấu giá&gt; thiết bị điện tử tiêu dùng, AV, máy ảnh&gt; máy ảnh, thiết bị quang học&gt; ống nhòm&gt; mắt kiếng</v>
      </c>
      <c r="F290" t="str">
        <f t="shared" ca="1" si="4"/>
        <v>"2084263446" : "kiến một mắt",</v>
      </c>
    </row>
    <row r="291" spans="1:6" ht="15.75" customHeight="1">
      <c r="A291" s="14">
        <v>2084263456</v>
      </c>
      <c r="B291" s="14" t="s">
        <v>46</v>
      </c>
      <c r="C291" s="14" t="s">
        <v>3544</v>
      </c>
      <c r="D291" s="5" t="str">
        <f ca="1">IFERROR(__xludf.DUMMYFUNCTION("GOOGLETRANSLATE(B291,""ja"",""vi"")"),"nếu không thì")</f>
        <v>nếu không thì</v>
      </c>
      <c r="E291" s="4" t="str">
        <f ca="1">IFERROR(__xludf.DUMMYFUNCTION("GOOGLETRANSLATE(C291,""ja"",""vi"")"),"Đấu giá&gt; thiết bị điện tử tiêu dùng, AV, thiết bị máy ảnh&gt; máy ảnh, ống kính&gt; ống nhòm&gt; Khác")</f>
        <v>Đấu giá&gt; thiết bị điện tử tiêu dùng, AV, thiết bị máy ảnh&gt; máy ảnh, ống kính&gt; ống nhòm&gt; Khác</v>
      </c>
      <c r="F291" t="str">
        <f t="shared" ca="1" si="4"/>
        <v>"2084263456" : "nếu không thì",</v>
      </c>
    </row>
    <row r="292" spans="1:6" ht="15.75" customHeight="1">
      <c r="A292" s="14">
        <v>2084316146</v>
      </c>
      <c r="B292" s="14" t="s">
        <v>3549</v>
      </c>
      <c r="C292" s="14" t="s">
        <v>3552</v>
      </c>
      <c r="D292" s="5" t="str">
        <f ca="1">IFERROR(__xludf.DUMMYFUNCTION("GOOGLETRANSLATE(B292,""ja"",""vi"")"),"Drone cơ thể")</f>
        <v>Drone cơ thể</v>
      </c>
      <c r="E292" s="4" t="str">
        <f ca="1">IFERROR(__xludf.DUMMYFUNCTION("GOOGLETRANSLATE(C292,""ja"",""vi"")"),"Đấu giá&gt; đồ chơi, trò chơi&gt; sở thích điều khiển bằng radio&gt; bay không người lái&gt; bay không người lái cơ thể")</f>
        <v>Đấu giá&gt; đồ chơi, trò chơi&gt; sở thích điều khiển bằng radio&gt; bay không người lái&gt; bay không người lái cơ thể</v>
      </c>
      <c r="F292" t="str">
        <f t="shared" ca="1" si="4"/>
        <v>"2084316146" : "Drone cơ thể",</v>
      </c>
    </row>
    <row r="293" spans="1:6" ht="15.75" customHeight="1">
      <c r="A293" s="14">
        <v>2084316147</v>
      </c>
      <c r="B293" s="14" t="s">
        <v>3554</v>
      </c>
      <c r="C293" s="14" t="s">
        <v>3556</v>
      </c>
      <c r="D293" s="5" t="str">
        <f ca="1">IFERROR(__xludf.DUMMYFUNCTION("GOOGLETRANSLATE(B293,""ja"",""vi"")"),"Phụ tùng, phụ kiện")</f>
        <v>Phụ tùng, phụ kiện</v>
      </c>
      <c r="E293" s="4" t="str">
        <f ca="1">IFERROR(__xludf.DUMMYFUNCTION("GOOGLETRANSLATE(C293,""ja"",""vi"")"),"Đấu giá&gt; đồ chơi, trò chơi&gt; sở thích điều khiển bằng radio&gt; bay không người lái&gt; phụ tùng, phụ kiện")</f>
        <v>Đấu giá&gt; đồ chơi, trò chơi&gt; sở thích điều khiển bằng radio&gt; bay không người lái&gt; phụ tùng, phụ kiện</v>
      </c>
      <c r="F293" t="str">
        <f t="shared" ca="1" si="4"/>
        <v>"2084316147" : "Phụ tùng, phụ kiện",</v>
      </c>
    </row>
    <row r="294" spans="1:6" ht="15.75" customHeight="1">
      <c r="A294" s="14">
        <v>2084055380</v>
      </c>
      <c r="B294" s="14" t="s">
        <v>3138</v>
      </c>
      <c r="C294" s="14" t="s">
        <v>3560</v>
      </c>
      <c r="D294" s="5" t="str">
        <f ca="1">IFERROR(__xludf.DUMMYFUNCTION("GOOGLETRANSLATE(B294,""ja"",""vi"")"),"bộ")</f>
        <v>bộ</v>
      </c>
      <c r="E294" s="4" t="str">
        <f ca="1">IFERROR(__xludf.DUMMYFUNCTION("GOOGLETRANSLATE(C294,""ja"",""vi"")"),"Đấu giá&gt; thiết bị điện tử tiêu dùng, AV, máy ảnh&gt; máy ảnh, thiết bị quang học&gt; kính thiên văn&gt; bộ")</f>
        <v>Đấu giá&gt; thiết bị điện tử tiêu dùng, AV, máy ảnh&gt; máy ảnh, thiết bị quang học&gt; kính thiên văn&gt; bộ</v>
      </c>
      <c r="F294" t="str">
        <f t="shared" ca="1" si="4"/>
        <v>"2084055380" : "bộ",</v>
      </c>
    </row>
    <row r="295" spans="1:6" ht="15.75" customHeight="1">
      <c r="A295" s="14">
        <v>2084055381</v>
      </c>
      <c r="B295" s="14" t="s">
        <v>3564</v>
      </c>
      <c r="C295" s="14" t="s">
        <v>3565</v>
      </c>
      <c r="D295" s="5" t="str">
        <f ca="1">IFERROR(__xludf.DUMMYFUNCTION("GOOGLETRANSLATE(B295,""ja"",""vi"")"),"bộ phận")</f>
        <v>bộ phận</v>
      </c>
      <c r="E295" s="4" t="str">
        <f ca="1">IFERROR(__xludf.DUMMYFUNCTION("GOOGLETRANSLATE(C295,""ja"",""vi"")"),"Đấu giá&gt; thiết bị điện tử tiêu dùng, AV, máy ảnh&gt; máy ảnh, thiết bị quang học&gt; kính thiên văn&gt; Linh kiện")</f>
        <v>Đấu giá&gt; thiết bị điện tử tiêu dùng, AV, máy ảnh&gt; máy ảnh, thiết bị quang học&gt; kính thiên văn&gt; Linh kiện</v>
      </c>
      <c r="F295" t="str">
        <f t="shared" ca="1" si="4"/>
        <v>"2084055381" : "bộ phận",</v>
      </c>
    </row>
    <row r="296" spans="1:6" ht="15.75" customHeight="1">
      <c r="A296" s="14">
        <v>2084055382</v>
      </c>
      <c r="B296" s="14" t="s">
        <v>46</v>
      </c>
      <c r="C296" s="14" t="s">
        <v>3570</v>
      </c>
      <c r="D296" s="5" t="str">
        <f ca="1">IFERROR(__xludf.DUMMYFUNCTION("GOOGLETRANSLATE(B296,""ja"",""vi"")"),"nếu không thì")</f>
        <v>nếu không thì</v>
      </c>
      <c r="E296" s="4" t="str">
        <f ca="1">IFERROR(__xludf.DUMMYFUNCTION("GOOGLETRANSLATE(C296,""ja"",""vi"")"),"Đấu giá&gt; thiết bị điện tử tiêu dùng, AV, máy ảnh&gt; máy ảnh, thiết bị quang học&gt; kính thiên văn&gt; Khác")</f>
        <v>Đấu giá&gt; thiết bị điện tử tiêu dùng, AV, máy ảnh&gt; máy ảnh, thiết bị quang học&gt; kính thiên văn&gt; Khác</v>
      </c>
      <c r="F296" t="str">
        <f t="shared" ca="1" si="4"/>
        <v>"2084055382" : "nếu không thì",</v>
      </c>
    </row>
    <row r="297" spans="1:6" ht="15.75" customHeight="1">
      <c r="A297" s="14">
        <v>2084298966</v>
      </c>
      <c r="B297" s="14" t="s">
        <v>1973</v>
      </c>
      <c r="C297" s="14" t="s">
        <v>1975</v>
      </c>
      <c r="D297" s="5" t="str">
        <f ca="1">IFERROR(__xludf.DUMMYFUNCTION("GOOGLETRANSLATE(B297,""ja"",""vi"")"),"NTT DoCoMo")</f>
        <v>NTT DoCoMo</v>
      </c>
      <c r="E297" s="4" t="str">
        <f ca="1">IFERROR(__xludf.DUMMYFUNCTION("GOOGLETRANSLATE(C297,""ja"",""vi"")"),"Đấu giá&gt; thiết bị điện tử tiêu dùng, AV, camera&gt; điện thoại di động, điện thoại thông minh&gt; cơ thể điện thoại di động&gt; body smartphone&gt; NTT DoCoMo")</f>
        <v>Đấu giá&gt; thiết bị điện tử tiêu dùng, AV, camera&gt; điện thoại di động, điện thoại thông minh&gt; cơ thể điện thoại di động&gt; body smartphone&gt; NTT DoCoMo</v>
      </c>
      <c r="F297" t="str">
        <f t="shared" ca="1" si="4"/>
        <v>"2084298966" : "NTT DoCoMo",</v>
      </c>
    </row>
    <row r="298" spans="1:6" ht="15.75" customHeight="1">
      <c r="A298" s="14">
        <v>2084298978</v>
      </c>
      <c r="B298" s="14" t="s">
        <v>1981</v>
      </c>
      <c r="C298" s="14" t="s">
        <v>1983</v>
      </c>
      <c r="D298" s="5" t="str">
        <f ca="1">IFERROR(__xludf.DUMMYFUNCTION("GOOGLETRANSLATE(B298,""ja"",""vi"")"),"au")</f>
        <v>au</v>
      </c>
      <c r="E298" s="4" t="str">
        <f ca="1">IFERROR(__xludf.DUMMYFUNCTION("GOOGLETRANSLATE(C298,""ja"",""vi"")"),"Đấu giá&gt; thiết bị điện tử tiêu dùng, AV, camera&gt; điện thoại di động, điện thoại thông minh&gt; cơ thể điện thoại di động&gt; điện thoại thông minh body&gt; au")</f>
        <v>Đấu giá&gt; thiết bị điện tử tiêu dùng, AV, camera&gt; điện thoại di động, điện thoại thông minh&gt; cơ thể điện thoại di động&gt; điện thoại thông minh body&gt; au</v>
      </c>
      <c r="F298" t="str">
        <f t="shared" ca="1" si="4"/>
        <v>"2084298978" : "au",</v>
      </c>
    </row>
    <row r="299" spans="1:6" ht="15.75" customHeight="1">
      <c r="A299" s="14">
        <v>2084298986</v>
      </c>
      <c r="B299" s="14" t="s">
        <v>1988</v>
      </c>
      <c r="C299" s="14" t="s">
        <v>1990</v>
      </c>
      <c r="D299" s="5" t="str">
        <f ca="1">IFERROR(__xludf.DUMMYFUNCTION("GOOGLETRANSLATE(B299,""ja"",""vi"")"),"Softbank")</f>
        <v>Softbank</v>
      </c>
      <c r="E299" s="4" t="str">
        <f ca="1">IFERROR(__xludf.DUMMYFUNCTION("GOOGLETRANSLATE(C299,""ja"",""vi"")"),"Đấu giá&gt; thiết bị điện tử tiêu dùng, AV, camera&gt; điện thoại di động, điện thoại thông minh&gt; cơ thể điện thoại di động&gt; body smartphone&gt; Softbank")</f>
        <v>Đấu giá&gt; thiết bị điện tử tiêu dùng, AV, camera&gt; điện thoại di động, điện thoại thông minh&gt; cơ thể điện thoại di động&gt; body smartphone&gt; Softbank</v>
      </c>
      <c r="F299" t="str">
        <f t="shared" ca="1" si="4"/>
        <v>"2084298986" : "Softbank",</v>
      </c>
    </row>
    <row r="300" spans="1:6" ht="15.75" customHeight="1">
      <c r="A300" s="14">
        <v>2084299103</v>
      </c>
      <c r="B300" s="14" t="s">
        <v>1994</v>
      </c>
      <c r="C300" s="14" t="s">
        <v>1996</v>
      </c>
      <c r="D300" s="5" t="str">
        <f ca="1">IFERROR(__xludf.DUMMYFUNCTION("GOOGLETRANSLATE(B300,""ja"",""vi"")"),"Ymobile")</f>
        <v>Ymobile</v>
      </c>
      <c r="E300" s="4" t="str">
        <f ca="1">IFERROR(__xludf.DUMMYFUNCTION("GOOGLETRANSLATE(C300,""ja"",""vi"")"),"Đấu giá&gt; thiết bị điện tử tiêu dùng, AV, camera&gt; điện thoại di động, điện thoại thông minh&gt; cơ thể điện thoại di động&gt; body smartphone&gt; Ymobile")</f>
        <v>Đấu giá&gt; thiết bị điện tử tiêu dùng, AV, camera&gt; điện thoại di động, điện thoại thông minh&gt; cơ thể điện thoại di động&gt; body smartphone&gt; Ymobile</v>
      </c>
      <c r="F300" t="str">
        <f t="shared" ca="1" si="4"/>
        <v>"2084299103" : "Ymobile",</v>
      </c>
    </row>
    <row r="301" spans="1:6" ht="15.75" customHeight="1">
      <c r="A301" s="14">
        <v>2084316073</v>
      </c>
      <c r="B301" s="14" t="s">
        <v>2001</v>
      </c>
      <c r="C301" s="14" t="s">
        <v>2004</v>
      </c>
      <c r="D301" s="5" t="str">
        <f ca="1">IFERROR(__xludf.DUMMYFUNCTION("GOOGLETRANSLATE(B301,""ja"",""vi"")"),"phiên bản nội địa SIM-free")</f>
        <v>phiên bản nội địa SIM-free</v>
      </c>
      <c r="E301" s="4" t="str">
        <f ca="1">IFERROR(__xludf.DUMMYFUNCTION("GOOGLETRANSLATE(C301,""ja"",""vi"")"),"Đấu giá&gt; thiết bị điện tử tiêu dùng, AV, camera&gt; điện thoại di động, điện thoại thông minh&gt; cơ thể điện thoại di động&gt; body smartphone&gt; phiên bản nội địa SIM-free")</f>
        <v>Đấu giá&gt; thiết bị điện tử tiêu dùng, AV, camera&gt; điện thoại di động, điện thoại thông minh&gt; cơ thể điện thoại di động&gt; body smartphone&gt; phiên bản nội địa SIM-free</v>
      </c>
      <c r="F301" t="str">
        <f t="shared" ca="1" si="4"/>
        <v>"2084316073" : "phiên bản nội địa SIM-free",</v>
      </c>
    </row>
    <row r="302" spans="1:6" ht="15.75" customHeight="1">
      <c r="A302" s="14">
        <v>2084299105</v>
      </c>
      <c r="B302" s="14" t="s">
        <v>2010</v>
      </c>
      <c r="C302" s="14" t="s">
        <v>2012</v>
      </c>
      <c r="D302" s="5" t="str">
        <f ca="1">IFERROR(__xludf.DUMMYFUNCTION("GOOGLETRANSLATE(B302,""ja"",""vi"")"),"phiên bản quốc tế miễn phí SIM")</f>
        <v>phiên bản quốc tế miễn phí SIM</v>
      </c>
      <c r="E302" s="4" t="str">
        <f ca="1">IFERROR(__xludf.DUMMYFUNCTION("GOOGLETRANSLATE(C302,""ja"",""vi"")"),"Đấu giá&gt; thiết bị điện tử tiêu dùng, AV, camera&gt; điện thoại di động, điện thoại thông minh&gt; cơ thể điện thoại di động&gt; body smartphone&gt; phiên bản quốc tế SIM miễn phí")</f>
        <v>Đấu giá&gt; thiết bị điện tử tiêu dùng, AV, camera&gt; điện thoại di động, điện thoại thông minh&gt; cơ thể điện thoại di động&gt; body smartphone&gt; phiên bản quốc tế SIM miễn phí</v>
      </c>
      <c r="F302" t="str">
        <f t="shared" ca="1" si="4"/>
        <v>"2084299105" : "phiên bản quốc tế miễn phí SIM",</v>
      </c>
    </row>
    <row r="303" spans="1:6" ht="15.75" customHeight="1">
      <c r="A303" s="14">
        <v>2084008397</v>
      </c>
      <c r="B303" s="14" t="s">
        <v>1973</v>
      </c>
      <c r="C303" s="14" t="s">
        <v>3594</v>
      </c>
      <c r="D303" s="5" t="str">
        <f ca="1">IFERROR(__xludf.DUMMYFUNCTION("GOOGLETRANSLATE(B303,""ja"",""vi"")"),"NTT DoCoMo")</f>
        <v>NTT DoCoMo</v>
      </c>
      <c r="E303" s="4" t="str">
        <f ca="1">IFERROR(__xludf.DUMMYFUNCTION("GOOGLETRANSLATE(C303,""ja"",""vi"")"),"Đấu giá&gt; thiết bị điện tử tiêu dùng, AV, camera&gt; điện thoại di động, điện thoại thông minh&gt; cơ thể điện thoại di động&gt; NTT DoCoMo")</f>
        <v>Đấu giá&gt; thiết bị điện tử tiêu dùng, AV, camera&gt; điện thoại di động, điện thoại thông minh&gt; cơ thể điện thoại di động&gt; NTT DoCoMo</v>
      </c>
      <c r="F303" t="str">
        <f t="shared" ca="1" si="4"/>
        <v>"2084008397" : "NTT DoCoMo",</v>
      </c>
    </row>
    <row r="304" spans="1:6" ht="15.75" customHeight="1">
      <c r="A304" s="14">
        <v>2084008398</v>
      </c>
      <c r="B304" s="14" t="s">
        <v>1981</v>
      </c>
      <c r="C304" s="14" t="s">
        <v>3599</v>
      </c>
      <c r="D304" s="5" t="str">
        <f ca="1">IFERROR(__xludf.DUMMYFUNCTION("GOOGLETRANSLATE(B304,""ja"",""vi"")"),"au")</f>
        <v>au</v>
      </c>
      <c r="E304" s="4" t="str">
        <f ca="1">IFERROR(__xludf.DUMMYFUNCTION("GOOGLETRANSLATE(C304,""ja"",""vi"")"),"Đấu giá&gt; thiết bị điện tử tiêu dùng, AV, camera&gt; điện thoại di động, điện thoại thông minh&gt; cơ thể điện thoại di động&gt; au")</f>
        <v>Đấu giá&gt; thiết bị điện tử tiêu dùng, AV, camera&gt; điện thoại di động, điện thoại thông minh&gt; cơ thể điện thoại di động&gt; au</v>
      </c>
      <c r="F304" t="str">
        <f t="shared" ca="1" si="4"/>
        <v>"2084008398" : "au",</v>
      </c>
    </row>
    <row r="305" spans="1:6" ht="15.75" customHeight="1">
      <c r="A305" s="14">
        <v>2084008399</v>
      </c>
      <c r="B305" s="14" t="s">
        <v>1988</v>
      </c>
      <c r="C305" s="14" t="s">
        <v>3604</v>
      </c>
      <c r="D305" s="5" t="str">
        <f ca="1">IFERROR(__xludf.DUMMYFUNCTION("GOOGLETRANSLATE(B305,""ja"",""vi"")"),"Softbank")</f>
        <v>Softbank</v>
      </c>
      <c r="E305" s="4" t="str">
        <f ca="1">IFERROR(__xludf.DUMMYFUNCTION("GOOGLETRANSLATE(C305,""ja"",""vi"")"),"Đấu giá&gt; thiết bị điện tử tiêu dùng, AV, camera&gt; điện thoại di động, điện thoại thông minh&gt; cơ thể điện thoại di động&gt; Softbank")</f>
        <v>Đấu giá&gt; thiết bị điện tử tiêu dùng, AV, camera&gt; điện thoại di động, điện thoại thông minh&gt; cơ thể điện thoại di động&gt; Softbank</v>
      </c>
      <c r="F305" t="str">
        <f t="shared" ca="1" si="4"/>
        <v>"2084008399" : "Softbank",</v>
      </c>
    </row>
    <row r="306" spans="1:6" ht="15.75" customHeight="1">
      <c r="A306" s="14">
        <v>2084235873</v>
      </c>
      <c r="B306" s="14" t="s">
        <v>1994</v>
      </c>
      <c r="C306" s="14" t="s">
        <v>3608</v>
      </c>
      <c r="D306" s="5" t="str">
        <f ca="1">IFERROR(__xludf.DUMMYFUNCTION("GOOGLETRANSLATE(B306,""ja"",""vi"")"),"Ymobile")</f>
        <v>Ymobile</v>
      </c>
      <c r="E306" s="4" t="str">
        <f ca="1">IFERROR(__xludf.DUMMYFUNCTION("GOOGLETRANSLATE(C306,""ja"",""vi"")"),"Đấu giá&gt; thiết bị điện tử tiêu dùng, AV, camera&gt; điện thoại di động, điện thoại thông minh&gt; cơ thể điện thoại di động&gt; Ymobile")</f>
        <v>Đấu giá&gt; thiết bị điện tử tiêu dùng, AV, camera&gt; điện thoại di động, điện thoại thông minh&gt; cơ thể điện thoại di động&gt; Ymobile</v>
      </c>
      <c r="F306" t="str">
        <f t="shared" ca="1" si="4"/>
        <v>"2084235873" : "Ymobile",</v>
      </c>
    </row>
    <row r="307" spans="1:6" ht="15.75" customHeight="1">
      <c r="A307" s="14">
        <v>2084221688</v>
      </c>
      <c r="B307" s="14" t="s">
        <v>3613</v>
      </c>
      <c r="C307" s="14" t="s">
        <v>3614</v>
      </c>
      <c r="D307" s="5" t="str">
        <f ca="1">IFERROR(__xludf.DUMMYFUNCTION("GOOGLETRANSLATE(B307,""ja"",""vi"")"),"WILLCOM")</f>
        <v>WILLCOM</v>
      </c>
      <c r="E307" s="4" t="str">
        <f ca="1">IFERROR(__xludf.DUMMYFUNCTION("GOOGLETRANSLATE(C307,""ja"",""vi"")"),"Đấu giá&gt; thiết bị điện tử tiêu dùng, AV, camera&gt; điện thoại di động, điện thoại thông minh&gt; mobile phone body&gt; WILLCOM")</f>
        <v>Đấu giá&gt; thiết bị điện tử tiêu dùng, AV, camera&gt; điện thoại di động, điện thoại thông minh&gt; mobile phone body&gt; WILLCOM</v>
      </c>
      <c r="F307" t="str">
        <f t="shared" ca="1" si="4"/>
        <v>"2084221688" : "WILLCOM",</v>
      </c>
    </row>
    <row r="308" spans="1:6" ht="15.75" customHeight="1">
      <c r="A308" s="14">
        <v>2084239153</v>
      </c>
      <c r="B308" s="14" t="s">
        <v>3620</v>
      </c>
      <c r="C308" s="14" t="s">
        <v>3621</v>
      </c>
      <c r="D308" s="5" t="str">
        <f ca="1">IFERROR(__xludf.DUMMYFUNCTION("GOOGLETRANSLATE(B308,""ja"",""vi"")"),"di động ở nước ngoài")</f>
        <v>di động ở nước ngoài</v>
      </c>
      <c r="E308" s="4" t="str">
        <f ca="1">IFERROR(__xludf.DUMMYFUNCTION("GOOGLETRANSLATE(C308,""ja"",""vi"")"),"Đấu giá&gt; thiết bị điện tử tiêu dùng, AV, camera&gt; điện thoại di động, điện thoại thông minh&gt; cơ thể điện thoại di động&gt; Thiết bị ra nước ngoài")</f>
        <v>Đấu giá&gt; thiết bị điện tử tiêu dùng, AV, camera&gt; điện thoại di động, điện thoại thông minh&gt; cơ thể điện thoại di động&gt; Thiết bị ra nước ngoài</v>
      </c>
      <c r="F308" t="str">
        <f t="shared" ca="1" si="4"/>
        <v>"2084239153" : "di động ở nước ngoài",</v>
      </c>
    </row>
    <row r="309" spans="1:6" ht="15.75" customHeight="1">
      <c r="A309" s="14">
        <v>2084298965</v>
      </c>
      <c r="B309" s="14" t="s">
        <v>3627</v>
      </c>
      <c r="C309" s="14" t="s">
        <v>3629</v>
      </c>
      <c r="D309" s="5" t="str">
        <f ca="1">IFERROR(__xludf.DUMMYFUNCTION("GOOGLETRANSLATE(B309,""ja"",""vi"")"),"Điện thoại thông minh cơ thể")</f>
        <v>Điện thoại thông minh cơ thể</v>
      </c>
      <c r="E309" s="4" t="str">
        <f ca="1">IFERROR(__xludf.DUMMYFUNCTION("GOOGLETRANSLATE(C309,""ja"",""vi"")"),"Đấu giá&gt; thiết bị điện tử tiêu dùng, AV, camera&gt; điện thoại di động, điện thoại thông minh&gt; cơ thể điện thoại di động&gt; Điện thoại thông minh cơ thể")</f>
        <v>Đấu giá&gt; thiết bị điện tử tiêu dùng, AV, camera&gt; điện thoại di động, điện thoại thông minh&gt; cơ thể điện thoại di động&gt; Điện thoại thông minh cơ thể</v>
      </c>
      <c r="F309" t="str">
        <f t="shared" ca="1" si="4"/>
        <v>"2084298965" : "Điện thoại thông minh cơ thể",</v>
      </c>
    </row>
    <row r="310" spans="1:6" ht="15.75" customHeight="1">
      <c r="A310" s="14">
        <v>2084221688</v>
      </c>
      <c r="B310" s="14" t="s">
        <v>1994</v>
      </c>
      <c r="C310" s="14" t="s">
        <v>3635</v>
      </c>
      <c r="D310" s="5" t="str">
        <f ca="1">IFERROR(__xludf.DUMMYFUNCTION("GOOGLETRANSLATE(B310,""ja"",""vi"")"),"Ymobile")</f>
        <v>Ymobile</v>
      </c>
      <c r="E310" s="4" t="str">
        <f ca="1">IFERROR(__xludf.DUMMYFUNCTION("GOOGLETRANSLATE(C310,""ja"",""vi"")"),"Đấu giá&gt; thiết bị điện tử tiêu dùng, AV, camera&gt; điện thoại di động, điện thoại thông minh&gt; PHS body&gt; Ymobile")</f>
        <v>Đấu giá&gt; thiết bị điện tử tiêu dùng, AV, camera&gt; điện thoại di động, điện thoại thông minh&gt; PHS body&gt; Ymobile</v>
      </c>
      <c r="F310" t="str">
        <f t="shared" ca="1" si="4"/>
        <v>"2084221688" : "Ymobile",</v>
      </c>
    </row>
    <row r="311" spans="1:6" ht="15.75" customHeight="1">
      <c r="A311" s="14">
        <v>2084221689</v>
      </c>
      <c r="B311" s="14" t="s">
        <v>46</v>
      </c>
      <c r="C311" s="14" t="s">
        <v>3638</v>
      </c>
      <c r="D311" s="5" t="str">
        <f ca="1">IFERROR(__xludf.DUMMYFUNCTION("GOOGLETRANSLATE(B311,""ja"",""vi"")"),"nếu không thì")</f>
        <v>nếu không thì</v>
      </c>
      <c r="E311" s="4" t="str">
        <f ca="1">IFERROR(__xludf.DUMMYFUNCTION("GOOGLETRANSLATE(C311,""ja"",""vi"")"),"Đấu giá&gt; thiết bị điện tử tiêu dùng, AV, camera&gt; điện thoại di động, điện thoại thông minh&gt; PHS body&gt; Khác")</f>
        <v>Đấu giá&gt; thiết bị điện tử tiêu dùng, AV, camera&gt; điện thoại di động, điện thoại thông minh&gt; PHS body&gt; Khác</v>
      </c>
      <c r="F311" t="str">
        <f t="shared" ca="1" si="4"/>
        <v>"2084221689" : "nếu không thì",</v>
      </c>
    </row>
    <row r="312" spans="1:6" ht="15.75" customHeight="1">
      <c r="A312" s="14">
        <v>2084239195</v>
      </c>
      <c r="B312" s="14" t="s">
        <v>3643</v>
      </c>
      <c r="C312" s="14" t="s">
        <v>3644</v>
      </c>
      <c r="D312" s="5" t="str">
        <f ca="1">IFERROR(__xludf.DUMMYFUNCTION("GOOGLETRANSLATE(B312,""ja"",""vi"")"),"bộ sạc AC adapter")</f>
        <v>bộ sạc AC adapter</v>
      </c>
      <c r="E312" s="4" t="str">
        <f ca="1">IFERROR(__xludf.DUMMYFUNCTION("GOOGLETRANSLATE(C312,""ja"",""vi"")"),"Đấu giá&gt; thiết bị điện tử tiêu dùng, AV, camera&gt; điện thoại di động, điện thoại thông minh&gt; pin, sạc&gt; bộ sạc AC adapter")</f>
        <v>Đấu giá&gt; thiết bị điện tử tiêu dùng, AV, camera&gt; điện thoại di động, điện thoại thông minh&gt; pin, sạc&gt; bộ sạc AC adapter</v>
      </c>
      <c r="F312" t="str">
        <f t="shared" ca="1" si="4"/>
        <v>"2084239195" : "bộ sạc AC adapter",</v>
      </c>
    </row>
    <row r="313" spans="1:6" ht="15.75" customHeight="1">
      <c r="A313" s="14">
        <v>2084239197</v>
      </c>
      <c r="B313" s="14" t="s">
        <v>3650</v>
      </c>
      <c r="C313" s="14" t="s">
        <v>3651</v>
      </c>
      <c r="D313" s="5" t="str">
        <f ca="1">IFERROR(__xludf.DUMMYFUNCTION("GOOGLETRANSLATE(B313,""ja"",""vi"")"),"sạc USB")</f>
        <v>sạc USB</v>
      </c>
      <c r="E313" s="4" t="str">
        <f ca="1">IFERROR(__xludf.DUMMYFUNCTION("GOOGLETRANSLATE(C313,""ja"",""vi"")"),"Đấu giá&gt; thiết bị điện tử tiêu dùng, AV, camera&gt; điện thoại di động, điện thoại thông minh&gt; pin, sạc&gt; sạc USB")</f>
        <v>Đấu giá&gt; thiết bị điện tử tiêu dùng, AV, camera&gt; điện thoại di động, điện thoại thông minh&gt; pin, sạc&gt; sạc USB</v>
      </c>
      <c r="F313" t="str">
        <f t="shared" ca="1" si="4"/>
        <v>"2084239197" : "sạc USB",</v>
      </c>
    </row>
    <row r="314" spans="1:6" ht="15.75" customHeight="1">
      <c r="A314" s="14">
        <v>2084239198</v>
      </c>
      <c r="B314" s="14" t="s">
        <v>3656</v>
      </c>
      <c r="C314" s="14" t="s">
        <v>3657</v>
      </c>
      <c r="D314" s="5" t="str">
        <f ca="1">IFERROR(__xludf.DUMMYFUNCTION("GOOGLETRANSLATE(B314,""ja"",""vi"")"),"sạc xì gà ổ cắm")</f>
        <v>sạc xì gà ổ cắm</v>
      </c>
      <c r="E314" s="4" t="str">
        <f ca="1">IFERROR(__xludf.DUMMYFUNCTION("GOOGLETRANSLATE(C314,""ja"",""vi"")"),"Đấu giá&gt; thiết bị điện tử tiêu dùng, AV, camera&gt; điện thoại di động, điện thoại thông minh&gt; pin, sạc&gt; xì gà ổ cắm sạc")</f>
        <v>Đấu giá&gt; thiết bị điện tử tiêu dùng, AV, camera&gt; điện thoại di động, điện thoại thông minh&gt; pin, sạc&gt; xì gà ổ cắm sạc</v>
      </c>
      <c r="F314" t="str">
        <f t="shared" ca="1" si="4"/>
        <v>"2084239198" : "sạc xì gà ổ cắm",</v>
      </c>
    </row>
    <row r="315" spans="1:6" ht="15.75" customHeight="1">
      <c r="A315" s="14">
        <v>2084239199</v>
      </c>
      <c r="B315" s="14" t="s">
        <v>3661</v>
      </c>
      <c r="C315" s="14" t="s">
        <v>3663</v>
      </c>
      <c r="D315" s="5" t="str">
        <f ca="1">IFERROR(__xludf.DUMMYFUNCTION("GOOGLETRANSLATE(B315,""ja"",""vi"")"),"sạc năng lượng mặt trời")</f>
        <v>sạc năng lượng mặt trời</v>
      </c>
      <c r="E315" s="4" t="str">
        <f ca="1">IFERROR(__xludf.DUMMYFUNCTION("GOOGLETRANSLATE(C315,""ja"",""vi"")"),"Đấu giá&gt; thiết bị điện tử tiêu dùng, AV, camera&gt; điện thoại di động, điện thoại thông minh&gt; pin, sạc&gt; bộ sạc năng lượng mặt trời")</f>
        <v>Đấu giá&gt; thiết bị điện tử tiêu dùng, AV, camera&gt; điện thoại di động, điện thoại thông minh&gt; pin, sạc&gt; bộ sạc năng lượng mặt trời</v>
      </c>
      <c r="F315" t="str">
        <f t="shared" ca="1" si="4"/>
        <v>"2084239199" : "sạc năng lượng mặt trời",</v>
      </c>
    </row>
    <row r="316" spans="1:6" ht="15.75" customHeight="1">
      <c r="A316" s="14">
        <v>2084239194</v>
      </c>
      <c r="B316" s="14" t="s">
        <v>3666</v>
      </c>
      <c r="C316" s="14" t="s">
        <v>3668</v>
      </c>
      <c r="D316" s="5" t="str">
        <f ca="1">IFERROR(__xludf.DUMMYFUNCTION("GOOGLETRANSLATE(B316,""ja"",""vi"")"),"pin")</f>
        <v>pin</v>
      </c>
      <c r="E316" s="4" t="str">
        <f ca="1">IFERROR(__xludf.DUMMYFUNCTION("GOOGLETRANSLATE(C316,""ja"",""vi"")"),"Đấu giá&gt; thiết bị điện tử tiêu dùng, AV, camera&gt; điện thoại di động, điện thoại thông minh&gt; pin, sạc&gt; pin")</f>
        <v>Đấu giá&gt; thiết bị điện tử tiêu dùng, AV, camera&gt; điện thoại di động, điện thoại thông minh&gt; pin, sạc&gt; pin</v>
      </c>
      <c r="F316" t="str">
        <f t="shared" ca="1" si="4"/>
        <v>"2084239194" : "pin",</v>
      </c>
    </row>
    <row r="317" spans="1:6" ht="15.75" customHeight="1">
      <c r="A317" s="14">
        <v>2084239196</v>
      </c>
      <c r="B317" s="14" t="s">
        <v>3673</v>
      </c>
      <c r="C317" s="14" t="s">
        <v>3675</v>
      </c>
      <c r="D317" s="5" t="str">
        <f ca="1">IFERROR(__xludf.DUMMYFUNCTION("GOOGLETRANSLATE(B317,""ja"",""vi"")"),"bộ sạc pin")</f>
        <v>bộ sạc pin</v>
      </c>
      <c r="E317" s="4" t="str">
        <f ca="1">IFERROR(__xludf.DUMMYFUNCTION("GOOGLETRANSLATE(C317,""ja"",""vi"")"),"Đấu giá&gt; thiết bị điện tử tiêu dùng, AV, camera&gt; điện thoại di động, điện thoại thông minh&gt; pin, sạc&gt; bộ sạc pin")</f>
        <v>Đấu giá&gt; thiết bị điện tử tiêu dùng, AV, camera&gt; điện thoại di động, điện thoại thông minh&gt; pin, sạc&gt; bộ sạc pin</v>
      </c>
      <c r="F317" t="str">
        <f t="shared" ca="1" si="4"/>
        <v>"2084239196" : "bộ sạc pin",</v>
      </c>
    </row>
    <row r="318" spans="1:6" ht="15.75" customHeight="1">
      <c r="A318" s="14">
        <v>2084239200</v>
      </c>
      <c r="B318" s="14" t="s">
        <v>46</v>
      </c>
      <c r="C318" s="14" t="s">
        <v>3681</v>
      </c>
      <c r="D318" s="5" t="str">
        <f ca="1">IFERROR(__xludf.DUMMYFUNCTION("GOOGLETRANSLATE(B318,""ja"",""vi"")"),"nếu không thì")</f>
        <v>nếu không thì</v>
      </c>
      <c r="E318" s="4" t="str">
        <f ca="1">IFERROR(__xludf.DUMMYFUNCTION("GOOGLETRANSLATE(C318,""ja"",""vi"")"),"Đấu giá&gt; thiết bị điện tử tiêu dùng, AV, camera&gt; điện thoại di động, điện thoại thông minh&gt; pin, sạc&gt; Khác")</f>
        <v>Đấu giá&gt; thiết bị điện tử tiêu dùng, AV, camera&gt; điện thoại di động, điện thoại thông minh&gt; pin, sạc&gt; Khác</v>
      </c>
      <c r="F318" t="str">
        <f t="shared" ca="1" si="4"/>
        <v>"2084239200" : "nếu không thì",</v>
      </c>
    </row>
    <row r="319" spans="1:6" ht="15.75" customHeight="1">
      <c r="A319" s="14">
        <v>2084005064</v>
      </c>
      <c r="B319" s="14" t="s">
        <v>3685</v>
      </c>
      <c r="C319" s="14" t="s">
        <v>3687</v>
      </c>
      <c r="D319" s="5" t="str">
        <f ca="1">IFERROR(__xludf.DUMMYFUNCTION("GOOGLETRANSLATE(B319,""ja"",""vi"")"),"dây đeo")</f>
        <v>dây đeo</v>
      </c>
      <c r="E319" s="4" t="str">
        <f ca="1">IFERROR(__xludf.DUMMYFUNCTION("GOOGLETRANSLATE(C319,""ja"",""vi"")"),"Đấu giá&gt; thiết bị điện tử tiêu dùng, AV, camera&gt; điện thoại di động, điện thoại thông minh&gt; phụ kiện&gt; dây đeo")</f>
        <v>Đấu giá&gt; thiết bị điện tử tiêu dùng, AV, camera&gt; điện thoại di động, điện thoại thông minh&gt; phụ kiện&gt; dây đeo</v>
      </c>
      <c r="F319" t="str">
        <f t="shared" ca="1" si="4"/>
        <v>"2084005064" : "dây đeo",</v>
      </c>
    </row>
    <row r="320" spans="1:6" ht="15.75" customHeight="1">
      <c r="A320" s="14">
        <v>2084008418</v>
      </c>
      <c r="B320" s="14" t="s">
        <v>3690</v>
      </c>
      <c r="C320" s="14" t="s">
        <v>3692</v>
      </c>
      <c r="D320" s="5" t="str">
        <f ca="1">IFERROR(__xludf.DUMMYFUNCTION("GOOGLETRANSLATE(B320,""ja"",""vi"")"),"trường hợp")</f>
        <v>trường hợp</v>
      </c>
      <c r="E320" s="4" t="str">
        <f ca="1">IFERROR(__xludf.DUMMYFUNCTION("GOOGLETRANSLATE(C320,""ja"",""vi"")"),"Đấu giá&gt; thiết bị điện tử tiêu dùng, AV, camera&gt; điện thoại di động, điện thoại thông minh&gt; Accessories&gt; Các trường hợp")</f>
        <v>Đấu giá&gt; thiết bị điện tử tiêu dùng, AV, camera&gt; điện thoại di động, điện thoại thông minh&gt; Accessories&gt; Các trường hợp</v>
      </c>
      <c r="F320" t="str">
        <f t="shared" ca="1" si="4"/>
        <v>"2084008418" : "trường hợp",</v>
      </c>
    </row>
    <row r="321" spans="1:6" ht="15.75" customHeight="1">
      <c r="A321" s="14">
        <v>2084263726</v>
      </c>
      <c r="B321" s="14" t="s">
        <v>3697</v>
      </c>
      <c r="C321" s="14" t="s">
        <v>3699</v>
      </c>
      <c r="D321" s="5" t="str">
        <f ca="1">IFERROR(__xludf.DUMMYFUNCTION("GOOGLETRANSLATE(B321,""ja"",""vi"")"),"Trường hợp cho iPhone")</f>
        <v>Trường hợp cho iPhone</v>
      </c>
      <c r="E321" s="4" t="str">
        <f ca="1">IFERROR(__xludf.DUMMYFUNCTION("GOOGLETRANSLATE(C321,""ja"",""vi"")"),"Đấu giá&gt; thiết bị điện tử tiêu dùng, AV, camera&gt; điện thoại di động, điện thoại thông minh&gt; Accessories&gt; Case cho iPhone")</f>
        <v>Đấu giá&gt; thiết bị điện tử tiêu dùng, AV, camera&gt; điện thoại di động, điện thoại thông minh&gt; Accessories&gt; Case cho iPhone</v>
      </c>
      <c r="F321" t="str">
        <f t="shared" ca="1" si="4"/>
        <v>"2084263726" : "Trường hợp cho iPhone",</v>
      </c>
    </row>
    <row r="322" spans="1:6" ht="15.75" customHeight="1">
      <c r="A322" s="14">
        <v>2084051923</v>
      </c>
      <c r="B322" s="14" t="s">
        <v>1794</v>
      </c>
      <c r="C322" s="14" t="s">
        <v>3704</v>
      </c>
      <c r="D322" s="5" t="str">
        <f ca="1">IFERROR(__xludf.DUMMYFUNCTION("GOOGLETRANSLATE(B322,""ja"",""vi"")"),"Áo khoác cho tùy chỉnh")</f>
        <v>Áo khoác cho tùy chỉnh</v>
      </c>
      <c r="E322" s="4" t="str">
        <f ca="1">IFERROR(__xludf.DUMMYFUNCTION("GOOGLETRANSLATE(C322,""ja"",""vi"")"),"Đấu giá&gt; thiết bị điện tử tiêu dùng, AV, camera&gt; điện thoại di động, điện thoại thông minh&gt; Accessories&gt; Áo khoác tùy chỉnh")</f>
        <v>Đấu giá&gt; thiết bị điện tử tiêu dùng, AV, camera&gt; điện thoại di động, điện thoại thông minh&gt; Accessories&gt; Áo khoác tùy chỉnh</v>
      </c>
      <c r="F322" t="str">
        <f t="shared" ref="F322:F385" ca="1" si="5">CONCATENATE(CHAR(34)&amp;"",A322,""&amp;CHAR(34)," : ", CHAR(34)&amp;"",D322,""&amp;CHAR(34),",")</f>
        <v>"2084051923" : "Áo khoác cho tùy chỉnh",</v>
      </c>
    </row>
    <row r="323" spans="1:6" ht="15.75" customHeight="1">
      <c r="A323" s="14">
        <v>2084005065</v>
      </c>
      <c r="B323" s="14" t="s">
        <v>3708</v>
      </c>
      <c r="C323" s="14" t="s">
        <v>3711</v>
      </c>
      <c r="D323" s="5" t="str">
        <f ca="1">IFERROR(__xludf.DUMMYFUNCTION("GOOGLETRANSLATE(B323,""ja"",""vi"")"),"Rảnh tay kit")</f>
        <v>Rảnh tay kit</v>
      </c>
      <c r="E323" s="4" t="str">
        <f ca="1">IFERROR(__xludf.DUMMYFUNCTION("GOOGLETRANSLATE(C323,""ja"",""vi"")"),"Đấu giá&gt; thiết bị điện tử tiêu dùng, AV, camera&gt; điện thoại di động, điện thoại thông minh&gt; Accessories&gt; bộ rảnh tay")</f>
        <v>Đấu giá&gt; thiết bị điện tử tiêu dùng, AV, camera&gt; điện thoại di động, điện thoại thông minh&gt; Accessories&gt; bộ rảnh tay</v>
      </c>
      <c r="F323" t="str">
        <f t="shared" ca="1" si="5"/>
        <v>"2084005065" : "Rảnh tay kit",</v>
      </c>
    </row>
    <row r="324" spans="1:6" ht="15.75" customHeight="1">
      <c r="A324" s="14">
        <v>2084241464</v>
      </c>
      <c r="B324" s="14" t="s">
        <v>3714</v>
      </c>
      <c r="C324" s="14" t="s">
        <v>3717</v>
      </c>
      <c r="D324" s="5" t="str">
        <f ca="1">IFERROR(__xludf.DUMMYFUNCTION("GOOGLETRANSLATE(B324,""ja"",""vi"")"),"thẻ microSDHC")</f>
        <v>thẻ microSDHC</v>
      </c>
      <c r="E324" s="4" t="str">
        <f ca="1">IFERROR(__xludf.DUMMYFUNCTION("GOOGLETRANSLATE(C324,""ja"",""vi"")"),"Đấu giá&gt; thiết bị điện tử tiêu dùng, AV, camera&gt; điện thoại di động, điện thoại thông minh&gt; Accessories&gt; thẻ microSDHC")</f>
        <v>Đấu giá&gt; thiết bị điện tử tiêu dùng, AV, camera&gt; điện thoại di động, điện thoại thông minh&gt; Accessories&gt; thẻ microSDHC</v>
      </c>
      <c r="F324" t="str">
        <f t="shared" ca="1" si="5"/>
        <v>"2084241464" : "thẻ microSDHC",</v>
      </c>
    </row>
    <row r="325" spans="1:6" ht="15.75" customHeight="1">
      <c r="A325" s="14">
        <v>2084217099</v>
      </c>
      <c r="B325" s="14" t="s">
        <v>3720</v>
      </c>
      <c r="C325" s="14" t="s">
        <v>3721</v>
      </c>
      <c r="D325" s="5" t="str">
        <f ca="1">IFERROR(__xludf.DUMMYFUNCTION("GOOGLETRANSLATE(B325,""ja"",""vi"")"),"thẻ nhớ microSD")</f>
        <v>thẻ nhớ microSD</v>
      </c>
      <c r="E325" s="4" t="str">
        <f ca="1">IFERROR(__xludf.DUMMYFUNCTION("GOOGLETRANSLATE(C325,""ja"",""vi"")"),"Đấu giá&gt; thiết bị điện tử tiêu dùng, AV, camera&gt; điện thoại di động, điện thoại thông minh&gt; Accessories&gt; thẻ nhớ microSD")</f>
        <v>Đấu giá&gt; thiết bị điện tử tiêu dùng, AV, camera&gt; điện thoại di động, điện thoại thông minh&gt; Accessories&gt; thẻ nhớ microSD</v>
      </c>
      <c r="F325" t="str">
        <f t="shared" ca="1" si="5"/>
        <v>"2084217099" : "thẻ nhớ microSD",</v>
      </c>
    </row>
    <row r="326" spans="1:6" ht="15.75" customHeight="1">
      <c r="A326" s="14">
        <v>2084008419</v>
      </c>
      <c r="B326" s="14" t="s">
        <v>2167</v>
      </c>
      <c r="C326" s="14" t="s">
        <v>3727</v>
      </c>
      <c r="D326" s="5" t="str">
        <f ca="1">IFERROR(__xludf.DUMMYFUNCTION("GOOGLETRANSLATE(B326,""ja"",""vi"")"),"Antenna")</f>
        <v>Antenna</v>
      </c>
      <c r="E326" s="4" t="str">
        <f ca="1">IFERROR(__xludf.DUMMYFUNCTION("GOOGLETRANSLATE(C326,""ja"",""vi"")"),"Đấu giá&gt; thiết bị điện tử tiêu dùng, AV, camera&gt; điện thoại di động, điện thoại thông minh&gt; Accessories&gt; ăng ten")</f>
        <v>Đấu giá&gt; thiết bị điện tử tiêu dùng, AV, camera&gt; điện thoại di động, điện thoại thông minh&gt; Accessories&gt; ăng ten</v>
      </c>
      <c r="F326" t="str">
        <f t="shared" ca="1" si="5"/>
        <v>"2084008419" : "Antenna",</v>
      </c>
    </row>
    <row r="327" spans="1:6" ht="15.75" customHeight="1">
      <c r="A327" s="14">
        <v>2084299106</v>
      </c>
      <c r="B327" s="14" t="s">
        <v>3733</v>
      </c>
      <c r="C327" s="14" t="s">
        <v>3734</v>
      </c>
      <c r="D327" s="5" t="str">
        <f ca="1">IFERROR(__xludf.DUMMYFUNCTION("GOOGLETRANSLATE(B327,""ja"",""vi"")"),"phim bảo vệ, có con dấu")</f>
        <v>phim bảo vệ, có con dấu</v>
      </c>
      <c r="E327" s="4" t="str">
        <f ca="1">IFERROR(__xludf.DUMMYFUNCTION("GOOGLETRANSLATE(C327,""ja"",""vi"")"),"Đấu giá&gt; thiết bị điện tử tiêu dùng, AV, camera&gt; điện thoại di động, điện thoại thông minh&gt; phụ kiện&gt; màng bảo vệ, có con dấu")</f>
        <v>Đấu giá&gt; thiết bị điện tử tiêu dùng, AV, camera&gt; điện thoại di động, điện thoại thông minh&gt; phụ kiện&gt; màng bảo vệ, có con dấu</v>
      </c>
      <c r="F327" t="str">
        <f t="shared" ca="1" si="5"/>
        <v>"2084299106" : "phim bảo vệ, có con dấu",</v>
      </c>
    </row>
    <row r="328" spans="1:6" ht="15.75" customHeight="1">
      <c r="A328" s="14">
        <v>2084005062</v>
      </c>
      <c r="B328" s="14" t="s">
        <v>46</v>
      </c>
      <c r="C328" s="14" t="s">
        <v>3737</v>
      </c>
      <c r="D328" s="5" t="str">
        <f ca="1">IFERROR(__xludf.DUMMYFUNCTION("GOOGLETRANSLATE(B328,""ja"",""vi"")"),"nếu không thì")</f>
        <v>nếu không thì</v>
      </c>
      <c r="E328" s="4" t="str">
        <f ca="1">IFERROR(__xludf.DUMMYFUNCTION("GOOGLETRANSLATE(C328,""ja"",""vi"")"),"Đấu giá&gt; thiết bị điện tử tiêu dùng, AV, camera&gt; điện thoại di động, điện thoại thông minh&gt; Accessories&gt; Khác")</f>
        <v>Đấu giá&gt; thiết bị điện tử tiêu dùng, AV, camera&gt; điện thoại di động, điện thoại thông minh&gt; Accessories&gt; Khác</v>
      </c>
      <c r="F328" t="str">
        <f t="shared" ca="1" si="5"/>
        <v>"2084005062" : "nếu không thì",</v>
      </c>
    </row>
    <row r="329" spans="1:6" ht="15.75" customHeight="1">
      <c r="A329" s="14">
        <v>2084257082</v>
      </c>
      <c r="B329" s="14" t="s">
        <v>3740</v>
      </c>
      <c r="C329" s="14" t="s">
        <v>3742</v>
      </c>
      <c r="D329" s="5" t="str">
        <f ca="1">IFERROR(__xludf.DUMMYFUNCTION("GOOGLETRANSLATE(B329,""ja"",""vi"")"),"táo")</f>
        <v>táo</v>
      </c>
      <c r="E329" s="4" t="str">
        <f ca="1">IFERROR(__xludf.DUMMYFUNCTION("GOOGLETRANSLATE(C329,""ja"",""vi"")"),"Đấu giá&gt; máy tính&gt; máy tính bảng&gt; của Apple")</f>
        <v>Đấu giá&gt; máy tính&gt; máy tính bảng&gt; của Apple</v>
      </c>
      <c r="F329" t="str">
        <f t="shared" ca="1" si="5"/>
        <v>"2084257082" : "táo",</v>
      </c>
    </row>
    <row r="330" spans="1:6" ht="15.75" customHeight="1">
      <c r="A330" s="14">
        <v>2084292087</v>
      </c>
      <c r="B330" s="14" t="s">
        <v>3744</v>
      </c>
      <c r="C330" s="14" t="s">
        <v>3745</v>
      </c>
      <c r="D330" s="5" t="str">
        <f ca="1">IFERROR(__xludf.DUMMYFUNCTION("GOOGLETRANSLATE(B330,""ja"",""vi"")"),"Android")</f>
        <v>Android</v>
      </c>
      <c r="E330" s="4" t="str">
        <f ca="1">IFERROR(__xludf.DUMMYFUNCTION("GOOGLETRANSLATE(C330,""ja"",""vi"")"),"Đấu giá&gt; máy tính&gt; máy tính bảng&gt; Android")</f>
        <v>Đấu giá&gt; máy tính&gt; máy tính bảng&gt; Android</v>
      </c>
      <c r="F330" t="str">
        <f t="shared" ca="1" si="5"/>
        <v>"2084292087" : "Android",</v>
      </c>
    </row>
    <row r="331" spans="1:6" ht="15.75" customHeight="1">
      <c r="A331" s="14">
        <v>2084239342</v>
      </c>
      <c r="B331" s="14" t="s">
        <v>3748</v>
      </c>
      <c r="C331" s="14" t="s">
        <v>3749</v>
      </c>
      <c r="D331" s="5" t="str">
        <f ca="1">IFERROR(__xludf.DUMMYFUNCTION("GOOGLETRANSLATE(B331,""ja"",""vi"")"),"cửa sổ")</f>
        <v>cửa sổ</v>
      </c>
      <c r="E331" s="4" t="str">
        <f ca="1">IFERROR(__xludf.DUMMYFUNCTION("GOOGLETRANSLATE(C331,""ja"",""vi"")"),"Đấu giá&gt; máy tính&gt; máy tính bảng&gt; của Windows")</f>
        <v>Đấu giá&gt; máy tính&gt; máy tính bảng&gt; của Windows</v>
      </c>
      <c r="F331" t="str">
        <f t="shared" ca="1" si="5"/>
        <v>"2084239342" : "cửa sổ",</v>
      </c>
    </row>
    <row r="332" spans="1:6" ht="15.75" customHeight="1">
      <c r="A332" s="14">
        <v>2084288672</v>
      </c>
      <c r="B332" s="14" t="s">
        <v>3753</v>
      </c>
      <c r="C332" s="14" t="s">
        <v>3754</v>
      </c>
      <c r="D332" s="5" t="str">
        <f ca="1">IFERROR(__xludf.DUMMYFUNCTION("GOOGLETRANSLATE(B332,""ja"",""vi"")"),"E-book reader")</f>
        <v>E-book reader</v>
      </c>
      <c r="E332" s="4" t="str">
        <f ca="1">IFERROR(__xludf.DUMMYFUNCTION("GOOGLETRANSLATE(C332,""ja"",""vi"")"),"Đấu giá&gt; máy tính&gt; máy tính bảng&gt; e-book reader")</f>
        <v>Đấu giá&gt; máy tính&gt; máy tính bảng&gt; e-book reader</v>
      </c>
      <c r="F332" t="str">
        <f t="shared" ca="1" si="5"/>
        <v>"2084288672" : "E-book reader",</v>
      </c>
    </row>
    <row r="333" spans="1:6" ht="15.75" customHeight="1">
      <c r="A333" s="14">
        <v>2084219566</v>
      </c>
      <c r="B333" s="14" t="s">
        <v>2590</v>
      </c>
      <c r="C333" s="14" t="s">
        <v>2593</v>
      </c>
      <c r="D333" s="5" t="str">
        <f ca="1">IFERROR(__xludf.DUMMYFUNCTION("GOOGLETRANSLATE(B333,""ja"",""vi"")"),"Tai nghe")</f>
        <v>Tai nghe</v>
      </c>
      <c r="E333" s="4" t="str">
        <f ca="1">IFERROR(__xludf.DUMMYFUNCTION("GOOGLETRANSLATE(C333,""ja"",""vi"")"),"Đấu giá&gt; thiết bị điện tử tiêu dùng, AV, máy ảnh&gt; Thiết bị âm thanh&gt; tai nghe, tai nghe&gt; tai nghe")</f>
        <v>Đấu giá&gt; thiết bị điện tử tiêu dùng, AV, máy ảnh&gt; Thiết bị âm thanh&gt; tai nghe, tai nghe&gt; tai nghe</v>
      </c>
      <c r="F333" t="str">
        <f t="shared" ca="1" si="5"/>
        <v>"2084219566" : "Tai nghe",</v>
      </c>
    </row>
    <row r="334" spans="1:6" ht="15.75" customHeight="1">
      <c r="A334" s="14">
        <v>2084219565</v>
      </c>
      <c r="B334" s="14" t="s">
        <v>2597</v>
      </c>
      <c r="C334" s="14" t="s">
        <v>2599</v>
      </c>
      <c r="D334" s="5" t="str">
        <f ca="1">IFERROR(__xludf.DUMMYFUNCTION("GOOGLETRANSLATE(B334,""ja"",""vi"")"),"Tai nghe")</f>
        <v>Tai nghe</v>
      </c>
      <c r="E334" s="4" t="str">
        <f ca="1">IFERROR(__xludf.DUMMYFUNCTION("GOOGLETRANSLATE(C334,""ja"",""vi"")"),"Đấu giá&gt; thiết bị điện tử tiêu dùng, AV, máy ảnh&gt; Thiết bị âm thanh&gt; tai nghe, tai nghe&gt; tai nghe")</f>
        <v>Đấu giá&gt; thiết bị điện tử tiêu dùng, AV, máy ảnh&gt; Thiết bị âm thanh&gt; tai nghe, tai nghe&gt; tai nghe</v>
      </c>
      <c r="F334" t="str">
        <f t="shared" ca="1" si="5"/>
        <v>"2084219565" : "Tai nghe",</v>
      </c>
    </row>
    <row r="335" spans="1:6" ht="15.75" customHeight="1">
      <c r="A335" s="14">
        <v>2084244084</v>
      </c>
      <c r="B335" s="14" t="s">
        <v>2602</v>
      </c>
      <c r="C335" s="14" t="s">
        <v>2604</v>
      </c>
      <c r="D335" s="5" t="str">
        <f ca="1">IFERROR(__xludf.DUMMYFUNCTION("GOOGLETRANSLATE(B335,""ja"",""vi"")"),"headphone Amplifier")</f>
        <v>headphone Amplifier</v>
      </c>
      <c r="E335" s="4" t="str">
        <f ca="1">IFERROR(__xludf.DUMMYFUNCTION("GOOGLETRANSLATE(C335,""ja"",""vi"")"),"Đấu giá&gt; thiết bị điện tử tiêu dùng, AV, máy ảnh&gt; Thiết bị âm thanh&gt; tai nghe, tai nghe&gt; tai nghe khuếch đại")</f>
        <v>Đấu giá&gt; thiết bị điện tử tiêu dùng, AV, máy ảnh&gt; Thiết bị âm thanh&gt; tai nghe, tai nghe&gt; tai nghe khuếch đại</v>
      </c>
      <c r="F335" t="str">
        <f t="shared" ca="1" si="5"/>
        <v>"2084244084" : "headphone Amplifier",</v>
      </c>
    </row>
    <row r="336" spans="1:6" ht="15.75" customHeight="1">
      <c r="A336" s="14">
        <v>2084224019</v>
      </c>
      <c r="B336" s="14" t="s">
        <v>3766</v>
      </c>
      <c r="C336" s="14" t="s">
        <v>3767</v>
      </c>
      <c r="D336" s="5" t="str">
        <f ca="1">IFERROR(__xludf.DUMMYFUNCTION("GOOGLETRANSLATE(B336,""ja"",""vi"")"),"Máy pha cà phê chung")</f>
        <v>Máy pha cà phê chung</v>
      </c>
      <c r="E336" s="4" t="str">
        <f ca="1">IFERROR(__xludf.DUMMYFUNCTION("GOOGLETRANSLATE(C336,""ja"",""vi"")"),"Đấu giá&gt; thiết bị điện tử tiêu dùng, AV, camera&gt; bếp, bàn ăn&gt; Máy pha cà phê&gt; chung máy pha cà phê")</f>
        <v>Đấu giá&gt; thiết bị điện tử tiêu dùng, AV, camera&gt; bếp, bàn ăn&gt; Máy pha cà phê&gt; chung máy pha cà phê</v>
      </c>
      <c r="F336" t="str">
        <f t="shared" ca="1" si="5"/>
        <v>"2084224019" : "Máy pha cà phê chung",</v>
      </c>
    </row>
    <row r="337" spans="1:6" ht="15.75" customHeight="1">
      <c r="A337" s="14">
        <v>2084224020</v>
      </c>
      <c r="B337" s="14" t="s">
        <v>3768</v>
      </c>
      <c r="C337" s="14" t="s">
        <v>3770</v>
      </c>
      <c r="D337" s="5" t="str">
        <f ca="1">IFERROR(__xludf.DUMMYFUNCTION("GOOGLETRANSLATE(B337,""ja"",""vi"")"),"máy pha cà phê espresso")</f>
        <v>máy pha cà phê espresso</v>
      </c>
      <c r="E337" s="4" t="str">
        <f ca="1">IFERROR(__xludf.DUMMYFUNCTION("GOOGLETRANSLATE(C337,""ja"",""vi"")"),"Đấu giá&gt; thiết bị điện tử tiêu dùng, AV, camera&gt; bếp, bàn ăn&gt; Máy pha cà phê&gt; espresso máy")</f>
        <v>Đấu giá&gt; thiết bị điện tử tiêu dùng, AV, camera&gt; bếp, bàn ăn&gt; Máy pha cà phê&gt; espresso máy</v>
      </c>
      <c r="F337" t="str">
        <f t="shared" ca="1" si="5"/>
        <v>"2084224020" : "máy pha cà phê espresso",</v>
      </c>
    </row>
    <row r="338" spans="1:6" ht="15.75" customHeight="1">
      <c r="A338" s="14">
        <v>2084054098</v>
      </c>
      <c r="B338" s="14" t="s">
        <v>3772</v>
      </c>
      <c r="C338" s="14" t="s">
        <v>3773</v>
      </c>
      <c r="D338" s="5" t="str">
        <f ca="1">IFERROR(__xludf.DUMMYFUNCTION("GOOGLETRANSLATE(B338,""ja"",""vi"")"),"cối xay cà phê bằng tay")</f>
        <v>cối xay cà phê bằng tay</v>
      </c>
      <c r="E338" s="4" t="str">
        <f ca="1">IFERROR(__xludf.DUMMYFUNCTION("GOOGLETRANSLATE(C338,""ja"",""vi"")"),"Đấu giá&gt; thiết bị điện tử tiêu dùng, AV, camera&gt; bếp, bàn ăn&gt; Máy pha cà phê&gt; nhãn hiệu cối xay cà phê")</f>
        <v>Đấu giá&gt; thiết bị điện tử tiêu dùng, AV, camera&gt; bếp, bàn ăn&gt; Máy pha cà phê&gt; nhãn hiệu cối xay cà phê</v>
      </c>
      <c r="F338" t="str">
        <f t="shared" ca="1" si="5"/>
        <v>"2084054098" : "cối xay cà phê bằng tay",</v>
      </c>
    </row>
    <row r="339" spans="1:6" ht="15.75" customHeight="1">
      <c r="A339" s="14">
        <v>2084054096</v>
      </c>
      <c r="B339" s="14" t="s">
        <v>3775</v>
      </c>
      <c r="C339" s="14" t="s">
        <v>3777</v>
      </c>
      <c r="D339" s="5" t="str">
        <f ca="1">IFERROR(__xludf.DUMMYFUNCTION("GOOGLETRANSLATE(B339,""ja"",""vi"")"),"máy pha cà phê điện")</f>
        <v>máy pha cà phê điện</v>
      </c>
      <c r="E339" s="4" t="str">
        <f ca="1">IFERROR(__xludf.DUMMYFUNCTION("GOOGLETRANSLATE(C339,""ja"",""vi"")"),"Đấu giá&gt; thiết bị điện tử tiêu dùng, AV, camera&gt; bếp, bàn ăn&gt; Máy pha cà phê&gt; cối xay cà phê điện")</f>
        <v>Đấu giá&gt; thiết bị điện tử tiêu dùng, AV, camera&gt; bếp, bàn ăn&gt; Máy pha cà phê&gt; cối xay cà phê điện</v>
      </c>
      <c r="F339" t="str">
        <f t="shared" ca="1" si="5"/>
        <v>"2084054096" : "máy pha cà phê điện",</v>
      </c>
    </row>
    <row r="340" spans="1:6" ht="15.75" customHeight="1">
      <c r="A340" s="14">
        <v>2084224021</v>
      </c>
      <c r="B340" s="14" t="s">
        <v>46</v>
      </c>
      <c r="C340" s="14" t="s">
        <v>3779</v>
      </c>
      <c r="D340" s="5" t="str">
        <f ca="1">IFERROR(__xludf.DUMMYFUNCTION("GOOGLETRANSLATE(B340,""ja"",""vi"")"),"nếu không thì")</f>
        <v>nếu không thì</v>
      </c>
      <c r="E340" s="4" t="str">
        <f ca="1">IFERROR(__xludf.DUMMYFUNCTION("GOOGLETRANSLATE(C340,""ja"",""vi"")"),"Đấu giá&gt; thiết bị điện tử tiêu dùng, AV, camera&gt; bếp, bàn ăn&gt; Máy pha cà phê&gt; Khác")</f>
        <v>Đấu giá&gt; thiết bị điện tử tiêu dùng, AV, camera&gt; bếp, bàn ăn&gt; Máy pha cà phê&gt; Khác</v>
      </c>
      <c r="F340" t="str">
        <f t="shared" ca="1" si="5"/>
        <v>"2084224021" : "nếu không thì",</v>
      </c>
    </row>
    <row r="341" spans="1:6" ht="15.75" customHeight="1">
      <c r="A341" s="14">
        <v>2084224017</v>
      </c>
      <c r="B341" s="14" t="s">
        <v>3783</v>
      </c>
      <c r="C341" s="14" t="s">
        <v>3784</v>
      </c>
      <c r="D341" s="5" t="str">
        <f ca="1">IFERROR(__xludf.DUMMYFUNCTION("GOOGLETRANSLATE(B341,""ja"",""vi"")"),"Máy ép trái cây")</f>
        <v>Máy ép trái cây</v>
      </c>
      <c r="E341" s="4" t="str">
        <f ca="1">IFERROR(__xludf.DUMMYFUNCTION("GOOGLETRANSLATE(C341,""ja"",""vi"")"),"Đấu giá&gt; thiết bị điện tử tiêu dùng, AV, camera&gt; bếp, bàn ăn&gt; máy ép trái cây, máy trộn&gt; máy ép trái cây")</f>
        <v>Đấu giá&gt; thiết bị điện tử tiêu dùng, AV, camera&gt; bếp, bàn ăn&gt; máy ép trái cây, máy trộn&gt; máy ép trái cây</v>
      </c>
      <c r="F341" t="str">
        <f t="shared" ca="1" si="5"/>
        <v>"2084224017" : "Máy ép trái cây",</v>
      </c>
    </row>
    <row r="342" spans="1:6" ht="15.75" customHeight="1">
      <c r="A342" s="14">
        <v>2084224014</v>
      </c>
      <c r="B342" s="14" t="s">
        <v>3786</v>
      </c>
      <c r="C342" s="14" t="s">
        <v>3788</v>
      </c>
      <c r="D342" s="5" t="str">
        <f ca="1">IFERROR(__xludf.DUMMYFUNCTION("GOOGLETRANSLATE(B342,""ja"",""vi"")"),"Máy ép trái cây với máy trộn")</f>
        <v>Máy ép trái cây với máy trộn</v>
      </c>
      <c r="E342" s="4" t="str">
        <f ca="1">IFERROR(__xludf.DUMMYFUNCTION("GOOGLETRANSLATE(C342,""ja"",""vi"")"),"Đấu giá&gt; thiết bị điện tử tiêu dùng, AV, camera&gt; bếp, bàn ăn&gt; máy ép trái cây, máy trộn&gt; máy ép trái cây với máy trộn")</f>
        <v>Đấu giá&gt; thiết bị điện tử tiêu dùng, AV, camera&gt; bếp, bàn ăn&gt; máy ép trái cây, máy trộn&gt; máy ép trái cây với máy trộn</v>
      </c>
      <c r="F342" t="str">
        <f t="shared" ca="1" si="5"/>
        <v>"2084224014" : "Máy ép trái cây với máy trộn",</v>
      </c>
    </row>
    <row r="343" spans="1:6" ht="15.75" customHeight="1">
      <c r="A343" s="14">
        <v>2084224016</v>
      </c>
      <c r="B343" s="14" t="s">
        <v>3791</v>
      </c>
      <c r="C343" s="14" t="s">
        <v>3793</v>
      </c>
      <c r="D343" s="5" t="str">
        <f ca="1">IFERROR(__xludf.DUMMYFUNCTION("GOOGLETRANSLATE(B343,""ja"",""vi"")"),"máy trộn tay")</f>
        <v>máy trộn tay</v>
      </c>
      <c r="E343" s="4" t="str">
        <f ca="1">IFERROR(__xludf.DUMMYFUNCTION("GOOGLETRANSLATE(C343,""ja"",""vi"")"),"Đấu giá&gt; thiết bị điện tử tiêu dùng, AV, camera&gt; bếp, bàn ăn&gt; máy ép trái cây, máy trộn&gt; tay trộn")</f>
        <v>Đấu giá&gt; thiết bị điện tử tiêu dùng, AV, camera&gt; bếp, bàn ăn&gt; máy ép trái cây, máy trộn&gt; tay trộn</v>
      </c>
      <c r="F343" t="str">
        <f t="shared" ca="1" si="5"/>
        <v>"2084224016" : "máy trộn tay",</v>
      </c>
    </row>
    <row r="344" spans="1:6" ht="15.75" customHeight="1">
      <c r="A344" s="14">
        <v>2084224013</v>
      </c>
      <c r="B344" s="14" t="s">
        <v>3795</v>
      </c>
      <c r="C344" s="14" t="s">
        <v>3796</v>
      </c>
      <c r="D344" s="5" t="str">
        <f ca="1">IFERROR(__xludf.DUMMYFUNCTION("GOOGLETRANSLATE(B344,""ja"",""vi"")"),"máy trộn")</f>
        <v>máy trộn</v>
      </c>
      <c r="E344" s="4" t="str">
        <f ca="1">IFERROR(__xludf.DUMMYFUNCTION("GOOGLETRANSLATE(C344,""ja"",""vi"")"),"Đấu giá&gt; thiết bị điện tử tiêu dùng, AV, camera&gt; bếp, bàn ăn&gt; máy ép trái cây, máy trộn&gt; máy trộn")</f>
        <v>Đấu giá&gt; thiết bị điện tử tiêu dùng, AV, camera&gt; bếp, bàn ăn&gt; máy ép trái cây, máy trộn&gt; máy trộn</v>
      </c>
      <c r="F344" t="str">
        <f t="shared" ca="1" si="5"/>
        <v>"2084224013" : "máy trộn",</v>
      </c>
    </row>
    <row r="345" spans="1:6" ht="15.75" customHeight="1">
      <c r="A345" s="14">
        <v>2084224015</v>
      </c>
      <c r="B345" s="14" t="s">
        <v>3800</v>
      </c>
      <c r="C345" s="14" t="s">
        <v>3802</v>
      </c>
      <c r="D345" s="5" t="str">
        <f ca="1">IFERROR(__xludf.DUMMYFUNCTION("GOOGLETRANSLATE(B345,""ja"",""vi"")"),"Mill với máy trộn")</f>
        <v>Mill với máy trộn</v>
      </c>
      <c r="E345" s="4" t="str">
        <f ca="1">IFERROR(__xludf.DUMMYFUNCTION("GOOGLETRANSLATE(C345,""ja"",""vi"")"),"Đấu giá&gt; thiết bị điện tử tiêu dùng, AV, camera&gt; nhà bếp, ăn uống table&gt; máy ép trái cây, máy trộn&gt; nhà máy với máy trộn")</f>
        <v>Đấu giá&gt; thiết bị điện tử tiêu dùng, AV, camera&gt; nhà bếp, ăn uống table&gt; máy ép trái cây, máy trộn&gt; nhà máy với máy trộn</v>
      </c>
      <c r="F345" t="str">
        <f t="shared" ca="1" si="5"/>
        <v>"2084224015" : "Mill với máy trộn",</v>
      </c>
    </row>
    <row r="346" spans="1:6" ht="15.75" customHeight="1">
      <c r="A346" s="14">
        <v>2084224018</v>
      </c>
      <c r="B346" s="14" t="s">
        <v>46</v>
      </c>
      <c r="C346" s="14" t="s">
        <v>3806</v>
      </c>
      <c r="D346" s="5" t="str">
        <f ca="1">IFERROR(__xludf.DUMMYFUNCTION("GOOGLETRANSLATE(B346,""ja"",""vi"")"),"nếu không thì")</f>
        <v>nếu không thì</v>
      </c>
      <c r="E346" s="4" t="str">
        <f ca="1">IFERROR(__xludf.DUMMYFUNCTION("GOOGLETRANSLATE(C346,""ja"",""vi"")"),"Đấu giá&gt; thiết bị điện tử tiêu dùng, AV, camera&gt; bếp, bàn ăn&gt; máy ép trái cây, máy trộn&gt; Khác")</f>
        <v>Đấu giá&gt; thiết bị điện tử tiêu dùng, AV, camera&gt; bếp, bàn ăn&gt; máy ép trái cây, máy trộn&gt; Khác</v>
      </c>
      <c r="F346" t="str">
        <f t="shared" ca="1" si="5"/>
        <v>"2084224018" : "nếu không thì",</v>
      </c>
    </row>
    <row r="347" spans="1:6" ht="15.75" customHeight="1">
      <c r="A347" s="14">
        <v>2084239059</v>
      </c>
      <c r="B347" s="14" t="s">
        <v>3811</v>
      </c>
      <c r="C347" s="14" t="s">
        <v>3812</v>
      </c>
      <c r="D347" s="5" t="str">
        <f ca="1">IFERROR(__xludf.DUMMYFUNCTION("GOOGLETRANSLATE(B347,""ja"",""vi"")"),"thiết bị takoyaki")</f>
        <v>thiết bị takoyaki</v>
      </c>
      <c r="E347" s="4" t="str">
        <f ca="1">IFERROR(__xludf.DUMMYFUNCTION("GOOGLETRANSLATE(C347,""ja"",""vi"")"),"Đấu giá&gt; thiết bị điện tử tiêu dùng, AV, camera&gt; bếp, bàn ăn&gt; tấm nóng, nướng chảo&gt; Thiết bị takoyaki")</f>
        <v>Đấu giá&gt; thiết bị điện tử tiêu dùng, AV, camera&gt; bếp, bàn ăn&gt; tấm nóng, nướng chảo&gt; Thiết bị takoyaki</v>
      </c>
      <c r="F347" t="str">
        <f t="shared" ca="1" si="5"/>
        <v>"2084239059" : "thiết bị takoyaki",</v>
      </c>
    </row>
    <row r="348" spans="1:6" ht="15.75" customHeight="1">
      <c r="A348" s="14">
        <v>2084239058</v>
      </c>
      <c r="B348" s="14" t="s">
        <v>3817</v>
      </c>
      <c r="C348" s="14" t="s">
        <v>3818</v>
      </c>
      <c r="D348" s="5" t="str">
        <f ca="1">IFERROR(__xludf.DUMMYFUNCTION("GOOGLETRANSLATE(B348,""ja"",""vi"")"),"Grill chảo, chảo")</f>
        <v>Grill chảo, chảo</v>
      </c>
      <c r="E348" s="4" t="str">
        <f ca="1">IFERROR(__xludf.DUMMYFUNCTION("GOOGLETRANSLATE(C348,""ja"",""vi"")"),"Đấu giá&gt; thiết bị điện tử tiêu dùng, AV, camera&gt; bếp, bàn ăn&gt; tấm nóng, nướng chảo&gt; nướng chảo, chảo")</f>
        <v>Đấu giá&gt; thiết bị điện tử tiêu dùng, AV, camera&gt; bếp, bàn ăn&gt; tấm nóng, nướng chảo&gt; nướng chảo, chảo</v>
      </c>
      <c r="F348" t="str">
        <f t="shared" ca="1" si="5"/>
        <v>"2084239058" : "Grill chảo, chảo",</v>
      </c>
    </row>
    <row r="349" spans="1:6" ht="15.75" customHeight="1">
      <c r="A349" s="14">
        <v>2084239060</v>
      </c>
      <c r="B349" s="14" t="s">
        <v>3823</v>
      </c>
      <c r="C349" s="14" t="s">
        <v>3825</v>
      </c>
      <c r="D349" s="5" t="str">
        <f ca="1">IFERROR(__xludf.DUMMYFUNCTION("GOOGLETRANSLATE(B349,""ja"",""vi"")"),"cát maker")</f>
        <v>cát maker</v>
      </c>
      <c r="E349" s="4" t="str">
        <f ca="1">IFERROR(__xludf.DUMMYFUNCTION("GOOGLETRANSLATE(C349,""ja"",""vi"")"),"Đấu giá&gt; thiết bị điện tử tiêu dùng, AV, camera&gt; nhà bếp, ăn uống table&gt; tấm nóng, nướng chảo&gt; Sand Studio")</f>
        <v>Đấu giá&gt; thiết bị điện tử tiêu dùng, AV, camera&gt; nhà bếp, ăn uống table&gt; tấm nóng, nướng chảo&gt; Sand Studio</v>
      </c>
      <c r="F349" t="str">
        <f t="shared" ca="1" si="5"/>
        <v>"2084239060" : "cát maker",</v>
      </c>
    </row>
    <row r="350" spans="1:6" ht="15.75" customHeight="1">
      <c r="A350" s="14">
        <v>2084239057</v>
      </c>
      <c r="B350" s="14" t="s">
        <v>3829</v>
      </c>
      <c r="C350" s="14" t="s">
        <v>3830</v>
      </c>
      <c r="D350" s="5" t="str">
        <f ca="1">IFERROR(__xludf.DUMMYFUNCTION("GOOGLETRANSLATE(B350,""ja"",""vi"")"),"cái vĩ để nướng")</f>
        <v>cái vĩ để nướng</v>
      </c>
      <c r="E350" s="4" t="str">
        <f ca="1">IFERROR(__xludf.DUMMYFUNCTION("GOOGLETRANSLATE(C350,""ja"",""vi"")"),"Đấu giá&gt; thiết bị điện tử tiêu dùng, AV, camera&gt; bếp, bàn ăn&gt; tấm nóng, nướng chảo&gt; tấm nóng")</f>
        <v>Đấu giá&gt; thiết bị điện tử tiêu dùng, AV, camera&gt; bếp, bàn ăn&gt; tấm nóng, nướng chảo&gt; tấm nóng</v>
      </c>
      <c r="F350" t="str">
        <f t="shared" ca="1" si="5"/>
        <v>"2084239057" : "cái vĩ để nướng",</v>
      </c>
    </row>
    <row r="351" spans="1:6" ht="15.75" customHeight="1">
      <c r="A351" s="14">
        <v>2084239061</v>
      </c>
      <c r="B351" s="14" t="s">
        <v>46</v>
      </c>
      <c r="C351" s="14" t="s">
        <v>3834</v>
      </c>
      <c r="D351" s="5" t="str">
        <f ca="1">IFERROR(__xludf.DUMMYFUNCTION("GOOGLETRANSLATE(B351,""ja"",""vi"")"),"nếu không thì")</f>
        <v>nếu không thì</v>
      </c>
      <c r="E351" s="4" t="str">
        <f ca="1">IFERROR(__xludf.DUMMYFUNCTION("GOOGLETRANSLATE(C351,""ja"",""vi"")"),"Đấu giá&gt; thiết bị điện tử tiêu dùng, AV, camera&gt; bếp, bàn ăn&gt; tấm nóng, nướng chảo&gt; Khác")</f>
        <v>Đấu giá&gt; thiết bị điện tử tiêu dùng, AV, camera&gt; bếp, bàn ăn&gt; tấm nóng, nướng chảo&gt; Khác</v>
      </c>
      <c r="F351" t="str">
        <f t="shared" ca="1" si="5"/>
        <v>"2084239061" : "nếu không thì",</v>
      </c>
    </row>
    <row r="352" spans="1:6" ht="15.75" customHeight="1">
      <c r="A352" s="14">
        <v>2084224025</v>
      </c>
      <c r="B352" s="14" t="s">
        <v>3836</v>
      </c>
      <c r="C352" s="14" t="s">
        <v>3838</v>
      </c>
      <c r="D352" s="5" t="str">
        <f ca="1">IFERROR(__xludf.DUMMYFUNCTION("GOOGLETRANSLATE(B352,""ja"",""vi"")"),"IH")</f>
        <v>IH</v>
      </c>
      <c r="E352" s="4" t="str">
        <f ca="1">IFERROR(__xludf.DUMMYFUNCTION("GOOGLETRANSLATE(C352,""ja"",""vi"")"),"Đấu giá&gt; thiết bị điện tử tiêu dùng, AV, camera&gt; bếp, bàn ăn&gt; phạm vi, bếp&gt; IH")</f>
        <v>Đấu giá&gt; thiết bị điện tử tiêu dùng, AV, camera&gt; bếp, bàn ăn&gt; phạm vi, bếp&gt; IH</v>
      </c>
      <c r="F352" t="str">
        <f t="shared" ca="1" si="5"/>
        <v>"2084224025" : "IH",</v>
      </c>
    </row>
    <row r="353" spans="1:6" ht="15.75" customHeight="1">
      <c r="A353" s="14">
        <v>2084239062</v>
      </c>
      <c r="B353" s="14" t="s">
        <v>3841</v>
      </c>
      <c r="C353" s="14" t="s">
        <v>3845</v>
      </c>
      <c r="D353" s="5" t="str">
        <f ca="1">IFERROR(__xludf.DUMMYFUNCTION("GOOGLETRANSLATE(B353,""ja"",""vi"")"),"Cassette bếp, bếp bàn")</f>
        <v>Cassette bếp, bếp bàn</v>
      </c>
      <c r="E353" s="4" t="str">
        <f ca="1">IFERROR(__xludf.DUMMYFUNCTION("GOOGLETRANSLATE(C353,""ja"",""vi"")"),"Đấu giá&gt; thiết bị điện tử tiêu dùng, AV, camera&gt; nhà bếp, ăn uống table&gt; phạm vi, bếp&gt; bếp gas xách tay, bếp bàn")</f>
        <v>Đấu giá&gt; thiết bị điện tử tiêu dùng, AV, camera&gt; nhà bếp, ăn uống table&gt; phạm vi, bếp&gt; bếp gas xách tay, bếp bàn</v>
      </c>
      <c r="F353" t="str">
        <f t="shared" ca="1" si="5"/>
        <v>"2084239062" : "Cassette bếp, bếp bàn",</v>
      </c>
    </row>
    <row r="354" spans="1:6" ht="15.75" customHeight="1">
      <c r="A354" s="14">
        <v>2084224026</v>
      </c>
      <c r="B354" s="14" t="s">
        <v>3847</v>
      </c>
      <c r="C354" s="14" t="s">
        <v>3848</v>
      </c>
      <c r="D354" s="5" t="str">
        <f ca="1">IFERROR(__xludf.DUMMYFUNCTION("GOOGLETRANSLATE(B354,""ja"",""vi"")"),"khí")</f>
        <v>khí</v>
      </c>
      <c r="E354" s="4" t="str">
        <f ca="1">IFERROR(__xludf.DUMMYFUNCTION("GOOGLETRANSLATE(C354,""ja"",""vi"")"),"Đấu giá&gt; thiết bị điện tử tiêu dùng, AV, camera&gt; bếp, bàn ăn&gt; phạm vi, bếp&gt; khí")</f>
        <v>Đấu giá&gt; thiết bị điện tử tiêu dùng, AV, camera&gt; bếp, bàn ăn&gt; phạm vi, bếp&gt; khí</v>
      </c>
      <c r="F354" t="str">
        <f t="shared" ca="1" si="5"/>
        <v>"2084224026" : "khí",</v>
      </c>
    </row>
    <row r="355" spans="1:6" ht="15.75" customHeight="1">
      <c r="A355" s="14">
        <v>2084224027</v>
      </c>
      <c r="B355" s="14" t="s">
        <v>46</v>
      </c>
      <c r="C355" s="14" t="s">
        <v>3853</v>
      </c>
      <c r="D355" s="5" t="str">
        <f ca="1">IFERROR(__xludf.DUMMYFUNCTION("GOOGLETRANSLATE(B355,""ja"",""vi"")"),"nếu không thì")</f>
        <v>nếu không thì</v>
      </c>
      <c r="E355" s="4" t="str">
        <f ca="1">IFERROR(__xludf.DUMMYFUNCTION("GOOGLETRANSLATE(C355,""ja"",""vi"")"),"Đấu giá&gt; thiết bị điện tử tiêu dùng, AV, camera&gt; bếp, bàn ăn&gt; phạm vi, bếp&gt; Khác")</f>
        <v>Đấu giá&gt; thiết bị điện tử tiêu dùng, AV, camera&gt; bếp, bàn ăn&gt; phạm vi, bếp&gt; Khác</v>
      </c>
      <c r="F355" t="str">
        <f t="shared" ca="1" si="5"/>
        <v>"2084224027" : "nếu không thì",</v>
      </c>
    </row>
    <row r="356" spans="1:6" ht="15.75" customHeight="1">
      <c r="A356" s="14">
        <v>2084239843</v>
      </c>
      <c r="B356" s="14" t="s">
        <v>3856</v>
      </c>
      <c r="C356" s="14" t="s">
        <v>3858</v>
      </c>
      <c r="D356" s="5" t="str">
        <f ca="1">IFERROR(__xludf.DUMMYFUNCTION("GOOGLETRANSLATE(B356,""ja"",""vi"")"),"máy rửa chén dĩa")</f>
        <v>máy rửa chén dĩa</v>
      </c>
      <c r="E356" s="4" t="str">
        <f ca="1">IFERROR(__xludf.DUMMYFUNCTION("GOOGLETRANSLATE(C356,""ja"",""vi"")"),"Đấu giá&gt; thiết bị điện tử tiêu dùng, AV, camera&gt; bếp, bàn ăn&gt; máy rửa chén, bộ đồ ăn máy sấy&gt; máy rửa chén")</f>
        <v>Đấu giá&gt; thiết bị điện tử tiêu dùng, AV, camera&gt; bếp, bàn ăn&gt; máy rửa chén, bộ đồ ăn máy sấy&gt; máy rửa chén</v>
      </c>
      <c r="F356" t="str">
        <f t="shared" ca="1" si="5"/>
        <v>"2084239843" : "máy rửa chén dĩa",</v>
      </c>
    </row>
    <row r="357" spans="1:6" ht="15.75" customHeight="1">
      <c r="A357" s="14">
        <v>2084239844</v>
      </c>
      <c r="B357" s="14" t="s">
        <v>3860</v>
      </c>
      <c r="C357" s="14" t="s">
        <v>3862</v>
      </c>
      <c r="D357" s="5" t="str">
        <f ca="1">IFERROR(__xludf.DUMMYFUNCTION("GOOGLETRANSLATE(B357,""ja"",""vi"")"),"máy sấy Dish")</f>
        <v>máy sấy Dish</v>
      </c>
      <c r="E357" s="4" t="str">
        <f ca="1">IFERROR(__xludf.DUMMYFUNCTION("GOOGLETRANSLATE(C357,""ja"",""vi"")"),"Đấu giá&gt; thiết bị điện tử tiêu dùng, AV, camera&gt; bếp, bàn ăn&gt; máy rửa chén, bộ đồ ăn máy sấy&gt; Máy sấy món ăn")</f>
        <v>Đấu giá&gt; thiết bị điện tử tiêu dùng, AV, camera&gt; bếp, bàn ăn&gt; máy rửa chén, bộ đồ ăn máy sấy&gt; Máy sấy món ăn</v>
      </c>
      <c r="F357" t="str">
        <f t="shared" ca="1" si="5"/>
        <v>"2084239844" : "máy sấy Dish",</v>
      </c>
    </row>
    <row r="358" spans="1:6" ht="15.75" customHeight="1">
      <c r="A358" s="14">
        <v>2084239845</v>
      </c>
      <c r="B358" s="14" t="s">
        <v>46</v>
      </c>
      <c r="C358" s="14" t="s">
        <v>3867</v>
      </c>
      <c r="D358" s="5" t="str">
        <f ca="1">IFERROR(__xludf.DUMMYFUNCTION("GOOGLETRANSLATE(B358,""ja"",""vi"")"),"nếu không thì")</f>
        <v>nếu không thì</v>
      </c>
      <c r="E358" s="4" t="str">
        <f ca="1">IFERROR(__xludf.DUMMYFUNCTION("GOOGLETRANSLATE(C358,""ja"",""vi"")"),"Đấu giá&gt; thiết bị điện tử tiêu dùng, AV, camera&gt; bếp, bàn ăn&gt; máy rửa chén, bộ đồ ăn máy sấy&gt; Khác")</f>
        <v>Đấu giá&gt; thiết bị điện tử tiêu dùng, AV, camera&gt; bếp, bàn ăn&gt; máy rửa chén, bộ đồ ăn máy sấy&gt; Khác</v>
      </c>
      <c r="F358" t="str">
        <f t="shared" ca="1" si="5"/>
        <v>"2084239845" : "nếu không thì",</v>
      </c>
    </row>
    <row r="359" spans="1:6" ht="15.75" customHeight="1">
      <c r="A359" s="14">
        <v>2084230993</v>
      </c>
      <c r="B359" s="14" t="s">
        <v>3869</v>
      </c>
      <c r="C359" s="14" t="s">
        <v>3871</v>
      </c>
      <c r="D359" s="5" t="str">
        <f ca="1">IFERROR(__xludf.DUMMYFUNCTION("GOOGLETRANSLATE(B359,""ja"",""vi"")"),"Pressure IH")</f>
        <v>Pressure IH</v>
      </c>
      <c r="E359" s="4" t="str">
        <f ca="1">IFERROR(__xludf.DUMMYFUNCTION("GOOGLETRANSLATE(C359,""ja"",""vi"")"),"Đấu giá&gt; thiết bị điện tử tiêu dùng, AV, camera&gt; bếp, bàn ăn&gt; nồi cơm điện&gt; áp IH")</f>
        <v>Đấu giá&gt; thiết bị điện tử tiêu dùng, AV, camera&gt; bếp, bàn ăn&gt; nồi cơm điện&gt; áp IH</v>
      </c>
      <c r="F359" t="str">
        <f t="shared" ca="1" si="5"/>
        <v>"2084230993" : "Pressure IH",</v>
      </c>
    </row>
    <row r="360" spans="1:6" ht="15.75" customHeight="1">
      <c r="A360" s="14">
        <v>2084230994</v>
      </c>
      <c r="B360" s="14" t="s">
        <v>3836</v>
      </c>
      <c r="C360" s="14" t="s">
        <v>3875</v>
      </c>
      <c r="D360" s="5" t="str">
        <f ca="1">IFERROR(__xludf.DUMMYFUNCTION("GOOGLETRANSLATE(B360,""ja"",""vi"")"),"IH")</f>
        <v>IH</v>
      </c>
      <c r="E360" s="4" t="str">
        <f ca="1">IFERROR(__xludf.DUMMYFUNCTION("GOOGLETRANSLATE(C360,""ja"",""vi"")"),"Đấu giá&gt; thiết bị điện tử tiêu dùng, AV, camera&gt; bếp, bàn ăn&gt; nồi cơm điện&gt; IH")</f>
        <v>Đấu giá&gt; thiết bị điện tử tiêu dùng, AV, camera&gt; bếp, bàn ăn&gt; nồi cơm điện&gt; IH</v>
      </c>
      <c r="F360" t="str">
        <f t="shared" ca="1" si="5"/>
        <v>"2084230994" : "IH",</v>
      </c>
    </row>
    <row r="361" spans="1:6" ht="15.75" customHeight="1">
      <c r="A361" s="14">
        <v>2084230995</v>
      </c>
      <c r="B361" s="14" t="s">
        <v>3878</v>
      </c>
      <c r="C361" s="14" t="s">
        <v>3879</v>
      </c>
      <c r="D361" s="5" t="str">
        <f ca="1">IFERROR(__xludf.DUMMYFUNCTION("GOOGLETRANSLATE(B361,""ja"",""vi"")"),"máy điện toán")</f>
        <v>máy điện toán</v>
      </c>
      <c r="E361" s="4" t="str">
        <f ca="1">IFERROR(__xludf.DUMMYFUNCTION("GOOGLETRANSLATE(C361,""ja"",""vi"")"),"Đấu giá&gt; thiết bị điện tử tiêu dùng, AV, camera&gt; bếp, bàn ăn&gt; nồi cơm điện&gt; máy tính siêu nhỏ")</f>
        <v>Đấu giá&gt; thiết bị điện tử tiêu dùng, AV, camera&gt; bếp, bàn ăn&gt; nồi cơm điện&gt; máy tính siêu nhỏ</v>
      </c>
      <c r="F361" t="str">
        <f t="shared" ca="1" si="5"/>
        <v>"2084230995" : "máy điện toán",</v>
      </c>
    </row>
    <row r="362" spans="1:6" ht="15.75" customHeight="1">
      <c r="A362" s="14">
        <v>2084230996</v>
      </c>
      <c r="B362" s="14" t="s">
        <v>46</v>
      </c>
      <c r="C362" s="14" t="s">
        <v>3882</v>
      </c>
      <c r="D362" s="5" t="str">
        <f ca="1">IFERROR(__xludf.DUMMYFUNCTION("GOOGLETRANSLATE(B362,""ja"",""vi"")"),"nếu không thì")</f>
        <v>nếu không thì</v>
      </c>
      <c r="E362" s="4" t="str">
        <f ca="1">IFERROR(__xludf.DUMMYFUNCTION("GOOGLETRANSLATE(C362,""ja"",""vi"")"),"Đấu giá&gt; thiết bị điện tử tiêu dùng, AV, camera&gt; bếp, bàn ăn&gt; nồi cơm điện&gt; Khác")</f>
        <v>Đấu giá&gt; thiết bị điện tử tiêu dùng, AV, camera&gt; bếp, bàn ăn&gt; nồi cơm điện&gt; Khác</v>
      </c>
      <c r="F362" t="str">
        <f t="shared" ca="1" si="5"/>
        <v>"2084230996" : "nếu không thì",</v>
      </c>
    </row>
    <row r="363" spans="1:6" ht="15.75" customHeight="1">
      <c r="A363" s="14">
        <v>2084224022</v>
      </c>
      <c r="B363" s="14" t="s">
        <v>3885</v>
      </c>
      <c r="C363" s="14" t="s">
        <v>3887</v>
      </c>
      <c r="D363" s="5" t="str">
        <f ca="1">IFERROR(__xludf.DUMMYFUNCTION("GOOGLETRANSLATE(B363,""ja"",""vi"")"),"lò vi sóng chung")</f>
        <v>lò vi sóng chung</v>
      </c>
      <c r="E363" s="4" t="str">
        <f ca="1">IFERROR(__xludf.DUMMYFUNCTION("GOOGLETRANSLATE(C363,""ja"",""vi"")"),"Đấu giá&gt; thiết bị điện tử tiêu dùng, AV, camera&gt; nhà bếp, ăn uống table&gt; lò vi sóng&gt; Lò vi sóng chung")</f>
        <v>Đấu giá&gt; thiết bị điện tử tiêu dùng, AV, camera&gt; nhà bếp, ăn uống table&gt; lò vi sóng&gt; Lò vi sóng chung</v>
      </c>
      <c r="F363" t="str">
        <f t="shared" ca="1" si="5"/>
        <v>"2084224022" : "lò vi sóng chung",</v>
      </c>
    </row>
    <row r="364" spans="1:6" ht="15.75" customHeight="1">
      <c r="A364" s="14">
        <v>2084224024</v>
      </c>
      <c r="B364" s="14" t="s">
        <v>3892</v>
      </c>
      <c r="C364" s="14" t="s">
        <v>3894</v>
      </c>
      <c r="D364" s="5" t="str">
        <f ca="1">IFERROR(__xludf.DUMMYFUNCTION("GOOGLETRANSLATE(B364,""ja"",""vi"")"),"Lò vi sóng")</f>
        <v>Lò vi sóng</v>
      </c>
      <c r="E364" s="4" t="str">
        <f ca="1">IFERROR(__xludf.DUMMYFUNCTION("GOOGLETRANSLATE(C364,""ja"",""vi"")"),"Đấu giá&gt; thiết bị điện tử tiêu dùng, AV, camera&gt; nhà bếp, ăn uống table&gt; lò vi sóng&gt; Lò vi sóng")</f>
        <v>Đấu giá&gt; thiết bị điện tử tiêu dùng, AV, camera&gt; nhà bếp, ăn uống table&gt; lò vi sóng&gt; Lò vi sóng</v>
      </c>
      <c r="F364" t="str">
        <f t="shared" ca="1" si="5"/>
        <v>"2084224024" : "Lò vi sóng",</v>
      </c>
    </row>
    <row r="365" spans="1:6" ht="15.75" customHeight="1">
      <c r="A365" s="14">
        <v>2084224023</v>
      </c>
      <c r="B365" s="14" t="s">
        <v>3897</v>
      </c>
      <c r="C365" s="14" t="s">
        <v>3900</v>
      </c>
      <c r="D365" s="5" t="str">
        <f ca="1">IFERROR(__xludf.DUMMYFUNCTION("GOOGLETRANSLATE(B365,""ja"",""vi"")"),"hơi nước lò")</f>
        <v>hơi nước lò</v>
      </c>
      <c r="E365" s="4" t="str">
        <f ca="1">IFERROR(__xludf.DUMMYFUNCTION("GOOGLETRANSLATE(C365,""ja"",""vi"")"),"Đấu giá&gt; thiết bị điện tử tiêu dùng, AV, camera&gt; nhà bếp, ăn uống table&gt; lò vi sóng&gt; hơi nhiều lò")</f>
        <v>Đấu giá&gt; thiết bị điện tử tiêu dùng, AV, camera&gt; nhà bếp, ăn uống table&gt; lò vi sóng&gt; hơi nhiều lò</v>
      </c>
      <c r="F365" t="str">
        <f t="shared" ca="1" si="5"/>
        <v>"2084224023" : "hơi nước lò",</v>
      </c>
    </row>
    <row r="366" spans="1:6" ht="15.75" customHeight="1">
      <c r="A366" s="14">
        <v>2084219686</v>
      </c>
      <c r="B366" s="14" t="s">
        <v>3906</v>
      </c>
      <c r="C366" s="14" t="s">
        <v>3907</v>
      </c>
      <c r="D366" s="5" t="str">
        <f ca="1">IFERROR(__xludf.DUMMYFUNCTION("GOOGLETRANSLATE(B366,""ja"",""vi"")"),"Ít hơn 100 lít")</f>
        <v>Ít hơn 100 lít</v>
      </c>
      <c r="E366" s="4" t="str">
        <f ca="1">IFERROR(__xludf.DUMMYFUNCTION("GOOGLETRANSLATE(C366,""ja"",""vi"")"),"Đấu giá&gt; thiết bị điện tử tiêu dùng, AV, camera&gt; nhà bếp, ăn uống table&gt; Tủ lạnh&gt; dưới 100 lít")</f>
        <v>Đấu giá&gt; thiết bị điện tử tiêu dùng, AV, camera&gt; nhà bếp, ăn uống table&gt; Tủ lạnh&gt; dưới 100 lít</v>
      </c>
      <c r="F366" t="str">
        <f t="shared" ca="1" si="5"/>
        <v>"2084219686" : "Ít hơn 100 lít",</v>
      </c>
    </row>
    <row r="367" spans="1:6" ht="15.75" customHeight="1">
      <c r="A367" s="14">
        <v>2084219738</v>
      </c>
      <c r="B367" s="14" t="s">
        <v>3912</v>
      </c>
      <c r="C367" s="14" t="s">
        <v>3913</v>
      </c>
      <c r="D367" s="5" t="str">
        <f ca="1">IFERROR(__xludf.DUMMYFUNCTION("GOOGLETRANSLATE(B367,""ja"",""vi"")"),"100 lít ~")</f>
        <v>100 lít ~</v>
      </c>
      <c r="E367" s="4" t="str">
        <f ca="1">IFERROR(__xludf.DUMMYFUNCTION("GOOGLETRANSLATE(C367,""ja"",""vi"")"),"Đấu giá&gt; thiết bị điện tử tiêu dùng, AV, camera&gt; nhà bếp, ăn uống table&gt; Tủ lạnh&gt; 100 lít -")</f>
        <v>Đấu giá&gt; thiết bị điện tử tiêu dùng, AV, camera&gt; nhà bếp, ăn uống table&gt; Tủ lạnh&gt; 100 lít -</v>
      </c>
      <c r="F367" t="str">
        <f t="shared" ca="1" si="5"/>
        <v>"2084219738" : "100 lít ~",</v>
      </c>
    </row>
    <row r="368" spans="1:6" ht="15.75" customHeight="1">
      <c r="A368" s="14">
        <v>2084219802</v>
      </c>
      <c r="B368" s="14" t="s">
        <v>3917</v>
      </c>
      <c r="C368" s="14" t="s">
        <v>3919</v>
      </c>
      <c r="D368" s="5" t="str">
        <f ca="1">IFERROR(__xludf.DUMMYFUNCTION("GOOGLETRANSLATE(B368,""ja"",""vi"")"),"200 lít ~")</f>
        <v>200 lít ~</v>
      </c>
      <c r="E368" s="4" t="str">
        <f ca="1">IFERROR(__xludf.DUMMYFUNCTION("GOOGLETRANSLATE(C368,""ja"",""vi"")"),"Đấu giá&gt; thiết bị điện tử tiêu dùng, AV, camera&gt; nhà bếp, ăn uống table&gt; Tủ lạnh&gt; 200 lít -")</f>
        <v>Đấu giá&gt; thiết bị điện tử tiêu dùng, AV, camera&gt; nhà bếp, ăn uống table&gt; Tủ lạnh&gt; 200 lít -</v>
      </c>
      <c r="F368" t="str">
        <f t="shared" ca="1" si="5"/>
        <v>"2084219802" : "200 lít ~",</v>
      </c>
    </row>
    <row r="369" spans="1:6" ht="15.75" customHeight="1">
      <c r="A369" s="14">
        <v>2084219837</v>
      </c>
      <c r="B369" s="14" t="s">
        <v>3923</v>
      </c>
      <c r="C369" s="14" t="s">
        <v>3924</v>
      </c>
      <c r="D369" s="5" t="str">
        <f ca="1">IFERROR(__xludf.DUMMYFUNCTION("GOOGLETRANSLATE(B369,""ja"",""vi"")"),"300 lít ~")</f>
        <v>300 lít ~</v>
      </c>
      <c r="E369" s="4" t="str">
        <f ca="1">IFERROR(__xludf.DUMMYFUNCTION("GOOGLETRANSLATE(C369,""ja"",""vi"")"),"Đấu giá&gt; thiết bị điện tử tiêu dùng, AV, camera&gt; nhà bếp, ăn uống table&gt; Tủ lạnh&gt; 300 lít -")</f>
        <v>Đấu giá&gt; thiết bị điện tử tiêu dùng, AV, camera&gt; nhà bếp, ăn uống table&gt; Tủ lạnh&gt; 300 lít -</v>
      </c>
      <c r="F369" t="str">
        <f t="shared" ca="1" si="5"/>
        <v>"2084219837" : "300 lít ~",</v>
      </c>
    </row>
    <row r="370" spans="1:6" ht="15.75" customHeight="1">
      <c r="A370" s="14">
        <v>2084219872</v>
      </c>
      <c r="B370" s="14" t="s">
        <v>3927</v>
      </c>
      <c r="C370" s="14" t="s">
        <v>3929</v>
      </c>
      <c r="D370" s="5" t="str">
        <f ca="1">IFERROR(__xludf.DUMMYFUNCTION("GOOGLETRANSLATE(B370,""ja"",""vi"")"),"400 lít ~")</f>
        <v>400 lít ~</v>
      </c>
      <c r="E370" s="4" t="str">
        <f ca="1">IFERROR(__xludf.DUMMYFUNCTION("GOOGLETRANSLATE(C370,""ja"",""vi"")"),"Đấu giá&gt; thiết bị điện tử tiêu dùng, AV, camera&gt; nhà bếp, ăn uống table&gt; Tủ lạnh&gt; 400 lít -")</f>
        <v>Đấu giá&gt; thiết bị điện tử tiêu dùng, AV, camera&gt; nhà bếp, ăn uống table&gt; Tủ lạnh&gt; 400 lít -</v>
      </c>
      <c r="F370" t="str">
        <f t="shared" ca="1" si="5"/>
        <v>"2084219872" : "400 lít ~",</v>
      </c>
    </row>
    <row r="371" spans="1:6" ht="15.75" customHeight="1">
      <c r="A371" s="14">
        <v>2084219904</v>
      </c>
      <c r="B371" s="14" t="s">
        <v>3935</v>
      </c>
      <c r="C371" s="14" t="s">
        <v>3936</v>
      </c>
      <c r="D371" s="5" t="str">
        <f ca="1">IFERROR(__xludf.DUMMYFUNCTION("GOOGLETRANSLATE(B371,""ja"",""vi"")"),"500 lít trở lên")</f>
        <v>500 lít trở lên</v>
      </c>
      <c r="E371" s="4" t="str">
        <f ca="1">IFERROR(__xludf.DUMMYFUNCTION("GOOGLETRANSLATE(C371,""ja"",""vi"")"),"Đấu giá&gt; thiết bị điện tử tiêu dùng, AV, camera&gt; nhà bếp, ăn uống table&gt; Tủ lạnh&gt; 500 lít trở lên")</f>
        <v>Đấu giá&gt; thiết bị điện tử tiêu dùng, AV, camera&gt; nhà bếp, ăn uống table&gt; Tủ lạnh&gt; 500 lít trở lên</v>
      </c>
      <c r="F371" t="str">
        <f t="shared" ca="1" si="5"/>
        <v>"2084219904" : "500 lít trở lên",</v>
      </c>
    </row>
    <row r="372" spans="1:6" ht="15.75" customHeight="1">
      <c r="A372" s="14">
        <v>2084239063</v>
      </c>
      <c r="B372" s="14" t="s">
        <v>2241</v>
      </c>
      <c r="C372" s="14" t="s">
        <v>3941</v>
      </c>
      <c r="D372" s="5" t="str">
        <f ca="1">IFERROR(__xludf.DUMMYFUNCTION("GOOGLETRANSLATE(B372,""ja"",""vi"")"),"chung")</f>
        <v>chung</v>
      </c>
      <c r="E372" s="4" t="str">
        <f ca="1">IFERROR(__xludf.DUMMYFUNCTION("GOOGLETRANSLATE(C372,""ja"",""vi"")"),"Đấu giá&gt; thiết bị điện tử tiêu dùng, AV, máy ảnh&gt; máy giặt, sắt&gt; sắt&gt; chung")</f>
        <v>Đấu giá&gt; thiết bị điện tử tiêu dùng, AV, máy ảnh&gt; máy giặt, sắt&gt; sắt&gt; chung</v>
      </c>
      <c r="F372" t="str">
        <f t="shared" ca="1" si="5"/>
        <v>"2084239063" : "chung",</v>
      </c>
    </row>
    <row r="373" spans="1:6" ht="15.75" customHeight="1">
      <c r="A373" s="14">
        <v>2084239055</v>
      </c>
      <c r="B373" s="14" t="s">
        <v>3943</v>
      </c>
      <c r="C373" s="14" t="s">
        <v>3945</v>
      </c>
      <c r="D373" s="5" t="str">
        <f ca="1">IFERROR(__xludf.DUMMYFUNCTION("GOOGLETRANSLATE(B373,""ja"",""vi"")"),"sắt không dây")</f>
        <v>sắt không dây</v>
      </c>
      <c r="E373" s="4" t="str">
        <f ca="1">IFERROR(__xludf.DUMMYFUNCTION("GOOGLETRANSLATE(C373,""ja"",""vi"")"),"Đấu giá&gt; thiết bị điện tử tiêu dùng, AV, máy ảnh&gt; máy giặt, sắt&gt; sắt&gt; sắt không dây")</f>
        <v>Đấu giá&gt; thiết bị điện tử tiêu dùng, AV, máy ảnh&gt; máy giặt, sắt&gt; sắt&gt; sắt không dây</v>
      </c>
      <c r="F373" t="str">
        <f t="shared" ca="1" si="5"/>
        <v>"2084239055" : "sắt không dây",</v>
      </c>
    </row>
    <row r="374" spans="1:6" ht="15.75" customHeight="1">
      <c r="A374" s="14">
        <v>2084239056</v>
      </c>
      <c r="B374" s="14" t="s">
        <v>3951</v>
      </c>
      <c r="C374" s="14" t="s">
        <v>3953</v>
      </c>
      <c r="D374" s="5" t="str">
        <f ca="1">IFERROR(__xludf.DUMMYFUNCTION("GOOGLETRANSLATE(B374,""ja"",""vi"")"),"Handy sắt")</f>
        <v>Handy sắt</v>
      </c>
      <c r="E374" s="4" t="str">
        <f ca="1">IFERROR(__xludf.DUMMYFUNCTION("GOOGLETRANSLATE(C374,""ja"",""vi"")"),"Đấu giá&gt; thiết bị điện tử tiêu dùng, AV, máy ảnh&gt; máy giặt, sắt&gt; sắt&gt; ủi tiện dụng")</f>
        <v>Đấu giá&gt; thiết bị điện tử tiêu dùng, AV, máy ảnh&gt; máy giặt, sắt&gt; sắt&gt; ủi tiện dụng</v>
      </c>
      <c r="F374" t="str">
        <f t="shared" ca="1" si="5"/>
        <v>"2084239056" : "Handy sắt",</v>
      </c>
    </row>
    <row r="375" spans="1:6" ht="15.75" customHeight="1">
      <c r="A375" s="14">
        <v>2084024441</v>
      </c>
      <c r="B375" s="14" t="s">
        <v>3954</v>
      </c>
      <c r="C375" s="14" t="s">
        <v>3956</v>
      </c>
      <c r="D375" s="5" t="str">
        <f ca="1">IFERROR(__xludf.DUMMYFUNCTION("GOOGLETRANSLATE(B375,""ja"",""vi"")"),"bàn ủi")</f>
        <v>bàn ủi</v>
      </c>
      <c r="E375" s="4" t="str">
        <f ca="1">IFERROR(__xludf.DUMMYFUNCTION("GOOGLETRANSLATE(C375,""ja"",""vi"")"),"Đấu giá&gt; thiết bị điện tử tiêu dùng, AV, máy ảnh&gt; máy giặt, sắt&gt; sắt&gt; bàn ủi")</f>
        <v>Đấu giá&gt; thiết bị điện tử tiêu dùng, AV, máy ảnh&gt; máy giặt, sắt&gt; sắt&gt; bàn ủi</v>
      </c>
      <c r="F375" t="str">
        <f t="shared" ca="1" si="5"/>
        <v>"2084024441" : "bàn ủi",</v>
      </c>
    </row>
    <row r="376" spans="1:6" ht="15.75" customHeight="1">
      <c r="A376" s="14">
        <v>2084062839</v>
      </c>
      <c r="B376" s="14" t="s">
        <v>1678</v>
      </c>
      <c r="C376" s="14" t="s">
        <v>3959</v>
      </c>
      <c r="D376" s="5" t="str">
        <f ca="1">IFERROR(__xludf.DUMMYFUNCTION("GOOGLETRANSLATE(B376,""ja"",""vi"")"),"Một cơ thể")</f>
        <v>Một cơ thể</v>
      </c>
      <c r="E376" s="4" t="str">
        <f ca="1">IFERROR(__xludf.DUMMYFUNCTION("GOOGLETRANSLATE(C376,""ja"",""vi"")"),"Đấu giá&gt; Sở thích, văn hóa&gt; thủ công, thủ công mỹ nghệ&gt; máy may&gt; cơ thể")</f>
        <v>Đấu giá&gt; Sở thích, văn hóa&gt; thủ công, thủ công mỹ nghệ&gt; máy may&gt; cơ thể</v>
      </c>
      <c r="F376" t="str">
        <f t="shared" ca="1" si="5"/>
        <v>"2084062839" : "Một cơ thể",</v>
      </c>
    </row>
    <row r="377" spans="1:6" ht="15.75" customHeight="1">
      <c r="A377" s="14">
        <v>2084305343</v>
      </c>
      <c r="B377" s="14" t="s">
        <v>3961</v>
      </c>
      <c r="C377" s="14" t="s">
        <v>3962</v>
      </c>
      <c r="D377" s="5" t="str">
        <f ca="1">IFERROR(__xludf.DUMMYFUNCTION("GOOGLETRANSLATE(B377,""ja"",""vi"")"),"suốt chỉ")</f>
        <v>suốt chỉ</v>
      </c>
      <c r="E377" s="4" t="str">
        <f ca="1">IFERROR(__xludf.DUMMYFUNCTION("GOOGLETRANSLATE(C377,""ja"",""vi"")"),"Đấu giá&gt; Sở thích, văn hóa&gt; thủ công, thủ công mỹ nghệ&gt; máy may&gt; cuộn")</f>
        <v>Đấu giá&gt; Sở thích, văn hóa&gt; thủ công, thủ công mỹ nghệ&gt; máy may&gt; cuộn</v>
      </c>
      <c r="F377" t="str">
        <f t="shared" ca="1" si="5"/>
        <v>"2084305343" : "suốt chỉ",</v>
      </c>
    </row>
    <row r="378" spans="1:6" ht="15.75" customHeight="1">
      <c r="A378" s="14">
        <v>2084305341</v>
      </c>
      <c r="B378" s="14" t="s">
        <v>3966</v>
      </c>
      <c r="C378" s="14" t="s">
        <v>3967</v>
      </c>
      <c r="D378" s="5" t="str">
        <f ca="1">IFERROR(__xludf.DUMMYFUNCTION("GOOGLETRANSLATE(B378,""ja"",""vi"")"),"chỉ khâu")</f>
        <v>chỉ khâu</v>
      </c>
      <c r="E378" s="4" t="str">
        <f ca="1">IFERROR(__xludf.DUMMYFUNCTION("GOOGLETRANSLATE(C378,""ja"",""vi"")"),"Đấu giá&gt; Sở thích, văn hóa&gt; thủ công, thủ công mỹ nghệ&gt; May&gt; may chủ đề")</f>
        <v>Đấu giá&gt; Sở thích, văn hóa&gt; thủ công, thủ công mỹ nghệ&gt; May&gt; may chủ đề</v>
      </c>
      <c r="F378" t="str">
        <f t="shared" ca="1" si="5"/>
        <v>"2084305341" : "chỉ khâu",</v>
      </c>
    </row>
    <row r="379" spans="1:6" ht="15.75" customHeight="1">
      <c r="A379" s="14">
        <v>2084305342</v>
      </c>
      <c r="B379" s="14" t="s">
        <v>3971</v>
      </c>
      <c r="C379" s="14" t="s">
        <v>3973</v>
      </c>
      <c r="D379" s="5" t="str">
        <f ca="1">IFERROR(__xludf.DUMMYFUNCTION("GOOGLETRANSLATE(B379,""ja"",""vi"")"),"máy may kim")</f>
        <v>máy may kim</v>
      </c>
      <c r="E379" s="4" t="str">
        <f ca="1">IFERROR(__xludf.DUMMYFUNCTION("GOOGLETRANSLATE(C379,""ja"",""vi"")"),"Đấu giá&gt; Sở thích, văn hóa&gt; thủ công, thủ công mỹ nghệ&gt; May&gt; máy may kim")</f>
        <v>Đấu giá&gt; Sở thích, văn hóa&gt; thủ công, thủ công mỹ nghệ&gt; May&gt; máy may kim</v>
      </c>
      <c r="F379" t="str">
        <f t="shared" ca="1" si="5"/>
        <v>"2084305342" : "máy may kim",</v>
      </c>
    </row>
    <row r="380" spans="1:6" ht="15.75" customHeight="1">
      <c r="A380" s="14">
        <v>2084062840</v>
      </c>
      <c r="B380" s="14" t="s">
        <v>46</v>
      </c>
      <c r="C380" s="14" t="s">
        <v>3977</v>
      </c>
      <c r="D380" s="5" t="str">
        <f ca="1">IFERROR(__xludf.DUMMYFUNCTION("GOOGLETRANSLATE(B380,""ja"",""vi"")"),"nếu không thì")</f>
        <v>nếu không thì</v>
      </c>
      <c r="E380" s="4" t="str">
        <f ca="1">IFERROR(__xludf.DUMMYFUNCTION("GOOGLETRANSLATE(C380,""ja"",""vi"")"),"Đấu giá&gt; Sở thích, văn hóa&gt; thủ công, thủ công mỹ nghệ&gt; máy may&gt; Khác")</f>
        <v>Đấu giá&gt; Sở thích, văn hóa&gt; thủ công, thủ công mỹ nghệ&gt; máy may&gt; Khác</v>
      </c>
      <c r="F380" t="str">
        <f t="shared" ca="1" si="5"/>
        <v>"2084062840" : "nếu không thì",</v>
      </c>
    </row>
    <row r="381" spans="1:6" ht="15.75" customHeight="1">
      <c r="A381" s="14">
        <v>2084213168</v>
      </c>
      <c r="B381" s="14" t="s">
        <v>3979</v>
      </c>
      <c r="C381" s="14" t="s">
        <v>3981</v>
      </c>
      <c r="D381" s="5" t="str">
        <f ca="1">IFERROR(__xludf.DUMMYFUNCTION("GOOGLETRANSLATE(B381,""ja"",""vi"")"),"nói chung máy giặt")</f>
        <v>nói chung máy giặt</v>
      </c>
      <c r="E381" s="4" t="str">
        <f ca="1">IFERROR(__xludf.DUMMYFUNCTION("GOOGLETRANSLATE(C381,""ja"",""vi"")"),"Đấu giá&gt; thiết bị điện tử tiêu dùng, AV, máy ảnh&gt; máy giặt, sắt&gt; máy giặt&gt; chung máy giặt")</f>
        <v>Đấu giá&gt; thiết bị điện tử tiêu dùng, AV, máy ảnh&gt; máy giặt, sắt&gt; máy giặt&gt; chung máy giặt</v>
      </c>
      <c r="F381" t="str">
        <f t="shared" ca="1" si="5"/>
        <v>"2084213168" : "nói chung máy giặt",</v>
      </c>
    </row>
    <row r="382" spans="1:6" ht="15.75" customHeight="1">
      <c r="A382" s="14">
        <v>2084213169</v>
      </c>
      <c r="B382" s="14" t="s">
        <v>3984</v>
      </c>
      <c r="C382" s="14" t="s">
        <v>3985</v>
      </c>
      <c r="D382" s="5" t="str">
        <f ca="1">IFERROR(__xludf.DUMMYFUNCTION("GOOGLETRANSLATE(B382,""ja"",""vi"")"),"Drum-type")</f>
        <v>Drum-type</v>
      </c>
      <c r="E382" s="4" t="str">
        <f ca="1">IFERROR(__xludf.DUMMYFUNCTION("GOOGLETRANSLATE(C382,""ja"",""vi"")"),"Đấu giá&gt; thiết bị điện tử tiêu dùng, AV, máy ảnh&gt; máy giặt, sắt&gt; máy giặt&gt; trống")</f>
        <v>Đấu giá&gt; thiết bị điện tử tiêu dùng, AV, máy ảnh&gt; máy giặt, sắt&gt; máy giặt&gt; trống</v>
      </c>
      <c r="F382" t="str">
        <f t="shared" ca="1" si="5"/>
        <v>"2084213169" : "Drum-type",</v>
      </c>
    </row>
    <row r="383" spans="1:6" ht="15.75" customHeight="1">
      <c r="A383" s="14">
        <v>2084213170</v>
      </c>
      <c r="B383" s="14" t="s">
        <v>46</v>
      </c>
      <c r="C383" s="14" t="s">
        <v>3990</v>
      </c>
      <c r="D383" s="5" t="str">
        <f ca="1">IFERROR(__xludf.DUMMYFUNCTION("GOOGLETRANSLATE(B383,""ja"",""vi"")"),"nếu không thì")</f>
        <v>nếu không thì</v>
      </c>
      <c r="E383" s="4" t="str">
        <f ca="1">IFERROR(__xludf.DUMMYFUNCTION("GOOGLETRANSLATE(C383,""ja"",""vi"")"),"Đấu giá&gt; thiết bị điện tử tiêu dùng, AV, máy ảnh&gt; máy giặt, sắt&gt; máy giặt&gt; Khác")</f>
        <v>Đấu giá&gt; thiết bị điện tử tiêu dùng, AV, máy ảnh&gt; máy giặt, sắt&gt; máy giặt&gt; Khác</v>
      </c>
      <c r="F383" t="str">
        <f t="shared" ca="1" si="5"/>
        <v>"2084213170" : "nếu không thì",</v>
      </c>
    </row>
    <row r="384" spans="1:6" ht="15.75" customHeight="1">
      <c r="A384" s="14">
        <v>2084230968</v>
      </c>
      <c r="B384" s="14" t="s">
        <v>1731</v>
      </c>
      <c r="C384" s="14" t="s">
        <v>3995</v>
      </c>
      <c r="D384" s="5" t="str">
        <f ca="1">IFERROR(__xludf.DUMMYFUNCTION("GOOGLETRANSLATE(B384,""ja"",""vi"")"),"nhọn")</f>
        <v>nhọn</v>
      </c>
      <c r="E384" s="4" t="str">
        <f ca="1">IFERROR(__xludf.DUMMYFUNCTION("GOOGLETRANSLATE(C384,""ja"",""vi"")"),"Đấu giá&gt; thiết bị điện tử tiêu dùng, AV, camera&gt; làm sạch&gt; chân không chung sạch&gt; sắc nét")</f>
        <v>Đấu giá&gt; thiết bị điện tử tiêu dùng, AV, camera&gt; làm sạch&gt; chân không chung sạch&gt; sắc nét</v>
      </c>
      <c r="F384" t="str">
        <f t="shared" ca="1" si="5"/>
        <v>"2084230968" : "nhọn",</v>
      </c>
    </row>
    <row r="385" spans="1:6" ht="15.75" customHeight="1">
      <c r="A385" s="14">
        <v>2084230967</v>
      </c>
      <c r="B385" s="14" t="s">
        <v>4000</v>
      </c>
      <c r="C385" s="14" t="s">
        <v>4001</v>
      </c>
      <c r="D385" s="5" t="str">
        <f ca="1">IFERROR(__xludf.DUMMYFUNCTION("GOOGLETRANSLATE(B385,""ja"",""vi"")"),"Panasonic, National")</f>
        <v>Panasonic, National</v>
      </c>
      <c r="E385" s="4" t="str">
        <f ca="1">IFERROR(__xludf.DUMMYFUNCTION("GOOGLETRANSLATE(C385,""ja"",""vi"")"),"Đấu giá&gt; thiết bị điện tử tiêu dùng, AV, camera&gt; làm sạch&gt; chân không chung sạch&gt; Panasonic, National")</f>
        <v>Đấu giá&gt; thiết bị điện tử tiêu dùng, AV, camera&gt; làm sạch&gt; chân không chung sạch&gt; Panasonic, National</v>
      </c>
      <c r="F385" t="str">
        <f t="shared" ca="1" si="5"/>
        <v>"2084230967" : "Panasonic, National",</v>
      </c>
    </row>
    <row r="386" spans="1:6" ht="15.75" customHeight="1">
      <c r="A386" s="14">
        <v>2084230969</v>
      </c>
      <c r="B386" s="14" t="s">
        <v>1779</v>
      </c>
      <c r="C386" s="14" t="s">
        <v>4005</v>
      </c>
      <c r="D386" s="5" t="str">
        <f ca="1">IFERROR(__xludf.DUMMYFUNCTION("GOOGLETRANSLATE(B386,""ja"",""vi"")"),"Toshiba")</f>
        <v>Toshiba</v>
      </c>
      <c r="E386" s="4" t="str">
        <f ca="1">IFERROR(__xludf.DUMMYFUNCTION("GOOGLETRANSLATE(C386,""ja"",""vi"")"),"Đấu giá&gt; thiết bị điện tử tiêu dùng, AV, camera&gt; làm sạch&gt; chung máy hút bụi&gt; Toshiba")</f>
        <v>Đấu giá&gt; thiết bị điện tử tiêu dùng, AV, camera&gt; làm sạch&gt; chung máy hút bụi&gt; Toshiba</v>
      </c>
      <c r="F386" t="str">
        <f t="shared" ref="F386:F449" ca="1" si="6">CONCATENATE(CHAR(34)&amp;"",A386,""&amp;CHAR(34)," : ", CHAR(34)&amp;"",D386,""&amp;CHAR(34),",")</f>
        <v>"2084230969" : "Toshiba",</v>
      </c>
    </row>
    <row r="387" spans="1:6" ht="15.75" customHeight="1">
      <c r="A387" s="14">
        <v>2084230970</v>
      </c>
      <c r="B387" s="14" t="s">
        <v>1851</v>
      </c>
      <c r="C387" s="14" t="s">
        <v>4009</v>
      </c>
      <c r="D387" s="5" t="str">
        <f ca="1">IFERROR(__xludf.DUMMYFUNCTION("GOOGLETRANSLATE(B387,""ja"",""vi"")"),"Hitachi")</f>
        <v>Hitachi</v>
      </c>
      <c r="E387" s="4" t="str">
        <f ca="1">IFERROR(__xludf.DUMMYFUNCTION("GOOGLETRANSLATE(C387,""ja"",""vi"")"),"Đấu giá&gt; thiết bị điện tử tiêu dùng, AV, camera&gt; làm sạch&gt; chung máy hút bụi&gt; Hitachi")</f>
        <v>Đấu giá&gt; thiết bị điện tử tiêu dùng, AV, camera&gt; làm sạch&gt; chung máy hút bụi&gt; Hitachi</v>
      </c>
      <c r="F387" t="str">
        <f t="shared" ca="1" si="6"/>
        <v>"2084230970" : "Hitachi",</v>
      </c>
    </row>
    <row r="388" spans="1:6" ht="15.75" customHeight="1">
      <c r="A388" s="14">
        <v>2084230971</v>
      </c>
      <c r="B388" s="14" t="s">
        <v>46</v>
      </c>
      <c r="C388" s="14" t="s">
        <v>4014</v>
      </c>
      <c r="D388" s="5" t="str">
        <f ca="1">IFERROR(__xludf.DUMMYFUNCTION("GOOGLETRANSLATE(B388,""ja"",""vi"")"),"nếu không thì")</f>
        <v>nếu không thì</v>
      </c>
      <c r="E388" s="4" t="str">
        <f ca="1">IFERROR(__xludf.DUMMYFUNCTION("GOOGLETRANSLATE(C388,""ja"",""vi"")"),"Đấu giá&gt; thiết bị điện tử tiêu dùng, AV, camera&gt; làm sạch&gt; chân không chung sạch&gt; Khác")</f>
        <v>Đấu giá&gt; thiết bị điện tử tiêu dùng, AV, camera&gt; làm sạch&gt; chân không chung sạch&gt; Khác</v>
      </c>
      <c r="F388" t="str">
        <f t="shared" ca="1" si="6"/>
        <v>"2084230971" : "nếu không thì",</v>
      </c>
    </row>
    <row r="389" spans="1:6" ht="15.75" customHeight="1">
      <c r="A389" s="14">
        <v>2084230961</v>
      </c>
      <c r="B389" s="14" t="s">
        <v>4019</v>
      </c>
      <c r="C389" s="14" t="s">
        <v>4020</v>
      </c>
      <c r="D389" s="5" t="str">
        <f ca="1">IFERROR(__xludf.DUMMYFUNCTION("GOOGLETRANSLATE(B389,""ja"",""vi"")"),"Dyson")</f>
        <v>Dyson</v>
      </c>
      <c r="E389" s="4" t="str">
        <f ca="1">IFERROR(__xludf.DUMMYFUNCTION("GOOGLETRANSLATE(C389,""ja"",""vi"")"),"Đấu giá&gt; thiết bị điện tử tiêu dùng, AV, camera&gt; làm sạch&gt; gõ lốc xoáy&gt; Dyson")</f>
        <v>Đấu giá&gt; thiết bị điện tử tiêu dùng, AV, camera&gt; làm sạch&gt; gõ lốc xoáy&gt; Dyson</v>
      </c>
      <c r="F389" t="str">
        <f t="shared" ca="1" si="6"/>
        <v>"2084230961" : "Dyson",</v>
      </c>
    </row>
    <row r="390" spans="1:6" ht="15.75" customHeight="1">
      <c r="A390" s="14">
        <v>2084230963</v>
      </c>
      <c r="B390" s="14" t="s">
        <v>1731</v>
      </c>
      <c r="C390" s="14" t="s">
        <v>4025</v>
      </c>
      <c r="D390" s="5" t="str">
        <f ca="1">IFERROR(__xludf.DUMMYFUNCTION("GOOGLETRANSLATE(B390,""ja"",""vi"")"),"nhọn")</f>
        <v>nhọn</v>
      </c>
      <c r="E390" s="4" t="str">
        <f ca="1">IFERROR(__xludf.DUMMYFUNCTION("GOOGLETRANSLATE(C390,""ja"",""vi"")"),"Đấu giá&gt; thiết bị điện tử tiêu dùng, AV, camera&gt; làm sạch&gt; gõ lốc xoáy&gt; Sharp")</f>
        <v>Đấu giá&gt; thiết bị điện tử tiêu dùng, AV, camera&gt; làm sạch&gt; gõ lốc xoáy&gt; Sharp</v>
      </c>
      <c r="F390" t="str">
        <f t="shared" ca="1" si="6"/>
        <v>"2084230963" : "nhọn",</v>
      </c>
    </row>
    <row r="391" spans="1:6" ht="15.75" customHeight="1">
      <c r="A391" s="14">
        <v>2084230962</v>
      </c>
      <c r="B391" s="14" t="s">
        <v>4000</v>
      </c>
      <c r="C391" s="14" t="s">
        <v>4029</v>
      </c>
      <c r="D391" s="5" t="str">
        <f ca="1">IFERROR(__xludf.DUMMYFUNCTION("GOOGLETRANSLATE(B391,""ja"",""vi"")"),"Panasonic, National")</f>
        <v>Panasonic, National</v>
      </c>
      <c r="E391" s="4" t="str">
        <f ca="1">IFERROR(__xludf.DUMMYFUNCTION("GOOGLETRANSLATE(C391,""ja"",""vi"")"),"Đấu giá&gt; thiết bị điện tử tiêu dùng, AV, camera&gt; làm sạch&gt; gõ lốc xoáy&gt; Panasonic, National")</f>
        <v>Đấu giá&gt; thiết bị điện tử tiêu dùng, AV, camera&gt; làm sạch&gt; gõ lốc xoáy&gt; Panasonic, National</v>
      </c>
      <c r="F391" t="str">
        <f t="shared" ca="1" si="6"/>
        <v>"2084230962" : "Panasonic, National",</v>
      </c>
    </row>
    <row r="392" spans="1:6" ht="15.75" customHeight="1">
      <c r="A392" s="14">
        <v>2084230964</v>
      </c>
      <c r="B392" s="14" t="s">
        <v>1779</v>
      </c>
      <c r="C392" s="14" t="s">
        <v>4033</v>
      </c>
      <c r="D392" s="5" t="str">
        <f ca="1">IFERROR(__xludf.DUMMYFUNCTION("GOOGLETRANSLATE(B392,""ja"",""vi"")"),"Toshiba")</f>
        <v>Toshiba</v>
      </c>
      <c r="E392" s="4" t="str">
        <f ca="1">IFERROR(__xludf.DUMMYFUNCTION("GOOGLETRANSLATE(C392,""ja"",""vi"")"),"Đấu giá&gt; thiết bị điện tử tiêu dùng, AV, camera&gt; làm sạch&gt; gõ lốc xoáy&gt; Toshiba")</f>
        <v>Đấu giá&gt; thiết bị điện tử tiêu dùng, AV, camera&gt; làm sạch&gt; gõ lốc xoáy&gt; Toshiba</v>
      </c>
      <c r="F392" t="str">
        <f t="shared" ca="1" si="6"/>
        <v>"2084230964" : "Toshiba",</v>
      </c>
    </row>
    <row r="393" spans="1:6" ht="15.75" customHeight="1">
      <c r="A393" s="14">
        <v>2084230965</v>
      </c>
      <c r="B393" s="14" t="s">
        <v>1851</v>
      </c>
      <c r="C393" s="14" t="s">
        <v>4037</v>
      </c>
      <c r="D393" s="5" t="str">
        <f ca="1">IFERROR(__xludf.DUMMYFUNCTION("GOOGLETRANSLATE(B393,""ja"",""vi"")"),"Hitachi")</f>
        <v>Hitachi</v>
      </c>
      <c r="E393" s="4" t="str">
        <f ca="1">IFERROR(__xludf.DUMMYFUNCTION("GOOGLETRANSLATE(C393,""ja"",""vi"")"),"Đấu giá&gt; thiết bị điện tử tiêu dùng, AV, camera&gt; làm sạch&gt; gõ lốc xoáy&gt; Hitachi")</f>
        <v>Đấu giá&gt; thiết bị điện tử tiêu dùng, AV, camera&gt; làm sạch&gt; gõ lốc xoáy&gt; Hitachi</v>
      </c>
      <c r="F393" t="str">
        <f t="shared" ca="1" si="6"/>
        <v>"2084230965" : "Hitachi",</v>
      </c>
    </row>
    <row r="394" spans="1:6" ht="15.75" customHeight="1">
      <c r="A394" s="14">
        <v>2084230966</v>
      </c>
      <c r="B394" s="14" t="s">
        <v>46</v>
      </c>
      <c r="C394" s="14" t="s">
        <v>4041</v>
      </c>
      <c r="D394" s="5" t="str">
        <f ca="1">IFERROR(__xludf.DUMMYFUNCTION("GOOGLETRANSLATE(B394,""ja"",""vi"")"),"nếu không thì")</f>
        <v>nếu không thì</v>
      </c>
      <c r="E394" s="4" t="str">
        <f ca="1">IFERROR(__xludf.DUMMYFUNCTION("GOOGLETRANSLATE(C394,""ja"",""vi"")"),"Đấu giá&gt; thiết bị điện tử tiêu dùng, AV, camera&gt; làm sạch&gt; gõ lốc xoáy&gt; Khác")</f>
        <v>Đấu giá&gt; thiết bị điện tử tiêu dùng, AV, camera&gt; làm sạch&gt; gõ lốc xoáy&gt; Khác</v>
      </c>
      <c r="F394" t="str">
        <f t="shared" ca="1" si="6"/>
        <v>"2084230966" : "nếu không thì",</v>
      </c>
    </row>
    <row r="395" spans="1:6" ht="15.75" customHeight="1">
      <c r="A395" s="14">
        <v>2084239064</v>
      </c>
      <c r="B395" s="14" t="s">
        <v>4043</v>
      </c>
      <c r="C395" s="14" t="s">
        <v>4045</v>
      </c>
      <c r="D395" s="5" t="str">
        <f ca="1">IFERROR(__xludf.DUMMYFUNCTION("GOOGLETRANSLATE(B395,""ja"",""vi"")"),"cho doanh nghiệp")</f>
        <v>cho doanh nghiệp</v>
      </c>
      <c r="E395" s="4" t="str">
        <f ca="1">IFERROR(__xludf.DUMMYFUNCTION("GOOGLETRANSLATE(C395,""ja"",""vi"")"),"Đấu giá&gt; thiết bị điện tử tiêu dùng, AV, camera&gt; sưởi ấm và làm mát, điều hòa không khí&gt; điều hòa không khí&gt; cho doanh nghiệp")</f>
        <v>Đấu giá&gt; thiết bị điện tử tiêu dùng, AV, camera&gt; sưởi ấm và làm mát, điều hòa không khí&gt; điều hòa không khí&gt; cho doanh nghiệp</v>
      </c>
      <c r="F395" t="str">
        <f t="shared" ca="1" si="6"/>
        <v>"2084239064" : "cho doanh nghiệp",</v>
      </c>
    </row>
    <row r="396" spans="1:6" ht="15.75" customHeight="1">
      <c r="A396" s="14">
        <v>2084044890</v>
      </c>
      <c r="B396" s="14" t="s">
        <v>4047</v>
      </c>
      <c r="C396" s="14" t="s">
        <v>4048</v>
      </c>
      <c r="D396" s="5" t="str">
        <f ca="1">IFERROR(__xludf.DUMMYFUNCTION("GOOGLETRANSLATE(B396,""ja"",""vi"")"),"Sàn đứng")</f>
        <v>Sàn đứng</v>
      </c>
      <c r="E396" s="4" t="str">
        <f ca="1">IFERROR(__xludf.DUMMYFUNCTION("GOOGLETRANSLATE(C396,""ja"",""vi"")"),"Đấu giá&gt; thiết bị điện tử tiêu dùng, AV, camera&gt; làm nóng và làm mát, điều hòa không khí&gt; điều hòa không khí&gt; sàn đứng")</f>
        <v>Đấu giá&gt; thiết bị điện tử tiêu dùng, AV, camera&gt; làm nóng và làm mát, điều hòa không khí&gt; điều hòa không khí&gt; sàn đứng</v>
      </c>
      <c r="F396" t="str">
        <f t="shared" ca="1" si="6"/>
        <v>"2084044890" : "Sàn đứng",</v>
      </c>
    </row>
    <row r="397" spans="1:6" ht="15.75" customHeight="1">
      <c r="A397" s="14">
        <v>2084044894</v>
      </c>
      <c r="B397" s="14" t="s">
        <v>4053</v>
      </c>
      <c r="C397" s="14" t="s">
        <v>4054</v>
      </c>
      <c r="D397" s="5" t="str">
        <f ca="1">IFERROR(__xludf.DUMMYFUNCTION("GOOGLETRANSLATE(B397,""ja"",""vi"")"),"cửa sổ")</f>
        <v>cửa sổ</v>
      </c>
      <c r="E397" s="4" t="str">
        <f ca="1">IFERROR(__xludf.DUMMYFUNCTION("GOOGLETRANSLATE(C397,""ja"",""vi"")"),"Đấu giá&gt; thiết bị điện tử tiêu dùng, AV, camera&gt; sưởi ấm và làm mát, điều hòa không khí&gt; điều hòa không khí&gt; cho cửa sổ")</f>
        <v>Đấu giá&gt; thiết bị điện tử tiêu dùng, AV, camera&gt; sưởi ấm và làm mát, điều hòa không khí&gt; điều hòa không khí&gt; cho cửa sổ</v>
      </c>
      <c r="F397" t="str">
        <f t="shared" ca="1" si="6"/>
        <v>"2084044894" : "cửa sổ",</v>
      </c>
    </row>
    <row r="398" spans="1:6" ht="15.75" customHeight="1">
      <c r="A398" s="14">
        <v>2084044887</v>
      </c>
      <c r="B398" s="14" t="s">
        <v>4058</v>
      </c>
      <c r="C398" s="14" t="s">
        <v>4059</v>
      </c>
      <c r="D398" s="5" t="str">
        <f ca="1">IFERROR(__xludf.DUMMYFUNCTION("GOOGLETRANSLATE(B398,""ja"",""vi"")"),"loại treo tường")</f>
        <v>loại treo tường</v>
      </c>
      <c r="E398" s="4" t="str">
        <f ca="1">IFERROR(__xludf.DUMMYFUNCTION("GOOGLETRANSLATE(C398,""ja"",""vi"")"),"Đấu giá&gt; thiết bị điện tử tiêu dùng, AV, camera&gt; làm nóng và làm mát, điều hòa không khí&gt; điều hòa không khí&gt; treo tường loại")</f>
        <v>Đấu giá&gt; thiết bị điện tử tiêu dùng, AV, camera&gt; làm nóng và làm mát, điều hòa không khí&gt; điều hòa không khí&gt; treo tường loại</v>
      </c>
      <c r="F398" t="str">
        <f t="shared" ca="1" si="6"/>
        <v>"2084044887" : "loại treo tường",</v>
      </c>
    </row>
    <row r="399" spans="1:6" ht="15.75" customHeight="1">
      <c r="A399" s="14">
        <v>2084052264</v>
      </c>
      <c r="B399" s="14" t="s">
        <v>2178</v>
      </c>
      <c r="C399" s="14" t="s">
        <v>4063</v>
      </c>
      <c r="D399" s="5" t="str">
        <f ca="1">IFERROR(__xludf.DUMMYFUNCTION("GOOGLETRANSLATE(B399,""ja"",""vi"")"),"điều khiển từ xa")</f>
        <v>điều khiển từ xa</v>
      </c>
      <c r="E399" s="4" t="str">
        <f ca="1">IFERROR(__xludf.DUMMYFUNCTION("GOOGLETRANSLATE(C399,""ja"",""vi"")"),"Đấu giá&gt; thiết bị điện tử tiêu dùng, AV, camera&gt; làm nóng và làm mát, điều hòa không khí&gt; điều hòa không khí&gt; điều khiển từ xa")</f>
        <v>Đấu giá&gt; thiết bị điện tử tiêu dùng, AV, camera&gt; làm nóng và làm mát, điều hòa không khí&gt; điều hòa không khí&gt; điều khiển từ xa</v>
      </c>
      <c r="F399" t="str">
        <f t="shared" ca="1" si="6"/>
        <v>"2084052264" : "điều khiển từ xa",</v>
      </c>
    </row>
    <row r="400" spans="1:6" ht="15.75" customHeight="1">
      <c r="A400" s="14">
        <v>2084044891</v>
      </c>
      <c r="B400" s="14" t="s">
        <v>46</v>
      </c>
      <c r="C400" s="14" t="s">
        <v>4068</v>
      </c>
      <c r="D400" s="5" t="str">
        <f ca="1">IFERROR(__xludf.DUMMYFUNCTION("GOOGLETRANSLATE(B400,""ja"",""vi"")"),"nếu không thì")</f>
        <v>nếu không thì</v>
      </c>
      <c r="E400" s="4" t="str">
        <f ca="1">IFERROR(__xludf.DUMMYFUNCTION("GOOGLETRANSLATE(C400,""ja"",""vi"")"),"Đấu giá&gt; thiết bị điện tử tiêu dùng, AV, camera&gt; sưởi ấm và làm mát, điều hòa không khí&gt; điều hòa không khí&gt; Khác")</f>
        <v>Đấu giá&gt; thiết bị điện tử tiêu dùng, AV, camera&gt; sưởi ấm và làm mát, điều hòa không khí&gt; điều hòa không khí&gt; Khác</v>
      </c>
      <c r="F400" t="str">
        <f t="shared" ca="1" si="6"/>
        <v>"2084044891" : "nếu không thì",</v>
      </c>
    </row>
    <row r="401" spans="1:6" ht="15.75" customHeight="1">
      <c r="A401" s="14">
        <v>2084221682</v>
      </c>
      <c r="B401" s="14" t="s">
        <v>1731</v>
      </c>
      <c r="C401" s="14" t="s">
        <v>4075</v>
      </c>
      <c r="D401" s="5" t="str">
        <f ca="1">IFERROR(__xludf.DUMMYFUNCTION("GOOGLETRANSLATE(B401,""ja"",""vi"")"),"nhọn")</f>
        <v>nhọn</v>
      </c>
      <c r="E401" s="4" t="str">
        <f ca="1">IFERROR(__xludf.DUMMYFUNCTION("GOOGLETRANSLATE(C401,""ja"",""vi"")"),"Đấu giá&gt; thiết bị điện tử tiêu dùng, AV, camera&gt; sưởi ấm và làm mát, điều hòa không khí&gt; sạch không khí&gt; Sharp")</f>
        <v>Đấu giá&gt; thiết bị điện tử tiêu dùng, AV, camera&gt; sưởi ấm và làm mát, điều hòa không khí&gt; sạch không khí&gt; Sharp</v>
      </c>
      <c r="F401" t="str">
        <f t="shared" ca="1" si="6"/>
        <v>"2084221682" : "nhọn",</v>
      </c>
    </row>
    <row r="402" spans="1:6" ht="15.75" customHeight="1">
      <c r="A402" s="14">
        <v>2084221685</v>
      </c>
      <c r="B402" s="14" t="s">
        <v>4079</v>
      </c>
      <c r="C402" s="14" t="s">
        <v>4081</v>
      </c>
      <c r="D402" s="5" t="str">
        <f ca="1">IFERROR(__xludf.DUMMYFUNCTION("GOOGLETRANSLATE(B402,""ja"",""vi"")"),"Daikin")</f>
        <v>Daikin</v>
      </c>
      <c r="E402" s="4" t="str">
        <f ca="1">IFERROR(__xludf.DUMMYFUNCTION("GOOGLETRANSLATE(C402,""ja"",""vi"")"),"Đấu giá&gt; thiết bị điện tử tiêu dùng, AV, camera&gt; sưởi ấm và làm mát, điều hòa không khí&gt; sạch không khí&gt; Daikin")</f>
        <v>Đấu giá&gt; thiết bị điện tử tiêu dùng, AV, camera&gt; sưởi ấm và làm mát, điều hòa không khí&gt; sạch không khí&gt; Daikin</v>
      </c>
      <c r="F402" t="str">
        <f t="shared" ca="1" si="6"/>
        <v>"2084221685" : "Daikin",</v>
      </c>
    </row>
    <row r="403" spans="1:6" ht="15.75" customHeight="1">
      <c r="A403" s="14">
        <v>2084221683</v>
      </c>
      <c r="B403" s="14" t="s">
        <v>4000</v>
      </c>
      <c r="C403" s="14" t="s">
        <v>4085</v>
      </c>
      <c r="D403" s="5" t="str">
        <f ca="1">IFERROR(__xludf.DUMMYFUNCTION("GOOGLETRANSLATE(B403,""ja"",""vi"")"),"Panasonic, National")</f>
        <v>Panasonic, National</v>
      </c>
      <c r="E403" s="4" t="str">
        <f ca="1">IFERROR(__xludf.DUMMYFUNCTION("GOOGLETRANSLATE(C403,""ja"",""vi"")"),"Đấu giá&gt; thiết bị điện tử tiêu dùng, AV, camera&gt; sưởi ấm và làm mát, điều hòa không khí&gt; sạch không khí&gt; Panasonic, National")</f>
        <v>Đấu giá&gt; thiết bị điện tử tiêu dùng, AV, camera&gt; sưởi ấm và làm mát, điều hòa không khí&gt; sạch không khí&gt; Panasonic, National</v>
      </c>
      <c r="F403" t="str">
        <f t="shared" ca="1" si="6"/>
        <v>"2084221683" : "Panasonic, National",</v>
      </c>
    </row>
    <row r="404" spans="1:6" ht="15.75" customHeight="1">
      <c r="A404" s="14">
        <v>2084221686</v>
      </c>
      <c r="B404" s="14" t="s">
        <v>1779</v>
      </c>
      <c r="C404" s="14" t="s">
        <v>4089</v>
      </c>
      <c r="D404" s="5" t="str">
        <f ca="1">IFERROR(__xludf.DUMMYFUNCTION("GOOGLETRANSLATE(B404,""ja"",""vi"")"),"Toshiba")</f>
        <v>Toshiba</v>
      </c>
      <c r="E404" s="4" t="str">
        <f ca="1">IFERROR(__xludf.DUMMYFUNCTION("GOOGLETRANSLATE(C404,""ja"",""vi"")"),"Đấu giá&gt; thiết bị điện tử tiêu dùng, AV, camera&gt; sưởi ấm và làm mát, điều hòa không khí&gt; sạch không khí&gt; Toshiba")</f>
        <v>Đấu giá&gt; thiết bị điện tử tiêu dùng, AV, camera&gt; sưởi ấm và làm mát, điều hòa không khí&gt; sạch không khí&gt; Toshiba</v>
      </c>
      <c r="F404" t="str">
        <f t="shared" ca="1" si="6"/>
        <v>"2084221686" : "Toshiba",</v>
      </c>
    </row>
    <row r="405" spans="1:6" ht="15.75" customHeight="1">
      <c r="A405" s="14">
        <v>2084221684</v>
      </c>
      <c r="B405" s="14" t="s">
        <v>1851</v>
      </c>
      <c r="C405" s="14" t="s">
        <v>4094</v>
      </c>
      <c r="D405" s="5" t="str">
        <f ca="1">IFERROR(__xludf.DUMMYFUNCTION("GOOGLETRANSLATE(B405,""ja"",""vi"")"),"Hitachi")</f>
        <v>Hitachi</v>
      </c>
      <c r="E405" s="4" t="str">
        <f ca="1">IFERROR(__xludf.DUMMYFUNCTION("GOOGLETRANSLATE(C405,""ja"",""vi"")"),"Đấu giá&gt; thiết bị điện tử tiêu dùng, AV, camera&gt; sưởi ấm và làm mát, điều hòa không khí&gt; sạch không khí&gt; Hitachi")</f>
        <v>Đấu giá&gt; thiết bị điện tử tiêu dùng, AV, camera&gt; sưởi ấm và làm mát, điều hòa không khí&gt; sạch không khí&gt; Hitachi</v>
      </c>
      <c r="F405" t="str">
        <f t="shared" ca="1" si="6"/>
        <v>"2084221684" : "Hitachi",</v>
      </c>
    </row>
    <row r="406" spans="1:6" ht="15.75" customHeight="1">
      <c r="A406" s="14">
        <v>2084262999</v>
      </c>
      <c r="B406" s="14" t="s">
        <v>4097</v>
      </c>
      <c r="C406" s="14" t="s">
        <v>4099</v>
      </c>
      <c r="D406" s="5" t="str">
        <f ca="1">IFERROR(__xludf.DUMMYFUNCTION("GOOGLETRANSLATE(B406,""ja"",""vi"")"),"tự động")</f>
        <v>tự động</v>
      </c>
      <c r="E406" s="4" t="str">
        <f ca="1">IFERROR(__xludf.DUMMYFUNCTION("GOOGLETRANSLATE(C406,""ja"",""vi"")"),"Đấu giá&gt; thiết bị điện tử tiêu dùng, AV, camera&gt; sưởi ấm và làm mát, điều hòa không khí&gt; sạch không khí&gt; ô tô")</f>
        <v>Đấu giá&gt; thiết bị điện tử tiêu dùng, AV, camera&gt; sưởi ấm và làm mát, điều hòa không khí&gt; sạch không khí&gt; ô tô</v>
      </c>
      <c r="F406" t="str">
        <f t="shared" ca="1" si="6"/>
        <v>"2084262999" : "tự động",</v>
      </c>
    </row>
    <row r="407" spans="1:6" ht="15.75" customHeight="1">
      <c r="A407" s="14">
        <v>2084221687</v>
      </c>
      <c r="B407" s="14" t="s">
        <v>46</v>
      </c>
      <c r="C407" s="14" t="s">
        <v>4103</v>
      </c>
      <c r="D407" s="5" t="str">
        <f ca="1">IFERROR(__xludf.DUMMYFUNCTION("GOOGLETRANSLATE(B407,""ja"",""vi"")"),"nếu không thì")</f>
        <v>nếu không thì</v>
      </c>
      <c r="E407" s="4" t="str">
        <f ca="1">IFERROR(__xludf.DUMMYFUNCTION("GOOGLETRANSLATE(C407,""ja"",""vi"")"),"Đấu giá&gt; thiết bị điện tử tiêu dùng, AV, camera&gt; sưởi ấm và làm mát, điều hòa không khí&gt; sạch không khí&gt; Khác")</f>
        <v>Đấu giá&gt; thiết bị điện tử tiêu dùng, AV, camera&gt; sưởi ấm và làm mát, điều hòa không khí&gt; sạch không khí&gt; Khác</v>
      </c>
      <c r="F407" t="str">
        <f t="shared" ca="1" si="6"/>
        <v>"2084221687" : "nếu không thì",</v>
      </c>
    </row>
    <row r="408" spans="1:6" ht="15.75" customHeight="1">
      <c r="A408" s="14">
        <v>2084213167</v>
      </c>
      <c r="B408" s="14" t="s">
        <v>4108</v>
      </c>
      <c r="C408" s="14" t="s">
        <v>4109</v>
      </c>
      <c r="D408" s="5" t="str">
        <f ca="1">IFERROR(__xludf.DUMMYFUNCTION("GOOGLETRANSLATE(B408,""ja"",""vi"")"),"Làm ẩm, khử ẩm đổ bộ")</f>
        <v>Làm ẩm, khử ẩm đổ bộ</v>
      </c>
      <c r="E408" s="4" t="str">
        <f ca="1">IFERROR(__xludf.DUMMYFUNCTION("GOOGLETRANSLATE(C408,""ja"",""vi"")"),"Đấu giá&gt; thiết bị điện tử tiêu dùng, AV, camera&gt; làm nóng và làm mát, điều hòa không khí&gt; máy tạo độ ẩm, máy hút ẩm&gt; máy tạo độ ẩm, máy hút ẩm đổ bộ")</f>
        <v>Đấu giá&gt; thiết bị điện tử tiêu dùng, AV, camera&gt; làm nóng và làm mát, điều hòa không khí&gt; máy tạo độ ẩm, máy hút ẩm&gt; máy tạo độ ẩm, máy hút ẩm đổ bộ</v>
      </c>
      <c r="F408" t="str">
        <f t="shared" ca="1" si="6"/>
        <v>"2084213167" : "Làm ẩm, khử ẩm đổ bộ",</v>
      </c>
    </row>
    <row r="409" spans="1:6" ht="15.75" customHeight="1">
      <c r="A409" s="14">
        <v>2084213165</v>
      </c>
      <c r="B409" s="14" t="s">
        <v>4113</v>
      </c>
      <c r="C409" s="14" t="s">
        <v>4115</v>
      </c>
      <c r="D409" s="5" t="str">
        <f ca="1">IFERROR(__xludf.DUMMYFUNCTION("GOOGLETRANSLATE(B409,""ja"",""vi"")"),"Máy tạo độ ẩm")</f>
        <v>Máy tạo độ ẩm</v>
      </c>
      <c r="E409" s="4" t="str">
        <f ca="1">IFERROR(__xludf.DUMMYFUNCTION("GOOGLETRANSLATE(C409,""ja"",""vi"")"),"Đấu giá&gt; thiết bị điện tử tiêu dùng, AV, camera&gt; làm nóng và làm mát, điều hòa không khí&gt; máy tạo độ ẩm, máy hút ẩm&gt; tạo độ ẩm")</f>
        <v>Đấu giá&gt; thiết bị điện tử tiêu dùng, AV, camera&gt; làm nóng và làm mát, điều hòa không khí&gt; máy tạo độ ẩm, máy hút ẩm&gt; tạo độ ẩm</v>
      </c>
      <c r="F409" t="str">
        <f t="shared" ca="1" si="6"/>
        <v>"2084213165" : "Máy tạo độ ẩm",</v>
      </c>
    </row>
    <row r="410" spans="1:6" ht="15.75" customHeight="1">
      <c r="A410" s="14">
        <v>2084213166</v>
      </c>
      <c r="B410" s="14" t="s">
        <v>4118</v>
      </c>
      <c r="C410" s="14" t="s">
        <v>4120</v>
      </c>
      <c r="D410" s="5" t="str">
        <f ca="1">IFERROR(__xludf.DUMMYFUNCTION("GOOGLETRANSLATE(B410,""ja"",""vi"")"),"Máy hút ẩm")</f>
        <v>Máy hút ẩm</v>
      </c>
      <c r="E410" s="4" t="str">
        <f ca="1">IFERROR(__xludf.DUMMYFUNCTION("GOOGLETRANSLATE(C410,""ja"",""vi"")"),"Đấu giá&gt; thiết bị điện tử tiêu dùng, AV, camera&gt; sưởi ấm và làm mát, điều hòa không khí&gt; máy tạo độ ẩm, máy hút ẩm&gt; máy hút ẩm")</f>
        <v>Đấu giá&gt; thiết bị điện tử tiêu dùng, AV, camera&gt; sưởi ấm và làm mát, điều hòa không khí&gt; máy tạo độ ẩm, máy hút ẩm&gt; máy hút ẩm</v>
      </c>
      <c r="F410" t="str">
        <f t="shared" ca="1" si="6"/>
        <v>"2084213166" : "Máy hút ẩm",</v>
      </c>
    </row>
    <row r="411" spans="1:6" ht="15.75" customHeight="1">
      <c r="A411" s="15">
        <v>2084238995</v>
      </c>
      <c r="B411" s="14" t="s">
        <v>4129</v>
      </c>
      <c r="C411" s="14" t="s">
        <v>4131</v>
      </c>
      <c r="D411" s="5" t="str">
        <f ca="1">IFERROR(__xludf.DUMMYFUNCTION("GOOGLETRANSLATE(B411,""ja"",""vi"")"),"Vuông (~ 75cm)")</f>
        <v>Vuông (~ 75cm)</v>
      </c>
      <c r="E411" s="4" t="str">
        <f ca="1">IFERROR(__xludf.DUMMYFUNCTION("GOOGLETRANSLATE(C411,""ja"",""vi"")"),"Đấu giá&gt; thiết bị điện tử tiêu dùng, AV, camera&gt; làm nóng và làm mát, điều hòa không khí&gt; kotatsu&gt; vuông (~ 75cm)")</f>
        <v>Đấu giá&gt; thiết bị điện tử tiêu dùng, AV, camera&gt; làm nóng và làm mát, điều hòa không khí&gt; kotatsu&gt; vuông (~ 75cm)</v>
      </c>
      <c r="F411" t="str">
        <f t="shared" ca="1" si="6"/>
        <v>"2084238995" : "Vuông (~ 75cm)",</v>
      </c>
    </row>
    <row r="412" spans="1:6" ht="15.75" customHeight="1">
      <c r="A412" s="15">
        <v>2084238996</v>
      </c>
      <c r="B412" s="14" t="s">
        <v>4134</v>
      </c>
      <c r="C412" s="14" t="s">
        <v>4136</v>
      </c>
      <c r="D412" s="5" t="str">
        <f ca="1">IFERROR(__xludf.DUMMYFUNCTION("GOOGLETRANSLATE(B412,""ja"",""vi"")"),"Vuông (~ 90cm)")</f>
        <v>Vuông (~ 90cm)</v>
      </c>
      <c r="E412" s="4" t="str">
        <f ca="1">IFERROR(__xludf.DUMMYFUNCTION("GOOGLETRANSLATE(C412,""ja"",""vi"")"),"Đấu giá&gt; thiết bị điện tử tiêu dùng, AV, camera&gt; làm nóng và làm mát, điều hòa không khí&gt; kotatsu&gt; vuông (~ 90cm)")</f>
        <v>Đấu giá&gt; thiết bị điện tử tiêu dùng, AV, camera&gt; làm nóng và làm mát, điều hòa không khí&gt; kotatsu&gt; vuông (~ 90cm)</v>
      </c>
      <c r="F412" t="str">
        <f t="shared" ca="1" si="6"/>
        <v>"2084238996" : "Vuông (~ 90cm)",</v>
      </c>
    </row>
    <row r="413" spans="1:6" ht="15.75" customHeight="1">
      <c r="A413" s="15">
        <v>2084238997</v>
      </c>
      <c r="B413" s="14" t="s">
        <v>4138</v>
      </c>
      <c r="C413" s="14" t="s">
        <v>4140</v>
      </c>
      <c r="D413" s="5" t="str">
        <f ca="1">IFERROR(__xludf.DUMMYFUNCTION("GOOGLETRANSLATE(B413,""ja"",""vi"")"),"Vuông (91cm ~)")</f>
        <v>Vuông (91cm ~)</v>
      </c>
      <c r="E413" s="4" t="str">
        <f ca="1">IFERROR(__xludf.DUMMYFUNCTION("GOOGLETRANSLATE(C413,""ja"",""vi"")"),"Đấu giá&gt; thiết bị điện tử tiêu dùng, AV, camera&gt; sưởi ấm và làm mát, điều hòa không khí&gt; kotatsu&gt; vuông (91cm ~)")</f>
        <v>Đấu giá&gt; thiết bị điện tử tiêu dùng, AV, camera&gt; sưởi ấm và làm mát, điều hòa không khí&gt; kotatsu&gt; vuông (91cm ~)</v>
      </c>
      <c r="F413" t="str">
        <f t="shared" ca="1" si="6"/>
        <v>"2084238997" : "Vuông (91cm ~)",</v>
      </c>
    </row>
    <row r="414" spans="1:6" ht="15.75" customHeight="1">
      <c r="A414" s="15">
        <v>2084238998</v>
      </c>
      <c r="B414" s="14" t="s">
        <v>4143</v>
      </c>
      <c r="C414" s="14" t="s">
        <v>4144</v>
      </c>
      <c r="D414" s="5" t="str">
        <f ca="1">IFERROR(__xludf.DUMMYFUNCTION("GOOGLETRANSLATE(B414,""ja"",""vi"")"),"Rectangle (bên dài ~ 90cm)")</f>
        <v>Rectangle (bên dài ~ 90cm)</v>
      </c>
      <c r="E414" s="4" t="str">
        <f ca="1">IFERROR(__xludf.DUMMYFUNCTION("GOOGLETRANSLATE(C414,""ja"",""vi"")"),"Đấu giá&gt; thiết bị điện tử tiêu dùng, AV, camera&gt; sưởi ấm và làm mát, điều hòa không khí&gt; kotatsu&gt; hình chữ nhật (bên dài ~ 90cm)")</f>
        <v>Đấu giá&gt; thiết bị điện tử tiêu dùng, AV, camera&gt; sưởi ấm và làm mát, điều hòa không khí&gt; kotatsu&gt; hình chữ nhật (bên dài ~ 90cm)</v>
      </c>
      <c r="F414" t="str">
        <f t="shared" ca="1" si="6"/>
        <v>"2084238998" : "Rectangle (bên dài ~ 90cm)",</v>
      </c>
    </row>
    <row r="415" spans="1:6" ht="15.75" customHeight="1">
      <c r="A415" s="15">
        <v>2084238999</v>
      </c>
      <c r="B415" s="14" t="s">
        <v>4148</v>
      </c>
      <c r="C415" s="14" t="s">
        <v>4149</v>
      </c>
      <c r="D415" s="5" t="str">
        <f ca="1">IFERROR(__xludf.DUMMYFUNCTION("GOOGLETRANSLATE(B415,""ja"",""vi"")"),"Hình chữ nhật (dài bên ~ 105 cm)")</f>
        <v>Hình chữ nhật (dài bên ~ 105 cm)</v>
      </c>
      <c r="E415" s="4" t="str">
        <f ca="1">IFERROR(__xludf.DUMMYFUNCTION("GOOGLETRANSLATE(C415,""ja"",""vi"")"),"Đấu giá&gt; thiết bị điện tử tiêu dùng, AV, camera&gt; sưởi ấm và làm mát, điều hòa không khí&gt; kotatsu&gt; hình chữ nhật (bên dài ~ 105cm)")</f>
        <v>Đấu giá&gt; thiết bị điện tử tiêu dùng, AV, camera&gt; sưởi ấm và làm mát, điều hòa không khí&gt; kotatsu&gt; hình chữ nhật (bên dài ~ 105cm)</v>
      </c>
      <c r="F415" t="str">
        <f t="shared" ca="1" si="6"/>
        <v>"2084238999" : "Hình chữ nhật (dài bên ~ 105 cm)",</v>
      </c>
    </row>
    <row r="416" spans="1:6" ht="15.75" customHeight="1">
      <c r="A416" s="15">
        <v>2084239000</v>
      </c>
      <c r="B416" s="14" t="s">
        <v>4152</v>
      </c>
      <c r="C416" s="14" t="s">
        <v>4153</v>
      </c>
      <c r="D416" s="5" t="str">
        <f ca="1">IFERROR(__xludf.DUMMYFUNCTION("GOOGLETRANSLATE(B416,""ja"",""vi"")"),"Hình chữ nhật (dài bên ~ 120 cm)")</f>
        <v>Hình chữ nhật (dài bên ~ 120 cm)</v>
      </c>
      <c r="E416" s="4" t="str">
        <f ca="1">IFERROR(__xludf.DUMMYFUNCTION("GOOGLETRANSLATE(C416,""ja"",""vi"")"),"Đấu giá&gt; thiết bị điện tử tiêu dùng, AV, camera&gt; sưởi ấm và làm mát, điều hòa không khí&gt; kotatsu&gt; hình chữ nhật (bên dài ~ 120cm)")</f>
        <v>Đấu giá&gt; thiết bị điện tử tiêu dùng, AV, camera&gt; sưởi ấm và làm mát, điều hòa không khí&gt; kotatsu&gt; hình chữ nhật (bên dài ~ 120cm)</v>
      </c>
      <c r="F416" t="str">
        <f t="shared" ca="1" si="6"/>
        <v>"2084239000" : "Hình chữ nhật (dài bên ~ 120 cm)",</v>
      </c>
    </row>
    <row r="417" spans="1:6" ht="15.75" customHeight="1">
      <c r="A417" s="15">
        <v>2084239001</v>
      </c>
      <c r="B417" s="14" t="s">
        <v>4158</v>
      </c>
      <c r="C417" s="14" t="s">
        <v>4159</v>
      </c>
      <c r="D417" s="5" t="str">
        <f ca="1">IFERROR(__xludf.DUMMYFUNCTION("GOOGLETRANSLATE(B417,""ja"",""vi"")"),"Hình chữ nhật (121cm bên dài ~)")</f>
        <v>Hình chữ nhật (121cm bên dài ~)</v>
      </c>
      <c r="E417" s="4" t="str">
        <f ca="1">IFERROR(__xludf.DUMMYFUNCTION("GOOGLETRANSLATE(C417,""ja"",""vi"")"),"Đấu giá&gt; thiết bị điện tử tiêu dùng, AV, camera&gt; sưởi ấm và làm mát, điều hòa không khí&gt; kotatsu&gt; hình chữ nhật (121cm bên dài ~)")</f>
        <v>Đấu giá&gt; thiết bị điện tử tiêu dùng, AV, camera&gt; sưởi ấm và làm mát, điều hòa không khí&gt; kotatsu&gt; hình chữ nhật (121cm bên dài ~)</v>
      </c>
      <c r="F417" t="str">
        <f t="shared" ca="1" si="6"/>
        <v>"2084239001" : "Hình chữ nhật (121cm bên dài ~)",</v>
      </c>
    </row>
    <row r="418" spans="1:6" ht="15.75" customHeight="1">
      <c r="A418" s="15">
        <v>2084239002</v>
      </c>
      <c r="B418" s="14" t="s">
        <v>4161</v>
      </c>
      <c r="C418" s="14" t="s">
        <v>4164</v>
      </c>
      <c r="D418" s="5" t="str">
        <f ca="1">IFERROR(__xludf.DUMMYFUNCTION("GOOGLETRANSLATE(B418,""ja"",""vi"")"),"hình tròn")</f>
        <v>hình tròn</v>
      </c>
      <c r="E418" s="4" t="str">
        <f ca="1">IFERROR(__xludf.DUMMYFUNCTION("GOOGLETRANSLATE(C418,""ja"",""vi"")"),"Đấu giá&gt; thiết bị điện tử tiêu dùng, AV, camera&gt; làm nóng và làm mát, điều hòa không khí&gt; kotatsu&gt; Vòng")</f>
        <v>Đấu giá&gt; thiết bị điện tử tiêu dùng, AV, camera&gt; làm nóng và làm mát, điều hòa không khí&gt; kotatsu&gt; Vòng</v>
      </c>
      <c r="F418" t="str">
        <f t="shared" ca="1" si="6"/>
        <v>"2084239002" : "hình tròn",</v>
      </c>
    </row>
    <row r="419" spans="1:6" ht="15.75" customHeight="1">
      <c r="A419" s="15">
        <v>2084245307</v>
      </c>
      <c r="B419" s="14" t="s">
        <v>4166</v>
      </c>
      <c r="C419" s="14" t="s">
        <v>4167</v>
      </c>
      <c r="D419" s="5" t="str">
        <f ca="1">IFERROR(__xludf.DUMMYFUNCTION("GOOGLETRANSLATE(B419,""ja"",""vi"")"),"kotatsu")</f>
        <v>kotatsu</v>
      </c>
      <c r="E419" s="4" t="str">
        <f ca="1">IFERROR(__xludf.DUMMYFUNCTION("GOOGLETRANSLATE(C419,""ja"",""vi"")"),"Đấu giá&gt; thiết bị điện tử tiêu dùng, AV, camera&gt; làm nóng và làm mát, điều hòa không khí&gt; kotatsu&gt; kotatsu")</f>
        <v>Đấu giá&gt; thiết bị điện tử tiêu dùng, AV, camera&gt; làm nóng và làm mát, điều hòa không khí&gt; kotatsu&gt; kotatsu</v>
      </c>
      <c r="F419" t="str">
        <f t="shared" ca="1" si="6"/>
        <v>"2084245307" : "kotatsu",</v>
      </c>
    </row>
    <row r="420" spans="1:6" ht="15.75" customHeight="1">
      <c r="A420" s="15">
        <v>2084239003</v>
      </c>
      <c r="B420" s="14" t="s">
        <v>46</v>
      </c>
      <c r="C420" s="14" t="s">
        <v>4172</v>
      </c>
      <c r="D420" s="5" t="str">
        <f ca="1">IFERROR(__xludf.DUMMYFUNCTION("GOOGLETRANSLATE(B420,""ja"",""vi"")"),"nếu không thì")</f>
        <v>nếu không thì</v>
      </c>
      <c r="E420" s="4" t="str">
        <f ca="1">IFERROR(__xludf.DUMMYFUNCTION("GOOGLETRANSLATE(C420,""ja"",""vi"")"),"Đấu giá&gt; thiết bị điện tử tiêu dùng, AV, camera&gt; sưởi ấm và làm mát, điều hòa không khí&gt; kotatsu&gt; Khác")</f>
        <v>Đấu giá&gt; thiết bị điện tử tiêu dùng, AV, camera&gt; sưởi ấm và làm mát, điều hòa không khí&gt; kotatsu&gt; Khác</v>
      </c>
      <c r="F420" t="str">
        <f t="shared" ca="1" si="6"/>
        <v>"2084239003" : "nếu không thì",</v>
      </c>
    </row>
    <row r="421" spans="1:6" ht="15.75" customHeight="1">
      <c r="A421" s="14">
        <v>2084239015</v>
      </c>
      <c r="B421" s="14" t="s">
        <v>4175</v>
      </c>
      <c r="C421" s="14" t="s">
        <v>4176</v>
      </c>
      <c r="D421" s="5" t="str">
        <f ca="1">IFERROR(__xludf.DUMMYFUNCTION("GOOGLETRANSLATE(B421,""ja"",""vi"")"),"chất đốt")</f>
        <v>chất đốt</v>
      </c>
      <c r="E421" s="4" t="str">
        <f ca="1">IFERROR(__xludf.DUMMYFUNCTION("GOOGLETRANSLATE(C421,""ja"",""vi"")"),"Đấu giá&gt; thiết bị điện tử tiêu dùng, AV, camera&gt; làm nóng và làm mát, điều hòa không khí&gt; bếp&gt; bếp gas")</f>
        <v>Đấu giá&gt; thiết bị điện tử tiêu dùng, AV, camera&gt; làm nóng và làm mát, điều hòa không khí&gt; bếp&gt; bếp gas</v>
      </c>
      <c r="F421" t="str">
        <f t="shared" ca="1" si="6"/>
        <v>"2084239015" : "chất đốt",</v>
      </c>
    </row>
    <row r="422" spans="1:6" ht="15.75" customHeight="1">
      <c r="A422" s="14">
        <v>2084239016</v>
      </c>
      <c r="B422" s="14" t="s">
        <v>4182</v>
      </c>
      <c r="C422" s="14" t="s">
        <v>4184</v>
      </c>
      <c r="D422" s="5" t="str">
        <f ca="1">IFERROR(__xludf.DUMMYFUNCTION("GOOGLETRANSLATE(B422,""ja"",""vi"")"),"Gỗ đốt lò")</f>
        <v>Gỗ đốt lò</v>
      </c>
      <c r="E422" s="4" t="str">
        <f ca="1">IFERROR(__xludf.DUMMYFUNCTION("GOOGLETRANSLATE(C422,""ja"",""vi"")"),"Đấu giá&gt; thiết bị điện tử tiêu dùng, AV, camera&gt; làm nóng và làm mát, điều hòa không khí&gt; bếp&gt; bếp củi đốt")</f>
        <v>Đấu giá&gt; thiết bị điện tử tiêu dùng, AV, camera&gt; làm nóng và làm mát, điều hòa không khí&gt; bếp&gt; bếp củi đốt</v>
      </c>
      <c r="F422" t="str">
        <f t="shared" ca="1" si="6"/>
        <v>"2084239016" : "Gỗ đốt lò",</v>
      </c>
    </row>
    <row r="423" spans="1:6" ht="15.75" customHeight="1">
      <c r="A423" s="14">
        <v>2084239014</v>
      </c>
      <c r="B423" s="14" t="s">
        <v>4188</v>
      </c>
      <c r="C423" s="14" t="s">
        <v>4189</v>
      </c>
      <c r="D423" s="5" t="str">
        <f ca="1">IFERROR(__xludf.DUMMYFUNCTION("GOOGLETRANSLATE(B423,""ja"",""vi"")"),"bếp dầu")</f>
        <v>bếp dầu</v>
      </c>
      <c r="E423" s="4" t="str">
        <f ca="1">IFERROR(__xludf.DUMMYFUNCTION("GOOGLETRANSLATE(C423,""ja"",""vi"")"),"Đấu giá&gt; thiết bị điện tử tiêu dùng, AV, camera&gt; làm nóng và làm mát, điều hòa không khí&gt; bếp&gt; bếp dầu")</f>
        <v>Đấu giá&gt; thiết bị điện tử tiêu dùng, AV, camera&gt; làm nóng và làm mát, điều hòa không khí&gt; bếp&gt; bếp dầu</v>
      </c>
      <c r="F423" t="str">
        <f t="shared" ca="1" si="6"/>
        <v>"2084239014" : "bếp dầu",</v>
      </c>
    </row>
    <row r="424" spans="1:6" ht="15.75" customHeight="1">
      <c r="A424" s="14">
        <v>2084239017</v>
      </c>
      <c r="B424" s="14" t="s">
        <v>46</v>
      </c>
      <c r="C424" s="14" t="s">
        <v>4193</v>
      </c>
      <c r="D424" s="5" t="str">
        <f ca="1">IFERROR(__xludf.DUMMYFUNCTION("GOOGLETRANSLATE(B424,""ja"",""vi"")"),"nếu không thì")</f>
        <v>nếu không thì</v>
      </c>
      <c r="E424" s="4" t="str">
        <f ca="1">IFERROR(__xludf.DUMMYFUNCTION("GOOGLETRANSLATE(C424,""ja"",""vi"")"),"Đấu giá&gt; thiết bị điện tử tiêu dùng, AV, camera&gt; làm nóng và làm mát, điều hòa không khí&gt; bếp&gt; Khác")</f>
        <v>Đấu giá&gt; thiết bị điện tử tiêu dùng, AV, camera&gt; làm nóng và làm mát, điều hòa không khí&gt; bếp&gt; Khác</v>
      </c>
      <c r="F424" t="str">
        <f t="shared" ca="1" si="6"/>
        <v>"2084239017" : "nếu không thì",</v>
      </c>
    </row>
    <row r="425" spans="1:6" ht="15.75" customHeight="1">
      <c r="A425" s="14">
        <v>2084239202</v>
      </c>
      <c r="B425" s="14" t="s">
        <v>4195</v>
      </c>
      <c r="C425" s="14" t="s">
        <v>4199</v>
      </c>
      <c r="D425" s="5" t="str">
        <f ca="1">IFERROR(__xludf.DUMMYFUNCTION("GOOGLETRANSLATE(B425,""ja"",""vi"")"),"nóng quạt khí")</f>
        <v>nóng quạt khí</v>
      </c>
      <c r="E425" s="4" t="str">
        <f ca="1">IFERROR(__xludf.DUMMYFUNCTION("GOOGLETRANSLATE(C425,""ja"",""vi"")"),"Đấu giá&gt; thiết bị điện tử tiêu dùng, AV, camera&gt; làm nóng và làm mát, điều hòa không khí&gt; quạt sưởi&gt; quạt khí nóng")</f>
        <v>Đấu giá&gt; thiết bị điện tử tiêu dùng, AV, camera&gt; làm nóng và làm mát, điều hòa không khí&gt; quạt sưởi&gt; quạt khí nóng</v>
      </c>
      <c r="F425" t="str">
        <f t="shared" ca="1" si="6"/>
        <v>"2084239202" : "nóng quạt khí",</v>
      </c>
    </row>
    <row r="426" spans="1:6" ht="15.75" customHeight="1">
      <c r="A426" s="14">
        <v>2084239201</v>
      </c>
      <c r="B426" s="14" t="s">
        <v>4204</v>
      </c>
      <c r="C426" s="14" t="s">
        <v>4206</v>
      </c>
      <c r="D426" s="5" t="str">
        <f ca="1">IFERROR(__xludf.DUMMYFUNCTION("GOOGLETRANSLATE(B426,""ja"",""vi"")"),"máy quạt khí nóng")</f>
        <v>máy quạt khí nóng</v>
      </c>
      <c r="E426" s="4" t="str">
        <f ca="1">IFERROR(__xludf.DUMMYFUNCTION("GOOGLETRANSLATE(C426,""ja"",""vi"")"),"Đấu giá&gt; thiết bị điện tử tiêu dùng, AV, camera&gt; sưởi ấm và làm mát, điều hòa không khí&gt; quạt sưởi&gt; nóng quạt dầu hỏa")</f>
        <v>Đấu giá&gt; thiết bị điện tử tiêu dùng, AV, camera&gt; sưởi ấm và làm mát, điều hòa không khí&gt; quạt sưởi&gt; nóng quạt dầu hỏa</v>
      </c>
      <c r="F426" t="str">
        <f t="shared" ca="1" si="6"/>
        <v>"2084239201" : "máy quạt khí nóng",</v>
      </c>
    </row>
    <row r="427" spans="1:6" ht="15.75" customHeight="1">
      <c r="A427" s="14">
        <v>2084231004</v>
      </c>
      <c r="B427" s="14" t="s">
        <v>46</v>
      </c>
      <c r="C427" s="14" t="s">
        <v>4212</v>
      </c>
      <c r="D427" s="5" t="str">
        <f ca="1">IFERROR(__xludf.DUMMYFUNCTION("GOOGLETRANSLATE(B427,""ja"",""vi"")"),"nếu không thì")</f>
        <v>nếu không thì</v>
      </c>
      <c r="E427" s="4" t="str">
        <f ca="1">IFERROR(__xludf.DUMMYFUNCTION("GOOGLETRANSLATE(C427,""ja"",""vi"")"),"Đấu giá&gt; thiết bị điện tử tiêu dùng, AV, camera&gt; sưởi ấm và làm mát, điều hòa không khí&gt; quạt sưởi&gt; Khác")</f>
        <v>Đấu giá&gt; thiết bị điện tử tiêu dùng, AV, camera&gt; sưởi ấm và làm mát, điều hòa không khí&gt; quạt sưởi&gt; Khác</v>
      </c>
      <c r="F427" t="str">
        <f t="shared" ca="1" si="6"/>
        <v>"2084231004" : "nếu không thì",</v>
      </c>
    </row>
    <row r="428" spans="1:6" ht="15.75" customHeight="1">
      <c r="A428" s="14">
        <v>2084239042</v>
      </c>
      <c r="B428" s="14" t="s">
        <v>4215</v>
      </c>
      <c r="C428" s="14" t="s">
        <v>4216</v>
      </c>
      <c r="D428" s="5" t="str">
        <f ca="1">IFERROR(__xludf.DUMMYFUNCTION("GOOGLETRANSLATE(B428,""ja"",""vi"")"),"Đến 1,5 tatami")</f>
        <v>Đến 1,5 tatami</v>
      </c>
      <c r="E428" s="4" t="str">
        <f ca="1">IFERROR(__xludf.DUMMYFUNCTION("GOOGLETRANSLATE(C428,""ja"",""vi"")"),"Đấu giá&gt; thiết bị điện tử tiêu dùng, AV, camera&gt; làm nóng và làm mát, điều hòa không khí&gt; nóng thảm&gt; ~ 1,5 tatami")</f>
        <v>Đấu giá&gt; thiết bị điện tử tiêu dùng, AV, camera&gt; làm nóng và làm mát, điều hòa không khí&gt; nóng thảm&gt; ~ 1,5 tatami</v>
      </c>
      <c r="F428" t="str">
        <f t="shared" ca="1" si="6"/>
        <v>"2084239042" : "Đến 1,5 tatami",</v>
      </c>
    </row>
    <row r="429" spans="1:6" ht="15.75" customHeight="1">
      <c r="A429" s="14">
        <v>2084239043</v>
      </c>
      <c r="B429" s="14" t="s">
        <v>4221</v>
      </c>
      <c r="C429" s="14" t="s">
        <v>4222</v>
      </c>
      <c r="D429" s="5" t="str">
        <f ca="1">IFERROR(__xludf.DUMMYFUNCTION("GOOGLETRANSLATE(B429,""ja"",""vi"")"),"2 tatami ~")</f>
        <v>2 tatami ~</v>
      </c>
      <c r="E429" s="4" t="str">
        <f ca="1">IFERROR(__xludf.DUMMYFUNCTION("GOOGLETRANSLATE(C429,""ja"",""vi"")"),"Đấu giá&gt; thiết bị điện tử tiêu dùng, AV, camera&gt; sưởi ấm và làm mát, điều hòa không khí&gt; nóng thảm&gt; 2 thảm tatami -")</f>
        <v>Đấu giá&gt; thiết bị điện tử tiêu dùng, AV, camera&gt; sưởi ấm và làm mát, điều hòa không khí&gt; nóng thảm&gt; 2 thảm tatami -</v>
      </c>
      <c r="F429" t="str">
        <f t="shared" ca="1" si="6"/>
        <v>"2084239043" : "2 tatami ~",</v>
      </c>
    </row>
    <row r="430" spans="1:6" ht="15.75" customHeight="1">
      <c r="A430" s="14">
        <v>2084239044</v>
      </c>
      <c r="B430" s="14" t="s">
        <v>4226</v>
      </c>
      <c r="C430" s="14" t="s">
        <v>4227</v>
      </c>
      <c r="D430" s="5" t="str">
        <f ca="1">IFERROR(__xludf.DUMMYFUNCTION("GOOGLETRANSLATE(B430,""ja"",""vi"")"),"3 tatami ~")</f>
        <v>3 tatami ~</v>
      </c>
      <c r="E430" s="4" t="str">
        <f ca="1">IFERROR(__xludf.DUMMYFUNCTION("GOOGLETRANSLATE(C430,""ja"",""vi"")"),"Đấu giá&gt; thiết bị điện tử tiêu dùng, AV, camera&gt; sưởi ấm và làm mát, điều hòa không khí&gt; nóng thảm&gt; 3 thảm tatami -")</f>
        <v>Đấu giá&gt; thiết bị điện tử tiêu dùng, AV, camera&gt; sưởi ấm và làm mát, điều hòa không khí&gt; nóng thảm&gt; 3 thảm tatami -</v>
      </c>
      <c r="F430" t="str">
        <f t="shared" ca="1" si="6"/>
        <v>"2084239044" : "3 tatami ~",</v>
      </c>
    </row>
    <row r="431" spans="1:6" ht="15.75" customHeight="1">
      <c r="A431" s="14">
        <v>2084215692</v>
      </c>
      <c r="B431" s="14" t="s">
        <v>4231</v>
      </c>
      <c r="C431" s="14" t="s">
        <v>4232</v>
      </c>
      <c r="D431" s="5" t="str">
        <f ca="1">IFERROR(__xludf.DUMMYFUNCTION("GOOGLETRANSLATE(B431,""ja"",""vi"")"),"chung nóng điện")</f>
        <v>chung nóng điện</v>
      </c>
      <c r="E431" s="4" t="str">
        <f ca="1">IFERROR(__xludf.DUMMYFUNCTION("GOOGLETRANSLATE(C431,""ja"",""vi"")"),"Đấu giá&gt; thiết bị điện tử tiêu dùng, AV, camera&gt; làm nóng và làm mát, điều hòa không khí&gt; nóng điện&gt; nóng điện chung")</f>
        <v>Đấu giá&gt; thiết bị điện tử tiêu dùng, AV, camera&gt; làm nóng và làm mát, điều hòa không khí&gt; nóng điện&gt; nóng điện chung</v>
      </c>
      <c r="F431" t="str">
        <f t="shared" ca="1" si="6"/>
        <v>"2084215692" : "chung nóng điện",</v>
      </c>
    </row>
    <row r="432" spans="1:6" ht="15.75" customHeight="1">
      <c r="A432" s="14">
        <v>2084239050</v>
      </c>
      <c r="B432" s="14" t="s">
        <v>4236</v>
      </c>
      <c r="C432" s="14" t="s">
        <v>4238</v>
      </c>
      <c r="D432" s="5" t="str">
        <f ca="1">IFERROR(__xludf.DUMMYFUNCTION("GOOGLETRANSLATE(B432,""ja"",""vi"")"),"carbon nóng")</f>
        <v>carbon nóng</v>
      </c>
      <c r="E432" s="4" t="str">
        <f ca="1">IFERROR(__xludf.DUMMYFUNCTION("GOOGLETRANSLATE(C432,""ja"",""vi"")"),"Đấu giá&gt; thiết bị điện tử tiêu dùng, AV, camera&gt; làm nóng và làm mát, điều hòa không khí&gt; nóng điện&gt; nóng carbon")</f>
        <v>Đấu giá&gt; thiết bị điện tử tiêu dùng, AV, camera&gt; làm nóng và làm mát, điều hòa không khí&gt; nóng điện&gt; nóng carbon</v>
      </c>
      <c r="F432" t="str">
        <f t="shared" ca="1" si="6"/>
        <v>"2084239050" : "carbon nóng",</v>
      </c>
    </row>
    <row r="433" spans="1:6" ht="15.75" customHeight="1">
      <c r="A433" s="14">
        <v>2084215693</v>
      </c>
      <c r="B433" s="14" t="s">
        <v>4239</v>
      </c>
      <c r="C433" s="14" t="s">
        <v>4242</v>
      </c>
      <c r="D433" s="5" t="str">
        <f ca="1">IFERROR(__xludf.DUMMYFUNCTION("GOOGLETRANSLATE(B433,""ja"",""vi"")"),"halogen nóng")</f>
        <v>halogen nóng</v>
      </c>
      <c r="E433" s="4" t="str">
        <f ca="1">IFERROR(__xludf.DUMMYFUNCTION("GOOGLETRANSLATE(C433,""ja"",""vi"")"),"Đấu giá&gt; thiết bị điện tử tiêu dùng, AV, camera&gt; làm nóng và làm mát, điều hòa không khí&gt; nóng điện&gt; nóng halogen")</f>
        <v>Đấu giá&gt; thiết bị điện tử tiêu dùng, AV, camera&gt; làm nóng và làm mát, điều hòa không khí&gt; nóng điện&gt; nóng halogen</v>
      </c>
      <c r="F433" t="str">
        <f t="shared" ca="1" si="6"/>
        <v>"2084215693" : "halogen nóng",</v>
      </c>
    </row>
    <row r="434" spans="1:6" ht="15.75" customHeight="1">
      <c r="A434" s="14">
        <v>2084239051</v>
      </c>
      <c r="B434" s="14" t="s">
        <v>4245</v>
      </c>
      <c r="C434" s="14" t="s">
        <v>4246</v>
      </c>
      <c r="D434" s="5" t="str">
        <f ca="1">IFERROR(__xludf.DUMMYFUNCTION("GOOGLETRANSLATE(B434,""ja"",""vi"")"),"nóng panel")</f>
        <v>nóng panel</v>
      </c>
      <c r="E434" s="4" t="str">
        <f ca="1">IFERROR(__xludf.DUMMYFUNCTION("GOOGLETRANSLATE(C434,""ja"",""vi"")"),"Đấu giá&gt; thiết bị điện tử tiêu dùng, AV, camera&gt; làm nóng và làm mát, điều hòa không khí&gt; nóng điện&gt; nóng panel")</f>
        <v>Đấu giá&gt; thiết bị điện tử tiêu dùng, AV, camera&gt; làm nóng và làm mát, điều hòa không khí&gt; nóng điện&gt; nóng panel</v>
      </c>
      <c r="F434" t="str">
        <f t="shared" ca="1" si="6"/>
        <v>"2084239051" : "nóng panel",</v>
      </c>
    </row>
    <row r="435" spans="1:6" ht="15.75" customHeight="1">
      <c r="A435" s="14">
        <v>2084215694</v>
      </c>
      <c r="B435" s="14" t="s">
        <v>46</v>
      </c>
      <c r="C435" s="14" t="s">
        <v>4250</v>
      </c>
      <c r="D435" s="5" t="str">
        <f ca="1">IFERROR(__xludf.DUMMYFUNCTION("GOOGLETRANSLATE(B435,""ja"",""vi"")"),"nếu không thì")</f>
        <v>nếu không thì</v>
      </c>
      <c r="E435" s="4" t="str">
        <f ca="1">IFERROR(__xludf.DUMMYFUNCTION("GOOGLETRANSLATE(C435,""ja"",""vi"")"),"Đấu giá&gt; thiết bị điện tử tiêu dùng, AV, camera&gt; làm nóng và làm mát, điều hòa không khí&gt; nóng điện&gt; Khác")</f>
        <v>Đấu giá&gt; thiết bị điện tử tiêu dùng, AV, camera&gt; làm nóng và làm mát, điều hòa không khí&gt; nóng điện&gt; Khác</v>
      </c>
      <c r="F435" t="str">
        <f t="shared" ca="1" si="6"/>
        <v>"2084215694" : "nếu không thì",</v>
      </c>
    </row>
    <row r="436" spans="1:6" ht="15.75" customHeight="1">
      <c r="A436" s="14">
        <v>2084044969</v>
      </c>
      <c r="B436" s="14" t="s">
        <v>4252</v>
      </c>
      <c r="C436" s="14" t="s">
        <v>4253</v>
      </c>
      <c r="D436" s="5" t="str">
        <f ca="1">IFERROR(__xludf.DUMMYFUNCTION("GOOGLETRANSLATE(B436,""ja"",""vi"")"),"máy sấy Carl")</f>
        <v>máy sấy Carl</v>
      </c>
      <c r="E436" s="4" t="str">
        <f ca="1">IFERROR(__xludf.DUMMYFUNCTION("GOOGLETRANSLATE(C436,""ja"",""vi"")"),"Đấu giá&gt; thiết bị điện tử tiêu dùng, AV, camera&gt; vẻ đẹp, sức khỏe&gt; ​​Máy sấy tóc&gt; Máy sấy Carl")</f>
        <v>Đấu giá&gt; thiết bị điện tử tiêu dùng, AV, camera&gt; vẻ đẹp, sức khỏe&gt; ​​Máy sấy tóc&gt; Máy sấy Carl</v>
      </c>
      <c r="F436" t="str">
        <f t="shared" ca="1" si="6"/>
        <v>"2084044969" : "máy sấy Carl",</v>
      </c>
    </row>
    <row r="437" spans="1:6" ht="15.75" customHeight="1">
      <c r="A437" s="14">
        <v>2084044968</v>
      </c>
      <c r="B437" s="14" t="s">
        <v>4257</v>
      </c>
      <c r="C437" s="14" t="s">
        <v>4258</v>
      </c>
      <c r="D437" s="5" t="str">
        <f ca="1">IFERROR(__xludf.DUMMYFUNCTION("GOOGLETRANSLATE(B437,""ja"",""vi"")"),"máy sấy tay")</f>
        <v>máy sấy tay</v>
      </c>
      <c r="E437" s="4" t="str">
        <f ca="1">IFERROR(__xludf.DUMMYFUNCTION("GOOGLETRANSLATE(C437,""ja"",""vi"")"),"Đấu giá&gt; thiết bị điện tử tiêu dùng, AV, camera&gt; vẻ đẹp, sức khỏe&gt; ​​Máy sấy tóc&gt; Máy sấy tay")</f>
        <v>Đấu giá&gt; thiết bị điện tử tiêu dùng, AV, camera&gt; vẻ đẹp, sức khỏe&gt; ​​Máy sấy tóc&gt; Máy sấy tay</v>
      </c>
      <c r="F437" t="str">
        <f t="shared" ca="1" si="6"/>
        <v>"2084044968" : "máy sấy tay",</v>
      </c>
    </row>
    <row r="438" spans="1:6" ht="15.75" customHeight="1">
      <c r="A438" s="14">
        <v>2084044970</v>
      </c>
      <c r="B438" s="14" t="s">
        <v>46</v>
      </c>
      <c r="C438" s="14" t="s">
        <v>4260</v>
      </c>
      <c r="D438" s="5" t="str">
        <f ca="1">IFERROR(__xludf.DUMMYFUNCTION("GOOGLETRANSLATE(B438,""ja"",""vi"")"),"nếu không thì")</f>
        <v>nếu không thì</v>
      </c>
      <c r="E438" s="4" t="str">
        <f ca="1">IFERROR(__xludf.DUMMYFUNCTION("GOOGLETRANSLATE(C438,""ja"",""vi"")"),"Đấu giá&gt; thiết bị điện tử tiêu dùng, AV, camera&gt; vẻ đẹp, sức khỏe&gt; ​​Máy sấy tóc&gt; Khác")</f>
        <v>Đấu giá&gt; thiết bị điện tử tiêu dùng, AV, camera&gt; vẻ đẹp, sức khỏe&gt; ​​Máy sấy tóc&gt; Khác</v>
      </c>
      <c r="F438" t="str">
        <f t="shared" ca="1" si="6"/>
        <v>"2084044970" : "nếu không thì",</v>
      </c>
    </row>
    <row r="439" spans="1:6" ht="15.75" customHeight="1">
      <c r="A439" s="14">
        <v>2084044975</v>
      </c>
      <c r="B439" s="14" t="s">
        <v>4263</v>
      </c>
      <c r="C439" s="14" t="s">
        <v>4265</v>
      </c>
      <c r="D439" s="5" t="str">
        <f ca="1">IFERROR(__xludf.DUMMYFUNCTION("GOOGLETRANSLATE(B439,""ja"",""vi"")"),"Handy Massager")</f>
        <v>Handy Massager</v>
      </c>
      <c r="E439" s="4" t="str">
        <f ca="1">IFERROR(__xludf.DUMMYFUNCTION("GOOGLETRANSLATE(C439,""ja"",""vi"")"),"Đấu giá&gt; thiết bị điện tử tiêu dùng, AV, camera&gt; vẻ đẹp, sức khỏe&gt; ​​Máy massage&gt; tiện dụng Massager")</f>
        <v>Đấu giá&gt; thiết bị điện tử tiêu dùng, AV, camera&gt; vẻ đẹp, sức khỏe&gt; ​​Máy massage&gt; tiện dụng Massager</v>
      </c>
      <c r="F439" t="str">
        <f t="shared" ca="1" si="6"/>
        <v>"2084044975" : "Handy Massager",</v>
      </c>
    </row>
    <row r="440" spans="1:6" ht="15.75" customHeight="1">
      <c r="A440" s="14">
        <v>2084063421</v>
      </c>
      <c r="B440" s="14" t="s">
        <v>4266</v>
      </c>
      <c r="C440" s="14" t="s">
        <v>4267</v>
      </c>
      <c r="D440" s="5" t="str">
        <f ca="1">IFERROR(__xludf.DUMMYFUNCTION("GOOGLETRANSLATE(B440,""ja"",""vi"")"),"foot Bath")</f>
        <v>foot Bath</v>
      </c>
      <c r="E440" s="4" t="str">
        <f ca="1">IFERROR(__xludf.DUMMYFUNCTION("GOOGLETRANSLATE(C440,""ja"",""vi"")"),"Đấu giá&gt; thiết bị điện tử tiêu dùng, AV, camera&gt; vẻ đẹp, sức khỏe&gt; ​​Máy massage&gt; Foot Bath")</f>
        <v>Đấu giá&gt; thiết bị điện tử tiêu dùng, AV, camera&gt; vẻ đẹp, sức khỏe&gt; ​​Máy massage&gt; Foot Bath</v>
      </c>
      <c r="F440" t="str">
        <f t="shared" ca="1" si="6"/>
        <v>"2084063421" : "foot Bath",</v>
      </c>
    </row>
    <row r="441" spans="1:6" ht="15.75" customHeight="1">
      <c r="A441" s="14">
        <v>2084047758</v>
      </c>
      <c r="B441" s="14" t="s">
        <v>4271</v>
      </c>
      <c r="C441" s="14" t="s">
        <v>4272</v>
      </c>
      <c r="D441" s="5" t="str">
        <f ca="1">IFERROR(__xludf.DUMMYFUNCTION("GOOGLETRANSLATE(B441,""ja"",""vi"")"),"foot Massager")</f>
        <v>foot Massager</v>
      </c>
      <c r="E441" s="4" t="str">
        <f ca="1">IFERROR(__xludf.DUMMYFUNCTION("GOOGLETRANSLATE(C441,""ja"",""vi"")"),"Đấu giá&gt; thiết bị điện tử tiêu dùng, AV, camera&gt; vẻ đẹp, sức khỏe&gt; ​​Máy massage&gt; Foot Massager")</f>
        <v>Đấu giá&gt; thiết bị điện tử tiêu dùng, AV, camera&gt; vẻ đẹp, sức khỏe&gt; ​​Máy massage&gt; Foot Massager</v>
      </c>
      <c r="F441" t="str">
        <f t="shared" ca="1" si="6"/>
        <v>"2084047758" : "foot Massager",</v>
      </c>
    </row>
    <row r="442" spans="1:6" ht="15.75" customHeight="1">
      <c r="A442" s="14">
        <v>2084044973</v>
      </c>
      <c r="B442" s="14" t="s">
        <v>4275</v>
      </c>
      <c r="C442" s="14" t="s">
        <v>4277</v>
      </c>
      <c r="D442" s="5" t="str">
        <f ca="1">IFERROR(__xludf.DUMMYFUNCTION("GOOGLETRANSLATE(B442,""ja"",""vi"")"),"ghế massage")</f>
        <v>ghế massage</v>
      </c>
      <c r="E442" s="4" t="str">
        <f ca="1">IFERROR(__xludf.DUMMYFUNCTION("GOOGLETRANSLATE(C442,""ja"",""vi"")"),"Đấu giá&gt; thiết bị điện tử tiêu dùng, AV, camera&gt; sắc đẹp, sức khỏe&gt; ​​Máy massage&gt; Ghế massage")</f>
        <v>Đấu giá&gt; thiết bị điện tử tiêu dùng, AV, camera&gt; sắc đẹp, sức khỏe&gt; ​​Máy massage&gt; Ghế massage</v>
      </c>
      <c r="F442" t="str">
        <f t="shared" ca="1" si="6"/>
        <v>"2084044973" : "ghế massage",</v>
      </c>
    </row>
    <row r="443" spans="1:6" ht="15.75" customHeight="1">
      <c r="A443" s="14">
        <v>2084044974</v>
      </c>
      <c r="B443" s="14" t="s">
        <v>46</v>
      </c>
      <c r="C443" s="14" t="s">
        <v>4279</v>
      </c>
      <c r="D443" s="5" t="str">
        <f ca="1">IFERROR(__xludf.DUMMYFUNCTION("GOOGLETRANSLATE(B443,""ja"",""vi"")"),"nếu không thì")</f>
        <v>nếu không thì</v>
      </c>
      <c r="E443" s="4" t="str">
        <f ca="1">IFERROR(__xludf.DUMMYFUNCTION("GOOGLETRANSLATE(C443,""ja"",""vi"")"),"Đấu giá&gt; thiết bị điện tử tiêu dùng, AV, camera&gt; vẻ đẹp, sức khỏe&gt; ​​Máy massage&gt; Khác")</f>
        <v>Đấu giá&gt; thiết bị điện tử tiêu dùng, AV, camera&gt; vẻ đẹp, sức khỏe&gt; ​​Máy massage&gt; Khác</v>
      </c>
      <c r="F443" t="str">
        <f t="shared" ca="1" si="6"/>
        <v>"2084044974" : "nếu không thì",</v>
      </c>
    </row>
    <row r="444" spans="1:6" ht="15.75" customHeight="1">
      <c r="A444" s="14">
        <v>2084221679</v>
      </c>
      <c r="B444" s="14" t="s">
        <v>4283</v>
      </c>
      <c r="C444" s="14" t="s">
        <v>4284</v>
      </c>
      <c r="D444" s="5" t="str">
        <f ca="1">IFERROR(__xludf.DUMMYFUNCTION("GOOGLETRANSLATE(B444,""ja"",""vi"")"),"Seiko")</f>
        <v>Seiko</v>
      </c>
      <c r="E444" s="4" t="str">
        <f ca="1">IFERROR(__xludf.DUMMYFUNCTION("GOOGLETRANSLATE(C444,""ja"",""vi"")"),"Đấu giá&gt; thiết bị điện tử tiêu dùng, AV, camera&gt; vẻ đẹp, sức khỏe&gt; ​​Máy cạo râu điện&gt; Seiko")</f>
        <v>Đấu giá&gt; thiết bị điện tử tiêu dùng, AV, camera&gt; vẻ đẹp, sức khỏe&gt; ​​Máy cạo râu điện&gt; Seiko</v>
      </c>
      <c r="F444" t="str">
        <f t="shared" ca="1" si="6"/>
        <v>"2084221679" : "Seiko",</v>
      </c>
    </row>
    <row r="445" spans="1:6" ht="15.75" customHeight="1">
      <c r="A445" s="14">
        <v>2084221677</v>
      </c>
      <c r="B445" s="14" t="s">
        <v>4000</v>
      </c>
      <c r="C445" s="14" t="s">
        <v>4287</v>
      </c>
      <c r="D445" s="5" t="str">
        <f ca="1">IFERROR(__xludf.DUMMYFUNCTION("GOOGLETRANSLATE(B445,""ja"",""vi"")"),"Panasonic, National")</f>
        <v>Panasonic, National</v>
      </c>
      <c r="E445" s="4" t="str">
        <f ca="1">IFERROR(__xludf.DUMMYFUNCTION("GOOGLETRANSLATE(C445,""ja"",""vi"")"),"Đấu giá&gt; thiết bị điện tử tiêu dùng, AV, camera&gt; vẻ đẹp, sức khỏe&gt; ​​Máy cạo râu điện&gt; Panasonic, National")</f>
        <v>Đấu giá&gt; thiết bị điện tử tiêu dùng, AV, camera&gt; vẻ đẹp, sức khỏe&gt; ​​Máy cạo râu điện&gt; Panasonic, National</v>
      </c>
      <c r="F445" t="str">
        <f t="shared" ca="1" si="6"/>
        <v>"2084221677" : "Panasonic, National",</v>
      </c>
    </row>
    <row r="446" spans="1:6" ht="15.75" customHeight="1">
      <c r="A446" s="14">
        <v>2084221680</v>
      </c>
      <c r="B446" s="14" t="s">
        <v>4290</v>
      </c>
      <c r="C446" s="14" t="s">
        <v>4291</v>
      </c>
      <c r="D446" s="5" t="str">
        <f ca="1">IFERROR(__xludf.DUMMYFUNCTION("GOOGLETRANSLATE(B446,""ja"",""vi"")"),"Philips")</f>
        <v>Philips</v>
      </c>
      <c r="E446" s="4" t="str">
        <f ca="1">IFERROR(__xludf.DUMMYFUNCTION("GOOGLETRANSLATE(C446,""ja"",""vi"")"),"Đấu giá&gt; thiết bị điện tử tiêu dùng, AV, camera&gt; vẻ đẹp, sức khỏe&gt; ​​Máy cạo râu điện&gt; Philips")</f>
        <v>Đấu giá&gt; thiết bị điện tử tiêu dùng, AV, camera&gt; vẻ đẹp, sức khỏe&gt; ​​Máy cạo râu điện&gt; Philips</v>
      </c>
      <c r="F446" t="str">
        <f t="shared" ca="1" si="6"/>
        <v>"2084221680" : "Philips",</v>
      </c>
    </row>
    <row r="447" spans="1:6" ht="15.75" customHeight="1">
      <c r="A447" s="14">
        <v>2084221676</v>
      </c>
      <c r="B447" s="14" t="s">
        <v>4295</v>
      </c>
      <c r="C447" s="14" t="s">
        <v>4296</v>
      </c>
      <c r="D447" s="5" t="str">
        <f ca="1">IFERROR(__xludf.DUMMYFUNCTION("GOOGLETRANSLATE(B447,""ja"",""vi"")"),"màu nâu")</f>
        <v>màu nâu</v>
      </c>
      <c r="E447" s="4" t="str">
        <f ca="1">IFERROR(__xludf.DUMMYFUNCTION("GOOGLETRANSLATE(C447,""ja"",""vi"")"),"Đấu giá&gt; thiết bị điện tử tiêu dùng, AV, camera&gt; vẻ đẹp, sức khỏe&gt; ​​Máy cạo râu điện&gt; Nâu")</f>
        <v>Đấu giá&gt; thiết bị điện tử tiêu dùng, AV, camera&gt; vẻ đẹp, sức khỏe&gt; ​​Máy cạo râu điện&gt; Nâu</v>
      </c>
      <c r="F447" t="str">
        <f t="shared" ca="1" si="6"/>
        <v>"2084221676" : "màu nâu",</v>
      </c>
    </row>
    <row r="448" spans="1:6" ht="15.75" customHeight="1">
      <c r="A448" s="14">
        <v>2084221678</v>
      </c>
      <c r="B448" s="14" t="s">
        <v>1851</v>
      </c>
      <c r="C448" s="14" t="s">
        <v>4300</v>
      </c>
      <c r="D448" s="5" t="str">
        <f ca="1">IFERROR(__xludf.DUMMYFUNCTION("GOOGLETRANSLATE(B448,""ja"",""vi"")"),"Hitachi")</f>
        <v>Hitachi</v>
      </c>
      <c r="E448" s="4" t="str">
        <f ca="1">IFERROR(__xludf.DUMMYFUNCTION("GOOGLETRANSLATE(C448,""ja"",""vi"")"),"Đấu giá&gt; thiết bị điện tử tiêu dùng, AV, camera&gt; vẻ đẹp, sức khỏe&gt; ​​Máy cạo râu điện&gt; Hitachi")</f>
        <v>Đấu giá&gt; thiết bị điện tử tiêu dùng, AV, camera&gt; vẻ đẹp, sức khỏe&gt; ​​Máy cạo râu điện&gt; Hitachi</v>
      </c>
      <c r="F448" t="str">
        <f t="shared" ca="1" si="6"/>
        <v>"2084221678" : "Hitachi",</v>
      </c>
    </row>
    <row r="449" spans="1:6" ht="15.75" customHeight="1">
      <c r="A449" s="14">
        <v>2084221681</v>
      </c>
      <c r="B449" s="14" t="s">
        <v>46</v>
      </c>
      <c r="C449" s="14" t="s">
        <v>4303</v>
      </c>
      <c r="D449" s="5" t="str">
        <f ca="1">IFERROR(__xludf.DUMMYFUNCTION("GOOGLETRANSLATE(B449,""ja"",""vi"")"),"nếu không thì")</f>
        <v>nếu không thì</v>
      </c>
      <c r="E449" s="4" t="str">
        <f ca="1">IFERROR(__xludf.DUMMYFUNCTION("GOOGLETRANSLATE(C449,""ja"",""vi"")"),"Đấu giá&gt; thiết bị điện tử tiêu dùng, AV, camera&gt; vẻ đẹp, sức khỏe&gt; ​​Máy cạo râu điện&gt; Khác")</f>
        <v>Đấu giá&gt; thiết bị điện tử tiêu dùng, AV, camera&gt; vẻ đẹp, sức khỏe&gt; ​​Máy cạo râu điện&gt; Khác</v>
      </c>
      <c r="F449" t="str">
        <f t="shared" ca="1" si="6"/>
        <v>"2084221681" : "nếu không thì",</v>
      </c>
    </row>
    <row r="450" spans="1:6" ht="15.75" customHeight="1">
      <c r="A450" s="14">
        <v>2084230958</v>
      </c>
      <c r="B450" s="14" t="s">
        <v>4306</v>
      </c>
      <c r="C450" s="14" t="s">
        <v>4307</v>
      </c>
      <c r="D450" s="5" t="str">
        <f ca="1">IFERROR(__xludf.DUMMYFUNCTION("GOOGLETRANSLATE(B450,""ja"",""vi"")"),"Omron")</f>
        <v>Omron</v>
      </c>
      <c r="E450" s="4" t="str">
        <f ca="1">IFERROR(__xludf.DUMMYFUNCTION("GOOGLETRANSLATE(C450,""ja"",""vi"")"),"Đấu giá&gt; thiết bị điện tử tiêu dùng, AV, camera&gt; vẻ đẹp, sức khỏe&gt; ​​bàn chải đánh răng điện&gt; Omron")</f>
        <v>Đấu giá&gt; thiết bị điện tử tiêu dùng, AV, camera&gt; vẻ đẹp, sức khỏe&gt; ​​bàn chải đánh răng điện&gt; Omron</v>
      </c>
      <c r="F450" t="str">
        <f t="shared" ref="F450:F513" ca="1" si="7">CONCATENATE(CHAR(34)&amp;"",A450,""&amp;CHAR(34)," : ", CHAR(34)&amp;"",D450,""&amp;CHAR(34),",")</f>
        <v>"2084230958" : "Omron",</v>
      </c>
    </row>
    <row r="451" spans="1:6" ht="15.75" customHeight="1">
      <c r="A451" s="14">
        <v>2084230956</v>
      </c>
      <c r="B451" s="14" t="s">
        <v>4000</v>
      </c>
      <c r="C451" s="14" t="s">
        <v>4311</v>
      </c>
      <c r="D451" s="5" t="str">
        <f ca="1">IFERROR(__xludf.DUMMYFUNCTION("GOOGLETRANSLATE(B451,""ja"",""vi"")"),"Panasonic, National")</f>
        <v>Panasonic, National</v>
      </c>
      <c r="E451" s="4" t="str">
        <f ca="1">IFERROR(__xludf.DUMMYFUNCTION("GOOGLETRANSLATE(C451,""ja"",""vi"")"),"Đấu giá&gt; thiết bị điện tử tiêu dùng, AV, camera&gt; vẻ đẹp, sức khỏe&gt; ​​bàn chải đánh răng điện&gt; Panasonic, National")</f>
        <v>Đấu giá&gt; thiết bị điện tử tiêu dùng, AV, camera&gt; vẻ đẹp, sức khỏe&gt; ​​bàn chải đánh răng điện&gt; Panasonic, National</v>
      </c>
      <c r="F451" t="str">
        <f t="shared" ca="1" si="7"/>
        <v>"2084230956" : "Panasonic, National",</v>
      </c>
    </row>
    <row r="452" spans="1:6" ht="15.75" customHeight="1">
      <c r="A452" s="14">
        <v>2084230959</v>
      </c>
      <c r="B452" s="14" t="s">
        <v>4290</v>
      </c>
      <c r="C452" s="14" t="s">
        <v>4315</v>
      </c>
      <c r="D452" s="5" t="str">
        <f ca="1">IFERROR(__xludf.DUMMYFUNCTION("GOOGLETRANSLATE(B452,""ja"",""vi"")"),"Philips")</f>
        <v>Philips</v>
      </c>
      <c r="E452" s="4" t="str">
        <f ca="1">IFERROR(__xludf.DUMMYFUNCTION("GOOGLETRANSLATE(C452,""ja"",""vi"")"),"Đấu giá&gt; thiết bị điện tử tiêu dùng, AV, camera&gt; vẻ đẹp, sức khỏe&gt; ​​bàn chải đánh răng điện&gt; Philips")</f>
        <v>Đấu giá&gt; thiết bị điện tử tiêu dùng, AV, camera&gt; vẻ đẹp, sức khỏe&gt; ​​bàn chải đánh răng điện&gt; Philips</v>
      </c>
      <c r="F452" t="str">
        <f t="shared" ca="1" si="7"/>
        <v>"2084230959" : "Philips",</v>
      </c>
    </row>
    <row r="453" spans="1:6" ht="15.75" customHeight="1">
      <c r="A453" s="14">
        <v>2084230955</v>
      </c>
      <c r="B453" s="14" t="s">
        <v>4295</v>
      </c>
      <c r="C453" s="14" t="s">
        <v>4319</v>
      </c>
      <c r="D453" s="5" t="str">
        <f ca="1">IFERROR(__xludf.DUMMYFUNCTION("GOOGLETRANSLATE(B453,""ja"",""vi"")"),"màu nâu")</f>
        <v>màu nâu</v>
      </c>
      <c r="E453" s="4" t="str">
        <f ca="1">IFERROR(__xludf.DUMMYFUNCTION("GOOGLETRANSLATE(C453,""ja"",""vi"")"),"Đấu giá&gt; thiết bị điện tử tiêu dùng, AV, camera&gt; vẻ đẹp, sức khỏe&gt; ​​bàn chải đánh răng điện&gt; Nâu")</f>
        <v>Đấu giá&gt; thiết bị điện tử tiêu dùng, AV, camera&gt; vẻ đẹp, sức khỏe&gt; ​​bàn chải đánh răng điện&gt; Nâu</v>
      </c>
      <c r="F453" t="str">
        <f t="shared" ca="1" si="7"/>
        <v>"2084230955" : "màu nâu",</v>
      </c>
    </row>
    <row r="454" spans="1:6" ht="15.75" customHeight="1">
      <c r="A454" s="14">
        <v>2084230957</v>
      </c>
      <c r="B454" s="14" t="s">
        <v>4321</v>
      </c>
      <c r="C454" s="14" t="s">
        <v>4324</v>
      </c>
      <c r="D454" s="5" t="str">
        <f ca="1">IFERROR(__xludf.DUMMYFUNCTION("GOOGLETRANSLATE(B454,""ja"",""vi"")"),"Toure")</f>
        <v>Toure</v>
      </c>
      <c r="E454" s="4" t="str">
        <f ca="1">IFERROR(__xludf.DUMMYFUNCTION("GOOGLETRANSLATE(C454,""ja"",""vi"")"),"Đấu giá&gt; thiết bị điện tử tiêu dùng, AV, camera&gt; vẻ đẹp, sức khỏe&gt; ​​bàn chải đánh răng điện&gt; Toure")</f>
        <v>Đấu giá&gt; thiết bị điện tử tiêu dùng, AV, camera&gt; vẻ đẹp, sức khỏe&gt; ​​bàn chải đánh răng điện&gt; Toure</v>
      </c>
      <c r="F454" t="str">
        <f t="shared" ca="1" si="7"/>
        <v>"2084230957" : "Toure",</v>
      </c>
    </row>
    <row r="455" spans="1:6" ht="15.75" customHeight="1">
      <c r="A455" s="14">
        <v>2084230960</v>
      </c>
      <c r="B455" s="14" t="s">
        <v>46</v>
      </c>
      <c r="C455" s="14" t="s">
        <v>4326</v>
      </c>
      <c r="D455" s="5" t="str">
        <f ca="1">IFERROR(__xludf.DUMMYFUNCTION("GOOGLETRANSLATE(B455,""ja"",""vi"")"),"nếu không thì")</f>
        <v>nếu không thì</v>
      </c>
      <c r="E455" s="4" t="str">
        <f ca="1">IFERROR(__xludf.DUMMYFUNCTION("GOOGLETRANSLATE(C455,""ja"",""vi"")"),"Đấu giá&gt; thiết bị điện tử tiêu dùng, AV, camera&gt; vẻ đẹp, sức khỏe&gt; ​​bàn chải đánh răng điện&gt; Khác")</f>
        <v>Đấu giá&gt; thiết bị điện tử tiêu dùng, AV, camera&gt; vẻ đẹp, sức khỏe&gt; ​​bàn chải đánh răng điện&gt; Khác</v>
      </c>
      <c r="F455" t="str">
        <f t="shared" ca="1" si="7"/>
        <v>"2084230960" : "nếu không thì",</v>
      </c>
    </row>
    <row r="456" spans="1:6" ht="15.75" customHeight="1">
      <c r="A456" s="14">
        <v>2084055371</v>
      </c>
      <c r="B456" s="14" t="s">
        <v>4330</v>
      </c>
      <c r="C456" s="14" t="s">
        <v>4331</v>
      </c>
      <c r="D456" s="5" t="str">
        <f ca="1">IFERROR(__xludf.DUMMYFUNCTION("GOOGLETRANSLATE(B456,""ja"",""vi"")"),"Chăm sóc móng tay")</f>
        <v>Chăm sóc móng tay</v>
      </c>
      <c r="E456" s="4" t="str">
        <f ca="1">IFERROR(__xludf.DUMMYFUNCTION("GOOGLETRANSLATE(C456,""ja"",""vi"")"),"Đấu giá&gt; thiết bị điện tử tiêu dùng, AV, camera&gt; vẻ đẹp, sức khỏe&gt; ​​Thiết bị vẻ đẹp&gt; Chăm sóc móng")</f>
        <v>Đấu giá&gt; thiết bị điện tử tiêu dùng, AV, camera&gt; vẻ đẹp, sức khỏe&gt; ​​Thiết bị vẻ đẹp&gt; Chăm sóc móng</v>
      </c>
      <c r="F456" t="str">
        <f t="shared" ca="1" si="7"/>
        <v>"2084055371" : "Chăm sóc móng tay",</v>
      </c>
    </row>
    <row r="457" spans="1:6" ht="15.75" customHeight="1">
      <c r="A457" s="14">
        <v>2084055372</v>
      </c>
      <c r="B457" s="14" t="s">
        <v>4334</v>
      </c>
      <c r="C457" s="14" t="s">
        <v>4335</v>
      </c>
      <c r="D457" s="5" t="str">
        <f ca="1">IFERROR(__xludf.DUMMYFUNCTION("GOOGLETRANSLATE(B457,""ja"",""vi"")"),"Chăm sóc mặt")</f>
        <v>Chăm sóc mặt</v>
      </c>
      <c r="E457" s="4" t="str">
        <f ca="1">IFERROR(__xludf.DUMMYFUNCTION("GOOGLETRANSLATE(C457,""ja"",""vi"")"),"Đấu giá&gt; thiết bị điện tử tiêu dùng, AV, camera&gt; vẻ đẹp, sức khỏe&gt; ​​Thiết bị vẻ đẹp&gt; Chăm sóc mặt")</f>
        <v>Đấu giá&gt; thiết bị điện tử tiêu dùng, AV, camera&gt; vẻ đẹp, sức khỏe&gt; ​​Thiết bị vẻ đẹp&gt; Chăm sóc mặt</v>
      </c>
      <c r="F457" t="str">
        <f t="shared" ca="1" si="7"/>
        <v>"2084055372" : "Chăm sóc mặt",</v>
      </c>
    </row>
    <row r="458" spans="1:6" ht="15.75" customHeight="1">
      <c r="A458" s="14">
        <v>2084055373</v>
      </c>
      <c r="B458" s="14" t="s">
        <v>4338</v>
      </c>
      <c r="C458" s="14" t="s">
        <v>4339</v>
      </c>
      <c r="D458" s="5" t="str">
        <f ca="1">IFERROR(__xludf.DUMMYFUNCTION("GOOGLETRANSLATE(B458,""ja"",""vi"")"),"chăm sóc tóc")</f>
        <v>chăm sóc tóc</v>
      </c>
      <c r="E458" s="4" t="str">
        <f ca="1">IFERROR(__xludf.DUMMYFUNCTION("GOOGLETRANSLATE(C458,""ja"",""vi"")"),"Đấu giá&gt; thiết bị điện tử tiêu dùng, AV, camera&gt; vẻ đẹp, sức khỏe&gt; ​​Thiết bị vẻ đẹp&gt; Chăm sóc tóc")</f>
        <v>Đấu giá&gt; thiết bị điện tử tiêu dùng, AV, camera&gt; vẻ đẹp, sức khỏe&gt; ​​Thiết bị vẻ đẹp&gt; Chăm sóc tóc</v>
      </c>
      <c r="F458" t="str">
        <f t="shared" ca="1" si="7"/>
        <v>"2084055373" : "chăm sóc tóc",</v>
      </c>
    </row>
    <row r="459" spans="1:6" ht="15.75" customHeight="1">
      <c r="A459" s="14">
        <v>2084055374</v>
      </c>
      <c r="B459" s="14" t="s">
        <v>4341</v>
      </c>
      <c r="C459" s="14" t="s">
        <v>4342</v>
      </c>
      <c r="D459" s="5" t="str">
        <f ca="1">IFERROR(__xludf.DUMMYFUNCTION("GOOGLETRANSLATE(B459,""ja"",""vi"")"),"Chăm sóc cơ thể")</f>
        <v>Chăm sóc cơ thể</v>
      </c>
      <c r="E459" s="4" t="str">
        <f ca="1">IFERROR(__xludf.DUMMYFUNCTION("GOOGLETRANSLATE(C459,""ja"",""vi"")"),"Đấu giá&gt; thiết bị điện tử tiêu dùng, AV, camera&gt; vẻ đẹp, sức khỏe&gt; ​​Thiết bị vẻ đẹp&gt; Chăm sóc cơ thể")</f>
        <v>Đấu giá&gt; thiết bị điện tử tiêu dùng, AV, camera&gt; vẻ đẹp, sức khỏe&gt; ​​Thiết bị vẻ đẹp&gt; Chăm sóc cơ thể</v>
      </c>
      <c r="F459" t="str">
        <f t="shared" ca="1" si="7"/>
        <v>"2084055374" : "Chăm sóc cơ thể",</v>
      </c>
    </row>
    <row r="460" spans="1:6" ht="15.75" customHeight="1">
      <c r="A460" s="14">
        <v>2084006921</v>
      </c>
      <c r="B460" s="14" t="s">
        <v>4346</v>
      </c>
      <c r="C460" s="14" t="s">
        <v>4347</v>
      </c>
      <c r="D460" s="5" t="str">
        <f ca="1">IFERROR(__xludf.DUMMYFUNCTION("GOOGLETRANSLATE(B460,""ja"",""vi"")"),"mét mỡ cơ thể")</f>
        <v>mét mỡ cơ thể</v>
      </c>
      <c r="E460" s="4" t="str">
        <f ca="1">IFERROR(__xludf.DUMMYFUNCTION("GOOGLETRANSLATE(C460,""ja"",""vi"")"),"Đấu giá&gt; thiết bị điện tử tiêu dùng, AV, camera&gt; vẻ đẹp, sức khỏe&gt; ​​Thiết bị vẻ đẹp&gt; mét mỡ cơ thể")</f>
        <v>Đấu giá&gt; thiết bị điện tử tiêu dùng, AV, camera&gt; vẻ đẹp, sức khỏe&gt; ​​Thiết bị vẻ đẹp&gt; mét mỡ cơ thể</v>
      </c>
      <c r="F460" t="str">
        <f t="shared" ca="1" si="7"/>
        <v>"2084006921" : "mét mỡ cơ thể",</v>
      </c>
    </row>
    <row r="461" spans="1:6" ht="15.75" customHeight="1">
      <c r="A461" s="14">
        <v>2084006922</v>
      </c>
      <c r="B461" s="14" t="s">
        <v>4351</v>
      </c>
      <c r="C461" s="14" t="s">
        <v>4352</v>
      </c>
      <c r="D461" s="5" t="str">
        <f ca="1">IFERROR(__xludf.DUMMYFUNCTION("GOOGLETRANSLATE(B461,""ja"",""vi"")"),"quy mô nặng")</f>
        <v>quy mô nặng</v>
      </c>
      <c r="E461" s="4" t="str">
        <f ca="1">IFERROR(__xludf.DUMMYFUNCTION("GOOGLETRANSLATE(C461,""ja"",""vi"")"),"Đấu giá&gt; thiết bị điện tử tiêu dùng, AV, camera&gt; vẻ đẹp, sức khỏe&gt; ​​Thiết bị vẻ đẹp&gt; vảy")</f>
        <v>Đấu giá&gt; thiết bị điện tử tiêu dùng, AV, camera&gt; vẻ đẹp, sức khỏe&gt; ​​Thiết bị vẻ đẹp&gt; vảy</v>
      </c>
      <c r="F461" t="str">
        <f t="shared" ca="1" si="7"/>
        <v>"2084006922" : "quy mô nặng",</v>
      </c>
    </row>
    <row r="462" spans="1:6" ht="15.75" customHeight="1">
      <c r="A462" s="14">
        <v>2084055370</v>
      </c>
      <c r="B462" s="14" t="s">
        <v>4356</v>
      </c>
      <c r="C462" s="14" t="s">
        <v>4357</v>
      </c>
      <c r="D462" s="5" t="str">
        <f ca="1">IFERROR(__xludf.DUMMYFUNCTION("GOOGLETRANSLATE(B462,""ja"",""vi"")"),"tẩy lông, tẩy lông")</f>
        <v>tẩy lông, tẩy lông</v>
      </c>
      <c r="E462" s="4" t="str">
        <f ca="1">IFERROR(__xludf.DUMMYFUNCTION("GOOGLETRANSLATE(C462,""ja"",""vi"")"),"Đấu giá&gt; thiết bị điện tử tiêu dùng, AV, camera&gt; vẻ đẹp, sức khỏe&gt; ​​Thiết bị vẻ đẹp&gt; tẩy lông, tẩy lông")</f>
        <v>Đấu giá&gt; thiết bị điện tử tiêu dùng, AV, camera&gt; vẻ đẹp, sức khỏe&gt; ​​Thiết bị vẻ đẹp&gt; tẩy lông, tẩy lông</v>
      </c>
      <c r="F462" t="str">
        <f t="shared" ca="1" si="7"/>
        <v>"2084055370" : "tẩy lông, tẩy lông",</v>
      </c>
    </row>
    <row r="463" spans="1:6" ht="15.75" customHeight="1">
      <c r="A463" s="14">
        <v>2084044972</v>
      </c>
      <c r="B463" s="14" t="s">
        <v>4359</v>
      </c>
      <c r="C463" s="14" t="s">
        <v>4360</v>
      </c>
      <c r="D463" s="5" t="str">
        <f ca="1">IFERROR(__xludf.DUMMYFUNCTION("GOOGLETRANSLATE(B463,""ja"",""vi"")"),"bàn chải đánh răng điện")</f>
        <v>bàn chải đánh răng điện</v>
      </c>
      <c r="E463" s="4" t="str">
        <f ca="1">IFERROR(__xludf.DUMMYFUNCTION("GOOGLETRANSLATE(C463,""ja"",""vi"")"),"Đấu giá&gt; thiết bị điện tử tiêu dùng, AV, camera&gt; vẻ đẹp, sức khỏe&gt; ​​Thiết bị vẻ đẹp&gt; bàn chải đánh răng điện")</f>
        <v>Đấu giá&gt; thiết bị điện tử tiêu dùng, AV, camera&gt; vẻ đẹp, sức khỏe&gt; ​​Thiết bị vẻ đẹp&gt; bàn chải đánh răng điện</v>
      </c>
      <c r="F463" t="str">
        <f t="shared" ca="1" si="7"/>
        <v>"2084044972" : "bàn chải đánh răng điện",</v>
      </c>
    </row>
    <row r="464" spans="1:6" ht="15.75" customHeight="1">
      <c r="A464" s="14">
        <v>2084055375</v>
      </c>
      <c r="B464" s="14" t="s">
        <v>46</v>
      </c>
      <c r="C464" s="14" t="s">
        <v>4364</v>
      </c>
      <c r="D464" s="5" t="str">
        <f ca="1">IFERROR(__xludf.DUMMYFUNCTION("GOOGLETRANSLATE(B464,""ja"",""vi"")"),"nếu không thì")</f>
        <v>nếu không thì</v>
      </c>
      <c r="E464" s="4" t="str">
        <f ca="1">IFERROR(__xludf.DUMMYFUNCTION("GOOGLETRANSLATE(C464,""ja"",""vi"")"),"Đấu giá&gt; thiết bị điện tử tiêu dùng, AV, camera&gt; vẻ đẹp, sức khỏe&gt; ​​Thiết bị vẻ đẹp&gt; Khác")</f>
        <v>Đấu giá&gt; thiết bị điện tử tiêu dùng, AV, camera&gt; vẻ đẹp, sức khỏe&gt; ​​Thiết bị vẻ đẹp&gt; Khác</v>
      </c>
      <c r="F464" t="str">
        <f t="shared" ca="1" si="7"/>
        <v>"2084055375" : "nếu không thì",</v>
      </c>
    </row>
    <row r="465" spans="1:6" ht="15.75" customHeight="1">
      <c r="A465" s="14">
        <v>2084298965</v>
      </c>
      <c r="B465" s="14" t="s">
        <v>3627</v>
      </c>
      <c r="C465" s="14" t="s">
        <v>4368</v>
      </c>
      <c r="D465" s="5" t="str">
        <f ca="1">IFERROR(__xludf.DUMMYFUNCTION("GOOGLETRANSLATE(B465,""ja"",""vi"")"),"Điện thoại thông minh cơ thể")</f>
        <v>Điện thoại thông minh cơ thể</v>
      </c>
      <c r="E465" s="4" t="str">
        <f ca="1">IFERROR(__xludf.DUMMYFUNCTION("GOOGLETRANSLATE(C465,""ja"",""vi"")"),"Đấu giá&gt; thiết bị điện tử tiêu dùng, AV, camera&gt; điện thoại di động, điện thoại thông minh&gt; Smartphone cơ thể")</f>
        <v>Đấu giá&gt; thiết bị điện tử tiêu dùng, AV, camera&gt; điện thoại di động, điện thoại thông minh&gt; Smartphone cơ thể</v>
      </c>
      <c r="F465" t="str">
        <f t="shared" ca="1" si="7"/>
        <v>"2084298965" : "Điện thoại thông minh cơ thể",</v>
      </c>
    </row>
    <row r="466" spans="1:6" ht="15.75" customHeight="1">
      <c r="A466" s="14">
        <v>2084316075</v>
      </c>
      <c r="B466" s="14" t="s">
        <v>4370</v>
      </c>
      <c r="C466" s="14" t="s">
        <v>4371</v>
      </c>
      <c r="D466" s="5" t="str">
        <f ca="1">IFERROR(__xludf.DUMMYFUNCTION("GOOGLETRANSLATE(B466,""ja"",""vi"")"),"cơ thể đồng hồ thông minh")</f>
        <v>cơ thể đồng hồ thông minh</v>
      </c>
      <c r="E466" s="4" t="str">
        <f ca="1">IFERROR(__xludf.DUMMYFUNCTION("GOOGLETRANSLATE(C466,""ja"",""vi"")"),"Đấu giá&gt; thiết bị điện tử tiêu dùng, AV, camera&gt; điện thoại di động, điện thoại thông minh&gt; cơ thể đồng hồ thông minh")</f>
        <v>Đấu giá&gt; thiết bị điện tử tiêu dùng, AV, camera&gt; điện thoại di động, điện thoại thông minh&gt; cơ thể đồng hồ thông minh</v>
      </c>
      <c r="F466" t="str">
        <f t="shared" ca="1" si="7"/>
        <v>"2084316075" : "cơ thể đồng hồ thông minh",</v>
      </c>
    </row>
    <row r="467" spans="1:6" ht="15.75" customHeight="1">
      <c r="A467" s="14">
        <v>2084005067</v>
      </c>
      <c r="B467" s="14" t="s">
        <v>4375</v>
      </c>
      <c r="C467" s="14" t="s">
        <v>4376</v>
      </c>
      <c r="D467" s="5" t="str">
        <f ca="1">IFERROR(__xludf.DUMMYFUNCTION("GOOGLETRANSLATE(B467,""ja"",""vi"")"),"cơ thể điện thoại di động")</f>
        <v>cơ thể điện thoại di động</v>
      </c>
      <c r="E467" s="4" t="str">
        <f ca="1">IFERROR(__xludf.DUMMYFUNCTION("GOOGLETRANSLATE(C467,""ja"",""vi"")"),"Đấu giá&gt; thiết bị điện tử tiêu dùng, AV, camera&gt; điện thoại di động, điện thoại thông minh&gt; đơn vị điện thoại di động")</f>
        <v>Đấu giá&gt; thiết bị điện tử tiêu dùng, AV, camera&gt; điện thoại di động, điện thoại thông minh&gt; đơn vị điện thoại di động</v>
      </c>
      <c r="F467" t="str">
        <f t="shared" ca="1" si="7"/>
        <v>"2084005067" : "cơ thể điện thoại di động",</v>
      </c>
    </row>
    <row r="468" spans="1:6" ht="15.75" customHeight="1">
      <c r="A468" s="14">
        <v>2084005068</v>
      </c>
      <c r="B468" s="14" t="s">
        <v>4378</v>
      </c>
      <c r="C468" s="14" t="s">
        <v>4380</v>
      </c>
      <c r="D468" s="5" t="str">
        <f ca="1">IFERROR(__xludf.DUMMYFUNCTION("GOOGLETRANSLATE(B468,""ja"",""vi"")"),"PHS cơ thể")</f>
        <v>PHS cơ thể</v>
      </c>
      <c r="E468" s="4" t="str">
        <f ca="1">IFERROR(__xludf.DUMMYFUNCTION("GOOGLETRANSLATE(C468,""ja"",""vi"")"),"Đấu giá&gt; thiết bị điện tử tiêu dùng, AV, camera&gt; điện thoại di động, điện thoại thông minh&gt; PHS cơ thể")</f>
        <v>Đấu giá&gt; thiết bị điện tử tiêu dùng, AV, camera&gt; điện thoại di động, điện thoại thông minh&gt; PHS cơ thể</v>
      </c>
      <c r="F468" t="str">
        <f t="shared" ca="1" si="7"/>
        <v>"2084005068" : "PHS cơ thể",</v>
      </c>
    </row>
    <row r="469" spans="1:6" ht="15.75" customHeight="1">
      <c r="A469" s="14">
        <v>2084005063</v>
      </c>
      <c r="B469" s="14" t="s">
        <v>1797</v>
      </c>
      <c r="C469" s="14" t="s">
        <v>4383</v>
      </c>
      <c r="D469" s="5" t="str">
        <f ca="1">IFERROR(__xludf.DUMMYFUNCTION("GOOGLETRANSLATE(B469,""ja"",""vi"")"),"Pin, sạc")</f>
        <v>Pin, sạc</v>
      </c>
      <c r="E469" s="4" t="str">
        <f ca="1">IFERROR(__xludf.DUMMYFUNCTION("GOOGLETRANSLATE(C469,""ja"",""vi"")"),"Đấu giá&gt; thiết bị điện tử tiêu dùng, AV, camera&gt; điện thoại di động, điện thoại thông minh&gt; pin, sạc")</f>
        <v>Đấu giá&gt; thiết bị điện tử tiêu dùng, AV, camera&gt; điện thoại di động, điện thoại thông minh&gt; pin, sạc</v>
      </c>
      <c r="F469" t="str">
        <f t="shared" ca="1" si="7"/>
        <v>"2084005063" : "Pin, sạc",</v>
      </c>
    </row>
    <row r="470" spans="1:6" ht="15.75" customHeight="1">
      <c r="A470" s="14">
        <v>2084005061</v>
      </c>
      <c r="B470" s="14" t="s">
        <v>1685</v>
      </c>
      <c r="C470" s="14" t="s">
        <v>4388</v>
      </c>
      <c r="D470" s="5" t="str">
        <f ca="1">IFERROR(__xludf.DUMMYFUNCTION("GOOGLETRANSLATE(B470,""ja"",""vi"")"),"phụ kiện")</f>
        <v>phụ kiện</v>
      </c>
      <c r="E470" s="4" t="str">
        <f ca="1">IFERROR(__xludf.DUMMYFUNCTION("GOOGLETRANSLATE(C470,""ja"",""vi"")"),"Đấu giá&gt; thiết bị điện tử tiêu dùng, AV, camera&gt; điện thoại di động, điện thoại thông minh&gt; Accessories")</f>
        <v>Đấu giá&gt; thiết bị điện tử tiêu dùng, AV, camera&gt; điện thoại di động, điện thoại thông minh&gt; Accessories</v>
      </c>
      <c r="F470" t="str">
        <f t="shared" ca="1" si="7"/>
        <v>"2084005061" : "phụ kiện",</v>
      </c>
    </row>
    <row r="471" spans="1:6" ht="15.75" customHeight="1">
      <c r="A471" s="14">
        <v>2084008420</v>
      </c>
      <c r="B471" s="14" t="s">
        <v>4392</v>
      </c>
      <c r="C471" s="14" t="s">
        <v>4393</v>
      </c>
      <c r="D471" s="5" t="str">
        <f ca="1">IFERROR(__xludf.DUMMYFUNCTION("GOOGLETRANSLATE(B471,""ja"",""vi"")"),"Mock-up")</f>
        <v>Mock-up</v>
      </c>
      <c r="E471" s="4" t="str">
        <f ca="1">IFERROR(__xludf.DUMMYFUNCTION("GOOGLETRANSLATE(C471,""ja"",""vi"")"),"Đấu giá&gt; thiết bị điện tử tiêu dùng, AV, camera&gt; điện thoại di động, điện thoại thông minh&gt; mock-up")</f>
        <v>Đấu giá&gt; thiết bị điện tử tiêu dùng, AV, camera&gt; điện thoại di động, điện thoại thông minh&gt; mock-up</v>
      </c>
      <c r="F471" t="str">
        <f t="shared" ca="1" si="7"/>
        <v>"2084008420" : "Mock-up",</v>
      </c>
    </row>
    <row r="472" spans="1:6" ht="15.75" customHeight="1">
      <c r="A472" s="14">
        <v>2084292086</v>
      </c>
      <c r="B472" s="14" t="s">
        <v>4397</v>
      </c>
      <c r="C472" s="14" t="s">
        <v>4398</v>
      </c>
      <c r="D472" s="5" t="str">
        <f ca="1">IFERROR(__xludf.DUMMYFUNCTION("GOOGLETRANSLATE(B472,""ja"",""vi"")"),"Tablet thiết bị đầu cuối")</f>
        <v>Tablet thiết bị đầu cuối</v>
      </c>
      <c r="E472" s="4" t="str">
        <f ca="1">IFERROR(__xludf.DUMMYFUNCTION("GOOGLETRANSLATE(C472,""ja"",""vi"")"),"Đấu giá&gt; thiết bị điện tử tiêu dùng, AV, camera&gt; điện thoại di động, điện thoại thông minh&gt; Terminal tablet")</f>
        <v>Đấu giá&gt; thiết bị điện tử tiêu dùng, AV, camera&gt; điện thoại di động, điện thoại thông minh&gt; Terminal tablet</v>
      </c>
      <c r="F472" t="str">
        <f t="shared" ca="1" si="7"/>
        <v>"2084292086" : "Tablet thiết bị đầu cuối",</v>
      </c>
    </row>
    <row r="473" spans="1:6" ht="15.75" customHeight="1">
      <c r="A473" s="14">
        <v>23804</v>
      </c>
      <c r="B473" s="14" t="s">
        <v>4403</v>
      </c>
      <c r="C473" s="14" t="s">
        <v>4406</v>
      </c>
      <c r="D473" s="5" t="str">
        <f ca="1">IFERROR(__xludf.DUMMYFUNCTION("GOOGLETRANSLATE(B473,""ja"",""vi"")"),"Tai nghe, tai nghe")</f>
        <v>Tai nghe, tai nghe</v>
      </c>
      <c r="E473" s="4" t="str">
        <f ca="1">IFERROR(__xludf.DUMMYFUNCTION("GOOGLETRANSLATE(C473,""ja"",""vi"")"),"Đấu giá&gt; thiết bị điện tử tiêu dùng, AV, camera&gt; điện thoại di động, điện thoại thông minh&gt; tai nghe, tai nghe")</f>
        <v>Đấu giá&gt; thiết bị điện tử tiêu dùng, AV, camera&gt; điện thoại di động, điện thoại thông minh&gt; tai nghe, tai nghe</v>
      </c>
      <c r="F473" t="str">
        <f t="shared" ca="1" si="7"/>
        <v>"23804" : "Tai nghe, tai nghe",</v>
      </c>
    </row>
    <row r="474" spans="1:6" ht="15.75" customHeight="1">
      <c r="A474" s="14">
        <v>2084005066</v>
      </c>
      <c r="B474" s="14" t="s">
        <v>46</v>
      </c>
      <c r="C474" s="14" t="s">
        <v>4408</v>
      </c>
      <c r="D474" s="5" t="str">
        <f ca="1">IFERROR(__xludf.DUMMYFUNCTION("GOOGLETRANSLATE(B474,""ja"",""vi"")"),"nếu không thì")</f>
        <v>nếu không thì</v>
      </c>
      <c r="E474" s="4" t="str">
        <f ca="1">IFERROR(__xludf.DUMMYFUNCTION("GOOGLETRANSLATE(C474,""ja"",""vi"")"),"Đấu giá&gt; thiết bị điện tử tiêu dùng, AV, camera&gt; điện thoại di động, điện thoại thông minh&gt; Khác")</f>
        <v>Đấu giá&gt; thiết bị điện tử tiêu dùng, AV, camera&gt; điện thoại di động, điện thoại thông minh&gt; Khác</v>
      </c>
      <c r="F474" t="str">
        <f t="shared" ca="1" si="7"/>
        <v>"2084005066" : "nếu không thì",</v>
      </c>
    </row>
    <row r="475" spans="1:6" ht="15.75" customHeight="1">
      <c r="A475" s="14">
        <v>2084198557</v>
      </c>
      <c r="B475" s="14" t="s">
        <v>1707</v>
      </c>
      <c r="C475" s="14" t="s">
        <v>4412</v>
      </c>
      <c r="D475" s="5" t="str">
        <f ca="1">IFERROR(__xludf.DUMMYFUNCTION("GOOGLETRANSLATE(B475,""ja"",""vi"")"),"NEC")</f>
        <v>NEC</v>
      </c>
      <c r="E475" s="4" t="str">
        <f ca="1">IFERROR(__xludf.DUMMYFUNCTION("GOOGLETRANSLATE(C475,""ja"",""vi"")"),"Đấu giá&gt; Văn phòng, Cửa hàng cung cấp&gt; thiết bị OA&gt; điện thoại kinh doanh&gt; NEC")</f>
        <v>Đấu giá&gt; Văn phòng, Cửa hàng cung cấp&gt; thiết bị OA&gt; điện thoại kinh doanh&gt; NEC</v>
      </c>
      <c r="F475" t="str">
        <f t="shared" ca="1" si="7"/>
        <v>"2084198557" : "NEC",</v>
      </c>
    </row>
    <row r="476" spans="1:6" ht="15.75" customHeight="1">
      <c r="A476" s="14">
        <v>2084198553</v>
      </c>
      <c r="B476" s="14" t="s">
        <v>4416</v>
      </c>
      <c r="C476" s="14" t="s">
        <v>4417</v>
      </c>
      <c r="D476" s="5" t="str">
        <f ca="1">IFERROR(__xludf.DUMMYFUNCTION("GOOGLETRANSLATE(B476,""ja"",""vi"")"),"NTT")</f>
        <v>NTT</v>
      </c>
      <c r="E476" s="4" t="str">
        <f ca="1">IFERROR(__xludf.DUMMYFUNCTION("GOOGLETRANSLATE(C476,""ja"",""vi"")"),"Đấu giá&gt; Văn phòng, Cửa hàng cung cấp&gt; thiết bị OA&gt; điện thoại kinh doanh&gt; NTT")</f>
        <v>Đấu giá&gt; Văn phòng, Cửa hàng cung cấp&gt; thiết bị OA&gt; điện thoại kinh doanh&gt; NTT</v>
      </c>
      <c r="F476" t="str">
        <f t="shared" ca="1" si="7"/>
        <v>"2084198553" : "NTT",</v>
      </c>
    </row>
    <row r="477" spans="1:6" ht="15.75" customHeight="1">
      <c r="A477" s="14">
        <v>2084198559</v>
      </c>
      <c r="B477" s="14" t="s">
        <v>4418</v>
      </c>
      <c r="C477" s="14" t="s">
        <v>4420</v>
      </c>
      <c r="D477" s="5" t="str">
        <f ca="1">IFERROR(__xludf.DUMMYFUNCTION("GOOGLETRANSLATE(B477,""ja"",""vi"")"),"SAXA")</f>
        <v>SAXA</v>
      </c>
      <c r="E477" s="4" t="str">
        <f ca="1">IFERROR(__xludf.DUMMYFUNCTION("GOOGLETRANSLATE(C477,""ja"",""vi"")"),"Đấu giá&gt; Văn phòng, Cửa hàng cung cấp&gt; thiết bị OA&gt; điện thoại kinh doanh&gt; Saxa")</f>
        <v>Đấu giá&gt; Văn phòng, Cửa hàng cung cấp&gt; thiết bị OA&gt; điện thoại kinh doanh&gt; Saxa</v>
      </c>
      <c r="F477" t="str">
        <f t="shared" ca="1" si="7"/>
        <v>"2084198559" : "SAXA",</v>
      </c>
    </row>
    <row r="478" spans="1:6" ht="15.75" customHeight="1">
      <c r="A478" s="14">
        <v>2084198556</v>
      </c>
      <c r="B478" s="14" t="s">
        <v>4423</v>
      </c>
      <c r="C478" s="14" t="s">
        <v>4425</v>
      </c>
      <c r="D478" s="5" t="str">
        <f ca="1">IFERROR(__xludf.DUMMYFUNCTION("GOOGLETRANSLATE(B478,""ja"",""vi"")"),"dịch vụ điện tử Nakayo")</f>
        <v>dịch vụ điện tử Nakayo</v>
      </c>
      <c r="E478" s="4" t="str">
        <f ca="1">IFERROR(__xludf.DUMMYFUNCTION("GOOGLETRANSLATE(C478,""ja"",""vi"")"),"Đấu giá&gt; Văn phòng, Cửa hàng cung cấp&gt; thiết bị OA&gt; điện thoại kinh doanh&gt; Nakayo dịch vụ điện tử")</f>
        <v>Đấu giá&gt; Văn phòng, Cửa hàng cung cấp&gt; thiết bị OA&gt; điện thoại kinh doanh&gt; Nakayo dịch vụ điện tử</v>
      </c>
      <c r="F478" t="str">
        <f t="shared" ca="1" si="7"/>
        <v>"2084198556" : "dịch vụ điện tử Nakayo",</v>
      </c>
    </row>
    <row r="479" spans="1:6" ht="15.75" customHeight="1">
      <c r="A479" s="14">
        <v>2084198558</v>
      </c>
      <c r="B479" s="14" t="s">
        <v>1918</v>
      </c>
      <c r="C479" s="14" t="s">
        <v>4429</v>
      </c>
      <c r="D479" s="5" t="str">
        <f ca="1">IFERROR(__xludf.DUMMYFUNCTION("GOOGLETRANSLATE(B479,""ja"",""vi"")"),"Panasonic")</f>
        <v>Panasonic</v>
      </c>
      <c r="E479" s="4" t="str">
        <f ca="1">IFERROR(__xludf.DUMMYFUNCTION("GOOGLETRANSLATE(C479,""ja"",""vi"")"),"Đấu giá&gt; Văn phòng, Cửa hàng cung cấp&gt; thiết bị OA&gt; điện thoại kinh doanh&gt; Panasonic")</f>
        <v>Đấu giá&gt; Văn phòng, Cửa hàng cung cấp&gt; thiết bị OA&gt; điện thoại kinh doanh&gt; Panasonic</v>
      </c>
      <c r="F479" t="str">
        <f t="shared" ca="1" si="7"/>
        <v>"2084198558" : "Panasonic",</v>
      </c>
    </row>
    <row r="480" spans="1:6" ht="15.75" customHeight="1">
      <c r="A480" s="14">
        <v>2084198555</v>
      </c>
      <c r="B480" s="14" t="s">
        <v>4431</v>
      </c>
      <c r="C480" s="14" t="s">
        <v>4432</v>
      </c>
      <c r="D480" s="5" t="str">
        <f ca="1">IFERROR(__xludf.DUMMYFUNCTION("GOOGLETRANSLATE(B480,""ja"",""vi"")"),"Iwatsu Electric")</f>
        <v>Iwatsu Electric</v>
      </c>
      <c r="E480" s="4" t="str">
        <f ca="1">IFERROR(__xludf.DUMMYFUNCTION("GOOGLETRANSLATE(C480,""ja"",""vi"")"),"Đấu giá&gt; Văn phòng, Cửa hàng cung cấp&gt; thiết bị OA&gt; điện thoại kinh doanh&gt; Iwatsu Electric")</f>
        <v>Đấu giá&gt; Văn phòng, Cửa hàng cung cấp&gt; thiết bị OA&gt; điện thoại kinh doanh&gt; Iwatsu Electric</v>
      </c>
      <c r="F480" t="str">
        <f t="shared" ca="1" si="7"/>
        <v>"2084198555" : "Iwatsu Electric",</v>
      </c>
    </row>
    <row r="481" spans="1:6" ht="15.75" customHeight="1">
      <c r="A481" s="14">
        <v>2084198554</v>
      </c>
      <c r="B481" s="14" t="s">
        <v>4436</v>
      </c>
      <c r="C481" s="14" t="s">
        <v>4437</v>
      </c>
      <c r="D481" s="5" t="str">
        <f ca="1">IFERROR(__xludf.DUMMYFUNCTION("GOOGLETRANSLATE(B481,""ja"",""vi"")"),"Hitachi, Ltd.")</f>
        <v>Hitachi, Ltd.</v>
      </c>
      <c r="E481" s="4" t="str">
        <f ca="1">IFERROR(__xludf.DUMMYFUNCTION("GOOGLETRANSLATE(C481,""ja"",""vi"")"),"Đấu giá&gt; Văn phòng, Cửa hàng cung cấp&gt; thiết bị OA&gt; điện thoại kinh doanh&gt; Hitachi")</f>
        <v>Đấu giá&gt; Văn phòng, Cửa hàng cung cấp&gt; thiết bị OA&gt; điện thoại kinh doanh&gt; Hitachi</v>
      </c>
      <c r="F481" t="str">
        <f t="shared" ca="1" si="7"/>
        <v>"2084198554" : "Hitachi, Ltd.",</v>
      </c>
    </row>
    <row r="482" spans="1:6" ht="15.75" customHeight="1">
      <c r="A482" s="14">
        <v>2084198560</v>
      </c>
      <c r="B482" s="14" t="s">
        <v>46</v>
      </c>
      <c r="C482" s="14" t="s">
        <v>4441</v>
      </c>
      <c r="D482" s="5" t="str">
        <f ca="1">IFERROR(__xludf.DUMMYFUNCTION("GOOGLETRANSLATE(B482,""ja"",""vi"")"),"nếu không thì")</f>
        <v>nếu không thì</v>
      </c>
      <c r="E482" s="4" t="str">
        <f ca="1">IFERROR(__xludf.DUMMYFUNCTION("GOOGLETRANSLATE(C482,""ja"",""vi"")"),"Đấu giá&gt; vật tư văn phòng, cửa hàng&gt; thiết bị OA&gt; điện thoại kinh doanh&gt; Khác")</f>
        <v>Đấu giá&gt; vật tư văn phòng, cửa hàng&gt; thiết bị OA&gt; điện thoại kinh doanh&gt; Khác</v>
      </c>
      <c r="F482" t="str">
        <f t="shared" ca="1" si="7"/>
        <v>"2084198560" : "nếu không thì",</v>
      </c>
    </row>
    <row r="483" spans="1:6" ht="15.75" customHeight="1">
      <c r="A483" s="14">
        <v>2084062982</v>
      </c>
      <c r="B483" s="14" t="s">
        <v>1678</v>
      </c>
      <c r="C483" s="14" t="s">
        <v>4444</v>
      </c>
      <c r="D483" s="5" t="str">
        <f ca="1">IFERROR(__xludf.DUMMYFUNCTION("GOOGLETRANSLATE(B483,""ja"",""vi"")"),"Một cơ thể")</f>
        <v>Một cơ thể</v>
      </c>
      <c r="E483" s="4" t="str">
        <f ca="1">IFERROR(__xludf.DUMMYFUNCTION("GOOGLETRANSLATE(C483,""ja"",""vi"")"),"Đấu giá&gt; Văn phòng, Cửa hàng cung cấp&gt; thiết bị OA&gt; máy đa chức năng, sao chép máy&gt; cơ thể")</f>
        <v>Đấu giá&gt; Văn phòng, Cửa hàng cung cấp&gt; thiết bị OA&gt; máy đa chức năng, sao chép máy&gt; cơ thể</v>
      </c>
      <c r="F483" t="str">
        <f t="shared" ca="1" si="7"/>
        <v>"2084062982" : "Một cơ thể",</v>
      </c>
    </row>
    <row r="484" spans="1:6" ht="15.75" customHeight="1">
      <c r="A484" s="14">
        <v>2084063008</v>
      </c>
      <c r="B484" s="14" t="s">
        <v>4447</v>
      </c>
      <c r="C484" s="14" t="s">
        <v>4448</v>
      </c>
      <c r="D484" s="5" t="str">
        <f ca="1">IFERROR(__xludf.DUMMYFUNCTION("GOOGLETRANSLATE(B484,""ja"",""vi"")"),"cung cấp")</f>
        <v>cung cấp</v>
      </c>
      <c r="E484" s="4" t="str">
        <f ca="1">IFERROR(__xludf.DUMMYFUNCTION("GOOGLETRANSLATE(C484,""ja"",""vi"")"),"Đấu giá&gt; Văn phòng, Cửa hàng cung cấp&gt; thiết bị OA&gt; máy đa chức năng, sao chép máy&gt; cung cấp")</f>
        <v>Đấu giá&gt; Văn phòng, Cửa hàng cung cấp&gt; thiết bị OA&gt; máy đa chức năng, sao chép máy&gt; cung cấp</v>
      </c>
      <c r="F484" t="str">
        <f t="shared" ca="1" si="7"/>
        <v>"2084063008" : "cung cấp",</v>
      </c>
    </row>
    <row r="485" spans="1:6" ht="15.75" customHeight="1">
      <c r="A485" s="14">
        <v>2084005121</v>
      </c>
      <c r="B485" s="14" t="s">
        <v>4452</v>
      </c>
      <c r="C485" s="14" t="s">
        <v>4453</v>
      </c>
      <c r="D485" s="5" t="str">
        <f ca="1">IFERROR(__xludf.DUMMYFUNCTION("GOOGLETRANSLATE(B485,""ja"",""vi"")"),"nhân vật")</f>
        <v>nhân vật</v>
      </c>
      <c r="E485" s="4" t="str">
        <f ca="1">IFERROR(__xludf.DUMMYFUNCTION("GOOGLETRANSLATE(C485,""ja"",""vi"")"),"Đấu giá&gt; vé, chứng từ, đặt phòng khách sạn&gt; Thẻ trả trước&gt; Thẻ điện thoại&gt; Nhân vật")</f>
        <v>Đấu giá&gt; vé, chứng từ, đặt phòng khách sạn&gt; Thẻ trả trước&gt; Thẻ điện thoại&gt; Nhân vật</v>
      </c>
      <c r="F485" t="str">
        <f t="shared" ca="1" si="7"/>
        <v>"2084005121" : "nhân vật",</v>
      </c>
    </row>
    <row r="486" spans="1:6" ht="15.75" customHeight="1">
      <c r="A486" s="14">
        <v>2084005120</v>
      </c>
      <c r="B486" s="14" t="s">
        <v>4455</v>
      </c>
      <c r="C486" s="14" t="s">
        <v>4456</v>
      </c>
      <c r="D486" s="5" t="str">
        <f ca="1">IFERROR(__xludf.DUMMYFUNCTION("GOOGLETRANSLATE(B486,""ja"",""vi"")"),"Truyện tranh, hoạt hình")</f>
        <v>Truyện tranh, hoạt hình</v>
      </c>
      <c r="E486" s="4" t="str">
        <f ca="1">IFERROR(__xludf.DUMMYFUNCTION("GOOGLETRANSLATE(C486,""ja"",""vi"")"),"Đấu giá&gt; vé, chứng từ, đặt phòng khách sạn&gt; Thẻ trả trước&gt; Thẻ điện thoại&gt; truyện tranh, hoạt hình")</f>
        <v>Đấu giá&gt; vé, chứng từ, đặt phòng khách sạn&gt; Thẻ trả trước&gt; Thẻ điện thoại&gt; truyện tranh, hoạt hình</v>
      </c>
      <c r="F486" t="str">
        <f t="shared" ca="1" si="7"/>
        <v>"2084005120" : "Truyện tranh, hoạt hình",</v>
      </c>
    </row>
    <row r="487" spans="1:6" ht="15.75" customHeight="1">
      <c r="A487" s="14">
        <v>2084005113</v>
      </c>
      <c r="B487" s="14" t="s">
        <v>4458</v>
      </c>
      <c r="C487" s="14" t="s">
        <v>4459</v>
      </c>
      <c r="D487" s="5" t="str">
        <f ca="1">IFERROR(__xludf.DUMMYFUNCTION("GOOGLETRANSLATE(B487,""ja"",""vi"")"),"thể thao")</f>
        <v>thể thao</v>
      </c>
      <c r="E487" s="4" t="str">
        <f ca="1">IFERROR(__xludf.DUMMYFUNCTION("GOOGLETRANSLATE(C487,""ja"",""vi"")"),"Đấu giá&gt; vé, chứng từ, đặt phòng khách sạn&gt; Thẻ trả trước&gt; Thẻ điện thoại&gt; Thể Thao")</f>
        <v>Đấu giá&gt; vé, chứng từ, đặt phòng khách sạn&gt; Thẻ trả trước&gt; Thẻ điện thoại&gt; Thể Thao</v>
      </c>
      <c r="F487" t="str">
        <f t="shared" ca="1" si="7"/>
        <v>"2084005113" : "thể thao",</v>
      </c>
    </row>
    <row r="488" spans="1:6" ht="15.75" customHeight="1">
      <c r="A488" s="14">
        <v>2084005119</v>
      </c>
      <c r="B488" s="14" t="s">
        <v>4463</v>
      </c>
      <c r="C488" s="14" t="s">
        <v>4464</v>
      </c>
      <c r="D488" s="5" t="str">
        <f ca="1">IFERROR(__xludf.DUMMYFUNCTION("GOOGLETRANSLATE(B488,""ja"",""vi"")"),"Mã số trò chơi")</f>
        <v>Mã số trò chơi</v>
      </c>
      <c r="E488" s="4" t="str">
        <f ca="1">IFERROR(__xludf.DUMMYFUNCTION("GOOGLETRANSLATE(C488,""ja"",""vi"")"),"Đấu giá&gt; vé, chứng từ, đặt phòng khách sạn&gt; Thẻ trả trước&gt; Thẻ điện thoại&gt; video game")</f>
        <v>Đấu giá&gt; vé, chứng từ, đặt phòng khách sạn&gt; Thẻ trả trước&gt; Thẻ điện thoại&gt; video game</v>
      </c>
      <c r="F488" t="str">
        <f t="shared" ca="1" si="7"/>
        <v>"2084005119" : "Mã số trò chơi",</v>
      </c>
    </row>
    <row r="489" spans="1:6" ht="15.75" customHeight="1">
      <c r="A489" s="14">
        <v>2084005123</v>
      </c>
      <c r="B489" s="14" t="s">
        <v>4468</v>
      </c>
      <c r="C489" s="14" t="s">
        <v>4469</v>
      </c>
      <c r="D489" s="5" t="str">
        <f ca="1">IFERROR(__xludf.DUMMYFUNCTION("GOOGLETRANSLATE(B489,""ja"",""vi"")"),"chương trình truyền hình")</f>
        <v>chương trình truyền hình</v>
      </c>
      <c r="E489" s="4" t="str">
        <f ca="1">IFERROR(__xludf.DUMMYFUNCTION("GOOGLETRANSLATE(C489,""ja"",""vi"")"),"Đấu giá&gt; vé, chứng từ, đặt phòng khách sạn&gt; Thẻ trả trước&gt; Thẻ điện thoại&gt; chương trình truyền hình")</f>
        <v>Đấu giá&gt; vé, chứng từ, đặt phòng khách sạn&gt; Thẻ trả trước&gt; Thẻ điện thoại&gt; chương trình truyền hình</v>
      </c>
      <c r="F489" t="str">
        <f t="shared" ca="1" si="7"/>
        <v>"2084005123" : "chương trình truyền hình",</v>
      </c>
    </row>
    <row r="490" spans="1:6" ht="15.75" customHeight="1">
      <c r="A490" s="14">
        <v>2084005105</v>
      </c>
      <c r="B490" s="14" t="s">
        <v>4471</v>
      </c>
      <c r="C490" s="14" t="s">
        <v>4472</v>
      </c>
      <c r="D490" s="5" t="str">
        <f ca="1">IFERROR(__xludf.DUMMYFUNCTION("GOOGLETRANSLATE(B490,""ja"",""vi"")"),"nhạc sĩ")</f>
        <v>nhạc sĩ</v>
      </c>
      <c r="E490" s="4" t="str">
        <f ca="1">IFERROR(__xludf.DUMMYFUNCTION("GOOGLETRANSLATE(C490,""ja"",""vi"")"),"Đấu giá&gt; vé, chứng từ, đặt phòng khách sạn&gt; Thẻ trả trước&gt; Thẻ điện thoại&gt; nhạc sĩ")</f>
        <v>Đấu giá&gt; vé, chứng từ, đặt phòng khách sạn&gt; Thẻ trả trước&gt; Thẻ điện thoại&gt; nhạc sĩ</v>
      </c>
      <c r="F490" t="str">
        <f t="shared" ca="1" si="7"/>
        <v>"2084005105" : "nhạc sĩ",</v>
      </c>
    </row>
    <row r="491" spans="1:6" ht="15.75" customHeight="1">
      <c r="A491" s="14">
        <v>2084005124</v>
      </c>
      <c r="B491" s="14" t="s">
        <v>4476</v>
      </c>
      <c r="C491" s="14" t="s">
        <v>4477</v>
      </c>
      <c r="D491" s="5" t="str">
        <f ca="1">IFERROR(__xludf.DUMMYFUNCTION("GOOGLETRANSLATE(B491,""ja"",""vi"")"),"chương trình phát thanh")</f>
        <v>chương trình phát thanh</v>
      </c>
      <c r="E491" s="4" t="str">
        <f ca="1">IFERROR(__xludf.DUMMYFUNCTION("GOOGLETRANSLATE(C491,""ja"",""vi"")"),"Đấu giá&gt; vé, chứng từ, đặt phòng khách sạn&gt; Thẻ trả trước&gt; Thẻ điện thoại&gt; chương trình phát thanh")</f>
        <v>Đấu giá&gt; vé, chứng từ, đặt phòng khách sạn&gt; Thẻ trả trước&gt; Thẻ điện thoại&gt; chương trình phát thanh</v>
      </c>
      <c r="F491" t="str">
        <f t="shared" ca="1" si="7"/>
        <v>"2084005124" : "chương trình phát thanh",</v>
      </c>
    </row>
    <row r="492" spans="1:6" ht="15.75" customHeight="1">
      <c r="A492" s="14">
        <v>2084005122</v>
      </c>
      <c r="B492" s="14" t="s">
        <v>4481</v>
      </c>
      <c r="C492" s="14" t="s">
        <v>4482</v>
      </c>
      <c r="D492" s="5" t="str">
        <f ca="1">IFERROR(__xludf.DUMMYFUNCTION("GOOGLETRANSLATE(B492,""ja"",""vi"")"),"phim")</f>
        <v>phim</v>
      </c>
      <c r="E492" s="4" t="str">
        <f ca="1">IFERROR(__xludf.DUMMYFUNCTION("GOOGLETRANSLATE(C492,""ja"",""vi"")"),"Đấu giá&gt; vé, chứng từ, đặt phòng khách sạn&gt; Thẻ trả trước&gt; Thẻ điện thoại&gt; Phim")</f>
        <v>Đấu giá&gt; vé, chứng từ, đặt phòng khách sạn&gt; Thẻ trả trước&gt; Thẻ điện thoại&gt; Phim</v>
      </c>
      <c r="F492" t="str">
        <f t="shared" ca="1" si="7"/>
        <v>"2084005122" : "phim",</v>
      </c>
    </row>
    <row r="493" spans="1:6" ht="15.75" customHeight="1">
      <c r="A493" s="14">
        <v>2084048484</v>
      </c>
      <c r="B493" s="14" t="s">
        <v>4484</v>
      </c>
      <c r="C493" s="14" t="s">
        <v>4486</v>
      </c>
      <c r="D493" s="5" t="str">
        <f ca="1">IFERROR(__xludf.DUMMYFUNCTION("GOOGLETRANSLATE(B493,""ja"",""vi"")"),"Nghệ thuật, Nghệ thuật")</f>
        <v>Nghệ thuật, Nghệ thuật</v>
      </c>
      <c r="E493" s="4" t="str">
        <f ca="1">IFERROR(__xludf.DUMMYFUNCTION("GOOGLETRANSLATE(C493,""ja"",""vi"")"),"Đấu giá&gt; vé, chứng từ, đặt phòng khách sạn&gt; Thẻ trả trước&gt; Thẻ điện thoại&gt; Nghệ thuật, Nghệ thuật")</f>
        <v>Đấu giá&gt; vé, chứng từ, đặt phòng khách sạn&gt; Thẻ trả trước&gt; Thẻ điện thoại&gt; Nghệ thuật, Nghệ thuật</v>
      </c>
      <c r="F493" t="str">
        <f t="shared" ca="1" si="7"/>
        <v>"2084048484" : "Nghệ thuật, Nghệ thuật",</v>
      </c>
    </row>
    <row r="494" spans="1:6" ht="15.75" customHeight="1">
      <c r="A494" s="14">
        <v>2084005109</v>
      </c>
      <c r="B494" s="14" t="s">
        <v>4489</v>
      </c>
      <c r="C494" s="14" t="s">
        <v>4490</v>
      </c>
      <c r="D494" s="5" t="str">
        <f ca="1">IFERROR(__xludf.DUMMYFUNCTION("GOOGLETRANSLATE(B494,""ja"",""vi"")"),"Giải trí, tài năng")</f>
        <v>Giải trí, tài năng</v>
      </c>
      <c r="E494" s="4" t="str">
        <f ca="1">IFERROR(__xludf.DUMMYFUNCTION("GOOGLETRANSLATE(C494,""ja"",""vi"")"),"Đấu giá&gt; vé, chứng từ, đặt phòng khách sạn&gt; Thẻ trả trước&gt; Thẻ điện thoại&gt; giải trí, tài năng")</f>
        <v>Đấu giá&gt; vé, chứng từ, đặt phòng khách sạn&gt; Thẻ trả trước&gt; Thẻ điện thoại&gt; giải trí, tài năng</v>
      </c>
      <c r="F494" t="str">
        <f t="shared" ca="1" si="7"/>
        <v>"2084005109" : "Giải trí, tài năng",</v>
      </c>
    </row>
    <row r="495" spans="1:6" ht="15.75" customHeight="1">
      <c r="A495" s="14">
        <v>2084007949</v>
      </c>
      <c r="B495" s="14" t="s">
        <v>4494</v>
      </c>
      <c r="C495" s="14" t="s">
        <v>4495</v>
      </c>
      <c r="D495" s="5" t="str">
        <f ca="1">IFERROR(__xludf.DUMMYFUNCTION("GOOGLETRANSLATE(B495,""ja"",""vi"")"),"phi cơ")</f>
        <v>phi cơ</v>
      </c>
      <c r="E495" s="4" t="str">
        <f ca="1">IFERROR(__xludf.DUMMYFUNCTION("GOOGLETRANSLATE(C495,""ja"",""vi"")"),"Đấu giá&gt; vé, chứng từ, đặt phòng khách sạn&gt; Thẻ trả trước&gt; Thẻ điện thoại&gt; máy bay")</f>
        <v>Đấu giá&gt; vé, chứng từ, đặt phòng khách sạn&gt; Thẻ trả trước&gt; Thẻ điện thoại&gt; máy bay</v>
      </c>
      <c r="F495" t="str">
        <f t="shared" ca="1" si="7"/>
        <v>"2084007949" : "phi cơ",</v>
      </c>
    </row>
    <row r="496" spans="1:6" ht="15.75" customHeight="1">
      <c r="A496" s="14">
        <v>2084007950</v>
      </c>
      <c r="B496" s="14" t="s">
        <v>4496</v>
      </c>
      <c r="C496" s="14" t="s">
        <v>4499</v>
      </c>
      <c r="D496" s="5" t="str">
        <f ca="1">IFERROR(__xludf.DUMMYFUNCTION("GOOGLETRANSLATE(B496,""ja"",""vi"")"),"xe hơi")</f>
        <v>xe hơi</v>
      </c>
      <c r="E496" s="4" t="str">
        <f ca="1">IFERROR(__xludf.DUMMYFUNCTION("GOOGLETRANSLATE(C496,""ja"",""vi"")"),"Đấu giá&gt; vé, chứng từ, đặt phòng khách sạn&gt; Thẻ trả trước&gt; Thẻ điện thoại&gt; Ô tô")</f>
        <v>Đấu giá&gt; vé, chứng từ, đặt phòng khách sạn&gt; Thẻ trả trước&gt; Thẻ điện thoại&gt; Ô tô</v>
      </c>
      <c r="F496" t="str">
        <f t="shared" ca="1" si="7"/>
        <v>"2084007950" : "xe hơi",</v>
      </c>
    </row>
    <row r="497" spans="1:6" ht="15.75" customHeight="1">
      <c r="A497" s="14">
        <v>2084048482</v>
      </c>
      <c r="B497" s="14" t="s">
        <v>4501</v>
      </c>
      <c r="C497" s="14" t="s">
        <v>4503</v>
      </c>
      <c r="D497" s="5" t="str">
        <f ca="1">IFERROR(__xludf.DUMMYFUNCTION("GOOGLETRANSLATE(B497,""ja"",""vi"")"),"cây")</f>
        <v>cây</v>
      </c>
      <c r="E497" s="4" t="str">
        <f ca="1">IFERROR(__xludf.DUMMYFUNCTION("GOOGLETRANSLATE(C497,""ja"",""vi"")"),"Đấu giá&gt; vé, chứng từ, đặt phòng khách sạn&gt; Thẻ trả trước&gt; Thẻ điện thoại&gt; nhà máy")</f>
        <v>Đấu giá&gt; vé, chứng từ, đặt phòng khách sạn&gt; Thẻ trả trước&gt; Thẻ điện thoại&gt; nhà máy</v>
      </c>
      <c r="F497" t="str">
        <f t="shared" ca="1" si="7"/>
        <v>"2084048482" : "cây",</v>
      </c>
    </row>
    <row r="498" spans="1:6" ht="15.75" customHeight="1">
      <c r="A498" s="14">
        <v>2084005104</v>
      </c>
      <c r="B498" s="14" t="s">
        <v>3972</v>
      </c>
      <c r="C498" s="14" t="s">
        <v>4508</v>
      </c>
      <c r="D498" s="5" t="str">
        <f ca="1">IFERROR(__xludf.DUMMYFUNCTION("GOOGLETRANSLATE(B498,""ja"",""vi"")"),"diễn viên Đài phát thanh")</f>
        <v>diễn viên Đài phát thanh</v>
      </c>
      <c r="E498" s="4" t="str">
        <f ca="1">IFERROR(__xludf.DUMMYFUNCTION("GOOGLETRANSLATE(C498,""ja"",""vi"")"),"Đấu giá&gt; vé, chứng từ, đặt phòng khách sạn&gt; Thẻ trả trước&gt; Thẻ điện thoại&gt; Diễn viên lồng tiếng")</f>
        <v>Đấu giá&gt; vé, chứng từ, đặt phòng khách sạn&gt; Thẻ trả trước&gt; Thẻ điện thoại&gt; Diễn viên lồng tiếng</v>
      </c>
      <c r="F498" t="str">
        <f t="shared" ca="1" si="7"/>
        <v>"2084005104" : "diễn viên Đài phát thanh",</v>
      </c>
    </row>
    <row r="499" spans="1:6" ht="15.75" customHeight="1">
      <c r="A499" s="14">
        <v>2084007801</v>
      </c>
      <c r="B499" s="14" t="s">
        <v>4511</v>
      </c>
      <c r="C499" s="14" t="s">
        <v>4512</v>
      </c>
      <c r="D499" s="5" t="str">
        <f ca="1">IFERROR(__xludf.DUMMYFUNCTION("GOOGLETRANSLATE(B499,""ja"",""vi"")"),"đường sắt")</f>
        <v>đường sắt</v>
      </c>
      <c r="E499" s="4" t="str">
        <f ca="1">IFERROR(__xludf.DUMMYFUNCTION("GOOGLETRANSLATE(C499,""ja"",""vi"")"),"Đấu giá&gt; vé, chứng từ, đặt phòng khách sạn&gt; Thẻ trả trước&gt; Thẻ điện thoại&gt; đường sắt")</f>
        <v>Đấu giá&gt; vé, chứng từ, đặt phòng khách sạn&gt; Thẻ trả trước&gt; Thẻ điện thoại&gt; đường sắt</v>
      </c>
      <c r="F499" t="str">
        <f t="shared" ca="1" si="7"/>
        <v>"2084007801" : "đường sắt",</v>
      </c>
    </row>
    <row r="500" spans="1:6" ht="15.75" customHeight="1">
      <c r="A500" s="14">
        <v>2084048481</v>
      </c>
      <c r="B500" s="14" t="s">
        <v>4516</v>
      </c>
      <c r="C500" s="14" t="s">
        <v>4517</v>
      </c>
      <c r="D500" s="5" t="str">
        <f ca="1">IFERROR(__xludf.DUMMYFUNCTION("GOOGLETRANSLATE(B500,""ja"",""vi"")"),"động vật")</f>
        <v>động vật</v>
      </c>
      <c r="E500" s="4" t="str">
        <f ca="1">IFERROR(__xludf.DUMMYFUNCTION("GOOGLETRANSLATE(C500,""ja"",""vi"")"),"Đấu giá&gt; vé, chứng từ, đặt phòng khách sạn&gt; Thẻ trả trước&gt; Thẻ điện thoại&gt; động vật")</f>
        <v>Đấu giá&gt; vé, chứng từ, đặt phòng khách sạn&gt; Thẻ trả trước&gt; Thẻ điện thoại&gt; động vật</v>
      </c>
      <c r="F500" t="str">
        <f t="shared" ca="1" si="7"/>
        <v>"2084048481" : "động vật",</v>
      </c>
    </row>
    <row r="501" spans="1:6" ht="15.75" customHeight="1">
      <c r="A501" s="14">
        <v>2084048483</v>
      </c>
      <c r="B501" s="14" t="s">
        <v>4520</v>
      </c>
      <c r="C501" s="14" t="s">
        <v>4522</v>
      </c>
      <c r="D501" s="5" t="str">
        <f ca="1">IFERROR(__xludf.DUMMYFUNCTION("GOOGLETRANSLATE(B501,""ja"",""vi"")"),"phong cảnh")</f>
        <v>phong cảnh</v>
      </c>
      <c r="E501" s="4" t="str">
        <f ca="1">IFERROR(__xludf.DUMMYFUNCTION("GOOGLETRANSLATE(C501,""ja"",""vi"")"),"Đấu giá&gt; vé, chứng từ, đặt phòng khách sạn&gt; Thẻ trả trước&gt; Thẻ điện thoại&gt; phong cảnh")</f>
        <v>Đấu giá&gt; vé, chứng từ, đặt phòng khách sạn&gt; Thẻ trả trước&gt; Thẻ điện thoại&gt; phong cảnh</v>
      </c>
      <c r="F501" t="str">
        <f t="shared" ca="1" si="7"/>
        <v>"2084048483" : "phong cảnh",</v>
      </c>
    </row>
    <row r="502" spans="1:6" ht="15.75" customHeight="1">
      <c r="A502" s="14">
        <v>2084005125</v>
      </c>
      <c r="B502" s="14" t="s">
        <v>46</v>
      </c>
      <c r="C502" s="14" t="s">
        <v>4525</v>
      </c>
      <c r="D502" s="5" t="str">
        <f ca="1">IFERROR(__xludf.DUMMYFUNCTION("GOOGLETRANSLATE(B502,""ja"",""vi"")"),"nếu không thì")</f>
        <v>nếu không thì</v>
      </c>
      <c r="E502" s="4" t="str">
        <f ca="1">IFERROR(__xludf.DUMMYFUNCTION("GOOGLETRANSLATE(C502,""ja"",""vi"")"),"Đấu giá&gt; vé, chứng từ, đặt phòng khách sạn&gt; Thẻ trả trước&gt; Thẻ điện thoại&gt; Khác")</f>
        <v>Đấu giá&gt; vé, chứng từ, đặt phòng khách sạn&gt; Thẻ trả trước&gt; Thẻ điện thoại&gt; Khác</v>
      </c>
      <c r="F502" t="str">
        <f t="shared" ca="1" si="7"/>
        <v>"2084005125" : "nếu không thì",</v>
      </c>
    </row>
    <row r="503" spans="1:6" ht="15.75" customHeight="1">
      <c r="A503" s="14">
        <v>2084062982</v>
      </c>
      <c r="B503" s="14" t="s">
        <v>1678</v>
      </c>
      <c r="C503" s="14" t="s">
        <v>4444</v>
      </c>
      <c r="D503" s="5" t="str">
        <f ca="1">IFERROR(__xludf.DUMMYFUNCTION("GOOGLETRANSLATE(B503,""ja"",""vi"")"),"Một cơ thể")</f>
        <v>Một cơ thể</v>
      </c>
      <c r="E503" s="4" t="str">
        <f ca="1">IFERROR(__xludf.DUMMYFUNCTION("GOOGLETRANSLATE(C503,""ja"",""vi"")"),"Đấu giá&gt; Văn phòng, Cửa hàng cung cấp&gt; thiết bị OA&gt; máy đa chức năng, sao chép máy&gt; cơ thể")</f>
        <v>Đấu giá&gt; Văn phòng, Cửa hàng cung cấp&gt; thiết bị OA&gt; máy đa chức năng, sao chép máy&gt; cơ thể</v>
      </c>
      <c r="F503" t="str">
        <f t="shared" ca="1" si="7"/>
        <v>"2084062982" : "Một cơ thể",</v>
      </c>
    </row>
    <row r="504" spans="1:6" ht="15.75" customHeight="1">
      <c r="A504" s="14">
        <v>2084063008</v>
      </c>
      <c r="B504" s="14" t="s">
        <v>4447</v>
      </c>
      <c r="C504" s="14" t="s">
        <v>4448</v>
      </c>
      <c r="D504" s="5" t="str">
        <f ca="1">IFERROR(__xludf.DUMMYFUNCTION("GOOGLETRANSLATE(B504,""ja"",""vi"")"),"cung cấp")</f>
        <v>cung cấp</v>
      </c>
      <c r="E504" s="4" t="str">
        <f ca="1">IFERROR(__xludf.DUMMYFUNCTION("GOOGLETRANSLATE(C504,""ja"",""vi"")"),"Đấu giá&gt; Văn phòng, Cửa hàng cung cấp&gt; thiết bị OA&gt; máy đa chức năng, sao chép máy&gt; cung cấp")</f>
        <v>Đấu giá&gt; Văn phòng, Cửa hàng cung cấp&gt; thiết bị OA&gt; máy đa chức năng, sao chép máy&gt; cung cấp</v>
      </c>
      <c r="F504" t="str">
        <f t="shared" ca="1" si="7"/>
        <v>"2084063008" : "cung cấp",</v>
      </c>
    </row>
    <row r="505" spans="1:6" ht="15.75" customHeight="1">
      <c r="A505" s="14">
        <v>2084198557</v>
      </c>
      <c r="B505" s="14" t="s">
        <v>1707</v>
      </c>
      <c r="C505" s="14" t="s">
        <v>4412</v>
      </c>
      <c r="D505" s="5" t="str">
        <f ca="1">IFERROR(__xludf.DUMMYFUNCTION("GOOGLETRANSLATE(B505,""ja"",""vi"")"),"NEC")</f>
        <v>NEC</v>
      </c>
      <c r="E505" s="4" t="str">
        <f ca="1">IFERROR(__xludf.DUMMYFUNCTION("GOOGLETRANSLATE(C505,""ja"",""vi"")"),"Đấu giá&gt; Văn phòng, Cửa hàng cung cấp&gt; thiết bị OA&gt; điện thoại kinh doanh&gt; NEC")</f>
        <v>Đấu giá&gt; Văn phòng, Cửa hàng cung cấp&gt; thiết bị OA&gt; điện thoại kinh doanh&gt; NEC</v>
      </c>
      <c r="F505" t="str">
        <f t="shared" ca="1" si="7"/>
        <v>"2084198557" : "NEC",</v>
      </c>
    </row>
    <row r="506" spans="1:6" ht="15.75" customHeight="1">
      <c r="A506" s="14">
        <v>2084198553</v>
      </c>
      <c r="B506" s="14" t="s">
        <v>4416</v>
      </c>
      <c r="C506" s="14" t="s">
        <v>4417</v>
      </c>
      <c r="D506" s="5" t="str">
        <f ca="1">IFERROR(__xludf.DUMMYFUNCTION("GOOGLETRANSLATE(B506,""ja"",""vi"")"),"NTT")</f>
        <v>NTT</v>
      </c>
      <c r="E506" s="4" t="str">
        <f ca="1">IFERROR(__xludf.DUMMYFUNCTION("GOOGLETRANSLATE(C506,""ja"",""vi"")"),"Đấu giá&gt; Văn phòng, Cửa hàng cung cấp&gt; thiết bị OA&gt; điện thoại kinh doanh&gt; NTT")</f>
        <v>Đấu giá&gt; Văn phòng, Cửa hàng cung cấp&gt; thiết bị OA&gt; điện thoại kinh doanh&gt; NTT</v>
      </c>
      <c r="F506" t="str">
        <f t="shared" ca="1" si="7"/>
        <v>"2084198553" : "NTT",</v>
      </c>
    </row>
    <row r="507" spans="1:6" ht="15.75" customHeight="1">
      <c r="A507" s="14">
        <v>2084198559</v>
      </c>
      <c r="B507" s="14" t="s">
        <v>4418</v>
      </c>
      <c r="C507" s="14" t="s">
        <v>4420</v>
      </c>
      <c r="D507" s="5" t="str">
        <f ca="1">IFERROR(__xludf.DUMMYFUNCTION("GOOGLETRANSLATE(B507,""ja"",""vi"")"),"SAXA")</f>
        <v>SAXA</v>
      </c>
      <c r="E507" s="4" t="str">
        <f ca="1">IFERROR(__xludf.DUMMYFUNCTION("GOOGLETRANSLATE(C507,""ja"",""vi"")"),"Đấu giá&gt; Văn phòng, Cửa hàng cung cấp&gt; thiết bị OA&gt; điện thoại kinh doanh&gt; Saxa")</f>
        <v>Đấu giá&gt; Văn phòng, Cửa hàng cung cấp&gt; thiết bị OA&gt; điện thoại kinh doanh&gt; Saxa</v>
      </c>
      <c r="F507" t="str">
        <f t="shared" ca="1" si="7"/>
        <v>"2084198559" : "SAXA",</v>
      </c>
    </row>
    <row r="508" spans="1:6" ht="15.75" customHeight="1">
      <c r="A508" s="14">
        <v>2084198556</v>
      </c>
      <c r="B508" s="14" t="s">
        <v>4423</v>
      </c>
      <c r="C508" s="14" t="s">
        <v>4425</v>
      </c>
      <c r="D508" s="5" t="str">
        <f ca="1">IFERROR(__xludf.DUMMYFUNCTION("GOOGLETRANSLATE(B508,""ja"",""vi"")"),"dịch vụ điện tử Nakayo")</f>
        <v>dịch vụ điện tử Nakayo</v>
      </c>
      <c r="E508" s="4" t="str">
        <f ca="1">IFERROR(__xludf.DUMMYFUNCTION("GOOGLETRANSLATE(C508,""ja"",""vi"")"),"Đấu giá&gt; Văn phòng, Cửa hàng cung cấp&gt; thiết bị OA&gt; điện thoại kinh doanh&gt; Nakayo dịch vụ điện tử")</f>
        <v>Đấu giá&gt; Văn phòng, Cửa hàng cung cấp&gt; thiết bị OA&gt; điện thoại kinh doanh&gt; Nakayo dịch vụ điện tử</v>
      </c>
      <c r="F508" t="str">
        <f t="shared" ca="1" si="7"/>
        <v>"2084198556" : "dịch vụ điện tử Nakayo",</v>
      </c>
    </row>
    <row r="509" spans="1:6" ht="15.75" customHeight="1">
      <c r="A509" s="14">
        <v>2084198558</v>
      </c>
      <c r="B509" s="14" t="s">
        <v>1918</v>
      </c>
      <c r="C509" s="14" t="s">
        <v>4429</v>
      </c>
      <c r="D509" s="5" t="str">
        <f ca="1">IFERROR(__xludf.DUMMYFUNCTION("GOOGLETRANSLATE(B509,""ja"",""vi"")"),"Panasonic")</f>
        <v>Panasonic</v>
      </c>
      <c r="E509" s="4" t="str">
        <f ca="1">IFERROR(__xludf.DUMMYFUNCTION("GOOGLETRANSLATE(C509,""ja"",""vi"")"),"Đấu giá&gt; Văn phòng, Cửa hàng cung cấp&gt; thiết bị OA&gt; điện thoại kinh doanh&gt; Panasonic")</f>
        <v>Đấu giá&gt; Văn phòng, Cửa hàng cung cấp&gt; thiết bị OA&gt; điện thoại kinh doanh&gt; Panasonic</v>
      </c>
      <c r="F509" t="str">
        <f t="shared" ca="1" si="7"/>
        <v>"2084198558" : "Panasonic",</v>
      </c>
    </row>
    <row r="510" spans="1:6" ht="15.75" customHeight="1">
      <c r="A510" s="14">
        <v>2084198555</v>
      </c>
      <c r="B510" s="14" t="s">
        <v>4431</v>
      </c>
      <c r="C510" s="14" t="s">
        <v>4432</v>
      </c>
      <c r="D510" s="5" t="str">
        <f ca="1">IFERROR(__xludf.DUMMYFUNCTION("GOOGLETRANSLATE(B510,""ja"",""vi"")"),"Iwatsu Electric")</f>
        <v>Iwatsu Electric</v>
      </c>
      <c r="E510" s="4" t="str">
        <f ca="1">IFERROR(__xludf.DUMMYFUNCTION("GOOGLETRANSLATE(C510,""ja"",""vi"")"),"Đấu giá&gt; Văn phòng, Cửa hàng cung cấp&gt; thiết bị OA&gt; điện thoại kinh doanh&gt; Iwatsu Electric")</f>
        <v>Đấu giá&gt; Văn phòng, Cửa hàng cung cấp&gt; thiết bị OA&gt; điện thoại kinh doanh&gt; Iwatsu Electric</v>
      </c>
      <c r="F510" t="str">
        <f t="shared" ca="1" si="7"/>
        <v>"2084198555" : "Iwatsu Electric",</v>
      </c>
    </row>
    <row r="511" spans="1:6" ht="15.75" customHeight="1">
      <c r="A511" s="14">
        <v>2084198554</v>
      </c>
      <c r="B511" s="14" t="s">
        <v>4436</v>
      </c>
      <c r="C511" s="14" t="s">
        <v>4437</v>
      </c>
      <c r="D511" s="5" t="str">
        <f ca="1">IFERROR(__xludf.DUMMYFUNCTION("GOOGLETRANSLATE(B511,""ja"",""vi"")"),"Hitachi, Ltd.")</f>
        <v>Hitachi, Ltd.</v>
      </c>
      <c r="E511" s="4" t="str">
        <f ca="1">IFERROR(__xludf.DUMMYFUNCTION("GOOGLETRANSLATE(C511,""ja"",""vi"")"),"Đấu giá&gt; Văn phòng, Cửa hàng cung cấp&gt; thiết bị OA&gt; điện thoại kinh doanh&gt; Hitachi")</f>
        <v>Đấu giá&gt; Văn phòng, Cửa hàng cung cấp&gt; thiết bị OA&gt; điện thoại kinh doanh&gt; Hitachi</v>
      </c>
      <c r="F511" t="str">
        <f t="shared" ca="1" si="7"/>
        <v>"2084198554" : "Hitachi, Ltd.",</v>
      </c>
    </row>
    <row r="512" spans="1:6" ht="15.75" customHeight="1">
      <c r="A512" s="14">
        <v>2084198560</v>
      </c>
      <c r="B512" s="14" t="s">
        <v>46</v>
      </c>
      <c r="C512" s="14" t="s">
        <v>4441</v>
      </c>
      <c r="D512" s="5" t="str">
        <f ca="1">IFERROR(__xludf.DUMMYFUNCTION("GOOGLETRANSLATE(B512,""ja"",""vi"")"),"nếu không thì")</f>
        <v>nếu không thì</v>
      </c>
      <c r="E512" s="4" t="str">
        <f ca="1">IFERROR(__xludf.DUMMYFUNCTION("GOOGLETRANSLATE(C512,""ja"",""vi"")"),"Đấu giá&gt; vật tư văn phòng, cửa hàng&gt; thiết bị OA&gt; điện thoại kinh doanh&gt; Khác")</f>
        <v>Đấu giá&gt; vật tư văn phòng, cửa hàng&gt; thiết bị OA&gt; điện thoại kinh doanh&gt; Khác</v>
      </c>
      <c r="F512" t="str">
        <f t="shared" ca="1" si="7"/>
        <v>"2084198560" : "nếu không thì",</v>
      </c>
    </row>
    <row r="513" spans="1:6" ht="15.75" customHeight="1">
      <c r="A513" s="14">
        <v>2084032442</v>
      </c>
      <c r="B513" s="14" t="s">
        <v>4447</v>
      </c>
      <c r="C513" s="14" t="s">
        <v>4556</v>
      </c>
      <c r="D513" s="5" t="str">
        <f ca="1">IFERROR(__xludf.DUMMYFUNCTION("GOOGLETRANSLATE(B513,""ja"",""vi"")"),"cung cấp")</f>
        <v>cung cấp</v>
      </c>
      <c r="E513" s="4" t="str">
        <f ca="1">IFERROR(__xludf.DUMMYFUNCTION("GOOGLETRANSLATE(C513,""ja"",""vi"")"),"Đấu giá&gt; Văn phòng, Cửa hàng cung cấp&gt; thiết bị OA&gt; fax&gt; Cung cấp")</f>
        <v>Đấu giá&gt; Văn phòng, Cửa hàng cung cấp&gt; thiết bị OA&gt; fax&gt; Cung cấp</v>
      </c>
      <c r="F513" t="str">
        <f t="shared" ca="1" si="7"/>
        <v>"2084032442" : "cung cấp",</v>
      </c>
    </row>
    <row r="514" spans="1:6" ht="15.75" customHeight="1">
      <c r="A514" s="14">
        <v>2084032436</v>
      </c>
      <c r="B514" s="14" t="s">
        <v>4560</v>
      </c>
      <c r="C514" s="14" t="s">
        <v>4561</v>
      </c>
      <c r="D514" s="5" t="str">
        <f ca="1">IFERROR(__xludf.DUMMYFUNCTION("GOOGLETRANSLATE(B514,""ja"",""vi"")"),"fax Hồng")</f>
        <v>fax Hồng</v>
      </c>
      <c r="E514" s="4" t="str">
        <f ca="1">IFERROR(__xludf.DUMMYFUNCTION("GOOGLETRANSLATE(C514,""ja"",""vi"")"),"Đấu giá&gt; Văn phòng, Cửa hàng cung cấp&gt; thiết bị OA&gt; fax&gt; điện thoại fax")</f>
        <v>Đấu giá&gt; Văn phòng, Cửa hàng cung cấp&gt; thiết bị OA&gt; fax&gt; điện thoại fax</v>
      </c>
      <c r="F514" t="str">
        <f t="shared" ref="F514:F577" ca="1" si="8">CONCATENATE(CHAR(34)&amp;"",A514,""&amp;CHAR(34)," : ", CHAR(34)&amp;"",D514,""&amp;CHAR(34),",")</f>
        <v>"2084032436" : "fax Hồng",</v>
      </c>
    </row>
    <row r="515" spans="1:6" ht="15.75" customHeight="1">
      <c r="A515" s="14">
        <v>2084032437</v>
      </c>
      <c r="B515" s="14" t="s">
        <v>2241</v>
      </c>
      <c r="C515" s="14" t="s">
        <v>4565</v>
      </c>
      <c r="D515" s="5" t="str">
        <f ca="1">IFERROR(__xludf.DUMMYFUNCTION("GOOGLETRANSLATE(B515,""ja"",""vi"")"),"chung")</f>
        <v>chung</v>
      </c>
      <c r="E515" s="4" t="str">
        <f ca="1">IFERROR(__xludf.DUMMYFUNCTION("GOOGLETRANSLATE(C515,""ja"",""vi"")"),"Đấu giá&gt; Văn phòng, Cửa hàng cung cấp&gt; thiết bị OA&gt; fax&gt; General")</f>
        <v>Đấu giá&gt; Văn phòng, Cửa hàng cung cấp&gt; thiết bị OA&gt; fax&gt; General</v>
      </c>
      <c r="F515" t="str">
        <f t="shared" ca="1" si="8"/>
        <v>"2084032437" : "chung",</v>
      </c>
    </row>
    <row r="516" spans="1:6" ht="15.75" customHeight="1">
      <c r="A516" s="14">
        <v>2084032441</v>
      </c>
      <c r="B516" s="14" t="s">
        <v>1625</v>
      </c>
      <c r="C516" s="14" t="s">
        <v>4569</v>
      </c>
      <c r="D516" s="5" t="str">
        <f ca="1">IFERROR(__xludf.DUMMYFUNCTION("GOOGLETRANSLATE(B516,""ja"",""vi"")"),"chu vi")</f>
        <v>chu vi</v>
      </c>
      <c r="E516" s="4" t="str">
        <f ca="1">IFERROR(__xludf.DUMMYFUNCTION("GOOGLETRANSLATE(C516,""ja"",""vi"")"),"Đấu giá&gt; Văn phòng, Cửa hàng cung cấp&gt; thiết bị OA&gt; fax&gt; thiết bị ngoại vi")</f>
        <v>Đấu giá&gt; Văn phòng, Cửa hàng cung cấp&gt; thiết bị OA&gt; fax&gt; thiết bị ngoại vi</v>
      </c>
      <c r="F516" t="str">
        <f t="shared" ca="1" si="8"/>
        <v>"2084032441" : "chu vi",</v>
      </c>
    </row>
    <row r="517" spans="1:6" ht="15.75" customHeight="1">
      <c r="A517" s="14">
        <v>2084062310</v>
      </c>
      <c r="B517" s="14" t="s">
        <v>1806</v>
      </c>
      <c r="C517" s="14" t="s">
        <v>4573</v>
      </c>
      <c r="D517" s="5" t="str">
        <f ca="1">IFERROR(__xludf.DUMMYFUNCTION("GOOGLETRANSLATE(B517,""ja"",""vi"")"),"Casio")</f>
        <v>Casio</v>
      </c>
      <c r="E517" s="4" t="str">
        <f ca="1">IFERROR(__xludf.DUMMYFUNCTION("GOOGLETRANSLATE(C517,""ja"",""vi"")"),"Đấu giá&gt; vật tư văn phòng, cửa hàng&gt; thiết bị OA&gt; Từ điển điện tử&gt; Casio")</f>
        <v>Đấu giá&gt; vật tư văn phòng, cửa hàng&gt; thiết bị OA&gt; Từ điển điện tử&gt; Casio</v>
      </c>
      <c r="F517" t="str">
        <f t="shared" ca="1" si="8"/>
        <v>"2084062310" : "Casio",</v>
      </c>
    </row>
    <row r="518" spans="1:6" ht="15.75" customHeight="1">
      <c r="A518" s="14">
        <v>2084062313</v>
      </c>
      <c r="B518" s="14" t="s">
        <v>2031</v>
      </c>
      <c r="C518" s="14" t="s">
        <v>4580</v>
      </c>
      <c r="D518" s="5" t="str">
        <f ca="1">IFERROR(__xludf.DUMMYFUNCTION("GOOGLETRANSLATE(B518,""ja"",""vi"")"),"Canon")</f>
        <v>Canon</v>
      </c>
      <c r="E518" s="4" t="str">
        <f ca="1">IFERROR(__xludf.DUMMYFUNCTION("GOOGLETRANSLATE(C518,""ja"",""vi"")"),"Đấu giá&gt; vật tư văn phòng, cửa hàng&gt; thiết bị OA&gt; Từ điển điện tử&gt; Canon")</f>
        <v>Đấu giá&gt; vật tư văn phòng, cửa hàng&gt; thiết bị OA&gt; Từ điển điện tử&gt; Canon</v>
      </c>
      <c r="F518" t="str">
        <f t="shared" ca="1" si="8"/>
        <v>"2084062313" : "Canon",</v>
      </c>
    </row>
    <row r="519" spans="1:6" ht="15.75" customHeight="1">
      <c r="A519" s="14">
        <v>2084062315</v>
      </c>
      <c r="B519" s="14" t="s">
        <v>4583</v>
      </c>
      <c r="C519" s="14" t="s">
        <v>4585</v>
      </c>
      <c r="D519" s="5" t="str">
        <f ca="1">IFERROR(__xludf.DUMMYFUNCTION("GOOGLETRANSLATE(B519,""ja"",""vi"")"),"công dân")</f>
        <v>công dân</v>
      </c>
      <c r="E519" s="4" t="str">
        <f ca="1">IFERROR(__xludf.DUMMYFUNCTION("GOOGLETRANSLATE(C519,""ja"",""vi"")"),"Đấu giá&gt; vật tư văn phòng, cửa hàng&gt; thiết bị OA&gt; Từ điển điện tử&gt; Citizen")</f>
        <v>Đấu giá&gt; vật tư văn phòng, cửa hàng&gt; thiết bị OA&gt; Từ điển điện tử&gt; Citizen</v>
      </c>
      <c r="F519" t="str">
        <f t="shared" ca="1" si="8"/>
        <v>"2084062315" : "công dân",</v>
      </c>
    </row>
    <row r="520" spans="1:6" ht="15.75" customHeight="1">
      <c r="A520" s="14">
        <v>2084062311</v>
      </c>
      <c r="B520" s="14" t="s">
        <v>1731</v>
      </c>
      <c r="C520" s="14" t="s">
        <v>4590</v>
      </c>
      <c r="D520" s="5" t="str">
        <f ca="1">IFERROR(__xludf.DUMMYFUNCTION("GOOGLETRANSLATE(B520,""ja"",""vi"")"),"nhọn")</f>
        <v>nhọn</v>
      </c>
      <c r="E520" s="4" t="str">
        <f ca="1">IFERROR(__xludf.DUMMYFUNCTION("GOOGLETRANSLATE(C520,""ja"",""vi"")"),"Đấu giá&gt; vật tư văn phòng, cửa hàng&gt; thiết bị OA&gt; Từ điển điện tử&gt; sắc nét")</f>
        <v>Đấu giá&gt; vật tư văn phòng, cửa hàng&gt; thiết bị OA&gt; Từ điển điện tử&gt; sắc nét</v>
      </c>
      <c r="F520" t="str">
        <f t="shared" ca="1" si="8"/>
        <v>"2084062311" : "nhọn",</v>
      </c>
    </row>
    <row r="521" spans="1:6" ht="15.75" customHeight="1">
      <c r="A521" s="14">
        <v>2084062312</v>
      </c>
      <c r="B521" s="14" t="s">
        <v>4283</v>
      </c>
      <c r="C521" s="14" t="s">
        <v>4594</v>
      </c>
      <c r="D521" s="5" t="str">
        <f ca="1">IFERROR(__xludf.DUMMYFUNCTION("GOOGLETRANSLATE(B521,""ja"",""vi"")"),"Seiko")</f>
        <v>Seiko</v>
      </c>
      <c r="E521" s="4" t="str">
        <f ca="1">IFERROR(__xludf.DUMMYFUNCTION("GOOGLETRANSLATE(C521,""ja"",""vi"")"),"Đấu giá&gt; vật tư văn phòng, cửa hàng&gt; thiết bị OA&gt; Từ điển điện tử&gt; Seiko")</f>
        <v>Đấu giá&gt; vật tư văn phòng, cửa hàng&gt; thiết bị OA&gt; Từ điển điện tử&gt; Seiko</v>
      </c>
      <c r="F521" t="str">
        <f t="shared" ca="1" si="8"/>
        <v>"2084062312" : "Seiko",</v>
      </c>
    </row>
    <row r="522" spans="1:6" ht="15.75" customHeight="1">
      <c r="A522" s="14">
        <v>2084062309</v>
      </c>
      <c r="B522" s="14" t="s">
        <v>1738</v>
      </c>
      <c r="C522" s="14" t="s">
        <v>4600</v>
      </c>
      <c r="D522" s="5" t="str">
        <f ca="1">IFERROR(__xludf.DUMMYFUNCTION("GOOGLETRANSLATE(B522,""ja"",""vi"")"),"Sony")</f>
        <v>Sony</v>
      </c>
      <c r="E522" s="4" t="str">
        <f ca="1">IFERROR(__xludf.DUMMYFUNCTION("GOOGLETRANSLATE(C522,""ja"",""vi"")"),"Đấu giá&gt; vật tư văn phòng, cửa hàng&gt; thiết bị OA&gt; Từ điển điện tử&gt; Sony")</f>
        <v>Đấu giá&gt; vật tư văn phòng, cửa hàng&gt; thiết bị OA&gt; Từ điển điện tử&gt; Sony</v>
      </c>
      <c r="F522" t="str">
        <f t="shared" ca="1" si="8"/>
        <v>"2084062309" : "Sony",</v>
      </c>
    </row>
    <row r="523" spans="1:6" ht="15.75" customHeight="1">
      <c r="A523" s="14">
        <v>2084062314</v>
      </c>
      <c r="B523" s="14" t="s">
        <v>46</v>
      </c>
      <c r="C523" s="14" t="s">
        <v>4604</v>
      </c>
      <c r="D523" s="5" t="str">
        <f ca="1">IFERROR(__xludf.DUMMYFUNCTION("GOOGLETRANSLATE(B523,""ja"",""vi"")"),"nếu không thì")</f>
        <v>nếu không thì</v>
      </c>
      <c r="E523" s="4" t="str">
        <f ca="1">IFERROR(__xludf.DUMMYFUNCTION("GOOGLETRANSLATE(C523,""ja"",""vi"")"),"Đấu giá&gt; vật tư văn phòng, cửa hàng&gt; thiết bị OA&gt; Từ điển điện tử&gt; Khác")</f>
        <v>Đấu giá&gt; vật tư văn phòng, cửa hàng&gt; thiết bị OA&gt; Từ điển điện tử&gt; Khác</v>
      </c>
      <c r="F523" t="str">
        <f t="shared" ca="1" si="8"/>
        <v>"2084062314" : "nếu không thì",</v>
      </c>
    </row>
    <row r="524" spans="1:6" ht="15.75" customHeight="1">
      <c r="A524" s="14">
        <v>2084239841</v>
      </c>
      <c r="B524" s="14" t="s">
        <v>4608</v>
      </c>
      <c r="C524" s="14" t="s">
        <v>4611</v>
      </c>
      <c r="D524" s="5" t="str">
        <f ca="1">IFERROR(__xludf.DUMMYFUNCTION("GOOGLETRANSLATE(B524,""ja"",""vi"")"),"Amadana")</f>
        <v>Amadana</v>
      </c>
      <c r="E524" s="4" t="str">
        <f ca="1">IFERROR(__xludf.DUMMYFUNCTION("GOOGLETRANSLATE(C524,""ja"",""vi"")"),"Đấu giá&gt; Văn phòng, Cửa hàng cung cấp&gt; thiết bị OA&gt; Máy tính&gt; amadana")</f>
        <v>Đấu giá&gt; Văn phòng, Cửa hàng cung cấp&gt; thiết bị OA&gt; Máy tính&gt; amadana</v>
      </c>
      <c r="F524" t="str">
        <f t="shared" ca="1" si="8"/>
        <v>"2084239841" : "Amadana",</v>
      </c>
    </row>
    <row r="525" spans="1:6" ht="15.75" customHeight="1">
      <c r="A525" s="14">
        <v>2084239839</v>
      </c>
      <c r="B525" s="14" t="s">
        <v>1806</v>
      </c>
      <c r="C525" s="14" t="s">
        <v>4616</v>
      </c>
      <c r="D525" s="5" t="str">
        <f ca="1">IFERROR(__xludf.DUMMYFUNCTION("GOOGLETRANSLATE(B525,""ja"",""vi"")"),"Casio")</f>
        <v>Casio</v>
      </c>
      <c r="E525" s="4" t="str">
        <f ca="1">IFERROR(__xludf.DUMMYFUNCTION("GOOGLETRANSLATE(C525,""ja"",""vi"")"),"Đấu giá&gt; Văn phòng, Cửa hàng cung cấp&gt; thiết bị OA&gt; Máy tính&gt; Casio")</f>
        <v>Đấu giá&gt; Văn phòng, Cửa hàng cung cấp&gt; thiết bị OA&gt; Máy tính&gt; Casio</v>
      </c>
      <c r="F525" t="str">
        <f t="shared" ca="1" si="8"/>
        <v>"2084239839" : "Casio",</v>
      </c>
    </row>
    <row r="526" spans="1:6" ht="15.75" customHeight="1">
      <c r="A526" s="14">
        <v>2084239840</v>
      </c>
      <c r="B526" s="14" t="s">
        <v>4583</v>
      </c>
      <c r="C526" s="14" t="s">
        <v>4620</v>
      </c>
      <c r="D526" s="5" t="str">
        <f ca="1">IFERROR(__xludf.DUMMYFUNCTION("GOOGLETRANSLATE(B526,""ja"",""vi"")"),"công dân")</f>
        <v>công dân</v>
      </c>
      <c r="E526" s="4" t="str">
        <f ca="1">IFERROR(__xludf.DUMMYFUNCTION("GOOGLETRANSLATE(C526,""ja"",""vi"")"),"Đấu giá&gt; Văn phòng, Cửa hàng cung cấp&gt; thiết bị OA&gt; Máy tính&gt; Citizen")</f>
        <v>Đấu giá&gt; Văn phòng, Cửa hàng cung cấp&gt; thiết bị OA&gt; Máy tính&gt; Citizen</v>
      </c>
      <c r="F526" t="str">
        <f t="shared" ca="1" si="8"/>
        <v>"2084239840" : "công dân",</v>
      </c>
    </row>
    <row r="527" spans="1:6" ht="15.75" customHeight="1">
      <c r="A527" s="14">
        <v>2084239838</v>
      </c>
      <c r="B527" s="14" t="s">
        <v>1731</v>
      </c>
      <c r="C527" s="14" t="s">
        <v>4623</v>
      </c>
      <c r="D527" s="5" t="str">
        <f ca="1">IFERROR(__xludf.DUMMYFUNCTION("GOOGLETRANSLATE(B527,""ja"",""vi"")"),"nhọn")</f>
        <v>nhọn</v>
      </c>
      <c r="E527" s="4" t="str">
        <f ca="1">IFERROR(__xludf.DUMMYFUNCTION("GOOGLETRANSLATE(C527,""ja"",""vi"")"),"Đấu giá&gt; Văn phòng, Cửa hàng cung cấp&gt; thiết bị OA&gt; Máy tính&gt; sắc nét")</f>
        <v>Đấu giá&gt; Văn phòng, Cửa hàng cung cấp&gt; thiết bị OA&gt; Máy tính&gt; sắc nét</v>
      </c>
      <c r="F527" t="str">
        <f t="shared" ca="1" si="8"/>
        <v>"2084239838" : "nhọn",</v>
      </c>
    </row>
    <row r="528" spans="1:6" ht="15.75" customHeight="1">
      <c r="A528" s="14">
        <v>2084239842</v>
      </c>
      <c r="B528" s="14" t="s">
        <v>46</v>
      </c>
      <c r="C528" s="14" t="s">
        <v>4627</v>
      </c>
      <c r="D528" s="5" t="str">
        <f ca="1">IFERROR(__xludf.DUMMYFUNCTION("GOOGLETRANSLATE(B528,""ja"",""vi"")"),"nếu không thì")</f>
        <v>nếu không thì</v>
      </c>
      <c r="E528" s="4" t="str">
        <f ca="1">IFERROR(__xludf.DUMMYFUNCTION("GOOGLETRANSLATE(C528,""ja"",""vi"")"),"Đấu giá&gt; Văn phòng, Cửa hàng cung cấp&gt; OA thiết bị&gt; Máy tính&gt; Khác")</f>
        <v>Đấu giá&gt; Văn phòng, Cửa hàng cung cấp&gt; OA thiết bị&gt; Máy tính&gt; Khác</v>
      </c>
      <c r="F528" t="str">
        <f t="shared" ca="1" si="8"/>
        <v>"2084239842" : "nếu không thì",</v>
      </c>
    </row>
    <row r="529" spans="1:6" ht="15.75" customHeight="1">
      <c r="A529" s="14">
        <v>2084226889</v>
      </c>
      <c r="B529" s="14" t="s">
        <v>4631</v>
      </c>
      <c r="C529" s="14" t="s">
        <v>4633</v>
      </c>
      <c r="D529" s="5" t="str">
        <f ca="1">IFERROR(__xludf.DUMMYFUNCTION("GOOGLETRANSLATE(B529,""ja"",""vi"")"),"AA")</f>
        <v>AA</v>
      </c>
      <c r="E529" s="4" t="str">
        <f ca="1">IFERROR(__xludf.DUMMYFUNCTION("GOOGLETRANSLATE(C529,""ja"",""vi"")"),"Đấu giá&gt; thiết bị điện tử tiêu dùng, AV, camera&gt; pin, pin, sạc&gt; pin kiềm&gt; AA")</f>
        <v>Đấu giá&gt; thiết bị điện tử tiêu dùng, AV, camera&gt; pin, pin, sạc&gt; pin kiềm&gt; AA</v>
      </c>
      <c r="F529" t="str">
        <f t="shared" ca="1" si="8"/>
        <v>"2084226889" : "AA",</v>
      </c>
    </row>
    <row r="530" spans="1:6" ht="15.75" customHeight="1">
      <c r="A530" s="14">
        <v>2084226890</v>
      </c>
      <c r="B530" s="14" t="s">
        <v>4635</v>
      </c>
      <c r="C530" s="14" t="s">
        <v>4638</v>
      </c>
      <c r="D530" s="5" t="str">
        <f ca="1">IFERROR(__xludf.DUMMYFUNCTION("GOOGLETRANSLATE(B530,""ja"",""vi"")"),"AAA")</f>
        <v>AAA</v>
      </c>
      <c r="E530" s="4" t="str">
        <f ca="1">IFERROR(__xludf.DUMMYFUNCTION("GOOGLETRANSLATE(C530,""ja"",""vi"")"),"Đấu giá&gt; thiết bị điện tử tiêu dùng, AV, camera&gt; pin, pin, sạc&gt; Pin kiềm&gt; AAA")</f>
        <v>Đấu giá&gt; thiết bị điện tử tiêu dùng, AV, camera&gt; pin, pin, sạc&gt; Pin kiềm&gt; AAA</v>
      </c>
      <c r="F530" t="str">
        <f t="shared" ca="1" si="8"/>
        <v>"2084226890" : "AAA",</v>
      </c>
    </row>
    <row r="531" spans="1:6" ht="15.75" customHeight="1">
      <c r="A531" s="14">
        <v>2084226891</v>
      </c>
      <c r="B531" s="14" t="s">
        <v>46</v>
      </c>
      <c r="C531" s="14" t="s">
        <v>4643</v>
      </c>
      <c r="D531" s="5" t="str">
        <f ca="1">IFERROR(__xludf.DUMMYFUNCTION("GOOGLETRANSLATE(B531,""ja"",""vi"")"),"nếu không thì")</f>
        <v>nếu không thì</v>
      </c>
      <c r="E531" s="4" t="str">
        <f ca="1">IFERROR(__xludf.DUMMYFUNCTION("GOOGLETRANSLATE(C531,""ja"",""vi"")"),"Đấu giá&gt; thiết bị điện tử tiêu dùng, AV, camera&gt; pin, pin, sạc&gt; Pin kiềm&gt; Khác")</f>
        <v>Đấu giá&gt; thiết bị điện tử tiêu dùng, AV, camera&gt; pin, pin, sạc&gt; Pin kiềm&gt; Khác</v>
      </c>
      <c r="F531" t="str">
        <f t="shared" ca="1" si="8"/>
        <v>"2084226891" : "nếu không thì",</v>
      </c>
    </row>
    <row r="532" spans="1:6" ht="15.75" customHeight="1">
      <c r="A532" s="14">
        <v>2084226884</v>
      </c>
      <c r="B532" s="14" t="s">
        <v>4631</v>
      </c>
      <c r="C532" s="14" t="s">
        <v>4647</v>
      </c>
      <c r="D532" s="5" t="str">
        <f ca="1">IFERROR(__xludf.DUMMYFUNCTION("GOOGLETRANSLATE(B532,""ja"",""vi"")"),"AA")</f>
        <v>AA</v>
      </c>
      <c r="E532" s="4" t="str">
        <f ca="1">IFERROR(__xludf.DUMMYFUNCTION("GOOGLETRANSLATE(C532,""ja"",""vi"")"),"Đấu giá&gt; thiết bị điện tử tiêu dùng, AV, camera&gt; pin, pin, sạc&gt; pin có thể sạc lại&gt; AA")</f>
        <v>Đấu giá&gt; thiết bị điện tử tiêu dùng, AV, camera&gt; pin, pin, sạc&gt; pin có thể sạc lại&gt; AA</v>
      </c>
      <c r="F532" t="str">
        <f t="shared" ca="1" si="8"/>
        <v>"2084226884" : "AA",</v>
      </c>
    </row>
    <row r="533" spans="1:6" ht="15.75" customHeight="1">
      <c r="A533" s="14">
        <v>2084226885</v>
      </c>
      <c r="B533" s="14" t="s">
        <v>4635</v>
      </c>
      <c r="C533" s="14" t="s">
        <v>4651</v>
      </c>
      <c r="D533" s="5" t="str">
        <f ca="1">IFERROR(__xludf.DUMMYFUNCTION("GOOGLETRANSLATE(B533,""ja"",""vi"")"),"AAA")</f>
        <v>AAA</v>
      </c>
      <c r="E533" s="4" t="str">
        <f ca="1">IFERROR(__xludf.DUMMYFUNCTION("GOOGLETRANSLATE(C533,""ja"",""vi"")"),"Đấu giá&gt; thiết bị điện tử tiêu dùng, AV, camera&gt; pin, pin, sạc&gt; pin có thể sạc lại&gt; AAA")</f>
        <v>Đấu giá&gt; thiết bị điện tử tiêu dùng, AV, camera&gt; pin, pin, sạc&gt; pin có thể sạc lại&gt; AAA</v>
      </c>
      <c r="F533" t="str">
        <f t="shared" ca="1" si="8"/>
        <v>"2084226885" : "AAA",</v>
      </c>
    </row>
    <row r="534" spans="1:6" ht="15.75" customHeight="1">
      <c r="A534" s="14">
        <v>2084226886</v>
      </c>
      <c r="B534" s="14" t="s">
        <v>4654</v>
      </c>
      <c r="C534" s="14" t="s">
        <v>4656</v>
      </c>
      <c r="D534" s="5" t="str">
        <f ca="1">IFERROR(__xludf.DUMMYFUNCTION("GOOGLETRANSLATE(B534,""ja"",""vi"")"),"sạc")</f>
        <v>sạc</v>
      </c>
      <c r="E534" s="4" t="str">
        <f ca="1">IFERROR(__xludf.DUMMYFUNCTION("GOOGLETRANSLATE(C534,""ja"",""vi"")"),"Đấu giá&gt; thiết bị điện tử tiêu dùng, AV, camera&gt; pin, pin, sạc&gt; pin có thể sạc lại&gt; sạc")</f>
        <v>Đấu giá&gt; thiết bị điện tử tiêu dùng, AV, camera&gt; pin, pin, sạc&gt; pin có thể sạc lại&gt; sạc</v>
      </c>
      <c r="F534" t="str">
        <f t="shared" ca="1" si="8"/>
        <v>"2084226886" : "sạc",</v>
      </c>
    </row>
    <row r="535" spans="1:6" ht="15.75" customHeight="1">
      <c r="A535" s="14">
        <v>2084226887</v>
      </c>
      <c r="B535" s="14" t="s">
        <v>46</v>
      </c>
      <c r="C535" s="14" t="s">
        <v>4660</v>
      </c>
      <c r="D535" s="5" t="str">
        <f ca="1">IFERROR(__xludf.DUMMYFUNCTION("GOOGLETRANSLATE(B535,""ja"",""vi"")"),"nếu không thì")</f>
        <v>nếu không thì</v>
      </c>
      <c r="E535" s="4" t="str">
        <f ca="1">IFERROR(__xludf.DUMMYFUNCTION("GOOGLETRANSLATE(C535,""ja"",""vi"")"),"Đấu giá&gt; thiết bị điện tử tiêu dùng, AV, camera&gt; pin, pin, sạc&gt; pin có thể sạc lại&gt; Khác")</f>
        <v>Đấu giá&gt; thiết bị điện tử tiêu dùng, AV, camera&gt; pin, pin, sạc&gt; pin có thể sạc lại&gt; Khác</v>
      </c>
      <c r="F535" t="str">
        <f t="shared" ca="1" si="8"/>
        <v>"2084226887" : "nếu không thì",</v>
      </c>
    </row>
    <row r="536" spans="1:6" ht="15.75" customHeight="1">
      <c r="A536" s="14">
        <v>2084239195</v>
      </c>
      <c r="B536" s="14" t="s">
        <v>3643</v>
      </c>
      <c r="C536" s="14" t="s">
        <v>3644</v>
      </c>
      <c r="D536" s="5" t="str">
        <f ca="1">IFERROR(__xludf.DUMMYFUNCTION("GOOGLETRANSLATE(B536,""ja"",""vi"")"),"bộ sạc AC adapter")</f>
        <v>bộ sạc AC adapter</v>
      </c>
      <c r="E536" s="4" t="str">
        <f ca="1">IFERROR(__xludf.DUMMYFUNCTION("GOOGLETRANSLATE(C536,""ja"",""vi"")"),"Đấu giá&gt; thiết bị điện tử tiêu dùng, AV, camera&gt; điện thoại di động, điện thoại thông minh&gt; pin, sạc&gt; bộ sạc AC adapter")</f>
        <v>Đấu giá&gt; thiết bị điện tử tiêu dùng, AV, camera&gt; điện thoại di động, điện thoại thông minh&gt; pin, sạc&gt; bộ sạc AC adapter</v>
      </c>
      <c r="F536" t="str">
        <f t="shared" ca="1" si="8"/>
        <v>"2084239195" : "bộ sạc AC adapter",</v>
      </c>
    </row>
    <row r="537" spans="1:6" ht="15.75" customHeight="1">
      <c r="A537" s="14">
        <v>2084239197</v>
      </c>
      <c r="B537" s="14" t="s">
        <v>3650</v>
      </c>
      <c r="C537" s="14" t="s">
        <v>3651</v>
      </c>
      <c r="D537" s="5" t="str">
        <f ca="1">IFERROR(__xludf.DUMMYFUNCTION("GOOGLETRANSLATE(B537,""ja"",""vi"")"),"sạc USB")</f>
        <v>sạc USB</v>
      </c>
      <c r="E537" s="4" t="str">
        <f ca="1">IFERROR(__xludf.DUMMYFUNCTION("GOOGLETRANSLATE(C537,""ja"",""vi"")"),"Đấu giá&gt; thiết bị điện tử tiêu dùng, AV, camera&gt; điện thoại di động, điện thoại thông minh&gt; pin, sạc&gt; sạc USB")</f>
        <v>Đấu giá&gt; thiết bị điện tử tiêu dùng, AV, camera&gt; điện thoại di động, điện thoại thông minh&gt; pin, sạc&gt; sạc USB</v>
      </c>
      <c r="F537" t="str">
        <f t="shared" ca="1" si="8"/>
        <v>"2084239197" : "sạc USB",</v>
      </c>
    </row>
    <row r="538" spans="1:6" ht="15.75" customHeight="1">
      <c r="A538" s="14">
        <v>2084239198</v>
      </c>
      <c r="B538" s="14" t="s">
        <v>3656</v>
      </c>
      <c r="C538" s="14" t="s">
        <v>3657</v>
      </c>
      <c r="D538" s="5" t="str">
        <f ca="1">IFERROR(__xludf.DUMMYFUNCTION("GOOGLETRANSLATE(B538,""ja"",""vi"")"),"sạc xì gà ổ cắm")</f>
        <v>sạc xì gà ổ cắm</v>
      </c>
      <c r="E538" s="4" t="str">
        <f ca="1">IFERROR(__xludf.DUMMYFUNCTION("GOOGLETRANSLATE(C538,""ja"",""vi"")"),"Đấu giá&gt; thiết bị điện tử tiêu dùng, AV, camera&gt; điện thoại di động, điện thoại thông minh&gt; pin, sạc&gt; xì gà ổ cắm sạc")</f>
        <v>Đấu giá&gt; thiết bị điện tử tiêu dùng, AV, camera&gt; điện thoại di động, điện thoại thông minh&gt; pin, sạc&gt; xì gà ổ cắm sạc</v>
      </c>
      <c r="F538" t="str">
        <f t="shared" ca="1" si="8"/>
        <v>"2084239198" : "sạc xì gà ổ cắm",</v>
      </c>
    </row>
    <row r="539" spans="1:6" ht="15.75" customHeight="1">
      <c r="A539" s="14">
        <v>2084239199</v>
      </c>
      <c r="B539" s="14" t="s">
        <v>3661</v>
      </c>
      <c r="C539" s="14" t="s">
        <v>3663</v>
      </c>
      <c r="D539" s="5" t="str">
        <f ca="1">IFERROR(__xludf.DUMMYFUNCTION("GOOGLETRANSLATE(B539,""ja"",""vi"")"),"sạc năng lượng mặt trời")</f>
        <v>sạc năng lượng mặt trời</v>
      </c>
      <c r="E539" s="4" t="str">
        <f ca="1">IFERROR(__xludf.DUMMYFUNCTION("GOOGLETRANSLATE(C539,""ja"",""vi"")"),"Đấu giá&gt; thiết bị điện tử tiêu dùng, AV, camera&gt; điện thoại di động, điện thoại thông minh&gt; pin, sạc&gt; bộ sạc năng lượng mặt trời")</f>
        <v>Đấu giá&gt; thiết bị điện tử tiêu dùng, AV, camera&gt; điện thoại di động, điện thoại thông minh&gt; pin, sạc&gt; bộ sạc năng lượng mặt trời</v>
      </c>
      <c r="F539" t="str">
        <f t="shared" ca="1" si="8"/>
        <v>"2084239199" : "sạc năng lượng mặt trời",</v>
      </c>
    </row>
    <row r="540" spans="1:6" ht="15.75" customHeight="1">
      <c r="A540" s="14">
        <v>2084239194</v>
      </c>
      <c r="B540" s="14" t="s">
        <v>3666</v>
      </c>
      <c r="C540" s="14" t="s">
        <v>3668</v>
      </c>
      <c r="D540" s="5" t="str">
        <f ca="1">IFERROR(__xludf.DUMMYFUNCTION("GOOGLETRANSLATE(B540,""ja"",""vi"")"),"pin")</f>
        <v>pin</v>
      </c>
      <c r="E540" s="4" t="str">
        <f ca="1">IFERROR(__xludf.DUMMYFUNCTION("GOOGLETRANSLATE(C540,""ja"",""vi"")"),"Đấu giá&gt; thiết bị điện tử tiêu dùng, AV, camera&gt; điện thoại di động, điện thoại thông minh&gt; pin, sạc&gt; pin")</f>
        <v>Đấu giá&gt; thiết bị điện tử tiêu dùng, AV, camera&gt; điện thoại di động, điện thoại thông minh&gt; pin, sạc&gt; pin</v>
      </c>
      <c r="F540" t="str">
        <f t="shared" ca="1" si="8"/>
        <v>"2084239194" : "pin",</v>
      </c>
    </row>
    <row r="541" spans="1:6" ht="15.75" customHeight="1">
      <c r="A541" s="14">
        <v>2084239196</v>
      </c>
      <c r="B541" s="14" t="s">
        <v>3673</v>
      </c>
      <c r="C541" s="14" t="s">
        <v>3675</v>
      </c>
      <c r="D541" s="5" t="str">
        <f ca="1">IFERROR(__xludf.DUMMYFUNCTION("GOOGLETRANSLATE(B541,""ja"",""vi"")"),"bộ sạc pin")</f>
        <v>bộ sạc pin</v>
      </c>
      <c r="E541" s="4" t="str">
        <f ca="1">IFERROR(__xludf.DUMMYFUNCTION("GOOGLETRANSLATE(C541,""ja"",""vi"")"),"Đấu giá&gt; thiết bị điện tử tiêu dùng, AV, camera&gt; điện thoại di động, điện thoại thông minh&gt; pin, sạc&gt; bộ sạc pin")</f>
        <v>Đấu giá&gt; thiết bị điện tử tiêu dùng, AV, camera&gt; điện thoại di động, điện thoại thông minh&gt; pin, sạc&gt; bộ sạc pin</v>
      </c>
      <c r="F541" t="str">
        <f t="shared" ca="1" si="8"/>
        <v>"2084239196" : "bộ sạc pin",</v>
      </c>
    </row>
    <row r="542" spans="1:6" ht="15.75" customHeight="1">
      <c r="A542" s="14">
        <v>2084239200</v>
      </c>
      <c r="B542" s="14" t="s">
        <v>46</v>
      </c>
      <c r="C542" s="14" t="s">
        <v>3681</v>
      </c>
      <c r="D542" s="5" t="str">
        <f ca="1">IFERROR(__xludf.DUMMYFUNCTION("GOOGLETRANSLATE(B542,""ja"",""vi"")"),"nếu không thì")</f>
        <v>nếu không thì</v>
      </c>
      <c r="E542" s="4" t="str">
        <f ca="1">IFERROR(__xludf.DUMMYFUNCTION("GOOGLETRANSLATE(C542,""ja"",""vi"")"),"Đấu giá&gt; thiết bị điện tử tiêu dùng, AV, camera&gt; điện thoại di động, điện thoại thông minh&gt; pin, sạc&gt; Khác")</f>
        <v>Đấu giá&gt; thiết bị điện tử tiêu dùng, AV, camera&gt; điện thoại di động, điện thoại thông minh&gt; pin, sạc&gt; Khác</v>
      </c>
      <c r="F542" t="str">
        <f t="shared" ca="1" si="8"/>
        <v>"2084239200" : "nếu không thì",</v>
      </c>
    </row>
    <row r="543" spans="1:6" ht="15.75" customHeight="1">
      <c r="A543" s="14">
        <v>2084315794</v>
      </c>
      <c r="B543" s="14" t="s">
        <v>4688</v>
      </c>
      <c r="C543" s="14" t="s">
        <v>4691</v>
      </c>
      <c r="D543" s="5" t="str">
        <f ca="1">IFERROR(__xludf.DUMMYFUNCTION("GOOGLETRANSLATE(B543,""ja"",""vi"")"),"Nintendo cơ thể chuyển đổi")</f>
        <v>Nintendo cơ thể chuyển đổi</v>
      </c>
      <c r="E543" s="4" t="str">
        <f ca="1">IFERROR(__xludf.DUMMYFUNCTION("GOOGLETRANSLATE(C543,""ja"",""vi"")"),"Đấu giá&gt; Đồ chơi, Trò chơi&gt; Trò chơi&gt; TV Trò chơi&gt; Nintendo switch&gt; Nintendo chuyển đổi cơ thể")</f>
        <v>Đấu giá&gt; Đồ chơi, Trò chơi&gt; Trò chơi&gt; TV Trò chơi&gt; Nintendo switch&gt; Nintendo chuyển đổi cơ thể</v>
      </c>
      <c r="F543" t="str">
        <f t="shared" ca="1" si="8"/>
        <v>"2084315794" : "Nintendo cơ thể chuyển đổi",</v>
      </c>
    </row>
    <row r="544" spans="1:6" ht="15.75" customHeight="1">
      <c r="A544" s="14">
        <v>2084315795</v>
      </c>
      <c r="B544" s="14" t="s">
        <v>4694</v>
      </c>
      <c r="C544" s="14" t="s">
        <v>4696</v>
      </c>
      <c r="D544" s="5" t="str">
        <f ca="1">IFERROR(__xludf.DUMMYFUNCTION("GOOGLETRANSLATE(B544,""ja"",""vi"")"),"Nintendo phần mềm chuyển đổi")</f>
        <v>Nintendo phần mềm chuyển đổi</v>
      </c>
      <c r="E544" s="4" t="str">
        <f ca="1">IFERROR(__xludf.DUMMYFUNCTION("GOOGLETRANSLATE(C544,""ja"",""vi"")"),"Đấu giá&gt; Đồ chơi, Trò chơi&gt; Trò chơi&gt; TV Trò chơi&gt; Nintendo switch&gt; phần mềm chuyển đổi Nintendo")</f>
        <v>Đấu giá&gt; Đồ chơi, Trò chơi&gt; Trò chơi&gt; TV Trò chơi&gt; Nintendo switch&gt; phần mềm chuyển đổi Nintendo</v>
      </c>
      <c r="F544" t="str">
        <f t="shared" ca="1" si="8"/>
        <v>"2084315795" : "Nintendo phần mềm chuyển đổi",</v>
      </c>
    </row>
    <row r="545" spans="1:6" ht="15.75" customHeight="1">
      <c r="A545" s="14">
        <v>2084315796</v>
      </c>
      <c r="B545" s="14" t="s">
        <v>4699</v>
      </c>
      <c r="C545" s="14" t="s">
        <v>4700</v>
      </c>
      <c r="D545" s="5" t="str">
        <f ca="1">IFERROR(__xludf.DUMMYFUNCTION("GOOGLETRANSLATE(B545,""ja"",""vi"")"),"Nintendo phụ kiện chuyển đổi")</f>
        <v>Nintendo phụ kiện chuyển đổi</v>
      </c>
      <c r="E545" s="4" t="str">
        <f ca="1">IFERROR(__xludf.DUMMYFUNCTION("GOOGLETRANSLATE(C545,""ja"",""vi"")"),"Đấu giá&gt; Đồ chơi, Trò chơi&gt; Trò chơi&gt; TV Trò chơi&gt; Nintendo switch&gt; Nintendo phụ kiện chuyển đổi")</f>
        <v>Đấu giá&gt; Đồ chơi, Trò chơi&gt; Trò chơi&gt; TV Trò chơi&gt; Nintendo switch&gt; Nintendo phụ kiện chuyển đổi</v>
      </c>
      <c r="F545" t="str">
        <f t="shared" ca="1" si="8"/>
        <v>"2084315796" : "Nintendo phụ kiện chuyển đổi",</v>
      </c>
    </row>
    <row r="546" spans="1:6" ht="15.75" customHeight="1">
      <c r="A546" s="14">
        <v>2084315792</v>
      </c>
      <c r="B546" s="14" t="s">
        <v>4704</v>
      </c>
      <c r="C546" s="14" t="s">
        <v>4705</v>
      </c>
      <c r="D546" s="5" t="str">
        <f ca="1">IFERROR(__xludf.DUMMYFUNCTION("GOOGLETRANSLATE(B546,""ja"",""vi"")"),"Nintendo cổ điển nhỏ cơ thể")</f>
        <v>Nintendo cổ điển nhỏ cơ thể</v>
      </c>
      <c r="E546" s="4" t="str">
        <f ca="1">IFERROR(__xludf.DUMMYFUNCTION("GOOGLETRANSLATE(C546,""ja"",""vi"")"),"Đấu giá&gt; Đồ chơi, Trò chơi&gt; Trò chơi&gt; TV Trò chơi&gt; Nintendo cổ điển Mini&gt; thân Nintendo cổ điển Mini")</f>
        <v>Đấu giá&gt; Đồ chơi, Trò chơi&gt; Trò chơi&gt; TV Trò chơi&gt; Nintendo cổ điển Mini&gt; thân Nintendo cổ điển Mini</v>
      </c>
      <c r="F546" t="str">
        <f t="shared" ca="1" si="8"/>
        <v>"2084315792" : "Nintendo cổ điển nhỏ cơ thể",</v>
      </c>
    </row>
    <row r="547" spans="1:6" ht="15.75" customHeight="1">
      <c r="A547" s="14">
        <v>2084315797</v>
      </c>
      <c r="B547" s="14" t="s">
        <v>4708</v>
      </c>
      <c r="C547" s="14" t="s">
        <v>4709</v>
      </c>
      <c r="D547" s="5" t="str">
        <f ca="1">IFERROR(__xludf.DUMMYFUNCTION("GOOGLETRANSLATE(B547,""ja"",""vi"")"),"Nintendo phụ kiện nhỏ cổ điển")</f>
        <v>Nintendo phụ kiện nhỏ cổ điển</v>
      </c>
      <c r="E547" s="4" t="str">
        <f ca="1">IFERROR(__xludf.DUMMYFUNCTION("GOOGLETRANSLATE(C547,""ja"",""vi"")"),"Đấu giá&gt; Đồ chơi, Trò chơi&gt; Trò chơi&gt; TV Trò chơi&gt; Nintendo cổ điển Mini&gt; Nintendo phụ kiện nhỏ cổ điển")</f>
        <v>Đấu giá&gt; Đồ chơi, Trò chơi&gt; Trò chơi&gt; TV Trò chơi&gt; Nintendo cổ điển Mini&gt; Nintendo phụ kiện nhỏ cổ điển</v>
      </c>
      <c r="F547" t="str">
        <f t="shared" ca="1" si="8"/>
        <v>"2084315797" : "Nintendo phụ kiện nhỏ cổ điển",</v>
      </c>
    </row>
    <row r="548" spans="1:6" ht="15.75" customHeight="1">
      <c r="A548" s="14">
        <v>2084310047</v>
      </c>
      <c r="B548" s="14" t="s">
        <v>4713</v>
      </c>
      <c r="C548" s="14" t="s">
        <v>4714</v>
      </c>
      <c r="D548" s="5" t="str">
        <f ca="1">IFERROR(__xludf.DUMMYFUNCTION("GOOGLETRANSLATE(B548,""ja"",""vi"")"),"Nintendo 3DS LL cơ thể")</f>
        <v>Nintendo 3DS LL cơ thể</v>
      </c>
      <c r="E548" s="4" t="str">
        <f ca="1">IFERROR(__xludf.DUMMYFUNCTION("GOOGLETRANSLATE(C548,""ja"",""vi"")"),"Đấu giá&gt; Đồ chơi, Trò chơi&gt; Trò chơi&gt; TV Trò chơi&gt; Nintendo 3DS&gt; Nintendo 3DS LL cơ thể")</f>
        <v>Đấu giá&gt; Đồ chơi, Trò chơi&gt; Trò chơi&gt; TV Trò chơi&gt; Nintendo 3DS&gt; Nintendo 3DS LL cơ thể</v>
      </c>
      <c r="F548" t="str">
        <f t="shared" ca="1" si="8"/>
        <v>"2084310047" : "Nintendo 3DS LL cơ thể",</v>
      </c>
    </row>
    <row r="549" spans="1:6" ht="15.75" customHeight="1">
      <c r="A549" s="14">
        <v>2084290227</v>
      </c>
      <c r="B549" s="14" t="s">
        <v>4716</v>
      </c>
      <c r="C549" s="14" t="s">
        <v>4717</v>
      </c>
      <c r="D549" s="5" t="str">
        <f ca="1">IFERROR(__xludf.DUMMYFUNCTION("GOOGLETRANSLATE(B549,""ja"",""vi"")"),"Nintendo 3DS cơ thể")</f>
        <v>Nintendo 3DS cơ thể</v>
      </c>
      <c r="E549" s="4" t="str">
        <f ca="1">IFERROR(__xludf.DUMMYFUNCTION("GOOGLETRANSLATE(C549,""ja"",""vi"")"),"Đấu giá&gt; Đồ chơi, Trò chơi&gt; Trò chơi&gt; TV Trò chơi&gt; Nintendo 3DS&gt; Nintendo 3DS cơ thể")</f>
        <v>Đấu giá&gt; Đồ chơi, Trò chơi&gt; Trò chơi&gt; TV Trò chơi&gt; Nintendo 3DS&gt; Nintendo 3DS cơ thể</v>
      </c>
      <c r="F549" t="str">
        <f t="shared" ca="1" si="8"/>
        <v>"2084290227" : "Nintendo 3DS cơ thể",</v>
      </c>
    </row>
    <row r="550" spans="1:6" ht="15.75" customHeight="1">
      <c r="A550" s="14">
        <v>2084290228</v>
      </c>
      <c r="B550" s="14" t="s">
        <v>4721</v>
      </c>
      <c r="C550" s="14" t="s">
        <v>4722</v>
      </c>
      <c r="D550" s="5" t="str">
        <f ca="1">IFERROR(__xludf.DUMMYFUNCTION("GOOGLETRANSLATE(B550,""ja"",""vi"")"),"Nintendo 3DS phần mềm chuyên dụng")</f>
        <v>Nintendo 3DS phần mềm chuyên dụng</v>
      </c>
      <c r="E550" s="4" t="str">
        <f ca="1">IFERROR(__xludf.DUMMYFUNCTION("GOOGLETRANSLATE(C550,""ja"",""vi"")"),"Đấu giá&gt; Đồ chơi, Trò chơi&gt; Trò chơi&gt; TV Trò chơi&gt; Nintendo 3DS&gt; Nintendo 3DS phần mềm chuyên dụng")</f>
        <v>Đấu giá&gt; Đồ chơi, Trò chơi&gt; Trò chơi&gt; TV Trò chơi&gt; Nintendo 3DS&gt; Nintendo 3DS phần mềm chuyên dụng</v>
      </c>
      <c r="F550" t="str">
        <f t="shared" ca="1" si="8"/>
        <v>"2084290228" : "Nintendo 3DS phần mềm chuyên dụng",</v>
      </c>
    </row>
    <row r="551" spans="1:6" ht="15.75" customHeight="1">
      <c r="A551" s="14">
        <v>2084056541</v>
      </c>
      <c r="B551" s="14" t="s">
        <v>4727</v>
      </c>
      <c r="C551" s="14" t="s">
        <v>4728</v>
      </c>
      <c r="D551" s="5" t="str">
        <f ca="1">IFERROR(__xludf.DUMMYFUNCTION("GOOGLETRANSLATE(B551,""ja"",""vi"")"),"Phần mềm cho Nintendo DS")</f>
        <v>Phần mềm cho Nintendo DS</v>
      </c>
      <c r="E551" s="4" t="str">
        <f ca="1">IFERROR(__xludf.DUMMYFUNCTION("GOOGLETRANSLATE(C551,""ja"",""vi"")"),"Đấu giá&gt; Đồ chơi, Trò chơi&gt; Trò chơi&gt; TV Trò chơi&gt; Nintendo 3DS&gt; phần mềm cho Nintendo DS")</f>
        <v>Đấu giá&gt; Đồ chơi, Trò chơi&gt; Trò chơi&gt; TV Trò chơi&gt; Nintendo 3DS&gt; phần mềm cho Nintendo DS</v>
      </c>
      <c r="F551" t="str">
        <f t="shared" ca="1" si="8"/>
        <v>"2084056541" : "Phần mềm cho Nintendo DS",</v>
      </c>
    </row>
    <row r="552" spans="1:6" ht="15.75" customHeight="1">
      <c r="A552" s="14">
        <v>2084290230</v>
      </c>
      <c r="B552" s="14" t="s">
        <v>4735</v>
      </c>
      <c r="C552" s="14" t="s">
        <v>4736</v>
      </c>
      <c r="D552" s="5" t="str">
        <f ca="1">IFERROR(__xludf.DUMMYFUNCTION("GOOGLETRANSLATE(B552,""ja"",""vi"")"),"Phụ kiện, thiết bị ngoại vi")</f>
        <v>Phụ kiện, thiết bị ngoại vi</v>
      </c>
      <c r="E552" s="4" t="str">
        <f ca="1">IFERROR(__xludf.DUMMYFUNCTION("GOOGLETRANSLATE(C552,""ja"",""vi"")"),"Đấu giá&gt; Đồ chơi, Trò chơi&gt; Trò chơi&gt; TV Trò chơi&gt; Nintendo 3DS&gt; Phụ kiện, thiết bị ngoại vi")</f>
        <v>Đấu giá&gt; Đồ chơi, Trò chơi&gt; Trò chơi&gt; TV Trò chơi&gt; Nintendo 3DS&gt; Phụ kiện, thiết bị ngoại vi</v>
      </c>
      <c r="F552" t="str">
        <f t="shared" ca="1" si="8"/>
        <v>"2084290230" : "Phụ kiện, thiết bị ngoại vi",</v>
      </c>
    </row>
    <row r="553" spans="1:6" ht="15.75" customHeight="1">
      <c r="A553" s="14">
        <v>2084056540</v>
      </c>
      <c r="B553" s="14" t="s">
        <v>4741</v>
      </c>
      <c r="C553" s="14" t="s">
        <v>4742</v>
      </c>
      <c r="D553" s="5" t="str">
        <f ca="1">IFERROR(__xludf.DUMMYFUNCTION("GOOGLETRANSLATE(B553,""ja"",""vi"")"),"Nintendo DS cơ thể")</f>
        <v>Nintendo DS cơ thể</v>
      </c>
      <c r="E553" s="4" t="str">
        <f ca="1">IFERROR(__xludf.DUMMYFUNCTION("GOOGLETRANSLATE(C553,""ja"",""vi"")"),"Đấu giá&gt; Đồ chơi, Trò chơi&gt; Trò chơi&gt; TV Trò chơi&gt; Nintendo DS&gt; Nintendo DS cơ thể")</f>
        <v>Đấu giá&gt; Đồ chơi, Trò chơi&gt; Trò chơi&gt; TV Trò chơi&gt; Nintendo DS&gt; Nintendo DS cơ thể</v>
      </c>
      <c r="F553" t="str">
        <f t="shared" ca="1" si="8"/>
        <v>"2084056540" : "Nintendo DS cơ thể",</v>
      </c>
    </row>
    <row r="554" spans="1:6" ht="15.75" customHeight="1">
      <c r="A554" s="14">
        <v>2084056541</v>
      </c>
      <c r="B554" s="14" t="s">
        <v>4745</v>
      </c>
      <c r="C554" s="14" t="s">
        <v>4746</v>
      </c>
      <c r="D554" s="5" t="str">
        <f ca="1">IFERROR(__xludf.DUMMYFUNCTION("GOOGLETRANSLATE(B554,""ja"",""vi"")"),"phần mềm Nintendo DS")</f>
        <v>phần mềm Nintendo DS</v>
      </c>
      <c r="E554" s="4" t="str">
        <f ca="1">IFERROR(__xludf.DUMMYFUNCTION("GOOGLETRANSLATE(C554,""ja"",""vi"")"),"Đấu giá&gt; Đồ chơi, Trò chơi&gt; Trò chơi&gt; TV Trò chơi&gt; Nintendo DS&gt; phần mềm Nintendo DS")</f>
        <v>Đấu giá&gt; Đồ chơi, Trò chơi&gt; Trò chơi&gt; TV Trò chơi&gt; Nintendo DS&gt; phần mềm Nintendo DS</v>
      </c>
      <c r="F554" t="str">
        <f t="shared" ca="1" si="8"/>
        <v>"2084056541" : "phần mềm Nintendo DS",</v>
      </c>
    </row>
    <row r="555" spans="1:6" ht="15.75" customHeight="1">
      <c r="A555" s="14">
        <v>2084056542</v>
      </c>
      <c r="B555" s="14" t="s">
        <v>4735</v>
      </c>
      <c r="C555" s="14" t="s">
        <v>4751</v>
      </c>
      <c r="D555" s="5" t="str">
        <f ca="1">IFERROR(__xludf.DUMMYFUNCTION("GOOGLETRANSLATE(B555,""ja"",""vi"")"),"Phụ kiện, thiết bị ngoại vi")</f>
        <v>Phụ kiện, thiết bị ngoại vi</v>
      </c>
      <c r="E555" s="4" t="str">
        <f ca="1">IFERROR(__xludf.DUMMYFUNCTION("GOOGLETRANSLATE(C555,""ja"",""vi"")"),"Đấu giá&gt; Đồ chơi, Trò chơi&gt; Trò chơi&gt; TV Trò chơi&gt; Nintendo DS&gt; Phụ kiện, thiết bị ngoại vi")</f>
        <v>Đấu giá&gt; Đồ chơi, Trò chơi&gt; Trò chơi&gt; TV Trò chơi&gt; Nintendo DS&gt; Phụ kiện, thiết bị ngoại vi</v>
      </c>
      <c r="F555" t="str">
        <f t="shared" ca="1" si="8"/>
        <v>"2084056542" : "Phụ kiện, thiết bị ngoại vi",</v>
      </c>
    </row>
    <row r="556" spans="1:6" ht="15.75" customHeight="1">
      <c r="A556" s="14">
        <v>2084310046</v>
      </c>
      <c r="B556" s="14" t="s">
        <v>4754</v>
      </c>
      <c r="C556" s="14" t="s">
        <v>4756</v>
      </c>
      <c r="D556" s="5" t="str">
        <f ca="1">IFERROR(__xludf.DUMMYFUNCTION("GOOGLETRANSLATE(B556,""ja"",""vi"")"),"Wii U cơ thể")</f>
        <v>Wii U cơ thể</v>
      </c>
      <c r="E556" s="4" t="str">
        <f ca="1">IFERROR(__xludf.DUMMYFUNCTION("GOOGLETRANSLATE(C556,""ja"",""vi"")"),"Đấu giá&gt; Đồ chơi, Trò chơi&gt; Trò chơi&gt; Video Games&gt; Wii U&gt; Wii U cơ thể")</f>
        <v>Đấu giá&gt; Đồ chơi, Trò chơi&gt; Trò chơi&gt; Video Games&gt; Wii U&gt; Wii U cơ thể</v>
      </c>
      <c r="F556" t="str">
        <f t="shared" ca="1" si="8"/>
        <v>"2084310046" : "Wii U cơ thể",</v>
      </c>
    </row>
    <row r="557" spans="1:6" ht="15.75" customHeight="1">
      <c r="A557" s="14">
        <v>2084310053</v>
      </c>
      <c r="B557" s="14" t="s">
        <v>4760</v>
      </c>
      <c r="C557" s="14" t="s">
        <v>4762</v>
      </c>
      <c r="D557" s="5" t="str">
        <f ca="1">IFERROR(__xludf.DUMMYFUNCTION("GOOGLETRANSLATE(B557,""ja"",""vi"")"),"Wii U phần mềm chuyên dụng")</f>
        <v>Wii U phần mềm chuyên dụng</v>
      </c>
      <c r="E557" s="4" t="str">
        <f ca="1">IFERROR(__xludf.DUMMYFUNCTION("GOOGLETRANSLATE(C557,""ja"",""vi"")"),"Đấu giá&gt; Đồ chơi, Trò chơi&gt; Trò chơi&gt; Video Games&gt; Wii U&gt; phần mềm Wii U-only")</f>
        <v>Đấu giá&gt; Đồ chơi, Trò chơi&gt; Trò chơi&gt; Video Games&gt; Wii U&gt; phần mềm Wii U-only</v>
      </c>
      <c r="F557" t="str">
        <f t="shared" ca="1" si="8"/>
        <v>"2084310053" : "Wii U phần mềm chuyên dụng",</v>
      </c>
    </row>
    <row r="558" spans="1:6" ht="15.75" customHeight="1">
      <c r="A558" s="14">
        <v>2084217066</v>
      </c>
      <c r="B558" s="14" t="s">
        <v>4765</v>
      </c>
      <c r="C558" s="14" t="s">
        <v>4769</v>
      </c>
      <c r="D558" s="5" t="str">
        <f ca="1">IFERROR(__xludf.DUMMYFUNCTION("GOOGLETRANSLATE(B558,""ja"",""vi"")"),"Phần mềm cho Wii")</f>
        <v>Phần mềm cho Wii</v>
      </c>
      <c r="E558" s="4" t="str">
        <f ca="1">IFERROR(__xludf.DUMMYFUNCTION("GOOGLETRANSLATE(C558,""ja"",""vi"")"),"Đấu giá&gt; Đồ chơi, Trò chơi&gt; Trò chơi&gt; Video Games&gt; Wii U&gt; phần mềm cho Wii")</f>
        <v>Đấu giá&gt; Đồ chơi, Trò chơi&gt; Trò chơi&gt; Video Games&gt; Wii U&gt; phần mềm cho Wii</v>
      </c>
      <c r="F558" t="str">
        <f t="shared" ca="1" si="8"/>
        <v>"2084217066" : "Phần mềm cho Wii",</v>
      </c>
    </row>
    <row r="559" spans="1:6" ht="15.75" customHeight="1">
      <c r="A559" s="14">
        <v>2084310054</v>
      </c>
      <c r="B559" s="14" t="s">
        <v>4735</v>
      </c>
      <c r="C559" s="14" t="s">
        <v>4773</v>
      </c>
      <c r="D559" s="5" t="str">
        <f ca="1">IFERROR(__xludf.DUMMYFUNCTION("GOOGLETRANSLATE(B559,""ja"",""vi"")"),"Phụ kiện, thiết bị ngoại vi")</f>
        <v>Phụ kiện, thiết bị ngoại vi</v>
      </c>
      <c r="E559" s="4" t="str">
        <f ca="1">IFERROR(__xludf.DUMMYFUNCTION("GOOGLETRANSLATE(C559,""ja"",""vi"")"),"Đấu giá&gt; Đồ chơi, Trò chơi&gt; Trò chơi&gt; Video Games&gt; Wii U&gt; phụ kiện, thiết bị ngoại vi")</f>
        <v>Đấu giá&gt; Đồ chơi, Trò chơi&gt; Trò chơi&gt; Video Games&gt; Wii U&gt; phụ kiện, thiết bị ngoại vi</v>
      </c>
      <c r="F559" t="str">
        <f t="shared" ca="1" si="8"/>
        <v>"2084310054" : "Phụ kiện, thiết bị ngoại vi",</v>
      </c>
    </row>
    <row r="560" spans="1:6" ht="15.75" customHeight="1">
      <c r="A560" s="14">
        <v>2084217068</v>
      </c>
      <c r="B560" s="14" t="s">
        <v>4777</v>
      </c>
      <c r="C560" s="14" t="s">
        <v>4778</v>
      </c>
      <c r="D560" s="5" t="str">
        <f ca="1">IFERROR(__xludf.DUMMYFUNCTION("GOOGLETRANSLATE(B560,""ja"",""vi"")"),"Wii cơ thể")</f>
        <v>Wii cơ thể</v>
      </c>
      <c r="E560" s="4" t="str">
        <f ca="1">IFERROR(__xludf.DUMMYFUNCTION("GOOGLETRANSLATE(C560,""ja"",""vi"")"),"Đấu giá&gt; Đồ chơi, Trò chơi&gt; Trò chơi&gt; Video Games&gt; Wii&gt; Wii cơ thể")</f>
        <v>Đấu giá&gt; Đồ chơi, Trò chơi&gt; Trò chơi&gt; Video Games&gt; Wii&gt; Wii cơ thể</v>
      </c>
      <c r="F560" t="str">
        <f t="shared" ca="1" si="8"/>
        <v>"2084217068" : "Wii cơ thể",</v>
      </c>
    </row>
    <row r="561" spans="1:6" ht="15.75" customHeight="1">
      <c r="A561" s="14">
        <v>2084217066</v>
      </c>
      <c r="B561" s="14" t="s">
        <v>4782</v>
      </c>
      <c r="C561" s="14" t="s">
        <v>4784</v>
      </c>
      <c r="D561" s="5" t="str">
        <f ca="1">IFERROR(__xludf.DUMMYFUNCTION("GOOGLETRANSLATE(B561,""ja"",""vi"")"),"phần mềm Wii")</f>
        <v>phần mềm Wii</v>
      </c>
      <c r="E561" s="4" t="str">
        <f ca="1">IFERROR(__xludf.DUMMYFUNCTION("GOOGLETRANSLATE(C561,""ja"",""vi"")"),"Đấu giá&gt; Đồ chơi, Trò chơi&gt; Trò chơi&gt; Video Games&gt; Wii&gt; phần mềm Wii")</f>
        <v>Đấu giá&gt; Đồ chơi, Trò chơi&gt; Trò chơi&gt; Video Games&gt; Wii&gt; phần mềm Wii</v>
      </c>
      <c r="F561" t="str">
        <f t="shared" ca="1" si="8"/>
        <v>"2084217066" : "phần mềm Wii",</v>
      </c>
    </row>
    <row r="562" spans="1:6" ht="15.75" customHeight="1">
      <c r="A562" s="14">
        <v>2084217065</v>
      </c>
      <c r="B562" s="14" t="s">
        <v>4735</v>
      </c>
      <c r="C562" s="14" t="s">
        <v>4787</v>
      </c>
      <c r="D562" s="5" t="str">
        <f ca="1">IFERROR(__xludf.DUMMYFUNCTION("GOOGLETRANSLATE(B562,""ja"",""vi"")"),"Phụ kiện, thiết bị ngoại vi")</f>
        <v>Phụ kiện, thiết bị ngoại vi</v>
      </c>
      <c r="E562" s="4" t="str">
        <f ca="1">IFERROR(__xludf.DUMMYFUNCTION("GOOGLETRANSLATE(C562,""ja"",""vi"")"),"Đấu giá&gt; Đồ chơi, Trò chơi&gt; Trò chơi&gt; Video Games&gt; Wii&gt; phụ kiện, thiết bị ngoại vi")</f>
        <v>Đấu giá&gt; Đồ chơi, Trò chơi&gt; Trò chơi&gt; Video Games&gt; Wii&gt; phụ kiện, thiết bị ngoại vi</v>
      </c>
      <c r="F562" t="str">
        <f t="shared" ca="1" si="8"/>
        <v>"2084217065" : "Phụ kiện, thiết bị ngoại vi",</v>
      </c>
    </row>
    <row r="563" spans="1:6" ht="15.75" customHeight="1">
      <c r="A563" s="14">
        <v>2084301278</v>
      </c>
      <c r="B563" s="14" t="s">
        <v>4790</v>
      </c>
      <c r="C563" s="14" t="s">
        <v>4791</v>
      </c>
      <c r="D563" s="5" t="str">
        <f ca="1">IFERROR(__xludf.DUMMYFUNCTION("GOOGLETRANSLATE(B563,""ja"",""vi"")"),"PS Vita cơ thể")</f>
        <v>PS Vita cơ thể</v>
      </c>
      <c r="E563" s="4" t="str">
        <f ca="1">IFERROR(__xludf.DUMMYFUNCTION("GOOGLETRANSLATE(C563,""ja"",""vi"")"),"Đấu giá&gt; Đồ chơi, Trò chơi&gt; Trò chơi&gt; Video Games&gt; PS Vita&gt; PS Vita cơ thể")</f>
        <v>Đấu giá&gt; Đồ chơi, Trò chơi&gt; Trò chơi&gt; Video Games&gt; PS Vita&gt; PS Vita cơ thể</v>
      </c>
      <c r="F563" t="str">
        <f t="shared" ca="1" si="8"/>
        <v>"2084301278" : "PS Vita cơ thể",</v>
      </c>
    </row>
    <row r="564" spans="1:6" ht="15.75" customHeight="1">
      <c r="A564" s="14">
        <v>2084301279</v>
      </c>
      <c r="B564" s="14" t="s">
        <v>4795</v>
      </c>
      <c r="C564" s="14" t="s">
        <v>4797</v>
      </c>
      <c r="D564" s="5" t="str">
        <f ca="1">IFERROR(__xludf.DUMMYFUNCTION("GOOGLETRANSLATE(B564,""ja"",""vi"")"),"phần mềm PS Vita")</f>
        <v>phần mềm PS Vita</v>
      </c>
      <c r="E564" s="4" t="str">
        <f ca="1">IFERROR(__xludf.DUMMYFUNCTION("GOOGLETRANSLATE(C564,""ja"",""vi"")"),"Đấu giá&gt; Đồ chơi, Trò chơi&gt; Trò chơi&gt; Video Games&gt; PS Vita&gt; phần mềm PS Vita")</f>
        <v>Đấu giá&gt; Đồ chơi, Trò chơi&gt; Trò chơi&gt; Video Games&gt; PS Vita&gt; phần mềm PS Vita</v>
      </c>
      <c r="F564" t="str">
        <f t="shared" ca="1" si="8"/>
        <v>"2084301279" : "phần mềm PS Vita",</v>
      </c>
    </row>
    <row r="565" spans="1:6" ht="15.75" customHeight="1">
      <c r="A565" s="14">
        <v>2084301280</v>
      </c>
      <c r="B565" s="14" t="s">
        <v>4799</v>
      </c>
      <c r="C565" s="14" t="s">
        <v>4802</v>
      </c>
      <c r="D565" s="5" t="str">
        <f ca="1">IFERROR(__xludf.DUMMYFUNCTION("GOOGLETRANSLATE(B565,""ja"",""vi"")"),"Phụ kiện, thiết bị ngoại vi")</f>
        <v>Phụ kiện, thiết bị ngoại vi</v>
      </c>
      <c r="E565" s="4" t="str">
        <f ca="1">IFERROR(__xludf.DUMMYFUNCTION("GOOGLETRANSLATE(C565,""ja"",""vi"")"),"Đấu giá&gt; Đồ chơi, Trò chơi&gt; Trò chơi&gt; Video Games&gt; PS Vita&gt; phụ kiện, thiết bị ngoại vi")</f>
        <v>Đấu giá&gt; Đồ chơi, Trò chơi&gt; Trò chơi&gt; Video Games&gt; PS Vita&gt; phụ kiện, thiết bị ngoại vi</v>
      </c>
      <c r="F565" t="str">
        <f t="shared" ca="1" si="8"/>
        <v>"2084301280" : "Phụ kiện, thiết bị ngoại vi",</v>
      </c>
    </row>
    <row r="566" spans="1:6" ht="15.75" customHeight="1">
      <c r="A566" s="14">
        <v>2084057110</v>
      </c>
      <c r="B566" s="14" t="s">
        <v>4805</v>
      </c>
      <c r="C566" s="14" t="s">
        <v>4807</v>
      </c>
      <c r="D566" s="5" t="str">
        <f ca="1">IFERROR(__xludf.DUMMYFUNCTION("GOOGLETRANSLATE(B566,""ja"",""vi"")"),"PSP cơ thể")</f>
        <v>PSP cơ thể</v>
      </c>
      <c r="E566" s="4" t="str">
        <f ca="1">IFERROR(__xludf.DUMMYFUNCTION("GOOGLETRANSLATE(C566,""ja"",""vi"")"),"Đấu giá&gt; Đồ chơi, Trò chơi&gt; Trò chơi&gt; Video Games&gt; PSP (PlayStation Portable)&gt; PSP cơ thể")</f>
        <v>Đấu giá&gt; Đồ chơi, Trò chơi&gt; Trò chơi&gt; Video Games&gt; PSP (PlayStation Portable)&gt; PSP cơ thể</v>
      </c>
      <c r="F566" t="str">
        <f t="shared" ca="1" si="8"/>
        <v>"2084057110" : "PSP cơ thể",</v>
      </c>
    </row>
    <row r="567" spans="1:6" ht="15.75" customHeight="1">
      <c r="A567" s="14">
        <v>2084057111</v>
      </c>
      <c r="B567" s="14" t="s">
        <v>4809</v>
      </c>
      <c r="C567" s="14" t="s">
        <v>4811</v>
      </c>
      <c r="D567" s="5" t="str">
        <f ca="1">IFERROR(__xludf.DUMMYFUNCTION("GOOGLETRANSLATE(B567,""ja"",""vi"")"),"phần mềm PSP")</f>
        <v>phần mềm PSP</v>
      </c>
      <c r="E567" s="4" t="str">
        <f ca="1">IFERROR(__xludf.DUMMYFUNCTION("GOOGLETRANSLATE(C567,""ja"",""vi"")"),"Đấu giá&gt; Đồ chơi, Trò chơi&gt; Trò chơi&gt; Video Games&gt; PSP (PlayStation Portable)&gt; phần mềm PSP")</f>
        <v>Đấu giá&gt; Đồ chơi, Trò chơi&gt; Trò chơi&gt; Video Games&gt; PSP (PlayStation Portable)&gt; phần mềm PSP</v>
      </c>
      <c r="F567" t="str">
        <f t="shared" ca="1" si="8"/>
        <v>"2084057111" : "phần mềm PSP",</v>
      </c>
    </row>
    <row r="568" spans="1:6" ht="15.75" customHeight="1">
      <c r="A568" s="14">
        <v>2084057112</v>
      </c>
      <c r="B568" s="14" t="s">
        <v>4735</v>
      </c>
      <c r="C568" s="14" t="s">
        <v>4814</v>
      </c>
      <c r="D568" s="5" t="str">
        <f ca="1">IFERROR(__xludf.DUMMYFUNCTION("GOOGLETRANSLATE(B568,""ja"",""vi"")"),"Phụ kiện, thiết bị ngoại vi")</f>
        <v>Phụ kiện, thiết bị ngoại vi</v>
      </c>
      <c r="E568" s="4" t="str">
        <f ca="1">IFERROR(__xludf.DUMMYFUNCTION("GOOGLETRANSLATE(C568,""ja"",""vi"")"),"Đấu giá&gt; Đồ chơi, Trò chơi&gt; Trò chơi&gt; Video Games&gt; PSP (PlayStation Portable)&gt; Phụ kiện, thiết bị ngoại vi")</f>
        <v>Đấu giá&gt; Đồ chơi, Trò chơi&gt; Trò chơi&gt; Video Games&gt; PSP (PlayStation Portable)&gt; Phụ kiện, thiết bị ngoại vi</v>
      </c>
      <c r="F568" t="str">
        <f t="shared" ca="1" si="8"/>
        <v>"2084057112" : "Phụ kiện, thiết bị ngoại vi",</v>
      </c>
    </row>
    <row r="569" spans="1:6" ht="15.75" customHeight="1">
      <c r="A569" s="14">
        <v>2084313827</v>
      </c>
      <c r="B569" s="14" t="s">
        <v>4816</v>
      </c>
      <c r="C569" s="14" t="s">
        <v>4818</v>
      </c>
      <c r="D569" s="5" t="str">
        <f ca="1">IFERROR(__xludf.DUMMYFUNCTION("GOOGLETRANSLATE(B569,""ja"",""vi"")"),"PS4 cơ thể")</f>
        <v>PS4 cơ thể</v>
      </c>
      <c r="E569" s="4" t="str">
        <f ca="1">IFERROR(__xludf.DUMMYFUNCTION("GOOGLETRANSLATE(C569,""ja"",""vi"")"),"Đấu giá&gt; Đồ chơi, Trò chơi&gt; Trò chơi&gt; TV Trò chơi&gt; PlayStation 4&gt; PS4 cơ thể")</f>
        <v>Đấu giá&gt; Đồ chơi, Trò chơi&gt; Trò chơi&gt; TV Trò chơi&gt; PlayStation 4&gt; PS4 cơ thể</v>
      </c>
      <c r="F569" t="str">
        <f t="shared" ca="1" si="8"/>
        <v>"2084313827" : "PS4 cơ thể",</v>
      </c>
    </row>
    <row r="570" spans="1:6" ht="15.75" customHeight="1">
      <c r="A570" s="14">
        <v>2084313828</v>
      </c>
      <c r="B570" s="14" t="s">
        <v>4820</v>
      </c>
      <c r="C570" s="14" t="s">
        <v>4822</v>
      </c>
      <c r="D570" s="5" t="str">
        <f ca="1">IFERROR(__xludf.DUMMYFUNCTION("GOOGLETRANSLATE(B570,""ja"",""vi"")"),"phần mềm PS4")</f>
        <v>phần mềm PS4</v>
      </c>
      <c r="E570" s="4" t="str">
        <f ca="1">IFERROR(__xludf.DUMMYFUNCTION("GOOGLETRANSLATE(C570,""ja"",""vi"")"),"Đấu giá&gt; Đồ chơi, Trò chơi&gt; Trò chơi&gt; TV Trò chơi&gt; PlayStation 4&gt; phần mềm PS4")</f>
        <v>Đấu giá&gt; Đồ chơi, Trò chơi&gt; Trò chơi&gt; TV Trò chơi&gt; PlayStation 4&gt; phần mềm PS4</v>
      </c>
      <c r="F570" t="str">
        <f t="shared" ca="1" si="8"/>
        <v>"2084313828" : "phần mềm PS4",</v>
      </c>
    </row>
    <row r="571" spans="1:6" ht="15.75" customHeight="1">
      <c r="A571" s="14">
        <v>2084315790</v>
      </c>
      <c r="B571" s="14" t="s">
        <v>4825</v>
      </c>
      <c r="C571" s="14" t="s">
        <v>4827</v>
      </c>
      <c r="D571" s="5" t="str">
        <f ca="1">IFERROR(__xludf.DUMMYFUNCTION("GOOGLETRANSLATE(B571,""ja"",""vi"")"),"PSVR")</f>
        <v>PSVR</v>
      </c>
      <c r="E571" s="4" t="str">
        <f ca="1">IFERROR(__xludf.DUMMYFUNCTION("GOOGLETRANSLATE(C571,""ja"",""vi"")"),"Đấu giá&gt; Đồ chơi, Trò chơi&gt; Trò chơi&gt; TV Trò chơi&gt; PlayStation 4&gt; PSVR")</f>
        <v>Đấu giá&gt; Đồ chơi, Trò chơi&gt; Trò chơi&gt; TV Trò chơi&gt; PlayStation 4&gt; PSVR</v>
      </c>
      <c r="F571" t="str">
        <f t="shared" ca="1" si="8"/>
        <v>"2084315790" : "PSVR",</v>
      </c>
    </row>
    <row r="572" spans="1:6" ht="15.75" customHeight="1">
      <c r="A572" s="14">
        <v>2084313829</v>
      </c>
      <c r="B572" s="14" t="s">
        <v>4735</v>
      </c>
      <c r="C572" s="14" t="s">
        <v>4829</v>
      </c>
      <c r="D572" s="5" t="str">
        <f ca="1">IFERROR(__xludf.DUMMYFUNCTION("GOOGLETRANSLATE(B572,""ja"",""vi"")"),"Phụ kiện, thiết bị ngoại vi")</f>
        <v>Phụ kiện, thiết bị ngoại vi</v>
      </c>
      <c r="E572" s="4" t="str">
        <f ca="1">IFERROR(__xludf.DUMMYFUNCTION("GOOGLETRANSLATE(C572,""ja"",""vi"")"),"Đấu giá&gt; Đồ chơi, Trò chơi&gt; Trò chơi&gt; TV Trò chơi&gt; PlayStation 4&gt; Phụ kiện, thiết bị ngoại vi")</f>
        <v>Đấu giá&gt; Đồ chơi, Trò chơi&gt; Trò chơi&gt; TV Trò chơi&gt; PlayStation 4&gt; Phụ kiện, thiết bị ngoại vi</v>
      </c>
      <c r="F572" t="str">
        <f t="shared" ca="1" si="8"/>
        <v>"2084313829" : "Phụ kiện, thiết bị ngoại vi",</v>
      </c>
    </row>
    <row r="573" spans="1:6" ht="15.75" customHeight="1">
      <c r="A573" s="14">
        <v>2084216437</v>
      </c>
      <c r="B573" s="14" t="s">
        <v>4831</v>
      </c>
      <c r="C573" s="14" t="s">
        <v>4832</v>
      </c>
      <c r="D573" s="5" t="str">
        <f ca="1">IFERROR(__xludf.DUMMYFUNCTION("GOOGLETRANSLATE(B573,""ja"",""vi"")"),"PS3 cơ thể")</f>
        <v>PS3 cơ thể</v>
      </c>
      <c r="E573" s="4" t="str">
        <f ca="1">IFERROR(__xludf.DUMMYFUNCTION("GOOGLETRANSLATE(C573,""ja"",""vi"")"),"Đấu giá&gt; Đồ chơi, Trò chơi&gt; Trò chơi&gt; TV Trò chơi&gt; PlayStation 3&gt; PS3 cơ thể")</f>
        <v>Đấu giá&gt; Đồ chơi, Trò chơi&gt; Trò chơi&gt; TV Trò chơi&gt; PlayStation 3&gt; PS3 cơ thể</v>
      </c>
      <c r="F573" t="str">
        <f t="shared" ca="1" si="8"/>
        <v>"2084216437" : "PS3 cơ thể",</v>
      </c>
    </row>
    <row r="574" spans="1:6" ht="15.75" customHeight="1">
      <c r="A574" s="14">
        <v>2084216438</v>
      </c>
      <c r="B574" s="14" t="s">
        <v>4834</v>
      </c>
      <c r="C574" s="14" t="s">
        <v>4835</v>
      </c>
      <c r="D574" s="5" t="str">
        <f ca="1">IFERROR(__xludf.DUMMYFUNCTION("GOOGLETRANSLATE(B574,""ja"",""vi"")"),"phần mềm PS3")</f>
        <v>phần mềm PS3</v>
      </c>
      <c r="E574" s="4" t="str">
        <f ca="1">IFERROR(__xludf.DUMMYFUNCTION("GOOGLETRANSLATE(C574,""ja"",""vi"")"),"Đấu giá&gt; Đồ chơi, Trò chơi&gt; Trò chơi&gt; TV Trò chơi&gt; PlayStation 3&gt; PS3 mềm")</f>
        <v>Đấu giá&gt; Đồ chơi, Trò chơi&gt; Trò chơi&gt; TV Trò chơi&gt; PlayStation 3&gt; PS3 mềm</v>
      </c>
      <c r="F574" t="str">
        <f t="shared" ca="1" si="8"/>
        <v>"2084216438" : "phần mềm PS3",</v>
      </c>
    </row>
    <row r="575" spans="1:6" ht="15.75" customHeight="1">
      <c r="A575" s="14">
        <v>2084216436</v>
      </c>
      <c r="B575" s="14" t="s">
        <v>4735</v>
      </c>
      <c r="C575" s="14" t="s">
        <v>4837</v>
      </c>
      <c r="D575" s="5" t="str">
        <f ca="1">IFERROR(__xludf.DUMMYFUNCTION("GOOGLETRANSLATE(B575,""ja"",""vi"")"),"Phụ kiện, thiết bị ngoại vi")</f>
        <v>Phụ kiện, thiết bị ngoại vi</v>
      </c>
      <c r="E575" s="4" t="str">
        <f ca="1">IFERROR(__xludf.DUMMYFUNCTION("GOOGLETRANSLATE(C575,""ja"",""vi"")"),"Đấu giá&gt; Đồ chơi, Trò chơi&gt; Trò chơi&gt; TV Trò chơi&gt; PlayStation 3&gt; Phụ kiện, thiết bị ngoại vi")</f>
        <v>Đấu giá&gt; Đồ chơi, Trò chơi&gt; Trò chơi&gt; TV Trò chơi&gt; PlayStation 3&gt; Phụ kiện, thiết bị ngoại vi</v>
      </c>
      <c r="F575" t="str">
        <f t="shared" ca="1" si="8"/>
        <v>"2084216436" : "Phụ kiện, thiết bị ngoại vi",</v>
      </c>
    </row>
    <row r="576" spans="1:6" ht="15.75" customHeight="1">
      <c r="A576" s="14">
        <v>2084006669</v>
      </c>
      <c r="B576" s="14" t="s">
        <v>4840</v>
      </c>
      <c r="C576" s="14" t="s">
        <v>4841</v>
      </c>
      <c r="D576" s="5" t="str">
        <f ca="1">IFERROR(__xludf.DUMMYFUNCTION("GOOGLETRANSLATE(B576,""ja"",""vi"")"),"Tiêu đề")</f>
        <v>Tiêu đề</v>
      </c>
      <c r="E576" s="4" t="str">
        <f ca="1">IFERROR(__xludf.DUMMYFUNCTION("GOOGLETRANSLATE(C576,""ja"",""vi"")"),"Đấu giá&gt; Đồ chơi, Trò chơi&gt; Trò chơi&gt; TV Trò chơi&gt; PlayStation 2&gt; title")</f>
        <v>Đấu giá&gt; Đồ chơi, Trò chơi&gt; Trò chơi&gt; TV Trò chơi&gt; PlayStation 2&gt; title</v>
      </c>
      <c r="F576" t="str">
        <f t="shared" ca="1" si="8"/>
        <v>"2084006669" : "Tiêu đề",</v>
      </c>
    </row>
    <row r="577" spans="1:6" ht="15.75" customHeight="1">
      <c r="A577" s="14">
        <v>2084006670</v>
      </c>
      <c r="B577" s="14" t="s">
        <v>4844</v>
      </c>
      <c r="C577" s="14" t="s">
        <v>4845</v>
      </c>
      <c r="D577" s="5" t="str">
        <f ca="1">IFERROR(__xludf.DUMMYFUNCTION("GOOGLETRANSLATE(B577,""ja"",""vi"")"),"Cơ thể, phụ kiện")</f>
        <v>Cơ thể, phụ kiện</v>
      </c>
      <c r="E577" s="4" t="str">
        <f ca="1">IFERROR(__xludf.DUMMYFUNCTION("GOOGLETRANSLATE(C577,""ja"",""vi"")"),"Đấu giá&gt; Đồ chơi, Trò chơi&gt; Trò chơi&gt; TV Trò chơi&gt; PlayStation 2&gt; cơ thể, phụ kiện")</f>
        <v>Đấu giá&gt; Đồ chơi, Trò chơi&gt; Trò chơi&gt; TV Trò chơi&gt; PlayStation 2&gt; cơ thể, phụ kiện</v>
      </c>
      <c r="F577" t="str">
        <f t="shared" ca="1" si="8"/>
        <v>"2084006670" : "Cơ thể, phụ kiện",</v>
      </c>
    </row>
    <row r="578" spans="1:6" ht="15.75" customHeight="1">
      <c r="A578" s="14">
        <v>2084314665</v>
      </c>
      <c r="B578" s="14" t="s">
        <v>4847</v>
      </c>
      <c r="C578" s="14" t="s">
        <v>4848</v>
      </c>
      <c r="D578" s="5" t="str">
        <f ca="1">IFERROR(__xludf.DUMMYFUNCTION("GOOGLETRANSLATE(B578,""ja"",""vi"")"),"Xbox One cơ thể")</f>
        <v>Xbox One cơ thể</v>
      </c>
      <c r="E578" s="4" t="str">
        <f ca="1">IFERROR(__xludf.DUMMYFUNCTION("GOOGLETRANSLATE(C578,""ja"",""vi"")"),"Đấu giá&gt; Đồ chơi, Trò chơi&gt; Trò chơi&gt; Video Games&gt; Xbox One&gt; Xbox One cơ thể")</f>
        <v>Đấu giá&gt; Đồ chơi, Trò chơi&gt; Trò chơi&gt; Video Games&gt; Xbox One&gt; Xbox One cơ thể</v>
      </c>
      <c r="F578" t="str">
        <f t="shared" ref="F578:F641" ca="1" si="9">CONCATENATE(CHAR(34)&amp;"",A578,""&amp;CHAR(34)," : ", CHAR(34)&amp;"",D578,""&amp;CHAR(34),",")</f>
        <v>"2084314665" : "Xbox One cơ thể",</v>
      </c>
    </row>
    <row r="579" spans="1:6" ht="15.75" customHeight="1">
      <c r="A579" s="14">
        <v>2084314666</v>
      </c>
      <c r="B579" s="14" t="s">
        <v>4851</v>
      </c>
      <c r="C579" s="14" t="s">
        <v>4852</v>
      </c>
      <c r="D579" s="5" t="str">
        <f ca="1">IFERROR(__xludf.DUMMYFUNCTION("GOOGLETRANSLATE(B579,""ja"",""vi"")"),"phần mềm Xbox One")</f>
        <v>phần mềm Xbox One</v>
      </c>
      <c r="E579" s="4" t="str">
        <f ca="1">IFERROR(__xludf.DUMMYFUNCTION("GOOGLETRANSLATE(C579,""ja"",""vi"")"),"Đấu giá&gt; Đồ chơi, Trò chơi&gt; Trò chơi&gt; Video Games&gt; Xbox One&gt; phần mềm Xbox One")</f>
        <v>Đấu giá&gt; Đồ chơi, Trò chơi&gt; Trò chơi&gt; Video Games&gt; Xbox One&gt; phần mềm Xbox One</v>
      </c>
      <c r="F579" t="str">
        <f t="shared" ca="1" si="9"/>
        <v>"2084314666" : "phần mềm Xbox One",</v>
      </c>
    </row>
    <row r="580" spans="1:6" ht="15.75" customHeight="1">
      <c r="A580" s="14">
        <v>2084314667</v>
      </c>
      <c r="B580" s="14" t="s">
        <v>4735</v>
      </c>
      <c r="C580" s="14" t="s">
        <v>4855</v>
      </c>
      <c r="D580" s="5" t="str">
        <f ca="1">IFERROR(__xludf.DUMMYFUNCTION("GOOGLETRANSLATE(B580,""ja"",""vi"")"),"Phụ kiện, thiết bị ngoại vi")</f>
        <v>Phụ kiện, thiết bị ngoại vi</v>
      </c>
      <c r="E580" s="4" t="str">
        <f ca="1">IFERROR(__xludf.DUMMYFUNCTION("GOOGLETRANSLATE(C580,""ja"",""vi"")"),"Đấu giá&gt; Đồ chơi, Trò chơi&gt; Trò chơi&gt; Video Games&gt; Xbox One&gt; phụ kiện, thiết bị ngoại vi")</f>
        <v>Đấu giá&gt; Đồ chơi, Trò chơi&gt; Trò chơi&gt; Video Games&gt; Xbox One&gt; phụ kiện, thiết bị ngoại vi</v>
      </c>
      <c r="F580" t="str">
        <f t="shared" ca="1" si="9"/>
        <v>"2084314667" : "Phụ kiện, thiết bị ngoại vi",</v>
      </c>
    </row>
    <row r="581" spans="1:6" ht="15.75" customHeight="1">
      <c r="A581" s="14">
        <v>2084235549</v>
      </c>
      <c r="B581" s="15" t="s">
        <v>4857</v>
      </c>
      <c r="C581" s="14" t="s">
        <v>4858</v>
      </c>
      <c r="D581" s="5" t="str">
        <f ca="1">IFERROR(__xludf.DUMMYFUNCTION("GOOGLETRANSLATE(B581,""ja"",""vi"")"),"Xbox360 cơ thể")</f>
        <v>Xbox360 cơ thể</v>
      </c>
      <c r="E581" s="4" t="str">
        <f ca="1">IFERROR(__xludf.DUMMYFUNCTION("GOOGLETRANSLATE(C581,""ja"",""vi"")"),"Đấu giá&gt; Đồ chơi, Trò chơi&gt; Trò chơi&gt; Video Games&gt; Xbox 360&gt; Xbox360 cơ thể")</f>
        <v>Đấu giá&gt; Đồ chơi, Trò chơi&gt; Trò chơi&gt; Video Games&gt; Xbox 360&gt; Xbox360 cơ thể</v>
      </c>
      <c r="F581" t="str">
        <f t="shared" ca="1" si="9"/>
        <v>"2084235549" : "Xbox360 cơ thể",</v>
      </c>
    </row>
    <row r="582" spans="1:6" ht="15.75" customHeight="1">
      <c r="A582" s="14">
        <v>2084235548</v>
      </c>
      <c r="B582" s="15" t="s">
        <v>4860</v>
      </c>
      <c r="C582" s="14" t="s">
        <v>4862</v>
      </c>
      <c r="D582" s="5" t="str">
        <f ca="1">IFERROR(__xludf.DUMMYFUNCTION("GOOGLETRANSLATE(B582,""ja"",""vi"")"),"phần mềm Xbox360")</f>
        <v>phần mềm Xbox360</v>
      </c>
      <c r="E582" s="4" t="str">
        <f ca="1">IFERROR(__xludf.DUMMYFUNCTION("GOOGLETRANSLATE(C582,""ja"",""vi"")"),"Đấu giá&gt; Đồ chơi, Trò chơi&gt; Trò chơi&gt; Video Games&gt; Xbox 360&gt; Xbox360 mềm")</f>
        <v>Đấu giá&gt; Đồ chơi, Trò chơi&gt; Trò chơi&gt; Video Games&gt; Xbox 360&gt; Xbox360 mềm</v>
      </c>
      <c r="F582" t="str">
        <f t="shared" ca="1" si="9"/>
        <v>"2084235548" : "phần mềm Xbox360",</v>
      </c>
    </row>
    <row r="583" spans="1:6" ht="15.75" customHeight="1">
      <c r="A583" s="14">
        <v>2084235547</v>
      </c>
      <c r="B583" s="15" t="s">
        <v>4735</v>
      </c>
      <c r="C583" s="14" t="s">
        <v>4864</v>
      </c>
      <c r="D583" s="5" t="str">
        <f ca="1">IFERROR(__xludf.DUMMYFUNCTION("GOOGLETRANSLATE(B583,""ja"",""vi"")"),"Phụ kiện, thiết bị ngoại vi")</f>
        <v>Phụ kiện, thiết bị ngoại vi</v>
      </c>
      <c r="E583" s="4" t="str">
        <f ca="1">IFERROR(__xludf.DUMMYFUNCTION("GOOGLETRANSLATE(C583,""ja"",""vi"")"),"Đấu giá&gt; Đồ chơi, Trò chơi&gt; Trò chơi&gt; Video Games&gt; Xbox 360&gt; phụ kiện, thiết bị ngoại vi")</f>
        <v>Đấu giá&gt; Đồ chơi, Trò chơi&gt; Trò chơi&gt; Video Games&gt; Xbox 360&gt; phụ kiện, thiết bị ngoại vi</v>
      </c>
      <c r="F583" t="str">
        <f t="shared" ca="1" si="9"/>
        <v>"2084235547" : "Phụ kiện, thiết bị ngoại vi",</v>
      </c>
    </row>
    <row r="584" spans="1:6" ht="15.75" customHeight="1">
      <c r="A584" s="14">
        <v>2084041574</v>
      </c>
      <c r="B584" s="14" t="s">
        <v>1678</v>
      </c>
      <c r="C584" s="15" t="s">
        <v>4866</v>
      </c>
      <c r="D584" s="5" t="str">
        <f ca="1">IFERROR(__xludf.DUMMYFUNCTION("GOOGLETRANSLATE(B584,""ja"",""vi"")"),"Một cơ thể")</f>
        <v>Một cơ thể</v>
      </c>
      <c r="E584" s="4" t="str">
        <f ca="1">IFERROR(__xludf.DUMMYFUNCTION("GOOGLETRANSLATE(C584,""ja"",""vi"")"),"Đấu giá&gt; Đồ chơi, Trò chơi&gt; Trò chơi&gt; TV Trò chơi&gt; PlayStation&gt; cơ thể")</f>
        <v>Đấu giá&gt; Đồ chơi, Trò chơi&gt; Trò chơi&gt; TV Trò chơi&gt; PlayStation&gt; cơ thể</v>
      </c>
      <c r="F584" t="str">
        <f t="shared" ca="1" si="9"/>
        <v>"2084041574" : "Một cơ thể",</v>
      </c>
    </row>
    <row r="585" spans="1:6" ht="15.75" customHeight="1">
      <c r="A585" s="14">
        <v>26830</v>
      </c>
      <c r="B585" s="14" t="s">
        <v>4840</v>
      </c>
      <c r="C585" s="15" t="s">
        <v>4867</v>
      </c>
      <c r="D585" s="5" t="str">
        <f ca="1">IFERROR(__xludf.DUMMYFUNCTION("GOOGLETRANSLATE(B585,""ja"",""vi"")"),"Tiêu đề")</f>
        <v>Tiêu đề</v>
      </c>
      <c r="E585" s="4" t="str">
        <f ca="1">IFERROR(__xludf.DUMMYFUNCTION("GOOGLETRANSLATE(C585,""ja"",""vi"")"),"Đấu giá&gt; Đồ chơi, Trò chơi&gt; Trò chơi&gt; TV Trò chơi&gt; PlayStation&gt; title")</f>
        <v>Đấu giá&gt; Đồ chơi, Trò chơi&gt; Trò chơi&gt; TV Trò chơi&gt; PlayStation&gt; title</v>
      </c>
      <c r="F585" t="str">
        <f t="shared" ca="1" si="9"/>
        <v>"26830" : "Tiêu đề",</v>
      </c>
    </row>
    <row r="586" spans="1:6" ht="15.75" customHeight="1">
      <c r="A586" s="14">
        <v>26844</v>
      </c>
      <c r="B586" s="14" t="s">
        <v>4799</v>
      </c>
      <c r="C586" s="15" t="s">
        <v>4869</v>
      </c>
      <c r="D586" s="5" t="str">
        <f ca="1">IFERROR(__xludf.DUMMYFUNCTION("GOOGLETRANSLATE(B586,""ja"",""vi"")"),"Phụ kiện, thiết bị ngoại vi")</f>
        <v>Phụ kiện, thiết bị ngoại vi</v>
      </c>
      <c r="E586" s="4" t="str">
        <f ca="1">IFERROR(__xludf.DUMMYFUNCTION("GOOGLETRANSLATE(C586,""ja"",""vi"")"),"Đấu giá&gt; Đồ chơi, Trò chơi&gt; Trò chơi&gt; TV Trò chơi&gt; PlayStation&gt; phụ kiện, thiết bị ngoại vi")</f>
        <v>Đấu giá&gt; Đồ chơi, Trò chơi&gt; Trò chơi&gt; TV Trò chơi&gt; PlayStation&gt; phụ kiện, thiết bị ngoại vi</v>
      </c>
      <c r="F586" t="str">
        <f t="shared" ca="1" si="9"/>
        <v>"26844" : "Phụ kiện, thiết bị ngoại vi",</v>
      </c>
    </row>
    <row r="587" spans="1:6" ht="15.75" customHeight="1">
      <c r="A587" s="14">
        <v>2084041581</v>
      </c>
      <c r="B587" s="14" t="s">
        <v>1678</v>
      </c>
      <c r="C587" s="14" t="s">
        <v>4871</v>
      </c>
      <c r="D587" s="5" t="str">
        <f ca="1">IFERROR(__xludf.DUMMYFUNCTION("GOOGLETRANSLATE(B587,""ja"",""vi"")"),"Một cơ thể")</f>
        <v>Một cơ thể</v>
      </c>
      <c r="E587" s="4" t="str">
        <f ca="1">IFERROR(__xludf.DUMMYFUNCTION("GOOGLETRANSLATE(C587,""ja"",""vi"")"),"Đấu giá&gt; Đồ chơi, Trò chơi&gt; Trò chơi&gt; TV Trò chơi&gt; Game Boy Advance&gt; cơ thể")</f>
        <v>Đấu giá&gt; Đồ chơi, Trò chơi&gt; Trò chơi&gt; TV Trò chơi&gt; Game Boy Advance&gt; cơ thể</v>
      </c>
      <c r="F587" t="str">
        <f t="shared" ca="1" si="9"/>
        <v>"2084041581" : "Một cơ thể",</v>
      </c>
    </row>
    <row r="588" spans="1:6" ht="15.75" customHeight="1">
      <c r="A588" s="14">
        <v>2084041582</v>
      </c>
      <c r="B588" s="14" t="s">
        <v>4840</v>
      </c>
      <c r="C588" s="14" t="s">
        <v>4873</v>
      </c>
      <c r="D588" s="5" t="str">
        <f ca="1">IFERROR(__xludf.DUMMYFUNCTION("GOOGLETRANSLATE(B588,""ja"",""vi"")"),"Tiêu đề")</f>
        <v>Tiêu đề</v>
      </c>
      <c r="E588" s="4" t="str">
        <f ca="1">IFERROR(__xludf.DUMMYFUNCTION("GOOGLETRANSLATE(C588,""ja"",""vi"")"),"Đấu giá&gt; Đồ chơi, Trò chơi&gt; Trò chơi&gt; TV Trò chơi&gt; Game Boy Advance&gt; title")</f>
        <v>Đấu giá&gt; Đồ chơi, Trò chơi&gt; Trò chơi&gt; TV Trò chơi&gt; Game Boy Advance&gt; title</v>
      </c>
      <c r="F588" t="str">
        <f t="shared" ca="1" si="9"/>
        <v>"2084041582" : "Tiêu đề",</v>
      </c>
    </row>
    <row r="589" spans="1:6" ht="15.75" customHeight="1">
      <c r="A589" s="14">
        <v>2084041583</v>
      </c>
      <c r="B589" s="14" t="s">
        <v>4735</v>
      </c>
      <c r="C589" s="14" t="s">
        <v>4875</v>
      </c>
      <c r="D589" s="5" t="str">
        <f ca="1">IFERROR(__xludf.DUMMYFUNCTION("GOOGLETRANSLATE(B589,""ja"",""vi"")"),"Phụ kiện, thiết bị ngoại vi")</f>
        <v>Phụ kiện, thiết bị ngoại vi</v>
      </c>
      <c r="E589" s="4" t="str">
        <f ca="1">IFERROR(__xludf.DUMMYFUNCTION("GOOGLETRANSLATE(C589,""ja"",""vi"")"),"Đấu giá&gt; Đồ chơi, Trò chơi&gt; Trò chơi&gt; TV Trò chơi&gt; Game Boy Advance&gt; Phụ kiện, thiết bị ngoại vi")</f>
        <v>Đấu giá&gt; Đồ chơi, Trò chơi&gt; Trò chơi&gt; TV Trò chơi&gt; Game Boy Advance&gt; Phụ kiện, thiết bị ngoại vi</v>
      </c>
      <c r="F589" t="str">
        <f t="shared" ca="1" si="9"/>
        <v>"2084041583" : "Phụ kiện, thiết bị ngoại vi",</v>
      </c>
    </row>
    <row r="590" spans="1:6" ht="15.75" customHeight="1">
      <c r="A590" s="14">
        <v>2084063621</v>
      </c>
      <c r="B590" s="14" t="s">
        <v>1678</v>
      </c>
      <c r="C590" s="14" t="s">
        <v>4879</v>
      </c>
      <c r="D590" s="5" t="str">
        <f ca="1">IFERROR(__xludf.DUMMYFUNCTION("GOOGLETRANSLATE(B590,""ja"",""vi"")"),"Một cơ thể")</f>
        <v>Một cơ thể</v>
      </c>
      <c r="E590" s="4" t="str">
        <f ca="1">IFERROR(__xludf.DUMMYFUNCTION("GOOGLETRANSLATE(C590,""ja"",""vi"")"),"Đấu giá&gt; Đồ chơi, Trò chơi&gt; Trò chơi&gt; TV Trò chơi&gt; Game Boy Micro&gt; cơ thể")</f>
        <v>Đấu giá&gt; Đồ chơi, Trò chơi&gt; Trò chơi&gt; TV Trò chơi&gt; Game Boy Micro&gt; cơ thể</v>
      </c>
      <c r="F590" t="str">
        <f t="shared" ca="1" si="9"/>
        <v>"2084063621" : "Một cơ thể",</v>
      </c>
    </row>
    <row r="591" spans="1:6" ht="15.75" customHeight="1">
      <c r="A591" s="14">
        <v>2084041582</v>
      </c>
      <c r="B591" s="14" t="s">
        <v>4840</v>
      </c>
      <c r="C591" s="14" t="s">
        <v>4884</v>
      </c>
      <c r="D591" s="5" t="str">
        <f ca="1">IFERROR(__xludf.DUMMYFUNCTION("GOOGLETRANSLATE(B591,""ja"",""vi"")"),"Tiêu đề")</f>
        <v>Tiêu đề</v>
      </c>
      <c r="E591" s="4" t="str">
        <f ca="1">IFERROR(__xludf.DUMMYFUNCTION("GOOGLETRANSLATE(C591,""ja"",""vi"")"),"Đấu giá&gt; Đồ chơi, Trò chơi&gt; Trò chơi&gt; TV Trò chơi&gt; Game Boy Micro&gt; title")</f>
        <v>Đấu giá&gt; Đồ chơi, Trò chơi&gt; Trò chơi&gt; TV Trò chơi&gt; Game Boy Micro&gt; title</v>
      </c>
      <c r="F591" t="str">
        <f t="shared" ca="1" si="9"/>
        <v>"2084041582" : "Tiêu đề",</v>
      </c>
    </row>
    <row r="592" spans="1:6" ht="15.75" customHeight="1">
      <c r="A592" s="14">
        <v>2084063622</v>
      </c>
      <c r="B592" s="14" t="s">
        <v>4735</v>
      </c>
      <c r="C592" s="14" t="s">
        <v>4887</v>
      </c>
      <c r="D592" s="5" t="str">
        <f ca="1">IFERROR(__xludf.DUMMYFUNCTION("GOOGLETRANSLATE(B592,""ja"",""vi"")"),"Phụ kiện, thiết bị ngoại vi")</f>
        <v>Phụ kiện, thiết bị ngoại vi</v>
      </c>
      <c r="E592" s="4" t="str">
        <f ca="1">IFERROR(__xludf.DUMMYFUNCTION("GOOGLETRANSLATE(C592,""ja"",""vi"")"),"Đấu giá&gt; Đồ chơi, Trò chơi&gt; Trò chơi&gt; TV Trò chơi&gt; Game Boy Micro&gt; phụ kiện, thiết bị ngoại vi")</f>
        <v>Đấu giá&gt; Đồ chơi, Trò chơi&gt; Trò chơi&gt; TV Trò chơi&gt; Game Boy Micro&gt; phụ kiện, thiết bị ngoại vi</v>
      </c>
      <c r="F592" t="str">
        <f t="shared" ca="1" si="9"/>
        <v>"2084063622" : "Phụ kiện, thiết bị ngoại vi",</v>
      </c>
    </row>
    <row r="593" spans="1:6" ht="15.75" customHeight="1">
      <c r="A593" s="14">
        <v>2084005177</v>
      </c>
      <c r="B593" s="14" t="s">
        <v>4844</v>
      </c>
      <c r="C593" s="14" t="s">
        <v>4891</v>
      </c>
      <c r="D593" s="5" t="str">
        <f ca="1">IFERROR(__xludf.DUMMYFUNCTION("GOOGLETRANSLATE(B593,""ja"",""vi"")"),"Cơ thể, phụ kiện")</f>
        <v>Cơ thể, phụ kiện</v>
      </c>
      <c r="E593" s="4" t="str">
        <f ca="1">IFERROR(__xludf.DUMMYFUNCTION("GOOGLETRANSLATE(C593,""ja"",""vi"")"),"Đấu giá&gt; Đồ chơi, Trò chơi&gt; Trò chơi&gt; TV Trò chơi&gt; Game Boy&gt; cơ thể, phụ kiện")</f>
        <v>Đấu giá&gt; Đồ chơi, Trò chơi&gt; Trò chơi&gt; TV Trò chơi&gt; Game Boy&gt; cơ thể, phụ kiện</v>
      </c>
      <c r="F593" t="str">
        <f t="shared" ca="1" si="9"/>
        <v>"2084005177" : "Cơ thể, phụ kiện",</v>
      </c>
    </row>
    <row r="594" spans="1:6" ht="15.75" customHeight="1">
      <c r="A594" s="14">
        <v>2084005176</v>
      </c>
      <c r="B594" s="14" t="s">
        <v>4840</v>
      </c>
      <c r="C594" s="14" t="s">
        <v>4898</v>
      </c>
      <c r="D594" s="5" t="str">
        <f ca="1">IFERROR(__xludf.DUMMYFUNCTION("GOOGLETRANSLATE(B594,""ja"",""vi"")"),"Tiêu đề")</f>
        <v>Tiêu đề</v>
      </c>
      <c r="E594" s="4" t="str">
        <f ca="1">IFERROR(__xludf.DUMMYFUNCTION("GOOGLETRANSLATE(C594,""ja"",""vi"")"),"Đấu giá&gt; Đồ chơi, Trò chơi&gt; Trò chơi&gt; TV Trò chơi&gt; Game Boy&gt; title")</f>
        <v>Đấu giá&gt; Đồ chơi, Trò chơi&gt; Trò chơi&gt; TV Trò chơi&gt; Game Boy&gt; title</v>
      </c>
      <c r="F594" t="str">
        <f t="shared" ca="1" si="9"/>
        <v>"2084005176" : "Tiêu đề",</v>
      </c>
    </row>
    <row r="595" spans="1:6" ht="15.75" customHeight="1">
      <c r="A595" s="14">
        <v>2084045786</v>
      </c>
      <c r="B595" s="14" t="s">
        <v>1678</v>
      </c>
      <c r="C595" s="14" t="s">
        <v>4901</v>
      </c>
      <c r="D595" s="5" t="str">
        <f ca="1">IFERROR(__xludf.DUMMYFUNCTION("GOOGLETRANSLATE(B595,""ja"",""vi"")"),"Một cơ thể")</f>
        <v>Một cơ thể</v>
      </c>
      <c r="E595" s="4" t="str">
        <f ca="1">IFERROR(__xludf.DUMMYFUNCTION("GOOGLETRANSLATE(C595,""ja"",""vi"")"),"Đấu giá&gt; Đồ chơi, Trò chơi&gt; Trò chơi&gt; TV Trò chơi&gt; GameCube&gt; cơ thể")</f>
        <v>Đấu giá&gt; Đồ chơi, Trò chơi&gt; Trò chơi&gt; TV Trò chơi&gt; GameCube&gt; cơ thể</v>
      </c>
      <c r="F595" t="str">
        <f t="shared" ca="1" si="9"/>
        <v>"2084045786" : "Một cơ thể",</v>
      </c>
    </row>
    <row r="596" spans="1:6" ht="15.75" customHeight="1">
      <c r="A596" s="14">
        <v>2084045785</v>
      </c>
      <c r="B596" s="14" t="s">
        <v>4840</v>
      </c>
      <c r="C596" s="14" t="s">
        <v>4906</v>
      </c>
      <c r="D596" s="5" t="str">
        <f ca="1">IFERROR(__xludf.DUMMYFUNCTION("GOOGLETRANSLATE(B596,""ja"",""vi"")"),"Tiêu đề")</f>
        <v>Tiêu đề</v>
      </c>
      <c r="E596" s="4" t="str">
        <f ca="1">IFERROR(__xludf.DUMMYFUNCTION("GOOGLETRANSLATE(C596,""ja"",""vi"")"),"Đấu giá&gt; Đồ chơi, Trò chơi&gt; Trò chơi&gt; TV Trò chơi&gt; Game Cube&gt; title")</f>
        <v>Đấu giá&gt; Đồ chơi, Trò chơi&gt; Trò chơi&gt; TV Trò chơi&gt; Game Cube&gt; title</v>
      </c>
      <c r="F596" t="str">
        <f t="shared" ca="1" si="9"/>
        <v>"2084045785" : "Tiêu đề",</v>
      </c>
    </row>
    <row r="597" spans="1:6" ht="15.75" customHeight="1">
      <c r="A597" s="14">
        <v>2084045787</v>
      </c>
      <c r="B597" s="14" t="s">
        <v>4735</v>
      </c>
      <c r="C597" s="14" t="s">
        <v>4909</v>
      </c>
      <c r="D597" s="5" t="str">
        <f ca="1">IFERROR(__xludf.DUMMYFUNCTION("GOOGLETRANSLATE(B597,""ja"",""vi"")"),"Phụ kiện, thiết bị ngoại vi")</f>
        <v>Phụ kiện, thiết bị ngoại vi</v>
      </c>
      <c r="E597" s="4" t="str">
        <f ca="1">IFERROR(__xludf.DUMMYFUNCTION("GOOGLETRANSLATE(C597,""ja"",""vi"")"),"Đấu giá&gt; Đồ chơi, Trò chơi&gt; Trò chơi&gt; TV Trò chơi&gt; GameCube&gt; Phụ kiện, thiết bị ngoại vi")</f>
        <v>Đấu giá&gt; Đồ chơi, Trò chơi&gt; Trò chơi&gt; TV Trò chơi&gt; GameCube&gt; Phụ kiện, thiết bị ngoại vi</v>
      </c>
      <c r="F597" t="str">
        <f t="shared" ca="1" si="9"/>
        <v>"2084045787" : "Phụ kiện, thiết bị ngoại vi",</v>
      </c>
    </row>
    <row r="598" spans="1:6" ht="15.75" customHeight="1">
      <c r="A598" s="14">
        <v>2084005182</v>
      </c>
      <c r="B598" s="14" t="s">
        <v>4844</v>
      </c>
      <c r="C598" s="14" t="s">
        <v>4913</v>
      </c>
      <c r="D598" s="5" t="str">
        <f ca="1">IFERROR(__xludf.DUMMYFUNCTION("GOOGLETRANSLATE(B598,""ja"",""vi"")"),"Cơ thể, phụ kiện")</f>
        <v>Cơ thể, phụ kiện</v>
      </c>
      <c r="E598" s="4" t="str">
        <f ca="1">IFERROR(__xludf.DUMMYFUNCTION("GOOGLETRANSLATE(C598,""ja"",""vi"")"),"Đấu giá&gt; Đồ chơi, Trò chơi&gt; Trò chơi&gt; TV Trò chơi&gt; Super Famicom&gt; cơ thể, phụ kiện")</f>
        <v>Đấu giá&gt; Đồ chơi, Trò chơi&gt; Trò chơi&gt; TV Trò chơi&gt; Super Famicom&gt; cơ thể, phụ kiện</v>
      </c>
      <c r="F598" t="str">
        <f t="shared" ca="1" si="9"/>
        <v>"2084005182" : "Cơ thể, phụ kiện",</v>
      </c>
    </row>
    <row r="599" spans="1:6" ht="15.75" customHeight="1">
      <c r="A599" s="14">
        <v>2084005183</v>
      </c>
      <c r="B599" s="14" t="s">
        <v>4840</v>
      </c>
      <c r="C599" s="14" t="s">
        <v>4918</v>
      </c>
      <c r="D599" s="5" t="str">
        <f ca="1">IFERROR(__xludf.DUMMYFUNCTION("GOOGLETRANSLATE(B599,""ja"",""vi"")"),"Tiêu đề")</f>
        <v>Tiêu đề</v>
      </c>
      <c r="E599" s="4" t="str">
        <f ca="1">IFERROR(__xludf.DUMMYFUNCTION("GOOGLETRANSLATE(C599,""ja"",""vi"")"),"Đấu giá&gt; Đồ chơi, Trò chơi&gt; Trò chơi&gt; TV Trò chơi&gt; Super Famicom&gt; title")</f>
        <v>Đấu giá&gt; Đồ chơi, Trò chơi&gt; Trò chơi&gt; TV Trò chơi&gt; Super Famicom&gt; title</v>
      </c>
      <c r="F599" t="str">
        <f t="shared" ca="1" si="9"/>
        <v>"2084005183" : "Tiêu đề",</v>
      </c>
    </row>
    <row r="600" spans="1:6" ht="15.75" customHeight="1">
      <c r="A600" s="14">
        <v>2084005190</v>
      </c>
      <c r="B600" s="14" t="s">
        <v>4840</v>
      </c>
      <c r="C600" s="14" t="s">
        <v>4922</v>
      </c>
      <c r="D600" s="5" t="str">
        <f ca="1">IFERROR(__xludf.DUMMYFUNCTION("GOOGLETRANSLATE(B600,""ja"",""vi"")"),"Tiêu đề")</f>
        <v>Tiêu đề</v>
      </c>
      <c r="E600" s="4" t="str">
        <f ca="1">IFERROR(__xludf.DUMMYFUNCTION("GOOGLETRANSLATE(C600,""ja"",""vi"")"),"Đấu giá&gt; Đồ chơi, Trò chơi&gt; Trò chơi&gt; TV Trò chơi&gt; NES&gt; title")</f>
        <v>Đấu giá&gt; Đồ chơi, Trò chơi&gt; Trò chơi&gt; TV Trò chơi&gt; NES&gt; title</v>
      </c>
      <c r="F600" t="str">
        <f t="shared" ca="1" si="9"/>
        <v>"2084005190" : "Tiêu đề",</v>
      </c>
    </row>
    <row r="601" spans="1:6" ht="15.75" customHeight="1">
      <c r="A601" s="14">
        <v>2084005189</v>
      </c>
      <c r="B601" s="14" t="s">
        <v>4844</v>
      </c>
      <c r="C601" s="14" t="s">
        <v>4926</v>
      </c>
      <c r="D601" s="5" t="str">
        <f ca="1">IFERROR(__xludf.DUMMYFUNCTION("GOOGLETRANSLATE(B601,""ja"",""vi"")"),"Cơ thể, phụ kiện")</f>
        <v>Cơ thể, phụ kiện</v>
      </c>
      <c r="E601" s="4" t="str">
        <f ca="1">IFERROR(__xludf.DUMMYFUNCTION("GOOGLETRANSLATE(C601,""ja"",""vi"")"),"Đấu giá&gt; Đồ chơi, Trò chơi&gt; Trò chơi&gt; TV Trò chơi&gt; Famicom&gt; cơ thể, phụ kiện")</f>
        <v>Đấu giá&gt; Đồ chơi, Trò chơi&gt; Trò chơi&gt; TV Trò chơi&gt; Famicom&gt; cơ thể, phụ kiện</v>
      </c>
      <c r="F601" t="str">
        <f t="shared" ca="1" si="9"/>
        <v>"2084005189" : "Cơ thể, phụ kiện",</v>
      </c>
    </row>
    <row r="602" spans="1:6" ht="15.75" customHeight="1">
      <c r="A602" s="14">
        <v>2084047853</v>
      </c>
      <c r="B602" s="14" t="s">
        <v>1678</v>
      </c>
      <c r="C602" s="14" t="s">
        <v>4929</v>
      </c>
      <c r="D602" s="5" t="str">
        <f ca="1">IFERROR(__xludf.DUMMYFUNCTION("GOOGLETRANSLATE(B602,""ja"",""vi"")"),"Một cơ thể")</f>
        <v>Một cơ thể</v>
      </c>
      <c r="E602" s="4" t="str">
        <f ca="1">IFERROR(__xludf.DUMMYFUNCTION("GOOGLETRANSLATE(C602,""ja"",""vi"")"),"Đấu giá&gt; Đồ chơi, Trò chơi&gt; Trò chơi&gt; Video Games&gt; Xbox&gt; cơ thể")</f>
        <v>Đấu giá&gt; Đồ chơi, Trò chơi&gt; Trò chơi&gt; Video Games&gt; Xbox&gt; cơ thể</v>
      </c>
      <c r="F602" t="str">
        <f t="shared" ca="1" si="9"/>
        <v>"2084047853" : "Một cơ thể",</v>
      </c>
    </row>
    <row r="603" spans="1:6" ht="15.75" customHeight="1">
      <c r="A603" s="14">
        <v>2084047854</v>
      </c>
      <c r="B603" s="14" t="s">
        <v>4934</v>
      </c>
      <c r="C603" s="14" t="s">
        <v>4935</v>
      </c>
      <c r="D603" s="5" t="str">
        <f ca="1">IFERROR(__xludf.DUMMYFUNCTION("GOOGLETRANSLATE(B603,""ja"",""vi"")"),"phần mềm")</f>
        <v>phần mềm</v>
      </c>
      <c r="E603" s="4" t="str">
        <f ca="1">IFERROR(__xludf.DUMMYFUNCTION("GOOGLETRANSLATE(C603,""ja"",""vi"")"),"Đấu giá&gt; Đồ chơi, Trò chơi&gt; Trò chơi&gt; Video Games&gt; Xbox&gt; phần mềm")</f>
        <v>Đấu giá&gt; Đồ chơi, Trò chơi&gt; Trò chơi&gt; Video Games&gt; Xbox&gt; phần mềm</v>
      </c>
      <c r="F603" t="str">
        <f t="shared" ca="1" si="9"/>
        <v>"2084047854" : "phần mềm",</v>
      </c>
    </row>
    <row r="604" spans="1:6" ht="15.75" customHeight="1">
      <c r="A604" s="14">
        <v>2084047855</v>
      </c>
      <c r="B604" s="14" t="s">
        <v>1625</v>
      </c>
      <c r="C604" s="14" t="s">
        <v>4938</v>
      </c>
      <c r="D604" s="5" t="str">
        <f ca="1">IFERROR(__xludf.DUMMYFUNCTION("GOOGLETRANSLATE(B604,""ja"",""vi"")"),"chu vi")</f>
        <v>chu vi</v>
      </c>
      <c r="E604" s="4" t="str">
        <f ca="1">IFERROR(__xludf.DUMMYFUNCTION("GOOGLETRANSLATE(C604,""ja"",""vi"")"),"Đấu giá&gt; Đồ chơi, Trò chơi&gt; Trò chơi&gt; Video Games&gt; Xbox&gt; Thiết bị ngoại vi")</f>
        <v>Đấu giá&gt; Đồ chơi, Trò chơi&gt; Trò chơi&gt; Video Games&gt; Xbox&gt; Thiết bị ngoại vi</v>
      </c>
      <c r="F604" t="str">
        <f t="shared" ca="1" si="9"/>
        <v>"2084047855" : "chu vi",</v>
      </c>
    </row>
    <row r="605" spans="1:6" ht="15.75" customHeight="1">
      <c r="A605" s="14">
        <v>22868</v>
      </c>
      <c r="B605" s="14" t="s">
        <v>4940</v>
      </c>
      <c r="C605" s="14" t="s">
        <v>4942</v>
      </c>
      <c r="D605" s="5" t="str">
        <f ca="1">IFERROR(__xludf.DUMMYFUNCTION("GOOGLETRANSLATE(B605,""ja"",""vi"")"),"game Gear")</f>
        <v>game Gear</v>
      </c>
      <c r="E605" s="4" t="str">
        <f ca="1">IFERROR(__xludf.DUMMYFUNCTION("GOOGLETRANSLATE(C605,""ja"",""vi"")"),"Đấu giá&gt; Đồ chơi, Trò chơi&gt; Trò chơi&gt; TV Trò chơi&gt; Sega&gt; Game Gear")</f>
        <v>Đấu giá&gt; Đồ chơi, Trò chơi&gt; Trò chơi&gt; TV Trò chơi&gt; Sega&gt; Game Gear</v>
      </c>
      <c r="F605" t="str">
        <f t="shared" ca="1" si="9"/>
        <v>"22868" : "game Gear",</v>
      </c>
    </row>
    <row r="606" spans="1:6" ht="15.75" customHeight="1">
      <c r="A606" s="14">
        <v>40507</v>
      </c>
      <c r="B606" s="14" t="s">
        <v>4945</v>
      </c>
      <c r="C606" s="14" t="s">
        <v>4946</v>
      </c>
      <c r="D606" s="5" t="str">
        <f ca="1">IFERROR(__xludf.DUMMYFUNCTION("GOOGLETRANSLATE(B606,""ja"",""vi"")"),"sao Thổ")</f>
        <v>sao Thổ</v>
      </c>
      <c r="E606" s="4" t="str">
        <f ca="1">IFERROR(__xludf.DUMMYFUNCTION("GOOGLETRANSLATE(C606,""ja"",""vi"")"),"Đấu giá&gt; Đồ chơi, Trò chơi&gt; Trò chơi&gt; TV Trò chơi&gt; Sega&gt; Saturn")</f>
        <v>Đấu giá&gt; Đồ chơi, Trò chơi&gt; Trò chơi&gt; TV Trò chơi&gt; Sega&gt; Saturn</v>
      </c>
      <c r="F606" t="str">
        <f t="shared" ca="1" si="9"/>
        <v>"40507" : "sao Thổ",</v>
      </c>
    </row>
    <row r="607" spans="1:6" ht="15.75" customHeight="1">
      <c r="A607" s="14">
        <v>40506</v>
      </c>
      <c r="B607" s="14" t="s">
        <v>4947</v>
      </c>
      <c r="C607" s="14" t="s">
        <v>4949</v>
      </c>
      <c r="D607" s="5" t="str">
        <f ca="1">IFERROR(__xludf.DUMMYFUNCTION("GOOGLETRANSLATE(B607,""ja"",""vi"")"),"Dreamcast")</f>
        <v>Dreamcast</v>
      </c>
      <c r="E607" s="4" t="str">
        <f ca="1">IFERROR(__xludf.DUMMYFUNCTION("GOOGLETRANSLATE(C607,""ja"",""vi"")"),"Đấu giá&gt; Đồ chơi, Trò chơi&gt; Trò chơi&gt; TV Trò chơi&gt; Sega&gt; Dreamcast")</f>
        <v>Đấu giá&gt; Đồ chơi, Trò chơi&gt; Trò chơi&gt; TV Trò chơi&gt; Sega&gt; Dreamcast</v>
      </c>
      <c r="F607" t="str">
        <f t="shared" ca="1" si="9"/>
        <v>"40506" : "Dreamcast",</v>
      </c>
    </row>
    <row r="608" spans="1:6" ht="15.75" customHeight="1">
      <c r="A608" s="14">
        <v>2084045591</v>
      </c>
      <c r="B608" s="14" t="s">
        <v>4953</v>
      </c>
      <c r="C608" s="14" t="s">
        <v>4954</v>
      </c>
      <c r="D608" s="5" t="str">
        <f ca="1">IFERROR(__xludf.DUMMYFUNCTION("GOOGLETRANSLATE(B608,""ja"",""vi"")"),"Mark III")</f>
        <v>Mark III</v>
      </c>
      <c r="E608" s="4" t="str">
        <f ca="1">IFERROR(__xludf.DUMMYFUNCTION("GOOGLETRANSLATE(C608,""ja"",""vi"")"),"Đấu giá&gt; Đồ chơi, Trò chơi&gt; Trò chơi&gt; TV Trò chơi&gt; Sega&gt; Mark III")</f>
        <v>Đấu giá&gt; Đồ chơi, Trò chơi&gt; Trò chơi&gt; TV Trò chơi&gt; Sega&gt; Mark III</v>
      </c>
      <c r="F608" t="str">
        <f t="shared" ca="1" si="9"/>
        <v>"2084045591" : "Mark III",</v>
      </c>
    </row>
    <row r="609" spans="1:6" ht="15.75" customHeight="1">
      <c r="A609" s="14">
        <v>2084005167</v>
      </c>
      <c r="B609" s="14" t="s">
        <v>4959</v>
      </c>
      <c r="C609" s="14" t="s">
        <v>4960</v>
      </c>
      <c r="D609" s="5" t="str">
        <f ca="1">IFERROR(__xludf.DUMMYFUNCTION("GOOGLETRANSLATE(B609,""ja"",""vi"")"),"Mega Drive")</f>
        <v>Mega Drive</v>
      </c>
      <c r="E609" s="4" t="str">
        <f ca="1">IFERROR(__xludf.DUMMYFUNCTION("GOOGLETRANSLATE(C609,""ja"",""vi"")"),"Đấu giá&gt; Đồ chơi, Trò chơi&gt; Trò chơi&gt; TV Trò chơi&gt; Sega&gt; Mega Drive")</f>
        <v>Đấu giá&gt; Đồ chơi, Trò chơi&gt; Trò chơi&gt; TV Trò chơi&gt; Sega&gt; Mega Drive</v>
      </c>
      <c r="F609" t="str">
        <f t="shared" ca="1" si="9"/>
        <v>"2084005167" : "Mega Drive",</v>
      </c>
    </row>
    <row r="610" spans="1:6" ht="15.75" customHeight="1">
      <c r="A610" s="14">
        <v>40508</v>
      </c>
      <c r="B610" s="14" t="s">
        <v>46</v>
      </c>
      <c r="C610" s="14" t="s">
        <v>4965</v>
      </c>
      <c r="D610" s="5" t="str">
        <f ca="1">IFERROR(__xludf.DUMMYFUNCTION("GOOGLETRANSLATE(B610,""ja"",""vi"")"),"nếu không thì")</f>
        <v>nếu không thì</v>
      </c>
      <c r="E610" s="4" t="str">
        <f ca="1">IFERROR(__xludf.DUMMYFUNCTION("GOOGLETRANSLATE(C610,""ja"",""vi"")"),"Đấu giá&gt; Đồ chơi, Trò chơi&gt; Trò chơi&gt; TV Trò chơi&gt; Sega&gt; Khác")</f>
        <v>Đấu giá&gt; Đồ chơi, Trò chơi&gt; Trò chơi&gt; TV Trò chơi&gt; Sega&gt; Khác</v>
      </c>
      <c r="F610" t="str">
        <f t="shared" ca="1" si="9"/>
        <v>"40508" : "nếu không thì",</v>
      </c>
    </row>
    <row r="611" spans="1:6" ht="15.75" customHeight="1">
      <c r="A611" s="14">
        <v>2084005533</v>
      </c>
      <c r="B611" s="14" t="s">
        <v>4970</v>
      </c>
      <c r="C611" s="14" t="s">
        <v>4971</v>
      </c>
      <c r="D611" s="5" t="str">
        <f ca="1">IFERROR(__xludf.DUMMYFUNCTION("GOOGLETRANSLATE(B611,""ja"",""vi"")"),"PC FX")</f>
        <v>PC FX</v>
      </c>
      <c r="E611" s="4" t="str">
        <f ca="1">IFERROR(__xludf.DUMMYFUNCTION("GOOGLETRANSLATE(C611,""ja"",""vi"")"),"Đấu giá&gt; Đồ chơi, Trò chơi&gt; Trò chơi&gt; video game&gt; NEC&gt; PC-FX")</f>
        <v>Đấu giá&gt; Đồ chơi, Trò chơi&gt; Trò chơi&gt; video game&gt; NEC&gt; PC-FX</v>
      </c>
      <c r="F611" t="str">
        <f t="shared" ca="1" si="9"/>
        <v>"2084005533" : "PC FX",</v>
      </c>
    </row>
    <row r="612" spans="1:6" ht="15.75" customHeight="1">
      <c r="A612" s="14">
        <v>2084005247</v>
      </c>
      <c r="B612" s="14" t="s">
        <v>4975</v>
      </c>
      <c r="C612" s="14" t="s">
        <v>4977</v>
      </c>
      <c r="D612" s="5" t="str">
        <f ca="1">IFERROR(__xludf.DUMMYFUNCTION("GOOGLETRANSLATE(B612,""ja"",""vi"")"),"động cơ PC")</f>
        <v>động cơ PC</v>
      </c>
      <c r="E612" s="4" t="str">
        <f ca="1">IFERROR(__xludf.DUMMYFUNCTION("GOOGLETRANSLATE(C612,""ja"",""vi"")"),"Đấu giá&gt; Đồ chơi, Trò chơi&gt; Trò chơi&gt; video game&gt; NEC&gt; cơ PC")</f>
        <v>Đấu giá&gt; Đồ chơi, Trò chơi&gt; Trò chơi&gt; video game&gt; NEC&gt; cơ PC</v>
      </c>
      <c r="F612" t="str">
        <f t="shared" ca="1" si="9"/>
        <v>"2084005247" : "động cơ PC",</v>
      </c>
    </row>
    <row r="613" spans="1:6" ht="15.75" customHeight="1">
      <c r="A613" s="14">
        <v>2084057109</v>
      </c>
      <c r="B613" s="14" t="s">
        <v>4983</v>
      </c>
      <c r="C613" s="14" t="s">
        <v>4985</v>
      </c>
      <c r="D613" s="5" t="str">
        <f ca="1">IFERROR(__xludf.DUMMYFUNCTION("GOOGLETRANSLATE(B613,""ja"",""vi"")"),"PSP (PlayStation Portable)")</f>
        <v>PSP (PlayStation Portable)</v>
      </c>
      <c r="E613" s="4" t="str">
        <f ca="1">IFERROR(__xludf.DUMMYFUNCTION("GOOGLETRANSLATE(C613,""ja"",""vi"")"),"Đấu giá&gt; Đồ chơi, Trò chơi&gt; Trò chơi&gt; TV Trò chơi&gt; xách tay&gt; PSP (PlayStation Portable)")</f>
        <v>Đấu giá&gt; Đồ chơi, Trò chơi&gt; Trò chơi&gt; TV Trò chơi&gt; xách tay&gt; PSP (PlayStation Portable)</v>
      </c>
      <c r="F613" t="str">
        <f t="shared" ca="1" si="9"/>
        <v>"2084057109" : "PSP (PlayStation Portable)",</v>
      </c>
    </row>
    <row r="614" spans="1:6" ht="15.75" customHeight="1">
      <c r="A614" s="14">
        <v>2084056539</v>
      </c>
      <c r="B614" s="14" t="s">
        <v>4987</v>
      </c>
      <c r="C614" s="14" t="s">
        <v>4989</v>
      </c>
      <c r="D614" s="5" t="str">
        <f ca="1">IFERROR(__xludf.DUMMYFUNCTION("GOOGLETRANSLATE(B614,""ja"",""vi"")"),"Nintendo DS")</f>
        <v>Nintendo DS</v>
      </c>
      <c r="E614" s="4" t="str">
        <f ca="1">IFERROR(__xludf.DUMMYFUNCTION("GOOGLETRANSLATE(C614,""ja"",""vi"")"),"Đấu giá&gt; Đồ chơi, Trò chơi&gt; Trò chơi&gt; TV Trò chơi&gt; xách tay&gt; Nintendo DS")</f>
        <v>Đấu giá&gt; Đồ chơi, Trò chơi&gt; Trò chơi&gt; TV Trò chơi&gt; xách tay&gt; Nintendo DS</v>
      </c>
      <c r="F614" t="str">
        <f t="shared" ca="1" si="9"/>
        <v>"2084056539" : "Nintendo DS",</v>
      </c>
    </row>
    <row r="615" spans="1:6" ht="15.75" customHeight="1">
      <c r="A615" s="14">
        <v>2084041580</v>
      </c>
      <c r="B615" s="14" t="s">
        <v>4991</v>
      </c>
      <c r="C615" s="14" t="s">
        <v>4992</v>
      </c>
      <c r="D615" s="5" t="str">
        <f ca="1">IFERROR(__xludf.DUMMYFUNCTION("GOOGLETRANSLATE(B615,""ja"",""vi"")"),"Game Boy Advance")</f>
        <v>Game Boy Advance</v>
      </c>
      <c r="E615" s="4" t="str">
        <f ca="1">IFERROR(__xludf.DUMMYFUNCTION("GOOGLETRANSLATE(C615,""ja"",""vi"")"),"Đấu giá&gt; Đồ chơi, Trò chơi&gt; Trò chơi&gt; TV Trò chơi&gt; di động&gt; Game Boy Advance")</f>
        <v>Đấu giá&gt; Đồ chơi, Trò chơi&gt; Trò chơi&gt; TV Trò chơi&gt; di động&gt; Game Boy Advance</v>
      </c>
      <c r="F615" t="str">
        <f t="shared" ca="1" si="9"/>
        <v>"2084041580" : "Game Boy Advance",</v>
      </c>
    </row>
    <row r="616" spans="1:6" ht="15.75" customHeight="1">
      <c r="A616" s="14">
        <v>27812</v>
      </c>
      <c r="B616" s="14" t="s">
        <v>4996</v>
      </c>
      <c r="C616" s="14" t="s">
        <v>4997</v>
      </c>
      <c r="D616" s="5" t="str">
        <f ca="1">IFERROR(__xludf.DUMMYFUNCTION("GOOGLETRANSLATE(B616,""ja"",""vi"")"),"game Boy")</f>
        <v>game Boy</v>
      </c>
      <c r="E616" s="4" t="str">
        <f ca="1">IFERROR(__xludf.DUMMYFUNCTION("GOOGLETRANSLATE(C616,""ja"",""vi"")"),"Đấu giá&gt; Đồ chơi, Trò chơi&gt; Trò chơi&gt; TV Trò chơi&gt; di động&gt; Game Boy")</f>
        <v>Đấu giá&gt; Đồ chơi, Trò chơi&gt; Trò chơi&gt; TV Trò chơi&gt; di động&gt; Game Boy</v>
      </c>
      <c r="F616" t="str">
        <f t="shared" ca="1" si="9"/>
        <v>"27812" : "game Boy",</v>
      </c>
    </row>
    <row r="617" spans="1:6" ht="15.75" customHeight="1">
      <c r="A617" s="14">
        <v>2084045654</v>
      </c>
      <c r="B617" s="14" t="s">
        <v>4998</v>
      </c>
      <c r="C617" s="14" t="s">
        <v>5000</v>
      </c>
      <c r="D617" s="5" t="str">
        <f ca="1">IFERROR(__xludf.DUMMYFUNCTION("GOOGLETRANSLATE(B617,""ja"",""vi"")"),"trò chơi đồng hồ")</f>
        <v>trò chơi đồng hồ</v>
      </c>
      <c r="E617" s="4" t="str">
        <f ca="1">IFERROR(__xludf.DUMMYFUNCTION("GOOGLETRANSLATE(C617,""ja"",""vi"")"),"Đấu giá&gt; Đồ chơi, Trò chơi&gt; Trò chơi&gt; TV Trò chơi&gt; di động&gt; Game Xem")</f>
        <v>Đấu giá&gt; Đồ chơi, Trò chơi&gt; Trò chơi&gt; TV Trò chơi&gt; di động&gt; Game Xem</v>
      </c>
      <c r="F617" t="str">
        <f t="shared" ca="1" si="9"/>
        <v>"2084045654" : "trò chơi đồng hồ",</v>
      </c>
    </row>
    <row r="618" spans="1:6" ht="15.75" customHeight="1">
      <c r="A618" s="14">
        <v>22868</v>
      </c>
      <c r="B618" s="14" t="s">
        <v>4940</v>
      </c>
      <c r="C618" s="14" t="s">
        <v>5002</v>
      </c>
      <c r="D618" s="5" t="str">
        <f ca="1">IFERROR(__xludf.DUMMYFUNCTION("GOOGLETRANSLATE(B618,""ja"",""vi"")"),"game Gear")</f>
        <v>game Gear</v>
      </c>
      <c r="E618" s="4" t="str">
        <f ca="1">IFERROR(__xludf.DUMMYFUNCTION("GOOGLETRANSLATE(C618,""ja"",""vi"")"),"Đấu giá&gt; Đồ chơi, Trò chơi&gt; Trò chơi&gt; TV Trò chơi&gt; di động&gt; Game Gear")</f>
        <v>Đấu giá&gt; Đồ chơi, Trò chơi&gt; Trò chơi&gt; TV Trò chơi&gt; di động&gt; Game Gear</v>
      </c>
      <c r="F618" t="str">
        <f t="shared" ca="1" si="9"/>
        <v>"22868" : "game Gear",</v>
      </c>
    </row>
    <row r="619" spans="1:6" ht="15.75" customHeight="1">
      <c r="A619" s="14">
        <v>2084041577</v>
      </c>
      <c r="B619" s="14" t="s">
        <v>5005</v>
      </c>
      <c r="C619" s="14" t="s">
        <v>5006</v>
      </c>
      <c r="D619" s="5" t="str">
        <f ca="1">IFERROR(__xludf.DUMMYFUNCTION("GOOGLETRANSLATE(B619,""ja"",""vi"")"),"trạm Pocket")</f>
        <v>trạm Pocket</v>
      </c>
      <c r="E619" s="4" t="str">
        <f ca="1">IFERROR(__xludf.DUMMYFUNCTION("GOOGLETRANSLATE(C619,""ja"",""vi"")"),"Đấu giá&gt; Đồ chơi, Trò chơi&gt; Trò chơi&gt; TV Trò chơi&gt; xách tay&gt; Trạm túi")</f>
        <v>Đấu giá&gt; Đồ chơi, Trò chơi&gt; Trò chơi&gt; TV Trò chơi&gt; xách tay&gt; Trạm túi</v>
      </c>
      <c r="F619" t="str">
        <f t="shared" ca="1" si="9"/>
        <v>"2084041577" : "trạm Pocket",</v>
      </c>
    </row>
    <row r="620" spans="1:6" ht="15.75" customHeight="1">
      <c r="A620" s="14">
        <v>2084005536</v>
      </c>
      <c r="B620" s="14" t="s">
        <v>5007</v>
      </c>
      <c r="C620" s="14" t="s">
        <v>5009</v>
      </c>
      <c r="D620" s="5" t="str">
        <f ca="1">IFERROR(__xludf.DUMMYFUNCTION("GOOGLETRANSLATE(B620,""ja"",""vi"")"),"WonderSwan")</f>
        <v>WonderSwan</v>
      </c>
      <c r="E620" s="4" t="str">
        <f ca="1">IFERROR(__xludf.DUMMYFUNCTION("GOOGLETRANSLATE(C620,""ja"",""vi"")"),"Đấu giá&gt; Đồ chơi, Trò chơi&gt; Trò chơi&gt; TV Trò chơi&gt; xách tay&gt; WonderSwan")</f>
        <v>Đấu giá&gt; Đồ chơi, Trò chơi&gt; Trò chơi&gt; TV Trò chơi&gt; xách tay&gt; WonderSwan</v>
      </c>
      <c r="F620" t="str">
        <f t="shared" ca="1" si="9"/>
        <v>"2084005536" : "WonderSwan",</v>
      </c>
    </row>
    <row r="621" spans="1:6" ht="15.75" customHeight="1">
      <c r="A621" s="14">
        <v>22888</v>
      </c>
      <c r="B621" s="14" t="s">
        <v>46</v>
      </c>
      <c r="C621" s="14" t="s">
        <v>5011</v>
      </c>
      <c r="D621" s="5" t="str">
        <f ca="1">IFERROR(__xludf.DUMMYFUNCTION("GOOGLETRANSLATE(B621,""ja"",""vi"")"),"nếu không thì")</f>
        <v>nếu không thì</v>
      </c>
      <c r="E621" s="4" t="str">
        <f ca="1">IFERROR(__xludf.DUMMYFUNCTION("GOOGLETRANSLATE(C621,""ja"",""vi"")"),"Đấu giá&gt; Đồ chơi, Trò chơi&gt; Trò chơi&gt; TV Trò chơi&gt; xách tay&gt; Khác")</f>
        <v>Đấu giá&gt; Đồ chơi, Trò chơi&gt; Trò chơi&gt; TV Trò chơi&gt; xách tay&gt; Khác</v>
      </c>
      <c r="F621" t="str">
        <f t="shared" ca="1" si="9"/>
        <v>"22888" : "nếu không thì",</v>
      </c>
    </row>
    <row r="622" spans="1:6" ht="15.75" customHeight="1">
      <c r="A622" s="14">
        <v>2084047782</v>
      </c>
      <c r="B622" s="14" t="s">
        <v>5014</v>
      </c>
      <c r="C622" s="14" t="s">
        <v>5015</v>
      </c>
      <c r="D622" s="5" t="str">
        <f ca="1">IFERROR(__xludf.DUMMYFUNCTION("GOOGLETRANSLATE(B622,""ja"",""vi"")"),"Ban trò chơi")</f>
        <v>Ban trò chơi</v>
      </c>
      <c r="E622" s="4" t="str">
        <f ca="1">IFERROR(__xludf.DUMMYFUNCTION("GOOGLETRANSLATE(C622,""ja"",""vi"")"),"Đấu giá&gt; Đồ chơi, Trò chơi&gt; Trò chơi&gt; Trò chơi&gt; Ban trò chơi")</f>
        <v>Đấu giá&gt; Đồ chơi, Trò chơi&gt; Trò chơi&gt; Trò chơi&gt; Ban trò chơi</v>
      </c>
      <c r="F622" t="str">
        <f t="shared" ca="1" si="9"/>
        <v>"2084047782" : "Ban trò chơi",</v>
      </c>
    </row>
    <row r="623" spans="1:6" ht="15.75" customHeight="1">
      <c r="A623" s="14">
        <v>2084047783</v>
      </c>
      <c r="B623" s="14" t="s">
        <v>5017</v>
      </c>
      <c r="C623" s="14" t="s">
        <v>5019</v>
      </c>
      <c r="D623" s="5" t="str">
        <f ca="1">IFERROR(__xludf.DUMMYFUNCTION("GOOGLETRANSLATE(B623,""ja"",""vi"")"),"Nhà ở, bảng điều khiển")</f>
        <v>Nhà ở, bảng điều khiển</v>
      </c>
      <c r="E623" s="4" t="str">
        <f ca="1">IFERROR(__xludf.DUMMYFUNCTION("GOOGLETRANSLATE(C623,""ja"",""vi"")"),"Đấu giá&gt; Đồ chơi, Trò chơi&gt; Trò chơi&gt; Trò chơi điện tử&gt; nhà cửa, bảng điều khiển")</f>
        <v>Đấu giá&gt; Đồ chơi, Trò chơi&gt; Trò chơi&gt; Trò chơi điện tử&gt; nhà cửa, bảng điều khiển</v>
      </c>
      <c r="F623" t="str">
        <f t="shared" ca="1" si="9"/>
        <v>"2084047783" : "Nhà ở, bảng điều khiển",</v>
      </c>
    </row>
    <row r="624" spans="1:6" ht="15.75" customHeight="1">
      <c r="A624" s="14">
        <v>2084245563</v>
      </c>
      <c r="B624" s="14" t="s">
        <v>5020</v>
      </c>
      <c r="C624" s="14" t="s">
        <v>5022</v>
      </c>
      <c r="D624" s="5" t="str">
        <f ca="1">IFERROR(__xludf.DUMMYFUNCTION("GOOGLETRANSLATE(B624,""ja"",""vi"")"),"thẻ IC")</f>
        <v>thẻ IC</v>
      </c>
      <c r="E624" s="4" t="str">
        <f ca="1">IFERROR(__xludf.DUMMYFUNCTION("GOOGLETRANSLATE(C624,""ja"",""vi"")"),"Đấu giá&gt; Đồ chơi, Trò chơi&gt; Trò chơi&gt; Trò chơi&gt; thẻ IC")</f>
        <v>Đấu giá&gt; Đồ chơi, Trò chơi&gt; Trò chơi&gt; Trò chơi&gt; thẻ IC</v>
      </c>
      <c r="F624" t="str">
        <f t="shared" ca="1" si="9"/>
        <v>"2084245563" : "thẻ IC",</v>
      </c>
    </row>
    <row r="625" spans="1:6" ht="15.75" customHeight="1">
      <c r="A625" s="14">
        <v>2084245564</v>
      </c>
      <c r="B625" s="14" t="s">
        <v>5023</v>
      </c>
      <c r="C625" s="14" t="s">
        <v>5026</v>
      </c>
      <c r="D625" s="5" t="str">
        <f ca="1">IFERROR(__xludf.DUMMYFUNCTION("GOOGLETRANSLATE(B625,""ja"",""vi"")"),"Catalogue, hướng dẫn")</f>
        <v>Catalogue, hướng dẫn</v>
      </c>
      <c r="E625" s="4" t="str">
        <f ca="1">IFERROR(__xludf.DUMMYFUNCTION("GOOGLETRANSLATE(C625,""ja"",""vi"")"),"Đấu giá&gt; Đồ chơi, Trò chơi&gt; Trò chơi&gt; Trò chơi điện tử&gt; Catalogue, hướng dẫn")</f>
        <v>Đấu giá&gt; Đồ chơi, Trò chơi&gt; Trò chơi&gt; Trò chơi điện tử&gt; Catalogue, hướng dẫn</v>
      </c>
      <c r="F625" t="str">
        <f t="shared" ca="1" si="9"/>
        <v>"2084245564" : "Catalogue, hướng dẫn",</v>
      </c>
    </row>
    <row r="626" spans="1:6" ht="15.75" customHeight="1">
      <c r="A626" s="14">
        <v>2084245561</v>
      </c>
      <c r="B626" s="14" t="s">
        <v>5029</v>
      </c>
      <c r="C626" s="14" t="s">
        <v>5030</v>
      </c>
      <c r="D626" s="5" t="str">
        <f ca="1">IFERROR(__xludf.DUMMYFUNCTION("GOOGLETRANSLATE(B626,""ja"",""vi"")"),"poster")</f>
        <v>poster</v>
      </c>
      <c r="E626" s="4" t="str">
        <f ca="1">IFERROR(__xludf.DUMMYFUNCTION("GOOGLETRANSLATE(C626,""ja"",""vi"")"),"Đấu giá&gt; Đồ chơi, Trò chơi&gt; Trò chơi&gt; Trò chơi điện tử&gt; áp phích")</f>
        <v>Đấu giá&gt; Đồ chơi, Trò chơi&gt; Trò chơi&gt; Trò chơi điện tử&gt; áp phích</v>
      </c>
      <c r="F626" t="str">
        <f t="shared" ca="1" si="9"/>
        <v>"2084245561" : "poster",</v>
      </c>
    </row>
    <row r="627" spans="1:6" ht="15.75" customHeight="1">
      <c r="A627" s="14">
        <v>2084245562</v>
      </c>
      <c r="B627" s="14" t="s">
        <v>5033</v>
      </c>
      <c r="C627" s="14" t="s">
        <v>5034</v>
      </c>
      <c r="D627" s="5" t="str">
        <f ca="1">IFERROR(__xludf.DUMMYFUNCTION("GOOGLETRANSLATE(B627,""ja"",""vi"")"),"Pop, Lắp đặt")</f>
        <v>Pop, Lắp đặt</v>
      </c>
      <c r="E627" s="4" t="str">
        <f ca="1">IFERROR(__xludf.DUMMYFUNCTION("GOOGLETRANSLATE(C627,""ja"",""vi"")"),"Đấu giá&gt; Đồ chơi, Trò chơi&gt; Trò chơi&gt; Trò chơi điện tử&gt; pop, Lắp đặt")</f>
        <v>Đấu giá&gt; Đồ chơi, Trò chơi&gt; Trò chơi&gt; Trò chơi điện tử&gt; pop, Lắp đặt</v>
      </c>
      <c r="F627" t="str">
        <f t="shared" ca="1" si="9"/>
        <v>"2084245562" : "Pop, Lắp đặt",</v>
      </c>
    </row>
    <row r="628" spans="1:6" ht="15.75" customHeight="1">
      <c r="A628" s="14">
        <v>2084050457</v>
      </c>
      <c r="B628" s="14" t="s">
        <v>5037</v>
      </c>
      <c r="C628" s="14" t="s">
        <v>5038</v>
      </c>
      <c r="D628" s="5" t="str">
        <f ca="1">IFERROR(__xludf.DUMMYFUNCTION("GOOGLETRANSLATE(B628,""ja"",""vi"")"),"WCCF")</f>
        <v>WCCF</v>
      </c>
      <c r="E628" s="4" t="str">
        <f ca="1">IFERROR(__xludf.DUMMYFUNCTION("GOOGLETRANSLATE(C628,""ja"",""vi"")"),"Đấu giá&gt; Đồ chơi, Trò chơi&gt; Trò chơi&gt; Trò chơi&gt; WCCF")</f>
        <v>Đấu giá&gt; Đồ chơi, Trò chơi&gt; Trò chơi&gt; Trò chơi&gt; WCCF</v>
      </c>
      <c r="F628" t="str">
        <f t="shared" ca="1" si="9"/>
        <v>"2084050457" : "WCCF",</v>
      </c>
    </row>
    <row r="629" spans="1:6" ht="15.75" customHeight="1">
      <c r="A629" s="14">
        <v>2084047784</v>
      </c>
      <c r="B629" s="14" t="s">
        <v>46</v>
      </c>
      <c r="C629" s="14" t="s">
        <v>5040</v>
      </c>
      <c r="D629" s="5" t="str">
        <f ca="1">IFERROR(__xludf.DUMMYFUNCTION("GOOGLETRANSLATE(B629,""ja"",""vi"")"),"nếu không thì")</f>
        <v>nếu không thì</v>
      </c>
      <c r="E629" s="4" t="str">
        <f ca="1">IFERROR(__xludf.DUMMYFUNCTION("GOOGLETRANSLATE(C629,""ja"",""vi"")"),"Đấu giá&gt; Đồ chơi, Trò chơi&gt; Trò chơi&gt; Arcade trò chơi&gt; Khác")</f>
        <v>Đấu giá&gt; Đồ chơi, Trò chơi&gt; Trò chơi&gt; Arcade trò chơi&gt; Khác</v>
      </c>
      <c r="F629" t="str">
        <f t="shared" ca="1" si="9"/>
        <v>"2084047784" : "nếu không thì",</v>
      </c>
    </row>
    <row r="630" spans="1:6" ht="15.75" customHeight="1">
      <c r="A630" s="14">
        <v>2084006972</v>
      </c>
      <c r="B630" s="14" t="s">
        <v>4127</v>
      </c>
      <c r="C630" s="14" t="s">
        <v>4128</v>
      </c>
      <c r="D630" s="5" t="str">
        <f ca="1">IFERROR(__xludf.DUMMYFUNCTION("GOOGLETRANSLATE(B630,""ja"",""vi"")"),"trò chơi chung")</f>
        <v>trò chơi chung</v>
      </c>
      <c r="E630" s="4" t="str">
        <f ca="1">IFERROR(__xludf.DUMMYFUNCTION("GOOGLETRANSLATE(C630,""ja"",""vi"")"),"Đấu giá&gt; Âm nhạc&gt; CD&gt; trò chơi âm nhạc&gt; chung trò chơi")</f>
        <v>Đấu giá&gt; Âm nhạc&gt; CD&gt; trò chơi âm nhạc&gt; chung trò chơi</v>
      </c>
      <c r="F630" t="str">
        <f t="shared" ca="1" si="9"/>
        <v>"2084006972" : "trò chơi chung",</v>
      </c>
    </row>
    <row r="631" spans="1:6" ht="15.75" customHeight="1">
      <c r="A631" s="14">
        <v>2084006974</v>
      </c>
      <c r="B631" s="14" t="s">
        <v>908</v>
      </c>
      <c r="C631" s="14" t="s">
        <v>4130</v>
      </c>
      <c r="D631" s="5" t="str">
        <f ca="1">IFERROR(__xludf.DUMMYFUNCTION("GOOGLETRANSLATE(B631,""ja"",""vi"")"),"Memorial Tokimeki")</f>
        <v>Memorial Tokimeki</v>
      </c>
      <c r="E631" s="4" t="str">
        <f ca="1">IFERROR(__xludf.DUMMYFUNCTION("GOOGLETRANSLATE(C631,""ja"",""vi"")"),"Đấu giá&gt; Âm nhạc&gt; CD&gt; trò chơi âm nhạc&gt; Memorial Tokimeki")</f>
        <v>Đấu giá&gt; Âm nhạc&gt; CD&gt; trò chơi âm nhạc&gt; Memorial Tokimeki</v>
      </c>
      <c r="F631" t="str">
        <f t="shared" ca="1" si="9"/>
        <v>"2084006974" : "Memorial Tokimeki",</v>
      </c>
    </row>
    <row r="632" spans="1:6" ht="15.75" customHeight="1">
      <c r="A632" s="14">
        <v>2084006978</v>
      </c>
      <c r="B632" s="14" t="s">
        <v>2061</v>
      </c>
      <c r="C632" s="14" t="s">
        <v>4133</v>
      </c>
      <c r="D632" s="5" t="str">
        <f ca="1">IFERROR(__xludf.DUMMYFUNCTION("GOOGLETRANSLATE(B632,""ja"",""vi"")"),"Sakura Wars")</f>
        <v>Sakura Wars</v>
      </c>
      <c r="E632" s="4" t="str">
        <f ca="1">IFERROR(__xludf.DUMMYFUNCTION("GOOGLETRANSLATE(C632,""ja"",""vi"")"),"Đấu giá&gt; Âm nhạc&gt; CD&gt; trò chơi âm nhạc&gt; Sakura Wars")</f>
        <v>Đấu giá&gt; Âm nhạc&gt; CD&gt; trò chơi âm nhạc&gt; Sakura Wars</v>
      </c>
      <c r="F632" t="str">
        <f t="shared" ca="1" si="9"/>
        <v>"2084006978" : "Sakura Wars",</v>
      </c>
    </row>
    <row r="633" spans="1:6" ht="15.75" customHeight="1">
      <c r="A633" s="14">
        <v>2084006977</v>
      </c>
      <c r="B633" s="14" t="s">
        <v>3142</v>
      </c>
      <c r="C633" s="14" t="s">
        <v>4137</v>
      </c>
      <c r="D633" s="5" t="str">
        <f ca="1">IFERROR(__xludf.DUMMYFUNCTION("GOOGLETRANSLATE(B633,""ja"",""vi"")"),"sentimental Graffiti")</f>
        <v>sentimental Graffiti</v>
      </c>
      <c r="E633" s="4" t="str">
        <f ca="1">IFERROR(__xludf.DUMMYFUNCTION("GOOGLETRANSLATE(C633,""ja"",""vi"")"),"Đấu giá&gt; Âm nhạc&gt; CD&gt; trò chơi âm nhạc&gt; Sentimental Graffiti")</f>
        <v>Đấu giá&gt; Âm nhạc&gt; CD&gt; trò chơi âm nhạc&gt; Sentimental Graffiti</v>
      </c>
      <c r="F633" t="str">
        <f t="shared" ca="1" si="9"/>
        <v>"2084006977" : "sentimental Graffiti",</v>
      </c>
    </row>
    <row r="634" spans="1:6" ht="15.75" customHeight="1">
      <c r="A634" s="14">
        <v>2084006976</v>
      </c>
      <c r="B634" s="14" t="s">
        <v>3166</v>
      </c>
      <c r="C634" s="14" t="s">
        <v>4142</v>
      </c>
      <c r="D634" s="5" t="str">
        <f ca="1">IFERROR(__xludf.DUMMYFUNCTION("GOOGLETRANSLATE(B634,""ja"",""vi"")"),"dragon Quest")</f>
        <v>dragon Quest</v>
      </c>
      <c r="E634" s="4" t="str">
        <f ca="1">IFERROR(__xludf.DUMMYFUNCTION("GOOGLETRANSLATE(C634,""ja"",""vi"")"),"Đấu giá&gt; Âm nhạc&gt; CD&gt; trò chơi âm nhạc&gt; Dragon Quest")</f>
        <v>Đấu giá&gt; Âm nhạc&gt; CD&gt; trò chơi âm nhạc&gt; Dragon Quest</v>
      </c>
      <c r="F634" t="str">
        <f t="shared" ca="1" si="9"/>
        <v>"2084006976" : "dragon Quest",</v>
      </c>
    </row>
    <row r="635" spans="1:6" ht="15.75" customHeight="1">
      <c r="A635" s="14">
        <v>2084006975</v>
      </c>
      <c r="B635" s="14" t="s">
        <v>3174</v>
      </c>
      <c r="C635" s="14" t="s">
        <v>4146</v>
      </c>
      <c r="D635" s="5" t="str">
        <f ca="1">IFERROR(__xludf.DUMMYFUNCTION("GOOGLETRANSLATE(B635,""ja"",""vi"")"),"Final fantasy")</f>
        <v>Final fantasy</v>
      </c>
      <c r="E635" s="4" t="str">
        <f ca="1">IFERROR(__xludf.DUMMYFUNCTION("GOOGLETRANSLATE(C635,""ja"",""vi"")"),"Đấu giá&gt; Âm nhạc&gt; CD&gt; trò chơi âm nhạc&gt; Final Fantasy")</f>
        <v>Đấu giá&gt; Âm nhạc&gt; CD&gt; trò chơi âm nhạc&gt; Final Fantasy</v>
      </c>
      <c r="F635" t="str">
        <f t="shared" ca="1" si="9"/>
        <v>"2084006975" : "Final fantasy",</v>
      </c>
    </row>
    <row r="636" spans="1:6" ht="15.75" customHeight="1">
      <c r="A636" s="14">
        <v>2084047451</v>
      </c>
      <c r="B636" s="14" t="s">
        <v>4150</v>
      </c>
      <c r="C636" s="14" t="s">
        <v>4151</v>
      </c>
      <c r="D636" s="5" t="str">
        <f ca="1">IFERROR(__xludf.DUMMYFUNCTION("GOOGLETRANSLATE(B636,""ja"",""vi"")"),"CD cuốn sách")</f>
        <v>CD cuốn sách</v>
      </c>
      <c r="E636" s="4" t="str">
        <f ca="1">IFERROR(__xludf.DUMMYFUNCTION("GOOGLETRANSLATE(C636,""ja"",""vi"")"),"Đấu giá&gt; Âm nhạc&gt; CD&gt; trò chơi âm nhạc&gt; CD cuốn sách")</f>
        <v>Đấu giá&gt; Âm nhạc&gt; CD&gt; trò chơi âm nhạc&gt; CD cuốn sách</v>
      </c>
      <c r="F636" t="str">
        <f t="shared" ca="1" si="9"/>
        <v>"2084047451" : "CD cuốn sách",</v>
      </c>
    </row>
    <row r="637" spans="1:6" ht="15.75" customHeight="1">
      <c r="A637" s="14">
        <v>2084009076</v>
      </c>
      <c r="B637" s="14" t="s">
        <v>5053</v>
      </c>
      <c r="C637" s="14" t="s">
        <v>5055</v>
      </c>
      <c r="D637" s="5" t="str">
        <f ca="1">IFERROR(__xludf.DUMMYFUNCTION("GOOGLETRANSLATE(B637,""ja"",""vi"")"),"trò chơi Cels")</f>
        <v>trò chơi Cels</v>
      </c>
      <c r="E637" s="4" t="str">
        <f ca="1">IFERROR(__xludf.DUMMYFUNCTION("GOOGLETRANSLATE(C637,""ja"",""vi"")"),"Đấu giá&gt; cuốn sách, tạp chí&gt; nghệ thuật, vui chơi giải trí&gt; chụp trò chơi book&gt; trò chơi Cels")</f>
        <v>Đấu giá&gt; cuốn sách, tạp chí&gt; nghệ thuật, vui chơi giải trí&gt; chụp trò chơi book&gt; trò chơi Cels</v>
      </c>
      <c r="F637" t="str">
        <f t="shared" ca="1" si="9"/>
        <v>"2084009076" : "trò chơi Cels",</v>
      </c>
    </row>
    <row r="638" spans="1:6" ht="15.75" customHeight="1">
      <c r="A638" s="14">
        <v>2084009068</v>
      </c>
      <c r="B638" s="14" t="s">
        <v>5056</v>
      </c>
      <c r="C638" s="14" t="s">
        <v>5058</v>
      </c>
      <c r="D638" s="5" t="str">
        <f ca="1">IFERROR(__xludf.DUMMYFUNCTION("GOOGLETRANSLATE(B638,""ja"",""vi"")"),"hoạt động")</f>
        <v>hoạt động</v>
      </c>
      <c r="E638" s="4" t="str">
        <f ca="1">IFERROR(__xludf.DUMMYFUNCTION("GOOGLETRANSLATE(C638,""ja"",""vi"")"),"Đấu giá&gt; cuốn sách, tạp chí&gt; nghệ thuật, vui chơi giải trí&gt; chụp trò chơi book&gt; hành động")</f>
        <v>Đấu giá&gt; cuốn sách, tạp chí&gt; nghệ thuật, vui chơi giải trí&gt; chụp trò chơi book&gt; hành động</v>
      </c>
      <c r="F638" t="str">
        <f t="shared" ca="1" si="9"/>
        <v>"2084009068" : "hoạt động",</v>
      </c>
    </row>
    <row r="639" spans="1:6" ht="15.75" customHeight="1">
      <c r="A639" s="14">
        <v>2084009069</v>
      </c>
      <c r="B639" s="14" t="s">
        <v>5060</v>
      </c>
      <c r="C639" s="14" t="s">
        <v>5061</v>
      </c>
      <c r="D639" s="5" t="str">
        <f ca="1">IFERROR(__xludf.DUMMYFUNCTION("GOOGLETRANSLATE(B639,""ja"",""vi"")"),"phiêu lưu")</f>
        <v>phiêu lưu</v>
      </c>
      <c r="E639" s="4" t="str">
        <f ca="1">IFERROR(__xludf.DUMMYFUNCTION("GOOGLETRANSLATE(C639,""ja"",""vi"")"),"Đấu giá&gt; cuốn sách, tạp chí&gt; nghệ thuật, vui chơi giải trí&gt; chụp trò chơi cuốn sách&gt; Adventure")</f>
        <v>Đấu giá&gt; cuốn sách, tạp chí&gt; nghệ thuật, vui chơi giải trí&gt; chụp trò chơi cuốn sách&gt; Adventure</v>
      </c>
      <c r="F639" t="str">
        <f t="shared" ca="1" si="9"/>
        <v>"2084009069" : "phiêu lưu",</v>
      </c>
    </row>
    <row r="640" spans="1:6" ht="15.75" customHeight="1">
      <c r="A640" s="14">
        <v>2084009070</v>
      </c>
      <c r="B640" s="14" t="s">
        <v>5064</v>
      </c>
      <c r="C640" s="14" t="s">
        <v>5065</v>
      </c>
      <c r="D640" s="5" t="str">
        <f ca="1">IFERROR(__xludf.DUMMYFUNCTION("GOOGLETRANSLATE(B640,""ja"",""vi"")"),"Card, bảng")</f>
        <v>Card, bảng</v>
      </c>
      <c r="E640" s="4" t="str">
        <f ca="1">IFERROR(__xludf.DUMMYFUNCTION("GOOGLETRANSLATE(C640,""ja"",""vi"")"),"Đấu giá&gt; cuốn sách, tạp chí&gt; nghệ thuật, vui chơi giải trí&gt; chụp trò chơi book&gt; thẻ, bảng")</f>
        <v>Đấu giá&gt; cuốn sách, tạp chí&gt; nghệ thuật, vui chơi giải trí&gt; chụp trò chơi book&gt; thẻ, bảng</v>
      </c>
      <c r="F640" t="str">
        <f t="shared" ca="1" si="9"/>
        <v>"2084009070" : "Card, bảng",</v>
      </c>
    </row>
    <row r="641" spans="1:6" ht="15.75" customHeight="1">
      <c r="A641" s="14">
        <v>2084009071</v>
      </c>
      <c r="B641" s="14" t="s">
        <v>5066</v>
      </c>
      <c r="C641" s="14" t="s">
        <v>5068</v>
      </c>
      <c r="D641" s="5" t="str">
        <f ca="1">IFERROR(__xludf.DUMMYFUNCTION("GOOGLETRANSLATE(B641,""ja"",""vi"")"),"đố")</f>
        <v>đố</v>
      </c>
      <c r="E641" s="4" t="str">
        <f ca="1">IFERROR(__xludf.DUMMYFUNCTION("GOOGLETRANSLATE(C641,""ja"",""vi"")"),"Đấu giá&gt; cuốn sách, tạp chí&gt; nghệ thuật, vui chơi giải trí&gt; chụp trò chơi book&gt; đố")</f>
        <v>Đấu giá&gt; cuốn sách, tạp chí&gt; nghệ thuật, vui chơi giải trí&gt; chụp trò chơi book&gt; đố</v>
      </c>
      <c r="F641" t="str">
        <f t="shared" ca="1" si="9"/>
        <v>"2084009071" : "đố",</v>
      </c>
    </row>
    <row r="642" spans="1:6" ht="15.75" customHeight="1">
      <c r="A642" s="14">
        <v>2084047654</v>
      </c>
      <c r="B642" s="14" t="s">
        <v>5069</v>
      </c>
      <c r="C642" s="14" t="s">
        <v>5071</v>
      </c>
      <c r="D642" s="5" t="str">
        <f ca="1">IFERROR(__xludf.DUMMYFUNCTION("GOOGLETRANSLATE(B642,""ja"",""vi"")"),"tạp chí game")</f>
        <v>tạp chí game</v>
      </c>
      <c r="E642" s="4" t="str">
        <f ca="1">IFERROR(__xludf.DUMMYFUNCTION("GOOGLETRANSLATE(C642,""ja"",""vi"")"),"Đấu giá&gt; cuốn sách, tạp chí&gt; nghệ thuật, vui chơi giải trí&gt; chụp trò chơi book&gt; tạp chí trò chơi")</f>
        <v>Đấu giá&gt; cuốn sách, tạp chí&gt; nghệ thuật, vui chơi giải trí&gt; chụp trò chơi book&gt; tạp chí trò chơi</v>
      </c>
      <c r="F642" t="str">
        <f t="shared" ref="F642:F705" ca="1" si="10">CONCATENATE(CHAR(34)&amp;"",A642,""&amp;CHAR(34)," : ", CHAR(34)&amp;"",D642,""&amp;CHAR(34),",")</f>
        <v>"2084047654" : "tạp chí game",</v>
      </c>
    </row>
    <row r="643" spans="1:6" ht="15.75" customHeight="1">
      <c r="A643" s="14">
        <v>2084009072</v>
      </c>
      <c r="B643" s="14" t="s">
        <v>5072</v>
      </c>
      <c r="C643" s="14" t="s">
        <v>5073</v>
      </c>
      <c r="D643" s="5" t="str">
        <f ca="1">IFERROR(__xludf.DUMMYFUNCTION("GOOGLETRANSLATE(B643,""ja"",""vi"")"),"mô phỏng")</f>
        <v>mô phỏng</v>
      </c>
      <c r="E643" s="4" t="str">
        <f ca="1">IFERROR(__xludf.DUMMYFUNCTION("GOOGLETRANSLATE(C643,""ja"",""vi"")"),"Đấu giá&gt; cuốn sách, tạp chí&gt; nghệ thuật, vui chơi giải trí&gt; chụp trò chơi book&gt; mô phỏng")</f>
        <v>Đấu giá&gt; cuốn sách, tạp chí&gt; nghệ thuật, vui chơi giải trí&gt; chụp trò chơi book&gt; mô phỏng</v>
      </c>
      <c r="F643" t="str">
        <f t="shared" ca="1" si="10"/>
        <v>"2084009072" : "mô phỏng",</v>
      </c>
    </row>
    <row r="644" spans="1:6" ht="15.75" customHeight="1">
      <c r="A644" s="14">
        <v>2084009075</v>
      </c>
      <c r="B644" s="14" t="s">
        <v>4458</v>
      </c>
      <c r="C644" s="14" t="s">
        <v>5076</v>
      </c>
      <c r="D644" s="5" t="str">
        <f ca="1">IFERROR(__xludf.DUMMYFUNCTION("GOOGLETRANSLATE(B644,""ja"",""vi"")"),"thể thao")</f>
        <v>thể thao</v>
      </c>
      <c r="E644" s="4" t="str">
        <f ca="1">IFERROR(__xludf.DUMMYFUNCTION("GOOGLETRANSLATE(C644,""ja"",""vi"")"),"Đấu giá&gt; cuốn sách, tạp chí&gt; nghệ thuật, vui chơi giải trí&gt; trò chơi chụp cuốn sách&gt; Thể Thao")</f>
        <v>Đấu giá&gt; cuốn sách, tạp chí&gt; nghệ thuật, vui chơi giải trí&gt; trò chơi chụp cuốn sách&gt; Thể Thao</v>
      </c>
      <c r="F644" t="str">
        <f t="shared" ca="1" si="10"/>
        <v>"2084009075" : "thể thao",</v>
      </c>
    </row>
    <row r="645" spans="1:6" ht="15.75" customHeight="1">
      <c r="A645" s="14">
        <v>2084009073</v>
      </c>
      <c r="B645" s="14" t="s">
        <v>5079</v>
      </c>
      <c r="C645" s="14" t="s">
        <v>5080</v>
      </c>
      <c r="D645" s="5" t="str">
        <f ca="1">IFERROR(__xludf.DUMMYFUNCTION("GOOGLETRANSLATE(B645,""ja"",""vi"")"),"Puzzle, mê cung")</f>
        <v>Puzzle, mê cung</v>
      </c>
      <c r="E645" s="4" t="str">
        <f ca="1">IFERROR(__xludf.DUMMYFUNCTION("GOOGLETRANSLATE(C645,""ja"",""vi"")"),"Đấu giá&gt; cuốn sách, tạp chí&gt; nghệ thuật, vui chơi giải trí&gt; chụp trò chơi book&gt; câu đố, mê cung")</f>
        <v>Đấu giá&gt; cuốn sách, tạp chí&gt; nghệ thuật, vui chơi giải trí&gt; chụp trò chơi book&gt; câu đố, mê cung</v>
      </c>
      <c r="F645" t="str">
        <f t="shared" ca="1" si="10"/>
        <v>"2084009073" : "Puzzle, mê cung",</v>
      </c>
    </row>
    <row r="646" spans="1:6" ht="15.75" customHeight="1">
      <c r="A646" s="14">
        <v>2084047652</v>
      </c>
      <c r="B646" s="14" t="s">
        <v>5082</v>
      </c>
      <c r="C646" s="14" t="s">
        <v>5084</v>
      </c>
      <c r="D646" s="5" t="str">
        <f ca="1">IFERROR(__xludf.DUMMYFUNCTION("GOOGLETRANSLATE(B646,""ja"",""vi"")"),"cuộc đua")</f>
        <v>cuộc đua</v>
      </c>
      <c r="E646" s="4" t="str">
        <f ca="1">IFERROR(__xludf.DUMMYFUNCTION("GOOGLETRANSLATE(C646,""ja"",""vi"")"),"Đấu giá&gt; cuốn sách, tạp chí&gt; nghệ thuật, vui chơi giải trí&gt; chụp trò chơi book&gt; đua")</f>
        <v>Đấu giá&gt; cuốn sách, tạp chí&gt; nghệ thuật, vui chơi giải trí&gt; chụp trò chơi book&gt; đua</v>
      </c>
      <c r="F646" t="str">
        <f t="shared" ca="1" si="10"/>
        <v>"2084047652" : "cuộc đua",</v>
      </c>
    </row>
    <row r="647" spans="1:6" ht="15.75" customHeight="1">
      <c r="A647" s="14">
        <v>2084009074</v>
      </c>
      <c r="B647" s="14" t="s">
        <v>5087</v>
      </c>
      <c r="C647" s="14" t="s">
        <v>5088</v>
      </c>
      <c r="D647" s="5" t="str">
        <f ca="1">IFERROR(__xludf.DUMMYFUNCTION("GOOGLETRANSLATE(B647,""ja"",""vi"")"),"Nhập vai")</f>
        <v>Nhập vai</v>
      </c>
      <c r="E647" s="4" t="str">
        <f ca="1">IFERROR(__xludf.DUMMYFUNCTION("GOOGLETRANSLATE(C647,""ja"",""vi"")"),"Đấu giá&gt; cuốn sách, tạp chí&gt; nghệ thuật, vui chơi giải trí&gt; cuốn sách chụp trò chơi&gt; nhập vai")</f>
        <v>Đấu giá&gt; cuốn sách, tạp chí&gt; nghệ thuật, vui chơi giải trí&gt; cuốn sách chụp trò chơi&gt; nhập vai</v>
      </c>
      <c r="F647" t="str">
        <f t="shared" ca="1" si="10"/>
        <v>"2084009074" : "Nhập vai",</v>
      </c>
    </row>
    <row r="648" spans="1:6" ht="15.75" customHeight="1">
      <c r="A648" s="14">
        <v>2084047651</v>
      </c>
      <c r="B648" s="14" t="s">
        <v>46</v>
      </c>
      <c r="C648" s="14" t="s">
        <v>5090</v>
      </c>
      <c r="D648" s="5" t="str">
        <f ca="1">IFERROR(__xludf.DUMMYFUNCTION("GOOGLETRANSLATE(B648,""ja"",""vi"")"),"nếu không thì")</f>
        <v>nếu không thì</v>
      </c>
      <c r="E648" s="4" t="str">
        <f ca="1">IFERROR(__xludf.DUMMYFUNCTION("GOOGLETRANSLATE(C648,""ja"",""vi"")"),"Đấu giá&gt; cuốn sách, tạp chí&gt; nghệ thuật, vui chơi giải trí&gt; chụp trò chơi book&gt; Khác")</f>
        <v>Đấu giá&gt; cuốn sách, tạp chí&gt; nghệ thuật, vui chơi giải trí&gt; chụp trò chơi book&gt; Khác</v>
      </c>
      <c r="F648" t="str">
        <f t="shared" ca="1" si="10"/>
        <v>"2084047651" : "nếu không thì",</v>
      </c>
    </row>
    <row r="649" spans="1:6" ht="15.75" customHeight="1">
      <c r="A649" s="14">
        <v>2084047655</v>
      </c>
      <c r="B649" s="14" t="s">
        <v>4463</v>
      </c>
      <c r="C649" s="14" t="s">
        <v>5091</v>
      </c>
      <c r="D649" s="5" t="str">
        <f ca="1">IFERROR(__xludf.DUMMYFUNCTION("GOOGLETRANSLATE(B649,""ja"",""vi"")"),"Mã số trò chơi")</f>
        <v>Mã số trò chơi</v>
      </c>
      <c r="E649" s="4" t="str">
        <f ca="1">IFERROR(__xludf.DUMMYFUNCTION("GOOGLETRANSLATE(C649,""ja"",""vi"")"),"Đấu giá&gt; cuốn sách, tạp chí&gt; Tạp chí&gt; nghệ thuật, vui chơi giải trí&gt; Trò chơi&gt; Video Games")</f>
        <v>Đấu giá&gt; cuốn sách, tạp chí&gt; Tạp chí&gt; nghệ thuật, vui chơi giải trí&gt; Trò chơi&gt; Video Games</v>
      </c>
      <c r="F649" t="str">
        <f t="shared" ca="1" si="10"/>
        <v>"2084047655" : "Mã số trò chơi",</v>
      </c>
    </row>
    <row r="650" spans="1:6" ht="15.75" customHeight="1">
      <c r="A650" s="14">
        <v>2084008025</v>
      </c>
      <c r="B650" s="14" t="s">
        <v>3728</v>
      </c>
      <c r="C650" s="14" t="s">
        <v>5093</v>
      </c>
      <c r="D650" s="5" t="str">
        <f ca="1">IFERROR(__xludf.DUMMYFUNCTION("GOOGLETRANSLATE(B650,""ja"",""vi"")"),"PC Games")</f>
        <v>PC Games</v>
      </c>
      <c r="E650" s="4" t="str">
        <f ca="1">IFERROR(__xludf.DUMMYFUNCTION("GOOGLETRANSLATE(C650,""ja"",""vi"")"),"Đấu giá&gt; cuốn sách, tạp chí&gt; Tạp chí&gt; nghệ thuật, vui chơi giải trí&gt; Trò chơi&gt; PC Games")</f>
        <v>Đấu giá&gt; cuốn sách, tạp chí&gt; Tạp chí&gt; nghệ thuật, vui chơi giải trí&gt; Trò chơi&gt; PC Games</v>
      </c>
      <c r="F650" t="str">
        <f t="shared" ca="1" si="10"/>
        <v>"2084008025" : "PC Games",</v>
      </c>
    </row>
    <row r="651" spans="1:6" ht="15.75" customHeight="1">
      <c r="A651" s="14">
        <v>2084039792</v>
      </c>
      <c r="B651" s="14" t="s">
        <v>3748</v>
      </c>
      <c r="C651" s="14" t="s">
        <v>5096</v>
      </c>
      <c r="D651" s="5" t="str">
        <f ca="1">IFERROR(__xludf.DUMMYFUNCTION("GOOGLETRANSLATE(B651,""ja"",""vi"")"),"cửa sổ")</f>
        <v>cửa sổ</v>
      </c>
      <c r="E651" s="4" t="str">
        <f ca="1">IFERROR(__xludf.DUMMYFUNCTION("GOOGLETRANSLATE(C651,""ja"",""vi"")"),"Đấu giá&gt; máy tính&gt; máy tính cá nhân&gt; Windows")</f>
        <v>Đấu giá&gt; máy tính&gt; máy tính cá nhân&gt; Windows</v>
      </c>
      <c r="F651" t="str">
        <f t="shared" ca="1" si="10"/>
        <v>"2084039792" : "cửa sổ",</v>
      </c>
    </row>
    <row r="652" spans="1:6" ht="15.75" customHeight="1">
      <c r="A652" s="14">
        <v>2084039798</v>
      </c>
      <c r="B652" s="14" t="s">
        <v>5099</v>
      </c>
      <c r="C652" s="14" t="s">
        <v>5101</v>
      </c>
      <c r="D652" s="5" t="str">
        <f ca="1">IFERROR(__xludf.DUMMYFUNCTION("GOOGLETRANSLATE(B652,""ja"",""vi"")"),"Mac")</f>
        <v>Mac</v>
      </c>
      <c r="E652" s="4" t="str">
        <f ca="1">IFERROR(__xludf.DUMMYFUNCTION("GOOGLETRANSLATE(C652,""ja"",""vi"")"),"Đấu giá&gt; máy tính&gt; máy tính cá nhân&gt; Mac")</f>
        <v>Đấu giá&gt; máy tính&gt; máy tính cá nhân&gt; Mac</v>
      </c>
      <c r="F652" t="str">
        <f t="shared" ca="1" si="10"/>
        <v>"2084039798" : "Mac",</v>
      </c>
    </row>
    <row r="653" spans="1:6" ht="15.75" customHeight="1">
      <c r="A653" s="14">
        <v>2084039763</v>
      </c>
      <c r="B653" s="14" t="s">
        <v>5105</v>
      </c>
      <c r="C653" s="14" t="s">
        <v>5106</v>
      </c>
      <c r="D653" s="5" t="str">
        <f ca="1">IFERROR(__xludf.DUMMYFUNCTION("GOOGLETRANSLATE(B653,""ja"",""vi"")"),"PC-98")</f>
        <v>PC-98</v>
      </c>
      <c r="E653" s="4" t="str">
        <f ca="1">IFERROR(__xludf.DUMMYFUNCTION("GOOGLETRANSLATE(C653,""ja"",""vi"")"),"Đấu giá&gt; máy tính&gt; máy tính cá nhân&gt; PC-98")</f>
        <v>Đấu giá&gt; máy tính&gt; máy tính cá nhân&gt; PC-98</v>
      </c>
      <c r="F653" t="str">
        <f t="shared" ca="1" si="10"/>
        <v>"2084039763" : "PC-98",</v>
      </c>
    </row>
    <row r="654" spans="1:6" ht="15.75" customHeight="1">
      <c r="A654" s="14">
        <v>2084039765</v>
      </c>
      <c r="B654" s="14" t="s">
        <v>5110</v>
      </c>
      <c r="C654" s="14" t="s">
        <v>5111</v>
      </c>
      <c r="D654" s="5" t="str">
        <f ca="1">IFERROR(__xludf.DUMMYFUNCTION("GOOGLETRANSLATE(B654,""ja"",""vi"")"),"FM TOWNS")</f>
        <v>FM TOWNS</v>
      </c>
      <c r="E654" s="4" t="str">
        <f ca="1">IFERROR(__xludf.DUMMYFUNCTION("GOOGLETRANSLATE(C654,""ja"",""vi"")"),"Đấu giá&gt; máy tính&gt; máy tính cá nhân&gt; TOWNS FM")</f>
        <v>Đấu giá&gt; máy tính&gt; máy tính cá nhân&gt; TOWNS FM</v>
      </c>
      <c r="F654" t="str">
        <f t="shared" ca="1" si="10"/>
        <v>"2084039765" : "FM TOWNS",</v>
      </c>
    </row>
    <row r="655" spans="1:6" ht="15.75" customHeight="1">
      <c r="A655" s="14">
        <v>2084039773</v>
      </c>
      <c r="B655" s="14" t="s">
        <v>5117</v>
      </c>
      <c r="C655" s="14" t="s">
        <v>5119</v>
      </c>
      <c r="D655" s="5" t="str">
        <f ca="1">IFERROR(__xludf.DUMMYFUNCTION("GOOGLETRANSLATE(B655,""ja"",""vi"")"),"X68000")</f>
        <v>X68000</v>
      </c>
      <c r="E655" s="4" t="str">
        <f ca="1">IFERROR(__xludf.DUMMYFUNCTION("GOOGLETRANSLATE(C655,""ja"",""vi"")"),"Đấu giá&gt; máy tính&gt; máy tính cá nhân&gt; X68000")</f>
        <v>Đấu giá&gt; máy tính&gt; máy tính cá nhân&gt; X68000</v>
      </c>
      <c r="F655" t="str">
        <f t="shared" ca="1" si="10"/>
        <v>"2084039773" : "X68000",</v>
      </c>
    </row>
    <row r="656" spans="1:6" ht="15.75" customHeight="1">
      <c r="A656" s="14">
        <v>2084039771</v>
      </c>
      <c r="B656" s="14" t="s">
        <v>5123</v>
      </c>
      <c r="C656" s="14" t="s">
        <v>5125</v>
      </c>
      <c r="D656" s="5" t="str">
        <f ca="1">IFERROR(__xludf.DUMMYFUNCTION("GOOGLETRANSLATE(B656,""ja"",""vi"")"),"MSX")</f>
        <v>MSX</v>
      </c>
      <c r="E656" s="4" t="str">
        <f ca="1">IFERROR(__xludf.DUMMYFUNCTION("GOOGLETRANSLATE(C656,""ja"",""vi"")"),"Đấu giá&gt; máy tính&gt; máy tính cá nhân&gt; MSX")</f>
        <v>Đấu giá&gt; máy tính&gt; máy tính cá nhân&gt; MSX</v>
      </c>
      <c r="F656" t="str">
        <f t="shared" ca="1" si="10"/>
        <v>"2084039771" : "MSX",</v>
      </c>
    </row>
    <row r="657" spans="1:6" ht="15.75" customHeight="1">
      <c r="A657" s="14">
        <v>2084039776</v>
      </c>
      <c r="B657" s="14" t="s">
        <v>46</v>
      </c>
      <c r="C657" s="14" t="s">
        <v>5127</v>
      </c>
      <c r="D657" s="5" t="str">
        <f ca="1">IFERROR(__xludf.DUMMYFUNCTION("GOOGLETRANSLATE(B657,""ja"",""vi"")"),"nếu không thì")</f>
        <v>nếu không thì</v>
      </c>
      <c r="E657" s="4" t="str">
        <f ca="1">IFERROR(__xludf.DUMMYFUNCTION("GOOGLETRANSLATE(C657,""ja"",""vi"")"),"Đấu giá&gt; máy tính&gt; máy tính cá nhân&gt; Khác")</f>
        <v>Đấu giá&gt; máy tính&gt; máy tính cá nhân&gt; Khác</v>
      </c>
      <c r="F657" t="str">
        <f t="shared" ca="1" si="10"/>
        <v>"2084039776" : "nếu không thì",</v>
      </c>
    </row>
    <row r="658" spans="1:6" ht="15.75" customHeight="1">
      <c r="A658" s="14">
        <v>2084257082</v>
      </c>
      <c r="B658" s="14" t="s">
        <v>3740</v>
      </c>
      <c r="C658" s="14" t="s">
        <v>3742</v>
      </c>
      <c r="D658" s="5" t="str">
        <f ca="1">IFERROR(__xludf.DUMMYFUNCTION("GOOGLETRANSLATE(B658,""ja"",""vi"")"),"táo")</f>
        <v>táo</v>
      </c>
      <c r="E658" s="4" t="str">
        <f ca="1">IFERROR(__xludf.DUMMYFUNCTION("GOOGLETRANSLATE(C658,""ja"",""vi"")"),"Đấu giá&gt; máy tính&gt; máy tính bảng&gt; của Apple")</f>
        <v>Đấu giá&gt; máy tính&gt; máy tính bảng&gt; của Apple</v>
      </c>
      <c r="F658" t="str">
        <f t="shared" ca="1" si="10"/>
        <v>"2084257082" : "táo",</v>
      </c>
    </row>
    <row r="659" spans="1:6" ht="15.75" customHeight="1">
      <c r="A659" s="14">
        <v>2084292087</v>
      </c>
      <c r="B659" s="14" t="s">
        <v>3744</v>
      </c>
      <c r="C659" s="14" t="s">
        <v>3745</v>
      </c>
      <c r="D659" s="5" t="str">
        <f ca="1">IFERROR(__xludf.DUMMYFUNCTION("GOOGLETRANSLATE(B659,""ja"",""vi"")"),"Android")</f>
        <v>Android</v>
      </c>
      <c r="E659" s="4" t="str">
        <f ca="1">IFERROR(__xludf.DUMMYFUNCTION("GOOGLETRANSLATE(C659,""ja"",""vi"")"),"Đấu giá&gt; máy tính&gt; máy tính bảng&gt; Android")</f>
        <v>Đấu giá&gt; máy tính&gt; máy tính bảng&gt; Android</v>
      </c>
      <c r="F659" t="str">
        <f t="shared" ca="1" si="10"/>
        <v>"2084292087" : "Android",</v>
      </c>
    </row>
    <row r="660" spans="1:6" ht="15.75" customHeight="1">
      <c r="A660" s="14">
        <v>2084239342</v>
      </c>
      <c r="B660" s="14" t="s">
        <v>3748</v>
      </c>
      <c r="C660" s="14" t="s">
        <v>3749</v>
      </c>
      <c r="D660" s="5" t="str">
        <f ca="1">IFERROR(__xludf.DUMMYFUNCTION("GOOGLETRANSLATE(B660,""ja"",""vi"")"),"cửa sổ")</f>
        <v>cửa sổ</v>
      </c>
      <c r="E660" s="4" t="str">
        <f ca="1">IFERROR(__xludf.DUMMYFUNCTION("GOOGLETRANSLATE(C660,""ja"",""vi"")"),"Đấu giá&gt; máy tính&gt; máy tính bảng&gt; của Windows")</f>
        <v>Đấu giá&gt; máy tính&gt; máy tính bảng&gt; của Windows</v>
      </c>
      <c r="F660" t="str">
        <f t="shared" ca="1" si="10"/>
        <v>"2084239342" : "cửa sổ",</v>
      </c>
    </row>
    <row r="661" spans="1:6" ht="15.75" customHeight="1">
      <c r="A661" s="14">
        <v>2084288672</v>
      </c>
      <c r="B661" s="14" t="s">
        <v>3753</v>
      </c>
      <c r="C661" s="14" t="s">
        <v>3754</v>
      </c>
      <c r="D661" s="5" t="str">
        <f ca="1">IFERROR(__xludf.DUMMYFUNCTION("GOOGLETRANSLATE(B661,""ja"",""vi"")"),"E-book reader")</f>
        <v>E-book reader</v>
      </c>
      <c r="E661" s="4" t="str">
        <f ca="1">IFERROR(__xludf.DUMMYFUNCTION("GOOGLETRANSLATE(C661,""ja"",""vi"")"),"Đấu giá&gt; máy tính&gt; máy tính bảng&gt; e-book reader")</f>
        <v>Đấu giá&gt; máy tính&gt; máy tính bảng&gt; e-book reader</v>
      </c>
      <c r="F661" t="str">
        <f t="shared" ca="1" si="10"/>
        <v>"2084288672" : "E-book reader",</v>
      </c>
    </row>
    <row r="662" spans="1:6" ht="15.75" customHeight="1">
      <c r="A662" s="14">
        <v>2084008397</v>
      </c>
      <c r="B662" s="14" t="s">
        <v>1973</v>
      </c>
      <c r="C662" s="14" t="s">
        <v>3594</v>
      </c>
      <c r="D662" s="5" t="str">
        <f ca="1">IFERROR(__xludf.DUMMYFUNCTION("GOOGLETRANSLATE(B662,""ja"",""vi"")"),"NTT DoCoMo")</f>
        <v>NTT DoCoMo</v>
      </c>
      <c r="E662" s="4" t="str">
        <f ca="1">IFERROR(__xludf.DUMMYFUNCTION("GOOGLETRANSLATE(C662,""ja"",""vi"")"),"Đấu giá&gt; thiết bị điện tử tiêu dùng, AV, camera&gt; điện thoại di động, điện thoại thông minh&gt; cơ thể điện thoại di động&gt; NTT DoCoMo")</f>
        <v>Đấu giá&gt; thiết bị điện tử tiêu dùng, AV, camera&gt; điện thoại di động, điện thoại thông minh&gt; cơ thể điện thoại di động&gt; NTT DoCoMo</v>
      </c>
      <c r="F662" t="str">
        <f t="shared" ca="1" si="10"/>
        <v>"2084008397" : "NTT DoCoMo",</v>
      </c>
    </row>
    <row r="663" spans="1:6" ht="15.75" customHeight="1">
      <c r="A663" s="14">
        <v>2084008398</v>
      </c>
      <c r="B663" s="14" t="s">
        <v>1981</v>
      </c>
      <c r="C663" s="14" t="s">
        <v>3599</v>
      </c>
      <c r="D663" s="5" t="str">
        <f ca="1">IFERROR(__xludf.DUMMYFUNCTION("GOOGLETRANSLATE(B663,""ja"",""vi"")"),"au")</f>
        <v>au</v>
      </c>
      <c r="E663" s="4" t="str">
        <f ca="1">IFERROR(__xludf.DUMMYFUNCTION("GOOGLETRANSLATE(C663,""ja"",""vi"")"),"Đấu giá&gt; thiết bị điện tử tiêu dùng, AV, camera&gt; điện thoại di động, điện thoại thông minh&gt; cơ thể điện thoại di động&gt; au")</f>
        <v>Đấu giá&gt; thiết bị điện tử tiêu dùng, AV, camera&gt; điện thoại di động, điện thoại thông minh&gt; cơ thể điện thoại di động&gt; au</v>
      </c>
      <c r="F663" t="str">
        <f t="shared" ca="1" si="10"/>
        <v>"2084008398" : "au",</v>
      </c>
    </row>
    <row r="664" spans="1:6" ht="15.75" customHeight="1">
      <c r="A664" s="14">
        <v>2084008399</v>
      </c>
      <c r="B664" s="14" t="s">
        <v>1988</v>
      </c>
      <c r="C664" s="14" t="s">
        <v>3604</v>
      </c>
      <c r="D664" s="5" t="str">
        <f ca="1">IFERROR(__xludf.DUMMYFUNCTION("GOOGLETRANSLATE(B664,""ja"",""vi"")"),"Softbank")</f>
        <v>Softbank</v>
      </c>
      <c r="E664" s="4" t="str">
        <f ca="1">IFERROR(__xludf.DUMMYFUNCTION("GOOGLETRANSLATE(C664,""ja"",""vi"")"),"Đấu giá&gt; thiết bị điện tử tiêu dùng, AV, camera&gt; điện thoại di động, điện thoại thông minh&gt; cơ thể điện thoại di động&gt; Softbank")</f>
        <v>Đấu giá&gt; thiết bị điện tử tiêu dùng, AV, camera&gt; điện thoại di động, điện thoại thông minh&gt; cơ thể điện thoại di động&gt; Softbank</v>
      </c>
      <c r="F664" t="str">
        <f t="shared" ca="1" si="10"/>
        <v>"2084008399" : "Softbank",</v>
      </c>
    </row>
    <row r="665" spans="1:6" ht="15.75" customHeight="1">
      <c r="A665" s="14">
        <v>2084235873</v>
      </c>
      <c r="B665" s="14" t="s">
        <v>1994</v>
      </c>
      <c r="C665" s="14" t="s">
        <v>3608</v>
      </c>
      <c r="D665" s="5" t="str">
        <f ca="1">IFERROR(__xludf.DUMMYFUNCTION("GOOGLETRANSLATE(B665,""ja"",""vi"")"),"Ymobile")</f>
        <v>Ymobile</v>
      </c>
      <c r="E665" s="4" t="str">
        <f ca="1">IFERROR(__xludf.DUMMYFUNCTION("GOOGLETRANSLATE(C665,""ja"",""vi"")"),"Đấu giá&gt; thiết bị điện tử tiêu dùng, AV, camera&gt; điện thoại di động, điện thoại thông minh&gt; cơ thể điện thoại di động&gt; Ymobile")</f>
        <v>Đấu giá&gt; thiết bị điện tử tiêu dùng, AV, camera&gt; điện thoại di động, điện thoại thông minh&gt; cơ thể điện thoại di động&gt; Ymobile</v>
      </c>
      <c r="F665" t="str">
        <f t="shared" ca="1" si="10"/>
        <v>"2084235873" : "Ymobile",</v>
      </c>
    </row>
    <row r="666" spans="1:6" ht="15.75" customHeight="1">
      <c r="A666" s="14">
        <v>2084221688</v>
      </c>
      <c r="B666" s="14" t="s">
        <v>3613</v>
      </c>
      <c r="C666" s="14" t="s">
        <v>3614</v>
      </c>
      <c r="D666" s="5" t="str">
        <f ca="1">IFERROR(__xludf.DUMMYFUNCTION("GOOGLETRANSLATE(B666,""ja"",""vi"")"),"WILLCOM")</f>
        <v>WILLCOM</v>
      </c>
      <c r="E666" s="4" t="str">
        <f ca="1">IFERROR(__xludf.DUMMYFUNCTION("GOOGLETRANSLATE(C666,""ja"",""vi"")"),"Đấu giá&gt; thiết bị điện tử tiêu dùng, AV, camera&gt; điện thoại di động, điện thoại thông minh&gt; mobile phone body&gt; WILLCOM")</f>
        <v>Đấu giá&gt; thiết bị điện tử tiêu dùng, AV, camera&gt; điện thoại di động, điện thoại thông minh&gt; mobile phone body&gt; WILLCOM</v>
      </c>
      <c r="F666" t="str">
        <f t="shared" ca="1" si="10"/>
        <v>"2084221688" : "WILLCOM",</v>
      </c>
    </row>
    <row r="667" spans="1:6" ht="15.75" customHeight="1">
      <c r="A667" s="14">
        <v>2084239153</v>
      </c>
      <c r="B667" s="14" t="s">
        <v>3620</v>
      </c>
      <c r="C667" s="14" t="s">
        <v>3621</v>
      </c>
      <c r="D667" s="5" t="str">
        <f ca="1">IFERROR(__xludf.DUMMYFUNCTION("GOOGLETRANSLATE(B667,""ja"",""vi"")"),"di động ở nước ngoài")</f>
        <v>di động ở nước ngoài</v>
      </c>
      <c r="E667" s="4" t="str">
        <f ca="1">IFERROR(__xludf.DUMMYFUNCTION("GOOGLETRANSLATE(C667,""ja"",""vi"")"),"Đấu giá&gt; thiết bị điện tử tiêu dùng, AV, camera&gt; điện thoại di động, điện thoại thông minh&gt; cơ thể điện thoại di động&gt; Thiết bị ra nước ngoài")</f>
        <v>Đấu giá&gt; thiết bị điện tử tiêu dùng, AV, camera&gt; điện thoại di động, điện thoại thông minh&gt; cơ thể điện thoại di động&gt; Thiết bị ra nước ngoài</v>
      </c>
      <c r="F667" t="str">
        <f t="shared" ca="1" si="10"/>
        <v>"2084239153" : "di động ở nước ngoài",</v>
      </c>
    </row>
    <row r="668" spans="1:6" ht="15.75" customHeight="1">
      <c r="A668" s="14">
        <v>2084298965</v>
      </c>
      <c r="B668" s="14" t="s">
        <v>3627</v>
      </c>
      <c r="C668" s="14" t="s">
        <v>3629</v>
      </c>
      <c r="D668" s="5" t="str">
        <f ca="1">IFERROR(__xludf.DUMMYFUNCTION("GOOGLETRANSLATE(B668,""ja"",""vi"")"),"Điện thoại thông minh cơ thể")</f>
        <v>Điện thoại thông minh cơ thể</v>
      </c>
      <c r="E668" s="4" t="str">
        <f ca="1">IFERROR(__xludf.DUMMYFUNCTION("GOOGLETRANSLATE(C668,""ja"",""vi"")"),"Đấu giá&gt; thiết bị điện tử tiêu dùng, AV, camera&gt; điện thoại di động, điện thoại thông minh&gt; cơ thể điện thoại di động&gt; Điện thoại thông minh cơ thể")</f>
        <v>Đấu giá&gt; thiết bị điện tử tiêu dùng, AV, camera&gt; điện thoại di động, điện thoại thông minh&gt; cơ thể điện thoại di động&gt; Điện thoại thông minh cơ thể</v>
      </c>
      <c r="F668" t="str">
        <f t="shared" ca="1" si="10"/>
        <v>"2084298965" : "Điện thoại thông minh cơ thể",</v>
      </c>
    </row>
    <row r="669" spans="1:6" ht="15.75" customHeight="1">
      <c r="A669" s="14">
        <v>2084261634</v>
      </c>
      <c r="B669" s="14" t="s">
        <v>3187</v>
      </c>
      <c r="C669" s="14" t="s">
        <v>3188</v>
      </c>
      <c r="D669" s="5" t="str">
        <f ca="1">IFERROR(__xludf.DUMMYFUNCTION("GOOGLETRANSLATE(B669,""ja"",""vi"")"),"Digital SLR")</f>
        <v>Digital SLR</v>
      </c>
      <c r="E669" s="4" t="str">
        <f ca="1">IFERROR(__xludf.DUMMYFUNCTION("GOOGLETRANSLATE(C669,""ja"",""vi"")"),"Đấu giá&gt; thiết bị điện tử tiêu dùng, AV, máy ảnh&gt; máy ảnh, thiết bị quang học&gt; máy ảnh kỹ thuật số&gt; digital single-lens")</f>
        <v>Đấu giá&gt; thiết bị điện tử tiêu dùng, AV, máy ảnh&gt; máy ảnh, thiết bị quang học&gt; máy ảnh kỹ thuật số&gt; digital single-lens</v>
      </c>
      <c r="F669" t="str">
        <f t="shared" ca="1" si="10"/>
        <v>"2084261634" : "Digital SLR",</v>
      </c>
    </row>
    <row r="670" spans="1:6" ht="15.75" customHeight="1">
      <c r="A670" s="14">
        <v>2084305443</v>
      </c>
      <c r="B670" s="14" t="s">
        <v>2017</v>
      </c>
      <c r="C670" s="14" t="s">
        <v>3190</v>
      </c>
      <c r="D670" s="5" t="str">
        <f ca="1">IFERROR(__xludf.DUMMYFUNCTION("GOOGLETRANSLATE(B670,""ja"",""vi"")"),"không gương lật ống kính đơn")</f>
        <v>không gương lật ống kính đơn</v>
      </c>
      <c r="E670" s="4" t="str">
        <f ca="1">IFERROR(__xludf.DUMMYFUNCTION("GOOGLETRANSLATE(C670,""ja"",""vi"")"),"Đấu giá&gt; thiết bị điện tử tiêu dùng, AV, máy ảnh&gt; máy ảnh, thiết bị quang học&gt; máy ảnh kỹ thuật số&gt; single-lens không gương lật")</f>
        <v>Đấu giá&gt; thiết bị điện tử tiêu dùng, AV, máy ảnh&gt; máy ảnh, thiết bị quang học&gt; máy ảnh kỹ thuật số&gt; single-lens không gương lật</v>
      </c>
      <c r="F670" t="str">
        <f t="shared" ca="1" si="10"/>
        <v>"2084305443" : "không gương lật ống kính đơn",</v>
      </c>
    </row>
    <row r="671" spans="1:6" ht="15.75" customHeight="1">
      <c r="A671" s="14">
        <v>2084261642</v>
      </c>
      <c r="B671" s="14" t="s">
        <v>3194</v>
      </c>
      <c r="C671" s="14" t="s">
        <v>3196</v>
      </c>
      <c r="D671" s="5" t="str">
        <f ca="1">IFERROR(__xludf.DUMMYFUNCTION("GOOGLETRANSLATE(B671,""ja"",""vi"")"),"máy ảnh kỹ thuật số nhỏ gọn")</f>
        <v>máy ảnh kỹ thuật số nhỏ gọn</v>
      </c>
      <c r="E671" s="4" t="str">
        <f ca="1">IFERROR(__xludf.DUMMYFUNCTION("GOOGLETRANSLATE(C671,""ja"",""vi"")"),"Đấu giá&gt; thiết bị điện tử tiêu dùng, AV, máy ảnh&gt; máy ảnh, thiết bị quang học&gt; máy ảnh kỹ thuật số&gt; Máy ảnh kỹ thuật số nhỏ gọn")</f>
        <v>Đấu giá&gt; thiết bị điện tử tiêu dùng, AV, máy ảnh&gt; máy ảnh, thiết bị quang học&gt; máy ảnh kỹ thuật số&gt; Máy ảnh kỹ thuật số nhỏ gọn</v>
      </c>
      <c r="F671" t="str">
        <f t="shared" ca="1" si="10"/>
        <v>"2084261642" : "máy ảnh kỹ thuật số nhỏ gọn",</v>
      </c>
    </row>
    <row r="672" spans="1:6" ht="15.75" customHeight="1">
      <c r="A672" s="14">
        <v>2084261659</v>
      </c>
      <c r="B672" s="14" t="s">
        <v>1797</v>
      </c>
      <c r="C672" s="14" t="s">
        <v>3198</v>
      </c>
      <c r="D672" s="5" t="str">
        <f ca="1">IFERROR(__xludf.DUMMYFUNCTION("GOOGLETRANSLATE(B672,""ja"",""vi"")"),"Pin, sạc")</f>
        <v>Pin, sạc</v>
      </c>
      <c r="E672" s="4" t="str">
        <f ca="1">IFERROR(__xludf.DUMMYFUNCTION("GOOGLETRANSLATE(C672,""ja"",""vi"")"),"Đấu giá&gt; thiết bị điện tử tiêu dùng, AV, máy ảnh&gt; máy ảnh, thiết bị quang học&gt; máy ảnh kỹ thuật số&gt; pin, sạc")</f>
        <v>Đấu giá&gt; thiết bị điện tử tiêu dùng, AV, máy ảnh&gt; máy ảnh, thiết bị quang học&gt; máy ảnh kỹ thuật số&gt; pin, sạc</v>
      </c>
      <c r="F672" t="str">
        <f t="shared" ca="1" si="10"/>
        <v>"2084261659" : "Pin, sạc",</v>
      </c>
    </row>
    <row r="673" spans="1:6" ht="15.75" customHeight="1">
      <c r="A673" s="14">
        <v>2084261658</v>
      </c>
      <c r="B673" s="14" t="s">
        <v>3203</v>
      </c>
      <c r="C673" s="14" t="s">
        <v>3205</v>
      </c>
      <c r="D673" s="5" t="str">
        <f ca="1">IFERROR(__xludf.DUMMYFUNCTION("GOOGLETRANSLATE(B673,""ja"",""vi"")"),"PC Connection Kit")</f>
        <v>PC Connection Kit</v>
      </c>
      <c r="E673" s="4" t="str">
        <f ca="1">IFERROR(__xludf.DUMMYFUNCTION("GOOGLETRANSLATE(C673,""ja"",""vi"")"),"Đấu giá&gt; thiết bị điện tử tiêu dùng, AV, máy ảnh&gt; máy ảnh, thiết bị quang học&gt; máy ảnh kỹ thuật số&gt; kit kết nối PC")</f>
        <v>Đấu giá&gt; thiết bị điện tử tiêu dùng, AV, máy ảnh&gt; máy ảnh, thiết bị quang học&gt; máy ảnh kỹ thuật số&gt; kit kết nối PC</v>
      </c>
      <c r="F673" t="str">
        <f t="shared" ca="1" si="10"/>
        <v>"2084261658" : "PC Connection Kit",</v>
      </c>
    </row>
    <row r="674" spans="1:6" ht="15.75" customHeight="1">
      <c r="A674" s="14">
        <v>2084052265</v>
      </c>
      <c r="B674" s="14" t="s">
        <v>2412</v>
      </c>
      <c r="C674" s="14" t="s">
        <v>3212</v>
      </c>
      <c r="D674" s="5" t="str">
        <f ca="1">IFERROR(__xludf.DUMMYFUNCTION("GOOGLETRANSLATE(B674,""ja"",""vi"")"),"hướng dẫn")</f>
        <v>hướng dẫn</v>
      </c>
      <c r="E674" s="4" t="str">
        <f ca="1">IFERROR(__xludf.DUMMYFUNCTION("GOOGLETRANSLATE(C674,""ja"",""vi"")"),"Đấu giá&gt; thiết bị điện tử tiêu dùng, AV, máy ảnh&gt; máy ảnh, thiết bị quang học&gt; máy ảnh kỹ thuật số&gt; Manual")</f>
        <v>Đấu giá&gt; thiết bị điện tử tiêu dùng, AV, máy ảnh&gt; máy ảnh, thiết bị quang học&gt; máy ảnh kỹ thuật số&gt; Manual</v>
      </c>
      <c r="F674" t="str">
        <f t="shared" ca="1" si="10"/>
        <v>"2084052265" : "hướng dẫn",</v>
      </c>
    </row>
    <row r="675" spans="1:6" ht="15.75" customHeight="1">
      <c r="A675" s="14">
        <v>2084313032</v>
      </c>
      <c r="B675" s="14" t="s">
        <v>2406</v>
      </c>
      <c r="C675" s="14" t="s">
        <v>3214</v>
      </c>
      <c r="D675" s="5" t="str">
        <f ca="1">IFERROR(__xludf.DUMMYFUNCTION("GOOGLETRANSLATE(B675,""ja"",""vi"")"),"mục lục")</f>
        <v>mục lục</v>
      </c>
      <c r="E675" s="4" t="str">
        <f ca="1">IFERROR(__xludf.DUMMYFUNCTION("GOOGLETRANSLATE(C675,""ja"",""vi"")"),"Đấu giá&gt; thiết bị điện tử tiêu dùng, AV, máy ảnh&gt; máy ảnh, thiết bị quang học&gt; máy ảnh kỹ thuật số&gt; Danh mục hàng")</f>
        <v>Đấu giá&gt; thiết bị điện tử tiêu dùng, AV, máy ảnh&gt; máy ảnh, thiết bị quang học&gt; máy ảnh kỹ thuật số&gt; Danh mục hàng</v>
      </c>
      <c r="F675" t="str">
        <f t="shared" ca="1" si="10"/>
        <v>"2084313032" : "mục lục",</v>
      </c>
    </row>
    <row r="676" spans="1:6" ht="15.75" customHeight="1">
      <c r="A676" s="14">
        <v>2084042337</v>
      </c>
      <c r="B676" s="14" t="s">
        <v>2232</v>
      </c>
      <c r="C676" s="14" t="s">
        <v>3221</v>
      </c>
      <c r="D676" s="5" t="str">
        <f ca="1">IFERROR(__xludf.DUMMYFUNCTION("GOOGLETRANSLATE(B676,""ja"",""vi"")"),"card Reader")</f>
        <v>card Reader</v>
      </c>
      <c r="E676" s="4" t="str">
        <f ca="1">IFERROR(__xludf.DUMMYFUNCTION("GOOGLETRANSLATE(C676,""ja"",""vi"")"),"Đấu giá&gt; thiết bị điện tử tiêu dùng, AV, máy ảnh&gt; máy ảnh, thiết bị quang học&gt; máy ảnh kỹ thuật số&gt; Card Reader")</f>
        <v>Đấu giá&gt; thiết bị điện tử tiêu dùng, AV, máy ảnh&gt; máy ảnh, thiết bị quang học&gt; máy ảnh kỹ thuật số&gt; Card Reader</v>
      </c>
      <c r="F676" t="str">
        <f t="shared" ca="1" si="10"/>
        <v>"2084042337" : "card Reader",</v>
      </c>
    </row>
    <row r="677" spans="1:6" ht="15.75" customHeight="1">
      <c r="A677" s="14">
        <v>2084039469</v>
      </c>
      <c r="B677" s="14" t="s">
        <v>3225</v>
      </c>
      <c r="C677" s="14" t="s">
        <v>3226</v>
      </c>
      <c r="D677" s="5" t="str">
        <f ca="1">IFERROR(__xludf.DUMMYFUNCTION("GOOGLETRANSLATE(B677,""ja"",""vi"")"),"bộ nhớ ghi âm")</f>
        <v>bộ nhớ ghi âm</v>
      </c>
      <c r="E677" s="4" t="str">
        <f ca="1">IFERROR(__xludf.DUMMYFUNCTION("GOOGLETRANSLATE(C677,""ja"",""vi"")"),"Đấu giá&gt; thiết bị điện tử tiêu dùng, AV, máy ảnh&gt; máy ảnh, thiết bị quang học&gt; máy ảnh kỹ thuật số&gt; ghi nhớ")</f>
        <v>Đấu giá&gt; thiết bị điện tử tiêu dùng, AV, máy ảnh&gt; máy ảnh, thiết bị quang học&gt; máy ảnh kỹ thuật số&gt; ghi nhớ</v>
      </c>
      <c r="F677" t="str">
        <f t="shared" ca="1" si="10"/>
        <v>"2084039469" : "bộ nhớ ghi âm",</v>
      </c>
    </row>
    <row r="678" spans="1:6" ht="15.75" customHeight="1">
      <c r="A678" s="14">
        <v>2084231456</v>
      </c>
      <c r="B678" s="14" t="s">
        <v>2723</v>
      </c>
      <c r="C678" s="14" t="s">
        <v>3230</v>
      </c>
      <c r="D678" s="5" t="str">
        <f ca="1">IFERROR(__xludf.DUMMYFUNCTION("GOOGLETRANSLATE(B678,""ja"",""vi"")"),"Ảnh kỹ thuật số Khung")</f>
        <v>Ảnh kỹ thuật số Khung</v>
      </c>
      <c r="E678" s="4" t="str">
        <f ca="1">IFERROR(__xludf.DUMMYFUNCTION("GOOGLETRANSLATE(C678,""ja"",""vi"")"),"Đấu giá&gt; thiết bị điện tử tiêu dùng, AV, máy ảnh&gt; máy ảnh, thiết bị quang học&gt; máy ảnh kỹ thuật số&gt; khung ảnh kỹ thuật số")</f>
        <v>Đấu giá&gt; thiết bị điện tử tiêu dùng, AV, máy ảnh&gt; máy ảnh, thiết bị quang học&gt; máy ảnh kỹ thuật số&gt; khung ảnh kỹ thuật số</v>
      </c>
      <c r="F678" t="str">
        <f t="shared" ca="1" si="10"/>
        <v>"2084231456" : "Ảnh kỹ thuật số Khung",</v>
      </c>
    </row>
    <row r="679" spans="1:6" ht="15.75" customHeight="1">
      <c r="A679" s="14">
        <v>23450</v>
      </c>
      <c r="B679" s="14" t="s">
        <v>2173</v>
      </c>
      <c r="C679" s="14" t="s">
        <v>5194</v>
      </c>
      <c r="D679" s="5" t="str">
        <f ca="1">IFERROR(__xludf.DUMMYFUNCTION("GOOGLETRANSLATE(B679,""ja"",""vi"")"),"đĩa cứng")</f>
        <v>đĩa cứng</v>
      </c>
      <c r="E679" s="4" t="str">
        <f ca="1">IFERROR(__xludf.DUMMYFUNCTION("GOOGLETRANSLATE(C679,""ja"",""vi"")"),"Đấu giá&gt; máy tính&gt; thiết bị ngoại vi&gt; đĩa cứng")</f>
        <v>Đấu giá&gt; máy tính&gt; thiết bị ngoại vi&gt; đĩa cứng</v>
      </c>
      <c r="F679" t="str">
        <f t="shared" ca="1" si="10"/>
        <v>"23450" : "đĩa cứng",</v>
      </c>
    </row>
    <row r="680" spans="1:6" ht="15.75" customHeight="1">
      <c r="A680" s="14">
        <v>2084239902</v>
      </c>
      <c r="B680" s="14" t="s">
        <v>5197</v>
      </c>
      <c r="C680" s="14" t="s">
        <v>5198</v>
      </c>
      <c r="D680" s="5" t="str">
        <f ca="1">IFERROR(__xludf.DUMMYFUNCTION("GOOGLETRANSLATE(B680,""ja"",""vi"")"),"SSD")</f>
        <v>SSD</v>
      </c>
      <c r="E680" s="4" t="str">
        <f ca="1">IFERROR(__xludf.DUMMYFUNCTION("GOOGLETRANSLATE(C680,""ja"",""vi"")"),"Đấu giá&gt; máy tính&gt; thiết bị ngoại vi&gt; SSD")</f>
        <v>Đấu giá&gt; máy tính&gt; thiết bị ngoại vi&gt; SSD</v>
      </c>
      <c r="F680" t="str">
        <f t="shared" ca="1" si="10"/>
        <v>"2084239902" : "SSD",</v>
      </c>
    </row>
    <row r="681" spans="1:6" ht="15.75" customHeight="1">
      <c r="A681" s="14">
        <v>2084039469</v>
      </c>
      <c r="B681" s="14" t="s">
        <v>3225</v>
      </c>
      <c r="C681" s="14" t="s">
        <v>5202</v>
      </c>
      <c r="D681" s="5" t="str">
        <f ca="1">IFERROR(__xludf.DUMMYFUNCTION("GOOGLETRANSLATE(B681,""ja"",""vi"")"),"bộ nhớ ghi âm")</f>
        <v>bộ nhớ ghi âm</v>
      </c>
      <c r="E681" s="4" t="str">
        <f ca="1">IFERROR(__xludf.DUMMYFUNCTION("GOOGLETRANSLATE(C681,""ja"",""vi"")"),"Đấu giá&gt; máy tính&gt; thiết bị ngoại vi&gt; ghi nhớ")</f>
        <v>Đấu giá&gt; máy tính&gt; thiết bị ngoại vi&gt; ghi nhớ</v>
      </c>
      <c r="F681" t="str">
        <f t="shared" ca="1" si="10"/>
        <v>"2084039469" : "bộ nhớ ghi âm",</v>
      </c>
    </row>
    <row r="682" spans="1:6" ht="15.75" customHeight="1">
      <c r="A682" s="14">
        <v>2084247695</v>
      </c>
      <c r="B682" s="14" t="s">
        <v>5206</v>
      </c>
      <c r="C682" s="14" t="s">
        <v>5207</v>
      </c>
      <c r="D682" s="5" t="str">
        <f ca="1">IFERROR(__xludf.DUMMYFUNCTION("GOOGLETRANSLATE(B682,""ja"",""vi"")"),"Blu-ray ổ đĩa")</f>
        <v>Blu-ray ổ đĩa</v>
      </c>
      <c r="E682" s="4" t="str">
        <f ca="1">IFERROR(__xludf.DUMMYFUNCTION("GOOGLETRANSLATE(C682,""ja"",""vi"")"),"Đấu giá&gt; máy tính&gt; thiết bị ngoại vi&gt; ổ đĩa Blu-ray")</f>
        <v>Đấu giá&gt; máy tính&gt; thiết bị ngoại vi&gt; ổ đĩa Blu-ray</v>
      </c>
      <c r="F682" t="str">
        <f t="shared" ca="1" si="10"/>
        <v>"2084247695" : "Blu-ray ổ đĩa",</v>
      </c>
    </row>
    <row r="683" spans="1:6" ht="15.75" customHeight="1">
      <c r="A683" s="14">
        <v>2084284892</v>
      </c>
      <c r="B683" s="14" t="s">
        <v>5210</v>
      </c>
      <c r="C683" s="14" t="s">
        <v>5211</v>
      </c>
      <c r="D683" s="5" t="str">
        <f ca="1">IFERROR(__xludf.DUMMYFUNCTION("GOOGLETRANSLATE(B683,""ja"",""vi"")"),"ổ đĩa DVD")</f>
        <v>ổ đĩa DVD</v>
      </c>
      <c r="E683" s="4" t="str">
        <f ca="1">IFERROR(__xludf.DUMMYFUNCTION("GOOGLETRANSLATE(C683,""ja"",""vi"")"),"Đấu giá&gt; máy tính&gt; thiết bị ngoại vi&gt; ổ đĩa DVD")</f>
        <v>Đấu giá&gt; máy tính&gt; thiết bị ngoại vi&gt; ổ đĩa DVD</v>
      </c>
      <c r="F683" t="str">
        <f t="shared" ca="1" si="10"/>
        <v>"2084284892" : "ổ đĩa DVD",</v>
      </c>
    </row>
    <row r="684" spans="1:6" ht="15.75" customHeight="1">
      <c r="A684" s="14">
        <v>2084284905</v>
      </c>
      <c r="B684" s="14" t="s">
        <v>5212</v>
      </c>
      <c r="C684" s="14" t="s">
        <v>5215</v>
      </c>
      <c r="D684" s="5" t="str">
        <f ca="1">IFERROR(__xludf.DUMMYFUNCTION("GOOGLETRANSLATE(B684,""ja"",""vi"")"),"ổ đĩa CD")</f>
        <v>ổ đĩa CD</v>
      </c>
      <c r="E684" s="4" t="str">
        <f ca="1">IFERROR(__xludf.DUMMYFUNCTION("GOOGLETRANSLATE(C684,""ja"",""vi"")"),"Đấu giá&gt; máy tính&gt; thiết bị ngoại vi&gt; ổ đĩa CD")</f>
        <v>Đấu giá&gt; máy tính&gt; thiết bị ngoại vi&gt; ổ đĩa CD</v>
      </c>
      <c r="F684" t="str">
        <f t="shared" ca="1" si="10"/>
        <v>"2084284905" : "ổ đĩa CD",</v>
      </c>
    </row>
    <row r="685" spans="1:6" ht="15.75" customHeight="1">
      <c r="A685" s="14">
        <v>2084039601</v>
      </c>
      <c r="B685" s="14" t="s">
        <v>5216</v>
      </c>
      <c r="C685" s="14" t="s">
        <v>5218</v>
      </c>
      <c r="D685" s="5" t="str">
        <f ca="1">IFERROR(__xludf.DUMMYFUNCTION("GOOGLETRANSLATE(B685,""ja"",""vi"")"),"ổ MO")</f>
        <v>ổ MO</v>
      </c>
      <c r="E685" s="4" t="str">
        <f ca="1">IFERROR(__xludf.DUMMYFUNCTION("GOOGLETRANSLATE(C685,""ja"",""vi"")"),"Đấu giá&gt; máy tính&gt; thiết bị ngoại vi&gt; ổ MO")</f>
        <v>Đấu giá&gt; máy tính&gt; thiết bị ngoại vi&gt; ổ MO</v>
      </c>
      <c r="F685" t="str">
        <f t="shared" ca="1" si="10"/>
        <v>"2084039601" : "ổ MO",</v>
      </c>
    </row>
    <row r="686" spans="1:6" ht="15.75" customHeight="1">
      <c r="A686" s="14">
        <v>23451</v>
      </c>
      <c r="B686" s="14" t="s">
        <v>5220</v>
      </c>
      <c r="C686" s="14" t="s">
        <v>5221</v>
      </c>
      <c r="D686" s="5" t="str">
        <f ca="1">IFERROR(__xludf.DUMMYFUNCTION("GOOGLETRANSLATE(B686,""ja"",""vi"")"),"thiết bị băng")</f>
        <v>thiết bị băng</v>
      </c>
      <c r="E686" s="4" t="str">
        <f ca="1">IFERROR(__xludf.DUMMYFUNCTION("GOOGLETRANSLATE(C686,""ja"",""vi"")"),"Đấu giá&gt; máy tính&gt; thiết bị ngoại vi&gt; Thiết bị băng")</f>
        <v>Đấu giá&gt; máy tính&gt; thiết bị ngoại vi&gt; Thiết bị băng</v>
      </c>
      <c r="F686" t="str">
        <f t="shared" ca="1" si="10"/>
        <v>"23451" : "thiết bị băng",</v>
      </c>
    </row>
    <row r="687" spans="1:6" ht="15.75" customHeight="1">
      <c r="A687" s="14">
        <v>23449</v>
      </c>
      <c r="B687" s="14" t="s">
        <v>5224</v>
      </c>
      <c r="C687" s="14" t="s">
        <v>5225</v>
      </c>
      <c r="D687" s="5" t="str">
        <f ca="1">IFERROR(__xludf.DUMMYFUNCTION("GOOGLETRANSLATE(B687,""ja"",""vi"")"),"Ổ đĩa mềm")</f>
        <v>Ổ đĩa mềm</v>
      </c>
      <c r="E687" s="4" t="str">
        <f ca="1">IFERROR(__xludf.DUMMYFUNCTION("GOOGLETRANSLATE(C687,""ja"",""vi"")"),"Đấu giá&gt; máy tính&gt; thiết bị ngoại vi&gt; ổ đĩa mềm")</f>
        <v>Đấu giá&gt; máy tính&gt; thiết bị ngoại vi&gt; ổ đĩa mềm</v>
      </c>
      <c r="F687" t="str">
        <f t="shared" ca="1" si="10"/>
        <v>"23449" : "Ổ đĩa mềm",</v>
      </c>
    </row>
    <row r="688" spans="1:6" ht="15.75" customHeight="1">
      <c r="A688" s="14">
        <v>23563</v>
      </c>
      <c r="B688" s="14" t="s">
        <v>2748</v>
      </c>
      <c r="C688" s="14" t="s">
        <v>5228</v>
      </c>
      <c r="D688" s="5" t="str">
        <f ca="1">IFERROR(__xludf.DUMMYFUNCTION("GOOGLETRANSLATE(B688,""ja"",""vi"")"),"Monitor")</f>
        <v>Monitor</v>
      </c>
      <c r="E688" s="4" t="str">
        <f ca="1">IFERROR(__xludf.DUMMYFUNCTION("GOOGLETRANSLATE(C688,""ja"",""vi"")"),"Đấu giá&gt; máy tính&gt; thiết bị ngoại vi&gt; màn hình")</f>
        <v>Đấu giá&gt; máy tính&gt; thiết bị ngoại vi&gt; màn hình</v>
      </c>
      <c r="F688" t="str">
        <f t="shared" ca="1" si="10"/>
        <v>"23563" : "Monitor",</v>
      </c>
    </row>
    <row r="689" spans="1:6" ht="15.75" customHeight="1">
      <c r="A689" s="14">
        <v>2084039568</v>
      </c>
      <c r="B689" s="14" t="s">
        <v>2741</v>
      </c>
      <c r="C689" s="14" t="s">
        <v>5231</v>
      </c>
      <c r="D689" s="5" t="str">
        <f ca="1">IFERROR(__xludf.DUMMYFUNCTION("GOOGLETRANSLATE(B689,""ja"",""vi"")"),"Máy in, máy vẽ")</f>
        <v>Máy in, máy vẽ</v>
      </c>
      <c r="E689" s="4" t="str">
        <f ca="1">IFERROR(__xludf.DUMMYFUNCTION("GOOGLETRANSLATE(C689,""ja"",""vi"")"),"Đấu giá&gt; máy tính&gt; thiết bị ngoại vi&gt; máy in, máy vẽ")</f>
        <v>Đấu giá&gt; máy tính&gt; thiết bị ngoại vi&gt; máy in, máy vẽ</v>
      </c>
      <c r="F689" t="str">
        <f t="shared" ca="1" si="10"/>
        <v>"2084039568" : "Máy in, máy vẽ",</v>
      </c>
    </row>
    <row r="690" spans="1:6" ht="15.75" customHeight="1">
      <c r="A690" s="14">
        <v>2084059821</v>
      </c>
      <c r="B690" s="14" t="s">
        <v>2476</v>
      </c>
      <c r="C690" s="14" t="s">
        <v>5234</v>
      </c>
      <c r="D690" s="5" t="str">
        <f ca="1">IFERROR(__xludf.DUMMYFUNCTION("GOOGLETRANSLATE(B690,""ja"",""vi"")"),"MFP")</f>
        <v>MFP</v>
      </c>
      <c r="E690" s="4" t="str">
        <f ca="1">IFERROR(__xludf.DUMMYFUNCTION("GOOGLETRANSLATE(C690,""ja"",""vi"")"),"Đấu giá&gt; máy tính&gt; thiết bị ngoại vi&gt; Máy đa chức năng")</f>
        <v>Đấu giá&gt; máy tính&gt; thiết bị ngoại vi&gt; Máy đa chức năng</v>
      </c>
      <c r="F690" t="str">
        <f t="shared" ca="1" si="10"/>
        <v>"2084059821" : "MFP",</v>
      </c>
    </row>
    <row r="691" spans="1:6" ht="15.75" customHeight="1">
      <c r="A691" s="14">
        <v>26400</v>
      </c>
      <c r="B691" s="14" t="s">
        <v>3175</v>
      </c>
      <c r="C691" s="14" t="s">
        <v>5237</v>
      </c>
      <c r="D691" s="5" t="str">
        <f ca="1">IFERROR(__xludf.DUMMYFUNCTION("GOOGLETRANSLATE(B691,""ja"",""vi"")"),"mạng")</f>
        <v>mạng</v>
      </c>
      <c r="E691" s="4" t="str">
        <f ca="1">IFERROR(__xludf.DUMMYFUNCTION("GOOGLETRANSLATE(C691,""ja"",""vi"")"),"Đấu giá&gt; máy tính&gt; thiết bị ngoại vi&gt; mạng")</f>
        <v>Đấu giá&gt; máy tính&gt; thiết bị ngoại vi&gt; mạng</v>
      </c>
      <c r="F691" t="str">
        <f t="shared" ca="1" si="10"/>
        <v>"26400" : "mạng",</v>
      </c>
    </row>
    <row r="692" spans="1:6" ht="15.75" customHeight="1">
      <c r="A692" s="14">
        <v>2084039607</v>
      </c>
      <c r="B692" s="14" t="s">
        <v>2759</v>
      </c>
      <c r="C692" s="14" t="s">
        <v>5240</v>
      </c>
      <c r="D692" s="5" t="str">
        <f ca="1">IFERROR(__xludf.DUMMYFUNCTION("GOOGLETRANSLATE(B692,""ja"",""vi"")"),"thiết bị đầu vào")</f>
        <v>thiết bị đầu vào</v>
      </c>
      <c r="E692" s="4" t="str">
        <f ca="1">IFERROR(__xludf.DUMMYFUNCTION("GOOGLETRANSLATE(C692,""ja"",""vi"")"),"Đấu giá&gt; máy tính&gt; thiết bị ngoại vi&gt; thiết bị đầu vào")</f>
        <v>Đấu giá&gt; máy tính&gt; thiết bị ngoại vi&gt; thiết bị đầu vào</v>
      </c>
      <c r="F692" t="str">
        <f t="shared" ca="1" si="10"/>
        <v>"2084039607" : "thiết bị đầu vào",</v>
      </c>
    </row>
    <row r="693" spans="1:6" ht="15.75" customHeight="1">
      <c r="A693" s="14">
        <v>23440</v>
      </c>
      <c r="B693" s="14" t="s">
        <v>2735</v>
      </c>
      <c r="C693" s="14" t="s">
        <v>5243</v>
      </c>
      <c r="D693" s="5" t="str">
        <f ca="1">IFERROR(__xludf.DUMMYFUNCTION("GOOGLETRANSLATE(B693,""ja"",""vi"")"),"Scanner")</f>
        <v>Scanner</v>
      </c>
      <c r="E693" s="4" t="str">
        <f ca="1">IFERROR(__xludf.DUMMYFUNCTION("GOOGLETRANSLATE(C693,""ja"",""vi"")"),"Đấu giá&gt; máy tính&gt; thiết bị ngoại vi&gt; máy quét")</f>
        <v>Đấu giá&gt; máy tính&gt; thiết bị ngoại vi&gt; máy quét</v>
      </c>
      <c r="F693" t="str">
        <f t="shared" ca="1" si="10"/>
        <v>"23440" : "Scanner",</v>
      </c>
    </row>
    <row r="694" spans="1:6" ht="15.75" customHeight="1">
      <c r="A694" s="14">
        <v>2084039703</v>
      </c>
      <c r="B694" s="14" t="s">
        <v>5246</v>
      </c>
      <c r="C694" s="14" t="s">
        <v>5247</v>
      </c>
      <c r="D694" s="5" t="str">
        <f ca="1">IFERROR(__xludf.DUMMYFUNCTION("GOOGLETRANSLATE(B694,""ja"",""vi"")"),"Sound")</f>
        <v>Sound</v>
      </c>
      <c r="E694" s="4" t="str">
        <f ca="1">IFERROR(__xludf.DUMMYFUNCTION("GOOGLETRANSLATE(C694,""ja"",""vi"")"),"Đấu giá&gt; máy tính&gt; thiết bị ngoại vi&gt; Sound")</f>
        <v>Đấu giá&gt; máy tính&gt; thiết bị ngoại vi&gt; Sound</v>
      </c>
      <c r="F694" t="str">
        <f t="shared" ca="1" si="10"/>
        <v>"2084039703" : "Sound",</v>
      </c>
    </row>
    <row r="695" spans="1:6" ht="15.75" customHeight="1">
      <c r="A695" s="14">
        <v>2084039724</v>
      </c>
      <c r="B695" s="14" t="s">
        <v>5251</v>
      </c>
      <c r="C695" s="14" t="s">
        <v>5252</v>
      </c>
      <c r="D695" s="5" t="str">
        <f ca="1">IFERROR(__xludf.DUMMYFUNCTION("GOOGLETRANSLATE(B695,""ja"",""vi"")"),"thiết bị video kỹ thuật số")</f>
        <v>thiết bị video kỹ thuật số</v>
      </c>
      <c r="E695" s="4" t="str">
        <f ca="1">IFERROR(__xludf.DUMMYFUNCTION("GOOGLETRANSLATE(C695,""ja"",""vi"")"),"Đấu giá&gt; máy tính&gt; thiết bị ngoại vi&gt; thiết bị video kỹ thuật số")</f>
        <v>Đấu giá&gt; máy tính&gt; thiết bị ngoại vi&gt; thiết bị video kỹ thuật số</v>
      </c>
      <c r="F695" t="str">
        <f t="shared" ca="1" si="10"/>
        <v>"2084039724" : "thiết bị video kỹ thuật số",</v>
      </c>
    </row>
    <row r="696" spans="1:6" ht="15.75" customHeight="1">
      <c r="A696" s="14">
        <v>2084039702</v>
      </c>
      <c r="B696" s="14" t="s">
        <v>2577</v>
      </c>
      <c r="C696" s="14" t="s">
        <v>5257</v>
      </c>
      <c r="D696" s="5" t="str">
        <f ca="1">IFERROR(__xludf.DUMMYFUNCTION("GOOGLETRANSLATE(B696,""ja"",""vi"")"),"UPS, cung cấp điện liên tục")</f>
        <v>UPS, cung cấp điện liên tục</v>
      </c>
      <c r="E696" s="4" t="str">
        <f ca="1">IFERROR(__xludf.DUMMYFUNCTION("GOOGLETRANSLATE(C696,""ja"",""vi"")"),"Đấu giá&gt; máy tính&gt; thiết bị ngoại vi&gt; UPS, cung cấp điện liên tục")</f>
        <v>Đấu giá&gt; máy tính&gt; thiết bị ngoại vi&gt; UPS, cung cấp điện liên tục</v>
      </c>
      <c r="F696" t="str">
        <f t="shared" ca="1" si="10"/>
        <v>"2084039702" : "UPS, cung cấp điện liên tục",</v>
      </c>
    </row>
    <row r="697" spans="1:6" ht="15.75" customHeight="1">
      <c r="A697" s="14">
        <v>2084041642</v>
      </c>
      <c r="B697" s="14" t="s">
        <v>2434</v>
      </c>
      <c r="C697" s="14" t="s">
        <v>5261</v>
      </c>
      <c r="D697" s="5" t="str">
        <f ca="1">IFERROR(__xludf.DUMMYFUNCTION("GOOGLETRANSLATE(B697,""ja"",""vi"")"),"Đối với Mac")</f>
        <v>Đối với Mac</v>
      </c>
      <c r="E697" s="4" t="str">
        <f ca="1">IFERROR(__xludf.DUMMYFUNCTION("GOOGLETRANSLATE(C697,""ja"",""vi"")"),"Đấu giá&gt; máy tính&gt; thiết bị ngoại vi&gt; dành cho Mac")</f>
        <v>Đấu giá&gt; máy tính&gt; thiết bị ngoại vi&gt; dành cho Mac</v>
      </c>
      <c r="F697" t="str">
        <f t="shared" ca="1" si="10"/>
        <v>"2084041642" : "Đối với Mac",</v>
      </c>
    </row>
    <row r="698" spans="1:6" ht="15.75" customHeight="1">
      <c r="A698" s="14">
        <v>2084047094</v>
      </c>
      <c r="B698" s="14" t="s">
        <v>5264</v>
      </c>
      <c r="C698" s="14" t="s">
        <v>5265</v>
      </c>
      <c r="D698" s="5" t="str">
        <f ca="1">IFERROR(__xludf.DUMMYFUNCTION("GOOGLETRANSLATE(B698,""ja"",""vi"")"),"cho máy trạm")</f>
        <v>cho máy trạm</v>
      </c>
      <c r="E698" s="4" t="str">
        <f ca="1">IFERROR(__xludf.DUMMYFUNCTION("GOOGLETRANSLATE(C698,""ja"",""vi"")"),"Đấu giá&gt; máy tính&gt; thiết bị ngoại vi&gt; cho máy trạm")</f>
        <v>Đấu giá&gt; máy tính&gt; thiết bị ngoại vi&gt; cho máy trạm</v>
      </c>
      <c r="F698" t="str">
        <f t="shared" ca="1" si="10"/>
        <v>"2084047094" : "cho máy trạm",</v>
      </c>
    </row>
    <row r="699" spans="1:6" ht="15.75" customHeight="1">
      <c r="A699" s="14">
        <v>2084048551</v>
      </c>
      <c r="B699" s="14" t="s">
        <v>46</v>
      </c>
      <c r="C699" s="14" t="s">
        <v>5268</v>
      </c>
      <c r="D699" s="5" t="str">
        <f ca="1">IFERROR(__xludf.DUMMYFUNCTION("GOOGLETRANSLATE(B699,""ja"",""vi"")"),"nếu không thì")</f>
        <v>nếu không thì</v>
      </c>
      <c r="E699" s="4" t="str">
        <f ca="1">IFERROR(__xludf.DUMMYFUNCTION("GOOGLETRANSLATE(C699,""ja"",""vi"")"),"Đấu giá&gt; máy tính&gt; thiết bị ngoại vi&gt; Khác")</f>
        <v>Đấu giá&gt; máy tính&gt; thiết bị ngoại vi&gt; Khác</v>
      </c>
      <c r="F699" t="str">
        <f t="shared" ca="1" si="10"/>
        <v>"2084048551" : "nếu không thì",</v>
      </c>
    </row>
    <row r="700" spans="1:6" ht="15.75" customHeight="1">
      <c r="A700" s="14">
        <v>2084316262</v>
      </c>
      <c r="B700" s="14" t="s">
        <v>5271</v>
      </c>
      <c r="C700" s="14" t="s">
        <v>5272</v>
      </c>
      <c r="D700" s="5" t="str">
        <f ca="1">IFERROR(__xludf.DUMMYFUNCTION("GOOGLETRANSLATE(B700,""ja"",""vi"")"),"Tải về phiên bản")</f>
        <v>Tải về phiên bản</v>
      </c>
      <c r="E700" s="4" t="str">
        <f ca="1">IFERROR(__xludf.DUMMYFUNCTION("GOOGLETRANSLATE(C700,""ja"",""vi"")"),"Đấu giá&gt; máy tính&gt; Phần mềm&gt; phiên bản tải về")</f>
        <v>Đấu giá&gt; máy tính&gt; Phần mềm&gt; phiên bản tải về</v>
      </c>
      <c r="F700" t="str">
        <f t="shared" ca="1" si="10"/>
        <v>"2084316262" : "Tải về phiên bản",</v>
      </c>
    </row>
    <row r="701" spans="1:6" ht="15.75" customHeight="1">
      <c r="A701" s="14">
        <v>2084316263</v>
      </c>
      <c r="B701" s="14" t="s">
        <v>5274</v>
      </c>
      <c r="C701" s="14" t="s">
        <v>5276</v>
      </c>
      <c r="D701" s="5" t="str">
        <f ca="1">IFERROR(__xludf.DUMMYFUNCTION("GOOGLETRANSLATE(B701,""ja"",""vi"")"),"phiên bản gói")</f>
        <v>phiên bản gói</v>
      </c>
      <c r="E701" s="4" t="str">
        <f ca="1">IFERROR(__xludf.DUMMYFUNCTION("GOOGLETRANSLATE(C701,""ja"",""vi"")"),"Đấu giá&gt; máy tính&gt; Phần mềm&gt; phiên bản gói")</f>
        <v>Đấu giá&gt; máy tính&gt; Phần mềm&gt; phiên bản gói</v>
      </c>
      <c r="F701" t="str">
        <f t="shared" ca="1" si="10"/>
        <v>"2084316263" : "phiên bản gói",</v>
      </c>
    </row>
    <row r="702" spans="1:6" ht="15.75" customHeight="1">
      <c r="A702" s="14">
        <v>23420</v>
      </c>
      <c r="B702" s="14" t="s">
        <v>5279</v>
      </c>
      <c r="C702" s="14" t="s">
        <v>5281</v>
      </c>
      <c r="D702" s="5" t="str">
        <f ca="1">IFERROR(__xludf.DUMMYFUNCTION("GOOGLETRANSLATE(B702,""ja"",""vi"")"),"Vật tư cho máy in")</f>
        <v>Vật tư cho máy in</v>
      </c>
      <c r="E702" s="4" t="str">
        <f ca="1">IFERROR(__xludf.DUMMYFUNCTION("GOOGLETRANSLATE(C702,""ja"",""vi"")"),"Đấu giá&gt; máy tính&gt; cung cấp&gt; cung cấp cho máy in")</f>
        <v>Đấu giá&gt; máy tính&gt; cung cấp&gt; cung cấp cho máy in</v>
      </c>
      <c r="F702" t="str">
        <f t="shared" ca="1" si="10"/>
        <v>"23420" : "Vật tư cho máy in",</v>
      </c>
    </row>
    <row r="703" spans="1:6" ht="15.75" customHeight="1">
      <c r="A703" s="14">
        <v>2084039469</v>
      </c>
      <c r="B703" s="14" t="s">
        <v>3225</v>
      </c>
      <c r="C703" s="14" t="s">
        <v>5287</v>
      </c>
      <c r="D703" s="5" t="str">
        <f ca="1">IFERROR(__xludf.DUMMYFUNCTION("GOOGLETRANSLATE(B703,""ja"",""vi"")"),"bộ nhớ ghi âm")</f>
        <v>bộ nhớ ghi âm</v>
      </c>
      <c r="E703" s="4" t="str">
        <f ca="1">IFERROR(__xludf.DUMMYFUNCTION("GOOGLETRANSLATE(C703,""ja"",""vi"")"),"Đấu giá&gt; máy tính&gt; cung cấp&gt; bộ nhớ để ghi âm")</f>
        <v>Đấu giá&gt; máy tính&gt; cung cấp&gt; bộ nhớ để ghi âm</v>
      </c>
      <c r="F703" t="str">
        <f t="shared" ca="1" si="10"/>
        <v>"2084039469" : "bộ nhớ ghi âm",</v>
      </c>
    </row>
    <row r="704" spans="1:6" ht="15.75" customHeight="1">
      <c r="A704" s="14">
        <v>2084039462</v>
      </c>
      <c r="B704" s="14" t="s">
        <v>5292</v>
      </c>
      <c r="C704" s="14" t="s">
        <v>5293</v>
      </c>
      <c r="D704" s="5" t="str">
        <f ca="1">IFERROR(__xludf.DUMMYFUNCTION("GOOGLETRANSLATE(B704,""ja"",""vi"")"),"đĩa ghi âm")</f>
        <v>đĩa ghi âm</v>
      </c>
      <c r="E704" s="4" t="str">
        <f ca="1">IFERROR(__xludf.DUMMYFUNCTION("GOOGLETRANSLATE(C704,""ja"",""vi"")"),"Đấu giá&gt; máy tính&gt; cung cấp&gt; đĩa ghi âm")</f>
        <v>Đấu giá&gt; máy tính&gt; cung cấp&gt; đĩa ghi âm</v>
      </c>
      <c r="F704" t="str">
        <f t="shared" ca="1" si="10"/>
        <v>"2084039462" : "đĩa ghi âm",</v>
      </c>
    </row>
    <row r="705" spans="1:6" ht="15.75" customHeight="1">
      <c r="A705" s="14">
        <v>2084049581</v>
      </c>
      <c r="B705" s="14" t="s">
        <v>3690</v>
      </c>
      <c r="C705" s="14" t="s">
        <v>5298</v>
      </c>
      <c r="D705" s="5" t="str">
        <f ca="1">IFERROR(__xludf.DUMMYFUNCTION("GOOGLETRANSLATE(B705,""ja"",""vi"")"),"trường hợp")</f>
        <v>trường hợp</v>
      </c>
      <c r="E705" s="4" t="str">
        <f ca="1">IFERROR(__xludf.DUMMYFUNCTION("GOOGLETRANSLATE(C705,""ja"",""vi"")"),"Đấu giá&gt; máy tính&gt; cung cấp&gt; trường hợp")</f>
        <v>Đấu giá&gt; máy tính&gt; cung cấp&gt; trường hợp</v>
      </c>
      <c r="F705" t="str">
        <f t="shared" ca="1" si="10"/>
        <v>"2084049581" : "trường hợp",</v>
      </c>
    </row>
    <row r="706" spans="1:6" ht="15.75" customHeight="1">
      <c r="A706" s="14">
        <v>2084313798</v>
      </c>
      <c r="B706" s="14" t="s">
        <v>5302</v>
      </c>
      <c r="C706" s="14" t="s">
        <v>5303</v>
      </c>
      <c r="D706" s="5" t="str">
        <f ca="1">IFERROR(__xludf.DUMMYFUNCTION("GOOGLETRANSLATE(B706,""ja"",""vi"")"),"Seal, dán")</f>
        <v>Seal, dán</v>
      </c>
      <c r="E706" s="4" t="str">
        <f ca="1">IFERROR(__xludf.DUMMYFUNCTION("GOOGLETRANSLATE(C706,""ja"",""vi"")"),"Đấu giá&gt; máy tính&gt; cung cấp&gt; con dấu, nhãn dán")</f>
        <v>Đấu giá&gt; máy tính&gt; cung cấp&gt; con dấu, nhãn dán</v>
      </c>
      <c r="F706" t="str">
        <f t="shared" ref="F706:F769" ca="1" si="11">CONCATENATE(CHAR(34)&amp;"",A706,""&amp;CHAR(34)," : ", CHAR(34)&amp;"",D706,""&amp;CHAR(34),",")</f>
        <v>"2084313798" : "Seal, dán",</v>
      </c>
    </row>
    <row r="707" spans="1:6" ht="15.75" customHeight="1">
      <c r="A707" s="14">
        <v>2084313797</v>
      </c>
      <c r="B707" s="14" t="s">
        <v>5306</v>
      </c>
      <c r="C707" s="14" t="s">
        <v>5307</v>
      </c>
      <c r="D707" s="5" t="str">
        <f ca="1">IFERROR(__xludf.DUMMYFUNCTION("GOOGLETRANSLATE(B707,""ja"",""vi"")"),"Cleaner, sản phẩm làm sạch")</f>
        <v>Cleaner, sản phẩm làm sạch</v>
      </c>
      <c r="E707" s="4" t="str">
        <f ca="1">IFERROR(__xludf.DUMMYFUNCTION("GOOGLETRANSLATE(C707,""ja"",""vi"")"),"Đấu giá&gt; máy tính&gt; cung cấp&gt; sạch, các sản phẩm làm sạch")</f>
        <v>Đấu giá&gt; máy tính&gt; cung cấp&gt; sạch, các sản phẩm làm sạch</v>
      </c>
      <c r="F707" t="str">
        <f t="shared" ca="1" si="11"/>
        <v>"2084313797" : "Cleaner, sản phẩm làm sạch",</v>
      </c>
    </row>
    <row r="708" spans="1:6" ht="15.75" customHeight="1">
      <c r="A708" s="14">
        <v>2084047166</v>
      </c>
      <c r="B708" s="14" t="s">
        <v>5310</v>
      </c>
      <c r="C708" s="14" t="s">
        <v>5311</v>
      </c>
      <c r="D708" s="5" t="str">
        <f ca="1">IFERROR(__xludf.DUMMYFUNCTION("GOOGLETRANSLATE(B708,""ja"",""vi"")"),"chuột pad")</f>
        <v>chuột pad</v>
      </c>
      <c r="E708" s="4" t="str">
        <f ca="1">IFERROR(__xludf.DUMMYFUNCTION("GOOGLETRANSLATE(C708,""ja"",""vi"")"),"Đấu giá&gt; máy tính&gt; cung cấp&gt; mouse pad")</f>
        <v>Đấu giá&gt; máy tính&gt; cung cấp&gt; mouse pad</v>
      </c>
      <c r="F708" t="str">
        <f t="shared" ca="1" si="11"/>
        <v>"2084047166" : "chuột pad",</v>
      </c>
    </row>
    <row r="709" spans="1:6" ht="15.75" customHeight="1">
      <c r="A709" s="14">
        <v>23400</v>
      </c>
      <c r="B709" s="14" t="s">
        <v>3197</v>
      </c>
      <c r="C709" s="14" t="s">
        <v>5315</v>
      </c>
      <c r="D709" s="5" t="str">
        <f ca="1">IFERROR(__xludf.DUMMYFUNCTION("GOOGLETRANSLATE(B709,""ja"",""vi"")"),"CPU")</f>
        <v>CPU</v>
      </c>
      <c r="E709" s="4" t="str">
        <f ca="1">IFERROR(__xludf.DUMMYFUNCTION("GOOGLETRANSLATE(C709,""ja"",""vi"")"),"Đấu giá&gt; máy tính&gt; phụ tùng&gt; CPU")</f>
        <v>Đấu giá&gt; máy tính&gt; phụ tùng&gt; CPU</v>
      </c>
      <c r="F709" t="str">
        <f t="shared" ca="1" si="11"/>
        <v>"23400" : "CPU",</v>
      </c>
    </row>
    <row r="710" spans="1:6" ht="15.75" customHeight="1">
      <c r="A710" s="14">
        <v>2084039543</v>
      </c>
      <c r="B710" s="14" t="s">
        <v>3207</v>
      </c>
      <c r="C710" s="14" t="s">
        <v>5316</v>
      </c>
      <c r="D710" s="5" t="str">
        <f ca="1">IFERROR(__xludf.DUMMYFUNCTION("GOOGLETRANSLATE(B710,""ja"",""vi"")"),"ký ức")</f>
        <v>ký ức</v>
      </c>
      <c r="E710" s="4" t="str">
        <f ca="1">IFERROR(__xludf.DUMMYFUNCTION("GOOGLETRANSLATE(C710,""ja"",""vi"")"),"Đấu giá&gt; máy tính&gt; phụ tùng&gt; bộ nhớ")</f>
        <v>Đấu giá&gt; máy tính&gt; phụ tùng&gt; bộ nhớ</v>
      </c>
      <c r="F710" t="str">
        <f t="shared" ca="1" si="11"/>
        <v>"2084039543" : "ký ức",</v>
      </c>
    </row>
    <row r="711" spans="1:6" ht="15.75" customHeight="1">
      <c r="A711" s="14">
        <v>2084039547</v>
      </c>
      <c r="B711" s="14" t="s">
        <v>3204</v>
      </c>
      <c r="C711" s="14" t="s">
        <v>5318</v>
      </c>
      <c r="D711" s="5" t="str">
        <f ca="1">IFERROR(__xludf.DUMMYFUNCTION("GOOGLETRANSLATE(B711,""ja"",""vi"")"),"Bo mạch chủ")</f>
        <v>Bo mạch chủ</v>
      </c>
      <c r="E711" s="4" t="str">
        <f ca="1">IFERROR(__xludf.DUMMYFUNCTION("GOOGLETRANSLATE(C711,""ja"",""vi"")"),"Đấu giá&gt; máy tính&gt; phụ tùng&gt; bo mạch chủ")</f>
        <v>Đấu giá&gt; máy tính&gt; phụ tùng&gt; bo mạch chủ</v>
      </c>
      <c r="F711" t="str">
        <f t="shared" ca="1" si="11"/>
        <v>"2084039547" : "Bo mạch chủ",</v>
      </c>
    </row>
    <row r="712" spans="1:6" ht="15.75" customHeight="1">
      <c r="A712" s="14">
        <v>2084039481</v>
      </c>
      <c r="B712" s="14" t="s">
        <v>5321</v>
      </c>
      <c r="C712" s="14" t="s">
        <v>5322</v>
      </c>
      <c r="D712" s="5" t="str">
        <f ca="1">IFERROR(__xludf.DUMMYFUNCTION("GOOGLETRANSLATE(B712,""ja"",""vi"")"),"thẻ")</f>
        <v>thẻ</v>
      </c>
      <c r="E712" s="4" t="str">
        <f ca="1">IFERROR(__xludf.DUMMYFUNCTION("GOOGLETRANSLATE(C712,""ja"",""vi"")"),"Đấu giá&gt; máy tính&gt; phụ tùng&gt; thẻ")</f>
        <v>Đấu giá&gt; máy tính&gt; phụ tùng&gt; thẻ</v>
      </c>
      <c r="F712" t="str">
        <f t="shared" ca="1" si="11"/>
        <v>"2084039481" : "thẻ",</v>
      </c>
    </row>
    <row r="713" spans="1:6" ht="15.75" customHeight="1">
      <c r="A713" s="14">
        <v>23457</v>
      </c>
      <c r="B713" s="14" t="s">
        <v>3690</v>
      </c>
      <c r="C713" s="14" t="s">
        <v>5326</v>
      </c>
      <c r="D713" s="5" t="str">
        <f ca="1">IFERROR(__xludf.DUMMYFUNCTION("GOOGLETRANSLATE(B713,""ja"",""vi"")"),"trường hợp")</f>
        <v>trường hợp</v>
      </c>
      <c r="E713" s="4" t="str">
        <f ca="1">IFERROR(__xludf.DUMMYFUNCTION("GOOGLETRANSLATE(C713,""ja"",""vi"")"),"Đấu giá&gt; máy tính&gt; phụ tùng&gt; trường hợp")</f>
        <v>Đấu giá&gt; máy tính&gt; phụ tùng&gt; trường hợp</v>
      </c>
      <c r="F713" t="str">
        <f t="shared" ca="1" si="11"/>
        <v>"23457" : "trường hợp",</v>
      </c>
    </row>
    <row r="714" spans="1:6" ht="15.75" customHeight="1">
      <c r="A714" s="14">
        <v>23458</v>
      </c>
      <c r="B714" s="14" t="s">
        <v>5330</v>
      </c>
      <c r="C714" s="14" t="s">
        <v>5331</v>
      </c>
      <c r="D714" s="5" t="str">
        <f ca="1">IFERROR(__xludf.DUMMYFUNCTION("GOOGLETRANSLATE(B714,""ja"",""vi"")"),"Nguồn cung cấp, AC adapter")</f>
        <v>Nguồn cung cấp, AC adapter</v>
      </c>
      <c r="E714" s="4" t="str">
        <f ca="1">IFERROR(__xludf.DUMMYFUNCTION("GOOGLETRANSLATE(C714,""ja"",""vi"")"),"Đấu giá&gt; máy tính&gt; phụ tùng&gt; cung cấp điện, AC adapter")</f>
        <v>Đấu giá&gt; máy tính&gt; phụ tùng&gt; cung cấp điện, AC adapter</v>
      </c>
      <c r="F714" t="str">
        <f t="shared" ca="1" si="11"/>
        <v>"23458" : "Nguồn cung cấp, AC adapter",</v>
      </c>
    </row>
    <row r="715" spans="1:6" ht="15.75" customHeight="1">
      <c r="A715" s="14">
        <v>23455</v>
      </c>
      <c r="B715" s="14" t="s">
        <v>5335</v>
      </c>
      <c r="C715" s="14" t="s">
        <v>5337</v>
      </c>
      <c r="D715" s="5" t="str">
        <f ca="1">IFERROR(__xludf.DUMMYFUNCTION("GOOGLETRANSLATE(B715,""ja"",""vi"")"),"Cáp, đầu nối")</f>
        <v>Cáp, đầu nối</v>
      </c>
      <c r="E715" s="4" t="str">
        <f ca="1">IFERROR(__xludf.DUMMYFUNCTION("GOOGLETRANSLATE(C715,""ja"",""vi"")"),"Đấu giá&gt; máy tính&gt; phụ tùng&gt; cáp, đầu nối")</f>
        <v>Đấu giá&gt; máy tính&gt; phụ tùng&gt; cáp, đầu nối</v>
      </c>
      <c r="F715" t="str">
        <f t="shared" ca="1" si="11"/>
        <v>"23455" : "Cáp, đầu nối",</v>
      </c>
    </row>
    <row r="716" spans="1:6" ht="15.75" customHeight="1">
      <c r="A716" s="14">
        <v>2084041637</v>
      </c>
      <c r="B716" s="14" t="s">
        <v>2434</v>
      </c>
      <c r="C716" s="14" t="s">
        <v>5341</v>
      </c>
      <c r="D716" s="5" t="str">
        <f ca="1">IFERROR(__xludf.DUMMYFUNCTION("GOOGLETRANSLATE(B716,""ja"",""vi"")"),"Đối với Mac")</f>
        <v>Đối với Mac</v>
      </c>
      <c r="E716" s="4" t="str">
        <f ca="1">IFERROR(__xludf.DUMMYFUNCTION("GOOGLETRANSLATE(C716,""ja"",""vi"")"),"Đấu giá&gt; máy tính&gt; phụ tùng&gt; dành cho Mac")</f>
        <v>Đấu giá&gt; máy tính&gt; phụ tùng&gt; dành cho Mac</v>
      </c>
      <c r="F716" t="str">
        <f t="shared" ca="1" si="11"/>
        <v>"2084041637" : "Đối với Mac",</v>
      </c>
    </row>
    <row r="717" spans="1:6" ht="15.75" customHeight="1">
      <c r="A717" s="14">
        <v>2084047559</v>
      </c>
      <c r="B717" s="14" t="s">
        <v>5344</v>
      </c>
      <c r="C717" s="14" t="s">
        <v>5346</v>
      </c>
      <c r="D717" s="5" t="str">
        <f ca="1">IFERROR(__xludf.DUMMYFUNCTION("GOOGLETRANSLATE(B717,""ja"",""vi"")"),"máy tính Barebone")</f>
        <v>máy tính Barebone</v>
      </c>
      <c r="E717" s="4" t="str">
        <f ca="1">IFERROR(__xludf.DUMMYFUNCTION("GOOGLETRANSLATE(C717,""ja"",""vi"")"),"Đấu giá&gt; máy tính&gt; phụ tùng&gt; máy tính barebone")</f>
        <v>Đấu giá&gt; máy tính&gt; phụ tùng&gt; máy tính barebone</v>
      </c>
      <c r="F717" t="str">
        <f t="shared" ca="1" si="11"/>
        <v>"2084047559" : "máy tính Barebone",</v>
      </c>
    </row>
    <row r="718" spans="1:6" ht="15.75" customHeight="1">
      <c r="A718" s="14">
        <v>2084047096</v>
      </c>
      <c r="B718" s="14" t="s">
        <v>5264</v>
      </c>
      <c r="C718" s="14" t="s">
        <v>5350</v>
      </c>
      <c r="D718" s="5" t="str">
        <f ca="1">IFERROR(__xludf.DUMMYFUNCTION("GOOGLETRANSLATE(B718,""ja"",""vi"")"),"cho máy trạm")</f>
        <v>cho máy trạm</v>
      </c>
      <c r="E718" s="4" t="str">
        <f ca="1">IFERROR(__xludf.DUMMYFUNCTION("GOOGLETRANSLATE(C718,""ja"",""vi"")"),"Đấu giá&gt; máy tính&gt; phụ tùng&gt; cho máy trạm")</f>
        <v>Đấu giá&gt; máy tính&gt; phụ tùng&gt; cho máy trạm</v>
      </c>
      <c r="F718" t="str">
        <f t="shared" ca="1" si="11"/>
        <v>"2084047096" : "cho máy trạm",</v>
      </c>
    </row>
    <row r="719" spans="1:6" ht="15.75" customHeight="1">
      <c r="A719" s="14">
        <v>2084047828</v>
      </c>
      <c r="B719" s="14" t="s">
        <v>5353</v>
      </c>
      <c r="C719" s="14" t="s">
        <v>5355</v>
      </c>
      <c r="D719" s="5" t="str">
        <f ca="1">IFERROR(__xludf.DUMMYFUNCTION("GOOGLETRANSLATE(B719,""ja"",""vi"")"),"Máy làm mát")</f>
        <v>Máy làm mát</v>
      </c>
      <c r="E719" s="4" t="str">
        <f ca="1">IFERROR(__xludf.DUMMYFUNCTION("GOOGLETRANSLATE(C719,""ja"",""vi"")"),"Đấu giá&gt; máy tính&gt; phụ tùng&gt; thiết bị làm mát")</f>
        <v>Đấu giá&gt; máy tính&gt; phụ tùng&gt; thiết bị làm mát</v>
      </c>
      <c r="F719" t="str">
        <f t="shared" ca="1" si="11"/>
        <v>"2084047828" : "Máy làm mát",</v>
      </c>
    </row>
    <row r="720" spans="1:6" ht="15.75" customHeight="1">
      <c r="A720" s="14">
        <v>2084219502</v>
      </c>
      <c r="B720" s="14" t="s">
        <v>5358</v>
      </c>
      <c r="C720" s="14" t="s">
        <v>5359</v>
      </c>
      <c r="D720" s="5" t="str">
        <f ca="1">IFERROR(__xludf.DUMMYFUNCTION("GOOGLETRANSLATE(B720,""ja"",""vi"")"),"Các máy chủ bản thân")</f>
        <v>Các máy chủ bản thân</v>
      </c>
      <c r="E720" s="4" t="str">
        <f ca="1">IFERROR(__xludf.DUMMYFUNCTION("GOOGLETRANSLATE(C720,""ja"",""vi"")"),"Đấu giá&gt; máy tính&gt; Máy chủ&gt; cơ thể máy chủ")</f>
        <v>Đấu giá&gt; máy tính&gt; Máy chủ&gt; cơ thể máy chủ</v>
      </c>
      <c r="F720" t="str">
        <f t="shared" ca="1" si="11"/>
        <v>"2084219502" : "Các máy chủ bản thân",</v>
      </c>
    </row>
    <row r="721" spans="1:6" ht="15.75" customHeight="1">
      <c r="A721" s="14">
        <v>2084219503</v>
      </c>
      <c r="B721" s="14" t="s">
        <v>5361</v>
      </c>
      <c r="C721" s="14" t="s">
        <v>5363</v>
      </c>
      <c r="D721" s="5" t="str">
        <f ca="1">IFERROR(__xludf.DUMMYFUNCTION("GOOGLETRANSLATE(B721,""ja"",""vi"")"),"máy chủ rack")</f>
        <v>máy chủ rack</v>
      </c>
      <c r="E721" s="4" t="str">
        <f ca="1">IFERROR(__xludf.DUMMYFUNCTION("GOOGLETRANSLATE(C721,""ja"",""vi"")"),"Đấu giá&gt; máy tính&gt; Máy chủ&gt; máy chủ rack")</f>
        <v>Đấu giá&gt; máy tính&gt; Máy chủ&gt; máy chủ rack</v>
      </c>
      <c r="F721" t="str">
        <f t="shared" ca="1" si="11"/>
        <v>"2084219503" : "máy chủ rack",</v>
      </c>
    </row>
    <row r="722" spans="1:6" ht="15.75" customHeight="1">
      <c r="A722" s="14">
        <v>2084219504</v>
      </c>
      <c r="B722" s="14" t="s">
        <v>46</v>
      </c>
      <c r="C722" s="14" t="s">
        <v>5364</v>
      </c>
      <c r="D722" s="5" t="str">
        <f ca="1">IFERROR(__xludf.DUMMYFUNCTION("GOOGLETRANSLATE(B722,""ja"",""vi"")"),"nếu không thì")</f>
        <v>nếu không thì</v>
      </c>
      <c r="E722" s="4" t="str">
        <f ca="1">IFERROR(__xludf.DUMMYFUNCTION("GOOGLETRANSLATE(C722,""ja"",""vi"")"),"Đấu giá&gt; máy tính&gt; Máy chủ&gt; Khác")</f>
        <v>Đấu giá&gt; máy tính&gt; Máy chủ&gt; Khác</v>
      </c>
      <c r="F722" t="str">
        <f t="shared" ca="1" si="11"/>
        <v>"2084219504" : "nếu không thì",</v>
      </c>
    </row>
    <row r="723" spans="1:6" ht="15.75" customHeight="1">
      <c r="A723" s="14">
        <v>84284116</v>
      </c>
      <c r="B723" s="14" t="s">
        <v>1908</v>
      </c>
      <c r="C723" s="15" t="s">
        <v>5366</v>
      </c>
      <c r="D723" s="5" t="str">
        <f ca="1">IFERROR(__xludf.DUMMYFUNCTION("GOOGLETRANSLATE(B723,""ja"",""vi"")"),"thung lũng nhỏ")</f>
        <v>thung lũng nhỏ</v>
      </c>
      <c r="E723" s="4" t="str">
        <f ca="1">IFERROR(__xludf.DUMMYFUNCTION("GOOGLETRANSLATE(C723,""ja"",""vi"")"),"Đấu giá&gt; máy tính&gt; máy trạm&gt; del")</f>
        <v>Đấu giá&gt; máy tính&gt; máy trạm&gt; del</v>
      </c>
      <c r="F723" t="str">
        <f t="shared" ca="1" si="11"/>
        <v>"84284116" : "thung lũng nhỏ",</v>
      </c>
    </row>
    <row r="724" spans="1:6" ht="15.75" customHeight="1">
      <c r="A724" s="14">
        <v>2084284117</v>
      </c>
      <c r="B724" s="14" t="s">
        <v>5368</v>
      </c>
      <c r="C724" s="15" t="s">
        <v>5370</v>
      </c>
      <c r="D724" s="5" t="str">
        <f ca="1">IFERROR(__xludf.DUMMYFUNCTION("GOOGLETRANSLATE(B724,""ja"",""vi"")"),"HP")</f>
        <v>HP</v>
      </c>
      <c r="E724" s="4" t="str">
        <f ca="1">IFERROR(__xludf.DUMMYFUNCTION("GOOGLETRANSLATE(C724,""ja"",""vi"")"),"Đấu giá&gt; máy tính&gt; máy trạm&gt; HP")</f>
        <v>Đấu giá&gt; máy tính&gt; máy trạm&gt; HP</v>
      </c>
      <c r="F724" t="str">
        <f t="shared" ca="1" si="11"/>
        <v>"2084284117" : "HP",</v>
      </c>
    </row>
    <row r="725" spans="1:6" ht="15.75" customHeight="1">
      <c r="A725" s="14">
        <v>2084045762</v>
      </c>
      <c r="B725" s="14" t="s">
        <v>5371</v>
      </c>
      <c r="C725" s="15" t="s">
        <v>5373</v>
      </c>
      <c r="D725" s="5" t="str">
        <f ca="1">IFERROR(__xludf.DUMMYFUNCTION("GOOGLETRANSLATE(B725,""ja"",""vi"")"),"SUN")</f>
        <v>SUN</v>
      </c>
      <c r="E725" s="4" t="str">
        <f ca="1">IFERROR(__xludf.DUMMYFUNCTION("GOOGLETRANSLATE(C725,""ja"",""vi"")"),"Đấu giá&gt; máy tính&gt; máy trạm&gt; SUN")</f>
        <v>Đấu giá&gt; máy tính&gt; máy trạm&gt; SUN</v>
      </c>
      <c r="F725" t="str">
        <f t="shared" ca="1" si="11"/>
        <v>"2084045762" : "SUN",</v>
      </c>
    </row>
    <row r="726" spans="1:6" ht="15.75" customHeight="1">
      <c r="A726" s="14">
        <v>2084284118</v>
      </c>
      <c r="B726" s="14" t="s">
        <v>3219</v>
      </c>
      <c r="C726" s="15" t="s">
        <v>5375</v>
      </c>
      <c r="D726" s="5" t="str">
        <f ca="1">IFERROR(__xludf.DUMMYFUNCTION("GOOGLETRANSLATE(B726,""ja"",""vi"")"),"IBM, Lenovo")</f>
        <v>IBM, Lenovo</v>
      </c>
      <c r="E726" s="4" t="str">
        <f ca="1">IFERROR(__xludf.DUMMYFUNCTION("GOOGLETRANSLATE(C726,""ja"",""vi"")"),"Đấu giá&gt; máy tính&gt; máy trạm&gt; IBM, Lenovo")</f>
        <v>Đấu giá&gt; máy tính&gt; máy trạm&gt; IBM, Lenovo</v>
      </c>
      <c r="F726" t="str">
        <f t="shared" ca="1" si="11"/>
        <v>"2084284118" : "IBM, Lenovo",</v>
      </c>
    </row>
    <row r="727" spans="1:6" ht="15.75" customHeight="1">
      <c r="A727" s="14">
        <v>2084045763</v>
      </c>
      <c r="B727" s="14" t="s">
        <v>5377</v>
      </c>
      <c r="C727" s="15" t="s">
        <v>5378</v>
      </c>
      <c r="D727" s="5" t="str">
        <f ca="1">IFERROR(__xludf.DUMMYFUNCTION("GOOGLETRANSLATE(B727,""ja"",""vi"")"),"SGI")</f>
        <v>SGI</v>
      </c>
      <c r="E727" s="4" t="str">
        <f ca="1">IFERROR(__xludf.DUMMYFUNCTION("GOOGLETRANSLATE(C727,""ja"",""vi"")"),"Đấu giá&gt; máy tính&gt; máy trạm&gt; SGI")</f>
        <v>Đấu giá&gt; máy tính&gt; máy trạm&gt; SGI</v>
      </c>
      <c r="F727" t="str">
        <f t="shared" ca="1" si="11"/>
        <v>"2084045763" : "SGI",</v>
      </c>
    </row>
    <row r="728" spans="1:6" ht="15.75" customHeight="1">
      <c r="A728" s="14">
        <v>2084047096</v>
      </c>
      <c r="B728" s="14" t="s">
        <v>1612</v>
      </c>
      <c r="C728" s="15" t="s">
        <v>5380</v>
      </c>
      <c r="D728" s="5" t="str">
        <f ca="1">IFERROR(__xludf.DUMMYFUNCTION("GOOGLETRANSLATE(B728,""ja"",""vi"")"),"bộ phận")</f>
        <v>bộ phận</v>
      </c>
      <c r="E728" s="4" t="str">
        <f ca="1">IFERROR(__xludf.DUMMYFUNCTION("GOOGLETRANSLATE(C728,""ja"",""vi"")"),"Đấu giá&gt; máy tính&gt; máy trạm&gt; Linh kiện")</f>
        <v>Đấu giá&gt; máy tính&gt; máy trạm&gt; Linh kiện</v>
      </c>
      <c r="F728" t="str">
        <f t="shared" ca="1" si="11"/>
        <v>"2084047096" : "bộ phận",</v>
      </c>
    </row>
    <row r="729" spans="1:6" ht="15.75" customHeight="1">
      <c r="A729" s="14">
        <v>2084047094</v>
      </c>
      <c r="B729" s="14" t="s">
        <v>1625</v>
      </c>
      <c r="C729" s="15" t="s">
        <v>5383</v>
      </c>
      <c r="D729" s="5" t="str">
        <f ca="1">IFERROR(__xludf.DUMMYFUNCTION("GOOGLETRANSLATE(B729,""ja"",""vi"")"),"chu vi")</f>
        <v>chu vi</v>
      </c>
      <c r="E729" s="4" t="str">
        <f ca="1">IFERROR(__xludf.DUMMYFUNCTION("GOOGLETRANSLATE(C729,""ja"",""vi"")"),"Đấu giá&gt; máy tính&gt; máy trạm&gt; Thiết bị ngoại vi")</f>
        <v>Đấu giá&gt; máy tính&gt; máy trạm&gt; Thiết bị ngoại vi</v>
      </c>
      <c r="F729" t="str">
        <f t="shared" ca="1" si="11"/>
        <v>"2084047094" : "chu vi",</v>
      </c>
    </row>
    <row r="730" spans="1:6" ht="15.75" customHeight="1">
      <c r="A730" s="14">
        <v>2084045764</v>
      </c>
      <c r="B730" s="14" t="s">
        <v>46</v>
      </c>
      <c r="C730" s="15" t="s">
        <v>5385</v>
      </c>
      <c r="D730" s="5" t="str">
        <f ca="1">IFERROR(__xludf.DUMMYFUNCTION("GOOGLETRANSLATE(B730,""ja"",""vi"")"),"nếu không thì")</f>
        <v>nếu không thì</v>
      </c>
      <c r="E730" s="4" t="str">
        <f ca="1">IFERROR(__xludf.DUMMYFUNCTION("GOOGLETRANSLATE(C730,""ja"",""vi"")"),"Đấu giá&gt; máy tính&gt; máy trạm&gt; Khác")</f>
        <v>Đấu giá&gt; máy tính&gt; máy trạm&gt; Khác</v>
      </c>
      <c r="F730" t="str">
        <f t="shared" ca="1" si="11"/>
        <v>"2084045764" : "nếu không thì",</v>
      </c>
    </row>
    <row r="731" spans="1:6" ht="15.75" customHeight="1">
      <c r="A731" s="14">
        <v>2084049580</v>
      </c>
      <c r="B731" s="14" t="s">
        <v>3239</v>
      </c>
      <c r="C731" s="14" t="s">
        <v>3241</v>
      </c>
      <c r="D731" s="5" t="str">
        <f ca="1">IFERROR(__xludf.DUMMYFUNCTION("GOOGLETRANSLATE(B731,""ja"",""vi"")"),"CLIE")</f>
        <v>CLIE</v>
      </c>
      <c r="E731" s="4" t="str">
        <f ca="1">IFERROR(__xludf.DUMMYFUNCTION("GOOGLETRANSLATE(C731,""ja"",""vi"")"),"Đấu giá&gt; máy tính&gt; PDA&gt; CLIE")</f>
        <v>Đấu giá&gt; máy tính&gt; PDA&gt; CLIE</v>
      </c>
      <c r="F731" t="str">
        <f t="shared" ca="1" si="11"/>
        <v>"2084049580" : "CLIE",</v>
      </c>
    </row>
    <row r="732" spans="1:6" ht="15.75" customHeight="1">
      <c r="A732" s="14">
        <v>2084049582</v>
      </c>
      <c r="B732" s="14" t="s">
        <v>3246</v>
      </c>
      <c r="C732" s="14" t="s">
        <v>3247</v>
      </c>
      <c r="D732" s="5" t="str">
        <f ca="1">IFERROR(__xludf.DUMMYFUNCTION("GOOGLETRANSLATE(B732,""ja"",""vi"")"),"Trường hợp cho PDA")</f>
        <v>Trường hợp cho PDA</v>
      </c>
      <c r="E732" s="4" t="str">
        <f ca="1">IFERROR(__xludf.DUMMYFUNCTION("GOOGLETRANSLATE(C732,""ja"",""vi"")"),"Đấu giá&gt; máy tính&gt; PDA&gt; Case cho PDA")</f>
        <v>Đấu giá&gt; máy tính&gt; PDA&gt; Case cho PDA</v>
      </c>
      <c r="F732" t="str">
        <f t="shared" ca="1" si="11"/>
        <v>"2084049582" : "Trường hợp cho PDA",</v>
      </c>
    </row>
    <row r="733" spans="1:6" ht="15.75" customHeight="1">
      <c r="A733" s="14">
        <v>44385</v>
      </c>
      <c r="B733" s="14" t="s">
        <v>3251</v>
      </c>
      <c r="C733" s="14" t="s">
        <v>3254</v>
      </c>
      <c r="D733" s="5" t="str">
        <f ca="1">IFERROR(__xludf.DUMMYFUNCTION("GOOGLETRANSLATE(B733,""ja"",""vi"")"),"Palm Dòng")</f>
        <v>Palm Dòng</v>
      </c>
      <c r="E733" s="4" t="str">
        <f ca="1">IFERROR(__xludf.DUMMYFUNCTION("GOOGLETRANSLATE(C733,""ja"",""vi"")"),"Đấu giá&gt; máy tính&gt; PDA&gt; loạt Palm")</f>
        <v>Đấu giá&gt; máy tính&gt; PDA&gt; loạt Palm</v>
      </c>
      <c r="F733" t="str">
        <f t="shared" ca="1" si="11"/>
        <v>"44385" : "Palm Dòng",</v>
      </c>
    </row>
    <row r="734" spans="1:6" ht="15.75" customHeight="1">
      <c r="A734" s="14">
        <v>44389</v>
      </c>
      <c r="B734" s="14" t="s">
        <v>3258</v>
      </c>
      <c r="C734" s="14" t="s">
        <v>3259</v>
      </c>
      <c r="D734" s="5" t="str">
        <f ca="1">IFERROR(__xludf.DUMMYFUNCTION("GOOGLETRANSLATE(B734,""ja"",""vi"")"),"windows CE")</f>
        <v>windows CE</v>
      </c>
      <c r="E734" s="4" t="str">
        <f ca="1">IFERROR(__xludf.DUMMYFUNCTION("GOOGLETRANSLATE(C734,""ja"",""vi"")"),"Đấu giá&gt; máy tính&gt; PDA&gt; Windows CE")</f>
        <v>Đấu giá&gt; máy tính&gt; PDA&gt; Windows CE</v>
      </c>
      <c r="F734" t="str">
        <f t="shared" ca="1" si="11"/>
        <v>"44389" : "windows CE",</v>
      </c>
    </row>
    <row r="735" spans="1:6" ht="15.75" customHeight="1">
      <c r="A735" s="14">
        <v>2084005095</v>
      </c>
      <c r="B735" s="14" t="s">
        <v>3262</v>
      </c>
      <c r="C735" s="14" t="s">
        <v>3264</v>
      </c>
      <c r="D735" s="5" t="str">
        <f ca="1">IFERROR(__xludf.DUMMYFUNCTION("GOOGLETRANSLATE(B735,""ja"",""vi"")"),"Zaurus")</f>
        <v>Zaurus</v>
      </c>
      <c r="E735" s="4" t="str">
        <f ca="1">IFERROR(__xludf.DUMMYFUNCTION("GOOGLETRANSLATE(C735,""ja"",""vi"")"),"Đấu giá&gt; máy tính&gt; PDA&gt; Zaurus")</f>
        <v>Đấu giá&gt; máy tính&gt; PDA&gt; Zaurus</v>
      </c>
      <c r="F735" t="str">
        <f t="shared" ca="1" si="11"/>
        <v>"2084005095" : "Zaurus",</v>
      </c>
    </row>
    <row r="736" spans="1:6" ht="15.75" customHeight="1">
      <c r="A736" s="14">
        <v>2084005096</v>
      </c>
      <c r="B736" s="14" t="s">
        <v>3267</v>
      </c>
      <c r="C736" s="14" t="s">
        <v>3268</v>
      </c>
      <c r="D736" s="5" t="str">
        <f ca="1">IFERROR(__xludf.DUMMYFUNCTION("GOOGLETRANSLATE(B736,""ja"",""vi"")"),"Pocket bảng")</f>
        <v>Pocket bảng</v>
      </c>
      <c r="E736" s="4" t="str">
        <f ca="1">IFERROR(__xludf.DUMMYFUNCTION("GOOGLETRANSLATE(C736,""ja"",""vi"")"),"Đấu giá&gt; máy tính&gt; PDA&gt; board túi")</f>
        <v>Đấu giá&gt; máy tính&gt; PDA&gt; board túi</v>
      </c>
      <c r="F736" t="str">
        <f t="shared" ca="1" si="11"/>
        <v>"2084005096" : "Pocket bảng",</v>
      </c>
    </row>
    <row r="737" spans="1:6" ht="15.75" customHeight="1">
      <c r="A737" s="14">
        <v>44390</v>
      </c>
      <c r="B737" s="14" t="s">
        <v>46</v>
      </c>
      <c r="C737" s="14" t="s">
        <v>3272</v>
      </c>
      <c r="D737" s="5" t="str">
        <f ca="1">IFERROR(__xludf.DUMMYFUNCTION("GOOGLETRANSLATE(B737,""ja"",""vi"")"),"nếu không thì")</f>
        <v>nếu không thì</v>
      </c>
      <c r="E737" s="4" t="str">
        <f ca="1">IFERROR(__xludf.DUMMYFUNCTION("GOOGLETRANSLATE(C737,""ja"",""vi"")"),"Đấu giá&gt; máy tính&gt; PDA&gt; Khác")</f>
        <v>Đấu giá&gt; máy tính&gt; PDA&gt; Khác</v>
      </c>
      <c r="F737" t="str">
        <f t="shared" ca="1" si="11"/>
        <v>"44390" : "nếu không thì",</v>
      </c>
    </row>
    <row r="738" spans="1:6" ht="15.75" customHeight="1">
      <c r="A738" s="14">
        <v>2084063583</v>
      </c>
      <c r="B738" s="14" t="s">
        <v>3138</v>
      </c>
      <c r="C738" s="14" t="s">
        <v>5402</v>
      </c>
      <c r="D738" s="5" t="str">
        <f ca="1">IFERROR(__xludf.DUMMYFUNCTION("GOOGLETRANSLATE(B738,""ja"",""vi"")"),"bộ")</f>
        <v>bộ</v>
      </c>
      <c r="E738" s="4" t="str">
        <f ca="1">IFERROR(__xludf.DUMMYFUNCTION("GOOGLETRANSLATE(C738,""ja"",""vi"")"),"Đấu giá&gt; nhà, nội thất&gt; nội thất, nội thất&gt; bàn&gt; bàn máy tính&gt; bộ")</f>
        <v>Đấu giá&gt; nhà, nội thất&gt; nội thất, nội thất&gt; bàn&gt; bàn máy tính&gt; bộ</v>
      </c>
      <c r="F738" t="str">
        <f t="shared" ca="1" si="11"/>
        <v>"2084063583" : "bộ",</v>
      </c>
    </row>
    <row r="739" spans="1:6" ht="15.75" customHeight="1">
      <c r="A739" s="14">
        <v>2084062773</v>
      </c>
      <c r="B739" s="14" t="s">
        <v>2241</v>
      </c>
      <c r="C739" s="14" t="s">
        <v>5403</v>
      </c>
      <c r="D739" s="5" t="str">
        <f ca="1">IFERROR(__xludf.DUMMYFUNCTION("GOOGLETRANSLATE(B739,""ja"",""vi"")"),"chung")</f>
        <v>chung</v>
      </c>
      <c r="E739" s="4" t="str">
        <f ca="1">IFERROR(__xludf.DUMMYFUNCTION("GOOGLETRANSLATE(C739,""ja"",""vi"")"),"Đấu giá&gt; nhà, nội thất&gt; nội thất, nội thất&gt; bàn&gt; bàn máy tính&gt; chung")</f>
        <v>Đấu giá&gt; nhà, nội thất&gt; nội thất, nội thất&gt; bàn&gt; bàn máy tính&gt; chung</v>
      </c>
      <c r="F739" t="str">
        <f t="shared" ca="1" si="11"/>
        <v>"2084062773" : "chung",</v>
      </c>
    </row>
    <row r="740" spans="1:6" ht="15.75" customHeight="1">
      <c r="A740" s="14">
        <v>2084062774</v>
      </c>
      <c r="B740" s="14" t="s">
        <v>5406</v>
      </c>
      <c r="C740" s="14" t="s">
        <v>5408</v>
      </c>
      <c r="D740" s="5" t="str">
        <f ca="1">IFERROR(__xludf.DUMMYFUNCTION("GOOGLETRANSLATE(B740,""ja"",""vi"")"),"bàn thấp")</f>
        <v>bàn thấp</v>
      </c>
      <c r="E740" s="4" t="str">
        <f ca="1">IFERROR(__xludf.DUMMYFUNCTION("GOOGLETRANSLATE(C740,""ja"",""vi"")"),"Đấu giá&gt; nhà, nội thất&gt; nội thất, nội thất&gt; bàn&gt; bàn máy tính&gt; bàn thấp")</f>
        <v>Đấu giá&gt; nhà, nội thất&gt; nội thất, nội thất&gt; bàn&gt; bàn máy tính&gt; bàn thấp</v>
      </c>
      <c r="F740" t="str">
        <f t="shared" ca="1" si="11"/>
        <v>"2084062774" : "bàn thấp",</v>
      </c>
    </row>
    <row r="741" spans="1:6" ht="15.75" customHeight="1">
      <c r="A741" s="14">
        <v>2084063577</v>
      </c>
      <c r="B741" s="14" t="s">
        <v>5410</v>
      </c>
      <c r="C741" s="14" t="s">
        <v>5412</v>
      </c>
      <c r="D741" s="5" t="str">
        <f ca="1">IFERROR(__xludf.DUMMYFUNCTION("GOOGLETRANSLATE(B741,""ja"",""vi"")"),"Tủ, bàn toa xe")</f>
        <v>Tủ, bàn toa xe</v>
      </c>
      <c r="E741" s="4" t="str">
        <f ca="1">IFERROR(__xludf.DUMMYFUNCTION("GOOGLETRANSLATE(C741,""ja"",""vi"")"),"Đấu giá&gt; nhà, nội thất&gt; nội thất, nội thất&gt; bàn&gt; bàn máy tính&gt; tủ, bàn toa xe")</f>
        <v>Đấu giá&gt; nhà, nội thất&gt; nội thất, nội thất&gt; bàn&gt; bàn máy tính&gt; tủ, bàn toa xe</v>
      </c>
      <c r="F741" t="str">
        <f t="shared" ca="1" si="11"/>
        <v>"2084063577" : "Tủ, bàn toa xe",</v>
      </c>
    </row>
    <row r="742" spans="1:6" ht="15.75" customHeight="1">
      <c r="A742" s="14">
        <v>2084008024</v>
      </c>
      <c r="B742" s="14" t="s">
        <v>3696</v>
      </c>
      <c r="C742" s="14" t="s">
        <v>3698</v>
      </c>
      <c r="D742" s="5" t="str">
        <f ca="1">IFERROR(__xludf.DUMMYFUNCTION("GOOGLETRANSLATE(B742,""ja"",""vi"")"),"PC chung")</f>
        <v>PC chung</v>
      </c>
      <c r="E742" s="4" t="str">
        <f ca="1">IFERROR(__xludf.DUMMYFUNCTION("GOOGLETRANSLATE(C742,""ja"",""vi"")"),"Đấu giá&gt; cuốn sách, tạp chí&gt; Tạp chí&gt; máy tính và internet&gt; chung máy tính cá nhân")</f>
        <v>Đấu giá&gt; cuốn sách, tạp chí&gt; Tạp chí&gt; máy tính và internet&gt; chung máy tính cá nhân</v>
      </c>
      <c r="F742" t="str">
        <f t="shared" ca="1" si="11"/>
        <v>"2084008024" : "PC chung",</v>
      </c>
    </row>
    <row r="743" spans="1:6" ht="15.75" customHeight="1">
      <c r="A743" s="14">
        <v>2084008026</v>
      </c>
      <c r="B743" s="14" t="s">
        <v>3703</v>
      </c>
      <c r="C743" s="14" t="s">
        <v>3705</v>
      </c>
      <c r="D743" s="5" t="str">
        <f ca="1">IFERROR(__xludf.DUMMYFUNCTION("GOOGLETRANSLATE(B743,""ja"",""vi"")"),"tạp chí Mac")</f>
        <v>tạp chí Mac</v>
      </c>
      <c r="E743" s="4" t="str">
        <f ca="1">IFERROR(__xludf.DUMMYFUNCTION("GOOGLETRANSLATE(C743,""ja"",""vi"")"),"Đấu giá&gt; cuốn sách, tạp chí&gt; Tạp chí&gt; máy tính và internet&gt; Mac tạp chí liên quan")</f>
        <v>Đấu giá&gt; cuốn sách, tạp chí&gt; Tạp chí&gt; máy tính và internet&gt; Mac tạp chí liên quan</v>
      </c>
      <c r="F743" t="str">
        <f t="shared" ca="1" si="11"/>
        <v>"2084008026" : "tạp chí Mac",</v>
      </c>
    </row>
    <row r="744" spans="1:6" ht="15.75" customHeight="1">
      <c r="A744" s="14">
        <v>2084008027</v>
      </c>
      <c r="B744" s="14" t="s">
        <v>3709</v>
      </c>
      <c r="C744" s="14" t="s">
        <v>3712</v>
      </c>
      <c r="D744" s="5" t="str">
        <f ca="1">IFERROR(__xludf.DUMMYFUNCTION("GOOGLETRANSLATE(B744,""ja"",""vi"")"),"tạp chí có liên quan của Windows")</f>
        <v>tạp chí có liên quan của Windows</v>
      </c>
      <c r="E744" s="4" t="str">
        <f ca="1">IFERROR(__xludf.DUMMYFUNCTION("GOOGLETRANSLATE(C744,""ja"",""vi"")"),"Đấu giá&gt; cuốn sách, tạp chí&gt; Tạp chí&gt; máy tính và internet&gt; tạp chí có liên quan của Windows")</f>
        <v>Đấu giá&gt; cuốn sách, tạp chí&gt; Tạp chí&gt; máy tính và internet&gt; tạp chí có liên quan của Windows</v>
      </c>
      <c r="F744" t="str">
        <f t="shared" ca="1" si="11"/>
        <v>"2084008027" : "tạp chí có liên quan của Windows",</v>
      </c>
    </row>
    <row r="745" spans="1:6" ht="15.75" customHeight="1">
      <c r="A745" s="14">
        <v>2084008028</v>
      </c>
      <c r="B745" s="14" t="s">
        <v>3715</v>
      </c>
      <c r="C745" s="14" t="s">
        <v>3718</v>
      </c>
      <c r="D745" s="5" t="str">
        <f ca="1">IFERROR(__xludf.DUMMYFUNCTION("GOOGLETRANSLATE(B745,""ja"",""vi"")"),"Internet, truyền thông")</f>
        <v>Internet, truyền thông</v>
      </c>
      <c r="E745" s="4" t="str">
        <f ca="1">IFERROR(__xludf.DUMMYFUNCTION("GOOGLETRANSLATE(C745,""ja"",""vi"")"),"Đấu giá&gt; cuốn sách, tạp chí&gt; Tạp chí&gt; máy tính và internet&gt; Internet, thông tin liên lạc")</f>
        <v>Đấu giá&gt; cuốn sách, tạp chí&gt; Tạp chí&gt; máy tính và internet&gt; Internet, thông tin liên lạc</v>
      </c>
      <c r="F745" t="str">
        <f t="shared" ca="1" si="11"/>
        <v>"2084008028" : "Internet, truyền thông",</v>
      </c>
    </row>
    <row r="746" spans="1:6" ht="15.75" customHeight="1">
      <c r="A746" s="14">
        <v>2084008029</v>
      </c>
      <c r="B746" s="14" t="s">
        <v>3722</v>
      </c>
      <c r="C746" s="14" t="s">
        <v>3724</v>
      </c>
      <c r="D746" s="5" t="str">
        <f ca="1">IFERROR(__xludf.DUMMYFUNCTION("GOOGLETRANSLATE(B746,""ja"",""vi"")"),"nhạc máy tính, DTM")</f>
        <v>nhạc máy tính, DTM</v>
      </c>
      <c r="E746" s="4" t="str">
        <f ca="1">IFERROR(__xludf.DUMMYFUNCTION("GOOGLETRANSLATE(C746,""ja"",""vi"")"),"Đấu giá&gt; cuốn sách, tạp chí&gt; Tạp chí&gt; máy tính và internet&gt; nhạc máy tính, DTM")</f>
        <v>Đấu giá&gt; cuốn sách, tạp chí&gt; Tạp chí&gt; máy tính và internet&gt; nhạc máy tính, DTM</v>
      </c>
      <c r="F746" t="str">
        <f t="shared" ca="1" si="11"/>
        <v>"2084008029" : "nhạc máy tính, DTM",</v>
      </c>
    </row>
    <row r="747" spans="1:6" ht="15.75" customHeight="1">
      <c r="A747" s="14">
        <v>2084008025</v>
      </c>
      <c r="B747" s="14" t="s">
        <v>3728</v>
      </c>
      <c r="C747" s="14" t="s">
        <v>3730</v>
      </c>
      <c r="D747" s="5" t="str">
        <f ca="1">IFERROR(__xludf.DUMMYFUNCTION("GOOGLETRANSLATE(B747,""ja"",""vi"")"),"PC Games")</f>
        <v>PC Games</v>
      </c>
      <c r="E747" s="4" t="str">
        <f ca="1">IFERROR(__xludf.DUMMYFUNCTION("GOOGLETRANSLATE(C747,""ja"",""vi"")"),"Đấu giá&gt; cuốn sách, tạp chí&gt; Tạp chí&gt; máy tính và internet&gt; trò chơi máy tính cá nhân")</f>
        <v>Đấu giá&gt; cuốn sách, tạp chí&gt; Tạp chí&gt; máy tính và internet&gt; trò chơi máy tính cá nhân</v>
      </c>
      <c r="F747" t="str">
        <f t="shared" ca="1" si="11"/>
        <v>"2084008025" : "PC Games",</v>
      </c>
    </row>
    <row r="748" spans="1:6" ht="15.75" customHeight="1">
      <c r="A748" s="14">
        <v>2084008801</v>
      </c>
      <c r="B748" s="14" t="s">
        <v>5099</v>
      </c>
      <c r="C748" s="14" t="s">
        <v>5424</v>
      </c>
      <c r="D748" s="5" t="str">
        <f ca="1">IFERROR(__xludf.DUMMYFUNCTION("GOOGLETRANSLATE(B748,""ja"",""vi"")"),"Mac")</f>
        <v>Mac</v>
      </c>
      <c r="E748" s="4" t="str">
        <f ca="1">IFERROR(__xludf.DUMMYFUNCTION("GOOGLETRANSLATE(C748,""ja"",""vi"")"),"Đấu giá&gt; cuốn sách, tạp chí&gt; máy tính và internet&gt; Mac")</f>
        <v>Đấu giá&gt; cuốn sách, tạp chí&gt; máy tính và internet&gt; Mac</v>
      </c>
      <c r="F748" t="str">
        <f t="shared" ca="1" si="11"/>
        <v>"2084008801" : "Mac",</v>
      </c>
    </row>
    <row r="749" spans="1:6" ht="15.75" customHeight="1">
      <c r="A749" s="14">
        <v>2084008809</v>
      </c>
      <c r="B749" s="14" t="s">
        <v>5426</v>
      </c>
      <c r="C749" s="14" t="s">
        <v>5427</v>
      </c>
      <c r="D749" s="5" t="str">
        <f ca="1">IFERROR(__xludf.DUMMYFUNCTION("GOOGLETRANSLATE(B749,""ja"",""vi"")"),"OS")</f>
        <v>OS</v>
      </c>
      <c r="E749" s="4" t="str">
        <f ca="1">IFERROR(__xludf.DUMMYFUNCTION("GOOGLETRANSLATE(C749,""ja"",""vi"")"),"Đấu giá&gt; cuốn sách, tạp chí&gt; máy tính và internet&gt; OS")</f>
        <v>Đấu giá&gt; cuốn sách, tạp chí&gt; máy tính và internet&gt; OS</v>
      </c>
      <c r="F749" t="str">
        <f t="shared" ca="1" si="11"/>
        <v>"2084008809" : "OS",</v>
      </c>
    </row>
    <row r="750" spans="1:6" ht="15.75" customHeight="1">
      <c r="A750" s="14">
        <v>2084008826</v>
      </c>
      <c r="B750" s="14" t="s">
        <v>5429</v>
      </c>
      <c r="C750" s="14" t="s">
        <v>5430</v>
      </c>
      <c r="D750" s="5" t="str">
        <f ca="1">IFERROR(__xludf.DUMMYFUNCTION("GOOGLETRANSLATE(B750,""ja"",""vi"")"),"ứng dụng")</f>
        <v>ứng dụng</v>
      </c>
      <c r="E750" s="4" t="str">
        <f ca="1">IFERROR(__xludf.DUMMYFUNCTION("GOOGLETRANSLATE(C750,""ja"",""vi"")"),"Đấu giá&gt; cuốn sách, tạp chí&gt; máy tính và internet&gt; Ứng dụng")</f>
        <v>Đấu giá&gt; cuốn sách, tạp chí&gt; máy tính và internet&gt; Ứng dụng</v>
      </c>
      <c r="F750" t="str">
        <f t="shared" ca="1" si="11"/>
        <v>"2084008826" : "ứng dụng",</v>
      </c>
    </row>
    <row r="751" spans="1:6" ht="15.75" customHeight="1">
      <c r="A751" s="14">
        <v>2084008845</v>
      </c>
      <c r="B751" s="14" t="s">
        <v>3715</v>
      </c>
      <c r="C751" s="14" t="s">
        <v>5432</v>
      </c>
      <c r="D751" s="5" t="str">
        <f ca="1">IFERROR(__xludf.DUMMYFUNCTION("GOOGLETRANSLATE(B751,""ja"",""vi"")"),"Internet, truyền thông")</f>
        <v>Internet, truyền thông</v>
      </c>
      <c r="E751" s="4" t="str">
        <f ca="1">IFERROR(__xludf.DUMMYFUNCTION("GOOGLETRANSLATE(C751,""ja"",""vi"")"),"Đấu giá&gt; cuốn sách, tạp chí&gt; máy tính và internet&gt; Internet, thông tin liên lạc")</f>
        <v>Đấu giá&gt; cuốn sách, tạp chí&gt; máy tính và internet&gt; Internet, thông tin liên lạc</v>
      </c>
      <c r="F751" t="str">
        <f t="shared" ca="1" si="11"/>
        <v>"2084008845" : "Internet, truyền thông",</v>
      </c>
    </row>
    <row r="752" spans="1:6" ht="15.75" customHeight="1">
      <c r="A752" s="14">
        <v>2084008856</v>
      </c>
      <c r="B752" s="14" t="s">
        <v>5434</v>
      </c>
      <c r="C752" s="14" t="s">
        <v>5435</v>
      </c>
      <c r="D752" s="5" t="str">
        <f ca="1">IFERROR(__xludf.DUMMYFUNCTION("GOOGLETRANSLATE(B752,""ja"",""vi"")"),"kiểm tra trình độ máy tính")</f>
        <v>kiểm tra trình độ máy tính</v>
      </c>
      <c r="E752" s="4" t="str">
        <f ca="1">IFERROR(__xludf.DUMMYFUNCTION("GOOGLETRANSLATE(C752,""ja"",""vi"")"),"Đấu giá&gt; cuốn sách, tạp chí&gt; máy tính và internet&gt; máy tính đủ điều kiện thi")</f>
        <v>Đấu giá&gt; cuốn sách, tạp chí&gt; máy tính và internet&gt; máy tính đủ điều kiện thi</v>
      </c>
      <c r="F752" t="str">
        <f t="shared" ca="1" si="11"/>
        <v>"2084008856" : "kiểm tra trình độ máy tính",</v>
      </c>
    </row>
    <row r="753" spans="1:6" ht="15.75" customHeight="1">
      <c r="A753" s="14">
        <v>2084048851</v>
      </c>
      <c r="B753" s="14" t="s">
        <v>5437</v>
      </c>
      <c r="C753" s="14" t="s">
        <v>5438</v>
      </c>
      <c r="D753" s="5" t="str">
        <f ca="1">IFERROR(__xludf.DUMMYFUNCTION("GOOGLETRANSLATE(B753,""ja"",""vi"")"),"thiết kế hệ thống, phát triển")</f>
        <v>thiết kế hệ thống, phát triển</v>
      </c>
      <c r="E753" s="4" t="str">
        <f ca="1">IFERROR(__xludf.DUMMYFUNCTION("GOOGLETRANSLATE(C753,""ja"",""vi"")"),"Đấu giá&gt; cuốn sách, tạp chí&gt; máy tính và internet&gt; thiết kế hệ thống, phát triển")</f>
        <v>Đấu giá&gt; cuốn sách, tạp chí&gt; máy tính và internet&gt; thiết kế hệ thống, phát triển</v>
      </c>
      <c r="F753" t="str">
        <f t="shared" ca="1" si="11"/>
        <v>"2084048851" : "thiết kế hệ thống, phát triển",</v>
      </c>
    </row>
    <row r="754" spans="1:6" ht="15.75" customHeight="1">
      <c r="A754" s="14">
        <v>2084048456</v>
      </c>
      <c r="B754" s="14" t="s">
        <v>5440</v>
      </c>
      <c r="C754" s="14" t="s">
        <v>5441</v>
      </c>
      <c r="D754" s="5" t="str">
        <f ca="1">IFERROR(__xludf.DUMMYFUNCTION("GOOGLETRANSLATE(B754,""ja"",""vi"")"),"Digital Tạo")</f>
        <v>Digital Tạo</v>
      </c>
      <c r="E754" s="4" t="str">
        <f ca="1">IFERROR(__xludf.DUMMYFUNCTION("GOOGLETRANSLATE(C754,""ja"",""vi"")"),"Đấu giá&gt; cuốn sách, tạp chí&gt; máy tính và internet&gt; Digital Tạo")</f>
        <v>Đấu giá&gt; cuốn sách, tạp chí&gt; máy tính và internet&gt; Digital Tạo</v>
      </c>
      <c r="F754" t="str">
        <f t="shared" ca="1" si="11"/>
        <v>"2084048456" : "Digital Tạo",</v>
      </c>
    </row>
    <row r="755" spans="1:6" ht="15.75" customHeight="1">
      <c r="A755" s="14">
        <v>2084008802</v>
      </c>
      <c r="B755" s="14" t="s">
        <v>5444</v>
      </c>
      <c r="C755" s="14" t="s">
        <v>5445</v>
      </c>
      <c r="D755" s="5" t="str">
        <f ca="1">IFERROR(__xludf.DUMMYFUNCTION("GOOGLETRANSLATE(B755,""ja"",""vi"")"),"phần cứng")</f>
        <v>phần cứng</v>
      </c>
      <c r="E755" s="4" t="str">
        <f ca="1">IFERROR(__xludf.DUMMYFUNCTION("GOOGLETRANSLATE(C755,""ja"",""vi"")"),"Đấu giá&gt; cuốn sách, tạp chí&gt; máy tính và internet&gt; phần cứng")</f>
        <v>Đấu giá&gt; cuốn sách, tạp chí&gt; máy tính và internet&gt; phần cứng</v>
      </c>
      <c r="F755" t="str">
        <f t="shared" ca="1" si="11"/>
        <v>"2084008802" : "phần cứng",</v>
      </c>
    </row>
    <row r="756" spans="1:6" ht="15.75" customHeight="1">
      <c r="A756" s="14">
        <v>2084008817</v>
      </c>
      <c r="B756" s="14" t="s">
        <v>5447</v>
      </c>
      <c r="C756" s="14" t="s">
        <v>5448</v>
      </c>
      <c r="D756" s="5" t="str">
        <f ca="1">IFERROR(__xludf.DUMMYFUNCTION("GOOGLETRANSLATE(B756,""ja"",""vi"")"),"ngôn ngữ")</f>
        <v>ngôn ngữ</v>
      </c>
      <c r="E756" s="4" t="str">
        <f ca="1">IFERROR(__xludf.DUMMYFUNCTION("GOOGLETRANSLATE(C756,""ja"",""vi"")"),"Đấu giá&gt; cuốn sách, tạp chí&gt; máy tính và internet&gt; Ngôn ngữ")</f>
        <v>Đấu giá&gt; cuốn sách, tạp chí&gt; máy tính và internet&gt; Ngôn ngữ</v>
      </c>
      <c r="F756" t="str">
        <f t="shared" ca="1" si="11"/>
        <v>"2084008817" : "ngôn ngữ",</v>
      </c>
    </row>
    <row r="757" spans="1:6" ht="15.75" customHeight="1">
      <c r="A757" s="14">
        <v>21908</v>
      </c>
      <c r="B757" s="14" t="s">
        <v>1586</v>
      </c>
      <c r="C757" s="14" t="s">
        <v>5451</v>
      </c>
      <c r="D757" s="5" t="str">
        <f ca="1">IFERROR(__xludf.DUMMYFUNCTION("GOOGLETRANSLATE(B757,""ja"",""vi"")"),"tạp chí")</f>
        <v>tạp chí</v>
      </c>
      <c r="E757" s="4" t="str">
        <f ca="1">IFERROR(__xludf.DUMMYFUNCTION("GOOGLETRANSLATE(C757,""ja"",""vi"")"),"Đấu giá&gt; cuốn sách, tạp chí&gt; máy tính và Internet&gt; Tạp chí")</f>
        <v>Đấu giá&gt; cuốn sách, tạp chí&gt; máy tính và Internet&gt; Tạp chí</v>
      </c>
      <c r="F757" t="str">
        <f t="shared" ca="1" si="11"/>
        <v>"21908" : "tạp chí",</v>
      </c>
    </row>
    <row r="758" spans="1:6" ht="15.75" customHeight="1">
      <c r="A758" s="14">
        <v>2084239063</v>
      </c>
      <c r="B758" s="14" t="s">
        <v>2241</v>
      </c>
      <c r="C758" s="14" t="s">
        <v>3941</v>
      </c>
      <c r="D758" s="5" t="str">
        <f ca="1">IFERROR(__xludf.DUMMYFUNCTION("GOOGLETRANSLATE(B758,""ja"",""vi"")"),"chung")</f>
        <v>chung</v>
      </c>
      <c r="E758" s="4" t="str">
        <f ca="1">IFERROR(__xludf.DUMMYFUNCTION("GOOGLETRANSLATE(C758,""ja"",""vi"")"),"Đấu giá&gt; thiết bị điện tử tiêu dùng, AV, máy ảnh&gt; máy giặt, sắt&gt; sắt&gt; chung")</f>
        <v>Đấu giá&gt; thiết bị điện tử tiêu dùng, AV, máy ảnh&gt; máy giặt, sắt&gt; sắt&gt; chung</v>
      </c>
      <c r="F758" t="str">
        <f t="shared" ca="1" si="11"/>
        <v>"2084239063" : "chung",</v>
      </c>
    </row>
    <row r="759" spans="1:6" ht="15.75" customHeight="1">
      <c r="A759" s="14">
        <v>2084239055</v>
      </c>
      <c r="B759" s="14" t="s">
        <v>3943</v>
      </c>
      <c r="C759" s="14" t="s">
        <v>3945</v>
      </c>
      <c r="D759" s="5" t="str">
        <f ca="1">IFERROR(__xludf.DUMMYFUNCTION("GOOGLETRANSLATE(B759,""ja"",""vi"")"),"sắt không dây")</f>
        <v>sắt không dây</v>
      </c>
      <c r="E759" s="4" t="str">
        <f ca="1">IFERROR(__xludf.DUMMYFUNCTION("GOOGLETRANSLATE(C759,""ja"",""vi"")"),"Đấu giá&gt; thiết bị điện tử tiêu dùng, AV, máy ảnh&gt; máy giặt, sắt&gt; sắt&gt; sắt không dây")</f>
        <v>Đấu giá&gt; thiết bị điện tử tiêu dùng, AV, máy ảnh&gt; máy giặt, sắt&gt; sắt&gt; sắt không dây</v>
      </c>
      <c r="F759" t="str">
        <f t="shared" ca="1" si="11"/>
        <v>"2084239055" : "sắt không dây",</v>
      </c>
    </row>
    <row r="760" spans="1:6" ht="15.75" customHeight="1">
      <c r="A760" s="14">
        <v>2084239056</v>
      </c>
      <c r="B760" s="14" t="s">
        <v>3951</v>
      </c>
      <c r="C760" s="14" t="s">
        <v>3953</v>
      </c>
      <c r="D760" s="5" t="str">
        <f ca="1">IFERROR(__xludf.DUMMYFUNCTION("GOOGLETRANSLATE(B760,""ja"",""vi"")"),"Handy sắt")</f>
        <v>Handy sắt</v>
      </c>
      <c r="E760" s="4" t="str">
        <f ca="1">IFERROR(__xludf.DUMMYFUNCTION("GOOGLETRANSLATE(C760,""ja"",""vi"")"),"Đấu giá&gt; thiết bị điện tử tiêu dùng, AV, máy ảnh&gt; máy giặt, sắt&gt; sắt&gt; ủi tiện dụng")</f>
        <v>Đấu giá&gt; thiết bị điện tử tiêu dùng, AV, máy ảnh&gt; máy giặt, sắt&gt; sắt&gt; ủi tiện dụng</v>
      </c>
      <c r="F760" t="str">
        <f t="shared" ca="1" si="11"/>
        <v>"2084239056" : "Handy sắt",</v>
      </c>
    </row>
    <row r="761" spans="1:6" ht="15.75" customHeight="1">
      <c r="A761" s="14">
        <v>2084024441</v>
      </c>
      <c r="B761" s="14" t="s">
        <v>3954</v>
      </c>
      <c r="C761" s="14" t="s">
        <v>3956</v>
      </c>
      <c r="D761" s="5" t="str">
        <f ca="1">IFERROR(__xludf.DUMMYFUNCTION("GOOGLETRANSLATE(B761,""ja"",""vi"")"),"bàn ủi")</f>
        <v>bàn ủi</v>
      </c>
      <c r="E761" s="4" t="str">
        <f ca="1">IFERROR(__xludf.DUMMYFUNCTION("GOOGLETRANSLATE(C761,""ja"",""vi"")"),"Đấu giá&gt; thiết bị điện tử tiêu dùng, AV, máy ảnh&gt; máy giặt, sắt&gt; sắt&gt; bàn ủi")</f>
        <v>Đấu giá&gt; thiết bị điện tử tiêu dùng, AV, máy ảnh&gt; máy giặt, sắt&gt; sắt&gt; bàn ủi</v>
      </c>
      <c r="F761" t="str">
        <f t="shared" ca="1" si="11"/>
        <v>"2084024441" : "bàn ủi",</v>
      </c>
    </row>
    <row r="762" spans="1:6" ht="15.75" customHeight="1">
      <c r="A762" s="14">
        <v>23848</v>
      </c>
      <c r="B762" s="14" t="s">
        <v>2261</v>
      </c>
      <c r="C762" s="14" t="s">
        <v>5459</v>
      </c>
      <c r="D762" s="5" t="str">
        <f ca="1">IFERROR(__xludf.DUMMYFUNCTION("GOOGLETRANSLATE(B762,""ja"",""vi"")"),"xách tay chơi")</f>
        <v>xách tay chơi</v>
      </c>
      <c r="E762" s="4" t="str">
        <f ca="1">IFERROR(__xludf.DUMMYFUNCTION("GOOGLETRANSLATE(C762,""ja"",""vi"")"),"Đấu giá&gt; thiết bị điện tử tiêu dùng, AV, máy ảnh&gt; Thiết bị âm thanh&gt; Máy nghe di động")</f>
        <v>Đấu giá&gt; thiết bị điện tử tiêu dùng, AV, máy ảnh&gt; Thiết bị âm thanh&gt; Máy nghe di động</v>
      </c>
      <c r="F762" t="str">
        <f t="shared" ca="1" si="11"/>
        <v>"23848" : "xách tay chơi",</v>
      </c>
    </row>
    <row r="763" spans="1:6" ht="15.75" customHeight="1">
      <c r="A763" s="14">
        <v>23804</v>
      </c>
      <c r="B763" s="14" t="s">
        <v>4403</v>
      </c>
      <c r="C763" s="14" t="s">
        <v>5462</v>
      </c>
      <c r="D763" s="5" t="str">
        <f ca="1">IFERROR(__xludf.DUMMYFUNCTION("GOOGLETRANSLATE(B763,""ja"",""vi"")"),"Tai nghe, tai nghe")</f>
        <v>Tai nghe, tai nghe</v>
      </c>
      <c r="E763" s="4" t="str">
        <f ca="1">IFERROR(__xludf.DUMMYFUNCTION("GOOGLETRANSLATE(C763,""ja"",""vi"")"),"Đấu giá&gt; thiết bị điện tử tiêu dùng, AV, máy ảnh&gt; Thiết bị âm thanh&gt; tai nghe, tai nghe")</f>
        <v>Đấu giá&gt; thiết bị điện tử tiêu dùng, AV, máy ảnh&gt; Thiết bị âm thanh&gt; tai nghe, tai nghe</v>
      </c>
      <c r="F763" t="str">
        <f t="shared" ca="1" si="11"/>
        <v>"23804" : "Tai nghe, tai nghe",</v>
      </c>
    </row>
    <row r="764" spans="1:6" ht="15.75" customHeight="1">
      <c r="A764" s="14">
        <v>23792</v>
      </c>
      <c r="B764" s="14" t="s">
        <v>2670</v>
      </c>
      <c r="C764" s="14" t="s">
        <v>5465</v>
      </c>
      <c r="D764" s="5" t="str">
        <f ca="1">IFERROR(__xludf.DUMMYFUNCTION("GOOGLETRANSLATE(B764,""ja"",""vi"")"),"amp")</f>
        <v>amp</v>
      </c>
      <c r="E764" s="4" t="str">
        <f ca="1">IFERROR(__xludf.DUMMYFUNCTION("GOOGLETRANSLATE(C764,""ja"",""vi"")"),"Đấu giá&gt; thiết bị điện tử tiêu dùng, AV, máy ảnh&gt; Thiết bị âm thanh&gt; Bộ khuếch đại")</f>
        <v>Đấu giá&gt; thiết bị điện tử tiêu dùng, AV, máy ảnh&gt; Thiết bị âm thanh&gt; Bộ khuếch đại</v>
      </c>
      <c r="F764" t="str">
        <f t="shared" ca="1" si="11"/>
        <v>"23792" : "amp",</v>
      </c>
    </row>
    <row r="765" spans="1:6" ht="15.75" customHeight="1">
      <c r="A765" s="14">
        <v>23812</v>
      </c>
      <c r="B765" s="14" t="s">
        <v>2654</v>
      </c>
      <c r="C765" s="14" t="s">
        <v>5467</v>
      </c>
      <c r="D765" s="5" t="str">
        <f ca="1">IFERROR(__xludf.DUMMYFUNCTION("GOOGLETRANSLATE(B765,""ja"",""vi"")"),"loa")</f>
        <v>loa</v>
      </c>
      <c r="E765" s="4" t="str">
        <f ca="1">IFERROR(__xludf.DUMMYFUNCTION("GOOGLETRANSLATE(C765,""ja"",""vi"")"),"Đấu giá&gt; thiết bị điện tử tiêu dùng, AV, máy ảnh&gt; Thiết bị âm thanh&gt; Loa")</f>
        <v>Đấu giá&gt; thiết bị điện tử tiêu dùng, AV, máy ảnh&gt; Thiết bị âm thanh&gt; Loa</v>
      </c>
      <c r="F765" t="str">
        <f t="shared" ca="1" si="11"/>
        <v>"23812" : "loa",</v>
      </c>
    </row>
    <row r="766" spans="1:6" ht="15.75" customHeight="1">
      <c r="A766" s="14">
        <v>23772</v>
      </c>
      <c r="B766" s="14" t="s">
        <v>5470</v>
      </c>
      <c r="C766" s="14" t="s">
        <v>5472</v>
      </c>
      <c r="D766" s="5" t="str">
        <f ca="1">IFERROR(__xludf.DUMMYFUNCTION("GOOGLETRANSLATE(B766,""ja"",""vi"")"),"CD boong")</f>
        <v>CD boong</v>
      </c>
      <c r="E766" s="4" t="str">
        <f ca="1">IFERROR(__xludf.DUMMYFUNCTION("GOOGLETRANSLATE(C766,""ja"",""vi"")"),"Đấu giá&gt; thiết bị điện tử tiêu dùng, AV, máy ảnh&gt; Thiết bị âm thanh&gt; CD boong")</f>
        <v>Đấu giá&gt; thiết bị điện tử tiêu dùng, AV, máy ảnh&gt; Thiết bị âm thanh&gt; CD boong</v>
      </c>
      <c r="F766" t="str">
        <f t="shared" ca="1" si="11"/>
        <v>"23772" : "CD boong",</v>
      </c>
    </row>
    <row r="767" spans="1:6" ht="15.75" customHeight="1">
      <c r="A767" s="14">
        <v>2084261081</v>
      </c>
      <c r="B767" s="14" t="s">
        <v>2796</v>
      </c>
      <c r="C767" s="14" t="s">
        <v>5475</v>
      </c>
      <c r="D767" s="5" t="str">
        <f ca="1">IFERROR(__xludf.DUMMYFUNCTION("GOOGLETRANSLATE(B767,""ja"",""vi"")"),"thiết bị DJ")</f>
        <v>thiết bị DJ</v>
      </c>
      <c r="E767" s="4" t="str">
        <f ca="1">IFERROR(__xludf.DUMMYFUNCTION("GOOGLETRANSLATE(C767,""ja"",""vi"")"),"Đấu giá&gt; thiết bị điện tử tiêu dùng, AV, máy ảnh&gt; Thiết bị âm thanh&gt; thiết bị DJ")</f>
        <v>Đấu giá&gt; thiết bị điện tử tiêu dùng, AV, máy ảnh&gt; Thiết bị âm thanh&gt; thiết bị DJ</v>
      </c>
      <c r="F767" t="str">
        <f t="shared" ca="1" si="11"/>
        <v>"2084261081" : "thiết bị DJ",</v>
      </c>
    </row>
    <row r="768" spans="1:6" ht="15.75" customHeight="1">
      <c r="A768" s="14">
        <v>23824</v>
      </c>
      <c r="B768" s="14" t="s">
        <v>2727</v>
      </c>
      <c r="C768" s="14" t="s">
        <v>5477</v>
      </c>
      <c r="D768" s="5" t="str">
        <f ca="1">IFERROR(__xludf.DUMMYFUNCTION("GOOGLETRANSLATE(B768,""ja"",""vi"")"),"turntable")</f>
        <v>turntable</v>
      </c>
      <c r="E768" s="4" t="str">
        <f ca="1">IFERROR(__xludf.DUMMYFUNCTION("GOOGLETRANSLATE(C768,""ja"",""vi"")"),"Đấu giá&gt; thiết bị điện tử tiêu dùng, AV, máy ảnh&gt; Thiết bị âm thanh&gt; bàn xoay")</f>
        <v>Đấu giá&gt; thiết bị điện tử tiêu dùng, AV, máy ảnh&gt; Thiết bị âm thanh&gt; bàn xoay</v>
      </c>
      <c r="F768" t="str">
        <f t="shared" ca="1" si="11"/>
        <v>"23824" : "turntable",</v>
      </c>
    </row>
    <row r="769" spans="1:6" ht="15.75" customHeight="1">
      <c r="A769" s="14">
        <v>23816</v>
      </c>
      <c r="B769" s="14" t="s">
        <v>5479</v>
      </c>
      <c r="C769" s="14" t="s">
        <v>5481</v>
      </c>
      <c r="D769" s="5" t="str">
        <f ca="1">IFERROR(__xludf.DUMMYFUNCTION("GOOGLETRANSLATE(B769,""ja"",""vi"")"),"thành phần hệ thống")</f>
        <v>thành phần hệ thống</v>
      </c>
      <c r="E769" s="4" t="str">
        <f ca="1">IFERROR(__xludf.DUMMYFUNCTION("GOOGLETRANSLATE(C769,""ja"",""vi"")"),"Đấu giá&gt; thiết bị điện tử tiêu dùng, AV, máy ảnh&gt; Thiết bị âm thanh&gt; thành phần hệ thống")</f>
        <v>Đấu giá&gt; thiết bị điện tử tiêu dùng, AV, máy ảnh&gt; Thiết bị âm thanh&gt; thành phần hệ thống</v>
      </c>
      <c r="F769" t="str">
        <f t="shared" ca="1" si="11"/>
        <v>"23816" : "thành phần hệ thống",</v>
      </c>
    </row>
    <row r="770" spans="1:6" ht="15.75" customHeight="1">
      <c r="A770" s="14">
        <v>2084221806</v>
      </c>
      <c r="B770" s="14" t="s">
        <v>5483</v>
      </c>
      <c r="C770" s="14" t="s">
        <v>5484</v>
      </c>
      <c r="D770" s="5" t="str">
        <f ca="1">IFERROR(__xludf.DUMMYFUNCTION("GOOGLETRANSLATE(B770,""ja"",""vi"")"),"cáp Acoustic")</f>
        <v>cáp Acoustic</v>
      </c>
      <c r="E770" s="4" t="str">
        <f ca="1">IFERROR(__xludf.DUMMYFUNCTION("GOOGLETRANSLATE(C770,""ja"",""vi"")"),"Đấu giá&gt; thiết bị điện tử tiêu dùng, AV, máy ảnh&gt; Thiết bị âm thanh&gt; cáp âm thanh")</f>
        <v>Đấu giá&gt; thiết bị điện tử tiêu dùng, AV, máy ảnh&gt; Thiết bị âm thanh&gt; cáp âm thanh</v>
      </c>
      <c r="F770" t="str">
        <f t="shared" ref="F770:F833" ca="1" si="12">CONCATENATE(CHAR(34)&amp;"",A770,""&amp;CHAR(34)," : ", CHAR(34)&amp;"",D770,""&amp;CHAR(34),",")</f>
        <v>"2084221806" : "cáp Acoustic",</v>
      </c>
    </row>
    <row r="771" spans="1:6" ht="15.75" customHeight="1">
      <c r="A771" s="14">
        <v>2084024097</v>
      </c>
      <c r="B771" s="14" t="s">
        <v>5487</v>
      </c>
      <c r="C771" s="14" t="s">
        <v>5488</v>
      </c>
      <c r="D771" s="5" t="str">
        <f ca="1">IFERROR(__xludf.DUMMYFUNCTION("GOOGLETRANSLATE(B771,""ja"",""vi"")"),"MD boong")</f>
        <v>MD boong</v>
      </c>
      <c r="E771" s="4" t="str">
        <f ca="1">IFERROR(__xludf.DUMMYFUNCTION("GOOGLETRANSLATE(C771,""ja"",""vi"")"),"Đấu giá&gt; thiết bị điện tử tiêu dùng, AV, máy ảnh&gt; Thiết bị âm thanh&gt; MD boong")</f>
        <v>Đấu giá&gt; thiết bị điện tử tiêu dùng, AV, máy ảnh&gt; Thiết bị âm thanh&gt; MD boong</v>
      </c>
      <c r="F771" t="str">
        <f t="shared" ca="1" si="12"/>
        <v>"2084024097" : "MD boong",</v>
      </c>
    </row>
    <row r="772" spans="1:6" ht="15.75" customHeight="1">
      <c r="A772" s="14">
        <v>23832</v>
      </c>
      <c r="B772" s="14" t="s">
        <v>5490</v>
      </c>
      <c r="C772" s="14" t="s">
        <v>5492</v>
      </c>
      <c r="D772" s="5" t="str">
        <f ca="1">IFERROR(__xludf.DUMMYFUNCTION("GOOGLETRANSLATE(B772,""ja"",""vi"")"),"Cassette boong")</f>
        <v>Cassette boong</v>
      </c>
      <c r="E772" s="4" t="str">
        <f ca="1">IFERROR(__xludf.DUMMYFUNCTION("GOOGLETRANSLATE(C772,""ja"",""vi"")"),"Đấu giá&gt; thiết bị điện tử tiêu dùng, AV, máy ảnh&gt; Thiết bị âm thanh&gt; băng boong")</f>
        <v>Đấu giá&gt; thiết bị điện tử tiêu dùng, AV, máy ảnh&gt; Thiết bị âm thanh&gt; băng boong</v>
      </c>
      <c r="F772" t="str">
        <f t="shared" ca="1" si="12"/>
        <v>"23832" : "Cassette boong",</v>
      </c>
    </row>
    <row r="773" spans="1:6" ht="15.75" customHeight="1">
      <c r="A773" s="14">
        <v>2084286800</v>
      </c>
      <c r="B773" s="14" t="s">
        <v>5494</v>
      </c>
      <c r="C773" s="14" t="s">
        <v>5496</v>
      </c>
      <c r="D773" s="5" t="str">
        <f ca="1">IFERROR(__xludf.DUMMYFUNCTION("GOOGLETRANSLATE(B773,""ja"",""vi"")"),"thiết bị DAT")</f>
        <v>thiết bị DAT</v>
      </c>
      <c r="E773" s="4" t="str">
        <f ca="1">IFERROR(__xludf.DUMMYFUNCTION("GOOGLETRANSLATE(C773,""ja"",""vi"")"),"Đấu giá&gt; thiết bị điện tử tiêu dùng, AV, máy ảnh&gt; Thiết bị âm thanh&gt; thiết bị DAT")</f>
        <v>Đấu giá&gt; thiết bị điện tử tiêu dùng, AV, máy ảnh&gt; Thiết bị âm thanh&gt; thiết bị DAT</v>
      </c>
      <c r="F773" t="str">
        <f t="shared" ca="1" si="12"/>
        <v>"2084286800" : "thiết bị DAT",</v>
      </c>
    </row>
    <row r="774" spans="1:6" ht="15.75" customHeight="1">
      <c r="A774" s="14">
        <v>2084286799</v>
      </c>
      <c r="B774" s="14" t="s">
        <v>5499</v>
      </c>
      <c r="C774" s="14" t="s">
        <v>5500</v>
      </c>
      <c r="D774" s="5" t="str">
        <f ca="1">IFERROR(__xludf.DUMMYFUNCTION("GOOGLETRANSLATE(B774,""ja"",""vi"")"),"Reel-to-reel boong")</f>
        <v>Reel-to-reel boong</v>
      </c>
      <c r="E774" s="4" t="str">
        <f ca="1">IFERROR(__xludf.DUMMYFUNCTION("GOOGLETRANSLATE(C774,""ja"",""vi"")"),"Đấu giá&gt; thiết bị điện tử tiêu dùng, AV, máy ảnh&gt; Thiết bị âm thanh&gt; reel-to-reel boong")</f>
        <v>Đấu giá&gt; thiết bị điện tử tiêu dùng, AV, máy ảnh&gt; Thiết bị âm thanh&gt; reel-to-reel boong</v>
      </c>
      <c r="F774" t="str">
        <f t="shared" ca="1" si="12"/>
        <v>"2084286799" : "Reel-to-reel boong",</v>
      </c>
    </row>
    <row r="775" spans="1:6" ht="15.75" customHeight="1">
      <c r="A775" s="14">
        <v>2084024108</v>
      </c>
      <c r="B775" s="14" t="s">
        <v>5502</v>
      </c>
      <c r="C775" s="14" t="s">
        <v>5503</v>
      </c>
      <c r="D775" s="5" t="str">
        <f ca="1">IFERROR(__xludf.DUMMYFUNCTION("GOOGLETRANSLATE(B775,""ja"",""vi"")"),"máy ghi âm IC")</f>
        <v>máy ghi âm IC</v>
      </c>
      <c r="E775" s="4" t="str">
        <f ca="1">IFERROR(__xludf.DUMMYFUNCTION("GOOGLETRANSLATE(C775,""ja"",""vi"")"),"Đấu giá&gt; thiết bị điện tử tiêu dùng, AV, máy ảnh&gt; Thiết bị âm thanh&gt; máy ghi âm IC")</f>
        <v>Đấu giá&gt; thiết bị điện tử tiêu dùng, AV, máy ảnh&gt; Thiết bị âm thanh&gt; máy ghi âm IC</v>
      </c>
      <c r="F775" t="str">
        <f t="shared" ca="1" si="12"/>
        <v>"2084024108" : "máy ghi âm IC",</v>
      </c>
    </row>
    <row r="776" spans="1:6" ht="15.75" customHeight="1">
      <c r="A776" s="14">
        <v>2084024137</v>
      </c>
      <c r="B776" s="14" t="s">
        <v>5506</v>
      </c>
      <c r="C776" s="14" t="s">
        <v>5507</v>
      </c>
      <c r="D776" s="5" t="str">
        <f ca="1">IFERROR(__xludf.DUMMYFUNCTION("GOOGLETRANSLATE(B776,""ja"",""vi"")"),"radio")</f>
        <v>radio</v>
      </c>
      <c r="E776" s="4" t="str">
        <f ca="1">IFERROR(__xludf.DUMMYFUNCTION("GOOGLETRANSLATE(C776,""ja"",""vi"")"),"Đấu giá&gt; thiết bị điện tử tiêu dùng, AV, máy ảnh&gt; Thiết bị âm thanh&gt; Radio")</f>
        <v>Đấu giá&gt; thiết bị điện tử tiêu dùng, AV, máy ảnh&gt; Thiết bị âm thanh&gt; Radio</v>
      </c>
      <c r="F776" t="str">
        <f t="shared" ca="1" si="12"/>
        <v>"2084024137" : "radio",</v>
      </c>
    </row>
    <row r="777" spans="1:6" ht="15.75" customHeight="1">
      <c r="A777" s="14">
        <v>2084263358</v>
      </c>
      <c r="B777" s="14" t="s">
        <v>5510</v>
      </c>
      <c r="C777" s="14" t="s">
        <v>5511</v>
      </c>
      <c r="D777" s="5" t="str">
        <f ca="1">IFERROR(__xludf.DUMMYFUNCTION("GOOGLETRANSLATE(B777,""ja"",""vi"")"),"linh kiện điện tử")</f>
        <v>linh kiện điện tử</v>
      </c>
      <c r="E777" s="4" t="str">
        <f ca="1">IFERROR(__xludf.DUMMYFUNCTION("GOOGLETRANSLATE(C777,""ja"",""vi"")"),"Đấu giá&gt; thiết bị điện tử tiêu dùng, AV, máy ảnh&gt; Thiết bị âm thanh&gt; Linh kiện điện tử")</f>
        <v>Đấu giá&gt; thiết bị điện tử tiêu dùng, AV, máy ảnh&gt; Thiết bị âm thanh&gt; Linh kiện điện tử</v>
      </c>
      <c r="F777" t="str">
        <f t="shared" ca="1" si="12"/>
        <v>"2084263358" : "linh kiện điện tử",</v>
      </c>
    </row>
    <row r="778" spans="1:6" ht="15.75" customHeight="1">
      <c r="A778" s="14">
        <v>22544</v>
      </c>
      <c r="B778" s="14" t="s">
        <v>5514</v>
      </c>
      <c r="C778" s="14" t="s">
        <v>5515</v>
      </c>
      <c r="D778" s="5" t="str">
        <f ca="1">IFERROR(__xludf.DUMMYFUNCTION("GOOGLETRANSLATE(B778,""ja"",""vi"")"),"DTM, thiết bị DAW")</f>
        <v>DTM, thiết bị DAW</v>
      </c>
      <c r="E778" s="4" t="str">
        <f ca="1">IFERROR(__xludf.DUMMYFUNCTION("GOOGLETRANSLATE(C778,""ja"",""vi"")"),"Đấu giá&gt; thiết bị điện tử tiêu dùng, AV, máy ảnh&gt; Thiết bị âm thanh&gt; DTM, thiết bị DAW")</f>
        <v>Đấu giá&gt; thiết bị điện tử tiêu dùng, AV, máy ảnh&gt; Thiết bị âm thanh&gt; DTM, thiết bị DAW</v>
      </c>
      <c r="F778" t="str">
        <f t="shared" ca="1" si="12"/>
        <v>"22544" : "DTM, thiết bị DAW",</v>
      </c>
    </row>
    <row r="779" spans="1:6" ht="15.75" customHeight="1">
      <c r="A779" s="14">
        <v>23800</v>
      </c>
      <c r="B779" s="14" t="s">
        <v>4895</v>
      </c>
      <c r="C779" s="14" t="s">
        <v>5517</v>
      </c>
      <c r="D779" s="5" t="str">
        <f ca="1">IFERROR(__xludf.DUMMYFUNCTION("GOOGLETRANSLATE(B779,""ja"",""vi"")"),"equalizer")</f>
        <v>equalizer</v>
      </c>
      <c r="E779" s="4" t="str">
        <f ca="1">IFERROR(__xludf.DUMMYFUNCTION("GOOGLETRANSLATE(C779,""ja"",""vi"")"),"Đấu giá&gt; thiết bị điện tử tiêu dùng, AV, máy ảnh&gt; Thiết bị âm thanh&gt; equalizer")</f>
        <v>Đấu giá&gt; thiết bị điện tử tiêu dùng, AV, máy ảnh&gt; Thiết bị âm thanh&gt; equalizer</v>
      </c>
      <c r="F779" t="str">
        <f t="shared" ca="1" si="12"/>
        <v>"23800" : "equalizer",</v>
      </c>
    </row>
    <row r="780" spans="1:6" ht="15.75" customHeight="1">
      <c r="A780" s="14">
        <v>21608</v>
      </c>
      <c r="B780" s="14" t="s">
        <v>5520</v>
      </c>
      <c r="C780" s="14" t="s">
        <v>5521</v>
      </c>
      <c r="D780" s="5" t="str">
        <f ca="1">IFERROR(__xludf.DUMMYFUNCTION("GOOGLETRANSLATE(B780,""ja"",""vi"")"),"sách audio")</f>
        <v>sách audio</v>
      </c>
      <c r="E780" s="4" t="str">
        <f ca="1">IFERROR(__xludf.DUMMYFUNCTION("GOOGLETRANSLATE(C780,""ja"",""vi"")"),"Đấu giá&gt; thiết bị điện tử tiêu dùng, AV, máy ảnh&gt; Thiết bị âm thanh&gt; Âm thanh cuốn sách")</f>
        <v>Đấu giá&gt; thiết bị điện tử tiêu dùng, AV, máy ảnh&gt; Thiết bị âm thanh&gt; Âm thanh cuốn sách</v>
      </c>
      <c r="F780" t="str">
        <f t="shared" ca="1" si="12"/>
        <v>"21608" : "sách audio",</v>
      </c>
    </row>
    <row r="781" spans="1:6" ht="15.75" customHeight="1">
      <c r="A781" s="14">
        <v>23852</v>
      </c>
      <c r="B781" s="14" t="s">
        <v>5523</v>
      </c>
      <c r="C781" s="14" t="s">
        <v>5525</v>
      </c>
      <c r="D781" s="5" t="str">
        <f ca="1">IFERROR(__xludf.DUMMYFUNCTION("GOOGLETRANSLATE(B781,""ja"",""vi"")"),"Car Audio")</f>
        <v>Car Audio</v>
      </c>
      <c r="E781" s="4" t="str">
        <f ca="1">IFERROR(__xludf.DUMMYFUNCTION("GOOGLETRANSLATE(C781,""ja"",""vi"")"),"Đấu giá&gt; thiết bị điện tử tiêu dùng, AV, máy ảnh&gt; Thiết bị âm thanh&gt; Car Audio")</f>
        <v>Đấu giá&gt; thiết bị điện tử tiêu dùng, AV, máy ảnh&gt; Thiết bị âm thanh&gt; Car Audio</v>
      </c>
      <c r="F781" t="str">
        <f t="shared" ca="1" si="12"/>
        <v>"23852" : "Car Audio",</v>
      </c>
    </row>
    <row r="782" spans="1:6" ht="15.75" customHeight="1">
      <c r="A782" s="14">
        <v>2084048479</v>
      </c>
      <c r="B782" s="14" t="s">
        <v>5527</v>
      </c>
      <c r="C782" s="14" t="s">
        <v>5528</v>
      </c>
      <c r="D782" s="5" t="str">
        <f ca="1">IFERROR(__xludf.DUMMYFUNCTION("GOOGLETRANSLATE(B782,""ja"",""vi"")"),"thiết bị Karaoke")</f>
        <v>thiết bị Karaoke</v>
      </c>
      <c r="E782" s="4" t="str">
        <f ca="1">IFERROR(__xludf.DUMMYFUNCTION("GOOGLETRANSLATE(C782,""ja"",""vi"")"),"Đấu giá&gt; thiết bị điện tử tiêu dùng, AV, máy ảnh&gt; Thiết bị âm thanh&gt; Thiết bị karaoke")</f>
        <v>Đấu giá&gt; thiết bị điện tử tiêu dùng, AV, máy ảnh&gt; Thiết bị âm thanh&gt; Thiết bị karaoke</v>
      </c>
      <c r="F782" t="str">
        <f t="shared" ca="1" si="12"/>
        <v>"2084048479" : "thiết bị Karaoke",</v>
      </c>
    </row>
    <row r="783" spans="1:6" ht="15.75" customHeight="1">
      <c r="A783" s="14">
        <v>23820</v>
      </c>
      <c r="B783" s="14" t="s">
        <v>3114</v>
      </c>
      <c r="C783" s="14" t="s">
        <v>5532</v>
      </c>
      <c r="D783" s="5" t="str">
        <f ca="1">IFERROR(__xludf.DUMMYFUNCTION("GOOGLETRANSLATE(B783,""ja"",""vi"")"),"Tuner")</f>
        <v>Tuner</v>
      </c>
      <c r="E783" s="4" t="str">
        <f ca="1">IFERROR(__xludf.DUMMYFUNCTION("GOOGLETRANSLATE(C783,""ja"",""vi"")"),"Đấu giá&gt; thiết bị điện tử tiêu dùng, AV, máy ảnh&gt; Thiết bị âm thanh&gt; chỉnh")</f>
        <v>Đấu giá&gt; thiết bị điện tử tiêu dùng, AV, máy ảnh&gt; Thiết bị âm thanh&gt; chỉnh</v>
      </c>
      <c r="F783" t="str">
        <f t="shared" ca="1" si="12"/>
        <v>"23820" : "Tuner",</v>
      </c>
    </row>
    <row r="784" spans="1:6" ht="15.75" customHeight="1">
      <c r="A784" s="14">
        <v>2084024007</v>
      </c>
      <c r="B784" s="14" t="s">
        <v>5535</v>
      </c>
      <c r="C784" s="14" t="s">
        <v>5536</v>
      </c>
      <c r="D784" s="5" t="str">
        <f ca="1">IFERROR(__xludf.DUMMYFUNCTION("GOOGLETRANSLATE(B784,""ja"",""vi"")"),"microphone")</f>
        <v>microphone</v>
      </c>
      <c r="E784" s="4" t="str">
        <f ca="1">IFERROR(__xludf.DUMMYFUNCTION("GOOGLETRANSLATE(C784,""ja"",""vi"")"),"Đấu giá&gt; thiết bị điện tử tiêu dùng, AV, máy ảnh&gt; Thiết bị âm thanh&gt; microphone")</f>
        <v>Đấu giá&gt; thiết bị điện tử tiêu dùng, AV, máy ảnh&gt; Thiết bị âm thanh&gt; microphone</v>
      </c>
      <c r="F784" t="str">
        <f t="shared" ca="1" si="12"/>
        <v>"2084024007" : "microphone",</v>
      </c>
    </row>
    <row r="785" spans="1:6" ht="15.75" customHeight="1">
      <c r="A785" s="14">
        <v>2084024120</v>
      </c>
      <c r="B785" s="14" t="s">
        <v>2402</v>
      </c>
      <c r="C785" s="14" t="s">
        <v>5539</v>
      </c>
      <c r="D785" s="5" t="str">
        <f ca="1">IFERROR(__xludf.DUMMYFUNCTION("GOOGLETRANSLATE(B785,""ja"",""vi"")"),"phương tiện truyền thông ghi âm")</f>
        <v>phương tiện truyền thông ghi âm</v>
      </c>
      <c r="E785" s="4" t="str">
        <f ca="1">IFERROR(__xludf.DUMMYFUNCTION("GOOGLETRANSLATE(C785,""ja"",""vi"")"),"Đấu giá&gt; thiết bị điện tử tiêu dùng, AV, máy ảnh&gt; Thiết bị âm thanh&gt; ghi trung bình")</f>
        <v>Đấu giá&gt; thiết bị điện tử tiêu dùng, AV, máy ảnh&gt; Thiết bị âm thanh&gt; ghi trung bình</v>
      </c>
      <c r="F785" t="str">
        <f t="shared" ca="1" si="12"/>
        <v>"2084024120" : "phương tiện truyền thông ghi âm",</v>
      </c>
    </row>
    <row r="786" spans="1:6" ht="15.75" customHeight="1">
      <c r="A786" s="14">
        <v>2084008122</v>
      </c>
      <c r="B786" s="14" t="s">
        <v>1586</v>
      </c>
      <c r="C786" s="14" t="s">
        <v>5542</v>
      </c>
      <c r="D786" s="5" t="str">
        <f ca="1">IFERROR(__xludf.DUMMYFUNCTION("GOOGLETRANSLATE(B786,""ja"",""vi"")"),"tạp chí")</f>
        <v>tạp chí</v>
      </c>
      <c r="E786" s="4" t="str">
        <f ca="1">IFERROR(__xludf.DUMMYFUNCTION("GOOGLETRANSLATE(C786,""ja"",""vi"")"),"Đấu giá&gt; thiết bị điện tử tiêu dùng, AV, máy ảnh&gt; Thiết bị âm thanh&gt; Tạp chí")</f>
        <v>Đấu giá&gt; thiết bị điện tử tiêu dùng, AV, máy ảnh&gt; Thiết bị âm thanh&gt; Tạp chí</v>
      </c>
      <c r="F786" t="str">
        <f t="shared" ca="1" si="12"/>
        <v>"2084008122" : "tạp chí",</v>
      </c>
    </row>
    <row r="787" spans="1:6" ht="15.75" customHeight="1">
      <c r="A787" s="14">
        <v>2084048439</v>
      </c>
      <c r="B787" s="14" t="s">
        <v>5548</v>
      </c>
      <c r="C787" s="14" t="s">
        <v>5549</v>
      </c>
      <c r="D787" s="5" t="str">
        <f ca="1">IFERROR(__xludf.DUMMYFUNCTION("GOOGLETRANSLATE(B787,""ja"",""vi"")"),"máy hát")</f>
        <v>máy hát</v>
      </c>
      <c r="E787" s="4" t="str">
        <f ca="1">IFERROR(__xludf.DUMMYFUNCTION("GOOGLETRANSLATE(C787,""ja"",""vi"")"),"Đấu giá&gt; thiết bị điện tử tiêu dùng, AV, máy ảnh&gt; Thiết bị âm thanh&gt; máy hát")</f>
        <v>Đấu giá&gt; thiết bị điện tử tiêu dùng, AV, máy ảnh&gt; Thiết bị âm thanh&gt; máy hát</v>
      </c>
      <c r="F787" t="str">
        <f t="shared" ca="1" si="12"/>
        <v>"2084048439" : "máy hát",</v>
      </c>
    </row>
    <row r="788" spans="1:6" ht="15.75" customHeight="1">
      <c r="A788" s="14">
        <v>2084205443</v>
      </c>
      <c r="B788" s="14" t="s">
        <v>2178</v>
      </c>
      <c r="C788" s="14" t="s">
        <v>5552</v>
      </c>
      <c r="D788" s="5" t="str">
        <f ca="1">IFERROR(__xludf.DUMMYFUNCTION("GOOGLETRANSLATE(B788,""ja"",""vi"")"),"điều khiển từ xa")</f>
        <v>điều khiển từ xa</v>
      </c>
      <c r="E788" s="4" t="str">
        <f ca="1">IFERROR(__xludf.DUMMYFUNCTION("GOOGLETRANSLATE(C788,""ja"",""vi"")"),"Đấu giá&gt; thiết bị điện tử tiêu dùng, AV, máy ảnh&gt; Thiết bị âm thanh&gt; điều khiển từ xa")</f>
        <v>Đấu giá&gt; thiết bị điện tử tiêu dùng, AV, máy ảnh&gt; Thiết bị âm thanh&gt; điều khiển từ xa</v>
      </c>
      <c r="F788" t="str">
        <f t="shared" ca="1" si="12"/>
        <v>"2084205443" : "điều khiển từ xa",</v>
      </c>
    </row>
    <row r="789" spans="1:6" ht="15.75" customHeight="1">
      <c r="A789" s="14">
        <v>23828</v>
      </c>
      <c r="B789" s="14" t="s">
        <v>46</v>
      </c>
      <c r="C789" s="14" t="s">
        <v>5556</v>
      </c>
      <c r="D789" s="5" t="str">
        <f ca="1">IFERROR(__xludf.DUMMYFUNCTION("GOOGLETRANSLATE(B789,""ja"",""vi"")"),"nếu không thì")</f>
        <v>nếu không thì</v>
      </c>
      <c r="E789" s="4" t="str">
        <f ca="1">IFERROR(__xludf.DUMMYFUNCTION("GOOGLETRANSLATE(C789,""ja"",""vi"")"),"Đấu giá&gt; thiết bị điện tử tiêu dùng, AV, máy ảnh&gt; Thiết bị âm thanh&gt; Khác")</f>
        <v>Đấu giá&gt; thiết bị điện tử tiêu dùng, AV, máy ảnh&gt; Thiết bị âm thanh&gt; Khác</v>
      </c>
      <c r="F789" t="str">
        <f t="shared" ca="1" si="12"/>
        <v>"23828" : "nếu không thì",</v>
      </c>
    </row>
    <row r="790" spans="1:6" ht="15.75" customHeight="1">
      <c r="A790" s="14">
        <v>2084061597</v>
      </c>
      <c r="B790" s="14" t="s">
        <v>5558</v>
      </c>
      <c r="C790" s="14" t="s">
        <v>5560</v>
      </c>
      <c r="D790" s="5" t="str">
        <f ca="1">IFERROR(__xludf.DUMMYFUNCTION("GOOGLETRANSLATE(B790,""ja"",""vi"")"),"máy nghiền đá")</f>
        <v>máy nghiền đá</v>
      </c>
      <c r="E790" s="4" t="str">
        <f ca="1">IFERROR(__xludf.DUMMYFUNCTION("GOOGLETRANSLATE(C790,""ja"",""vi"")"),"Đấu giá&gt; thiết bị điện tử tiêu dùng, AV, camera&gt; bếp, bàn ăn&gt; máy nghiền đá")</f>
        <v>Đấu giá&gt; thiết bị điện tử tiêu dùng, AV, camera&gt; bếp, bàn ăn&gt; máy nghiền đá</v>
      </c>
      <c r="F790" t="str">
        <f t="shared" ca="1" si="12"/>
        <v>"2084061597" : "máy nghiền đá",</v>
      </c>
    </row>
    <row r="791" spans="1:6" ht="15.75" customHeight="1">
      <c r="A791" s="14">
        <v>2084063525</v>
      </c>
      <c r="B791" s="14" t="s">
        <v>5562</v>
      </c>
      <c r="C791" s="14" t="s">
        <v>5565</v>
      </c>
      <c r="D791" s="5" t="str">
        <f ca="1">IFERROR(__xludf.DUMMYFUNCTION("GOOGLETRANSLATE(B791,""ja"",""vi"")"),"Kiềm bộ máy nước ion hóa")</f>
        <v>Kiềm bộ máy nước ion hóa</v>
      </c>
      <c r="E791" s="4" t="str">
        <f ca="1">IFERROR(__xludf.DUMMYFUNCTION("GOOGLETRANSLATE(C791,""ja"",""vi"")"),"Đấu giá&gt; thiết bị điện tử tiêu dùng, AV, camera&gt; bếp, bàn ăn&gt; Thiết bị ion hóa nước kiềm")</f>
        <v>Đấu giá&gt; thiết bị điện tử tiêu dùng, AV, camera&gt; bếp, bàn ăn&gt; Thiết bị ion hóa nước kiềm</v>
      </c>
      <c r="F791" t="str">
        <f t="shared" ca="1" si="12"/>
        <v>"2084063525" : "Kiềm bộ máy nước ion hóa",</v>
      </c>
    </row>
    <row r="792" spans="1:6" ht="15.75" customHeight="1">
      <c r="A792" s="14">
        <v>24486</v>
      </c>
      <c r="B792" s="14" t="s">
        <v>5567</v>
      </c>
      <c r="C792" s="14" t="s">
        <v>5568</v>
      </c>
      <c r="D792" s="5" t="str">
        <f ca="1">IFERROR(__xludf.DUMMYFUNCTION("GOOGLETRANSLATE(B792,""ja"",""vi"")"),"lò")</f>
        <v>lò</v>
      </c>
      <c r="E792" s="4" t="str">
        <f ca="1">IFERROR(__xludf.DUMMYFUNCTION("GOOGLETRANSLATE(C792,""ja"",""vi"")"),"Đấu giá&gt; thiết bị điện tử tiêu dùng, AV, camera&gt; bếp, bàn ăn&gt; lò")</f>
        <v>Đấu giá&gt; thiết bị điện tử tiêu dùng, AV, camera&gt; bếp, bàn ăn&gt; lò</v>
      </c>
      <c r="F792" t="str">
        <f t="shared" ca="1" si="12"/>
        <v>"24486" : "lò",</v>
      </c>
    </row>
    <row r="793" spans="1:6" ht="15.75" customHeight="1">
      <c r="A793" s="14">
        <v>24482</v>
      </c>
      <c r="B793" s="14" t="s">
        <v>5571</v>
      </c>
      <c r="C793" s="14" t="s">
        <v>5572</v>
      </c>
      <c r="D793" s="5" t="str">
        <f ca="1">IFERROR(__xludf.DUMMYFUNCTION("GOOGLETRANSLATE(B793,""ja"",""vi"")"),"máy pha cà phê")</f>
        <v>máy pha cà phê</v>
      </c>
      <c r="E793" s="4" t="str">
        <f ca="1">IFERROR(__xludf.DUMMYFUNCTION("GOOGLETRANSLATE(C793,""ja"",""vi"")"),"Đấu giá&gt; thiết bị điện tử tiêu dùng, AV, camera&gt; bếp, bàn ăn&gt; máy pha cà phê")</f>
        <v>Đấu giá&gt; thiết bị điện tử tiêu dùng, AV, camera&gt; bếp, bàn ăn&gt; máy pha cà phê</v>
      </c>
      <c r="F793" t="str">
        <f t="shared" ca="1" si="12"/>
        <v>"24482" : "máy pha cà phê",</v>
      </c>
    </row>
    <row r="794" spans="1:6" ht="15.75" customHeight="1">
      <c r="A794" s="14">
        <v>24506</v>
      </c>
      <c r="B794" s="14" t="s">
        <v>5573</v>
      </c>
      <c r="C794" s="14" t="s">
        <v>5575</v>
      </c>
      <c r="D794" s="5" t="str">
        <f ca="1">IFERROR(__xludf.DUMMYFUNCTION("GOOGLETRANSLATE(B794,""ja"",""vi"")"),"Máy ép trái cây, máy trộn")</f>
        <v>Máy ép trái cây, máy trộn</v>
      </c>
      <c r="E794" s="4" t="str">
        <f ca="1">IFERROR(__xludf.DUMMYFUNCTION("GOOGLETRANSLATE(C794,""ja"",""vi"")"),"Đấu giá&gt; thiết bị điện tử tiêu dùng, AV, camera&gt; bếp, bàn ăn&gt; máy ép trái cây, máy trộn")</f>
        <v>Đấu giá&gt; thiết bị điện tử tiêu dùng, AV, camera&gt; bếp, bàn ăn&gt; máy ép trái cây, máy trộn</v>
      </c>
      <c r="F794" t="str">
        <f t="shared" ca="1" si="12"/>
        <v>"24506" : "Máy ép trái cây, máy trộn",</v>
      </c>
    </row>
    <row r="795" spans="1:6" ht="15.75" customHeight="1">
      <c r="A795" s="14">
        <v>24518</v>
      </c>
      <c r="B795" s="14" t="s">
        <v>5579</v>
      </c>
      <c r="C795" s="14" t="s">
        <v>5580</v>
      </c>
      <c r="D795" s="5" t="str">
        <f ca="1">IFERROR(__xludf.DUMMYFUNCTION("GOOGLETRANSLATE(B795,""ja"",""vi"")"),"Toaster")</f>
        <v>Toaster</v>
      </c>
      <c r="E795" s="4" t="str">
        <f ca="1">IFERROR(__xludf.DUMMYFUNCTION("GOOGLETRANSLATE(C795,""ja"",""vi"")"),"Đấu giá&gt; thiết bị điện tử tiêu dùng, AV, camera&gt; bếp, bàn ăn&gt; nướng bánh mỳ")</f>
        <v>Đấu giá&gt; thiết bị điện tử tiêu dùng, AV, camera&gt; bếp, bàn ăn&gt; nướng bánh mỳ</v>
      </c>
      <c r="F795" t="str">
        <f t="shared" ca="1" si="12"/>
        <v>"24518" : "Toaster",</v>
      </c>
    </row>
    <row r="796" spans="1:6" ht="15.75" customHeight="1">
      <c r="A796" s="14">
        <v>24470</v>
      </c>
      <c r="B796" s="14" t="s">
        <v>5583</v>
      </c>
      <c r="C796" s="14" t="s">
        <v>5584</v>
      </c>
      <c r="D796" s="5" t="str">
        <f ca="1">IFERROR(__xludf.DUMMYFUNCTION("GOOGLETRANSLATE(B796,""ja"",""vi"")"),"người chuyển lương thực")</f>
        <v>người chuyển lương thực</v>
      </c>
      <c r="E796" s="4" t="str">
        <f ca="1">IFERROR(__xludf.DUMMYFUNCTION("GOOGLETRANSLATE(C796,""ja"",""vi"")"),"Đấu giá&gt; thiết bị điện tử tiêu dùng, AV, camera&gt; bếp, bàn ăn uống&gt; Thực phẩm xử lý")</f>
        <v>Đấu giá&gt; thiết bị điện tử tiêu dùng, AV, camera&gt; bếp, bàn ăn uống&gt; Thực phẩm xử lý</v>
      </c>
      <c r="F796" t="str">
        <f t="shared" ca="1" si="12"/>
        <v>"24470" : "người chuyển lương thực",</v>
      </c>
    </row>
    <row r="797" spans="1:6" ht="15.75" customHeight="1">
      <c r="A797" s="14">
        <v>24474</v>
      </c>
      <c r="B797" s="14" t="s">
        <v>5588</v>
      </c>
      <c r="C797" s="14" t="s">
        <v>5589</v>
      </c>
      <c r="D797" s="5" t="str">
        <f ca="1">IFERROR(__xludf.DUMMYFUNCTION("GOOGLETRANSLATE(B797,""ja"",""vi"")"),"Home Bakery")</f>
        <v>Home Bakery</v>
      </c>
      <c r="E797" s="4" t="str">
        <f ca="1">IFERROR(__xludf.DUMMYFUNCTION("GOOGLETRANSLATE(C797,""ja"",""vi"")"),"Đấu giá&gt; thiết bị điện tử tiêu dùng, AV, camera&gt; bếp, bàn ăn&gt; bánh nhà")</f>
        <v>Đấu giá&gt; thiết bị điện tử tiêu dùng, AV, camera&gt; bếp, bàn ăn&gt; bánh nhà</v>
      </c>
      <c r="F797" t="str">
        <f t="shared" ca="1" si="12"/>
        <v>"24474" : "Home Bakery",</v>
      </c>
    </row>
    <row r="798" spans="1:6" ht="15.75" customHeight="1">
      <c r="A798" s="14">
        <v>2084008365</v>
      </c>
      <c r="B798" s="14" t="s">
        <v>5593</v>
      </c>
      <c r="C798" s="14" t="s">
        <v>5594</v>
      </c>
      <c r="D798" s="5" t="str">
        <f ca="1">IFERROR(__xludf.DUMMYFUNCTION("GOOGLETRANSLATE(B798,""ja"",""vi"")"),"tấm nóng, nướng chảo")</f>
        <v>tấm nóng, nướng chảo</v>
      </c>
      <c r="E798" s="4" t="str">
        <f ca="1">IFERROR(__xludf.DUMMYFUNCTION("GOOGLETRANSLATE(C798,""ja"",""vi"")"),"Đấu giá&gt; thiết bị điện tử tiêu dùng, AV, camera&gt; bếp, bàn ăn&gt; tấm nóng, nướng chảo")</f>
        <v>Đấu giá&gt; thiết bị điện tử tiêu dùng, AV, camera&gt; bếp, bàn ăn&gt; tấm nóng, nướng chảo</v>
      </c>
      <c r="F798" t="str">
        <f t="shared" ca="1" si="12"/>
        <v>"2084008365" : "tấm nóng, nướng chảo",</v>
      </c>
    </row>
    <row r="799" spans="1:6" ht="15.75" customHeight="1">
      <c r="A799" s="14">
        <v>24514</v>
      </c>
      <c r="B799" s="14" t="s">
        <v>5596</v>
      </c>
      <c r="C799" s="14" t="s">
        <v>5597</v>
      </c>
      <c r="D799" s="5" t="str">
        <f ca="1">IFERROR(__xludf.DUMMYFUNCTION("GOOGLETRANSLATE(B799,""ja"",""vi"")"),"Range, bếp")</f>
        <v>Range, bếp</v>
      </c>
      <c r="E799" s="4" t="str">
        <f ca="1">IFERROR(__xludf.DUMMYFUNCTION("GOOGLETRANSLATE(C799,""ja"",""vi"")"),"Đấu giá&gt; thiết bị điện tử tiêu dùng, AV, camera&gt; bếp, bàn ăn&gt; phạm vi, bếp")</f>
        <v>Đấu giá&gt; thiết bị điện tử tiêu dùng, AV, camera&gt; bếp, bàn ăn&gt; phạm vi, bếp</v>
      </c>
      <c r="F799" t="str">
        <f t="shared" ca="1" si="12"/>
        <v>"24514" : "Range, bếp",</v>
      </c>
    </row>
    <row r="800" spans="1:6" ht="15.75" customHeight="1">
      <c r="A800" s="14">
        <v>2084044997</v>
      </c>
      <c r="B800" s="14" t="s">
        <v>5600</v>
      </c>
      <c r="C800" s="14" t="s">
        <v>5601</v>
      </c>
      <c r="D800" s="5" t="str">
        <f ca="1">IFERROR(__xludf.DUMMYFUNCTION("GOOGLETRANSLATE(B800,""ja"",""vi"")"),"Wine Cellar")</f>
        <v>Wine Cellar</v>
      </c>
      <c r="E800" s="4" t="str">
        <f ca="1">IFERROR(__xludf.DUMMYFUNCTION("GOOGLETRANSLATE(C800,""ja"",""vi"")"),"Đấu giá&gt; thiết bị điện tử tiêu dùng, AV, camera&gt; bếp, bàn ăn&gt; hầm rượu vang")</f>
        <v>Đấu giá&gt; thiết bị điện tử tiêu dùng, AV, camera&gt; bếp, bàn ăn&gt; hầm rượu vang</v>
      </c>
      <c r="F800" t="str">
        <f t="shared" ca="1" si="12"/>
        <v>"2084044997" : "Wine Cellar",</v>
      </c>
    </row>
    <row r="801" spans="1:6" ht="15.75" customHeight="1">
      <c r="A801" s="14">
        <v>2084258414</v>
      </c>
      <c r="B801" s="14" t="s">
        <v>5603</v>
      </c>
      <c r="C801" s="14" t="s">
        <v>5604</v>
      </c>
      <c r="D801" s="5" t="str">
        <f ca="1">IFERROR(__xludf.DUMMYFUNCTION("GOOGLETRANSLATE(B801,""ja"",""vi"")"),"thiết bị cung cấp nước nóng")</f>
        <v>thiết bị cung cấp nước nóng</v>
      </c>
      <c r="E801" s="4" t="str">
        <f ca="1">IFERROR(__xludf.DUMMYFUNCTION("GOOGLETRANSLATE(C801,""ja"",""vi"")"),"Đấu giá&gt; thiết bị điện tử tiêu dùng, AV, camera&gt; bếp, bàn ăn&gt; thiết bị cung cấp nước nóng")</f>
        <v>Đấu giá&gt; thiết bị điện tử tiêu dùng, AV, camera&gt; bếp, bàn ăn&gt; thiết bị cung cấp nước nóng</v>
      </c>
      <c r="F801" t="str">
        <f t="shared" ca="1" si="12"/>
        <v>"2084258414" : "thiết bị cung cấp nước nóng",</v>
      </c>
    </row>
    <row r="802" spans="1:6" ht="15.75" customHeight="1">
      <c r="A802" s="14">
        <v>24490</v>
      </c>
      <c r="B802" s="14" t="s">
        <v>5606</v>
      </c>
      <c r="C802" s="14" t="s">
        <v>5607</v>
      </c>
      <c r="D802" s="5" t="str">
        <f ca="1">IFERROR(__xludf.DUMMYFUNCTION("GOOGLETRANSLATE(B802,""ja"",""vi"")"),"Máy rửa chén, máy sấy món ăn")</f>
        <v>Máy rửa chén, máy sấy món ăn</v>
      </c>
      <c r="E802" s="4" t="str">
        <f ca="1">IFERROR(__xludf.DUMMYFUNCTION("GOOGLETRANSLATE(C802,""ja"",""vi"")"),"Đấu giá&gt; thiết bị điện tử tiêu dùng, AV, camera&gt; bếp, bàn ăn&gt; máy rửa chén, máy sấy món ăn")</f>
        <v>Đấu giá&gt; thiết bị điện tử tiêu dùng, AV, camera&gt; bếp, bàn ăn&gt; máy rửa chén, máy sấy món ăn</v>
      </c>
      <c r="F802" t="str">
        <f t="shared" ca="1" si="12"/>
        <v>"24490" : "Máy rửa chén, máy sấy món ăn",</v>
      </c>
    </row>
    <row r="803" spans="1:6" ht="15.75" customHeight="1">
      <c r="A803" s="14">
        <v>2084008366</v>
      </c>
      <c r="B803" s="14" t="s">
        <v>5610</v>
      </c>
      <c r="C803" s="14" t="s">
        <v>5612</v>
      </c>
      <c r="D803" s="5" t="str">
        <f ca="1">IFERROR(__xludf.DUMMYFUNCTION("GOOGLETRANSLATE(B803,""ja"",""vi"")"),"nồi cơm điện")</f>
        <v>nồi cơm điện</v>
      </c>
      <c r="E803" s="4" t="str">
        <f ca="1">IFERROR(__xludf.DUMMYFUNCTION("GOOGLETRANSLATE(C803,""ja"",""vi"")"),"Đấu giá&gt; thiết bị điện tử tiêu dùng, AV, camera&gt; bếp, bàn ăn&gt; nồi cơm điện")</f>
        <v>Đấu giá&gt; thiết bị điện tử tiêu dùng, AV, camera&gt; bếp, bàn ăn&gt; nồi cơm điện</v>
      </c>
      <c r="F803" t="str">
        <f t="shared" ca="1" si="12"/>
        <v>"2084008366" : "nồi cơm điện",</v>
      </c>
    </row>
    <row r="804" spans="1:6" ht="15.75" customHeight="1">
      <c r="A804" s="14">
        <v>24498</v>
      </c>
      <c r="B804" s="14" t="s">
        <v>5615</v>
      </c>
      <c r="C804" s="14" t="s">
        <v>5616</v>
      </c>
      <c r="D804" s="5" t="str">
        <f ca="1">IFERROR(__xludf.DUMMYFUNCTION("GOOGLETRANSLATE(B804,""ja"",""vi"")"),"xử lý rác thải")</f>
        <v>xử lý rác thải</v>
      </c>
      <c r="E804" s="4" t="str">
        <f ca="1">IFERROR(__xludf.DUMMYFUNCTION("GOOGLETRANSLATE(C804,""ja"",""vi"")"),"Đấu giá&gt; thiết bị điện tử tiêu dùng, AV, camera&gt; bếp, bàn ăn&gt; xử lý rác thải")</f>
        <v>Đấu giá&gt; thiết bị điện tử tiêu dùng, AV, camera&gt; bếp, bàn ăn&gt; xử lý rác thải</v>
      </c>
      <c r="F804" t="str">
        <f t="shared" ca="1" si="12"/>
        <v>"24498" : "xử lý rác thải",</v>
      </c>
    </row>
    <row r="805" spans="1:6" ht="15.75" customHeight="1">
      <c r="A805" s="14">
        <v>2084061798</v>
      </c>
      <c r="B805" s="14" t="s">
        <v>5618</v>
      </c>
      <c r="C805" s="14" t="s">
        <v>5619</v>
      </c>
      <c r="D805" s="5" t="str">
        <f ca="1">IFERROR(__xludf.DUMMYFUNCTION("GOOGLETRANSLATE(B805,""ja"",""vi"")"),"nhà máy gạo")</f>
        <v>nhà máy gạo</v>
      </c>
      <c r="E805" s="4" t="str">
        <f ca="1">IFERROR(__xludf.DUMMYFUNCTION("GOOGLETRANSLATE(C805,""ja"",""vi"")"),"Đấu giá&gt; thiết bị điện tử tiêu dùng, AV, camera&gt; bếp, bàn ăn&gt; nhà máy gạo")</f>
        <v>Đấu giá&gt; thiết bị điện tử tiêu dùng, AV, camera&gt; bếp, bàn ăn&gt; nhà máy gạo</v>
      </c>
      <c r="F805" t="str">
        <f t="shared" ca="1" si="12"/>
        <v>"2084061798" : "nhà máy gạo",</v>
      </c>
    </row>
    <row r="806" spans="1:6" ht="15.75" customHeight="1">
      <c r="A806" s="14">
        <v>2084244282</v>
      </c>
      <c r="B806" s="14" t="s">
        <v>5621</v>
      </c>
      <c r="C806" s="14" t="s">
        <v>5622</v>
      </c>
      <c r="D806" s="5" t="str">
        <f ca="1">IFERROR(__xludf.DUMMYFUNCTION("GOOGLETRANSLATE(B806,""ja"",""vi"")"),"ấm đun nước điện")</f>
        <v>ấm đun nước điện</v>
      </c>
      <c r="E806" s="4" t="str">
        <f ca="1">IFERROR(__xludf.DUMMYFUNCTION("GOOGLETRANSLATE(C806,""ja"",""vi"")"),"Đấu giá&gt; thiết bị điện tử tiêu dùng, AV, camera&gt; nhà bếp, ăn uống table&gt; Ấm điện")</f>
        <v>Đấu giá&gt; thiết bị điện tử tiêu dùng, AV, camera&gt; nhà bếp, ăn uống table&gt; Ấm điện</v>
      </c>
      <c r="F806" t="str">
        <f t="shared" ca="1" si="12"/>
        <v>"2084244282" : "ấm đun nước điện",</v>
      </c>
    </row>
    <row r="807" spans="1:6" ht="15.75" customHeight="1">
      <c r="A807" s="14">
        <v>2084048370</v>
      </c>
      <c r="B807" s="14" t="s">
        <v>5625</v>
      </c>
      <c r="C807" s="14" t="s">
        <v>5627</v>
      </c>
      <c r="D807" s="5" t="str">
        <f ca="1">IFERROR(__xludf.DUMMYFUNCTION("GOOGLETRANSLATE(B807,""ja"",""vi"")"),"Một ấm điện")</f>
        <v>Một ấm điện</v>
      </c>
      <c r="E807" s="4" t="str">
        <f ca="1">IFERROR(__xludf.DUMMYFUNCTION("GOOGLETRANSLATE(C807,""ja"",""vi"")"),"Đấu giá&gt; thiết bị điện tử tiêu dùng, AV, camera&gt; bếp, bàn ăn&gt; ấm đun nước điện.")</f>
        <v>Đấu giá&gt; thiết bị điện tử tiêu dùng, AV, camera&gt; bếp, bàn ăn&gt; ấm đun nước điện.</v>
      </c>
      <c r="F807" t="str">
        <f t="shared" ca="1" si="12"/>
        <v>"2084048370" : "Một ấm điện",</v>
      </c>
    </row>
    <row r="808" spans="1:6" ht="15.75" customHeight="1">
      <c r="A808" s="14">
        <v>24502</v>
      </c>
      <c r="B808" s="14" t="s">
        <v>5629</v>
      </c>
      <c r="C808" s="14" t="s">
        <v>5631</v>
      </c>
      <c r="D808" s="5" t="str">
        <f ca="1">IFERROR(__xludf.DUMMYFUNCTION("GOOGLETRANSLATE(B808,""ja"",""vi"")"),"lò vi sóng")</f>
        <v>lò vi sóng</v>
      </c>
      <c r="E808" s="4" t="str">
        <f ca="1">IFERROR(__xludf.DUMMYFUNCTION("GOOGLETRANSLATE(C808,""ja"",""vi"")"),"lò đấu giá&gt; thiết bị điện tử tiêu dùng, AV, camera&gt; bếp, bàn ăn&gt; lò vi sóng")</f>
        <v>lò đấu giá&gt; thiết bị điện tử tiêu dùng, AV, camera&gt; bếp, bàn ăn&gt; lò vi sóng</v>
      </c>
      <c r="F808" t="str">
        <f t="shared" ca="1" si="12"/>
        <v>"24502" : "lò vi sóng",</v>
      </c>
    </row>
    <row r="809" spans="1:6" ht="15.75" customHeight="1">
      <c r="A809" s="14">
        <v>2084054096</v>
      </c>
      <c r="B809" s="14" t="s">
        <v>3775</v>
      </c>
      <c r="C809" s="14" t="s">
        <v>5635</v>
      </c>
      <c r="D809" s="5" t="str">
        <f ca="1">IFERROR(__xludf.DUMMYFUNCTION("GOOGLETRANSLATE(B809,""ja"",""vi"")"),"máy pha cà phê điện")</f>
        <v>máy pha cà phê điện</v>
      </c>
      <c r="E809" s="4" t="str">
        <f ca="1">IFERROR(__xludf.DUMMYFUNCTION("GOOGLETRANSLATE(C809,""ja"",""vi"")"),"Đấu giá&gt; thiết bị điện tử tiêu dùng, AV, camera&gt; bếp, bàn ăn&gt; cối xay cà phê điện")</f>
        <v>Đấu giá&gt; thiết bị điện tử tiêu dùng, AV, camera&gt; bếp, bàn ăn&gt; cối xay cà phê điện</v>
      </c>
      <c r="F809" t="str">
        <f t="shared" ca="1" si="12"/>
        <v>"2084054096" : "máy pha cà phê điện",</v>
      </c>
    </row>
    <row r="810" spans="1:6" ht="15.75" customHeight="1">
      <c r="A810" s="14">
        <v>24510</v>
      </c>
      <c r="B810" s="14" t="s">
        <v>5640</v>
      </c>
      <c r="C810" s="14" t="s">
        <v>5642</v>
      </c>
      <c r="D810" s="5" t="str">
        <f ca="1">IFERROR(__xludf.DUMMYFUNCTION("GOOGLETRANSLATE(B810,""ja"",""vi"")"),"tủ lạnh")</f>
        <v>tủ lạnh</v>
      </c>
      <c r="E810" s="4" t="str">
        <f ca="1">IFERROR(__xludf.DUMMYFUNCTION("GOOGLETRANSLATE(C810,""ja"",""vi"")"),"Đấu giá&gt; thiết bị điện tử tiêu dùng, AV, camera&gt; bếp, bàn ăn&gt; tủ lạnh")</f>
        <v>Đấu giá&gt; thiết bị điện tử tiêu dùng, AV, camera&gt; bếp, bàn ăn&gt; tủ lạnh</v>
      </c>
      <c r="F810" t="str">
        <f t="shared" ca="1" si="12"/>
        <v>"24510" : "tủ lạnh",</v>
      </c>
    </row>
    <row r="811" spans="1:6" ht="15.75" customHeight="1">
      <c r="A811" s="14">
        <v>24494</v>
      </c>
      <c r="B811" s="14" t="s">
        <v>5645</v>
      </c>
      <c r="C811" s="14" t="s">
        <v>5647</v>
      </c>
      <c r="D811" s="5" t="str">
        <f ca="1">IFERROR(__xludf.DUMMYFUNCTION("GOOGLETRANSLATE(B811,""ja"",""vi"")"),"máy làm lạnh")</f>
        <v>máy làm lạnh</v>
      </c>
      <c r="E811" s="4" t="str">
        <f ca="1">IFERROR(__xludf.DUMMYFUNCTION("GOOGLETRANSLATE(C811,""ja"",""vi"")"),"Đấu giá&gt; thiết bị điện tử tiêu dùng, AV, camera&gt; bếp, bàn ăn&gt; tủ đông")</f>
        <v>Đấu giá&gt; thiết bị điện tử tiêu dùng, AV, camera&gt; bếp, bàn ăn&gt; tủ đông</v>
      </c>
      <c r="F811" t="str">
        <f t="shared" ca="1" si="12"/>
        <v>"24494" : "máy làm lạnh",</v>
      </c>
    </row>
    <row r="812" spans="1:6" ht="15.75" customHeight="1">
      <c r="A812" s="14">
        <v>2084008367</v>
      </c>
      <c r="B812" s="14" t="s">
        <v>46</v>
      </c>
      <c r="C812" s="14" t="s">
        <v>5649</v>
      </c>
      <c r="D812" s="5" t="str">
        <f ca="1">IFERROR(__xludf.DUMMYFUNCTION("GOOGLETRANSLATE(B812,""ja"",""vi"")"),"nếu không thì")</f>
        <v>nếu không thì</v>
      </c>
      <c r="E812" s="4" t="str">
        <f ca="1">IFERROR(__xludf.DUMMYFUNCTION("GOOGLETRANSLATE(C812,""ja"",""vi"")"),"Đấu giá&gt; thiết bị điện tử tiêu dùng, AV, camera&gt; bếp, bàn ăn&gt; Khác")</f>
        <v>Đấu giá&gt; thiết bị điện tử tiêu dùng, AV, camera&gt; bếp, bàn ăn&gt; Khác</v>
      </c>
      <c r="F812" t="str">
        <f t="shared" ca="1" si="12"/>
        <v>"2084008367" : "nếu không thì",</v>
      </c>
    </row>
    <row r="813" spans="1:6" ht="15.75" customHeight="1">
      <c r="A813" s="14">
        <v>2084232179</v>
      </c>
      <c r="B813" s="14" t="s">
        <v>2105</v>
      </c>
      <c r="C813" s="14" t="s">
        <v>2108</v>
      </c>
      <c r="D813" s="5" t="str">
        <f ca="1">IFERROR(__xludf.DUMMYFUNCTION("GOOGLETRANSLATE(B813,""ja"",""vi"")"),"60 inches -")</f>
        <v>60 inches -</v>
      </c>
      <c r="E813" s="4" t="str">
        <f ca="1">IFERROR(__xludf.DUMMYFUNCTION("GOOGLETRANSLATE(C813,""ja"",""vi"")"),"Đấu giá&gt; thiết bị điện tử tiêu dùng, AV, máy ảnh&gt; Thiết bị hình ảnh&gt; TV&gt; 60 inches -")</f>
        <v>Đấu giá&gt; thiết bị điện tử tiêu dùng, AV, máy ảnh&gt; Thiết bị hình ảnh&gt; TV&gt; 60 inches -</v>
      </c>
      <c r="F813" t="str">
        <f t="shared" ca="1" si="12"/>
        <v>"2084232179" : "60 inches -",</v>
      </c>
    </row>
    <row r="814" spans="1:6" ht="15.75" customHeight="1">
      <c r="A814" s="14">
        <v>2084231835</v>
      </c>
      <c r="B814" s="14" t="s">
        <v>2114</v>
      </c>
      <c r="C814" s="14" t="s">
        <v>2117</v>
      </c>
      <c r="D814" s="5" t="str">
        <f ca="1">IFERROR(__xludf.DUMMYFUNCTION("GOOGLETRANSLATE(B814,""ja"",""vi"")"),"50 inches -")</f>
        <v>50 inches -</v>
      </c>
      <c r="E814" s="4" t="str">
        <f ca="1">IFERROR(__xludf.DUMMYFUNCTION("GOOGLETRANSLATE(C814,""ja"",""vi"")"),"Đấu giá&gt; thiết bị điện tử tiêu dùng, AV, máy ảnh&gt; Thiết bị hình ảnh&gt; TV của&gt; 50 inch đến")</f>
        <v>Đấu giá&gt; thiết bị điện tử tiêu dùng, AV, máy ảnh&gt; Thiết bị hình ảnh&gt; TV của&gt; 50 inch đến</v>
      </c>
      <c r="F814" t="str">
        <f t="shared" ca="1" si="12"/>
        <v>"2084231835" : "50 inches -",</v>
      </c>
    </row>
    <row r="815" spans="1:6" ht="15.75" customHeight="1">
      <c r="A815" s="14">
        <v>2084219564</v>
      </c>
      <c r="B815" s="14" t="s">
        <v>2123</v>
      </c>
      <c r="C815" s="14" t="s">
        <v>2124</v>
      </c>
      <c r="D815" s="5" t="str">
        <f ca="1">IFERROR(__xludf.DUMMYFUNCTION("GOOGLETRANSLATE(B815,""ja"",""vi"")"),"40 inch ~")</f>
        <v>40 inch ~</v>
      </c>
      <c r="E815" s="4" t="str">
        <f ca="1">IFERROR(__xludf.DUMMYFUNCTION("GOOGLETRANSLATE(C815,""ja"",""vi"")"),"Đấu giá&gt; thiết bị điện tử tiêu dùng, AV, máy ảnh&gt; Thiết bị hình ảnh&gt; TV&gt; 40 inches -")</f>
        <v>Đấu giá&gt; thiết bị điện tử tiêu dùng, AV, máy ảnh&gt; Thiết bị hình ảnh&gt; TV&gt; 40 inches -</v>
      </c>
      <c r="F815" t="str">
        <f t="shared" ca="1" si="12"/>
        <v>"2084219564" : "40 inch ~",</v>
      </c>
    </row>
    <row r="816" spans="1:6" ht="15.75" customHeight="1">
      <c r="A816" s="14">
        <v>2084219563</v>
      </c>
      <c r="B816" s="14" t="s">
        <v>2129</v>
      </c>
      <c r="C816" s="14" t="s">
        <v>2131</v>
      </c>
      <c r="D816" s="5" t="str">
        <f ca="1">IFERROR(__xludf.DUMMYFUNCTION("GOOGLETRANSLATE(B816,""ja"",""vi"")"),"37 inch ~")</f>
        <v>37 inch ~</v>
      </c>
      <c r="E816" s="4" t="str">
        <f ca="1">IFERROR(__xludf.DUMMYFUNCTION("GOOGLETRANSLATE(C816,""ja"",""vi"")"),"Đấu giá&gt; thiết bị điện tử tiêu dùng, AV, máy ảnh&gt; Thiết bị hình ảnh&gt; TV&gt; 37 inches -")</f>
        <v>Đấu giá&gt; thiết bị điện tử tiêu dùng, AV, máy ảnh&gt; Thiết bị hình ảnh&gt; TV&gt; 37 inches -</v>
      </c>
      <c r="F816" t="str">
        <f t="shared" ca="1" si="12"/>
        <v>"2084219563" : "37 inch ~",</v>
      </c>
    </row>
    <row r="817" spans="1:6" ht="15.75" customHeight="1">
      <c r="A817" s="14">
        <v>2084219562</v>
      </c>
      <c r="B817" s="14" t="s">
        <v>2135</v>
      </c>
      <c r="C817" s="14" t="s">
        <v>2137</v>
      </c>
      <c r="D817" s="5" t="str">
        <f ca="1">IFERROR(__xludf.DUMMYFUNCTION("GOOGLETRANSLATE(B817,""ja"",""vi"")"),"32 inch ~")</f>
        <v>32 inch ~</v>
      </c>
      <c r="E817" s="4" t="str">
        <f ca="1">IFERROR(__xludf.DUMMYFUNCTION("GOOGLETRANSLATE(C817,""ja"",""vi"")"),"Đấu giá&gt; thiết bị điện tử tiêu dùng, AV, máy ảnh&gt; Thiết bị hình ảnh&gt; TV&gt; 32 inches -")</f>
        <v>Đấu giá&gt; thiết bị điện tử tiêu dùng, AV, máy ảnh&gt; Thiết bị hình ảnh&gt; TV&gt; 32 inches -</v>
      </c>
      <c r="F817" t="str">
        <f t="shared" ca="1" si="12"/>
        <v>"2084219562" : "32 inch ~",</v>
      </c>
    </row>
    <row r="818" spans="1:6" ht="15.75" customHeight="1">
      <c r="A818" s="14">
        <v>2084018956</v>
      </c>
      <c r="B818" s="14" t="s">
        <v>2140</v>
      </c>
      <c r="C818" s="14" t="s">
        <v>2142</v>
      </c>
      <c r="D818" s="5" t="str">
        <f ca="1">IFERROR(__xludf.DUMMYFUNCTION("GOOGLETRANSLATE(B818,""ja"",""vi"")"),"25 inch ~")</f>
        <v>25 inch ~</v>
      </c>
      <c r="E818" s="4" t="str">
        <f ca="1">IFERROR(__xludf.DUMMYFUNCTION("GOOGLETRANSLATE(C818,""ja"",""vi"")"),"Đấu giá&gt; thiết bị điện tử tiêu dùng, AV, máy ảnh&gt; Thiết bị hình ảnh&gt; TV&gt; 25 inches -")</f>
        <v>Đấu giá&gt; thiết bị điện tử tiêu dùng, AV, máy ảnh&gt; Thiết bị hình ảnh&gt; TV&gt; 25 inches -</v>
      </c>
      <c r="F818" t="str">
        <f t="shared" ca="1" si="12"/>
        <v>"2084018956" : "25 inch ~",</v>
      </c>
    </row>
    <row r="819" spans="1:6" ht="15.75" customHeight="1">
      <c r="A819" s="14">
        <v>2084018955</v>
      </c>
      <c r="B819" s="14" t="s">
        <v>2146</v>
      </c>
      <c r="C819" s="14" t="s">
        <v>2147</v>
      </c>
      <c r="D819" s="5" t="str">
        <f ca="1">IFERROR(__xludf.DUMMYFUNCTION("GOOGLETRANSLATE(B819,""ja"",""vi"")"),"15 inch ~")</f>
        <v>15 inch ~</v>
      </c>
      <c r="E819" s="4" t="str">
        <f ca="1">IFERROR(__xludf.DUMMYFUNCTION("GOOGLETRANSLATE(C819,""ja"",""vi"")"),"Đấu giá&gt; thiết bị điện tử tiêu dùng, AV, máy ảnh&gt; Thiết bị hình ảnh&gt; TV&gt; 15 inches -")</f>
        <v>Đấu giá&gt; thiết bị điện tử tiêu dùng, AV, máy ảnh&gt; Thiết bị hình ảnh&gt; TV&gt; 15 inches -</v>
      </c>
      <c r="F819" t="str">
        <f t="shared" ca="1" si="12"/>
        <v>"2084018955" : "15 inch ~",</v>
      </c>
    </row>
    <row r="820" spans="1:6" ht="15.75" customHeight="1">
      <c r="A820" s="14">
        <v>2084018954</v>
      </c>
      <c r="B820" s="14" t="s">
        <v>2150</v>
      </c>
      <c r="C820" s="14" t="s">
        <v>2152</v>
      </c>
      <c r="D820" s="5" t="str">
        <f ca="1">IFERROR(__xludf.DUMMYFUNCTION("GOOGLETRANSLATE(B820,""ja"",""vi"")"),"14 inch hoặc nhỏ hơn")</f>
        <v>14 inch hoặc nhỏ hơn</v>
      </c>
      <c r="E820" s="4" t="str">
        <f ca="1">IFERROR(__xludf.DUMMYFUNCTION("GOOGLETRANSLATE(C820,""ja"",""vi"")"),"Đấu giá&gt; thiết bị điện tử tiêu dùng, AV, máy ảnh&gt; Thiết bị hình ảnh&gt; TV&gt; 14 inch hoặc nhỏ hơn")</f>
        <v>Đấu giá&gt; thiết bị điện tử tiêu dùng, AV, máy ảnh&gt; Thiết bị hình ảnh&gt; TV&gt; 14 inch hoặc nhỏ hơn</v>
      </c>
      <c r="F820" t="str">
        <f t="shared" ca="1" si="12"/>
        <v>"2084018954" : "14 inch hoặc nhỏ hơn",</v>
      </c>
    </row>
    <row r="821" spans="1:6" ht="15.75" customHeight="1">
      <c r="A821" s="14">
        <v>2084018957</v>
      </c>
      <c r="B821" s="14" t="s">
        <v>2155</v>
      </c>
      <c r="C821" s="14" t="s">
        <v>2156</v>
      </c>
      <c r="D821" s="5" t="str">
        <f ca="1">IFERROR(__xludf.DUMMYFUNCTION("GOOGLETRANSLATE(B821,""ja"",""vi"")"),"Video được xây dựng-in TV")</f>
        <v>Video được xây dựng-in TV</v>
      </c>
      <c r="E821" s="4" t="str">
        <f ca="1">IFERROR(__xludf.DUMMYFUNCTION("GOOGLETRANSLATE(C821,""ja"",""vi"")"),"Đấu giá&gt; thiết bị điện tử tiêu dùng, AV, máy ảnh&gt; Thiết bị hình ảnh&gt; TV&gt; Video built-in TV")</f>
        <v>Đấu giá&gt; thiết bị điện tử tiêu dùng, AV, máy ảnh&gt; Thiết bị hình ảnh&gt; TV&gt; Video built-in TV</v>
      </c>
      <c r="F821" t="str">
        <f t="shared" ca="1" si="12"/>
        <v>"2084018957" : "Video được xây dựng-in TV",</v>
      </c>
    </row>
    <row r="822" spans="1:6" ht="15.75" customHeight="1">
      <c r="A822" s="14">
        <v>23896</v>
      </c>
      <c r="B822" s="14" t="s">
        <v>2161</v>
      </c>
      <c r="C822" s="14" t="s">
        <v>2164</v>
      </c>
      <c r="D822" s="5" t="str">
        <f ca="1">IFERROR(__xludf.DUMMYFUNCTION("GOOGLETRANSLATE(B822,""ja"",""vi"")"),"TV di động")</f>
        <v>TV di động</v>
      </c>
      <c r="E822" s="4" t="str">
        <f ca="1">IFERROR(__xludf.DUMMYFUNCTION("GOOGLETRANSLATE(C822,""ja"",""vi"")"),"Đấu giá&gt; thiết bị điện tử tiêu dùng, AV, máy ảnh&gt; Thiết bị hình ảnh&gt; TV&gt; Thiết bị truyền hình")</f>
        <v>Đấu giá&gt; thiết bị điện tử tiêu dùng, AV, máy ảnh&gt; Thiết bị hình ảnh&gt; TV&gt; Thiết bị truyền hình</v>
      </c>
      <c r="F822" t="str">
        <f t="shared" ca="1" si="12"/>
        <v>"23896" : "TV di động",</v>
      </c>
    </row>
    <row r="823" spans="1:6" ht="15.75" customHeight="1">
      <c r="A823" s="14">
        <v>2084018964</v>
      </c>
      <c r="B823" s="14" t="s">
        <v>2167</v>
      </c>
      <c r="C823" s="14" t="s">
        <v>2168</v>
      </c>
      <c r="D823" s="5" t="str">
        <f ca="1">IFERROR(__xludf.DUMMYFUNCTION("GOOGLETRANSLATE(B823,""ja"",""vi"")"),"Antenna")</f>
        <v>Antenna</v>
      </c>
      <c r="E823" s="4" t="str">
        <f ca="1">IFERROR(__xludf.DUMMYFUNCTION("GOOGLETRANSLATE(C823,""ja"",""vi"")"),"Đấu giá&gt; thiết bị điện tử tiêu dùng, AV, máy ảnh&gt; Thiết bị hình ảnh&gt; TV&gt; ăng ten")</f>
        <v>Đấu giá&gt; thiết bị điện tử tiêu dùng, AV, máy ảnh&gt; Thiết bị hình ảnh&gt; TV&gt; ăng ten</v>
      </c>
      <c r="F823" t="str">
        <f t="shared" ca="1" si="12"/>
        <v>"2084018964" : "Antenna",</v>
      </c>
    </row>
    <row r="824" spans="1:6" ht="15.75" customHeight="1">
      <c r="A824" s="14">
        <v>2084047099</v>
      </c>
      <c r="B824" s="14" t="s">
        <v>2173</v>
      </c>
      <c r="C824" s="14" t="s">
        <v>2174</v>
      </c>
      <c r="D824" s="5" t="str">
        <f ca="1">IFERROR(__xludf.DUMMYFUNCTION("GOOGLETRANSLATE(B824,""ja"",""vi"")"),"đĩa cứng")</f>
        <v>đĩa cứng</v>
      </c>
      <c r="E824" s="4" t="str">
        <f ca="1">IFERROR(__xludf.DUMMYFUNCTION("GOOGLETRANSLATE(C824,""ja"",""vi"")"),"Đấu giá&gt; thiết bị điện tử tiêu dùng, AV, máy ảnh&gt; Thiết bị hình ảnh&gt; TV&gt; đĩa cứng")</f>
        <v>Đấu giá&gt; thiết bị điện tử tiêu dùng, AV, máy ảnh&gt; Thiết bị hình ảnh&gt; TV&gt; đĩa cứng</v>
      </c>
      <c r="F824" t="str">
        <f t="shared" ca="1" si="12"/>
        <v>"2084047099" : "đĩa cứng",</v>
      </c>
    </row>
    <row r="825" spans="1:6" ht="15.75" customHeight="1">
      <c r="A825" s="14">
        <v>2084018961</v>
      </c>
      <c r="B825" s="14" t="s">
        <v>2178</v>
      </c>
      <c r="C825" s="14" t="s">
        <v>2180</v>
      </c>
      <c r="D825" s="5" t="str">
        <f ca="1">IFERROR(__xludf.DUMMYFUNCTION("GOOGLETRANSLATE(B825,""ja"",""vi"")"),"điều khiển từ xa")</f>
        <v>điều khiển từ xa</v>
      </c>
      <c r="E825" s="4" t="str">
        <f ca="1">IFERROR(__xludf.DUMMYFUNCTION("GOOGLETRANSLATE(C825,""ja"",""vi"")"),"Đấu giá&gt; thiết bị điện tử tiêu dùng, AV, máy ảnh&gt; Thiết bị hình ảnh&gt; TV&gt; Remote Control")</f>
        <v>Đấu giá&gt; thiết bị điện tử tiêu dùng, AV, máy ảnh&gt; Thiết bị hình ảnh&gt; TV&gt; Remote Control</v>
      </c>
      <c r="F825" t="str">
        <f t="shared" ca="1" si="12"/>
        <v>"2084018961" : "điều khiển từ xa",</v>
      </c>
    </row>
    <row r="826" spans="1:6" ht="15.75" customHeight="1">
      <c r="A826" s="14">
        <v>2084018963</v>
      </c>
      <c r="B826" s="14" t="s">
        <v>2183</v>
      </c>
      <c r="C826" s="14" t="s">
        <v>2184</v>
      </c>
      <c r="D826" s="5" t="str">
        <f ca="1">IFERROR(__xludf.DUMMYFUNCTION("GOOGLETRANSLATE(B826,""ja"",""vi"")"),"máy chiếu")</f>
        <v>máy chiếu</v>
      </c>
      <c r="E826" s="4" t="str">
        <f ca="1">IFERROR(__xludf.DUMMYFUNCTION("GOOGLETRANSLATE(C826,""ja"",""vi"")"),"Đấu giá&gt; thiết bị điện tử tiêu dùng, AV, máy ảnh&gt; Thiết bị hình ảnh&gt; TV&gt; Máy chiếu")</f>
        <v>Đấu giá&gt; thiết bị điện tử tiêu dùng, AV, máy ảnh&gt; Thiết bị hình ảnh&gt; TV&gt; Máy chiếu</v>
      </c>
      <c r="F826" t="str">
        <f t="shared" ca="1" si="12"/>
        <v>"2084018963" : "máy chiếu",</v>
      </c>
    </row>
    <row r="827" spans="1:6" ht="15.75" customHeight="1">
      <c r="A827" s="14">
        <v>2084015554</v>
      </c>
      <c r="B827" s="14" t="s">
        <v>2188</v>
      </c>
      <c r="C827" s="14" t="s">
        <v>2189</v>
      </c>
      <c r="D827" s="5" t="str">
        <f ca="1">IFERROR(__xludf.DUMMYFUNCTION("GOOGLETRANSLATE(B827,""ja"",""vi"")"),"Kệ TV gỗ, bảng AV")</f>
        <v>Kệ TV gỗ, bảng AV</v>
      </c>
      <c r="E827" s="4" t="str">
        <f ca="1">IFERROR(__xludf.DUMMYFUNCTION("GOOGLETRANSLATE(C827,""ja"",""vi"")"),"Đấu giá&gt; thiết bị điện tử tiêu dùng, AV, máy ảnh&gt; Thiết bị hình ảnh&gt; TV&gt; TV đứng, Ban AV")</f>
        <v>Đấu giá&gt; thiết bị điện tử tiêu dùng, AV, máy ảnh&gt; Thiết bị hình ảnh&gt; TV&gt; TV đứng, Ban AV</v>
      </c>
      <c r="F827" t="str">
        <f t="shared" ca="1" si="12"/>
        <v>"2084015554" : "Kệ TV gỗ, bảng AV",</v>
      </c>
    </row>
    <row r="828" spans="1:6" ht="15.75" customHeight="1">
      <c r="A828" s="14">
        <v>2084018959</v>
      </c>
      <c r="B828" s="14" t="s">
        <v>46</v>
      </c>
      <c r="C828" s="14" t="s">
        <v>2194</v>
      </c>
      <c r="D828" s="5" t="str">
        <f ca="1">IFERROR(__xludf.DUMMYFUNCTION("GOOGLETRANSLATE(B828,""ja"",""vi"")"),"nếu không thì")</f>
        <v>nếu không thì</v>
      </c>
      <c r="E828" s="4" t="str">
        <f ca="1">IFERROR(__xludf.DUMMYFUNCTION("GOOGLETRANSLATE(C828,""ja"",""vi"")"),"Đấu giá&gt; thiết bị điện tử tiêu dùng, AV, máy ảnh&gt; Thiết bị hình ảnh&gt; TV&gt; Khác")</f>
        <v>Đấu giá&gt; thiết bị điện tử tiêu dùng, AV, máy ảnh&gt; Thiết bị hình ảnh&gt; TV&gt; Khác</v>
      </c>
      <c r="F828" t="str">
        <f t="shared" ca="1" si="12"/>
        <v>"2084018959" : "nếu không thì",</v>
      </c>
    </row>
    <row r="829" spans="1:6" ht="15.75" customHeight="1">
      <c r="A829" s="14">
        <v>23920</v>
      </c>
      <c r="B829" s="14" t="s">
        <v>2424</v>
      </c>
      <c r="C829" s="14" t="s">
        <v>2425</v>
      </c>
      <c r="D829" s="5" t="str">
        <f ca="1">IFERROR(__xludf.DUMMYFUNCTION("GOOGLETRANSLATE(B829,""ja"",""vi"")"),"boong video VHS")</f>
        <v>boong video VHS</v>
      </c>
      <c r="E829" s="4" t="str">
        <f ca="1">IFERROR(__xludf.DUMMYFUNCTION("GOOGLETRANSLATE(C829,""ja"",""vi"")"),"Đấu giá&gt; thiết bị điện tử tiêu dùng, AV, máy ảnh&gt; Thiết bị hình ảnh&gt; boong video&gt; boong video VHS")</f>
        <v>Đấu giá&gt; thiết bị điện tử tiêu dùng, AV, máy ảnh&gt; Thiết bị hình ảnh&gt; boong video&gt; boong video VHS</v>
      </c>
      <c r="F829" t="str">
        <f t="shared" ca="1" si="12"/>
        <v>"23920" : "boong video VHS",</v>
      </c>
    </row>
    <row r="830" spans="1:6" ht="15.75" customHeight="1">
      <c r="A830" s="14">
        <v>23916</v>
      </c>
      <c r="B830" s="14" t="s">
        <v>2427</v>
      </c>
      <c r="C830" s="14" t="s">
        <v>2429</v>
      </c>
      <c r="D830" s="5" t="str">
        <f ca="1">IFERROR(__xludf.DUMMYFUNCTION("GOOGLETRANSLATE(B830,""ja"",""vi"")"),"boong Video S-VHS")</f>
        <v>boong Video S-VHS</v>
      </c>
      <c r="E830" s="4" t="str">
        <f ca="1">IFERROR(__xludf.DUMMYFUNCTION("GOOGLETRANSLATE(C830,""ja"",""vi"")"),"Đấu giá&gt; thiết bị điện tử tiêu dùng, AV, máy ảnh&gt; Thiết bị hình ảnh&gt; Video boong&gt; boong Video S-VHS")</f>
        <v>Đấu giá&gt; thiết bị điện tử tiêu dùng, AV, máy ảnh&gt; Thiết bị hình ảnh&gt; Video boong&gt; boong Video S-VHS</v>
      </c>
      <c r="F830" t="str">
        <f t="shared" ca="1" si="12"/>
        <v>"23916" : "boong Video S-VHS",</v>
      </c>
    </row>
    <row r="831" spans="1:6" ht="15.75" customHeight="1">
      <c r="A831" s="14">
        <v>23912</v>
      </c>
      <c r="B831" s="14" t="s">
        <v>2433</v>
      </c>
      <c r="C831" s="14" t="s">
        <v>2435</v>
      </c>
      <c r="D831" s="5" t="str">
        <f ca="1">IFERROR(__xludf.DUMMYFUNCTION("GOOGLETRANSLATE(B831,""ja"",""vi"")"),"boong Video Beta")</f>
        <v>boong Video Beta</v>
      </c>
      <c r="E831" s="4" t="str">
        <f ca="1">IFERROR(__xludf.DUMMYFUNCTION("GOOGLETRANSLATE(C831,""ja"",""vi"")"),"Đấu giá&gt; thiết bị điện tử tiêu dùng, AV, máy ảnh&gt; Thiết bị hình ảnh&gt; boong video&gt; boong video beta")</f>
        <v>Đấu giá&gt; thiết bị điện tử tiêu dùng, AV, máy ảnh&gt; Thiết bị hình ảnh&gt; boong video&gt; boong video beta</v>
      </c>
      <c r="F831" t="str">
        <f t="shared" ca="1" si="12"/>
        <v>"23912" : "boong Video Beta",</v>
      </c>
    </row>
    <row r="832" spans="1:6" ht="15.75" customHeight="1">
      <c r="A832" s="14">
        <v>2084049863</v>
      </c>
      <c r="B832" s="14" t="s">
        <v>2438</v>
      </c>
      <c r="C832" s="14" t="s">
        <v>2440</v>
      </c>
      <c r="D832" s="5" t="str">
        <f ca="1">IFERROR(__xludf.DUMMYFUNCTION("GOOGLETRANSLATE(B832,""ja"",""vi"")"),"boong video 8-mm")</f>
        <v>boong video 8-mm</v>
      </c>
      <c r="E832" s="4" t="str">
        <f ca="1">IFERROR(__xludf.DUMMYFUNCTION("GOOGLETRANSLATE(C832,""ja"",""vi"")"),"Đấu giá&gt; thiết bị điện tử tiêu dùng, AV, máy ảnh&gt; Thiết bị hình ảnh&gt; boong video&gt; boong phim 8 mm")</f>
        <v>Đấu giá&gt; thiết bị điện tử tiêu dùng, AV, máy ảnh&gt; Thiết bị hình ảnh&gt; boong video&gt; boong phim 8 mm</v>
      </c>
      <c r="F832" t="str">
        <f t="shared" ca="1" si="12"/>
        <v>"2084049863" : "boong video 8-mm",</v>
      </c>
    </row>
    <row r="833" spans="1:6" ht="15.75" customHeight="1">
      <c r="A833" s="14">
        <v>2084048538</v>
      </c>
      <c r="B833" s="14" t="s">
        <v>2443</v>
      </c>
      <c r="C833" s="14" t="s">
        <v>2445</v>
      </c>
      <c r="D833" s="5" t="str">
        <f ca="1">IFERROR(__xludf.DUMMYFUNCTION("GOOGLETRANSLATE(B833,""ja"",""vi"")"),"boong phim D-VHS")</f>
        <v>boong phim D-VHS</v>
      </c>
      <c r="E833" s="4" t="str">
        <f ca="1">IFERROR(__xludf.DUMMYFUNCTION("GOOGLETRANSLATE(C833,""ja"",""vi"")"),"Đấu giá&gt; thiết bị điện tử tiêu dùng, AV, máy ảnh&gt; Thiết bị hình ảnh&gt; Video boong&gt; D-VHS boong Video")</f>
        <v>Đấu giá&gt; thiết bị điện tử tiêu dùng, AV, máy ảnh&gt; Thiết bị hình ảnh&gt; Video boong&gt; D-VHS boong Video</v>
      </c>
      <c r="F833" t="str">
        <f t="shared" ca="1" si="12"/>
        <v>"2084048538" : "boong phim D-VHS",</v>
      </c>
    </row>
    <row r="834" spans="1:6" ht="15.75" customHeight="1">
      <c r="A834" s="14">
        <v>2084018957</v>
      </c>
      <c r="B834" s="14" t="s">
        <v>2155</v>
      </c>
      <c r="C834" s="14" t="s">
        <v>2448</v>
      </c>
      <c r="D834" s="5" t="str">
        <f ca="1">IFERROR(__xludf.DUMMYFUNCTION("GOOGLETRANSLATE(B834,""ja"",""vi"")"),"Video được xây dựng-in TV")</f>
        <v>Video được xây dựng-in TV</v>
      </c>
      <c r="E834" s="4" t="str">
        <f ca="1">IFERROR(__xludf.DUMMYFUNCTION("GOOGLETRANSLATE(C834,""ja"",""vi"")"),"Đấu giá&gt; thiết bị điện tử tiêu dùng, AV, máy ảnh&gt; Thiết bị hình ảnh&gt; Video boong&gt; Video built-in TV")</f>
        <v>Đấu giá&gt; thiết bị điện tử tiêu dùng, AV, máy ảnh&gt; Thiết bị hình ảnh&gt; Video boong&gt; Video built-in TV</v>
      </c>
      <c r="F834" t="str">
        <f t="shared" ref="F834:F897" ca="1" si="13">CONCATENATE(CHAR(34)&amp;"",A834,""&amp;CHAR(34)," : ", CHAR(34)&amp;"",D834,""&amp;CHAR(34),",")</f>
        <v>"2084018957" : "Video được xây dựng-in TV",</v>
      </c>
    </row>
    <row r="835" spans="1:6" ht="15.75" customHeight="1">
      <c r="A835" s="14">
        <v>2084239146</v>
      </c>
      <c r="B835" s="14" t="s">
        <v>2397</v>
      </c>
      <c r="C835" s="14" t="s">
        <v>2452</v>
      </c>
      <c r="D835" s="5" t="str">
        <f ca="1">IFERROR(__xludf.DUMMYFUNCTION("GOOGLETRANSLATE(B835,""ja"",""vi"")"),"Chuyên nghiệp, cho doanh nghiệp")</f>
        <v>Chuyên nghiệp, cho doanh nghiệp</v>
      </c>
      <c r="E835" s="4" t="str">
        <f ca="1">IFERROR(__xludf.DUMMYFUNCTION("GOOGLETRANSLATE(C835,""ja"",""vi"")"),"Đấu giá&gt; thiết bị điện tử tiêu dùng, AV, máy ảnh&gt; Thiết bị hình ảnh&gt; Video boong&gt; chuyên nghiệp, cho doanh nghiệp")</f>
        <v>Đấu giá&gt; thiết bị điện tử tiêu dùng, AV, máy ảnh&gt; Thiết bị hình ảnh&gt; Video boong&gt; chuyên nghiệp, cho doanh nghiệp</v>
      </c>
      <c r="F835" t="str">
        <f t="shared" ca="1" si="13"/>
        <v>"2084239146" : "Chuyên nghiệp, cho doanh nghiệp",</v>
      </c>
    </row>
    <row r="836" spans="1:6" ht="15.75" customHeight="1">
      <c r="A836" s="14">
        <v>2084018953</v>
      </c>
      <c r="B836" s="14" t="s">
        <v>2402</v>
      </c>
      <c r="C836" s="14" t="s">
        <v>2455</v>
      </c>
      <c r="D836" s="5" t="str">
        <f ca="1">IFERROR(__xludf.DUMMYFUNCTION("GOOGLETRANSLATE(B836,""ja"",""vi"")"),"phương tiện truyền thông ghi âm")</f>
        <v>phương tiện truyền thông ghi âm</v>
      </c>
      <c r="E836" s="4" t="str">
        <f ca="1">IFERROR(__xludf.DUMMYFUNCTION("GOOGLETRANSLATE(C836,""ja"",""vi"")"),"Đấu giá&gt; thiết bị điện tử tiêu dùng, AV, máy ảnh&gt; Thiết bị hình ảnh&gt; boong video&gt; ghi trung bình")</f>
        <v>Đấu giá&gt; thiết bị điện tử tiêu dùng, AV, máy ảnh&gt; Thiết bị hình ảnh&gt; boong video&gt; ghi trung bình</v>
      </c>
      <c r="F836" t="str">
        <f t="shared" ca="1" si="13"/>
        <v>"2084018953" : "phương tiện truyền thông ghi âm",</v>
      </c>
    </row>
    <row r="837" spans="1:6" ht="15.75" customHeight="1">
      <c r="A837" s="14">
        <v>2084205437</v>
      </c>
      <c r="B837" s="14" t="s">
        <v>2178</v>
      </c>
      <c r="C837" s="14" t="s">
        <v>2460</v>
      </c>
      <c r="D837" s="5" t="str">
        <f ca="1">IFERROR(__xludf.DUMMYFUNCTION("GOOGLETRANSLATE(B837,""ja"",""vi"")"),"điều khiển từ xa")</f>
        <v>điều khiển từ xa</v>
      </c>
      <c r="E837" s="4" t="str">
        <f ca="1">IFERROR(__xludf.DUMMYFUNCTION("GOOGLETRANSLATE(C837,""ja"",""vi"")"),"Đấu giá&gt; thiết bị điện tử tiêu dùng, AV, máy ảnh&gt; Thiết bị hình ảnh&gt; Video boong&gt; điều khiển từ xa")</f>
        <v>Đấu giá&gt; thiết bị điện tử tiêu dùng, AV, máy ảnh&gt; Thiết bị hình ảnh&gt; Video boong&gt; điều khiển từ xa</v>
      </c>
      <c r="F837" t="str">
        <f t="shared" ca="1" si="13"/>
        <v>"2084205437" : "điều khiển từ xa",</v>
      </c>
    </row>
    <row r="838" spans="1:6" ht="15.75" customHeight="1">
      <c r="A838" s="14">
        <v>23908</v>
      </c>
      <c r="B838" s="14" t="s">
        <v>46</v>
      </c>
      <c r="C838" s="14" t="s">
        <v>2465</v>
      </c>
      <c r="D838" s="5" t="str">
        <f ca="1">IFERROR(__xludf.DUMMYFUNCTION("GOOGLETRANSLATE(B838,""ja"",""vi"")"),"nếu không thì")</f>
        <v>nếu không thì</v>
      </c>
      <c r="E838" s="4" t="str">
        <f ca="1">IFERROR(__xludf.DUMMYFUNCTION("GOOGLETRANSLATE(C838,""ja"",""vi"")"),"Đấu giá&gt; thiết bị điện tử tiêu dùng, AV, máy ảnh&gt; Thiết bị hình ảnh&gt; Video boong&gt; Khác")</f>
        <v>Đấu giá&gt; thiết bị điện tử tiêu dùng, AV, máy ảnh&gt; Thiết bị hình ảnh&gt; Video boong&gt; Khác</v>
      </c>
      <c r="F838" t="str">
        <f t="shared" ca="1" si="13"/>
        <v>"23908" : "nếu không thì",</v>
      </c>
    </row>
    <row r="839" spans="1:6" ht="15.75" customHeight="1">
      <c r="A839" s="14">
        <v>2084044969</v>
      </c>
      <c r="B839" s="14" t="s">
        <v>4252</v>
      </c>
      <c r="C839" s="14" t="s">
        <v>4253</v>
      </c>
      <c r="D839" s="5" t="str">
        <f ca="1">IFERROR(__xludf.DUMMYFUNCTION("GOOGLETRANSLATE(B839,""ja"",""vi"")"),"máy sấy Carl")</f>
        <v>máy sấy Carl</v>
      </c>
      <c r="E839" s="4" t="str">
        <f ca="1">IFERROR(__xludf.DUMMYFUNCTION("GOOGLETRANSLATE(C839,""ja"",""vi"")"),"Đấu giá&gt; thiết bị điện tử tiêu dùng, AV, camera&gt; vẻ đẹp, sức khỏe&gt; ​​Máy sấy tóc&gt; Máy sấy Carl")</f>
        <v>Đấu giá&gt; thiết bị điện tử tiêu dùng, AV, camera&gt; vẻ đẹp, sức khỏe&gt; ​​Máy sấy tóc&gt; Máy sấy Carl</v>
      </c>
      <c r="F839" t="str">
        <f t="shared" ca="1" si="13"/>
        <v>"2084044969" : "máy sấy Carl",</v>
      </c>
    </row>
    <row r="840" spans="1:6" ht="15.75" customHeight="1">
      <c r="A840" s="14">
        <v>2084044968</v>
      </c>
      <c r="B840" s="14" t="s">
        <v>4257</v>
      </c>
      <c r="C840" s="14" t="s">
        <v>4258</v>
      </c>
      <c r="D840" s="5" t="str">
        <f ca="1">IFERROR(__xludf.DUMMYFUNCTION("GOOGLETRANSLATE(B840,""ja"",""vi"")"),"máy sấy tay")</f>
        <v>máy sấy tay</v>
      </c>
      <c r="E840" s="4" t="str">
        <f ca="1">IFERROR(__xludf.DUMMYFUNCTION("GOOGLETRANSLATE(C840,""ja"",""vi"")"),"Đấu giá&gt; thiết bị điện tử tiêu dùng, AV, camera&gt; vẻ đẹp, sức khỏe&gt; ​​Máy sấy tóc&gt; Máy sấy tay")</f>
        <v>Đấu giá&gt; thiết bị điện tử tiêu dùng, AV, camera&gt; vẻ đẹp, sức khỏe&gt; ​​Máy sấy tóc&gt; Máy sấy tay</v>
      </c>
      <c r="F840" t="str">
        <f t="shared" ca="1" si="13"/>
        <v>"2084044968" : "máy sấy tay",</v>
      </c>
    </row>
    <row r="841" spans="1:6" ht="15.75" customHeight="1">
      <c r="A841" s="14">
        <v>2084044970</v>
      </c>
      <c r="B841" s="14" t="s">
        <v>46</v>
      </c>
      <c r="C841" s="14" t="s">
        <v>4260</v>
      </c>
      <c r="D841" s="5" t="str">
        <f ca="1">IFERROR(__xludf.DUMMYFUNCTION("GOOGLETRANSLATE(B841,""ja"",""vi"")"),"nếu không thì")</f>
        <v>nếu không thì</v>
      </c>
      <c r="E841" s="4" t="str">
        <f ca="1">IFERROR(__xludf.DUMMYFUNCTION("GOOGLETRANSLATE(C841,""ja"",""vi"")"),"Đấu giá&gt; thiết bị điện tử tiêu dùng, AV, camera&gt; vẻ đẹp, sức khỏe&gt; ​​Máy sấy tóc&gt; Khác")</f>
        <v>Đấu giá&gt; thiết bị điện tử tiêu dùng, AV, camera&gt; vẻ đẹp, sức khỏe&gt; ​​Máy sấy tóc&gt; Khác</v>
      </c>
      <c r="F841" t="str">
        <f t="shared" ca="1" si="13"/>
        <v>"2084044970" : "nếu không thì",</v>
      </c>
    </row>
    <row r="842" spans="1:6" ht="15.75" customHeight="1">
      <c r="A842" s="14">
        <v>2084062839</v>
      </c>
      <c r="B842" s="14" t="s">
        <v>1678</v>
      </c>
      <c r="C842" s="14" t="s">
        <v>3959</v>
      </c>
      <c r="D842" s="5" t="str">
        <f ca="1">IFERROR(__xludf.DUMMYFUNCTION("GOOGLETRANSLATE(B842,""ja"",""vi"")"),"Một cơ thể")</f>
        <v>Một cơ thể</v>
      </c>
      <c r="E842" s="4" t="str">
        <f ca="1">IFERROR(__xludf.DUMMYFUNCTION("GOOGLETRANSLATE(C842,""ja"",""vi"")"),"Đấu giá&gt; Sở thích, văn hóa&gt; thủ công, thủ công mỹ nghệ&gt; máy may&gt; cơ thể")</f>
        <v>Đấu giá&gt; Sở thích, văn hóa&gt; thủ công, thủ công mỹ nghệ&gt; máy may&gt; cơ thể</v>
      </c>
      <c r="F842" t="str">
        <f t="shared" ca="1" si="13"/>
        <v>"2084062839" : "Một cơ thể",</v>
      </c>
    </row>
    <row r="843" spans="1:6" ht="15.75" customHeight="1">
      <c r="A843" s="14">
        <v>2084305343</v>
      </c>
      <c r="B843" s="14" t="s">
        <v>3961</v>
      </c>
      <c r="C843" s="14" t="s">
        <v>3962</v>
      </c>
      <c r="D843" s="5" t="str">
        <f ca="1">IFERROR(__xludf.DUMMYFUNCTION("GOOGLETRANSLATE(B843,""ja"",""vi"")"),"suốt chỉ")</f>
        <v>suốt chỉ</v>
      </c>
      <c r="E843" s="4" t="str">
        <f ca="1">IFERROR(__xludf.DUMMYFUNCTION("GOOGLETRANSLATE(C843,""ja"",""vi"")"),"Đấu giá&gt; Sở thích, văn hóa&gt; thủ công, thủ công mỹ nghệ&gt; máy may&gt; cuộn")</f>
        <v>Đấu giá&gt; Sở thích, văn hóa&gt; thủ công, thủ công mỹ nghệ&gt; máy may&gt; cuộn</v>
      </c>
      <c r="F843" t="str">
        <f t="shared" ca="1" si="13"/>
        <v>"2084305343" : "suốt chỉ",</v>
      </c>
    </row>
    <row r="844" spans="1:6" ht="15.75" customHeight="1">
      <c r="A844" s="14">
        <v>2084305341</v>
      </c>
      <c r="B844" s="14" t="s">
        <v>3966</v>
      </c>
      <c r="C844" s="14" t="s">
        <v>3967</v>
      </c>
      <c r="D844" s="5" t="str">
        <f ca="1">IFERROR(__xludf.DUMMYFUNCTION("GOOGLETRANSLATE(B844,""ja"",""vi"")"),"chỉ khâu")</f>
        <v>chỉ khâu</v>
      </c>
      <c r="E844" s="4" t="str">
        <f ca="1">IFERROR(__xludf.DUMMYFUNCTION("GOOGLETRANSLATE(C844,""ja"",""vi"")"),"Đấu giá&gt; Sở thích, văn hóa&gt; thủ công, thủ công mỹ nghệ&gt; May&gt; may chủ đề")</f>
        <v>Đấu giá&gt; Sở thích, văn hóa&gt; thủ công, thủ công mỹ nghệ&gt; May&gt; may chủ đề</v>
      </c>
      <c r="F844" t="str">
        <f t="shared" ca="1" si="13"/>
        <v>"2084305341" : "chỉ khâu",</v>
      </c>
    </row>
    <row r="845" spans="1:6" ht="15.75" customHeight="1">
      <c r="A845" s="14">
        <v>2084305342</v>
      </c>
      <c r="B845" s="14" t="s">
        <v>3971</v>
      </c>
      <c r="C845" s="14" t="s">
        <v>3973</v>
      </c>
      <c r="D845" s="5" t="str">
        <f ca="1">IFERROR(__xludf.DUMMYFUNCTION("GOOGLETRANSLATE(B845,""ja"",""vi"")"),"máy may kim")</f>
        <v>máy may kim</v>
      </c>
      <c r="E845" s="4" t="str">
        <f ca="1">IFERROR(__xludf.DUMMYFUNCTION("GOOGLETRANSLATE(C845,""ja"",""vi"")"),"Đấu giá&gt; Sở thích, văn hóa&gt; thủ công, thủ công mỹ nghệ&gt; May&gt; máy may kim")</f>
        <v>Đấu giá&gt; Sở thích, văn hóa&gt; thủ công, thủ công mỹ nghệ&gt; May&gt; máy may kim</v>
      </c>
      <c r="F845" t="str">
        <f t="shared" ca="1" si="13"/>
        <v>"2084305342" : "máy may kim",</v>
      </c>
    </row>
    <row r="846" spans="1:6" ht="15.75" customHeight="1">
      <c r="A846" s="14">
        <v>2084062840</v>
      </c>
      <c r="B846" s="14" t="s">
        <v>46</v>
      </c>
      <c r="C846" s="14" t="s">
        <v>3977</v>
      </c>
      <c r="D846" s="5" t="str">
        <f ca="1">IFERROR(__xludf.DUMMYFUNCTION("GOOGLETRANSLATE(B846,""ja"",""vi"")"),"nếu không thì")</f>
        <v>nếu không thì</v>
      </c>
      <c r="E846" s="4" t="str">
        <f ca="1">IFERROR(__xludf.DUMMYFUNCTION("GOOGLETRANSLATE(C846,""ja"",""vi"")"),"Đấu giá&gt; Sở thích, văn hóa&gt; thủ công, thủ công mỹ nghệ&gt; máy may&gt; Khác")</f>
        <v>Đấu giá&gt; Sở thích, văn hóa&gt; thủ công, thủ công mỹ nghệ&gt; máy may&gt; Khác</v>
      </c>
      <c r="F846" t="str">
        <f t="shared" ca="1" si="13"/>
        <v>"2084062840" : "nếu không thì",</v>
      </c>
    </row>
    <row r="847" spans="1:6" ht="15.75" customHeight="1">
      <c r="A847" s="14">
        <v>23884</v>
      </c>
      <c r="B847" s="14" t="s">
        <v>5746</v>
      </c>
      <c r="C847" s="14" t="s">
        <v>5748</v>
      </c>
      <c r="D847" s="5" t="str">
        <f ca="1">IFERROR(__xludf.DUMMYFUNCTION("GOOGLETRANSLATE(B847,""ja"",""vi"")"),"TV")</f>
        <v>TV</v>
      </c>
      <c r="E847" s="4" t="str">
        <f ca="1">IFERROR(__xludf.DUMMYFUNCTION("GOOGLETRANSLATE(C847,""ja"",""vi"")"),"Đấu giá&gt; thiết bị điện tử tiêu dùng, AV, máy ảnh&gt; Thiết bị hình ảnh&gt; TV")</f>
        <v>Đấu giá&gt; thiết bị điện tử tiêu dùng, AV, máy ảnh&gt; Thiết bị hình ảnh&gt; TV</v>
      </c>
      <c r="F847" t="str">
        <f t="shared" ca="1" si="13"/>
        <v>"23884" : "TV",</v>
      </c>
    </row>
    <row r="848" spans="1:6" ht="15.75" customHeight="1">
      <c r="A848" s="14">
        <v>2084018963</v>
      </c>
      <c r="B848" s="14" t="s">
        <v>2183</v>
      </c>
      <c r="C848" s="14" t="s">
        <v>5752</v>
      </c>
      <c r="D848" s="5" t="str">
        <f ca="1">IFERROR(__xludf.DUMMYFUNCTION("GOOGLETRANSLATE(B848,""ja"",""vi"")"),"máy chiếu")</f>
        <v>máy chiếu</v>
      </c>
      <c r="E848" s="4" t="str">
        <f ca="1">IFERROR(__xludf.DUMMYFUNCTION("GOOGLETRANSLATE(C848,""ja"",""vi"")"),"Đấu giá&gt; thiết bị điện tử tiêu dùng, AV, máy ảnh&gt; Thiết bị hình ảnh&gt; Máy chiếu")</f>
        <v>Đấu giá&gt; thiết bị điện tử tiêu dùng, AV, máy ảnh&gt; Thiết bị hình ảnh&gt; Máy chiếu</v>
      </c>
      <c r="F848" t="str">
        <f t="shared" ca="1" si="13"/>
        <v>"2084018963" : "máy chiếu",</v>
      </c>
    </row>
    <row r="849" spans="1:6" ht="15.75" customHeight="1">
      <c r="A849" s="14">
        <v>2084230819</v>
      </c>
      <c r="B849" s="14" t="s">
        <v>5756</v>
      </c>
      <c r="C849" s="14" t="s">
        <v>5757</v>
      </c>
      <c r="D849" s="5" t="str">
        <f ca="1">IFERROR(__xludf.DUMMYFUNCTION("GOOGLETRANSLATE(B849,""ja"",""vi"")"),"Blu-ray ghi")</f>
        <v>Blu-ray ghi</v>
      </c>
      <c r="E849" s="4" t="str">
        <f ca="1">IFERROR(__xludf.DUMMYFUNCTION("GOOGLETRANSLATE(C849,""ja"",""vi"")"),"Đấu giá&gt; thiết bị điện tử tiêu dùng, AV, máy ảnh&gt; Thiết bị hình ảnh&gt; Máy ghi Blu-ray")</f>
        <v>Đấu giá&gt; thiết bị điện tử tiêu dùng, AV, máy ảnh&gt; Thiết bị hình ảnh&gt; Máy ghi Blu-ray</v>
      </c>
      <c r="F849" t="str">
        <f t="shared" ca="1" si="13"/>
        <v>"2084230819" : "Blu-ray ghi",</v>
      </c>
    </row>
    <row r="850" spans="1:6" ht="15.75" customHeight="1">
      <c r="A850" s="14">
        <v>2084284115</v>
      </c>
      <c r="B850" s="14" t="s">
        <v>5759</v>
      </c>
      <c r="C850" s="14" t="s">
        <v>5761</v>
      </c>
      <c r="D850" s="5" t="str">
        <f ca="1">IFERROR(__xludf.DUMMYFUNCTION("GOOGLETRANSLATE(B850,""ja"",""vi"")"),"đầu đĩa Blu-ray")</f>
        <v>đầu đĩa Blu-ray</v>
      </c>
      <c r="E850" s="4" t="str">
        <f ca="1">IFERROR(__xludf.DUMMYFUNCTION("GOOGLETRANSLATE(C850,""ja"",""vi"")"),"Đấu giá&gt; điện tử tiêu dùng, người chơi AV, máy ảnh&gt; Thiết bị hình ảnh&gt; Blu-ray")</f>
        <v>Đấu giá&gt; điện tử tiêu dùng, người chơi AV, máy ảnh&gt; Thiết bị hình ảnh&gt; Blu-ray</v>
      </c>
      <c r="F850" t="str">
        <f t="shared" ca="1" si="13"/>
        <v>"2084284115" : "đầu đĩa Blu-ray",</v>
      </c>
    </row>
    <row r="851" spans="1:6" ht="15.75" customHeight="1">
      <c r="A851" s="14">
        <v>2084048827</v>
      </c>
      <c r="B851" s="14" t="s">
        <v>5764</v>
      </c>
      <c r="C851" s="14" t="s">
        <v>5765</v>
      </c>
      <c r="D851" s="5" t="str">
        <f ca="1">IFERROR(__xludf.DUMMYFUNCTION("GOOGLETRANSLATE(B851,""ja"",""vi"")"),"ghi DVD")</f>
        <v>ghi DVD</v>
      </c>
      <c r="E851" s="4" t="str">
        <f ca="1">IFERROR(__xludf.DUMMYFUNCTION("GOOGLETRANSLATE(C851,""ja"",""vi"")"),"Đấu giá&gt; thiết bị điện tử tiêu dùng, AV, máy ảnh&gt; Thiết bị hình ảnh&gt; Máy ghi DVD")</f>
        <v>Đấu giá&gt; thiết bị điện tử tiêu dùng, AV, máy ảnh&gt; Thiết bị hình ảnh&gt; Máy ghi DVD</v>
      </c>
      <c r="F851" t="str">
        <f t="shared" ca="1" si="13"/>
        <v>"2084048827" : "ghi DVD",</v>
      </c>
    </row>
    <row r="852" spans="1:6" ht="15.75" customHeight="1">
      <c r="A852" s="14">
        <v>23928</v>
      </c>
      <c r="B852" s="14" t="s">
        <v>5769</v>
      </c>
      <c r="C852" s="14" t="s">
        <v>5770</v>
      </c>
      <c r="D852" s="5" t="str">
        <f ca="1">IFERROR(__xludf.DUMMYFUNCTION("GOOGLETRANSLATE(B852,""ja"",""vi"")"),"đầu DVD")</f>
        <v>đầu DVD</v>
      </c>
      <c r="E852" s="4" t="str">
        <f ca="1">IFERROR(__xludf.DUMMYFUNCTION("GOOGLETRANSLATE(C852,""ja"",""vi"")"),"Đấu giá&gt; thiết bị điện tử tiêu dùng, AV, máy ảnh&gt; Thiết bị hình ảnh&gt; DVD")</f>
        <v>Đấu giá&gt; thiết bị điện tử tiêu dùng, AV, máy ảnh&gt; Thiết bị hình ảnh&gt; DVD</v>
      </c>
      <c r="F852" t="str">
        <f t="shared" ca="1" si="13"/>
        <v>"23928" : "đầu DVD",</v>
      </c>
    </row>
    <row r="853" spans="1:6" ht="15.75" customHeight="1">
      <c r="A853" s="14">
        <v>2084018964</v>
      </c>
      <c r="B853" s="14" t="s">
        <v>2167</v>
      </c>
      <c r="C853" s="14" t="s">
        <v>5775</v>
      </c>
      <c r="D853" s="5" t="str">
        <f ca="1">IFERROR(__xludf.DUMMYFUNCTION("GOOGLETRANSLATE(B853,""ja"",""vi"")"),"Antenna")</f>
        <v>Antenna</v>
      </c>
      <c r="E853" s="4" t="str">
        <f ca="1">IFERROR(__xludf.DUMMYFUNCTION("GOOGLETRANSLATE(C853,""ja"",""vi"")"),"Đấu giá&gt; thiết bị điện tử tiêu dùng, AV, máy ảnh&gt; Thiết bị hình ảnh&gt; ăng ten")</f>
        <v>Đấu giá&gt; thiết bị điện tử tiêu dùng, AV, máy ảnh&gt; Thiết bị hình ảnh&gt; ăng ten</v>
      </c>
      <c r="F853" t="str">
        <f t="shared" ca="1" si="13"/>
        <v>"2084018964" : "Antenna",</v>
      </c>
    </row>
    <row r="854" spans="1:6" ht="15.75" customHeight="1">
      <c r="A854" s="14">
        <v>2084018965</v>
      </c>
      <c r="B854" s="14" t="s">
        <v>3114</v>
      </c>
      <c r="C854" s="14" t="s">
        <v>5776</v>
      </c>
      <c r="D854" s="5" t="str">
        <f ca="1">IFERROR(__xludf.DUMMYFUNCTION("GOOGLETRANSLATE(B854,""ja"",""vi"")"),"Tuner")</f>
        <v>Tuner</v>
      </c>
      <c r="E854" s="4" t="str">
        <f ca="1">IFERROR(__xludf.DUMMYFUNCTION("GOOGLETRANSLATE(C854,""ja"",""vi"")"),"Đấu giá&gt; thiết bị điện tử tiêu dùng, AV, máy ảnh&gt; Thiết bị hình ảnh&gt; chỉnh")</f>
        <v>Đấu giá&gt; thiết bị điện tử tiêu dùng, AV, máy ảnh&gt; Thiết bị hình ảnh&gt; chỉnh</v>
      </c>
      <c r="F854" t="str">
        <f t="shared" ca="1" si="13"/>
        <v>"2084018965" : "Tuner",</v>
      </c>
    </row>
    <row r="855" spans="1:6" ht="15.75" customHeight="1">
      <c r="A855" s="14">
        <v>2084239218</v>
      </c>
      <c r="B855" s="14" t="s">
        <v>5781</v>
      </c>
      <c r="C855" s="14" t="s">
        <v>5783</v>
      </c>
      <c r="D855" s="5" t="str">
        <f ca="1">IFERROR(__xludf.DUMMYFUNCTION("GOOGLETRANSLATE(B855,""ja"",""vi"")"),"phương tiện truyền thông ghi âm")</f>
        <v>phương tiện truyền thông ghi âm</v>
      </c>
      <c r="E855" s="4" t="str">
        <f ca="1">IFERROR(__xludf.DUMMYFUNCTION("GOOGLETRANSLATE(C855,""ja"",""vi"")"),"Đấu giá&gt; thiết bị điện tử tiêu dùng, AV, máy ảnh&gt; Thiết bị hình ảnh&gt; phương tiện truyền thông kỷ lục")</f>
        <v>Đấu giá&gt; thiết bị điện tử tiêu dùng, AV, máy ảnh&gt; Thiết bị hình ảnh&gt; phương tiện truyền thông kỷ lục</v>
      </c>
      <c r="F855" t="str">
        <f t="shared" ca="1" si="13"/>
        <v>"2084239218" : "phương tiện truyền thông ghi âm",</v>
      </c>
    </row>
    <row r="856" spans="1:6" ht="15.75" customHeight="1">
      <c r="A856" s="14">
        <v>2084221807</v>
      </c>
      <c r="B856" s="14" t="s">
        <v>5787</v>
      </c>
      <c r="C856" s="14" t="s">
        <v>5789</v>
      </c>
      <c r="D856" s="5" t="str">
        <f ca="1">IFERROR(__xludf.DUMMYFUNCTION("GOOGLETRANSLATE(B856,""ja"",""vi"")"),"video cable")</f>
        <v>video cable</v>
      </c>
      <c r="E856" s="4" t="str">
        <f ca="1">IFERROR(__xludf.DUMMYFUNCTION("GOOGLETRANSLATE(C856,""ja"",""vi"")"),"Đấu giá&gt; thiết bị điện tử tiêu dùng, AV, máy ảnh&gt; Thiết bị hình ảnh&gt; dây cáp video")</f>
        <v>Đấu giá&gt; thiết bị điện tử tiêu dùng, AV, máy ảnh&gt; Thiết bị hình ảnh&gt; dây cáp video</v>
      </c>
      <c r="F856" t="str">
        <f t="shared" ca="1" si="13"/>
        <v>"2084221807" : "video cable",</v>
      </c>
    </row>
    <row r="857" spans="1:6" ht="15.75" customHeight="1">
      <c r="A857" s="14">
        <v>23932</v>
      </c>
      <c r="B857" s="14" t="s">
        <v>5792</v>
      </c>
      <c r="C857" s="14" t="s">
        <v>5793</v>
      </c>
      <c r="D857" s="5" t="str">
        <f ca="1">IFERROR(__xludf.DUMMYFUNCTION("GOOGLETRANSLATE(B857,""ja"",""vi"")"),"máy nghe nhạc LD")</f>
        <v>máy nghe nhạc LD</v>
      </c>
      <c r="E857" s="4" t="str">
        <f ca="1">IFERROR(__xludf.DUMMYFUNCTION("GOOGLETRANSLATE(C857,""ja"",""vi"")"),"Đấu giá&gt; thiết bị điện tử tiêu dùng, AV, máy ảnh&gt; Thiết bị hình ảnh&gt; Máy nghe LD")</f>
        <v>Đấu giá&gt; thiết bị điện tử tiêu dùng, AV, máy ảnh&gt; Thiết bị hình ảnh&gt; Máy nghe LD</v>
      </c>
      <c r="F857" t="str">
        <f t="shared" ca="1" si="13"/>
        <v>"23932" : "máy nghe nhạc LD",</v>
      </c>
    </row>
    <row r="858" spans="1:6" ht="15.75" customHeight="1">
      <c r="A858" s="14">
        <v>23936</v>
      </c>
      <c r="B858" s="14" t="s">
        <v>5797</v>
      </c>
      <c r="C858" s="14" t="s">
        <v>5798</v>
      </c>
      <c r="D858" s="5" t="str">
        <f ca="1">IFERROR(__xludf.DUMMYFUNCTION("GOOGLETRANSLATE(B858,""ja"",""vi"")"),"máy quay video")</f>
        <v>máy quay video</v>
      </c>
      <c r="E858" s="4" t="str">
        <f ca="1">IFERROR(__xludf.DUMMYFUNCTION("GOOGLETRANSLATE(C858,""ja"",""vi"")"),"Đấu giá&gt; thiết bị điện tử tiêu dùng, AV, máy ảnh&gt; Thiết bị hình ảnh&gt; máy quay video")</f>
        <v>Đấu giá&gt; thiết bị điện tử tiêu dùng, AV, máy ảnh&gt; Thiết bị hình ảnh&gt; máy quay video</v>
      </c>
      <c r="F858" t="str">
        <f t="shared" ca="1" si="13"/>
        <v>"23936" : "máy quay video",</v>
      </c>
    </row>
    <row r="859" spans="1:6" ht="15.75" customHeight="1">
      <c r="A859" s="14">
        <v>23900</v>
      </c>
      <c r="B859" s="14" t="s">
        <v>5802</v>
      </c>
      <c r="C859" s="14" t="s">
        <v>5803</v>
      </c>
      <c r="D859" s="5" t="str">
        <f ca="1">IFERROR(__xludf.DUMMYFUNCTION("GOOGLETRANSLATE(B859,""ja"",""vi"")"),"boong video")</f>
        <v>boong video</v>
      </c>
      <c r="E859" s="4" t="str">
        <f ca="1">IFERROR(__xludf.DUMMYFUNCTION("GOOGLETRANSLATE(C859,""ja"",""vi"")"),"Đấu giá&gt; thiết bị điện tử tiêu dùng, AV, máy ảnh&gt; Thiết bị hình ảnh&gt; boong Video")</f>
        <v>Đấu giá&gt; thiết bị điện tử tiêu dùng, AV, máy ảnh&gt; Thiết bị hình ảnh&gt; boong Video</v>
      </c>
      <c r="F859" t="str">
        <f t="shared" ca="1" si="13"/>
        <v>"23900" : "boong video",</v>
      </c>
    </row>
    <row r="860" spans="1:6" ht="15.75" customHeight="1">
      <c r="A860" s="14">
        <v>2084205438</v>
      </c>
      <c r="B860" s="14" t="s">
        <v>2178</v>
      </c>
      <c r="C860" s="14" t="s">
        <v>5807</v>
      </c>
      <c r="D860" s="5" t="str">
        <f ca="1">IFERROR(__xludf.DUMMYFUNCTION("GOOGLETRANSLATE(B860,""ja"",""vi"")"),"điều khiển từ xa")</f>
        <v>điều khiển từ xa</v>
      </c>
      <c r="E860" s="4" t="str">
        <f ca="1">IFERROR(__xludf.DUMMYFUNCTION("GOOGLETRANSLATE(C860,""ja"",""vi"")"),"Đấu giá&gt; thiết bị điện tử tiêu dùng, AV, máy ảnh&gt; Thiết bị hình ảnh&gt; điều khiển từ xa")</f>
        <v>Đấu giá&gt; thiết bị điện tử tiêu dùng, AV, máy ảnh&gt; Thiết bị hình ảnh&gt; điều khiển từ xa</v>
      </c>
      <c r="F860" t="str">
        <f t="shared" ca="1" si="13"/>
        <v>"2084205438" : "điều khiển từ xa",</v>
      </c>
    </row>
    <row r="861" spans="1:6" ht="15.75" customHeight="1">
      <c r="A861" s="14">
        <v>2084037424</v>
      </c>
      <c r="B861" s="14" t="s">
        <v>2612</v>
      </c>
      <c r="C861" s="14" t="s">
        <v>5811</v>
      </c>
      <c r="D861" s="5" t="str">
        <f ca="1">IFERROR(__xludf.DUMMYFUNCTION("GOOGLETRANSLATE(B861,""ja"",""vi"")"),"AV khuếch đại")</f>
        <v>AV khuếch đại</v>
      </c>
      <c r="E861" s="4" t="str">
        <f ca="1">IFERROR(__xludf.DUMMYFUNCTION("GOOGLETRANSLATE(C861,""ja"",""vi"")"),"Đấu giá&gt; thiết bị điện tử tiêu dùng, AV, máy ảnh&gt; Thiết bị hình ảnh&gt; AV khuếch đại")</f>
        <v>Đấu giá&gt; thiết bị điện tử tiêu dùng, AV, máy ảnh&gt; Thiết bị hình ảnh&gt; AV khuếch đại</v>
      </c>
      <c r="F861" t="str">
        <f t="shared" ca="1" si="13"/>
        <v>"2084037424" : "AV khuếch đại",</v>
      </c>
    </row>
    <row r="862" spans="1:6" ht="15.75" customHeight="1">
      <c r="A862" s="14">
        <v>2084015554</v>
      </c>
      <c r="B862" s="14" t="s">
        <v>2188</v>
      </c>
      <c r="C862" s="14" t="s">
        <v>5815</v>
      </c>
      <c r="D862" s="5" t="str">
        <f ca="1">IFERROR(__xludf.DUMMYFUNCTION("GOOGLETRANSLATE(B862,""ja"",""vi"")"),"Kệ TV gỗ, bảng AV")</f>
        <v>Kệ TV gỗ, bảng AV</v>
      </c>
      <c r="E862" s="4" t="str">
        <f ca="1">IFERROR(__xludf.DUMMYFUNCTION("GOOGLETRANSLATE(C862,""ja"",""vi"")"),"Đấu giá&gt; thiết bị điện tử tiêu dùng, AV, máy ảnh&gt; Thiết bị hình ảnh&gt; kệ TV gỗ, bảng AV")</f>
        <v>Đấu giá&gt; thiết bị điện tử tiêu dùng, AV, máy ảnh&gt; Thiết bị hình ảnh&gt; kệ TV gỗ, bảng AV</v>
      </c>
      <c r="F862" t="str">
        <f t="shared" ca="1" si="13"/>
        <v>"2084015554" : "Kệ TV gỗ, bảng AV",</v>
      </c>
    </row>
    <row r="863" spans="1:6" ht="15.75" customHeight="1">
      <c r="A863" s="14">
        <v>2084051816</v>
      </c>
      <c r="B863" s="14" t="s">
        <v>46</v>
      </c>
      <c r="C863" s="14" t="s">
        <v>5819</v>
      </c>
      <c r="D863" s="5" t="str">
        <f ca="1">IFERROR(__xludf.DUMMYFUNCTION("GOOGLETRANSLATE(B863,""ja"",""vi"")"),"nếu không thì")</f>
        <v>nếu không thì</v>
      </c>
      <c r="E863" s="4" t="str">
        <f ca="1">IFERROR(__xludf.DUMMYFUNCTION("GOOGLETRANSLATE(C863,""ja"",""vi"")"),"Đấu giá&gt; thiết bị điện tử tiêu dùng, AV, máy ảnh&gt; Thiết bị hình ảnh&gt; Khác")</f>
        <v>Đấu giá&gt; thiết bị điện tử tiêu dùng, AV, máy ảnh&gt; Thiết bị hình ảnh&gt; Khác</v>
      </c>
      <c r="F863" t="str">
        <f t="shared" ca="1" si="13"/>
        <v>"2084051816" : "nếu không thì",</v>
      </c>
    </row>
    <row r="864" spans="1:6" ht="15.75" customHeight="1">
      <c r="A864" s="14">
        <v>2084042679</v>
      </c>
      <c r="B864" s="14" t="s">
        <v>5822</v>
      </c>
      <c r="C864" s="14" t="s">
        <v>5824</v>
      </c>
      <c r="D864" s="5" t="str">
        <f ca="1">IFERROR(__xludf.DUMMYFUNCTION("GOOGLETRANSLATE(B864,""ja"",""vi"")"),"máy sấy futon")</f>
        <v>máy sấy futon</v>
      </c>
      <c r="E864" s="4" t="str">
        <f ca="1">IFERROR(__xludf.DUMMYFUNCTION("GOOGLETRANSLATE(C864,""ja"",""vi"")"),"Đấu giá&gt; thiết bị điện tử tiêu dùng, AV, camera&gt; đồ dùng gia đình&gt; máy sấy&gt; futon máy sấy")</f>
        <v>Đấu giá&gt; thiết bị điện tử tiêu dùng, AV, camera&gt; đồ dùng gia đình&gt; máy sấy&gt; futon máy sấy</v>
      </c>
      <c r="F864" t="str">
        <f t="shared" ca="1" si="13"/>
        <v>"2084042679" : "máy sấy futon",</v>
      </c>
    </row>
    <row r="865" spans="1:6" ht="15.75" customHeight="1">
      <c r="A865" s="14">
        <v>2084042682</v>
      </c>
      <c r="B865" s="14" t="s">
        <v>5830</v>
      </c>
      <c r="C865" s="14" t="s">
        <v>5831</v>
      </c>
      <c r="D865" s="5" t="str">
        <f ca="1">IFERROR(__xludf.DUMMYFUNCTION("GOOGLETRANSLATE(B865,""ja"",""vi"")"),"máy sấy quần áo")</f>
        <v>máy sấy quần áo</v>
      </c>
      <c r="E865" s="4" t="str">
        <f ca="1">IFERROR(__xludf.DUMMYFUNCTION("GOOGLETRANSLATE(C865,""ja"",""vi"")"),"Đấu giá&gt; thiết bị điện tử tiêu dùng, AV, camera&gt; đồ dùng gia đình&gt; máy sấy&gt; Máy sấy quần áo")</f>
        <v>Đấu giá&gt; thiết bị điện tử tiêu dùng, AV, camera&gt; đồ dùng gia đình&gt; máy sấy&gt; Máy sấy quần áo</v>
      </c>
      <c r="F865" t="str">
        <f t="shared" ca="1" si="13"/>
        <v>"2084042682" : "máy sấy quần áo",</v>
      </c>
    </row>
    <row r="866" spans="1:6" ht="15.75" customHeight="1">
      <c r="A866" s="14">
        <v>24446</v>
      </c>
      <c r="B866" s="14" t="s">
        <v>5835</v>
      </c>
      <c r="C866" s="14" t="s">
        <v>5836</v>
      </c>
      <c r="D866" s="5" t="str">
        <f ca="1">IFERROR(__xludf.DUMMYFUNCTION("GOOGLETRANSLATE(B866,""ja"",""vi"")"),"Máy tạo độ ẩm, máy hút ẩm")</f>
        <v>Máy tạo độ ẩm, máy hút ẩm</v>
      </c>
      <c r="E866" s="4" t="str">
        <f ca="1">IFERROR(__xludf.DUMMYFUNCTION("GOOGLETRANSLATE(C866,""ja"",""vi"")"),"Đấu giá&gt; thiết bị điện tử tiêu dùng, AV, camera&gt; đồ dùng gia đình&gt; Máy sấy&gt; máy tạo độ ẩm, máy hút ẩm")</f>
        <v>Đấu giá&gt; thiết bị điện tử tiêu dùng, AV, camera&gt; đồ dùng gia đình&gt; Máy sấy&gt; máy tạo độ ẩm, máy hút ẩm</v>
      </c>
      <c r="F866" t="str">
        <f t="shared" ca="1" si="13"/>
        <v>"24446" : "Máy tạo độ ẩm, máy hút ẩm",</v>
      </c>
    </row>
    <row r="867" spans="1:6" ht="15.75" customHeight="1">
      <c r="A867" s="14">
        <v>2084057374</v>
      </c>
      <c r="B867" s="14" t="s">
        <v>5840</v>
      </c>
      <c r="C867" s="14" t="s">
        <v>5842</v>
      </c>
      <c r="D867" s="5" t="str">
        <f ca="1">IFERROR(__xludf.DUMMYFUNCTION("GOOGLETRANSLATE(B867,""ja"",""vi"")"),"đèn huỳnh quang, bóng đèn")</f>
        <v>đèn huỳnh quang, bóng đèn</v>
      </c>
      <c r="E867" s="4" t="str">
        <f ca="1">IFERROR(__xludf.DUMMYFUNCTION("GOOGLETRANSLATE(C867,""ja"",""vi"")"),"Đấu giá&gt; nhà, nội thất&gt; nội thất, nội thất&gt; đèn&gt; đèn huỳnh quang, bóng đèn")</f>
        <v>Đấu giá&gt; nhà, nội thất&gt; nội thất, nội thất&gt; đèn&gt; đèn huỳnh quang, bóng đèn</v>
      </c>
      <c r="F867" t="str">
        <f t="shared" ca="1" si="13"/>
        <v>"2084057374" : "đèn huỳnh quang, bóng đèn",</v>
      </c>
    </row>
    <row r="868" spans="1:6" ht="15.75" customHeight="1">
      <c r="A868" s="14">
        <v>2084007892</v>
      </c>
      <c r="B868" s="14" t="s">
        <v>5846</v>
      </c>
      <c r="C868" s="14" t="s">
        <v>5847</v>
      </c>
      <c r="D868" s="5" t="str">
        <f ca="1">IFERROR(__xludf.DUMMYFUNCTION("GOOGLETRANSLATE(B868,""ja"",""vi"")"),"ánh sáng trần")</f>
        <v>ánh sáng trần</v>
      </c>
      <c r="E868" s="4" t="str">
        <f ca="1">IFERROR(__xludf.DUMMYFUNCTION("GOOGLETRANSLATE(C868,""ja"",""vi"")"),"Đấu giá&gt; nhà, nội thất&gt; nội thất, nội thất&gt; đèn&gt; đèn trần")</f>
        <v>Đấu giá&gt; nhà, nội thất&gt; nội thất, nội thất&gt; đèn&gt; đèn trần</v>
      </c>
      <c r="F868" t="str">
        <f t="shared" ca="1" si="13"/>
        <v>"2084007892" : "ánh sáng trần",</v>
      </c>
    </row>
    <row r="869" spans="1:6" ht="15.75" customHeight="1">
      <c r="A869" s="14">
        <v>2084007891</v>
      </c>
      <c r="B869" s="14" t="s">
        <v>5851</v>
      </c>
      <c r="C869" s="14" t="s">
        <v>5852</v>
      </c>
      <c r="D869" s="5" t="str">
        <f ca="1">IFERROR(__xludf.DUMMYFUNCTION("GOOGLETRANSLATE(B869,""ja"",""vi"")"),"tầng đứng")</f>
        <v>tầng đứng</v>
      </c>
      <c r="E869" s="4" t="str">
        <f ca="1">IFERROR(__xludf.DUMMYFUNCTION("GOOGLETRANSLATE(C869,""ja"",""vi"")"),"Đấu giá&gt; nhà, nội thất&gt; nội thất, nội thất&gt; đèn&gt; sàn đứng")</f>
        <v>Đấu giá&gt; nhà, nội thất&gt; nội thất, nội thất&gt; đèn&gt; sàn đứng</v>
      </c>
      <c r="F869" t="str">
        <f t="shared" ca="1" si="13"/>
        <v>"2084007891" : "tầng đứng",</v>
      </c>
    </row>
    <row r="870" spans="1:6" ht="15.75" customHeight="1">
      <c r="A870" s="14">
        <v>2084007890</v>
      </c>
      <c r="B870" s="14" t="s">
        <v>5856</v>
      </c>
      <c r="C870" s="14" t="s">
        <v>5857</v>
      </c>
      <c r="D870" s="5" t="str">
        <f ca="1">IFERROR(__xludf.DUMMYFUNCTION("GOOGLETRANSLATE(B870,""ja"",""vi"")"),"đèn bàn")</f>
        <v>đèn bàn</v>
      </c>
      <c r="E870" s="4" t="str">
        <f ca="1">IFERROR(__xludf.DUMMYFUNCTION("GOOGLETRANSLATE(C870,""ja"",""vi"")"),"Đấu giá&gt; nhà, nội thất&gt; nội thất, nội thất&gt; đèn&gt; bàn đứng")</f>
        <v>Đấu giá&gt; nhà, nội thất&gt; nội thất, nội thất&gt; đèn&gt; bàn đứng</v>
      </c>
      <c r="F870" t="str">
        <f t="shared" ca="1" si="13"/>
        <v>"2084007890" : "đèn bàn",</v>
      </c>
    </row>
    <row r="871" spans="1:6" ht="15.75" customHeight="1">
      <c r="A871" s="14">
        <v>2084047858</v>
      </c>
      <c r="B871" s="14" t="s">
        <v>5861</v>
      </c>
      <c r="C871" s="14" t="s">
        <v>5862</v>
      </c>
      <c r="D871" s="5" t="str">
        <f ca="1">IFERROR(__xludf.DUMMYFUNCTION("GOOGLETRANSLATE(B871,""ja"",""vi"")"),"Bàn cho ánh sáng nhiệm vụ")</f>
        <v>Bàn cho ánh sáng nhiệm vụ</v>
      </c>
      <c r="E871" s="4" t="str">
        <f ca="1">IFERROR(__xludf.DUMMYFUNCTION("GOOGLETRANSLATE(C871,""ja"",""vi"")"),"Đấu giá&gt; nhà, nội thất&gt; nội thất, nội thất&gt; đèn&gt; ánh sáng nhiệm vụ cho bàn")</f>
        <v>Đấu giá&gt; nhà, nội thất&gt; nội thất, nội thất&gt; đèn&gt; ánh sáng nhiệm vụ cho bàn</v>
      </c>
      <c r="F871" t="str">
        <f t="shared" ca="1" si="13"/>
        <v>"2084047858" : "Bàn cho ánh sáng nhiệm vụ",</v>
      </c>
    </row>
    <row r="872" spans="1:6" ht="15.75" customHeight="1">
      <c r="A872" s="14">
        <v>2084049719</v>
      </c>
      <c r="B872" s="14" t="s">
        <v>5866</v>
      </c>
      <c r="C872" s="14" t="s">
        <v>5867</v>
      </c>
      <c r="D872" s="5" t="str">
        <f ca="1">IFERROR(__xludf.DUMMYFUNCTION("GOOGLETRANSLATE(B872,""ja"",""vi"")"),"đèn lồng giấy")</f>
        <v>đèn lồng giấy</v>
      </c>
      <c r="E872" s="4" t="str">
        <f ca="1">IFERROR(__xludf.DUMMYFUNCTION("GOOGLETRANSLATE(C872,""ja"",""vi"")"),"Đấu giá&gt; nhà, nội thất&gt; nội thất, nội thất&gt; đèn&gt; Andon")</f>
        <v>Đấu giá&gt; nhà, nội thất&gt; nội thất, nội thất&gt; đèn&gt; Andon</v>
      </c>
      <c r="F872" t="str">
        <f t="shared" ca="1" si="13"/>
        <v>"2084049719" : "đèn lồng giấy",</v>
      </c>
    </row>
    <row r="873" spans="1:6" ht="15.75" customHeight="1">
      <c r="A873" s="14">
        <v>2084213841</v>
      </c>
      <c r="B873" s="14" t="s">
        <v>5870</v>
      </c>
      <c r="C873" s="14" t="s">
        <v>5871</v>
      </c>
      <c r="D873" s="5" t="str">
        <f ca="1">IFERROR(__xludf.DUMMYFUNCTION("GOOGLETRANSLATE(B873,""ja"",""vi"")"),"Aroma ánh sáng, đèn")</f>
        <v>Aroma ánh sáng, đèn</v>
      </c>
      <c r="E873" s="4" t="str">
        <f ca="1">IFERROR(__xludf.DUMMYFUNCTION("GOOGLETRANSLATE(C873,""ja"",""vi"")"),"Đấu giá&gt; nhà, nội thất&gt; nội thất, nội thất&gt; đèn&gt; đèn hương thơm, đèn")</f>
        <v>Đấu giá&gt; nhà, nội thất&gt; nội thất, nội thất&gt; đèn&gt; đèn hương thơm, đèn</v>
      </c>
      <c r="F873" t="str">
        <f t="shared" ca="1" si="13"/>
        <v>"2084213841" : "Aroma ánh sáng, đèn",</v>
      </c>
    </row>
    <row r="874" spans="1:6" ht="15.75" customHeight="1">
      <c r="A874" s="14">
        <v>2084057373</v>
      </c>
      <c r="B874" s="14" t="s">
        <v>5873</v>
      </c>
      <c r="C874" s="14" t="s">
        <v>5874</v>
      </c>
      <c r="D874" s="5" t="str">
        <f ca="1">IFERROR(__xludf.DUMMYFUNCTION("GOOGLETRANSLATE(B874,""ja"",""vi"")"),"đèn ngoài trời")</f>
        <v>đèn ngoài trời</v>
      </c>
      <c r="E874" s="4" t="str">
        <f ca="1">IFERROR(__xludf.DUMMYFUNCTION("GOOGLETRANSLATE(C874,""ja"",""vi"")"),"Đấu giá&gt; nhà, nội thất&gt; nội thất, nội thất&gt; đèn&gt; đèn ngoài trời")</f>
        <v>Đấu giá&gt; nhà, nội thất&gt; nội thất, nội thất&gt; đèn&gt; đèn ngoài trời</v>
      </c>
      <c r="F874" t="str">
        <f t="shared" ca="1" si="13"/>
        <v>"2084057373" : "đèn ngoài trời",</v>
      </c>
    </row>
    <row r="875" spans="1:6" ht="15.75" customHeight="1">
      <c r="A875" s="14">
        <v>2084047055</v>
      </c>
      <c r="B875" s="14" t="s">
        <v>5877</v>
      </c>
      <c r="C875" s="14" t="s">
        <v>5878</v>
      </c>
      <c r="D875" s="5" t="str">
        <f ca="1">IFERROR(__xludf.DUMMYFUNCTION("GOOGLETRANSLATE(B875,""ja"",""vi"")"),"chiếu sáng")</f>
        <v>chiếu sáng</v>
      </c>
      <c r="E875" s="4" t="str">
        <f ca="1">IFERROR(__xludf.DUMMYFUNCTION("GOOGLETRANSLATE(C875,""ja"",""vi"")"),"Đấu giá&gt; nhà, nội thất&gt; nội thất, nội thất&gt; đèn&gt; Chiếu sáng")</f>
        <v>Đấu giá&gt; nhà, nội thất&gt; nội thất, nội thất&gt; đèn&gt; Chiếu sáng</v>
      </c>
      <c r="F875" t="str">
        <f t="shared" ca="1" si="13"/>
        <v>"2084047055" : "chiếu sáng",</v>
      </c>
    </row>
    <row r="876" spans="1:6" ht="15.75" customHeight="1">
      <c r="A876" s="14">
        <v>2084047047</v>
      </c>
      <c r="B876" s="14" t="s">
        <v>5881</v>
      </c>
      <c r="C876" s="14" t="s">
        <v>5882</v>
      </c>
      <c r="D876" s="5" t="str">
        <f ca="1">IFERROR(__xludf.DUMMYFUNCTION("GOOGLETRANSLATE(B876,""ja"",""vi"")"),"vườn ánh sáng")</f>
        <v>vườn ánh sáng</v>
      </c>
      <c r="E876" s="4" t="str">
        <f ca="1">IFERROR(__xludf.DUMMYFUNCTION("GOOGLETRANSLATE(C876,""ja"",""vi"")"),"Đấu giá&gt; nhà, nội thất&gt; nội thất, nội thất&gt; đèn&gt; Vườn Đèn")</f>
        <v>Đấu giá&gt; nhà, nội thất&gt; nội thất, nội thất&gt; đèn&gt; Vườn Đèn</v>
      </c>
      <c r="F876" t="str">
        <f t="shared" ca="1" si="13"/>
        <v>"2084047047" : "vườn ánh sáng",</v>
      </c>
    </row>
    <row r="877" spans="1:6" ht="15.75" customHeight="1">
      <c r="A877" s="14">
        <v>2084055705</v>
      </c>
      <c r="B877" s="14" t="s">
        <v>5885</v>
      </c>
      <c r="C877" s="14" t="s">
        <v>5887</v>
      </c>
      <c r="D877" s="5" t="str">
        <f ca="1">IFERROR(__xludf.DUMMYFUNCTION("GOOGLETRANSLATE(B877,""ja"",""vi"")"),"Cảm biến với ánh sáng")</f>
        <v>Cảm biến với ánh sáng</v>
      </c>
      <c r="E877" s="4" t="str">
        <f ca="1">IFERROR(__xludf.DUMMYFUNCTION("GOOGLETRANSLATE(C877,""ja"",""vi"")"),"Đấu giá&gt; nhà, nội thất&gt; nội thất, nội thất&gt; đèn&gt; cảm biến với ánh sáng")</f>
        <v>Đấu giá&gt; nhà, nội thất&gt; nội thất, nội thất&gt; đèn&gt; cảm biến với ánh sáng</v>
      </c>
      <c r="F877" t="str">
        <f t="shared" ca="1" si="13"/>
        <v>"2084055705" : "Cảm biến với ánh sáng",</v>
      </c>
    </row>
    <row r="878" spans="1:6" ht="15.75" customHeight="1">
      <c r="A878" s="14">
        <v>2084062682</v>
      </c>
      <c r="B878" s="14" t="s">
        <v>5890</v>
      </c>
      <c r="C878" s="14" t="s">
        <v>5891</v>
      </c>
      <c r="D878" s="5" t="str">
        <f ca="1">IFERROR(__xludf.DUMMYFUNCTION("GOOGLETRANSLATE(B878,""ja"",""vi"")"),"Đối với đặc biệt")</f>
        <v>Đối với đặc biệt</v>
      </c>
      <c r="E878" s="4" t="str">
        <f ca="1">IFERROR(__xludf.DUMMYFUNCTION("GOOGLETRANSLATE(C878,""ja"",""vi"")"),"Đấu giá&gt; nhà, nội thất&gt; nội thất, nội thất&gt; đèn&gt; cho đặc biệt")</f>
        <v>Đấu giá&gt; nhà, nội thất&gt; nội thất, nội thất&gt; đèn&gt; cho đặc biệt</v>
      </c>
      <c r="F878" t="str">
        <f t="shared" ca="1" si="13"/>
        <v>"2084062682" : "Đối với đặc biệt",</v>
      </c>
    </row>
    <row r="879" spans="1:6" ht="15.75" customHeight="1">
      <c r="A879" s="14">
        <v>2084057375</v>
      </c>
      <c r="B879" s="14" t="s">
        <v>5894</v>
      </c>
      <c r="C879" s="14" t="s">
        <v>5896</v>
      </c>
      <c r="D879" s="5" t="str">
        <f ca="1">IFERROR(__xludf.DUMMYFUNCTION("GOOGLETRANSLATE(B879,""ja"",""vi"")"),"Dây sắt ống")</f>
        <v>Dây sắt ống</v>
      </c>
      <c r="E879" s="4" t="str">
        <f ca="1">IFERROR(__xludf.DUMMYFUNCTION("GOOGLETRANSLATE(C879,""ja"",""vi"")"),"Đấu giá&gt; nhà, nội thất&gt; nội thất, nội thất&gt; đèn&gt; dây ống đường sắt")</f>
        <v>Đấu giá&gt; nhà, nội thất&gt; nội thất, nội thất&gt; đèn&gt; dây ống đường sắt</v>
      </c>
      <c r="F879" t="str">
        <f t="shared" ca="1" si="13"/>
        <v>"2084057375" : "Dây sắt ống",</v>
      </c>
    </row>
    <row r="880" spans="1:6" ht="15.75" customHeight="1">
      <c r="A880" s="14">
        <v>2084057370</v>
      </c>
      <c r="B880" s="14" t="s">
        <v>5898</v>
      </c>
      <c r="C880" s="14" t="s">
        <v>5900</v>
      </c>
      <c r="D880" s="5" t="str">
        <f ca="1">IFERROR(__xludf.DUMMYFUNCTION("GOOGLETRANSLATE(B880,""ja"",""vi"")"),"Ánh sáng cho hệ thống dây điện đường sắt ống")</f>
        <v>Ánh sáng cho hệ thống dây điện đường sắt ống</v>
      </c>
      <c r="E880" s="4" t="str">
        <f ca="1">IFERROR(__xludf.DUMMYFUNCTION("GOOGLETRANSLATE(C880,""ja"",""vi"")"),"Đấu giá&gt; nhà, nội thất&gt; nội thất, nội thất&gt; chiếu sáng&gt; ánh sáng cho hệ thống dây điện đường sắt ống")</f>
        <v>Đấu giá&gt; nhà, nội thất&gt; nội thất, nội thất&gt; chiếu sáng&gt; ánh sáng cho hệ thống dây điện đường sắt ống</v>
      </c>
      <c r="F880" t="str">
        <f t="shared" ca="1" si="13"/>
        <v>"2084057370" : "Ánh sáng cho hệ thống dây điện đường sắt ống",</v>
      </c>
    </row>
    <row r="881" spans="1:6" ht="15.75" customHeight="1">
      <c r="A881" s="14">
        <v>2084057371</v>
      </c>
      <c r="B881" s="14" t="s">
        <v>5902</v>
      </c>
      <c r="C881" s="14" t="s">
        <v>5903</v>
      </c>
      <c r="D881" s="5" t="str">
        <f ca="1">IFERROR(__xludf.DUMMYFUNCTION("GOOGLETRANSLATE(B881,""ja"",""vi"")"),"Spotlight")</f>
        <v>Spotlight</v>
      </c>
      <c r="E881" s="4" t="str">
        <f ca="1">IFERROR(__xludf.DUMMYFUNCTION("GOOGLETRANSLATE(C881,""ja"",""vi"")"),"Đấu giá&gt; nhà, nội thất&gt; nội thất, nội thất&gt; đèn&gt; ánh đèn sân khấu")</f>
        <v>Đấu giá&gt; nhà, nội thất&gt; nội thất, nội thất&gt; đèn&gt; ánh đèn sân khấu</v>
      </c>
      <c r="F881" t="str">
        <f t="shared" ca="1" si="13"/>
        <v>"2084057371" : "Spotlight",</v>
      </c>
    </row>
    <row r="882" spans="1:6" ht="15.75" customHeight="1">
      <c r="A882" s="14">
        <v>2084007893</v>
      </c>
      <c r="B882" s="14" t="s">
        <v>46</v>
      </c>
      <c r="C882" s="14" t="s">
        <v>5907</v>
      </c>
      <c r="D882" s="5" t="str">
        <f ca="1">IFERROR(__xludf.DUMMYFUNCTION("GOOGLETRANSLATE(B882,""ja"",""vi"")"),"nếu không thì")</f>
        <v>nếu không thì</v>
      </c>
      <c r="E882" s="4" t="str">
        <f ca="1">IFERROR(__xludf.DUMMYFUNCTION("GOOGLETRANSLATE(C882,""ja"",""vi"")"),"Đấu giá&gt; nhà, nội thất&gt; nội thất, nội thất&gt; đèn&gt; Khác")</f>
        <v>Đấu giá&gt; nhà, nội thất&gt; nội thất, nội thất&gt; đèn&gt; Khác</v>
      </c>
      <c r="F882" t="str">
        <f t="shared" ca="1" si="13"/>
        <v>"2084007893" : "nếu không thì",</v>
      </c>
    </row>
    <row r="883" spans="1:6" ht="15.75" customHeight="1">
      <c r="A883" s="14">
        <v>2084213168</v>
      </c>
      <c r="B883" s="14" t="s">
        <v>3979</v>
      </c>
      <c r="C883" s="14" t="s">
        <v>3981</v>
      </c>
      <c r="D883" s="5" t="str">
        <f ca="1">IFERROR(__xludf.DUMMYFUNCTION("GOOGLETRANSLATE(B883,""ja"",""vi"")"),"nói chung máy giặt")</f>
        <v>nói chung máy giặt</v>
      </c>
      <c r="E883" s="4" t="str">
        <f ca="1">IFERROR(__xludf.DUMMYFUNCTION("GOOGLETRANSLATE(C883,""ja"",""vi"")"),"Đấu giá&gt; thiết bị điện tử tiêu dùng, AV, máy ảnh&gt; máy giặt, sắt&gt; máy giặt&gt; chung máy giặt")</f>
        <v>Đấu giá&gt; thiết bị điện tử tiêu dùng, AV, máy ảnh&gt; máy giặt, sắt&gt; máy giặt&gt; chung máy giặt</v>
      </c>
      <c r="F883" t="str">
        <f t="shared" ca="1" si="13"/>
        <v>"2084213168" : "nói chung máy giặt",</v>
      </c>
    </row>
    <row r="884" spans="1:6" ht="15.75" customHeight="1">
      <c r="A884" s="14">
        <v>2084213169</v>
      </c>
      <c r="B884" s="14" t="s">
        <v>3984</v>
      </c>
      <c r="C884" s="14" t="s">
        <v>3985</v>
      </c>
      <c r="D884" s="5" t="str">
        <f ca="1">IFERROR(__xludf.DUMMYFUNCTION("GOOGLETRANSLATE(B884,""ja"",""vi"")"),"Drum-type")</f>
        <v>Drum-type</v>
      </c>
      <c r="E884" s="4" t="str">
        <f ca="1">IFERROR(__xludf.DUMMYFUNCTION("GOOGLETRANSLATE(C884,""ja"",""vi"")"),"Đấu giá&gt; thiết bị điện tử tiêu dùng, AV, máy ảnh&gt; máy giặt, sắt&gt; máy giặt&gt; trống")</f>
        <v>Đấu giá&gt; thiết bị điện tử tiêu dùng, AV, máy ảnh&gt; máy giặt, sắt&gt; máy giặt&gt; trống</v>
      </c>
      <c r="F884" t="str">
        <f t="shared" ca="1" si="13"/>
        <v>"2084213169" : "Drum-type",</v>
      </c>
    </row>
    <row r="885" spans="1:6" ht="15.75" customHeight="1">
      <c r="A885" s="14">
        <v>2084213170</v>
      </c>
      <c r="B885" s="14" t="s">
        <v>46</v>
      </c>
      <c r="C885" s="14" t="s">
        <v>3990</v>
      </c>
      <c r="D885" s="5" t="str">
        <f ca="1">IFERROR(__xludf.DUMMYFUNCTION("GOOGLETRANSLATE(B885,""ja"",""vi"")"),"nếu không thì")</f>
        <v>nếu không thì</v>
      </c>
      <c r="E885" s="4" t="str">
        <f ca="1">IFERROR(__xludf.DUMMYFUNCTION("GOOGLETRANSLATE(C885,""ja"",""vi"")"),"Đấu giá&gt; thiết bị điện tử tiêu dùng, AV, máy ảnh&gt; máy giặt, sắt&gt; máy giặt&gt; Khác")</f>
        <v>Đấu giá&gt; thiết bị điện tử tiêu dùng, AV, máy ảnh&gt; máy giặt, sắt&gt; máy giặt&gt; Khác</v>
      </c>
      <c r="F885" t="str">
        <f t="shared" ca="1" si="13"/>
        <v>"2084213170" : "nếu không thì",</v>
      </c>
    </row>
    <row r="886" spans="1:6" ht="15.75" customHeight="1">
      <c r="A886" s="14">
        <v>2084213158</v>
      </c>
      <c r="B886" s="14" t="s">
        <v>5917</v>
      </c>
      <c r="C886" s="14" t="s">
        <v>5918</v>
      </c>
      <c r="D886" s="5" t="str">
        <f ca="1">IFERROR(__xludf.DUMMYFUNCTION("GOOGLETRANSLATE(B886,""ja"",""vi"")"),"Máy hút bụi chung")</f>
        <v>Máy hút bụi chung</v>
      </c>
      <c r="E886" s="4" t="str">
        <f ca="1">IFERROR(__xludf.DUMMYFUNCTION("GOOGLETRANSLATE(C886,""ja"",""vi"")"),"Đấu giá&gt; thiết bị điện tử tiêu dùng, AV, camera&gt; làm sạch&gt; chung máy hút bụi")</f>
        <v>Đấu giá&gt; thiết bị điện tử tiêu dùng, AV, camera&gt; làm sạch&gt; chung máy hút bụi</v>
      </c>
      <c r="F886" t="str">
        <f t="shared" ca="1" si="13"/>
        <v>"2084213158" : "Máy hút bụi chung",</v>
      </c>
    </row>
    <row r="887" spans="1:6" ht="15.75" customHeight="1">
      <c r="A887" s="14">
        <v>2084213159</v>
      </c>
      <c r="B887" s="14" t="s">
        <v>5921</v>
      </c>
      <c r="C887" s="14" t="s">
        <v>5924</v>
      </c>
      <c r="D887" s="5" t="str">
        <f ca="1">IFERROR(__xludf.DUMMYFUNCTION("GOOGLETRANSLATE(B887,""ja"",""vi"")"),"loại dây")</f>
        <v>loại dây</v>
      </c>
      <c r="E887" s="4" t="str">
        <f ca="1">IFERROR(__xludf.DUMMYFUNCTION("GOOGLETRANSLATE(C887,""ja"",""vi"")"),"Đấu giá&gt; thiết bị điện tử tiêu dùng, AV, camera&gt; làm sạch&gt; loại dây")</f>
        <v>Đấu giá&gt; thiết bị điện tử tiêu dùng, AV, camera&gt; làm sạch&gt; loại dây</v>
      </c>
      <c r="F887" t="str">
        <f t="shared" ca="1" si="13"/>
        <v>"2084213159" : "loại dây",</v>
      </c>
    </row>
    <row r="888" spans="1:6" ht="15.75" customHeight="1">
      <c r="A888" s="14">
        <v>2084213161</v>
      </c>
      <c r="B888" s="14" t="s">
        <v>5926</v>
      </c>
      <c r="C888" s="14" t="s">
        <v>5927</v>
      </c>
      <c r="D888" s="5" t="str">
        <f ca="1">IFERROR(__xludf.DUMMYFUNCTION("GOOGLETRANSLATE(B888,""ja"",""vi"")"),"kiểu lốc xoáy")</f>
        <v>kiểu lốc xoáy</v>
      </c>
      <c r="E888" s="4" t="str">
        <f ca="1">IFERROR(__xludf.DUMMYFUNCTION("GOOGLETRANSLATE(C888,""ja"",""vi"")"),"Đấu giá&gt; thiết bị điện tử tiêu dùng, AV, camera&gt; làm sạch&gt; gõ lốc xoáy")</f>
        <v>Đấu giá&gt; thiết bị điện tử tiêu dùng, AV, camera&gt; làm sạch&gt; gõ lốc xoáy</v>
      </c>
      <c r="F888" t="str">
        <f t="shared" ca="1" si="13"/>
        <v>"2084213161" : "kiểu lốc xoáy",</v>
      </c>
    </row>
    <row r="889" spans="1:6" ht="15.75" customHeight="1">
      <c r="A889" s="14">
        <v>2084245310</v>
      </c>
      <c r="B889" s="14" t="s">
        <v>5930</v>
      </c>
      <c r="C889" s="14" t="s">
        <v>5932</v>
      </c>
      <c r="D889" s="5" t="str">
        <f ca="1">IFERROR(__xludf.DUMMYFUNCTION("GOOGLETRANSLATE(B889,""ja"",""vi"")"),"loại hơi")</f>
        <v>loại hơi</v>
      </c>
      <c r="E889" s="4" t="str">
        <f ca="1">IFERROR(__xludf.DUMMYFUNCTION("GOOGLETRANSLATE(C889,""ja"",""vi"")"),"Đấu giá&gt; thiết bị điện tử tiêu dùng, AV, camera&gt; làm sạch&gt; loại hơi")</f>
        <v>Đấu giá&gt; thiết bị điện tử tiêu dùng, AV, camera&gt; làm sạch&gt; loại hơi</v>
      </c>
      <c r="F889" t="str">
        <f t="shared" ca="1" si="13"/>
        <v>"2084245310" : "loại hơi",</v>
      </c>
    </row>
    <row r="890" spans="1:6" ht="15.75" customHeight="1">
      <c r="A890" s="14">
        <v>2084245309</v>
      </c>
      <c r="B890" s="14" t="s">
        <v>5935</v>
      </c>
      <c r="C890" s="14" t="s">
        <v>5937</v>
      </c>
      <c r="D890" s="5" t="str">
        <f ca="1">IFERROR(__xludf.DUMMYFUNCTION("GOOGLETRANSLATE(B890,""ja"",""vi"")"),"loại Robot")</f>
        <v>loại Robot</v>
      </c>
      <c r="E890" s="4" t="str">
        <f ca="1">IFERROR(__xludf.DUMMYFUNCTION("GOOGLETRANSLATE(C890,""ja"",""vi"")"),"Đấu giá&gt; thiết bị điện tử tiêu dùng, AV, camera&gt; làm sạch&gt; loại Robot")</f>
        <v>Đấu giá&gt; thiết bị điện tử tiêu dùng, AV, camera&gt; làm sạch&gt; loại Robot</v>
      </c>
      <c r="F890" t="str">
        <f t="shared" ca="1" si="13"/>
        <v>"2084245309" : "loại Robot",</v>
      </c>
    </row>
    <row r="891" spans="1:6" ht="15.75" customHeight="1">
      <c r="A891" s="14">
        <v>2084213160</v>
      </c>
      <c r="B891" s="14" t="s">
        <v>46</v>
      </c>
      <c r="C891" s="14" t="s">
        <v>5940</v>
      </c>
      <c r="D891" s="5" t="str">
        <f ca="1">IFERROR(__xludf.DUMMYFUNCTION("GOOGLETRANSLATE(B891,""ja"",""vi"")"),"nếu không thì")</f>
        <v>nếu không thì</v>
      </c>
      <c r="E891" s="4" t="str">
        <f ca="1">IFERROR(__xludf.DUMMYFUNCTION("GOOGLETRANSLATE(C891,""ja"",""vi"")"),"Đấu giá&gt; thiết bị điện tử tiêu dùng, AV, camera&gt; làm sạch&gt; Khác")</f>
        <v>Đấu giá&gt; thiết bị điện tử tiêu dùng, AV, camera&gt; làm sạch&gt; Khác</v>
      </c>
      <c r="F891" t="str">
        <f t="shared" ca="1" si="13"/>
        <v>"2084213160" : "nếu không thì",</v>
      </c>
    </row>
    <row r="892" spans="1:6" ht="15.75" customHeight="1">
      <c r="A892" s="14">
        <v>23956</v>
      </c>
      <c r="B892" s="14" t="s">
        <v>5943</v>
      </c>
      <c r="C892" s="14" t="s">
        <v>5944</v>
      </c>
      <c r="D892" s="5" t="str">
        <f ca="1">IFERROR(__xludf.DUMMYFUNCTION("GOOGLETRANSLATE(B892,""ja"",""vi"")"),"điện thoại chung")</f>
        <v>điện thoại chung</v>
      </c>
      <c r="E892" s="4" t="str">
        <f ca="1">IFERROR(__xludf.DUMMYFUNCTION("GOOGLETRANSLATE(C892,""ja"",""vi"")"),"Đấu giá&gt; thiết bị điện tử tiêu dùng, AV, camera&gt; điện thoại, fax&gt; nói chung điện thoại")</f>
        <v>Đấu giá&gt; thiết bị điện tử tiêu dùng, AV, camera&gt; điện thoại, fax&gt; nói chung điện thoại</v>
      </c>
      <c r="F892" t="str">
        <f t="shared" ca="1" si="13"/>
        <v>"23956" : "điện thoại chung",</v>
      </c>
    </row>
    <row r="893" spans="1:6" ht="15.75" customHeight="1">
      <c r="A893" s="14">
        <v>2084032436</v>
      </c>
      <c r="B893" s="14" t="s">
        <v>4560</v>
      </c>
      <c r="C893" s="14" t="s">
        <v>5948</v>
      </c>
      <c r="D893" s="5" t="str">
        <f ca="1">IFERROR(__xludf.DUMMYFUNCTION("GOOGLETRANSLATE(B893,""ja"",""vi"")"),"fax Hồng")</f>
        <v>fax Hồng</v>
      </c>
      <c r="E893" s="4" t="str">
        <f ca="1">IFERROR(__xludf.DUMMYFUNCTION("GOOGLETRANSLATE(C893,""ja"",""vi"")"),"Đấu giá&gt; thiết bị điện tử tiêu dùng, AV, camera&gt; điện thoại, fax&gt; điện thoại fax")</f>
        <v>Đấu giá&gt; thiết bị điện tử tiêu dùng, AV, camera&gt; điện thoại, fax&gt; điện thoại fax</v>
      </c>
      <c r="F893" t="str">
        <f t="shared" ca="1" si="13"/>
        <v>"2084032436" : "fax Hồng",</v>
      </c>
    </row>
    <row r="894" spans="1:6" ht="15.75" customHeight="1">
      <c r="A894" s="14">
        <v>23960</v>
      </c>
      <c r="B894" s="14" t="s">
        <v>5950</v>
      </c>
      <c r="C894" s="14" t="s">
        <v>5951</v>
      </c>
      <c r="D894" s="5" t="str">
        <f ca="1">IFERROR(__xludf.DUMMYFUNCTION("GOOGLETRANSLATE(B894,""ja"",""vi"")"),"điện thoại di động, PHS")</f>
        <v>điện thoại di động, PHS</v>
      </c>
      <c r="E894" s="4" t="str">
        <f ca="1">IFERROR(__xludf.DUMMYFUNCTION("GOOGLETRANSLATE(C894,""ja"",""vi"")"),"Đấu giá&gt; thiết bị điện tử tiêu dùng, AV, camera&gt; điện thoại, fax&gt; điện thoại di động, PHS")</f>
        <v>Đấu giá&gt; thiết bị điện tử tiêu dùng, AV, camera&gt; điện thoại, fax&gt; điện thoại di động, PHS</v>
      </c>
      <c r="F894" t="str">
        <f t="shared" ca="1" si="13"/>
        <v>"23960" : "điện thoại di động, PHS",</v>
      </c>
    </row>
    <row r="895" spans="1:6" ht="15.75" customHeight="1">
      <c r="A895" s="14">
        <v>2084032435</v>
      </c>
      <c r="B895" s="14" t="s">
        <v>5955</v>
      </c>
      <c r="C895" s="14" t="s">
        <v>5956</v>
      </c>
      <c r="D895" s="5" t="str">
        <f ca="1">IFERROR(__xludf.DUMMYFUNCTION("GOOGLETRANSLATE(B895,""ja"",""vi"")"),"máy trả lời")</f>
        <v>máy trả lời</v>
      </c>
      <c r="E895" s="4" t="str">
        <f ca="1">IFERROR(__xludf.DUMMYFUNCTION("GOOGLETRANSLATE(C895,""ja"",""vi"")"),"Đấu giá&gt; thiết bị điện tử tiêu dùng, AV, camera&gt; điện thoại, fax&gt; máy trả lời")</f>
        <v>Đấu giá&gt; thiết bị điện tử tiêu dùng, AV, camera&gt; điện thoại, fax&gt; máy trả lời</v>
      </c>
      <c r="F895" t="str">
        <f t="shared" ca="1" si="13"/>
        <v>"2084032435" : "máy trả lời",</v>
      </c>
    </row>
    <row r="896" spans="1:6" ht="15.75" customHeight="1">
      <c r="A896" s="14">
        <v>2084048549</v>
      </c>
      <c r="B896" s="14" t="s">
        <v>5959</v>
      </c>
      <c r="C896" s="14" t="s">
        <v>5961</v>
      </c>
      <c r="D896" s="5" t="str">
        <f ca="1">IFERROR(__xludf.DUMMYFUNCTION("GOOGLETRANSLATE(B896,""ja"",""vi"")"),"hình ảnh điện thoại")</f>
        <v>hình ảnh điện thoại</v>
      </c>
      <c r="E896" s="4" t="str">
        <f ca="1">IFERROR(__xludf.DUMMYFUNCTION("GOOGLETRANSLATE(C896,""ja"",""vi"")"),"Đấu giá&gt; thiết bị điện tử tiêu dùng, AV, camera&gt; điện thoại, fax&gt; videophone")</f>
        <v>Đấu giá&gt; thiết bị điện tử tiêu dùng, AV, camera&gt; điện thoại, fax&gt; videophone</v>
      </c>
      <c r="F896" t="str">
        <f t="shared" ca="1" si="13"/>
        <v>"2084048549" : "hình ảnh điện thoại",</v>
      </c>
    </row>
    <row r="897" spans="1:6" ht="15.75" customHeight="1">
      <c r="A897" s="14">
        <v>2084198552</v>
      </c>
      <c r="B897" s="14" t="s">
        <v>5964</v>
      </c>
      <c r="C897" s="14" t="s">
        <v>5966</v>
      </c>
      <c r="D897" s="5" t="str">
        <f ca="1">IFERROR(__xludf.DUMMYFUNCTION("GOOGLETRANSLATE(B897,""ja"",""vi"")"),"Điện thoại Kinh doanh")</f>
        <v>Điện thoại Kinh doanh</v>
      </c>
      <c r="E897" s="4" t="str">
        <f ca="1">IFERROR(__xludf.DUMMYFUNCTION("GOOGLETRANSLATE(C897,""ja"",""vi"")"),"Đấu giá&gt; thiết bị điện tử tiêu dùng, AV, camera&gt; điện thoại, fax&gt; điện thoại kinh doanh")</f>
        <v>Đấu giá&gt; thiết bị điện tử tiêu dùng, AV, camera&gt; điện thoại, fax&gt; điện thoại kinh doanh</v>
      </c>
      <c r="F897" t="str">
        <f t="shared" ca="1" si="13"/>
        <v>"2084198552" : "Điện thoại Kinh doanh",</v>
      </c>
    </row>
    <row r="898" spans="1:6" ht="15.75" customHeight="1">
      <c r="A898" s="14">
        <v>2084032434</v>
      </c>
      <c r="B898" s="14" t="s">
        <v>1625</v>
      </c>
      <c r="C898" s="14" t="s">
        <v>5969</v>
      </c>
      <c r="D898" s="5" t="str">
        <f ca="1">IFERROR(__xludf.DUMMYFUNCTION("GOOGLETRANSLATE(B898,""ja"",""vi"")"),"chu vi")</f>
        <v>chu vi</v>
      </c>
      <c r="E898" s="4" t="str">
        <f ca="1">IFERROR(__xludf.DUMMYFUNCTION("GOOGLETRANSLATE(C898,""ja"",""vi"")"),"Đấu giá&gt; thiết bị điện tử tiêu dùng, AV, camera&gt; điện thoại, fax&gt; thiết bị ngoại vi")</f>
        <v>Đấu giá&gt; thiết bị điện tử tiêu dùng, AV, camera&gt; điện thoại, fax&gt; thiết bị ngoại vi</v>
      </c>
      <c r="F898" t="str">
        <f t="shared" ref="F898:F961" ca="1" si="14">CONCATENATE(CHAR(34)&amp;"",A898,""&amp;CHAR(34)," : ", CHAR(34)&amp;"",D898,""&amp;CHAR(34),",")</f>
        <v>"2084032434" : "chu vi",</v>
      </c>
    </row>
    <row r="899" spans="1:6" ht="15.75" customHeight="1">
      <c r="A899" s="14">
        <v>22916</v>
      </c>
      <c r="B899" s="14" t="s">
        <v>5973</v>
      </c>
      <c r="C899" s="14" t="s">
        <v>5974</v>
      </c>
      <c r="D899" s="5" t="str">
        <f ca="1">IFERROR(__xludf.DUMMYFUNCTION("GOOGLETRANSLATE(B899,""ja"",""vi"")"),"máy đa chức năng, sao chép máy")</f>
        <v>máy đa chức năng, sao chép máy</v>
      </c>
      <c r="E899" s="4" t="str">
        <f ca="1">IFERROR(__xludf.DUMMYFUNCTION("GOOGLETRANSLATE(C899,""ja"",""vi"")"),"Đấu giá&gt; thiết bị điện tử tiêu dùng, AV, camera&gt; điện thoại, fax&gt; đa chức năng, máy copy")</f>
        <v>Đấu giá&gt; thiết bị điện tử tiêu dùng, AV, camera&gt; điện thoại, fax&gt; đa chức năng, máy copy</v>
      </c>
      <c r="F899" t="str">
        <f t="shared" ca="1" si="14"/>
        <v>"22916" : "máy đa chức năng, sao chép máy",</v>
      </c>
    </row>
    <row r="900" spans="1:6" ht="15.75" customHeight="1">
      <c r="A900" s="14">
        <v>23968</v>
      </c>
      <c r="B900" s="14" t="s">
        <v>5976</v>
      </c>
      <c r="C900" s="14" t="s">
        <v>5978</v>
      </c>
      <c r="D900" s="5" t="str">
        <f ca="1">IFERROR(__xludf.DUMMYFUNCTION("GOOGLETRANSLATE(B900,""ja"",""vi"")"),"thẻ điện thoại")</f>
        <v>thẻ điện thoại</v>
      </c>
      <c r="E900" s="4" t="str">
        <f ca="1">IFERROR(__xludf.DUMMYFUNCTION("GOOGLETRANSLATE(C900,""ja"",""vi"")"),"Đấu giá&gt; thiết bị điện tử tiêu dùng, AV, camera&gt; điện thoại, fax&gt; Thẻ điện thoại")</f>
        <v>Đấu giá&gt; thiết bị điện tử tiêu dùng, AV, camera&gt; điện thoại, fax&gt; Thẻ điện thoại</v>
      </c>
      <c r="F900" t="str">
        <f t="shared" ca="1" si="14"/>
        <v>"23968" : "thẻ điện thoại",</v>
      </c>
    </row>
    <row r="901" spans="1:6" ht="15.75" customHeight="1">
      <c r="A901" s="14">
        <v>24438</v>
      </c>
      <c r="B901" s="14" t="s">
        <v>5981</v>
      </c>
      <c r="C901" s="14" t="s">
        <v>5983</v>
      </c>
      <c r="D901" s="5" t="str">
        <f ca="1">IFERROR(__xludf.DUMMYFUNCTION("GOOGLETRANSLATE(B901,""ja"",""vi"")"),"điều hòa không khí")</f>
        <v>điều hòa không khí</v>
      </c>
      <c r="E901" s="4" t="str">
        <f ca="1">IFERROR(__xludf.DUMMYFUNCTION("GOOGLETRANSLATE(C901,""ja"",""vi"")"),"Đấu giá&gt; thiết bị điện tử tiêu dùng, AV, camera&gt; làm nóng và làm mát, máy lạnh&gt; Điều hòa không khí")</f>
        <v>Đấu giá&gt; thiết bị điện tử tiêu dùng, AV, camera&gt; làm nóng và làm mát, máy lạnh&gt; Điều hòa không khí</v>
      </c>
      <c r="F901" t="str">
        <f t="shared" ca="1" si="14"/>
        <v>"24438" : "điều hòa không khí",</v>
      </c>
    </row>
    <row r="902" spans="1:6" ht="15.75" customHeight="1">
      <c r="A902" s="14">
        <v>2084006906</v>
      </c>
      <c r="B902" s="14" t="s">
        <v>5985</v>
      </c>
      <c r="C902" s="14" t="s">
        <v>5987</v>
      </c>
      <c r="D902" s="5" t="str">
        <f ca="1">IFERROR(__xludf.DUMMYFUNCTION("GOOGLETRANSLATE(B902,""ja"",""vi"")"),"không khí sạch hơn")</f>
        <v>không khí sạch hơn</v>
      </c>
      <c r="E902" s="4" t="str">
        <f ca="1">IFERROR(__xludf.DUMMYFUNCTION("GOOGLETRANSLATE(C902,""ja"",""vi"")"),"Đấu giá&gt; thiết bị điện tử tiêu dùng, AV, camera&gt; làm nóng và làm mát, điều hòa không khí&gt; không khí sạch hơn")</f>
        <v>Đấu giá&gt; thiết bị điện tử tiêu dùng, AV, camera&gt; làm nóng và làm mát, điều hòa không khí&gt; không khí sạch hơn</v>
      </c>
      <c r="F902" t="str">
        <f t="shared" ca="1" si="14"/>
        <v>"2084006906" : "không khí sạch hơn",</v>
      </c>
    </row>
    <row r="903" spans="1:6" ht="15.75" customHeight="1">
      <c r="A903" s="14">
        <v>2084061710</v>
      </c>
      <c r="B903" s="14" t="s">
        <v>5989</v>
      </c>
      <c r="C903" s="14" t="s">
        <v>5992</v>
      </c>
      <c r="D903" s="5" t="str">
        <f ca="1">IFERROR(__xludf.DUMMYFUNCTION("GOOGLETRANSLATE(B903,""ja"",""vi"")"),"Reifuogi")</f>
        <v>Reifuogi</v>
      </c>
      <c r="E903" s="4" t="str">
        <f ca="1">IFERROR(__xludf.DUMMYFUNCTION("GOOGLETRANSLATE(C903,""ja"",""vi"")"),"Đấu giá&gt; thiết bị điện tử tiêu dùng, AV, camera&gt; sưởi ấm và làm mát, điều hòa không khí&gt; Reifuogi")</f>
        <v>Đấu giá&gt; thiết bị điện tử tiêu dùng, AV, camera&gt; sưởi ấm và làm mát, điều hòa không khí&gt; Reifuogi</v>
      </c>
      <c r="F903" t="str">
        <f t="shared" ca="1" si="14"/>
        <v>"2084061710" : "Reifuogi",</v>
      </c>
    </row>
    <row r="904" spans="1:6" ht="15.75" customHeight="1">
      <c r="A904" s="14">
        <v>2084008361</v>
      </c>
      <c r="B904" s="14" t="s">
        <v>5994</v>
      </c>
      <c r="C904" s="14" t="s">
        <v>5996</v>
      </c>
      <c r="D904" s="5" t="str">
        <f ca="1">IFERROR(__xludf.DUMMYFUNCTION("GOOGLETRANSLATE(B904,""ja"",""vi"")"),"quạt")</f>
        <v>quạt</v>
      </c>
      <c r="E904" s="4" t="str">
        <f ca="1">IFERROR(__xludf.DUMMYFUNCTION("GOOGLETRANSLATE(C904,""ja"",""vi"")"),"Đấu giá&gt; thiết bị điện tử tiêu dùng, AV, camera&gt; sưởi ấm và làm mát, điều hòa không khí&gt; Fan")</f>
        <v>Đấu giá&gt; thiết bị điện tử tiêu dùng, AV, camera&gt; sưởi ấm và làm mát, điều hòa không khí&gt; Fan</v>
      </c>
      <c r="F904" t="str">
        <f t="shared" ca="1" si="14"/>
        <v>"2084008361" : "quạt",</v>
      </c>
    </row>
    <row r="905" spans="1:6" ht="15.75" customHeight="1">
      <c r="A905" s="14">
        <v>2084242820</v>
      </c>
      <c r="B905" s="14" t="s">
        <v>5999</v>
      </c>
      <c r="C905" s="14" t="s">
        <v>6001</v>
      </c>
      <c r="D905" s="5" t="str">
        <f ca="1">IFERROR(__xludf.DUMMYFUNCTION("GOOGLETRANSLATE(B905,""ja"",""vi"")"),"người đưa tin")</f>
        <v>người đưa tin</v>
      </c>
      <c r="E905" s="4" t="str">
        <f ca="1">IFERROR(__xludf.DUMMYFUNCTION("GOOGLETRANSLATE(C905,""ja"",""vi"")"),"Đấu giá&gt; thiết bị điện tử tiêu dùng, AV, camera&gt; làm nóng và làm mát, điều hòa không khí&gt; circulator")</f>
        <v>Đấu giá&gt; thiết bị điện tử tiêu dùng, AV, camera&gt; làm nóng và làm mát, điều hòa không khí&gt; circulator</v>
      </c>
      <c r="F905" t="str">
        <f t="shared" ca="1" si="14"/>
        <v>"2084242820" : "người đưa tin",</v>
      </c>
    </row>
    <row r="906" spans="1:6" ht="15.75" customHeight="1">
      <c r="A906" s="14">
        <v>24446</v>
      </c>
      <c r="B906" s="14" t="s">
        <v>5835</v>
      </c>
      <c r="C906" s="14" t="s">
        <v>6004</v>
      </c>
      <c r="D906" s="5" t="str">
        <f ca="1">IFERROR(__xludf.DUMMYFUNCTION("GOOGLETRANSLATE(B906,""ja"",""vi"")"),"Máy tạo độ ẩm, máy hút ẩm")</f>
        <v>Máy tạo độ ẩm, máy hút ẩm</v>
      </c>
      <c r="E906" s="4" t="str">
        <f ca="1">IFERROR(__xludf.DUMMYFUNCTION("GOOGLETRANSLATE(C906,""ja"",""vi"")"),"Đấu giá&gt; thiết bị điện tử tiêu dùng, AV, camera&gt; làm nóng và làm mát, điều hòa không khí&gt; máy tạo độ ẩm, máy hút ẩm")</f>
        <v>Đấu giá&gt; thiết bị điện tử tiêu dùng, AV, camera&gt; làm nóng và làm mát, điều hòa không khí&gt; máy tạo độ ẩm, máy hút ẩm</v>
      </c>
      <c r="F906" t="str">
        <f t="shared" ca="1" si="14"/>
        <v>"24446" : "Máy tạo độ ẩm, máy hút ẩm",</v>
      </c>
    </row>
    <row r="907" spans="1:6" ht="15.75" customHeight="1">
      <c r="A907" s="14">
        <v>2084047201</v>
      </c>
      <c r="B907" s="14" t="s">
        <v>6007</v>
      </c>
      <c r="C907" s="14" t="s">
        <v>6009</v>
      </c>
      <c r="D907" s="5" t="str">
        <f ca="1">IFERROR(__xludf.DUMMYFUNCTION("GOOGLETRANSLATE(B907,""ja"",""vi"")"),"kotatsu")</f>
        <v>kotatsu</v>
      </c>
      <c r="E907" s="4" t="str">
        <f ca="1">IFERROR(__xludf.DUMMYFUNCTION("GOOGLETRANSLATE(C907,""ja"",""vi"")"),"Đấu giá&gt; thiết bị điện tử tiêu dùng, AV, camera&gt; làm nóng và làm mát, điều hòa không khí&gt; kotatsu")</f>
        <v>Đấu giá&gt; thiết bị điện tử tiêu dùng, AV, camera&gt; làm nóng và làm mát, điều hòa không khí&gt; kotatsu</v>
      </c>
      <c r="F907" t="str">
        <f t="shared" ca="1" si="14"/>
        <v>"2084047201" : "kotatsu",</v>
      </c>
    </row>
    <row r="908" spans="1:6" ht="15.75" customHeight="1">
      <c r="A908" s="14">
        <v>2084008362</v>
      </c>
      <c r="B908" s="14" t="s">
        <v>6013</v>
      </c>
      <c r="C908" s="14" t="s">
        <v>6016</v>
      </c>
      <c r="D908" s="5" t="str">
        <f ca="1">IFERROR(__xludf.DUMMYFUNCTION("GOOGLETRANSLATE(B908,""ja"",""vi"")"),"Lò dầu tải")</f>
        <v>Lò dầu tải</v>
      </c>
      <c r="E908" s="4" t="str">
        <f ca="1">IFERROR(__xludf.DUMMYFUNCTION("GOOGLETRANSLATE(C908,""ja"",""vi"")"),"Đấu giá&gt; thiết bị điện tử tiêu dùng, AV, camera&gt; làm nóng và làm mát, điều hòa không khí&gt; Lò dầu tải")</f>
        <v>Đấu giá&gt; thiết bị điện tử tiêu dùng, AV, camera&gt; làm nóng và làm mát, điều hòa không khí&gt; Lò dầu tải</v>
      </c>
      <c r="F908" t="str">
        <f t="shared" ca="1" si="14"/>
        <v>"2084008362" : "Lò dầu tải",</v>
      </c>
    </row>
    <row r="909" spans="1:6" ht="15.75" customHeight="1">
      <c r="A909" s="14">
        <v>2084008359</v>
      </c>
      <c r="B909" s="14" t="s">
        <v>6020</v>
      </c>
      <c r="C909" s="14" t="s">
        <v>6022</v>
      </c>
      <c r="D909" s="5" t="str">
        <f ca="1">IFERROR(__xludf.DUMMYFUNCTION("GOOGLETRANSLATE(B909,""ja"",""vi"")"),"bếp lò")</f>
        <v>bếp lò</v>
      </c>
      <c r="E909" s="4" t="str">
        <f ca="1">IFERROR(__xludf.DUMMYFUNCTION("GOOGLETRANSLATE(C909,""ja"",""vi"")"),"Đấu giá&gt; thiết bị điện tử tiêu dùng, AV, camera&gt; làm nóng và làm mát, điều hòa không khí&gt; bếp")</f>
        <v>Đấu giá&gt; thiết bị điện tử tiêu dùng, AV, camera&gt; làm nóng và làm mát, điều hòa không khí&gt; bếp</v>
      </c>
      <c r="F909" t="str">
        <f t="shared" ca="1" si="14"/>
        <v>"2084008359" : "bếp lò",</v>
      </c>
    </row>
    <row r="910" spans="1:6" ht="15.75" customHeight="1">
      <c r="A910" s="14">
        <v>2084008358</v>
      </c>
      <c r="B910" s="14" t="s">
        <v>6025</v>
      </c>
      <c r="C910" s="14" t="s">
        <v>6028</v>
      </c>
      <c r="D910" s="5" t="str">
        <f ca="1">IFERROR(__xludf.DUMMYFUNCTION("GOOGLETRANSLATE(B910,""ja"",""vi"")"),"máy quạt khí nóng")</f>
        <v>máy quạt khí nóng</v>
      </c>
      <c r="E910" s="4" t="str">
        <f ca="1">IFERROR(__xludf.DUMMYFUNCTION("GOOGLETRANSLATE(C910,""ja"",""vi"")"),"Đấu giá&gt; thiết bị điện tử tiêu dùng, AV, camera&gt; làm nóng và làm mát, điều hòa không khí&gt; nóng quạt")</f>
        <v>Đấu giá&gt; thiết bị điện tử tiêu dùng, AV, camera&gt; làm nóng và làm mát, điều hòa không khí&gt; nóng quạt</v>
      </c>
      <c r="F910" t="str">
        <f t="shared" ca="1" si="14"/>
        <v>"2084008358" : "máy quạt khí nóng",</v>
      </c>
    </row>
    <row r="911" spans="1:6" ht="15.75" customHeight="1">
      <c r="A911" s="14">
        <v>2084008360</v>
      </c>
      <c r="B911" s="14" t="s">
        <v>6030</v>
      </c>
      <c r="C911" s="14" t="s">
        <v>6031</v>
      </c>
      <c r="D911" s="5" t="str">
        <f ca="1">IFERROR(__xludf.DUMMYFUNCTION("GOOGLETRANSLATE(B911,""ja"",""vi"")"),"thảm nóng")</f>
        <v>thảm nóng</v>
      </c>
      <c r="E911" s="4" t="str">
        <f ca="1">IFERROR(__xludf.DUMMYFUNCTION("GOOGLETRANSLATE(C911,""ja"",""vi"")"),"Đấu giá&gt; thiết bị điện tử tiêu dùng, AV, camera&gt; làm nóng và làm mát, điều hòa không khí&gt; thảm nóng")</f>
        <v>Đấu giá&gt; thiết bị điện tử tiêu dùng, AV, camera&gt; làm nóng và làm mát, điều hòa không khí&gt; thảm nóng</v>
      </c>
      <c r="F911" t="str">
        <f t="shared" ca="1" si="14"/>
        <v>"2084008360" : "thảm nóng",</v>
      </c>
    </row>
    <row r="912" spans="1:6" ht="15.75" customHeight="1">
      <c r="A912" s="14">
        <v>2084239052</v>
      </c>
      <c r="B912" s="14" t="s">
        <v>6036</v>
      </c>
      <c r="C912" s="14" t="s">
        <v>6037</v>
      </c>
      <c r="D912" s="5" t="str">
        <f ca="1">IFERROR(__xludf.DUMMYFUNCTION("GOOGLETRANSLATE(B912,""ja"",""vi"")"),"mat nóng")</f>
        <v>mat nóng</v>
      </c>
      <c r="E912" s="4" t="str">
        <f ca="1">IFERROR(__xludf.DUMMYFUNCTION("GOOGLETRANSLATE(C912,""ja"",""vi"")"),"Đấu giá&gt; thiết bị điện tử tiêu dùng, AV, camera&gt; làm nóng và làm mát, điều hòa không khí&gt; mat nóng")</f>
        <v>Đấu giá&gt; thiết bị điện tử tiêu dùng, AV, camera&gt; làm nóng và làm mát, điều hòa không khí&gt; mat nóng</v>
      </c>
      <c r="F912" t="str">
        <f t="shared" ca="1" si="14"/>
        <v>"2084239052" : "mat nóng",</v>
      </c>
    </row>
    <row r="913" spans="1:6" ht="15.75" customHeight="1">
      <c r="A913" s="14">
        <v>2084239054</v>
      </c>
      <c r="B913" s="14" t="s">
        <v>6042</v>
      </c>
      <c r="C913" s="14" t="s">
        <v>6043</v>
      </c>
      <c r="D913" s="5" t="str">
        <f ca="1">IFERROR(__xludf.DUMMYFUNCTION("GOOGLETRANSLATE(B913,""ja"",""vi"")"),"neo Electric")</f>
        <v>neo Electric</v>
      </c>
      <c r="E913" s="4" t="str">
        <f ca="1">IFERROR(__xludf.DUMMYFUNCTION("GOOGLETRANSLATE(C913,""ja"",""vi"")"),"Đấu giá&gt; thiết bị điện tử tiêu dùng, AV, camera&gt; làm nóng và làm mát, điều hòa không khí&gt; neo điện")</f>
        <v>Đấu giá&gt; thiết bị điện tử tiêu dùng, AV, camera&gt; làm nóng và làm mát, điều hòa không khí&gt; neo điện</v>
      </c>
      <c r="F913" t="str">
        <f t="shared" ca="1" si="14"/>
        <v>"2084239054" : "neo Electric",</v>
      </c>
    </row>
    <row r="914" spans="1:6" ht="15.75" customHeight="1">
      <c r="A914" s="14">
        <v>2084215691</v>
      </c>
      <c r="B914" s="14" t="s">
        <v>6045</v>
      </c>
      <c r="C914" s="14" t="s">
        <v>6048</v>
      </c>
      <c r="D914" s="5" t="str">
        <f ca="1">IFERROR(__xludf.DUMMYFUNCTION("GOOGLETRANSLATE(B914,""ja"",""vi"")"),"nóng điện")</f>
        <v>nóng điện</v>
      </c>
      <c r="E914" s="4" t="str">
        <f ca="1">IFERROR(__xludf.DUMMYFUNCTION("GOOGLETRANSLATE(C914,""ja"",""vi"")"),"Đấu giá&gt; thiết bị điện tử tiêu dùng, AV, camera&gt; làm nóng và làm mát, điều hòa không khí&gt; nóng điện")</f>
        <v>Đấu giá&gt; thiết bị điện tử tiêu dùng, AV, camera&gt; làm nóng và làm mát, điều hòa không khí&gt; nóng điện</v>
      </c>
      <c r="F914" t="str">
        <f t="shared" ca="1" si="14"/>
        <v>"2084215691" : "nóng điện",</v>
      </c>
    </row>
    <row r="915" spans="1:6" ht="15.75" customHeight="1">
      <c r="A915" s="14">
        <v>2084239053</v>
      </c>
      <c r="B915" s="14" t="s">
        <v>6050</v>
      </c>
      <c r="C915" s="14" t="s">
        <v>6053</v>
      </c>
      <c r="D915" s="5" t="str">
        <f ca="1">IFERROR(__xludf.DUMMYFUNCTION("GOOGLETRANSLATE(B915,""ja"",""vi"")"),"chăn điện, chăn điện")</f>
        <v>chăn điện, chăn điện</v>
      </c>
      <c r="E915" s="4" t="str">
        <f ca="1">IFERROR(__xludf.DUMMYFUNCTION("GOOGLETRANSLATE(C915,""ja"",""vi"")"),"Đấu giá&gt; thiết bị điện tử tiêu dùng, AV, camera&gt; làm nóng và làm mát, điều hòa không khí&gt; chăn điện, chăn điện")</f>
        <v>Đấu giá&gt; thiết bị điện tử tiêu dùng, AV, camera&gt; làm nóng và làm mát, điều hòa không khí&gt; chăn điện, chăn điện</v>
      </c>
      <c r="F915" t="str">
        <f t="shared" ca="1" si="14"/>
        <v>"2084239053" : "chăn điện, chăn điện",</v>
      </c>
    </row>
    <row r="916" spans="1:6" ht="15.75" customHeight="1">
      <c r="A916" s="14">
        <v>2084042679</v>
      </c>
      <c r="B916" s="14" t="s">
        <v>5822</v>
      </c>
      <c r="C916" s="14" t="s">
        <v>6055</v>
      </c>
      <c r="D916" s="5" t="str">
        <f ca="1">IFERROR(__xludf.DUMMYFUNCTION("GOOGLETRANSLATE(B916,""ja"",""vi"")"),"máy sấy futon")</f>
        <v>máy sấy futon</v>
      </c>
      <c r="E916" s="4" t="str">
        <f ca="1">IFERROR(__xludf.DUMMYFUNCTION("GOOGLETRANSLATE(C916,""ja"",""vi"")"),"Đấu giá&gt; thiết bị điện tử tiêu dùng, AV, camera&gt; sưởi ấm và làm mát, điều hòa không khí&gt; futon máy sấy")</f>
        <v>Đấu giá&gt; thiết bị điện tử tiêu dùng, AV, camera&gt; sưởi ấm và làm mát, điều hòa không khí&gt; futon máy sấy</v>
      </c>
      <c r="F916" t="str">
        <f t="shared" ca="1" si="14"/>
        <v>"2084042679" : "máy sấy futon",</v>
      </c>
    </row>
    <row r="917" spans="1:6" ht="15.75" customHeight="1">
      <c r="A917" s="14">
        <v>2084049865</v>
      </c>
      <c r="B917" s="14" t="s">
        <v>6059</v>
      </c>
      <c r="C917" s="14" t="s">
        <v>6060</v>
      </c>
      <c r="D917" s="5" t="str">
        <f ca="1">IFERROR(__xludf.DUMMYFUNCTION("GOOGLETRANSLATE(B917,""ja"",""vi"")"),"Quạt thông gió")</f>
        <v>Quạt thông gió</v>
      </c>
      <c r="E917" s="4" t="str">
        <f ca="1">IFERROR(__xludf.DUMMYFUNCTION("GOOGLETRANSLATE(C917,""ja"",""vi"")"),"Đấu giá&gt; thiết bị điện tử tiêu dùng, AV, camera&gt; làm nóng và làm mát, máy lạnh&gt; Quạt máy")</f>
        <v>Đấu giá&gt; thiết bị điện tử tiêu dùng, AV, camera&gt; làm nóng và làm mát, máy lạnh&gt; Quạt máy</v>
      </c>
      <c r="F917" t="str">
        <f t="shared" ca="1" si="14"/>
        <v>"2084049865" : "Quạt thông gió",</v>
      </c>
    </row>
    <row r="918" spans="1:6" ht="15.75" customHeight="1">
      <c r="A918" s="14">
        <v>2084008363</v>
      </c>
      <c r="B918" s="14" t="s">
        <v>46</v>
      </c>
      <c r="C918" s="14" t="s">
        <v>6063</v>
      </c>
      <c r="D918" s="5" t="str">
        <f ca="1">IFERROR(__xludf.DUMMYFUNCTION("GOOGLETRANSLATE(B918,""ja"",""vi"")"),"nếu không thì")</f>
        <v>nếu không thì</v>
      </c>
      <c r="E918" s="4" t="str">
        <f ca="1">IFERROR(__xludf.DUMMYFUNCTION("GOOGLETRANSLATE(C918,""ja"",""vi"")"),"Đấu giá&gt; thiết bị điện tử tiêu dùng, AV, camera&gt; làm nóng và làm mát, điều hòa không khí&gt; Khác")</f>
        <v>Đấu giá&gt; thiết bị điện tử tiêu dùng, AV, camera&gt; làm nóng và làm mát, điều hòa không khí&gt; Khác</v>
      </c>
      <c r="F918" t="str">
        <f t="shared" ca="1" si="14"/>
        <v>"2084008363" : "nếu không thì",</v>
      </c>
    </row>
    <row r="919" spans="1:6" ht="15.75" customHeight="1">
      <c r="A919" s="14">
        <v>2084245367</v>
      </c>
      <c r="B919" s="14" t="s">
        <v>6068</v>
      </c>
      <c r="C919" s="14" t="s">
        <v>6069</v>
      </c>
      <c r="D919" s="5" t="str">
        <f ca="1">IFERROR(__xludf.DUMMYFUNCTION("GOOGLETRANSLATE(B919,""ja"",""vi"")"),"bóng đèn LED")</f>
        <v>bóng đèn LED</v>
      </c>
      <c r="E919" s="4" t="str">
        <f ca="1">IFERROR(__xludf.DUMMYFUNCTION("GOOGLETRANSLATE(C919,""ja"",""vi"")"),"Đấu giá&gt; nhà, nội thất&gt; nội thất, nội thất&gt; đèn&gt; đèn huỳnh quang, bóng đèn&gt; bóng đèn LED")</f>
        <v>Đấu giá&gt; nhà, nội thất&gt; nội thất, nội thất&gt; đèn&gt; đèn huỳnh quang, bóng đèn&gt; bóng đèn LED</v>
      </c>
      <c r="F919" t="str">
        <f t="shared" ca="1" si="14"/>
        <v>"2084245367" : "bóng đèn LED",</v>
      </c>
    </row>
    <row r="920" spans="1:6" ht="15.75" customHeight="1">
      <c r="A920" s="14">
        <v>2084245364</v>
      </c>
      <c r="B920" s="14" t="s">
        <v>6073</v>
      </c>
      <c r="C920" s="14" t="s">
        <v>6074</v>
      </c>
      <c r="D920" s="5" t="str">
        <f ca="1">IFERROR(__xludf.DUMMYFUNCTION("GOOGLETRANSLATE(B920,""ja"",""vi"")"),"bóng đèn sợi đốt")</f>
        <v>bóng đèn sợi đốt</v>
      </c>
      <c r="E920" s="4" t="str">
        <f ca="1">IFERROR(__xludf.DUMMYFUNCTION("GOOGLETRANSLATE(C920,""ja"",""vi"")"),"Đấu giá&gt; nhà, nội thất&gt; nội thất, nội thất&gt; chiếu sáng&gt; đèn huỳnh quang, bóng đèn&gt; bóng đèn sợi đốt")</f>
        <v>Đấu giá&gt; nhà, nội thất&gt; nội thất, nội thất&gt; chiếu sáng&gt; đèn huỳnh quang, bóng đèn&gt; bóng đèn sợi đốt</v>
      </c>
      <c r="F920" t="str">
        <f t="shared" ca="1" si="14"/>
        <v>"2084245364" : "bóng đèn sợi đốt",</v>
      </c>
    </row>
    <row r="921" spans="1:6" ht="15.75" customHeight="1">
      <c r="A921" s="14">
        <v>2084245365</v>
      </c>
      <c r="B921" s="14" t="s">
        <v>6078</v>
      </c>
      <c r="C921" s="14" t="s">
        <v>6079</v>
      </c>
      <c r="D921" s="5" t="str">
        <f ca="1">IFERROR(__xludf.DUMMYFUNCTION("GOOGLETRANSLATE(B921,""ja"",""vi"")"),"đèn ni ong")</f>
        <v>đèn ni ong</v>
      </c>
      <c r="E921" s="4" t="str">
        <f ca="1">IFERROR(__xludf.DUMMYFUNCTION("GOOGLETRANSLATE(C921,""ja"",""vi"")"),"Đấu giá&gt; nhà, nội thất&gt; nội thất, nội thất&gt; đèn&gt; đèn huỳnh quang, bóng đèn&gt; đèn huỳnh quang")</f>
        <v>Đấu giá&gt; nhà, nội thất&gt; nội thất, nội thất&gt; đèn&gt; đèn huỳnh quang, bóng đèn&gt; đèn huỳnh quang</v>
      </c>
      <c r="F921" t="str">
        <f t="shared" ca="1" si="14"/>
        <v>"2084245365" : "đèn ni ong",</v>
      </c>
    </row>
    <row r="922" spans="1:6" ht="15.75" customHeight="1">
      <c r="A922" s="14">
        <v>2084245366</v>
      </c>
      <c r="B922" s="14" t="s">
        <v>6083</v>
      </c>
      <c r="C922" s="14" t="s">
        <v>6085</v>
      </c>
      <c r="D922" s="5" t="str">
        <f ca="1">IFERROR(__xludf.DUMMYFUNCTION("GOOGLETRANSLATE(B922,""ja"",""vi"")"),"đèn halogen")</f>
        <v>đèn halogen</v>
      </c>
      <c r="E922" s="4" t="str">
        <f ca="1">IFERROR(__xludf.DUMMYFUNCTION("GOOGLETRANSLATE(C922,""ja"",""vi"")"),"Đấu giá&gt; nhà, nội thất&gt; nội thất, nội thất&gt; đèn&gt; đèn huỳnh quang, bóng đèn&gt; đèn halogen")</f>
        <v>Đấu giá&gt; nhà, nội thất&gt; nội thất, nội thất&gt; đèn&gt; đèn huỳnh quang, bóng đèn&gt; đèn halogen</v>
      </c>
      <c r="F922" t="str">
        <f t="shared" ca="1" si="14"/>
        <v>"2084245366" : "đèn halogen",</v>
      </c>
    </row>
    <row r="923" spans="1:6" ht="15.75" customHeight="1">
      <c r="A923" s="14">
        <v>2084245368</v>
      </c>
      <c r="B923" s="14" t="s">
        <v>6089</v>
      </c>
      <c r="C923" s="14" t="s">
        <v>6091</v>
      </c>
      <c r="D923" s="5" t="str">
        <f ca="1">IFERROR(__xludf.DUMMYFUNCTION("GOOGLETRANSLATE(B923,""ja"",""vi"")"),"đèn HID")</f>
        <v>đèn HID</v>
      </c>
      <c r="E923" s="4" t="str">
        <f ca="1">IFERROR(__xludf.DUMMYFUNCTION("GOOGLETRANSLATE(C923,""ja"",""vi"")"),"Đấu giá&gt; nhà, nội thất&gt; nội thất, nội thất&gt; chiếu sáng&gt; đèn huỳnh quang, bóng đèn&gt; HID đèn")</f>
        <v>Đấu giá&gt; nhà, nội thất&gt; nội thất, nội thất&gt; chiếu sáng&gt; đèn huỳnh quang, bóng đèn&gt; HID đèn</v>
      </c>
      <c r="F923" t="str">
        <f t="shared" ca="1" si="14"/>
        <v>"2084245368" : "đèn HID",</v>
      </c>
    </row>
    <row r="924" spans="1:6" ht="15.75" customHeight="1">
      <c r="A924" s="14">
        <v>2084245369</v>
      </c>
      <c r="B924" s="14" t="s">
        <v>46</v>
      </c>
      <c r="C924" s="14" t="s">
        <v>6095</v>
      </c>
      <c r="D924" s="5" t="str">
        <f ca="1">IFERROR(__xludf.DUMMYFUNCTION("GOOGLETRANSLATE(B924,""ja"",""vi"")"),"nếu không thì")</f>
        <v>nếu không thì</v>
      </c>
      <c r="E924" s="4" t="str">
        <f ca="1">IFERROR(__xludf.DUMMYFUNCTION("GOOGLETRANSLATE(C924,""ja"",""vi"")"),"Đấu giá&gt; nhà, nội thất&gt; nội thất, nội thất&gt; chiếu sáng&gt; đèn huỳnh quang, bóng đèn&gt; Khác")</f>
        <v>Đấu giá&gt; nhà, nội thất&gt; nội thất, nội thất&gt; chiếu sáng&gt; đèn huỳnh quang, bóng đèn&gt; Khác</v>
      </c>
      <c r="F924" t="str">
        <f t="shared" ca="1" si="14"/>
        <v>"2084245369" : "nếu không thì",</v>
      </c>
    </row>
    <row r="925" spans="1:6" ht="15.75" customHeight="1">
      <c r="A925" s="14">
        <v>2084057367</v>
      </c>
      <c r="B925" s="14" t="s">
        <v>6097</v>
      </c>
      <c r="C925" s="14" t="s">
        <v>6099</v>
      </c>
      <c r="D925" s="5" t="str">
        <f ca="1">IFERROR(__xludf.DUMMYFUNCTION("GOOGLETRANSLATE(B925,""ja"",""vi"")"),"quạt trần")</f>
        <v>quạt trần</v>
      </c>
      <c r="E925" s="4" t="str">
        <f ca="1">IFERROR(__xludf.DUMMYFUNCTION("GOOGLETRANSLATE(C925,""ja"",""vi"")"),"Đấu giá&gt; nhà, nội thất&gt; nội thất, nội thất&gt; đèn&gt; đèn trần&gt; quạt trần")</f>
        <v>Đấu giá&gt; nhà, nội thất&gt; nội thất, nội thất&gt; đèn&gt; đèn trần&gt; quạt trần</v>
      </c>
      <c r="F925" t="str">
        <f t="shared" ca="1" si="14"/>
        <v>"2084057367" : "quạt trần",</v>
      </c>
    </row>
    <row r="926" spans="1:6" ht="15.75" customHeight="1">
      <c r="A926" s="14">
        <v>2084057366</v>
      </c>
      <c r="B926" s="14" t="s">
        <v>6103</v>
      </c>
      <c r="C926" s="14" t="s">
        <v>6105</v>
      </c>
      <c r="D926" s="5" t="str">
        <f ca="1">IFERROR(__xludf.DUMMYFUNCTION("GOOGLETRANSLATE(B926,""ja"",""vi"")"),"trần nhẹ")</f>
        <v>trần nhẹ</v>
      </c>
      <c r="E926" s="4" t="str">
        <f ca="1">IFERROR(__xludf.DUMMYFUNCTION("GOOGLETRANSLATE(C926,""ja"",""vi"")"),"Đấu giá&gt; nhà, nội thất&gt; nội thất, nội thất&gt; đèn&gt; đèn trần&gt; đèn trần")</f>
        <v>Đấu giá&gt; nhà, nội thất&gt; nội thất, nội thất&gt; đèn&gt; đèn trần&gt; đèn trần</v>
      </c>
      <c r="F926" t="str">
        <f t="shared" ca="1" si="14"/>
        <v>"2084057366" : "trần nhẹ",</v>
      </c>
    </row>
    <row r="927" spans="1:6" ht="15.75" customHeight="1">
      <c r="A927" s="14">
        <v>2084057369</v>
      </c>
      <c r="B927" s="14" t="s">
        <v>6108</v>
      </c>
      <c r="C927" s="14" t="s">
        <v>6110</v>
      </c>
      <c r="D927" s="5" t="str">
        <f ca="1">IFERROR(__xludf.DUMMYFUNCTION("GOOGLETRANSLATE(B927,""ja"",""vi"")"),"đèn treo")</f>
        <v>đèn treo</v>
      </c>
      <c r="E927" s="4" t="str">
        <f ca="1">IFERROR(__xludf.DUMMYFUNCTION("GOOGLETRANSLATE(C927,""ja"",""vi"")"),"Đấu giá&gt; nhà, nội thất&gt; nội thất, nội thất&gt; đèn&gt; đèn trần&gt; đèn chùm")</f>
        <v>Đấu giá&gt; nhà, nội thất&gt; nội thất, nội thất&gt; đèn&gt; đèn trần&gt; đèn chùm</v>
      </c>
      <c r="F927" t="str">
        <f t="shared" ca="1" si="14"/>
        <v>"2084057369" : "đèn treo",</v>
      </c>
    </row>
    <row r="928" spans="1:6" ht="15.75" customHeight="1">
      <c r="A928" s="14">
        <v>2084057371</v>
      </c>
      <c r="B928" s="14" t="s">
        <v>5902</v>
      </c>
      <c r="C928" s="14" t="s">
        <v>6114</v>
      </c>
      <c r="D928" s="5" t="str">
        <f ca="1">IFERROR(__xludf.DUMMYFUNCTION("GOOGLETRANSLATE(B928,""ja"",""vi"")"),"Spotlight")</f>
        <v>Spotlight</v>
      </c>
      <c r="E928" s="4" t="str">
        <f ca="1">IFERROR(__xludf.DUMMYFUNCTION("GOOGLETRANSLATE(C928,""ja"",""vi"")"),"Đấu giá&gt; nhà, nội thất&gt; nội thất, nội thất&gt; đèn&gt; đèn trần&gt; ánh đèn sân khấu")</f>
        <v>Đấu giá&gt; nhà, nội thất&gt; nội thất, nội thất&gt; đèn&gt; đèn trần&gt; ánh đèn sân khấu</v>
      </c>
      <c r="F928" t="str">
        <f t="shared" ca="1" si="14"/>
        <v>"2084057371" : "Spotlight",</v>
      </c>
    </row>
    <row r="929" spans="1:6" ht="15.75" customHeight="1">
      <c r="A929" s="14">
        <v>2084061436</v>
      </c>
      <c r="B929" s="14" t="s">
        <v>6118</v>
      </c>
      <c r="C929" s="14" t="s">
        <v>6119</v>
      </c>
      <c r="D929" s="5" t="str">
        <f ca="1">IFERROR(__xludf.DUMMYFUNCTION("GOOGLETRANSLATE(B929,""ja"",""vi"")"),"xuống nhẹ")</f>
        <v>xuống nhẹ</v>
      </c>
      <c r="E929" s="4" t="str">
        <f ca="1">IFERROR(__xludf.DUMMYFUNCTION("GOOGLETRANSLATE(C929,""ja"",""vi"")"),"Đấu giá&gt; nhà, nội thất&gt; nội thất, nội thất&gt; đèn&gt; trần ánh sáng&gt; xuống ánh sáng")</f>
        <v>Đấu giá&gt; nhà, nội thất&gt; nội thất, nội thất&gt; đèn&gt; trần ánh sáng&gt; xuống ánh sáng</v>
      </c>
      <c r="F929" t="str">
        <f t="shared" ca="1" si="14"/>
        <v>"2084061436" : "xuống nhẹ",</v>
      </c>
    </row>
    <row r="930" spans="1:6" ht="15.75" customHeight="1">
      <c r="A930" s="14">
        <v>2084057368</v>
      </c>
      <c r="B930" s="14" t="s">
        <v>6123</v>
      </c>
      <c r="C930" s="14" t="s">
        <v>6124</v>
      </c>
      <c r="D930" s="5" t="str">
        <f ca="1">IFERROR(__xludf.DUMMYFUNCTION("GOOGLETRANSLATE(B930,""ja"",""vi"")"),"ánh sáng mặt dây chuyền")</f>
        <v>ánh sáng mặt dây chuyền</v>
      </c>
      <c r="E930" s="4" t="str">
        <f ca="1">IFERROR(__xludf.DUMMYFUNCTION("GOOGLETRANSLATE(C930,""ja"",""vi"")"),"Đấu giá&gt; nhà, nội thất&gt; nội thất, nội thất&gt; đèn&gt; đèn trần&gt; ánh sáng mặt dây chuyền")</f>
        <v>Đấu giá&gt; nhà, nội thất&gt; nội thất, nội thất&gt; đèn&gt; đèn trần&gt; ánh sáng mặt dây chuyền</v>
      </c>
      <c r="F930" t="str">
        <f t="shared" ca="1" si="14"/>
        <v>"2084057368" : "ánh sáng mặt dây chuyền",</v>
      </c>
    </row>
    <row r="931" spans="1:6" ht="15.75" customHeight="1">
      <c r="A931" s="14">
        <v>2084057375</v>
      </c>
      <c r="B931" s="14" t="s">
        <v>5894</v>
      </c>
      <c r="C931" s="14" t="s">
        <v>6126</v>
      </c>
      <c r="D931" s="5" t="str">
        <f ca="1">IFERROR(__xludf.DUMMYFUNCTION("GOOGLETRANSLATE(B931,""ja"",""vi"")"),"Dây sắt ống")</f>
        <v>Dây sắt ống</v>
      </c>
      <c r="E931" s="4" t="str">
        <f ca="1">IFERROR(__xludf.DUMMYFUNCTION("GOOGLETRANSLATE(C931,""ja"",""vi"")"),"Đấu giá&gt; nhà, nội thất&gt; nội thất, nội thất&gt; đèn&gt; đèn trần&gt; dây ống đường sắt")</f>
        <v>Đấu giá&gt; nhà, nội thất&gt; nội thất, nội thất&gt; đèn&gt; đèn trần&gt; dây ống đường sắt</v>
      </c>
      <c r="F931" t="str">
        <f t="shared" ca="1" si="14"/>
        <v>"2084057375" : "Dây sắt ống",</v>
      </c>
    </row>
    <row r="932" spans="1:6" ht="15.75" customHeight="1">
      <c r="A932" s="14">
        <v>2084057370</v>
      </c>
      <c r="B932" s="14" t="s">
        <v>5898</v>
      </c>
      <c r="C932" s="14" t="s">
        <v>6128</v>
      </c>
      <c r="D932" s="5" t="str">
        <f ca="1">IFERROR(__xludf.DUMMYFUNCTION("GOOGLETRANSLATE(B932,""ja"",""vi"")"),"Ánh sáng cho hệ thống dây điện đường sắt ống")</f>
        <v>Ánh sáng cho hệ thống dây điện đường sắt ống</v>
      </c>
      <c r="E932" s="4" t="str">
        <f ca="1">IFERROR(__xludf.DUMMYFUNCTION("GOOGLETRANSLATE(C932,""ja"",""vi"")"),"Đấu giá&gt; nhà, nội thất&gt; nội thất, nội thất&gt; đèn&gt; Ánh sáng cho đèn trần&gt; dây ống đường sắt")</f>
        <v>Đấu giá&gt; nhà, nội thất&gt; nội thất, nội thất&gt; đèn&gt; Ánh sáng cho đèn trần&gt; dây ống đường sắt</v>
      </c>
      <c r="F932" t="str">
        <f t="shared" ca="1" si="14"/>
        <v>"2084057370" : "Ánh sáng cho hệ thống dây điện đường sắt ống",</v>
      </c>
    </row>
    <row r="933" spans="1:6" ht="15.75" customHeight="1">
      <c r="A933" s="14">
        <v>2084057372</v>
      </c>
      <c r="B933" s="14" t="s">
        <v>46</v>
      </c>
      <c r="C933" s="14" t="s">
        <v>6130</v>
      </c>
      <c r="D933" s="5" t="str">
        <f ca="1">IFERROR(__xludf.DUMMYFUNCTION("GOOGLETRANSLATE(B933,""ja"",""vi"")"),"nếu không thì")</f>
        <v>nếu không thì</v>
      </c>
      <c r="E933" s="4" t="str">
        <f ca="1">IFERROR(__xludf.DUMMYFUNCTION("GOOGLETRANSLATE(C933,""ja"",""vi"")"),"Đấu giá&gt; nhà, nội thất&gt; nội thất, nội thất&gt; đèn&gt; trần ánh sáng&gt; Khác")</f>
        <v>Đấu giá&gt; nhà, nội thất&gt; nội thất, nội thất&gt; đèn&gt; trần ánh sáng&gt; Khác</v>
      </c>
      <c r="F933" t="str">
        <f t="shared" ca="1" si="14"/>
        <v>"2084057372" : "nếu không thì",</v>
      </c>
    </row>
    <row r="934" spans="1:6" ht="15.75" customHeight="1">
      <c r="A934" s="14">
        <v>2084239867</v>
      </c>
      <c r="B934" s="14" t="s">
        <v>6131</v>
      </c>
      <c r="C934" s="14" t="s">
        <v>6133</v>
      </c>
      <c r="D934" s="5" t="str">
        <f ca="1">IFERROR(__xludf.DUMMYFUNCTION("GOOGLETRANSLATE(B934,""ja"",""vi"")"),"bảng Đứng")</f>
        <v>bảng Đứng</v>
      </c>
      <c r="E934" s="4" t="str">
        <f ca="1">IFERROR(__xludf.DUMMYFUNCTION("GOOGLETRANSLATE(C934,""ja"",""vi"")"),"Đấu giá&gt; nhà, nội thất&gt; nội thất, nội thất&gt; đèn&gt; bàn đứng&gt; bảng đứng")</f>
        <v>Đấu giá&gt; nhà, nội thất&gt; nội thất, nội thất&gt; đèn&gt; bàn đứng&gt; bảng đứng</v>
      </c>
      <c r="F934" t="str">
        <f t="shared" ca="1" si="14"/>
        <v>"2084239867" : "bảng Đứng",</v>
      </c>
    </row>
    <row r="935" spans="1:6" ht="15.75" customHeight="1">
      <c r="A935" s="14">
        <v>2084239865</v>
      </c>
      <c r="B935" s="14" t="s">
        <v>6134</v>
      </c>
      <c r="C935" s="14" t="s">
        <v>6135</v>
      </c>
      <c r="D935" s="5" t="str">
        <f ca="1">IFERROR(__xludf.DUMMYFUNCTION("GOOGLETRANSLATE(B935,""ja"",""vi"")"),"đèn bàn")</f>
        <v>đèn bàn</v>
      </c>
      <c r="E935" s="4" t="str">
        <f ca="1">IFERROR(__xludf.DUMMYFUNCTION("GOOGLETRANSLATE(C935,""ja"",""vi"")"),"Đấu giá&gt; nhà, nội thất&gt; nội thất, nội thất&gt; đèn&gt; bàn đứng&gt; đèn bàn")</f>
        <v>Đấu giá&gt; nhà, nội thất&gt; nội thất, nội thất&gt; đèn&gt; bàn đứng&gt; đèn bàn</v>
      </c>
      <c r="F935" t="str">
        <f t="shared" ca="1" si="14"/>
        <v>"2084239865" : "đèn bàn",</v>
      </c>
    </row>
    <row r="936" spans="1:6" ht="15.75" customHeight="1">
      <c r="A936" s="14">
        <v>2084239866</v>
      </c>
      <c r="B936" s="14" t="s">
        <v>6137</v>
      </c>
      <c r="C936" s="14" t="s">
        <v>6138</v>
      </c>
      <c r="D936" s="5" t="str">
        <f ca="1">IFERROR(__xludf.DUMMYFUNCTION("GOOGLETRANSLATE(B936,""ja"",""vi"")"),"night Stand")</f>
        <v>night Stand</v>
      </c>
      <c r="E936" s="4" t="str">
        <f ca="1">IFERROR(__xludf.DUMMYFUNCTION("GOOGLETRANSLATE(C936,""ja"",""vi"")"),"Đấu giá&gt; nhà, nội thất&gt; nội thất, nội thất&gt; đèn&gt; bàn đứng&gt; đứng đêm")</f>
        <v>Đấu giá&gt; nhà, nội thất&gt; nội thất, nội thất&gt; đèn&gt; bàn đứng&gt; đứng đêm</v>
      </c>
      <c r="F936" t="str">
        <f t="shared" ca="1" si="14"/>
        <v>"2084239866" : "night Stand",</v>
      </c>
    </row>
    <row r="937" spans="1:6" ht="15.75" customHeight="1">
      <c r="A937" s="14">
        <v>2084047858</v>
      </c>
      <c r="B937" s="14" t="s">
        <v>5861</v>
      </c>
      <c r="C937" s="14" t="s">
        <v>6140</v>
      </c>
      <c r="D937" s="5" t="str">
        <f ca="1">IFERROR(__xludf.DUMMYFUNCTION("GOOGLETRANSLATE(B937,""ja"",""vi"")"),"Bàn cho ánh sáng nhiệm vụ")</f>
        <v>Bàn cho ánh sáng nhiệm vụ</v>
      </c>
      <c r="E937" s="4" t="str">
        <f ca="1">IFERROR(__xludf.DUMMYFUNCTION("GOOGLETRANSLATE(C937,""ja"",""vi"")"),"Đấu giá&gt; nhà, nội thất&gt; nội thất, nội thất&gt; đèn&gt; bàn đứng&gt; ánh sáng nhiệm vụ cho bàn")</f>
        <v>Đấu giá&gt; nhà, nội thất&gt; nội thất, nội thất&gt; đèn&gt; bàn đứng&gt; ánh sáng nhiệm vụ cho bàn</v>
      </c>
      <c r="F937" t="str">
        <f t="shared" ca="1" si="14"/>
        <v>"2084047858" : "Bàn cho ánh sáng nhiệm vụ",</v>
      </c>
    </row>
    <row r="938" spans="1:6" ht="15.75" customHeight="1">
      <c r="A938" s="14">
        <v>2084239868</v>
      </c>
      <c r="B938" s="14" t="s">
        <v>46</v>
      </c>
      <c r="C938" s="14" t="s">
        <v>6142</v>
      </c>
      <c r="D938" s="5" t="str">
        <f ca="1">IFERROR(__xludf.DUMMYFUNCTION("GOOGLETRANSLATE(B938,""ja"",""vi"")"),"nếu không thì")</f>
        <v>nếu không thì</v>
      </c>
      <c r="E938" s="4" t="str">
        <f ca="1">IFERROR(__xludf.DUMMYFUNCTION("GOOGLETRANSLATE(C938,""ja"",""vi"")"),"Đấu giá&gt; nhà, nội thất&gt; nội thất, nội thất&gt; đèn&gt; bàn đứng&gt; Khác")</f>
        <v>Đấu giá&gt; nhà, nội thất&gt; nội thất, nội thất&gt; đèn&gt; bàn đứng&gt; Khác</v>
      </c>
      <c r="F938" t="str">
        <f t="shared" ca="1" si="14"/>
        <v>"2084239868" : "nếu không thì",</v>
      </c>
    </row>
    <row r="939" spans="1:6" ht="15.75" customHeight="1">
      <c r="A939" s="14">
        <v>2084283901</v>
      </c>
      <c r="B939" s="14" t="s">
        <v>6144</v>
      </c>
      <c r="C939" s="14" t="s">
        <v>6145</v>
      </c>
      <c r="D939" s="5" t="str">
        <f ca="1">IFERROR(__xludf.DUMMYFUNCTION("GOOGLETRANSLATE(B939,""ja"",""vi"")"),"ánh sáng thẳng")</f>
        <v>ánh sáng thẳng</v>
      </c>
      <c r="E939" s="4" t="str">
        <f ca="1">IFERROR(__xludf.DUMMYFUNCTION("GOOGLETRANSLATE(C939,""ja"",""vi"")"),"Đấu giá&gt; nhà, nội thất&gt; mùa, sự kiện hàng năm&gt; Giáng sinh&gt; chiếu sáng&gt; ánh sáng thẳng")</f>
        <v>Đấu giá&gt; nhà, nội thất&gt; mùa, sự kiện hàng năm&gt; Giáng sinh&gt; chiếu sáng&gt; ánh sáng thẳng</v>
      </c>
      <c r="F939" t="str">
        <f t="shared" ca="1" si="14"/>
        <v>"2084283901" : "ánh sáng thẳng",</v>
      </c>
    </row>
    <row r="940" spans="1:6" ht="15.75" customHeight="1">
      <c r="A940" s="14">
        <v>2084283909</v>
      </c>
      <c r="B940" s="14" t="s">
        <v>6147</v>
      </c>
      <c r="C940" s="14" t="s">
        <v>6148</v>
      </c>
      <c r="D940" s="5" t="str">
        <f ca="1">IFERROR(__xludf.DUMMYFUNCTION("GOOGLETRANSLATE(B940,""ja"",""vi"")"),"motif ánh sáng")</f>
        <v>motif ánh sáng</v>
      </c>
      <c r="E940" s="4" t="str">
        <f ca="1">IFERROR(__xludf.DUMMYFUNCTION("GOOGLETRANSLATE(C940,""ja"",""vi"")"),"Đấu giá&gt; nhà, nội thất&gt; mùa, sự kiện hàng năm&gt; Giáng sinh&gt; chiếu sáng&gt; motif ánh sáng")</f>
        <v>Đấu giá&gt; nhà, nội thất&gt; mùa, sự kiện hàng năm&gt; Giáng sinh&gt; chiếu sáng&gt; motif ánh sáng</v>
      </c>
      <c r="F940" t="str">
        <f t="shared" ca="1" si="14"/>
        <v>"2084283909" : "motif ánh sáng",</v>
      </c>
    </row>
    <row r="941" spans="1:6" ht="15.75" customHeight="1">
      <c r="A941" s="14">
        <v>2084283918</v>
      </c>
      <c r="B941" s="14" t="s">
        <v>6149</v>
      </c>
      <c r="C941" s="14" t="s">
        <v>6151</v>
      </c>
      <c r="D941" s="5" t="str">
        <f ca="1">IFERROR(__xludf.DUMMYFUNCTION("GOOGLETRANSLATE(B941,""ja"",""vi"")"),"đèn ống (đèn dây)")</f>
        <v>đèn ống (đèn dây)</v>
      </c>
      <c r="E941" s="4" t="str">
        <f ca="1">IFERROR(__xludf.DUMMYFUNCTION("GOOGLETRANSLATE(C941,""ja"",""vi"")"),"Đấu giá&gt; nhà, nội thất&gt; mùa, sự kiện hàng năm&gt; Giáng sinh&gt; chiếu sáng&gt; đèn ống (đèn dây)")</f>
        <v>Đấu giá&gt; nhà, nội thất&gt; mùa, sự kiện hàng năm&gt; Giáng sinh&gt; chiếu sáng&gt; đèn ống (đèn dây)</v>
      </c>
      <c r="F941" t="str">
        <f t="shared" ca="1" si="14"/>
        <v>"2084283918" : "đèn ống (đèn dây)",</v>
      </c>
    </row>
    <row r="942" spans="1:6" ht="15.75" customHeight="1">
      <c r="A942" s="14">
        <v>2084283919</v>
      </c>
      <c r="B942" s="14" t="s">
        <v>6152</v>
      </c>
      <c r="C942" s="14" t="s">
        <v>6154</v>
      </c>
      <c r="D942" s="5" t="str">
        <f ca="1">IFERROR(__xludf.DUMMYFUNCTION("GOOGLETRANSLATE(B942,""ja"",""vi"")"),"ánh sáng băng")</f>
        <v>ánh sáng băng</v>
      </c>
      <c r="E942" s="4" t="str">
        <f ca="1">IFERROR(__xludf.DUMMYFUNCTION("GOOGLETRANSLATE(C942,""ja"",""vi"")"),"Đấu giá&gt; nhà, nội thất&gt; mùa, sự kiện hàng năm&gt; Giáng sinh&gt; chiếu sáng&gt; ánh sáng băng")</f>
        <v>Đấu giá&gt; nhà, nội thất&gt; mùa, sự kiện hàng năm&gt; Giáng sinh&gt; chiếu sáng&gt; ánh sáng băng</v>
      </c>
      <c r="F942" t="str">
        <f t="shared" ca="1" si="14"/>
        <v>"2084283919" : "ánh sáng băng",</v>
      </c>
    </row>
    <row r="943" spans="1:6" ht="15.75" customHeight="1">
      <c r="A943" s="14">
        <v>2084283920</v>
      </c>
      <c r="B943" s="14" t="s">
        <v>6155</v>
      </c>
      <c r="C943" s="14" t="s">
        <v>6157</v>
      </c>
      <c r="D943" s="5" t="str">
        <f ca="1">IFERROR(__xludf.DUMMYFUNCTION("GOOGLETRANSLATE(B943,""ja"",""vi"")"),"gõ net")</f>
        <v>gõ net</v>
      </c>
      <c r="E943" s="4" t="str">
        <f ca="1">IFERROR(__xludf.DUMMYFUNCTION("GOOGLETRANSLATE(C943,""ja"",""vi"")"),"Đấu giá&gt; nhà, nội thất&gt; mùa, sự kiện hàng năm&gt; Giáng sinh&gt; chiếu sáng&gt; gõ net")</f>
        <v>Đấu giá&gt; nhà, nội thất&gt; mùa, sự kiện hàng năm&gt; Giáng sinh&gt; chiếu sáng&gt; gõ net</v>
      </c>
      <c r="F943" t="str">
        <f t="shared" ca="1" si="14"/>
        <v>"2084283920" : "gõ net",</v>
      </c>
    </row>
    <row r="944" spans="1:6" ht="15.75" customHeight="1">
      <c r="A944" s="14">
        <v>2084283921</v>
      </c>
      <c r="B944" s="14" t="s">
        <v>6158</v>
      </c>
      <c r="C944" s="14" t="s">
        <v>6160</v>
      </c>
      <c r="D944" s="5" t="str">
        <f ca="1">IFERROR(__xludf.DUMMYFUNCTION("GOOGLETRANSLATE(B944,""ja"",""vi"")"),"Icicles, Niagara loại")</f>
        <v>Icicles, Niagara loại</v>
      </c>
      <c r="E944" s="4" t="str">
        <f ca="1">IFERROR(__xludf.DUMMYFUNCTION("GOOGLETRANSLATE(C944,""ja"",""vi"")"),"Đấu giá&gt; nhà, nội thất&gt; mùa, sự kiện hàng năm&gt; Giáng sinh&gt; chiếu sáng&gt; icicles, Niagara loại")</f>
        <v>Đấu giá&gt; nhà, nội thất&gt; mùa, sự kiện hàng năm&gt; Giáng sinh&gt; chiếu sáng&gt; icicles, Niagara loại</v>
      </c>
      <c r="F944" t="str">
        <f t="shared" ca="1" si="14"/>
        <v>"2084283921" : "Icicles, Niagara loại",</v>
      </c>
    </row>
    <row r="945" spans="1:6" ht="15.75" customHeight="1">
      <c r="A945" s="14">
        <v>2084283922</v>
      </c>
      <c r="B945" s="14" t="s">
        <v>6161</v>
      </c>
      <c r="C945" s="14" t="s">
        <v>6162</v>
      </c>
      <c r="D945" s="5" t="str">
        <f ca="1">IFERROR(__xludf.DUMMYFUNCTION("GOOGLETRANSLATE(B945,""ja"",""vi"")"),"loại Stick")</f>
        <v>loại Stick</v>
      </c>
      <c r="E945" s="4" t="str">
        <f ca="1">IFERROR(__xludf.DUMMYFUNCTION("GOOGLETRANSLATE(C945,""ja"",""vi"")"),"Đấu giá&gt; nhà, nội thất&gt; mùa, sự kiện hàng năm&gt; Giáng sinh&gt; chiếu sáng&gt; loại gậy")</f>
        <v>Đấu giá&gt; nhà, nội thất&gt; mùa, sự kiện hàng năm&gt; Giáng sinh&gt; chiếu sáng&gt; loại gậy</v>
      </c>
      <c r="F945" t="str">
        <f t="shared" ca="1" si="14"/>
        <v>"2084283922" : "loại Stick",</v>
      </c>
    </row>
    <row r="946" spans="1:6" ht="15.75" customHeight="1">
      <c r="A946" s="14">
        <v>2084283923</v>
      </c>
      <c r="B946" s="14" t="s">
        <v>1625</v>
      </c>
      <c r="C946" s="14" t="s">
        <v>6164</v>
      </c>
      <c r="D946" s="5" t="str">
        <f ca="1">IFERROR(__xludf.DUMMYFUNCTION("GOOGLETRANSLATE(B946,""ja"",""vi"")"),"chu vi")</f>
        <v>chu vi</v>
      </c>
      <c r="E946" s="4" t="str">
        <f ca="1">IFERROR(__xludf.DUMMYFUNCTION("GOOGLETRANSLATE(C946,""ja"",""vi"")"),"Đấu giá&gt; nhà, nội thất&gt; mùa, sự kiện hàng năm&gt; Giáng sinh&gt; chiếu sáng&gt; Thiết bị ngoại vi")</f>
        <v>Đấu giá&gt; nhà, nội thất&gt; mùa, sự kiện hàng năm&gt; Giáng sinh&gt; chiếu sáng&gt; Thiết bị ngoại vi</v>
      </c>
      <c r="F946" t="str">
        <f t="shared" ca="1" si="14"/>
        <v>"2084283923" : "chu vi",</v>
      </c>
    </row>
    <row r="947" spans="1:6" ht="15.75" customHeight="1">
      <c r="A947" s="14">
        <v>2084283930</v>
      </c>
      <c r="B947" s="14" t="s">
        <v>6165</v>
      </c>
      <c r="C947" s="14" t="s">
        <v>6166</v>
      </c>
      <c r="D947" s="5" t="str">
        <f ca="1">IFERROR(__xludf.DUMMYFUNCTION("GOOGLETRANSLATE(B947,""ja"",""vi"")"),"cây sợi")</f>
        <v>cây sợi</v>
      </c>
      <c r="E947" s="4" t="str">
        <f ca="1">IFERROR(__xludf.DUMMYFUNCTION("GOOGLETRANSLATE(C947,""ja"",""vi"")"),"Đấu giá&gt; nhà, nội thất&gt; mùa, sự kiện hàng năm&gt; Giáng sinh&gt; chiếu sáng&gt; cây sợi")</f>
        <v>Đấu giá&gt; nhà, nội thất&gt; mùa, sự kiện hàng năm&gt; Giáng sinh&gt; chiếu sáng&gt; cây sợi</v>
      </c>
      <c r="F947" t="str">
        <f t="shared" ca="1" si="14"/>
        <v>"2084283930" : "cây sợi",</v>
      </c>
    </row>
    <row r="948" spans="1:6" ht="15.75" customHeight="1">
      <c r="A948" s="14">
        <v>2084283924</v>
      </c>
      <c r="B948" s="14" t="s">
        <v>46</v>
      </c>
      <c r="C948" s="14" t="s">
        <v>6167</v>
      </c>
      <c r="D948" s="5" t="str">
        <f ca="1">IFERROR(__xludf.DUMMYFUNCTION("GOOGLETRANSLATE(B948,""ja"",""vi"")"),"nếu không thì")</f>
        <v>nếu không thì</v>
      </c>
      <c r="E948" s="4" t="str">
        <f ca="1">IFERROR(__xludf.DUMMYFUNCTION("GOOGLETRANSLATE(C948,""ja"",""vi"")"),"Đấu giá&gt; nhà, nội thất&gt; mùa, sự kiện hàng năm&gt; Giáng sinh&gt; chiếu sáng&gt; Khác")</f>
        <v>Đấu giá&gt; nhà, nội thất&gt; mùa, sự kiện hàng năm&gt; Giáng sinh&gt; chiếu sáng&gt; Khác</v>
      </c>
      <c r="F948" t="str">
        <f t="shared" ca="1" si="14"/>
        <v>"2084283924" : "nếu không thì",</v>
      </c>
    </row>
    <row r="949" spans="1:6" ht="15.75" customHeight="1">
      <c r="A949" s="14">
        <v>2084042064</v>
      </c>
      <c r="B949" s="14" t="s">
        <v>6168</v>
      </c>
      <c r="C949" s="14" t="s">
        <v>6169</v>
      </c>
      <c r="D949" s="5" t="str">
        <f ca="1">IFERROR(__xludf.DUMMYFUNCTION("GOOGLETRANSLATE(B949,""ja"",""vi"")"),"DIY, cho doanh nghiệp")</f>
        <v>DIY, cho doanh nghiệp</v>
      </c>
      <c r="E949" s="4" t="str">
        <f ca="1">IFERROR(__xludf.DUMMYFUNCTION("GOOGLETRANSLATE(C949,""ja"",""vi"")"),"Đấu giá&gt; nhà, nội thất&gt; nội thất, nội thất&gt; đèn&gt; cho đặc biệt&gt; DIY, cho doanh nghiệp")</f>
        <v>Đấu giá&gt; nhà, nội thất&gt; nội thất, nội thất&gt; đèn&gt; cho đặc biệt&gt; DIY, cho doanh nghiệp</v>
      </c>
      <c r="F949" t="str">
        <f t="shared" ca="1" si="14"/>
        <v>"2084042064" : "DIY, cho doanh nghiệp",</v>
      </c>
    </row>
    <row r="950" spans="1:6" ht="15.75" customHeight="1">
      <c r="A950" s="14">
        <v>24266</v>
      </c>
      <c r="B950" s="14" t="s">
        <v>6170</v>
      </c>
      <c r="C950" s="14" t="s">
        <v>6171</v>
      </c>
      <c r="D950" s="5" t="str">
        <f ca="1">IFERROR(__xludf.DUMMYFUNCTION("GOOGLETRANSLATE(B950,""ja"",""vi"")"),"nuôi cá cảnh, trồng cây nước")</f>
        <v>nuôi cá cảnh, trồng cây nước</v>
      </c>
      <c r="E950" s="4" t="str">
        <f ca="1">IFERROR(__xludf.DUMMYFUNCTION("GOOGLETRANSLATE(C950,""ja"",""vi"")"),"Đấu giá&gt; nhà, nội thất&gt; nội thất, nội thất&gt; đèn&gt; cho đặc biệt&gt; nuôi cá cảnh, trồng cây nước")</f>
        <v>Đấu giá&gt; nhà, nội thất&gt; nội thất, nội thất&gt; đèn&gt; cho đặc biệt&gt; nuôi cá cảnh, trồng cây nước</v>
      </c>
      <c r="F950" t="str">
        <f t="shared" ca="1" si="14"/>
        <v>"24266" : "nuôi cá cảnh, trồng cây nước",</v>
      </c>
    </row>
    <row r="951" spans="1:6" ht="15.75" customHeight="1">
      <c r="A951" s="14">
        <v>2084062726</v>
      </c>
      <c r="B951" s="14" t="s">
        <v>6172</v>
      </c>
      <c r="C951" s="14" t="s">
        <v>6173</v>
      </c>
      <c r="D951" s="5" t="str">
        <f ca="1">IFERROR(__xludf.DUMMYFUNCTION("GOOGLETRANSLATE(B951,""ja"",""vi"")"),"Bò sát, lưỡng cư cho chăn nuôi")</f>
        <v>Bò sát, lưỡng cư cho chăn nuôi</v>
      </c>
      <c r="E951" s="4" t="str">
        <f ca="1">IFERROR(__xludf.DUMMYFUNCTION("GOOGLETRANSLATE(C951,""ja"",""vi"")"),"Đấu giá&gt; nhà, nội thất&gt; nội thất, nội thất&gt; đèn&gt; cho đặc biệt&gt; bò sát, lưỡng cư cho chăn nuôi")</f>
        <v>Đấu giá&gt; nhà, nội thất&gt; nội thất, nội thất&gt; đèn&gt; cho đặc biệt&gt; bò sát, lưỡng cư cho chăn nuôi</v>
      </c>
      <c r="F951" t="str">
        <f t="shared" ca="1" si="14"/>
        <v>"2084062726" : "Bò sát, lưỡng cư cho chăn nuôi",</v>
      </c>
    </row>
    <row r="952" spans="1:6" ht="15.75" customHeight="1">
      <c r="A952" s="14">
        <v>2084045713</v>
      </c>
      <c r="B952" s="14" t="s">
        <v>4202</v>
      </c>
      <c r="C952" s="14" t="s">
        <v>6174</v>
      </c>
      <c r="D952" s="5" t="str">
        <f ca="1">IFERROR(__xludf.DUMMYFUNCTION("GOOGLETRANSLATE(B952,""ja"",""vi"")"),"lục lạo")</f>
        <v>lục lạo</v>
      </c>
      <c r="E952" s="4" t="str">
        <f ca="1">IFERROR(__xludf.DUMMYFUNCTION("GOOGLETRANSLATE(C952,""ja"",""vi"")"),"Đấu giá&gt; phụ kiện, đồng hồ&gt; nhân vật đồng hồ đeo tay&gt; Snoopy")</f>
        <v>Đấu giá&gt; phụ kiện, đồng hồ&gt; nhân vật đồng hồ đeo tay&gt; Snoopy</v>
      </c>
      <c r="F952" t="str">
        <f t="shared" ca="1" si="14"/>
        <v>"2084045713" : "lục lạo",</v>
      </c>
    </row>
    <row r="953" spans="1:6" ht="15.75" customHeight="1">
      <c r="A953" s="14">
        <v>2084045712</v>
      </c>
      <c r="B953" s="14" t="s">
        <v>2828</v>
      </c>
      <c r="C953" s="14" t="s">
        <v>6175</v>
      </c>
      <c r="D953" s="5" t="str">
        <f ca="1">IFERROR(__xludf.DUMMYFUNCTION("GOOGLETRANSLATE(B953,""ja"",""vi"")"),"Disney")</f>
        <v>Disney</v>
      </c>
      <c r="E953" s="4" t="str">
        <f ca="1">IFERROR(__xludf.DUMMYFUNCTION("GOOGLETRANSLATE(C953,""ja"",""vi"")"),"Đấu giá&gt; phụ kiện, đồng hồ&gt; nhân vật đồng hồ đeo tay&gt; Disney")</f>
        <v>Đấu giá&gt; phụ kiện, đồng hồ&gt; nhân vật đồng hồ đeo tay&gt; Disney</v>
      </c>
      <c r="F953" t="str">
        <f t="shared" ca="1" si="14"/>
        <v>"2084045712" : "Disney",</v>
      </c>
    </row>
    <row r="954" spans="1:6" ht="15.75" customHeight="1">
      <c r="A954" s="14">
        <v>2084045715</v>
      </c>
      <c r="B954" s="14" t="s">
        <v>1049</v>
      </c>
      <c r="C954" s="14" t="s">
        <v>6176</v>
      </c>
      <c r="D954" s="5" t="str">
        <f ca="1">IFERROR(__xludf.DUMMYFUNCTION("GOOGLETRANSLATE(B954,""ja"",""vi"")"),"Doraemon")</f>
        <v>Doraemon</v>
      </c>
      <c r="E954" s="4" t="str">
        <f ca="1">IFERROR(__xludf.DUMMYFUNCTION("GOOGLETRANSLATE(C954,""ja"",""vi"")"),"Đấu giá&gt; phụ kiện, đồng hồ&gt; nhân vật đồng hồ đeo tay&gt; Doraemon")</f>
        <v>Đấu giá&gt; phụ kiện, đồng hồ&gt; nhân vật đồng hồ đeo tay&gt; Doraemon</v>
      </c>
      <c r="F954" t="str">
        <f t="shared" ca="1" si="14"/>
        <v>"2084045715" : "Doraemon",</v>
      </c>
    </row>
    <row r="955" spans="1:6" ht="15.75" customHeight="1">
      <c r="A955" s="14">
        <v>2084045714</v>
      </c>
      <c r="B955" s="14" t="s">
        <v>1265</v>
      </c>
      <c r="C955" s="14" t="s">
        <v>6177</v>
      </c>
      <c r="D955" s="5" t="str">
        <f ca="1">IFERROR(__xludf.DUMMYFUNCTION("GOOGLETRANSLATE(B955,""ja"",""vi"")"),"Hello Kitty")</f>
        <v>Hello Kitty</v>
      </c>
      <c r="E955" s="4" t="str">
        <f ca="1">IFERROR(__xludf.DUMMYFUNCTION("GOOGLETRANSLATE(C955,""ja"",""vi"")"),"Đấu giá&gt; phụ kiện, đồng hồ&gt; nhân vật đồng hồ đeo tay&gt; Hello Kitty")</f>
        <v>Đấu giá&gt; phụ kiện, đồng hồ&gt; nhân vật đồng hồ đeo tay&gt; Hello Kitty</v>
      </c>
      <c r="F955" t="str">
        <f t="shared" ca="1" si="14"/>
        <v>"2084045714" : "Hello Kitty",</v>
      </c>
    </row>
    <row r="956" spans="1:6" ht="15.75" customHeight="1">
      <c r="A956" s="14">
        <v>2084045716</v>
      </c>
      <c r="B956" s="14" t="s">
        <v>46</v>
      </c>
      <c r="C956" s="14" t="s">
        <v>6178</v>
      </c>
      <c r="D956" s="5" t="str">
        <f ca="1">IFERROR(__xludf.DUMMYFUNCTION("GOOGLETRANSLATE(B956,""ja"",""vi"")"),"nếu không thì")</f>
        <v>nếu không thì</v>
      </c>
      <c r="E956" s="4" t="str">
        <f ca="1">IFERROR(__xludf.DUMMYFUNCTION("GOOGLETRANSLATE(C956,""ja"",""vi"")"),"Đấu giá&gt; phụ kiện, đồng hồ&gt; nhân vật đồng hồ đeo tay&gt; Khác")</f>
        <v>Đấu giá&gt; phụ kiện, đồng hồ&gt; nhân vật đồng hồ đeo tay&gt; Khác</v>
      </c>
      <c r="F956" t="str">
        <f t="shared" ca="1" si="14"/>
        <v>"2084045716" : "nếu không thì",</v>
      </c>
    </row>
    <row r="957" spans="1:6" ht="15.75" customHeight="1">
      <c r="A957" s="14">
        <v>2084059709</v>
      </c>
      <c r="B957" s="14" t="s">
        <v>554</v>
      </c>
      <c r="C957" s="14" t="s">
        <v>6179</v>
      </c>
      <c r="D957" s="5" t="str">
        <f ca="1">IFERROR(__xludf.DUMMYFUNCTION("GOOGLETRANSLATE(B957,""ja"",""vi"")"),"hàng nitơ")</f>
        <v>hàng nitơ</v>
      </c>
      <c r="E957" s="4" t="str">
        <f ca="1">IFERROR(__xludf.DUMMYFUNCTION("GOOGLETRANSLATE(C957,""ja"",""vi"")"),"Đấu giá&gt; phụ kiện, đồng hồ&gt; thương hiệu đồng hồ đeo tay&gt; hàng nitơ")</f>
        <v>Đấu giá&gt; phụ kiện, đồng hồ&gt; thương hiệu đồng hồ đeo tay&gt; hàng nitơ</v>
      </c>
      <c r="F957" t="str">
        <f t="shared" ca="1" si="14"/>
        <v>"2084059709" : "hàng nitơ",</v>
      </c>
    </row>
    <row r="958" spans="1:6" ht="15.75" customHeight="1">
      <c r="A958" s="14">
        <v>2084059710</v>
      </c>
      <c r="B958" s="14" t="s">
        <v>562</v>
      </c>
      <c r="C958" s="14" t="s">
        <v>6180</v>
      </c>
      <c r="D958" s="5" t="str">
        <f ca="1">IFERROR(__xludf.DUMMYFUNCTION("GOOGLETRANSLATE(B958,""ja"",""vi"")"),"hoặc hàng")</f>
        <v>hoặc hàng</v>
      </c>
      <c r="E958" s="4" t="str">
        <f ca="1">IFERROR(__xludf.DUMMYFUNCTION("GOOGLETRANSLATE(C958,""ja"",""vi"")"),"Đấu giá&gt; phụ kiện, đồng hồ&gt; thương hiệu đồng hồ đeo tay&gt; hoặc hàng")</f>
        <v>Đấu giá&gt; phụ kiện, đồng hồ&gt; thương hiệu đồng hồ đeo tay&gt; hoặc hàng</v>
      </c>
      <c r="F958" t="str">
        <f t="shared" ca="1" si="14"/>
        <v>"2084059710" : "hoặc hàng",</v>
      </c>
    </row>
    <row r="959" spans="1:6" ht="15.75" customHeight="1">
      <c r="A959" s="14">
        <v>2084059711</v>
      </c>
      <c r="B959" s="14" t="s">
        <v>570</v>
      </c>
      <c r="C959" s="14" t="s">
        <v>6181</v>
      </c>
      <c r="D959" s="5" t="str">
        <f ca="1">IFERROR(__xludf.DUMMYFUNCTION("GOOGLETRANSLATE(B959,""ja"",""vi"")"),"Các chữ s")</f>
        <v>Các chữ s</v>
      </c>
      <c r="E959" s="4" t="str">
        <f ca="1">IFERROR(__xludf.DUMMYFUNCTION("GOOGLETRANSLATE(C959,""ja"",""vi"")"),"Đấu giá&gt; phụ kiện, đồng hồ&gt; thương hiệu đồng hồ đeo tay&gt; chữ s")</f>
        <v>Đấu giá&gt; phụ kiện, đồng hồ&gt; thương hiệu đồng hồ đeo tay&gt; chữ s</v>
      </c>
      <c r="F959" t="str">
        <f t="shared" ca="1" si="14"/>
        <v>"2084059711" : "Các chữ s",</v>
      </c>
    </row>
    <row r="960" spans="1:6" ht="15.75" customHeight="1">
      <c r="A960" s="14">
        <v>2084059712</v>
      </c>
      <c r="B960" s="14" t="s">
        <v>578</v>
      </c>
      <c r="C960" s="14" t="s">
        <v>6182</v>
      </c>
      <c r="D960" s="5" t="str">
        <f ca="1">IFERROR(__xludf.DUMMYFUNCTION("GOOGLETRANSLATE(B960,""ja"",""vi"")"),"Tagyo")</f>
        <v>Tagyo</v>
      </c>
      <c r="E960" s="4" t="str">
        <f ca="1">IFERROR(__xludf.DUMMYFUNCTION("GOOGLETRANSLATE(C960,""ja"",""vi"")"),"Đấu giá&gt; phụ kiện, đồng hồ&gt; brand đồng hồ đeo tay&gt; Tagyo")</f>
        <v>Đấu giá&gt; phụ kiện, đồng hồ&gt; brand đồng hồ đeo tay&gt; Tagyo</v>
      </c>
      <c r="F960" t="str">
        <f t="shared" ca="1" si="14"/>
        <v>"2084059712" : "Tagyo",</v>
      </c>
    </row>
    <row r="961" spans="1:6" ht="15.75" customHeight="1">
      <c r="A961" s="14">
        <v>2084212694</v>
      </c>
      <c r="B961" s="14" t="s">
        <v>587</v>
      </c>
      <c r="C961" s="14" t="s">
        <v>6183</v>
      </c>
      <c r="D961" s="5" t="str">
        <f ca="1">IFERROR(__xludf.DUMMYFUNCTION("GOOGLETRANSLATE(B961,""ja"",""vi"")"),"Một dòng")</f>
        <v>Một dòng</v>
      </c>
      <c r="E961" s="4" t="str">
        <f ca="1">IFERROR(__xludf.DUMMYFUNCTION("GOOGLETRANSLATE(C961,""ja"",""vi"")"),"Đấu giá&gt; phụ kiện, đồng hồ&gt; thương hiệu đồng hồ đeo tay&gt; hàng")</f>
        <v>Đấu giá&gt; phụ kiện, đồng hồ&gt; thương hiệu đồng hồ đeo tay&gt; hàng</v>
      </c>
      <c r="F961" t="str">
        <f t="shared" ca="1" si="14"/>
        <v>"2084212694" : "Một dòng",</v>
      </c>
    </row>
    <row r="962" spans="1:6" ht="15.75" customHeight="1">
      <c r="A962" s="14">
        <v>2084059714</v>
      </c>
      <c r="B962" s="14" t="s">
        <v>592</v>
      </c>
      <c r="C962" s="14" t="s">
        <v>6184</v>
      </c>
      <c r="D962" s="5" t="str">
        <f ca="1">IFERROR(__xludf.DUMMYFUNCTION("GOOGLETRANSLATE(B962,""ja"",""vi"")"),"hàng")</f>
        <v>hàng</v>
      </c>
      <c r="E962" s="4" t="str">
        <f ca="1">IFERROR(__xludf.DUMMYFUNCTION("GOOGLETRANSLATE(C962,""ja"",""vi"")"),"Đấu giá&gt; phụ kiện, đồng hồ&gt; thương hiệu đồng hồ đeo tay&gt; hàng")</f>
        <v>Đấu giá&gt; phụ kiện, đồng hồ&gt; thương hiệu đồng hồ đeo tay&gt; hàng</v>
      </c>
      <c r="F962" t="str">
        <f t="shared" ref="F962:F1018" ca="1" si="15">CONCATENATE(CHAR(34)&amp;"",A962,""&amp;CHAR(34)," : ", CHAR(34)&amp;"",D962,""&amp;CHAR(34),",")</f>
        <v>"2084059714" : "hàng",</v>
      </c>
    </row>
    <row r="963" spans="1:6" ht="15.75" customHeight="1">
      <c r="A963" s="14">
        <v>2084229196</v>
      </c>
      <c r="B963" s="14" t="s">
        <v>6185</v>
      </c>
      <c r="C963" s="14" t="s">
        <v>6186</v>
      </c>
      <c r="D963" s="5" t="str">
        <f ca="1">IFERROR(__xludf.DUMMYFUNCTION("GOOGLETRANSLATE(B963,""ja"",""vi"")"),"Hoặc đường dây, hoặc hàng")</f>
        <v>Hoặc đường dây, hoặc hàng</v>
      </c>
      <c r="E963" s="4" t="str">
        <f ca="1">IFERROR(__xludf.DUMMYFUNCTION("GOOGLETRANSLATE(C963,""ja"",""vi"")"),"Đấu giá&gt; phụ kiện, đồng hồ&gt; thương hiệu đồng hồ đeo tay&gt; hoặc dòng, hoặc hàng")</f>
        <v>Đấu giá&gt; phụ kiện, đồng hồ&gt; thương hiệu đồng hồ đeo tay&gt; hoặc dòng, hoặc hàng</v>
      </c>
      <c r="F963" t="str">
        <f t="shared" ca="1" si="15"/>
        <v>"2084229196" : "Hoặc đường dây, hoặc hàng",</v>
      </c>
    </row>
    <row r="964" spans="1:6" ht="15.75" customHeight="1">
      <c r="A964" s="14">
        <v>2084059713</v>
      </c>
      <c r="B964" s="14" t="s">
        <v>689</v>
      </c>
      <c r="C964" s="14" t="s">
        <v>6187</v>
      </c>
      <c r="D964" s="5" t="str">
        <f ca="1">IFERROR(__xludf.DUMMYFUNCTION("GOOGLETRANSLATE(B964,""ja"",""vi"")"),"Racovian")</f>
        <v>Racovian</v>
      </c>
      <c r="E964" s="4" t="str">
        <f ca="1">IFERROR(__xludf.DUMMYFUNCTION("GOOGLETRANSLATE(C964,""ja"",""vi"")"),"Đấu giá&gt; phụ kiện, đồng hồ&gt; thương hiệu đồng hồ đeo tay&gt; Racovian")</f>
        <v>Đấu giá&gt; phụ kiện, đồng hồ&gt; thương hiệu đồng hồ đeo tay&gt; Racovian</v>
      </c>
      <c r="F964" t="str">
        <f t="shared" ca="1" si="15"/>
        <v>"2084059713" : "Racovian",</v>
      </c>
    </row>
    <row r="965" spans="1:6" ht="15.75" customHeight="1">
      <c r="A965" s="14">
        <v>2084050117</v>
      </c>
      <c r="B965" s="14" t="s">
        <v>6188</v>
      </c>
      <c r="C965" s="14" t="s">
        <v>6189</v>
      </c>
      <c r="D965" s="5" t="str">
        <f ca="1">IFERROR(__xludf.DUMMYFUNCTION("GOOGLETRANSLATE(B965,""ja"",""vi"")"),"Analog (Quartz)")</f>
        <v>Analog (Quartz)</v>
      </c>
      <c r="E965" s="4" t="str">
        <f ca="1">IFERROR(__xludf.DUMMYFUNCTION("GOOGLETRANSLATE(C965,""ja"",""vi"")"),"Đấu giá&gt; Accessories, Đồng hồ&gt; Đồng hồ nữ&gt; Analog (Quartz)")</f>
        <v>Đấu giá&gt; Accessories, Đồng hồ&gt; Đồng hồ nữ&gt; Analog (Quartz)</v>
      </c>
      <c r="F965" t="str">
        <f t="shared" ca="1" si="15"/>
        <v>"2084050117" : "Analog (Quartz)",</v>
      </c>
    </row>
    <row r="966" spans="1:6" ht="15.75" customHeight="1">
      <c r="A966" s="14">
        <v>2084050120</v>
      </c>
      <c r="B966" s="14" t="s">
        <v>6190</v>
      </c>
      <c r="C966" s="14" t="s">
        <v>6191</v>
      </c>
      <c r="D966" s="5" t="str">
        <f ca="1">IFERROR(__xludf.DUMMYFUNCTION("GOOGLETRANSLATE(B966,""ja"",""vi"")"),"Analog (Tự động)")</f>
        <v>Analog (Tự động)</v>
      </c>
      <c r="E966" s="4" t="str">
        <f ca="1">IFERROR(__xludf.DUMMYFUNCTION("GOOGLETRANSLATE(C966,""ja"",""vi"")"),"Đấu giá&gt; Accessories, Đồng hồ&gt; Đồng hồ nữ&gt; Analog (Tự động)")</f>
        <v>Đấu giá&gt; Accessories, Đồng hồ&gt; Đồng hồ nữ&gt; Analog (Tự động)</v>
      </c>
      <c r="F966" t="str">
        <f t="shared" ca="1" si="15"/>
        <v>"2084050120" : "Analog (Tự động)",</v>
      </c>
    </row>
    <row r="967" spans="1:6" ht="15.75" customHeight="1">
      <c r="A967" s="14">
        <v>2084050119</v>
      </c>
      <c r="B967" s="14" t="s">
        <v>6192</v>
      </c>
      <c r="C967" s="14" t="s">
        <v>6193</v>
      </c>
      <c r="D967" s="5" t="str">
        <f ca="1">IFERROR(__xludf.DUMMYFUNCTION("GOOGLETRANSLATE(B967,""ja"",""vi"")"),"Analog (cuộn bằng tay)")</f>
        <v>Analog (cuộn bằng tay)</v>
      </c>
      <c r="E967" s="4" t="str">
        <f ca="1">IFERROR(__xludf.DUMMYFUNCTION("GOOGLETRANSLATE(C967,""ja"",""vi"")"),"Đấu giá&gt; Accessories, Đồng hồ&gt; Đồng hồ nữ&gt; analog (cuộn bằng tay)")</f>
        <v>Đấu giá&gt; Accessories, Đồng hồ&gt; Đồng hồ nữ&gt; analog (cuộn bằng tay)</v>
      </c>
      <c r="F967" t="str">
        <f t="shared" ca="1" si="15"/>
        <v>"2084050119" : "Analog (cuộn bằng tay)",</v>
      </c>
    </row>
    <row r="968" spans="1:6" ht="15.75" customHeight="1">
      <c r="A968" s="14">
        <v>2084032150</v>
      </c>
      <c r="B968" s="14" t="s">
        <v>6194</v>
      </c>
      <c r="C968" s="14" t="s">
        <v>6195</v>
      </c>
      <c r="D968" s="5" t="str">
        <f ca="1">IFERROR(__xludf.DUMMYFUNCTION("GOOGLETRANSLATE(B968,""ja"",""vi"")"),"kỹ thuật số")</f>
        <v>kỹ thuật số</v>
      </c>
      <c r="E968" s="4" t="str">
        <f ca="1">IFERROR(__xludf.DUMMYFUNCTION("GOOGLETRANSLATE(C968,""ja"",""vi"")"),"Đấu giá&gt; Accessories, Đồng hồ&gt; Đồng hồ nữ&gt; kỹ thuật số")</f>
        <v>Đấu giá&gt; Accessories, Đồng hồ&gt; Đồng hồ nữ&gt; kỹ thuật số</v>
      </c>
      <c r="F968" t="str">
        <f t="shared" ca="1" si="15"/>
        <v>"2084032150" : "kỹ thuật số",</v>
      </c>
    </row>
    <row r="969" spans="1:6" ht="15.75" customHeight="1">
      <c r="A969" s="14">
        <v>2084005347</v>
      </c>
      <c r="B969" s="14" t="s">
        <v>6196</v>
      </c>
      <c r="C969" s="14" t="s">
        <v>6197</v>
      </c>
      <c r="D969" s="5" t="str">
        <f ca="1">IFERROR(__xludf.DUMMYFUNCTION("GOOGLETRANSLATE(B969,""ja"",""vi"")"),"SWATCH")</f>
        <v>SWATCH</v>
      </c>
      <c r="E969" s="4" t="str">
        <f ca="1">IFERROR(__xludf.DUMMYFUNCTION("GOOGLETRANSLATE(C969,""ja"",""vi"")"),"Đấu giá&gt; Accessories, Đồng hồ&gt; Đồng hồ nữ&gt; SWATCH")</f>
        <v>Đấu giá&gt; Accessories, Đồng hồ&gt; Đồng hồ nữ&gt; SWATCH</v>
      </c>
      <c r="F969" t="str">
        <f t="shared" ca="1" si="15"/>
        <v>"2084005347" : "SWATCH",</v>
      </c>
    </row>
    <row r="970" spans="1:6" ht="15.75" customHeight="1">
      <c r="A970" s="14">
        <v>2084032114</v>
      </c>
      <c r="B970" s="14" t="s">
        <v>1806</v>
      </c>
      <c r="C970" s="14" t="s">
        <v>6198</v>
      </c>
      <c r="D970" s="5" t="str">
        <f ca="1">IFERROR(__xludf.DUMMYFUNCTION("GOOGLETRANSLATE(B970,""ja"",""vi"")"),"Casio")</f>
        <v>Casio</v>
      </c>
      <c r="E970" s="4" t="str">
        <f ca="1">IFERROR(__xludf.DUMMYFUNCTION("GOOGLETRANSLATE(C970,""ja"",""vi"")"),"Đấu giá&gt; Accessories, Đồng hồ&gt; Đồng hồ nữ&gt; Casio")</f>
        <v>Đấu giá&gt; Accessories, Đồng hồ&gt; Đồng hồ nữ&gt; Casio</v>
      </c>
      <c r="F970" t="str">
        <f t="shared" ca="1" si="15"/>
        <v>"2084032114" : "Casio",</v>
      </c>
    </row>
    <row r="971" spans="1:6" ht="15.75" customHeight="1">
      <c r="A971" s="14">
        <v>2084024505</v>
      </c>
      <c r="B971" s="14" t="s">
        <v>4583</v>
      </c>
      <c r="C971" s="14" t="s">
        <v>6199</v>
      </c>
      <c r="D971" s="5" t="str">
        <f ca="1">IFERROR(__xludf.DUMMYFUNCTION("GOOGLETRANSLATE(B971,""ja"",""vi"")"),"công dân")</f>
        <v>công dân</v>
      </c>
      <c r="E971" s="4" t="str">
        <f ca="1">IFERROR(__xludf.DUMMYFUNCTION("GOOGLETRANSLATE(C971,""ja"",""vi"")"),"Đấu giá&gt; Accessories, Đồng hồ&gt; Đồng hồ nữ&gt; Citizen")</f>
        <v>Đấu giá&gt; Accessories, Đồng hồ&gt; Đồng hồ nữ&gt; Citizen</v>
      </c>
      <c r="F971" t="str">
        <f t="shared" ca="1" si="15"/>
        <v>"2084024505" : "công dân",</v>
      </c>
    </row>
    <row r="972" spans="1:6" ht="15.75" customHeight="1">
      <c r="A972" s="14">
        <v>2084024503</v>
      </c>
      <c r="B972" s="14" t="s">
        <v>4283</v>
      </c>
      <c r="C972" s="14" t="s">
        <v>6200</v>
      </c>
      <c r="D972" s="5" t="str">
        <f ca="1">IFERROR(__xludf.DUMMYFUNCTION("GOOGLETRANSLATE(B972,""ja"",""vi"")"),"Seiko")</f>
        <v>Seiko</v>
      </c>
      <c r="E972" s="4" t="str">
        <f ca="1">IFERROR(__xludf.DUMMYFUNCTION("GOOGLETRANSLATE(C972,""ja"",""vi"")"),"Đấu giá&gt; Accessories, Đồng hồ&gt; Đồng hồ nữ&gt; Seiko")</f>
        <v>Đấu giá&gt; Accessories, Đồng hồ&gt; Đồng hồ nữ&gt; Seiko</v>
      </c>
      <c r="F972" t="str">
        <f t="shared" ca="1" si="15"/>
        <v>"2084024503" : "Seiko",</v>
      </c>
    </row>
    <row r="973" spans="1:6" ht="15.75" customHeight="1">
      <c r="A973" s="14">
        <v>2084053708</v>
      </c>
      <c r="B973" s="14" t="s">
        <v>6188</v>
      </c>
      <c r="C973" s="14" t="s">
        <v>6201</v>
      </c>
      <c r="D973" s="5" t="str">
        <f ca="1">IFERROR(__xludf.DUMMYFUNCTION("GOOGLETRANSLATE(B973,""ja"",""vi"")"),"Analog (Quartz)")</f>
        <v>Analog (Quartz)</v>
      </c>
      <c r="E973" s="4" t="str">
        <f ca="1">IFERROR(__xludf.DUMMYFUNCTION("GOOGLETRANSLATE(C973,""ja"",""vi"")"),"Đấu giá&gt; Accessories, Đồng hồ&gt; Đồng hồ Unisex&gt; Analog (Quartz)")</f>
        <v>Đấu giá&gt; Accessories, Đồng hồ&gt; Đồng hồ Unisex&gt; Analog (Quartz)</v>
      </c>
      <c r="F973" t="str">
        <f t="shared" ca="1" si="15"/>
        <v>"2084053708" : "Analog (Quartz)",</v>
      </c>
    </row>
    <row r="974" spans="1:6" ht="15.75" customHeight="1">
      <c r="A974" s="14">
        <v>2084053710</v>
      </c>
      <c r="B974" s="14" t="s">
        <v>6190</v>
      </c>
      <c r="C974" s="14" t="s">
        <v>6202</v>
      </c>
      <c r="D974" s="5" t="str">
        <f ca="1">IFERROR(__xludf.DUMMYFUNCTION("GOOGLETRANSLATE(B974,""ja"",""vi"")"),"Analog (Tự động)")</f>
        <v>Analog (Tự động)</v>
      </c>
      <c r="E974" s="4" t="str">
        <f ca="1">IFERROR(__xludf.DUMMYFUNCTION("GOOGLETRANSLATE(C974,""ja"",""vi"")"),"Đấu giá&gt; Accessories, Đồng hồ&gt; Đồng hồ Unisex&gt; Analog (Tự động)")</f>
        <v>Đấu giá&gt; Accessories, Đồng hồ&gt; Đồng hồ Unisex&gt; Analog (Tự động)</v>
      </c>
      <c r="F974" t="str">
        <f t="shared" ca="1" si="15"/>
        <v>"2084053710" : "Analog (Tự động)",</v>
      </c>
    </row>
    <row r="975" spans="1:6" ht="15.75" customHeight="1">
      <c r="A975" s="14">
        <v>2084053711</v>
      </c>
      <c r="B975" s="14" t="s">
        <v>6192</v>
      </c>
      <c r="C975" s="14" t="s">
        <v>6203</v>
      </c>
      <c r="D975" s="5" t="str">
        <f ca="1">IFERROR(__xludf.DUMMYFUNCTION("GOOGLETRANSLATE(B975,""ja"",""vi"")"),"Analog (cuộn bằng tay)")</f>
        <v>Analog (cuộn bằng tay)</v>
      </c>
      <c r="E975" s="4" t="str">
        <f ca="1">IFERROR(__xludf.DUMMYFUNCTION("GOOGLETRANSLATE(C975,""ja"",""vi"")"),"Đấu giá&gt; Accessories, Đồng hồ&gt; Đồng hồ Unisex&gt; analog (cuộn bằng tay)")</f>
        <v>Đấu giá&gt; Accessories, Đồng hồ&gt; Đồng hồ Unisex&gt; analog (cuộn bằng tay)</v>
      </c>
      <c r="F975" t="str">
        <f t="shared" ca="1" si="15"/>
        <v>"2084053711" : "Analog (cuộn bằng tay)",</v>
      </c>
    </row>
    <row r="976" spans="1:6" ht="15.75" customHeight="1">
      <c r="A976" s="14">
        <v>2084032152</v>
      </c>
      <c r="B976" s="14" t="s">
        <v>6194</v>
      </c>
      <c r="C976" s="14" t="s">
        <v>6205</v>
      </c>
      <c r="D976" s="5" t="str">
        <f ca="1">IFERROR(__xludf.DUMMYFUNCTION("GOOGLETRANSLATE(B976,""ja"",""vi"")"),"kỹ thuật số")</f>
        <v>kỹ thuật số</v>
      </c>
      <c r="E976" s="4" t="str">
        <f ca="1">IFERROR(__xludf.DUMMYFUNCTION("GOOGLETRANSLATE(C976,""ja"",""vi"")"),"Đấu giá&gt; Accessories, Đồng hồ&gt; Đồng hồ Unisex&gt; kỹ thuật số")</f>
        <v>Đấu giá&gt; Accessories, Đồng hồ&gt; Đồng hồ Unisex&gt; kỹ thuật số</v>
      </c>
      <c r="F976" t="str">
        <f t="shared" ca="1" si="15"/>
        <v>"2084032152" : "kỹ thuật số",</v>
      </c>
    </row>
    <row r="977" spans="1:6" ht="15.75" customHeight="1">
      <c r="A977" s="14">
        <v>2084032114</v>
      </c>
      <c r="B977" s="14" t="s">
        <v>1806</v>
      </c>
      <c r="C977" s="14" t="s">
        <v>6207</v>
      </c>
      <c r="D977" s="5" t="str">
        <f ca="1">IFERROR(__xludf.DUMMYFUNCTION("GOOGLETRANSLATE(B977,""ja"",""vi"")"),"Casio")</f>
        <v>Casio</v>
      </c>
      <c r="E977" s="4" t="str">
        <f ca="1">IFERROR(__xludf.DUMMYFUNCTION("GOOGLETRANSLATE(C977,""ja"",""vi"")"),"Đấu giá&gt; Accessories, Đồng hồ&gt; Đồng hồ Unisex&gt; Casio")</f>
        <v>Đấu giá&gt; Accessories, Đồng hồ&gt; Đồng hồ Unisex&gt; Casio</v>
      </c>
      <c r="F977" t="str">
        <f t="shared" ca="1" si="15"/>
        <v>"2084032114" : "Casio",</v>
      </c>
    </row>
    <row r="978" spans="1:6" ht="15.75" customHeight="1">
      <c r="A978" s="14">
        <v>2084024505</v>
      </c>
      <c r="B978" s="14" t="s">
        <v>4583</v>
      </c>
      <c r="C978" s="14" t="s">
        <v>6209</v>
      </c>
      <c r="D978" s="5" t="str">
        <f ca="1">IFERROR(__xludf.DUMMYFUNCTION("GOOGLETRANSLATE(B978,""ja"",""vi"")"),"công dân")</f>
        <v>công dân</v>
      </c>
      <c r="E978" s="4" t="str">
        <f ca="1">IFERROR(__xludf.DUMMYFUNCTION("GOOGLETRANSLATE(C978,""ja"",""vi"")"),"Đấu giá&gt; Accessories, Đồng hồ&gt; Đồng hồ Unisex&gt; Citizen")</f>
        <v>Đấu giá&gt; Accessories, Đồng hồ&gt; Đồng hồ Unisex&gt; Citizen</v>
      </c>
      <c r="F978" t="str">
        <f t="shared" ca="1" si="15"/>
        <v>"2084024505" : "công dân",</v>
      </c>
    </row>
    <row r="979" spans="1:6" ht="15.75" customHeight="1">
      <c r="A979" s="14">
        <v>2084024503</v>
      </c>
      <c r="B979" s="14" t="s">
        <v>4283</v>
      </c>
      <c r="C979" s="14" t="s">
        <v>6211</v>
      </c>
      <c r="D979" s="5" t="str">
        <f ca="1">IFERROR(__xludf.DUMMYFUNCTION("GOOGLETRANSLATE(B979,""ja"",""vi"")"),"Seiko")</f>
        <v>Seiko</v>
      </c>
      <c r="E979" s="4" t="str">
        <f ca="1">IFERROR(__xludf.DUMMYFUNCTION("GOOGLETRANSLATE(C979,""ja"",""vi"")"),"Đấu giá&gt; Accessories, Đồng hồ&gt; Đồng hồ Unisex&gt; Seiko")</f>
        <v>Đấu giá&gt; Accessories, Đồng hồ&gt; Đồng hồ Unisex&gt; Seiko</v>
      </c>
      <c r="F979" t="str">
        <f t="shared" ca="1" si="15"/>
        <v>"2084024503" : "Seiko",</v>
      </c>
    </row>
    <row r="980" spans="1:6" ht="15.75" customHeight="1">
      <c r="A980" s="14">
        <v>2084050111</v>
      </c>
      <c r="B980" s="14" t="s">
        <v>6188</v>
      </c>
      <c r="C980" s="14" t="s">
        <v>6214</v>
      </c>
      <c r="D980" s="5" t="str">
        <f ca="1">IFERROR(__xludf.DUMMYFUNCTION("GOOGLETRANSLATE(B980,""ja"",""vi"")"),"Analog (Quartz)")</f>
        <v>Analog (Quartz)</v>
      </c>
      <c r="E980" s="4" t="str">
        <f ca="1">IFERROR(__xludf.DUMMYFUNCTION("GOOGLETRANSLATE(C980,""ja"",""vi"")"),"Đấu giá&gt; Accessories, Đồng hồ&gt; Đồng hồ nam&gt; Analog (Quartz)")</f>
        <v>Đấu giá&gt; Accessories, Đồng hồ&gt; Đồng hồ nam&gt; Analog (Quartz)</v>
      </c>
      <c r="F980" t="str">
        <f t="shared" ca="1" si="15"/>
        <v>"2084050111" : "Analog (Quartz)",</v>
      </c>
    </row>
    <row r="981" spans="1:6" ht="15.75" customHeight="1">
      <c r="A981" s="14">
        <v>2084050114</v>
      </c>
      <c r="B981" s="14" t="s">
        <v>6190</v>
      </c>
      <c r="C981" s="14" t="s">
        <v>6216</v>
      </c>
      <c r="D981" s="5" t="str">
        <f ca="1">IFERROR(__xludf.DUMMYFUNCTION("GOOGLETRANSLATE(B981,""ja"",""vi"")"),"Analog (Tự động)")</f>
        <v>Analog (Tự động)</v>
      </c>
      <c r="E981" s="4" t="str">
        <f ca="1">IFERROR(__xludf.DUMMYFUNCTION("GOOGLETRANSLATE(C981,""ja"",""vi"")"),"Đấu giá&gt; Accessories, Đồng hồ&gt; Đồng hồ nam&gt; Analog (Tự động)")</f>
        <v>Đấu giá&gt; Accessories, Đồng hồ&gt; Đồng hồ nam&gt; Analog (Tự động)</v>
      </c>
      <c r="F981" t="str">
        <f t="shared" ca="1" si="15"/>
        <v>"2084050114" : "Analog (Tự động)",</v>
      </c>
    </row>
    <row r="982" spans="1:6" ht="15.75" customHeight="1">
      <c r="A982" s="14">
        <v>2084050113</v>
      </c>
      <c r="B982" s="14" t="s">
        <v>6192</v>
      </c>
      <c r="C982" s="14" t="s">
        <v>6218</v>
      </c>
      <c r="D982" s="5" t="str">
        <f ca="1">IFERROR(__xludf.DUMMYFUNCTION("GOOGLETRANSLATE(B982,""ja"",""vi"")"),"Analog (cuộn bằng tay)")</f>
        <v>Analog (cuộn bằng tay)</v>
      </c>
      <c r="E982" s="4" t="str">
        <f ca="1">IFERROR(__xludf.DUMMYFUNCTION("GOOGLETRANSLATE(C982,""ja"",""vi"")"),"Đấu giá&gt; Accessories, Đồng hồ&gt; Đồng hồ nam&gt; analog (cuộn bằng tay)")</f>
        <v>Đấu giá&gt; Accessories, Đồng hồ&gt; Đồng hồ nam&gt; analog (cuộn bằng tay)</v>
      </c>
      <c r="F982" t="str">
        <f t="shared" ca="1" si="15"/>
        <v>"2084050113" : "Analog (cuộn bằng tay)",</v>
      </c>
    </row>
    <row r="983" spans="1:6" ht="15.75" customHeight="1">
      <c r="A983" s="14">
        <v>2084032153</v>
      </c>
      <c r="B983" s="14" t="s">
        <v>6194</v>
      </c>
      <c r="C983" s="14" t="s">
        <v>6220</v>
      </c>
      <c r="D983" s="5" t="str">
        <f ca="1">IFERROR(__xludf.DUMMYFUNCTION("GOOGLETRANSLATE(B983,""ja"",""vi"")"),"kỹ thuật số")</f>
        <v>kỹ thuật số</v>
      </c>
      <c r="E983" s="4" t="str">
        <f ca="1">IFERROR(__xludf.DUMMYFUNCTION("GOOGLETRANSLATE(C983,""ja"",""vi"")"),"Đấu giá&gt; Accessories, Đồng hồ&gt; Đồng hồ nam&gt; kỹ thuật số")</f>
        <v>Đấu giá&gt; Accessories, Đồng hồ&gt; Đồng hồ nam&gt; kỹ thuật số</v>
      </c>
      <c r="F983" t="str">
        <f t="shared" ca="1" si="15"/>
        <v>"2084032153" : "kỹ thuật số",</v>
      </c>
    </row>
    <row r="984" spans="1:6" ht="15.75" customHeight="1">
      <c r="A984" s="14">
        <v>2084005347</v>
      </c>
      <c r="B984" s="14" t="s">
        <v>6196</v>
      </c>
      <c r="C984" s="14" t="s">
        <v>6222</v>
      </c>
      <c r="D984" s="5" t="str">
        <f ca="1">IFERROR(__xludf.DUMMYFUNCTION("GOOGLETRANSLATE(B984,""ja"",""vi"")"),"SWATCH")</f>
        <v>SWATCH</v>
      </c>
      <c r="E984" s="4" t="str">
        <f ca="1">IFERROR(__xludf.DUMMYFUNCTION("GOOGLETRANSLATE(C984,""ja"",""vi"")"),"Đấu giá&gt; Accessories, Đồng hồ&gt; Đồng hồ nam&gt; SWATCH")</f>
        <v>Đấu giá&gt; Accessories, Đồng hồ&gt; Đồng hồ nam&gt; SWATCH</v>
      </c>
      <c r="F984" t="str">
        <f t="shared" ca="1" si="15"/>
        <v>"2084005347" : "SWATCH",</v>
      </c>
    </row>
    <row r="985" spans="1:6" ht="15.75" customHeight="1">
      <c r="A985" s="14">
        <v>2084032114</v>
      </c>
      <c r="B985" s="14" t="s">
        <v>1806</v>
      </c>
      <c r="C985" s="14" t="s">
        <v>6224</v>
      </c>
      <c r="D985" s="5" t="str">
        <f ca="1">IFERROR(__xludf.DUMMYFUNCTION("GOOGLETRANSLATE(B985,""ja"",""vi"")"),"Casio")</f>
        <v>Casio</v>
      </c>
      <c r="E985" s="4" t="str">
        <f ca="1">IFERROR(__xludf.DUMMYFUNCTION("GOOGLETRANSLATE(C985,""ja"",""vi"")"),"Đấu giá&gt; Accessories, Đồng hồ&gt; Đồng hồ nam&gt; Casio")</f>
        <v>Đấu giá&gt; Accessories, Đồng hồ&gt; Đồng hồ nam&gt; Casio</v>
      </c>
      <c r="F985" t="str">
        <f t="shared" ca="1" si="15"/>
        <v>"2084032114" : "Casio",</v>
      </c>
    </row>
    <row r="986" spans="1:6" ht="15.75" customHeight="1">
      <c r="A986" s="14">
        <v>2084024505</v>
      </c>
      <c r="B986" s="14" t="s">
        <v>4583</v>
      </c>
      <c r="C986" s="14" t="s">
        <v>6225</v>
      </c>
      <c r="D986" s="5" t="str">
        <f ca="1">IFERROR(__xludf.DUMMYFUNCTION("GOOGLETRANSLATE(B986,""ja"",""vi"")"),"công dân")</f>
        <v>công dân</v>
      </c>
      <c r="E986" s="4" t="str">
        <f ca="1">IFERROR(__xludf.DUMMYFUNCTION("GOOGLETRANSLATE(C986,""ja"",""vi"")"),"Đấu giá&gt; Accessories, Đồng hồ&gt; Đồng hồ nam&gt; Citizen")</f>
        <v>Đấu giá&gt; Accessories, Đồng hồ&gt; Đồng hồ nam&gt; Citizen</v>
      </c>
      <c r="F986" t="str">
        <f t="shared" ca="1" si="15"/>
        <v>"2084024505" : "công dân",</v>
      </c>
    </row>
    <row r="987" spans="1:6" ht="15.75" customHeight="1">
      <c r="A987" s="14">
        <v>2084024503</v>
      </c>
      <c r="B987" s="14" t="s">
        <v>4283</v>
      </c>
      <c r="C987" s="14" t="s">
        <v>6227</v>
      </c>
      <c r="D987" s="5" t="str">
        <f ca="1">IFERROR(__xludf.DUMMYFUNCTION("GOOGLETRANSLATE(B987,""ja"",""vi"")"),"Seiko")</f>
        <v>Seiko</v>
      </c>
      <c r="E987" s="4" t="str">
        <f ca="1">IFERROR(__xludf.DUMMYFUNCTION("GOOGLETRANSLATE(C987,""ja"",""vi"")"),"Đấu giá&gt; Accessories, Đồng hồ&gt; Đồng hồ nam&gt; Seiko")</f>
        <v>Đấu giá&gt; Accessories, Đồng hồ&gt; Đồng hồ nam&gt; Seiko</v>
      </c>
      <c r="F987" t="str">
        <f t="shared" ca="1" si="15"/>
        <v>"2084024503" : "Seiko",</v>
      </c>
    </row>
    <row r="988" spans="1:6" ht="15.75" customHeight="1">
      <c r="A988" s="14">
        <v>2084051029</v>
      </c>
      <c r="B988" s="14" t="s">
        <v>6229</v>
      </c>
      <c r="C988" s="14" t="s">
        <v>6230</v>
      </c>
      <c r="D988" s="5" t="str">
        <f ca="1">IFERROR(__xludf.DUMMYFUNCTION("GOOGLETRANSLATE(B988,""ja"",""vi"")"),"Luminox")</f>
        <v>Luminox</v>
      </c>
      <c r="E988" s="4" t="str">
        <f ca="1">IFERROR(__xludf.DUMMYFUNCTION("GOOGLETRANSLATE(C988,""ja"",""vi"")"),"Đấu giá&gt; Accessories, Đồng hồ&gt; Đồng hồ nam&gt; Luminox")</f>
        <v>Đấu giá&gt; Accessories, Đồng hồ&gt; Đồng hồ nam&gt; Luminox</v>
      </c>
      <c r="F988" t="str">
        <f t="shared" ca="1" si="15"/>
        <v>"2084051029" : "Luminox",</v>
      </c>
    </row>
    <row r="989" spans="1:6" ht="15.75" customHeight="1">
      <c r="A989" s="14">
        <v>2084062953</v>
      </c>
      <c r="B989" s="14" t="s">
        <v>6232</v>
      </c>
      <c r="C989" s="14" t="s">
        <v>6233</v>
      </c>
      <c r="D989" s="5" t="str">
        <f ca="1">IFERROR(__xludf.DUMMYFUNCTION("GOOGLETRANSLATE(B989,""ja"",""vi"")"),"đá thạch anh")</f>
        <v>đá thạch anh</v>
      </c>
      <c r="E989" s="4" t="str">
        <f ca="1">IFERROR(__xludf.DUMMYFUNCTION("GOOGLETRANSLATE(C989,""ja"",""vi"")"),"Đấu giá&gt; phụ kiện, đồng hồ&gt; đồng hồ bỏ túi&gt; Quartz")</f>
        <v>Đấu giá&gt; phụ kiện, đồng hồ&gt; đồng hồ bỏ túi&gt; Quartz</v>
      </c>
      <c r="F989" t="str">
        <f t="shared" ca="1" si="15"/>
        <v>"2084062953" : "đá thạch anh",</v>
      </c>
    </row>
    <row r="990" spans="1:6" ht="15.75" customHeight="1">
      <c r="A990" s="14">
        <v>2084062954</v>
      </c>
      <c r="B990" s="14" t="s">
        <v>6235</v>
      </c>
      <c r="C990" s="14" t="s">
        <v>6236</v>
      </c>
      <c r="D990" s="5" t="str">
        <f ca="1">IFERROR(__xludf.DUMMYFUNCTION("GOOGLETRANSLATE(B990,""ja"",""vi"")"),"Cơ")</f>
        <v>Cơ</v>
      </c>
      <c r="E990" s="4" t="str">
        <f ca="1">IFERROR(__xludf.DUMMYFUNCTION("GOOGLETRANSLATE(C990,""ja"",""vi"")"),"Đấu giá&gt; phụ kiện, đồng hồ&gt; đồng hồ bỏ túi&gt; cơ khí")</f>
        <v>Đấu giá&gt; phụ kiện, đồng hồ&gt; đồng hồ bỏ túi&gt; cơ khí</v>
      </c>
      <c r="F990" t="str">
        <f t="shared" ca="1" si="15"/>
        <v>"2084062954" : "Cơ",</v>
      </c>
    </row>
    <row r="991" spans="1:6" ht="15.75" customHeight="1">
      <c r="A991" s="14">
        <v>2084032127</v>
      </c>
      <c r="B991" s="14" t="s">
        <v>6238</v>
      </c>
      <c r="C991" s="14" t="s">
        <v>6240</v>
      </c>
      <c r="D991" s="5" t="str">
        <f ca="1">IFERROR(__xludf.DUMMYFUNCTION("GOOGLETRANSLATE(B991,""ja"",""vi"")"),"đồng hồ treo tường, đồng hồ treo tường")</f>
        <v>đồng hồ treo tường, đồng hồ treo tường</v>
      </c>
      <c r="E991" s="4" t="str">
        <f ca="1">IFERROR(__xludf.DUMMYFUNCTION("GOOGLETRANSLATE(C991,""ja"",""vi"")"),"Đấu giá&gt; nhà, nội thất&gt; nội thất, nội thất&gt; Nội thất Phụ kiện&gt; bảng đồng hồ, đồng hồ treo tường&gt; đồng hồ treo tường, đồng hồ treo tường")</f>
        <v>Đấu giá&gt; nhà, nội thất&gt; nội thất, nội thất&gt; Nội thất Phụ kiện&gt; bảng đồng hồ, đồng hồ treo tường&gt; đồng hồ treo tường, đồng hồ treo tường</v>
      </c>
      <c r="F991" t="str">
        <f t="shared" ca="1" si="15"/>
        <v>"2084032127" : "đồng hồ treo tường, đồng hồ treo tường",</v>
      </c>
    </row>
    <row r="992" spans="1:6" ht="15.75" customHeight="1">
      <c r="A992" s="14">
        <v>2084024556</v>
      </c>
      <c r="B992" s="14" t="s">
        <v>6242</v>
      </c>
      <c r="C992" s="14" t="s">
        <v>6243</v>
      </c>
      <c r="D992" s="5" t="str">
        <f ca="1">IFERROR(__xludf.DUMMYFUNCTION("GOOGLETRANSLATE(B992,""ja"",""vi"")"),"dụng cụ")</f>
        <v>dụng cụ</v>
      </c>
      <c r="E992" s="4" t="str">
        <f ca="1">IFERROR(__xludf.DUMMYFUNCTION("GOOGLETRANSLATE(C992,""ja"",""vi"")"),"Đấu giá&gt; nhà, nội thất&gt; nội thất, nội thất&gt; Nội thất Phụ kiện&gt; bảng đồng hồ, đồng hồ treo tường&gt; công cụ")</f>
        <v>Đấu giá&gt; nhà, nội thất&gt; nội thất, nội thất&gt; Nội thất Phụ kiện&gt; bảng đồng hồ, đồng hồ treo tường&gt; công cụ</v>
      </c>
      <c r="F992" t="str">
        <f t="shared" ca="1" si="15"/>
        <v>"2084024556" : "dụng cụ",</v>
      </c>
    </row>
    <row r="993" spans="1:6" ht="15.75" customHeight="1">
      <c r="A993" s="14">
        <v>2084032118</v>
      </c>
      <c r="B993" s="14" t="s">
        <v>6245</v>
      </c>
      <c r="C993" s="14" t="s">
        <v>6246</v>
      </c>
      <c r="D993" s="5" t="str">
        <f ca="1">IFERROR(__xludf.DUMMYFUNCTION("GOOGLETRANSLATE(B993,""ja"",""vi"")"),"đồng hồ bảng")</f>
        <v>đồng hồ bảng</v>
      </c>
      <c r="E993" s="4" t="str">
        <f ca="1">IFERROR(__xludf.DUMMYFUNCTION("GOOGLETRANSLATE(C993,""ja"",""vi"")"),"Đấu giá&gt; nhà, nội thất&gt; nội thất, nội thất&gt; Nội thất Phụ kiện&gt; bảng đồng hồ, đồng hồ treo tường&gt; đồng hồ")</f>
        <v>Đấu giá&gt; nhà, nội thất&gt; nội thất, nội thất&gt; Nội thất Phụ kiện&gt; bảng đồng hồ, đồng hồ treo tường&gt; đồng hồ</v>
      </c>
      <c r="F993" t="str">
        <f t="shared" ca="1" si="15"/>
        <v>"2084032118" : "đồng hồ bảng",</v>
      </c>
    </row>
    <row r="994" spans="1:6" ht="15.75" customHeight="1">
      <c r="A994" s="14">
        <v>2084036861</v>
      </c>
      <c r="B994" s="14" t="s">
        <v>6248</v>
      </c>
      <c r="C994" s="14" t="s">
        <v>6249</v>
      </c>
      <c r="D994" s="5" t="str">
        <f ca="1">IFERROR(__xludf.DUMMYFUNCTION("GOOGLETRANSLATE(B994,""ja"",""vi"")"),"Handy")</f>
        <v>Handy</v>
      </c>
      <c r="E994" s="4" t="str">
        <f ca="1">IFERROR(__xludf.DUMMYFUNCTION("GOOGLETRANSLATE(C994,""ja"",""vi"")"),"Đấu giá&gt; Sở thích, văn hóa&gt; radio nghiệp dư&gt; thu phát&gt; tiện dụng")</f>
        <v>Đấu giá&gt; Sở thích, văn hóa&gt; radio nghiệp dư&gt; thu phát&gt; tiện dụng</v>
      </c>
      <c r="F994" t="str">
        <f t="shared" ca="1" si="15"/>
        <v>"2084036861" : "Handy",</v>
      </c>
    </row>
    <row r="995" spans="1:6" ht="15.75" customHeight="1">
      <c r="A995" s="14">
        <v>2084036854</v>
      </c>
      <c r="B995" s="14" t="s">
        <v>6250</v>
      </c>
      <c r="C995" s="14" t="s">
        <v>6251</v>
      </c>
      <c r="D995" s="5" t="str">
        <f ca="1">IFERROR(__xludf.DUMMYFUNCTION("GOOGLETRANSLATE(B995,""ja"",""vi"")"),"Mobil")</f>
        <v>Mobil</v>
      </c>
      <c r="E995" s="4" t="str">
        <f ca="1">IFERROR(__xludf.DUMMYFUNCTION("GOOGLETRANSLATE(C995,""ja"",""vi"")"),"Đấu giá&gt; Sở thích, văn hóa&gt; radio nghiệp dư&gt; thu phát&gt; Mobil")</f>
        <v>Đấu giá&gt; Sở thích, văn hóa&gt; radio nghiệp dư&gt; thu phát&gt; Mobil</v>
      </c>
      <c r="F995" t="str">
        <f t="shared" ca="1" si="15"/>
        <v>"2084036854" : "Mobil",</v>
      </c>
    </row>
    <row r="996" spans="1:6" ht="15.75" customHeight="1">
      <c r="A996" s="14">
        <v>2084036843</v>
      </c>
      <c r="B996" s="14" t="s">
        <v>6253</v>
      </c>
      <c r="C996" s="14" t="s">
        <v>6255</v>
      </c>
      <c r="D996" s="5" t="str">
        <f ca="1">IFERROR(__xludf.DUMMYFUNCTION("GOOGLETRANSLATE(B996,""ja"",""vi"")"),"Fixation")</f>
        <v>Fixation</v>
      </c>
      <c r="E996" s="4" t="str">
        <f ca="1">IFERROR(__xludf.DUMMYFUNCTION("GOOGLETRANSLATE(C996,""ja"",""vi"")"),"Đấu giá&gt; Sở thích, văn hóa&gt; radio nghiệp dư&gt; thu phát&gt; cố định")</f>
        <v>Đấu giá&gt; Sở thích, văn hóa&gt; radio nghiệp dư&gt; thu phát&gt; cố định</v>
      </c>
      <c r="F996" t="str">
        <f t="shared" ca="1" si="15"/>
        <v>"2084036843" : "Fixation",</v>
      </c>
    </row>
    <row r="997" spans="1:6" ht="15.75" customHeight="1">
      <c r="A997" s="14">
        <v>2084036865</v>
      </c>
      <c r="B997" s="14" t="s">
        <v>46</v>
      </c>
      <c r="C997" s="14" t="s">
        <v>6257</v>
      </c>
      <c r="D997" s="5" t="str">
        <f ca="1">IFERROR(__xludf.DUMMYFUNCTION("GOOGLETRANSLATE(B997,""ja"",""vi"")"),"nếu không thì")</f>
        <v>nếu không thì</v>
      </c>
      <c r="E997" s="4" t="str">
        <f ca="1">IFERROR(__xludf.DUMMYFUNCTION("GOOGLETRANSLATE(C997,""ja"",""vi"")"),"Đấu giá&gt; Sở thích, văn hóa&gt; nghiệp dư phát thanh&gt; thu phát&gt; Khác")</f>
        <v>Đấu giá&gt; Sở thích, văn hóa&gt; nghiệp dư phát thanh&gt; thu phát&gt; Khác</v>
      </c>
      <c r="F997" t="str">
        <f t="shared" ca="1" si="15"/>
        <v>"2084036865" : "nếu không thì",</v>
      </c>
    </row>
    <row r="998" spans="1:6" ht="15.75" customHeight="1">
      <c r="A998" s="14">
        <v>2084263362</v>
      </c>
      <c r="B998" s="14" t="s">
        <v>2895</v>
      </c>
      <c r="C998" s="14" t="s">
        <v>2896</v>
      </c>
      <c r="D998" s="5" t="str">
        <f ca="1">IFERROR(__xludf.DUMMYFUNCTION("GOOGLETRANSLATE(B998,""ja"",""vi"")"),"LED")</f>
        <v>LED</v>
      </c>
      <c r="E998" s="4" t="str">
        <f ca="1">IFERROR(__xludf.DUMMYFUNCTION("GOOGLETRANSLATE(C998,""ja"",""vi"")"),"Đấu giá&gt; thiết bị điện tử tiêu dùng, AV, camera&gt; Linh kiện điện tử&gt; LED")</f>
        <v>Đấu giá&gt; thiết bị điện tử tiêu dùng, AV, camera&gt; Linh kiện điện tử&gt; LED</v>
      </c>
      <c r="F998" t="str">
        <f t="shared" ca="1" si="15"/>
        <v>"2084263362" : "LED",</v>
      </c>
    </row>
    <row r="999" spans="1:6" ht="15.75" customHeight="1">
      <c r="A999" s="14">
        <v>2084263371</v>
      </c>
      <c r="B999" s="14" t="s">
        <v>2901</v>
      </c>
      <c r="C999" s="14" t="s">
        <v>2902</v>
      </c>
      <c r="D999" s="5" t="str">
        <f ca="1">IFERROR(__xludf.DUMMYFUNCTION("GOOGLETRANSLATE(B999,""ja"",""vi"")"),"cuộn")</f>
        <v>cuộn</v>
      </c>
      <c r="E999" s="4" t="str">
        <f ca="1">IFERROR(__xludf.DUMMYFUNCTION("GOOGLETRANSLATE(C999,""ja"",""vi"")"),"Đấu giá&gt; thiết bị điện tử tiêu dùng, AV, camera&gt; Linh kiện điện tử&gt; cuộn dây")</f>
        <v>Đấu giá&gt; thiết bị điện tử tiêu dùng, AV, camera&gt; Linh kiện điện tử&gt; cuộn dây</v>
      </c>
      <c r="F999" t="str">
        <f t="shared" ca="1" si="15"/>
        <v>"2084263371" : "cuộn",</v>
      </c>
    </row>
    <row r="1000" spans="1:6" ht="15.75" customHeight="1">
      <c r="A1000" s="14">
        <v>2084263359</v>
      </c>
      <c r="B1000" s="14" t="s">
        <v>2908</v>
      </c>
      <c r="C1000" s="14" t="s">
        <v>2909</v>
      </c>
      <c r="D1000" s="5" t="str">
        <f ca="1">IFERROR(__xludf.DUMMYFUNCTION("GOOGLETRANSLATE(B1000,""ja"",""vi"")"),"Condenser")</f>
        <v>Condenser</v>
      </c>
      <c r="E1000" s="4" t="str">
        <f ca="1">IFERROR(__xludf.DUMMYFUNCTION("GOOGLETRANSLATE(C1000,""ja"",""vi"")"),"Đấu giá&gt; thiết bị điện tử tiêu dùng, AV, camera&gt; Linh kiện điện tử&gt; tụ")</f>
        <v>Đấu giá&gt; thiết bị điện tử tiêu dùng, AV, camera&gt; Linh kiện điện tử&gt; tụ</v>
      </c>
      <c r="F1000" t="str">
        <f t="shared" ca="1" si="15"/>
        <v>"2084263359" : "Condenser",</v>
      </c>
    </row>
    <row r="1001" spans="1:6" ht="15.75" customHeight="1">
      <c r="A1001" s="14">
        <v>2084263365</v>
      </c>
      <c r="B1001" s="14" t="s">
        <v>2912</v>
      </c>
      <c r="C1001" s="14" t="s">
        <v>2915</v>
      </c>
      <c r="D1001" s="5" t="str">
        <f ca="1">IFERROR(__xludf.DUMMYFUNCTION("GOOGLETRANSLATE(B1001,""ja"",""vi"")"),"điện trở biến")</f>
        <v>điện trở biến</v>
      </c>
      <c r="E1001" s="4" t="str">
        <f ca="1">IFERROR(__xludf.DUMMYFUNCTION("GOOGLETRANSLATE(C1001,""ja"",""vi"")"),"Đấu giá&gt; thiết bị điện tử tiêu dùng, AV, camera&gt; Linh kiện điện tử&gt; kháng biến")</f>
        <v>Đấu giá&gt; thiết bị điện tử tiêu dùng, AV, camera&gt; Linh kiện điện tử&gt; kháng biến</v>
      </c>
      <c r="F1001" t="str">
        <f t="shared" ca="1" si="15"/>
        <v>"2084263365" : "điện trở biến",</v>
      </c>
    </row>
    <row r="1002" spans="1:6" ht="15.75" customHeight="1">
      <c r="A1002" s="14">
        <v>2084263364</v>
      </c>
      <c r="B1002" s="14" t="s">
        <v>2916</v>
      </c>
      <c r="C1002" s="14" t="s">
        <v>2917</v>
      </c>
      <c r="D1002" s="5" t="str">
        <f ca="1">IFERROR(__xludf.DUMMYFUNCTION("GOOGLETRANSLATE(B1002,""ja"",""vi"")"),"điện trở cố định")</f>
        <v>điện trở cố định</v>
      </c>
      <c r="E1002" s="4" t="str">
        <f ca="1">IFERROR(__xludf.DUMMYFUNCTION("GOOGLETRANSLATE(C1002,""ja"",""vi"")"),"Đấu giá&gt; thiết bị điện tử tiêu dùng, AV, camera&gt; Linh kiện điện tử&gt; điện trở cố định")</f>
        <v>Đấu giá&gt; thiết bị điện tử tiêu dùng, AV, camera&gt; Linh kiện điện tử&gt; điện trở cố định</v>
      </c>
      <c r="F1002" t="str">
        <f t="shared" ca="1" si="15"/>
        <v>"2084263364" : "điện trở cố định",</v>
      </c>
    </row>
    <row r="1003" spans="1:6" ht="15.75" customHeight="1">
      <c r="A1003" s="14">
        <v>2084263366</v>
      </c>
      <c r="B1003" s="14" t="s">
        <v>2922</v>
      </c>
      <c r="C1003" s="14" t="s">
        <v>2923</v>
      </c>
      <c r="D1003" s="5" t="str">
        <f ca="1">IFERROR(__xludf.DUMMYFUNCTION("GOOGLETRANSLATE(B1003,""ja"",""vi"")"),"công tắc")</f>
        <v>công tắc</v>
      </c>
      <c r="E1003" s="4" t="str">
        <f ca="1">IFERROR(__xludf.DUMMYFUNCTION("GOOGLETRANSLATE(C1003,""ja"",""vi"")"),"Đấu giá&gt; thiết bị điện tử tiêu dùng, AV, camera&gt; Linh kiện điện tử&gt; chuyển đổi")</f>
        <v>Đấu giá&gt; thiết bị điện tử tiêu dùng, AV, camera&gt; Linh kiện điện tử&gt; chuyển đổi</v>
      </c>
      <c r="F1003" t="str">
        <f t="shared" ca="1" si="15"/>
        <v>"2084263366" : "công tắc",</v>
      </c>
    </row>
    <row r="1004" spans="1:6" ht="15.75" customHeight="1">
      <c r="A1004" s="14">
        <v>2084263367</v>
      </c>
      <c r="B1004" s="14" t="s">
        <v>2928</v>
      </c>
      <c r="C1004" s="14" t="s">
        <v>2930</v>
      </c>
      <c r="D1004" s="5" t="str">
        <f ca="1">IFERROR(__xludf.DUMMYFUNCTION("GOOGLETRANSLATE(B1004,""ja"",""vi"")"),"Chuyển mạch cung cấp điện")</f>
        <v>Chuyển mạch cung cấp điện</v>
      </c>
      <c r="E1004" s="4" t="str">
        <f ca="1">IFERROR(__xludf.DUMMYFUNCTION("GOOGLETRANSLATE(C1004,""ja"",""vi"")"),"Đấu giá&gt; thiết bị điện tử tiêu dùng, AV, camera&gt; Linh kiện điện tử&gt; cung Switching điện")</f>
        <v>Đấu giá&gt; thiết bị điện tử tiêu dùng, AV, camera&gt; Linh kiện điện tử&gt; cung Switching điện</v>
      </c>
      <c r="F1004" t="str">
        <f t="shared" ca="1" si="15"/>
        <v>"2084263367" : "Chuyển mạch cung cấp điện",</v>
      </c>
    </row>
    <row r="1005" spans="1:6" ht="15.75" customHeight="1">
      <c r="A1005" s="14">
        <v>2084263361</v>
      </c>
      <c r="B1005" s="14" t="s">
        <v>2933</v>
      </c>
      <c r="C1005" s="14" t="s">
        <v>2935</v>
      </c>
      <c r="D1005" s="5" t="str">
        <f ca="1">IFERROR(__xludf.DUMMYFUNCTION("GOOGLETRANSLATE(B1005,""ja"",""vi"")"),"diode")</f>
        <v>diode</v>
      </c>
      <c r="E1005" s="4" t="str">
        <f ca="1">IFERROR(__xludf.DUMMYFUNCTION("GOOGLETRANSLATE(C1005,""ja"",""vi"")"),"Đấu giá&gt; thiết bị điện tử tiêu dùng, AV, camera&gt; Linh kiện điện tử&gt; Điốt")</f>
        <v>Đấu giá&gt; thiết bị điện tử tiêu dùng, AV, camera&gt; Linh kiện điện tử&gt; Điốt</v>
      </c>
      <c r="F1005" t="str">
        <f t="shared" ca="1" si="15"/>
        <v>"2084263361" : "diode",</v>
      </c>
    </row>
    <row r="1006" spans="1:6" ht="15.75" customHeight="1">
      <c r="A1006" s="14">
        <v>2084263360</v>
      </c>
      <c r="B1006" s="14" t="s">
        <v>2939</v>
      </c>
      <c r="C1006" s="14" t="s">
        <v>2940</v>
      </c>
      <c r="D1006" s="5" t="str">
        <f ca="1">IFERROR(__xludf.DUMMYFUNCTION("GOOGLETRANSLATE(B1006,""ja"",""vi"")"),"transistor")</f>
        <v>transistor</v>
      </c>
      <c r="E1006" s="4" t="str">
        <f ca="1">IFERROR(__xludf.DUMMYFUNCTION("GOOGLETRANSLATE(C1006,""ja"",""vi"")"),"Đấu giá&gt; thiết bị điện tử tiêu dùng, AV, camera&gt; Linh kiện điện tử&gt; Transitor")</f>
        <v>Đấu giá&gt; thiết bị điện tử tiêu dùng, AV, camera&gt; Linh kiện điện tử&gt; Transitor</v>
      </c>
      <c r="F1006" t="str">
        <f t="shared" ca="1" si="15"/>
        <v>"2084263360" : "transistor",</v>
      </c>
    </row>
    <row r="1007" spans="1:6" ht="15.75" customHeight="1">
      <c r="A1007" s="14">
        <v>2084263363</v>
      </c>
      <c r="B1007" s="14" t="s">
        <v>2942</v>
      </c>
      <c r="C1007" s="14" t="s">
        <v>2944</v>
      </c>
      <c r="D1007" s="5" t="str">
        <f ca="1">IFERROR(__xludf.DUMMYFUNCTION("GOOGLETRANSLATE(B1007,""ja"",""vi"")"),"varistor")</f>
        <v>varistor</v>
      </c>
      <c r="E1007" s="4" t="str">
        <f ca="1">IFERROR(__xludf.DUMMYFUNCTION("GOOGLETRANSLATE(C1007,""ja"",""vi"")"),"Đấu giá&gt; thiết bị điện tử tiêu dùng, AV, camera&gt; Linh kiện điện tử&gt; varistor")</f>
        <v>Đấu giá&gt; thiết bị điện tử tiêu dùng, AV, camera&gt; Linh kiện điện tử&gt; varistor</v>
      </c>
      <c r="F1007" t="str">
        <f t="shared" ca="1" si="15"/>
        <v>"2084263363" : "varistor",</v>
      </c>
    </row>
    <row r="1008" spans="1:6" ht="15.75" customHeight="1">
      <c r="A1008" s="14">
        <v>2084263370</v>
      </c>
      <c r="B1008" s="14" t="s">
        <v>2946</v>
      </c>
      <c r="C1008" s="14" t="s">
        <v>2947</v>
      </c>
      <c r="D1008" s="5" t="str">
        <f ca="1">IFERROR(__xludf.DUMMYFUNCTION("GOOGLETRANSLATE(B1008,""ja"",""vi"")"),"tản nhiệt")</f>
        <v>tản nhiệt</v>
      </c>
      <c r="E1008" s="4" t="str">
        <f ca="1">IFERROR(__xludf.DUMMYFUNCTION("GOOGLETRANSLATE(C1008,""ja"",""vi"")"),"Đấu giá&gt; thiết bị điện tử tiêu dùng, AV, camera&gt; Linh kiện điện tử&gt; tản nhiệt")</f>
        <v>Đấu giá&gt; thiết bị điện tử tiêu dùng, AV, camera&gt; Linh kiện điện tử&gt; tản nhiệt</v>
      </c>
      <c r="F1008" t="str">
        <f t="shared" ca="1" si="15"/>
        <v>"2084263370" : "tản nhiệt",</v>
      </c>
    </row>
    <row r="1009" spans="1:6" ht="15.75" customHeight="1">
      <c r="A1009" s="14">
        <v>2084263368</v>
      </c>
      <c r="B1009" s="14" t="s">
        <v>2952</v>
      </c>
      <c r="C1009" s="14" t="s">
        <v>2953</v>
      </c>
      <c r="D1009" s="5" t="str">
        <f ca="1">IFERROR(__xludf.DUMMYFUNCTION("GOOGLETRANSLATE(B1009,""ja"",""vi"")"),"cầu chì")</f>
        <v>cầu chì</v>
      </c>
      <c r="E1009" s="4" t="str">
        <f ca="1">IFERROR(__xludf.DUMMYFUNCTION("GOOGLETRANSLATE(C1009,""ja"",""vi"")"),"Đấu giá&gt; thiết bị điện tử tiêu dùng, AV, camera&gt; Linh kiện điện tử&gt; cầu chì")</f>
        <v>Đấu giá&gt; thiết bị điện tử tiêu dùng, AV, camera&gt; Linh kiện điện tử&gt; cầu chì</v>
      </c>
      <c r="F1009" t="str">
        <f t="shared" ca="1" si="15"/>
        <v>"2084263368" : "cầu chì",</v>
      </c>
    </row>
    <row r="1010" spans="1:6" ht="15.75" customHeight="1">
      <c r="A1010" s="14">
        <v>2084263373</v>
      </c>
      <c r="B1010" s="14" t="s">
        <v>2957</v>
      </c>
      <c r="C1010" s="14" t="s">
        <v>2958</v>
      </c>
      <c r="D1010" s="5" t="str">
        <f ca="1">IFERROR(__xludf.DUMMYFUNCTION("GOOGLETRANSLATE(B1010,""ja"",""vi"")"),"bảng mạch in")</f>
        <v>bảng mạch in</v>
      </c>
      <c r="E1010" s="4" t="str">
        <f ca="1">IFERROR(__xludf.DUMMYFUNCTION("GOOGLETRANSLATE(C1010,""ja"",""vi"")"),"Đấu giá&gt; thiết bị điện tử tiêu dùng, AV, camera&gt; Linh kiện điện tử&gt; bảng mạch in")</f>
        <v>Đấu giá&gt; thiết bị điện tử tiêu dùng, AV, camera&gt; Linh kiện điện tử&gt; bảng mạch in</v>
      </c>
      <c r="F1010" t="str">
        <f t="shared" ca="1" si="15"/>
        <v>"2084263373" : "bảng mạch in",</v>
      </c>
    </row>
    <row r="1011" spans="1:6" ht="15.75" customHeight="1">
      <c r="A1011" s="14">
        <v>2084263369</v>
      </c>
      <c r="B1011" s="14" t="s">
        <v>2962</v>
      </c>
      <c r="C1011" s="14" t="s">
        <v>2963</v>
      </c>
      <c r="D1011" s="5" t="str">
        <f ca="1">IFERROR(__xludf.DUMMYFUNCTION("GOOGLETRANSLATE(B1011,""ja"",""vi"")"),"Meter")</f>
        <v>Meter</v>
      </c>
      <c r="E1011" s="4" t="str">
        <f ca="1">IFERROR(__xludf.DUMMYFUNCTION("GOOGLETRANSLATE(C1011,""ja"",""vi"")"),"Đấu giá&gt; thiết bị điện tử tiêu dùng, AV, camera&gt; Linh kiện điện tử&gt; mét")</f>
        <v>Đấu giá&gt; thiết bị điện tử tiêu dùng, AV, camera&gt; Linh kiện điện tử&gt; mét</v>
      </c>
      <c r="F1011" t="str">
        <f t="shared" ca="1" si="15"/>
        <v>"2084263369" : "Meter",</v>
      </c>
    </row>
    <row r="1012" spans="1:6" ht="15.75" customHeight="1">
      <c r="A1012" s="14">
        <v>2084263372</v>
      </c>
      <c r="B1012" s="14" t="s">
        <v>2969</v>
      </c>
      <c r="C1012" s="14" t="s">
        <v>2970</v>
      </c>
      <c r="D1012" s="5" t="str">
        <f ca="1">IFERROR(__xludf.DUMMYFUNCTION("GOOGLETRANSLATE(B1012,""ja"",""vi"")"),"Rơ le")</f>
        <v>Rơ le</v>
      </c>
      <c r="E1012" s="4" t="str">
        <f ca="1">IFERROR(__xludf.DUMMYFUNCTION("GOOGLETRANSLATE(C1012,""ja"",""vi"")"),"Đấu giá&gt; thiết bị điện tử tiêu dùng, AV, camera&gt; Linh kiện điện tử&gt; Relays")</f>
        <v>Đấu giá&gt; thiết bị điện tử tiêu dùng, AV, camera&gt; Linh kiện điện tử&gt; Relays</v>
      </c>
      <c r="F1012" t="str">
        <f t="shared" ca="1" si="15"/>
        <v>"2084263372" : "Rơ le",</v>
      </c>
    </row>
    <row r="1013" spans="1:6" ht="15.75" customHeight="1">
      <c r="A1013" s="14">
        <v>2084282461</v>
      </c>
      <c r="B1013" s="14" t="s">
        <v>2280</v>
      </c>
      <c r="C1013" s="14" t="s">
        <v>2974</v>
      </c>
      <c r="D1013" s="5" t="str">
        <f ca="1">IFERROR(__xludf.DUMMYFUNCTION("GOOGLETRANSLATE(B1013,""ja"",""vi"")"),"kết nối")</f>
        <v>kết nối</v>
      </c>
      <c r="E1013" s="4" t="str">
        <f ca="1">IFERROR(__xludf.DUMMYFUNCTION("GOOGLETRANSLATE(C1013,""ja"",""vi"")"),"Đấu giá&gt; thiết bị điện tử tiêu dùng, AV, camera&gt; Linh kiện điện tử&gt; Connectors")</f>
        <v>Đấu giá&gt; thiết bị điện tử tiêu dùng, AV, camera&gt; Linh kiện điện tử&gt; Connectors</v>
      </c>
      <c r="F1013" t="str">
        <f t="shared" ca="1" si="15"/>
        <v>"2084282461" : "kết nối",</v>
      </c>
    </row>
    <row r="1014" spans="1:6" ht="15.75" customHeight="1">
      <c r="A1014" s="14">
        <v>2084286804</v>
      </c>
      <c r="B1014" s="14" t="s">
        <v>2654</v>
      </c>
      <c r="C1014" s="14" t="s">
        <v>2978</v>
      </c>
      <c r="D1014" s="5" t="str">
        <f ca="1">IFERROR(__xludf.DUMMYFUNCTION("GOOGLETRANSLATE(B1014,""ja"",""vi"")"),"loa")</f>
        <v>loa</v>
      </c>
      <c r="E1014" s="4" t="str">
        <f ca="1">IFERROR(__xludf.DUMMYFUNCTION("GOOGLETRANSLATE(C1014,""ja"",""vi"")"),"Đấu giá&gt; thiết bị điện tử tiêu dùng, AV, camera&gt; Linh kiện điện tử&gt; Loa")</f>
        <v>Đấu giá&gt; thiết bị điện tử tiêu dùng, AV, camera&gt; Linh kiện điện tử&gt; Loa</v>
      </c>
      <c r="F1014" t="str">
        <f t="shared" ca="1" si="15"/>
        <v>"2084286804" : "loa",</v>
      </c>
    </row>
    <row r="1015" spans="1:6" ht="15.75" customHeight="1">
      <c r="A1015" s="14">
        <v>2084286805</v>
      </c>
      <c r="B1015" s="14" t="s">
        <v>2981</v>
      </c>
      <c r="C1015" s="14" t="s">
        <v>2983</v>
      </c>
      <c r="D1015" s="5" t="str">
        <f ca="1">IFERROR(__xludf.DUMMYFUNCTION("GOOGLETRANSLATE(B1015,""ja"",""vi"")"),"Pickup")</f>
        <v>Pickup</v>
      </c>
      <c r="E1015" s="4" t="str">
        <f ca="1">IFERROR(__xludf.DUMMYFUNCTION("GOOGLETRANSLATE(C1015,""ja"",""vi"")"),"Đấu giá&gt; thiết bị điện tử tiêu dùng, AV, camera&gt; Linh kiện điện tử&gt; đón")</f>
        <v>Đấu giá&gt; thiết bị điện tử tiêu dùng, AV, camera&gt; Linh kiện điện tử&gt; đón</v>
      </c>
      <c r="F1015" t="str">
        <f t="shared" ca="1" si="15"/>
        <v>"2084286805" : "Pickup",</v>
      </c>
    </row>
    <row r="1016" spans="1:6" ht="15.75" customHeight="1">
      <c r="A1016" s="14">
        <v>2084286803</v>
      </c>
      <c r="B1016" s="14" t="s">
        <v>2987</v>
      </c>
      <c r="C1016" s="14" t="s">
        <v>2989</v>
      </c>
      <c r="D1016" s="5" t="str">
        <f ca="1">IFERROR(__xludf.DUMMYFUNCTION("GOOGLETRANSLATE(B1016,""ja"",""vi"")"),"mạch tích hợp")</f>
        <v>mạch tích hợp</v>
      </c>
      <c r="E1016" s="4" t="str">
        <f ca="1">IFERROR(__xludf.DUMMYFUNCTION("GOOGLETRANSLATE(C1016,""ja"",""vi"")"),"Đấu giá&gt; thiết bị điện tử tiêu dùng, AV, camera&gt; Linh kiện điện tử&gt; mạch tích hợp")</f>
        <v>Đấu giá&gt; thiết bị điện tử tiêu dùng, AV, camera&gt; Linh kiện điện tử&gt; mạch tích hợp</v>
      </c>
      <c r="F1016" t="str">
        <f t="shared" ca="1" si="15"/>
        <v>"2084286803" : "mạch tích hợp",</v>
      </c>
    </row>
    <row r="1017" spans="1:6" ht="15.75" customHeight="1">
      <c r="A1017" s="14">
        <v>2084286802</v>
      </c>
      <c r="B1017" s="14" t="s">
        <v>2995</v>
      </c>
      <c r="C1017" s="14" t="s">
        <v>2997</v>
      </c>
      <c r="D1017" s="5" t="str">
        <f ca="1">IFERROR(__xludf.DUMMYFUNCTION("GOOGLETRANSLATE(B1017,""ja"",""vi"")"),"khối thiết bị đầu cuối")</f>
        <v>khối thiết bị đầu cuối</v>
      </c>
      <c r="E1017" s="4" t="str">
        <f ca="1">IFERROR(__xludf.DUMMYFUNCTION("GOOGLETRANSLATE(C1017,""ja"",""vi"")"),"Đấu giá&gt; thiết bị điện tử tiêu dùng, AV, camera&gt; Linh kiện điện tử&gt; khối thiết bị đầu cuối")</f>
        <v>Đấu giá&gt; thiết bị điện tử tiêu dùng, AV, camera&gt; Linh kiện điện tử&gt; khối thiết bị đầu cuối</v>
      </c>
      <c r="F1017" t="str">
        <f t="shared" ca="1" si="15"/>
        <v>"2084286802" : "khối thiết bị đầu cuối",</v>
      </c>
    </row>
    <row r="1018" spans="1:6" ht="15.75" customHeight="1">
      <c r="A1018" s="14">
        <v>2084263374</v>
      </c>
      <c r="B1018" s="14" t="s">
        <v>46</v>
      </c>
      <c r="C1018" s="14" t="s">
        <v>2999</v>
      </c>
      <c r="D1018" s="5" t="str">
        <f ca="1">IFERROR(__xludf.DUMMYFUNCTION("GOOGLETRANSLATE(B1018,""ja"",""vi"")"),"nếu không thì")</f>
        <v>nếu không thì</v>
      </c>
      <c r="E1018" s="4" t="str">
        <f ca="1">IFERROR(__xludf.DUMMYFUNCTION("GOOGLETRANSLATE(C1018,""ja"",""vi"")"),"Đấu giá&gt; thiết bị điện tử tiêu dùng, AV, camera&gt; Linh kiện điện tử&gt; Khác")</f>
        <v>Đấu giá&gt; thiết bị điện tử tiêu dùng, AV, camera&gt; Linh kiện điện tử&gt; Khác</v>
      </c>
      <c r="F1018" t="str">
        <f t="shared" ca="1" si="15"/>
        <v>"2084263374" : "nếu không thì",</v>
      </c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>
      <selection activeCell="F1" sqref="F1"/>
    </sheetView>
  </sheetViews>
  <sheetFormatPr defaultColWidth="12.59765625" defaultRowHeight="15" customHeight="1"/>
  <cols>
    <col min="1" max="1" width="9.5" customWidth="1"/>
    <col min="2" max="2" width="15.69921875" customWidth="1"/>
    <col min="3" max="3" width="29.69921875" customWidth="1"/>
    <col min="4" max="4" width="7.59765625" customWidth="1"/>
    <col min="5" max="5" width="48.8984375" customWidth="1"/>
    <col min="6" max="26" width="7.59765625" customWidth="1"/>
  </cols>
  <sheetData>
    <row r="1" spans="1:6" ht="31.8">
      <c r="A1" s="14">
        <v>2084006979</v>
      </c>
      <c r="B1" s="14" t="s">
        <v>3781</v>
      </c>
      <c r="C1" s="14" t="s">
        <v>3782</v>
      </c>
      <c r="D1" s="5" t="str">
        <f ca="1">IFERROR(__xludf.DUMMYFUNCTION("GOOGLETRANSLATE(B1,""ja"",""vi"")"),"Rock, Pop")</f>
        <v>Rock, Pop</v>
      </c>
      <c r="E1" s="4" t="str">
        <f ca="1">IFERROR(__xludf.DUMMYFUNCTION("GOOGLETRANSLATE(C1,""ja"",""vi"")"),"Đấu giá&gt; Âm nhạc&gt; CD&gt; Pop Nhật Bản&gt; Rock, Pop")</f>
        <v>Đấu giá&gt; Âm nhạc&gt; CD&gt; Pop Nhật Bản&gt; Rock, Pop</v>
      </c>
      <c r="F1" t="str">
        <f ca="1">CONCATENATE(CHAR(34)&amp;"",A1,""&amp;CHAR(34)," : ", CHAR(34)&amp;"",D1,""&amp;CHAR(34),",")</f>
        <v>"2084006979" : "Rock, Pop",</v>
      </c>
    </row>
    <row r="2" spans="1:6" ht="31.8">
      <c r="A2" s="14">
        <v>2084006926</v>
      </c>
      <c r="B2" s="14" t="s">
        <v>3789</v>
      </c>
      <c r="C2" s="14" t="s">
        <v>3790</v>
      </c>
      <c r="D2" s="5" t="str">
        <f ca="1">IFERROR(__xludf.DUMMYFUNCTION("GOOGLETRANSLATE(B2,""ja"",""vi"")"),"Indies")</f>
        <v>Indies</v>
      </c>
      <c r="E2" s="4" t="str">
        <f ca="1">IFERROR(__xludf.DUMMYFUNCTION("GOOGLETRANSLATE(C2,""ja"",""vi"")"),"Đấu giá&gt; Âm nhạc&gt; CD&gt; Nhật Bản Pop&gt; Indie")</f>
        <v>Đấu giá&gt; Âm nhạc&gt; CD&gt; Nhật Bản Pop&gt; Indie</v>
      </c>
      <c r="F2" t="str">
        <f t="shared" ref="F2:F65" ca="1" si="0">CONCATENATE(CHAR(34)&amp;"",A2,""&amp;CHAR(34)," : ", CHAR(34)&amp;"",D2,""&amp;CHAR(34),",")</f>
        <v>"2084006926" : "Indies",</v>
      </c>
    </row>
    <row r="3" spans="1:6" ht="21.6">
      <c r="A3" s="14">
        <v>2084006927</v>
      </c>
      <c r="B3" s="14" t="s">
        <v>46</v>
      </c>
      <c r="C3" s="14" t="s">
        <v>3798</v>
      </c>
      <c r="D3" s="5" t="str">
        <f ca="1">IFERROR(__xludf.DUMMYFUNCTION("GOOGLETRANSLATE(B3,""ja"",""vi"")"),"nếu không thì")</f>
        <v>nếu không thì</v>
      </c>
      <c r="E3" s="4" t="str">
        <f ca="1">IFERROR(__xludf.DUMMYFUNCTION("GOOGLETRANSLATE(C3,""ja"",""vi"")"),"Đấu giá&gt; Âm nhạc&gt; CD&gt; Nhật Bản Pop&gt; Khác")</f>
        <v>Đấu giá&gt; Âm nhạc&gt; CD&gt; Nhật Bản Pop&gt; Khác</v>
      </c>
      <c r="F3" t="str">
        <f t="shared" ca="1" si="0"/>
        <v>"2084006927" : "nếu không thì",</v>
      </c>
    </row>
    <row r="4" spans="1:6" ht="31.8">
      <c r="A4" s="14">
        <v>2084006946</v>
      </c>
      <c r="B4" s="14" t="s">
        <v>3801</v>
      </c>
      <c r="C4" s="14" t="s">
        <v>3804</v>
      </c>
      <c r="D4" s="5" t="str">
        <f ca="1">IFERROR(__xludf.DUMMYFUNCTION("GOOGLETRANSLATE(B4,""ja"",""vi"")"),"Rock, Pop chung")</f>
        <v>Rock, Pop chung</v>
      </c>
      <c r="E4" s="4" t="str">
        <f ca="1">IFERROR(__xludf.DUMMYFUNCTION("GOOGLETRANSLATE(C4,""ja"",""vi"")"),"Đấu giá&gt; Âm nhạc&gt; CD&gt; Rock, Pop (Western)&gt; Rock, Pop chung")</f>
        <v>Đấu giá&gt; Âm nhạc&gt; CD&gt; Rock, Pop (Western)&gt; Rock, Pop chung</v>
      </c>
      <c r="F4" t="str">
        <f t="shared" ca="1" si="0"/>
        <v>"2084006946" : "Rock, Pop chung",</v>
      </c>
    </row>
    <row r="5" spans="1:6" ht="31.8">
      <c r="A5" s="14">
        <v>2084007205</v>
      </c>
      <c r="B5" s="14" t="s">
        <v>3807</v>
      </c>
      <c r="C5" s="14" t="s">
        <v>3808</v>
      </c>
      <c r="D5" s="5" t="str">
        <f ca="1">IFERROR(__xludf.DUMMYFUNCTION("GOOGLETRANSLATE(B5,""ja"",""vi"")"),"hard rock")</f>
        <v>hard rock</v>
      </c>
      <c r="E5" s="4" t="str">
        <f ca="1">IFERROR(__xludf.DUMMYFUNCTION("GOOGLETRANSLATE(C5,""ja"",""vi"")"),"Đấu giá&gt; Âm nhạc&gt; CD&gt; Rock, Pop (Western)&gt; Hard Rock")</f>
        <v>Đấu giá&gt; Âm nhạc&gt; CD&gt; Rock, Pop (Western)&gt; Hard Rock</v>
      </c>
      <c r="F5" t="str">
        <f t="shared" ca="1" si="0"/>
        <v>"2084007205" : "hard rock",</v>
      </c>
    </row>
    <row r="6" spans="1:6" ht="21.6">
      <c r="A6" s="14">
        <v>26862</v>
      </c>
      <c r="B6" s="14" t="s">
        <v>3813</v>
      </c>
      <c r="C6" s="14" t="s">
        <v>3814</v>
      </c>
      <c r="D6" s="5" t="str">
        <f ca="1">IFERROR(__xludf.DUMMYFUNCTION("GOOGLETRANSLATE(B6,""ja"",""vi"")"),"Punk")</f>
        <v>Punk</v>
      </c>
      <c r="E6" s="4" t="str">
        <f ca="1">IFERROR(__xludf.DUMMYFUNCTION("GOOGLETRANSLATE(C6,""ja"",""vi"")"),"Đấu giá&gt; Âm nhạc&gt; CD&gt; Rock, Pop (Western)&gt; nhạc punk")</f>
        <v>Đấu giá&gt; Âm nhạc&gt; CD&gt; Rock, Pop (Western)&gt; nhạc punk</v>
      </c>
      <c r="F6" t="str">
        <f t="shared" ca="1" si="0"/>
        <v>"26862" : "Punk",</v>
      </c>
    </row>
    <row r="7" spans="1:6" ht="31.8">
      <c r="A7" s="14">
        <v>26860</v>
      </c>
      <c r="B7" s="14" t="s">
        <v>3819</v>
      </c>
      <c r="C7" s="14" t="s">
        <v>3820</v>
      </c>
      <c r="D7" s="5" t="str">
        <f ca="1">IFERROR(__xludf.DUMMYFUNCTION("GOOGLETRANSLATE(B7,""ja"",""vi"")"),"Progressive Rock")</f>
        <v>Progressive Rock</v>
      </c>
      <c r="E7" s="4" t="str">
        <f ca="1">IFERROR(__xludf.DUMMYFUNCTION("GOOGLETRANSLATE(C7,""ja"",""vi"")"),"Đấu giá&gt; Âm nhạc&gt; CD&gt; Rock, Pop (Western)&gt; progressive rock")</f>
        <v>Đấu giá&gt; Âm nhạc&gt; CD&gt; Rock, Pop (Western)&gt; progressive rock</v>
      </c>
      <c r="F7" t="str">
        <f t="shared" ca="1" si="0"/>
        <v>"26860" : "Progressive Rock",</v>
      </c>
    </row>
    <row r="8" spans="1:6" ht="31.8">
      <c r="A8" s="14">
        <v>2084006947</v>
      </c>
      <c r="B8" s="14" t="s">
        <v>3824</v>
      </c>
      <c r="C8" s="14" t="s">
        <v>3826</v>
      </c>
      <c r="D8" s="5" t="str">
        <f ca="1">IFERROR(__xludf.DUMMYFUNCTION("GOOGLETRANSLATE(B8,""ja"",""vi"")"),"phổ biến vocal")</f>
        <v>phổ biến vocal</v>
      </c>
      <c r="E8" s="4" t="str">
        <f ca="1">IFERROR(__xludf.DUMMYFUNCTION("GOOGLETRANSLATE(C8,""ja"",""vi"")"),"Đấu giá&gt; Âm nhạc&gt; CD&gt; Rock, Pop (Western)&gt; vocal phổ biến")</f>
        <v>Đấu giá&gt; Âm nhạc&gt; CD&gt; Rock, Pop (Western)&gt; vocal phổ biến</v>
      </c>
      <c r="F8" t="str">
        <f t="shared" ca="1" si="0"/>
        <v>"2084006947" : "phổ biến vocal",</v>
      </c>
    </row>
    <row r="9" spans="1:6" ht="21.6">
      <c r="A9" s="14">
        <v>2084006948</v>
      </c>
      <c r="B9" s="14" t="s">
        <v>46</v>
      </c>
      <c r="C9" s="14" t="s">
        <v>3832</v>
      </c>
      <c r="D9" s="5" t="str">
        <f ca="1">IFERROR(__xludf.DUMMYFUNCTION("GOOGLETRANSLATE(B9,""ja"",""vi"")"),"nếu không thì")</f>
        <v>nếu không thì</v>
      </c>
      <c r="E9" s="4" t="str">
        <f ca="1">IFERROR(__xludf.DUMMYFUNCTION("GOOGLETRANSLATE(C9,""ja"",""vi"")"),"Đấu giá&gt; Âm nhạc&gt; CD&gt; Rock, Pop (Western)&gt; Khác")</f>
        <v>Đấu giá&gt; Âm nhạc&gt; CD&gt; Rock, Pop (Western)&gt; Khác</v>
      </c>
      <c r="F9" t="str">
        <f t="shared" ca="1" si="0"/>
        <v>"2084006948" : "nếu không thì",</v>
      </c>
    </row>
    <row r="10" spans="1:6" ht="21.6">
      <c r="A10" s="14">
        <v>2084041494</v>
      </c>
      <c r="B10" s="14" t="s">
        <v>3835</v>
      </c>
      <c r="C10" s="14" t="s">
        <v>3837</v>
      </c>
      <c r="D10" s="5" t="str">
        <f ca="1">IFERROR(__xludf.DUMMYFUNCTION("GOOGLETRANSLATE(B10,""ja"",""vi"")"),"SF, Viễn tưởng")</f>
        <v>SF, Viễn tưởng</v>
      </c>
      <c r="E10" s="4" t="str">
        <f ca="1">IFERROR(__xludf.DUMMYFUNCTION("GOOGLETRANSLATE(C10,""ja"",""vi"")"),"Đấu giá&gt; Âm nhạc&gt; CD&gt; phim âm nhạc&gt; SF, Viễn tưởng")</f>
        <v>Đấu giá&gt; Âm nhạc&gt; CD&gt; phim âm nhạc&gt; SF, Viễn tưởng</v>
      </c>
      <c r="F10" t="str">
        <f t="shared" ca="1" si="0"/>
        <v>"2084041494" : "SF, Viễn tưởng",</v>
      </c>
    </row>
    <row r="11" spans="1:6" ht="21.6">
      <c r="A11" s="14">
        <v>2084041496</v>
      </c>
      <c r="B11" s="14" t="s">
        <v>3842</v>
      </c>
      <c r="C11" s="14" t="s">
        <v>3844</v>
      </c>
      <c r="D11" s="5" t="str">
        <f ca="1">IFERROR(__xludf.DUMMYFUNCTION("GOOGLETRANSLATE(B11,""ja"",""vi"")"),"Hành động, phiêu lưu")</f>
        <v>Hành động, phiêu lưu</v>
      </c>
      <c r="E11" s="4" t="str">
        <f ca="1">IFERROR(__xludf.DUMMYFUNCTION("GOOGLETRANSLATE(C11,""ja"",""vi"")"),"Đấu giá&gt; Âm nhạc&gt; CD&gt; phim âm nhạc&gt; Hành động, phiêu lưu")</f>
        <v>Đấu giá&gt; Âm nhạc&gt; CD&gt; phim âm nhạc&gt; Hành động, phiêu lưu</v>
      </c>
      <c r="F11" t="str">
        <f t="shared" ca="1" si="0"/>
        <v>"2084041496" : "Hành động, phiêu lưu",</v>
      </c>
    </row>
    <row r="12" spans="1:6" ht="21.6">
      <c r="A12" s="14">
        <v>2084005149</v>
      </c>
      <c r="B12" s="14" t="s">
        <v>3849</v>
      </c>
      <c r="C12" s="14" t="s">
        <v>3852</v>
      </c>
      <c r="D12" s="5" t="str">
        <f ca="1">IFERROR(__xludf.DUMMYFUNCTION("GOOGLETRANSLATE(B12,""ja"",""vi"")"),"Anime bài hát")</f>
        <v>Anime bài hát</v>
      </c>
      <c r="E12" s="4" t="str">
        <f ca="1">IFERROR(__xludf.DUMMYFUNCTION("GOOGLETRANSLATE(C12,""ja"",""vi"")"),"Đấu giá&gt; Âm nhạc&gt; CD&gt; nhạc phim&gt; bài hát phim hoạt hình")</f>
        <v>Đấu giá&gt; Âm nhạc&gt; CD&gt; nhạc phim&gt; bài hát phim hoạt hình</v>
      </c>
      <c r="F12" t="str">
        <f t="shared" ca="1" si="0"/>
        <v>"2084005149" : "Anime bài hát",</v>
      </c>
    </row>
    <row r="13" spans="1:6" ht="21.6">
      <c r="A13" s="14">
        <v>2084041497</v>
      </c>
      <c r="B13" s="14" t="s">
        <v>3855</v>
      </c>
      <c r="C13" s="14" t="s">
        <v>3859</v>
      </c>
      <c r="D13" s="5" t="str">
        <f ca="1">IFERROR(__xludf.DUMMYFUNCTION("GOOGLETRANSLATE(B13,""ja"",""vi"")"),"hài kịch")</f>
        <v>hài kịch</v>
      </c>
      <c r="E13" s="4" t="str">
        <f ca="1">IFERROR(__xludf.DUMMYFUNCTION("GOOGLETRANSLATE(C13,""ja"",""vi"")"),"Đấu giá&gt; Âm nhạc&gt; CD&gt; phim âm nhạc&gt; Comedy")</f>
        <v>Đấu giá&gt; Âm nhạc&gt; CD&gt; phim âm nhạc&gt; Comedy</v>
      </c>
      <c r="F13" t="str">
        <f t="shared" ca="1" si="0"/>
        <v>"2084041497" : "hài kịch",</v>
      </c>
    </row>
    <row r="14" spans="1:6" ht="21.6">
      <c r="A14" s="14">
        <v>2084041503</v>
      </c>
      <c r="B14" s="14" t="s">
        <v>3864</v>
      </c>
      <c r="C14" s="14" t="s">
        <v>3865</v>
      </c>
      <c r="D14" s="5" t="str">
        <f ca="1">IFERROR(__xludf.DUMMYFUNCTION("GOOGLETRANSLATE(B14,""ja"",""vi"")"),"Hồi hộp")</f>
        <v>Hồi hộp</v>
      </c>
      <c r="E14" s="4" t="str">
        <f ca="1">IFERROR(__xludf.DUMMYFUNCTION("GOOGLETRANSLATE(C14,""ja"",""vi"")"),"Đấu giá&gt; Âm nhạc&gt; CD&gt; nhạc phim&gt; Hồi hộp")</f>
        <v>Đấu giá&gt; Âm nhạc&gt; CD&gt; nhạc phim&gt; Hồi hộp</v>
      </c>
      <c r="F14" t="str">
        <f t="shared" ca="1" si="0"/>
        <v>"2084041503" : "Hồi hộp",</v>
      </c>
    </row>
    <row r="15" spans="1:6" ht="21.6">
      <c r="A15" s="14">
        <v>2084041499</v>
      </c>
      <c r="B15" s="14" t="s">
        <v>3870</v>
      </c>
      <c r="C15" s="14" t="s">
        <v>3872</v>
      </c>
      <c r="D15" s="5" t="str">
        <f ca="1">IFERROR(__xludf.DUMMYFUNCTION("GOOGLETRANSLATE(B15,""ja"",""vi"")"),"kịch")</f>
        <v>kịch</v>
      </c>
      <c r="E15" s="4" t="str">
        <f ca="1">IFERROR(__xludf.DUMMYFUNCTION("GOOGLETRANSLATE(C15,""ja"",""vi"")"),"Đấu giá&gt; Âm nhạc&gt; CD&gt; nhạc phim&gt; Drama")</f>
        <v>Đấu giá&gt; Âm nhạc&gt; CD&gt; nhạc phim&gt; Drama</v>
      </c>
      <c r="F15" t="str">
        <f t="shared" ca="1" si="0"/>
        <v>"2084041499" : "kịch",</v>
      </c>
    </row>
    <row r="16" spans="1:6" ht="21.6">
      <c r="A16" s="14">
        <v>2084041500</v>
      </c>
      <c r="B16" s="14" t="s">
        <v>3876</v>
      </c>
      <c r="C16" s="14" t="s">
        <v>3877</v>
      </c>
      <c r="D16" s="5" t="str">
        <f ca="1">IFERROR(__xludf.DUMMYFUNCTION("GOOGLETRANSLATE(B16,""ja"",""vi"")"),"rùng rợn")</f>
        <v>rùng rợn</v>
      </c>
      <c r="E16" s="4" t="str">
        <f ca="1">IFERROR(__xludf.DUMMYFUNCTION("GOOGLETRANSLATE(C16,""ja"",""vi"")"),"Đấu giá&gt; Âm nhạc&gt; CD&gt; nhạc phim&gt; Horror")</f>
        <v>Đấu giá&gt; Âm nhạc&gt; CD&gt; nhạc phim&gt; Horror</v>
      </c>
      <c r="F16" t="str">
        <f t="shared" ca="1" si="0"/>
        <v>"2084041500" : "rùng rợn",</v>
      </c>
    </row>
    <row r="17" spans="1:6" ht="21.6">
      <c r="A17" s="14">
        <v>2084041498</v>
      </c>
      <c r="B17" s="14" t="s">
        <v>1207</v>
      </c>
      <c r="C17" s="14" t="s">
        <v>3883</v>
      </c>
      <c r="D17" s="5" t="str">
        <f ca="1">IFERROR(__xludf.DUMMYFUNCTION("GOOGLETRANSLATE(B17,""ja"",""vi"")"),"nhạc")</f>
        <v>nhạc</v>
      </c>
      <c r="E17" s="4" t="str">
        <f ca="1">IFERROR(__xludf.DUMMYFUNCTION("GOOGLETRANSLATE(C17,""ja"",""vi"")"),"Đấu giá&gt; Âm nhạc&gt; CD&gt; nhạc phim&gt; Nhạc")</f>
        <v>Đấu giá&gt; Âm nhạc&gt; CD&gt; nhạc phim&gt; Nhạc</v>
      </c>
      <c r="F17" t="str">
        <f t="shared" ca="1" si="0"/>
        <v>"2084041498" : "nhạc",</v>
      </c>
    </row>
    <row r="18" spans="1:6" ht="21.6">
      <c r="A18" s="14">
        <v>2084041517</v>
      </c>
      <c r="B18" s="14" t="s">
        <v>3888</v>
      </c>
      <c r="C18" s="14" t="s">
        <v>3889</v>
      </c>
      <c r="D18" s="5" t="str">
        <f ca="1">IFERROR(__xludf.DUMMYFUNCTION("GOOGLETRANSLATE(B18,""ja"",""vi"")"),"chơi lịch sử")</f>
        <v>chơi lịch sử</v>
      </c>
      <c r="E18" s="4" t="str">
        <f ca="1">IFERROR(__xludf.DUMMYFUNCTION("GOOGLETRANSLATE(C18,""ja"",""vi"")"),"Đấu giá&gt; Âm nhạc&gt; CD&gt; nhạc phim&gt; phim kỷ nguyên")</f>
        <v>Đấu giá&gt; Âm nhạc&gt; CD&gt; nhạc phim&gt; phim kỷ nguyên</v>
      </c>
      <c r="F18" t="str">
        <f t="shared" ca="1" si="0"/>
        <v>"2084041517" : "chơi lịch sử",</v>
      </c>
    </row>
    <row r="19" spans="1:6" ht="21.6">
      <c r="A19" s="14">
        <v>2084041501</v>
      </c>
      <c r="B19" s="14" t="s">
        <v>3893</v>
      </c>
      <c r="C19" s="14" t="s">
        <v>3895</v>
      </c>
      <c r="D19" s="5" t="str">
        <f ca="1">IFERROR(__xludf.DUMMYFUNCTION("GOOGLETRANSLATE(B19,""ja"",""vi"")"),"Tây")</f>
        <v>Tây</v>
      </c>
      <c r="E19" s="4" t="str">
        <f ca="1">IFERROR(__xludf.DUMMYFUNCTION("GOOGLETRANSLATE(C19,""ja"",""vi"")"),"Đấu giá&gt; Âm nhạc&gt; CD&gt; nhạc phim&gt; cao bồi miền Tây")</f>
        <v>Đấu giá&gt; Âm nhạc&gt; CD&gt; nhạc phim&gt; cao bồi miền Tây</v>
      </c>
      <c r="F19" t="str">
        <f t="shared" ca="1" si="0"/>
        <v>"2084041501" : "Tây",</v>
      </c>
    </row>
    <row r="20" spans="1:6" ht="21.6">
      <c r="A20" s="14">
        <v>2084041516</v>
      </c>
      <c r="B20" s="14" t="s">
        <v>3899</v>
      </c>
      <c r="C20" s="14" t="s">
        <v>3901</v>
      </c>
      <c r="D20" s="5" t="str">
        <f ca="1">IFERROR(__xludf.DUMMYFUNCTION("GOOGLETRANSLATE(B20,""ja"",""vi"")"),"chiến tranh")</f>
        <v>chiến tranh</v>
      </c>
      <c r="E20" s="4" t="str">
        <f ca="1">IFERROR(__xludf.DUMMYFUNCTION("GOOGLETRANSLATE(C20,""ja"",""vi"")"),"Đấu giá&gt; Âm nhạc&gt; CD&gt; phim âm nhạc&gt; Chiến tranh")</f>
        <v>Đấu giá&gt; Âm nhạc&gt; CD&gt; phim âm nhạc&gt; Chiến tranh</v>
      </c>
      <c r="F20" t="str">
        <f t="shared" ca="1" si="0"/>
        <v>"2084041516" : "chiến tranh",</v>
      </c>
    </row>
    <row r="21" spans="1:6" ht="15.75" customHeight="1">
      <c r="A21" s="14">
        <v>2084047460</v>
      </c>
      <c r="B21" s="14" t="s">
        <v>3902</v>
      </c>
      <c r="C21" s="14" t="s">
        <v>3904</v>
      </c>
      <c r="D21" s="5" t="str">
        <f ca="1">IFERROR(__xludf.DUMMYFUNCTION("GOOGLETRANSLATE(B21,""ja"",""vi"")"),"hiệu ứng đặc biệt")</f>
        <v>hiệu ứng đặc biệt</v>
      </c>
      <c r="E21" s="4" t="str">
        <f ca="1">IFERROR(__xludf.DUMMYFUNCTION("GOOGLETRANSLATE(C21,""ja"",""vi"")"),"Đấu giá&gt; Âm nhạc&gt; CD&gt; nhạc phim&gt; hiệu ứng đặc biệt")</f>
        <v>Đấu giá&gt; Âm nhạc&gt; CD&gt; nhạc phim&gt; hiệu ứng đặc biệt</v>
      </c>
      <c r="F21" t="str">
        <f t="shared" ca="1" si="0"/>
        <v>"2084047460" : "hiệu ứng đặc biệt",</v>
      </c>
    </row>
    <row r="22" spans="1:6" ht="15.75" customHeight="1">
      <c r="A22" s="14">
        <v>2084047960</v>
      </c>
      <c r="B22" s="14" t="s">
        <v>3908</v>
      </c>
      <c r="C22" s="14" t="s">
        <v>3909</v>
      </c>
      <c r="D22" s="5" t="str">
        <f ca="1">IFERROR(__xludf.DUMMYFUNCTION("GOOGLETRANSLATE(B22,""ja"",""vi"")"),"Nhật Bản phim")</f>
        <v>Nhật Bản phim</v>
      </c>
      <c r="E22" s="4" t="str">
        <f ca="1">IFERROR(__xludf.DUMMYFUNCTION("GOOGLETRANSLATE(C22,""ja"",""vi"")"),"Đấu giá&gt; Âm nhạc&gt; CD&gt; nhạc phim&gt; Nhật Bản phim")</f>
        <v>Đấu giá&gt; Âm nhạc&gt; CD&gt; nhạc phim&gt; Nhật Bản phim</v>
      </c>
      <c r="F22" t="str">
        <f t="shared" ca="1" si="0"/>
        <v>"2084047960" : "Nhật Bản phim",</v>
      </c>
    </row>
    <row r="23" spans="1:6" ht="15.75" customHeight="1">
      <c r="A23" s="14">
        <v>2084041495</v>
      </c>
      <c r="B23" s="14" t="s">
        <v>46</v>
      </c>
      <c r="C23" s="14" t="s">
        <v>3914</v>
      </c>
      <c r="D23" s="5" t="str">
        <f ca="1">IFERROR(__xludf.DUMMYFUNCTION("GOOGLETRANSLATE(B23,""ja"",""vi"")"),"nếu không thì")</f>
        <v>nếu không thì</v>
      </c>
      <c r="E23" s="4" t="str">
        <f ca="1">IFERROR(__xludf.DUMMYFUNCTION("GOOGLETRANSLATE(C23,""ja"",""vi"")"),"Đấu giá&gt; Âm nhạc&gt; CD&gt; nhạc phim&gt; Khác")</f>
        <v>Đấu giá&gt; Âm nhạc&gt; CD&gt; nhạc phim&gt; Khác</v>
      </c>
      <c r="F23" t="str">
        <f t="shared" ca="1" si="0"/>
        <v>"2084041495" : "nếu không thì",</v>
      </c>
    </row>
    <row r="24" spans="1:6" ht="15.75" customHeight="1">
      <c r="A24" s="14">
        <v>2084006959</v>
      </c>
      <c r="B24" s="14" t="s">
        <v>3918</v>
      </c>
      <c r="C24" s="14" t="s">
        <v>3920</v>
      </c>
      <c r="D24" s="5" t="str">
        <f ca="1">IFERROR(__xludf.DUMMYFUNCTION("GOOGLETRANSLATE(B24,""ja"",""vi"")"),"Anime chung bài hát")</f>
        <v>Anime chung bài hát</v>
      </c>
      <c r="E24" s="4" t="str">
        <f ca="1">IFERROR(__xludf.DUMMYFUNCTION("GOOGLETRANSLATE(C24,""ja"",""vi"")"),"Đấu giá&gt; Âm nhạc&gt; CD&gt; phim hoạt hình bài hát&gt; phim hoạt hình nói chung bài hát")</f>
        <v>Đấu giá&gt; Âm nhạc&gt; CD&gt; phim hoạt hình bài hát&gt; phim hoạt hình nói chung bài hát</v>
      </c>
      <c r="F24" t="str">
        <f t="shared" ca="1" si="0"/>
        <v>"2084006959" : "Anime chung bài hát",</v>
      </c>
    </row>
    <row r="25" spans="1:6" ht="15.75" customHeight="1">
      <c r="A25" s="14">
        <v>2084047607</v>
      </c>
      <c r="B25" s="14" t="s">
        <v>1251</v>
      </c>
      <c r="C25" s="14" t="s">
        <v>3925</v>
      </c>
      <c r="D25" s="5" t="str">
        <f ca="1">IFERROR(__xludf.DUMMYFUNCTION("GOOGLETRANSLATE(B25,""ja"",""vi"")"),"Fushigi Yugi")</f>
        <v>Fushigi Yugi</v>
      </c>
      <c r="E25" s="4" t="str">
        <f ca="1">IFERROR(__xludf.DUMMYFUNCTION("GOOGLETRANSLATE(C25,""ja"",""vi"")"),"Đấu giá&gt; Âm nhạc&gt; CD&gt; phim hoạt hình bài hát&gt; Fushigi Yugi")</f>
        <v>Đấu giá&gt; Âm nhạc&gt; CD&gt; phim hoạt hình bài hát&gt; Fushigi Yugi</v>
      </c>
      <c r="F25" t="str">
        <f t="shared" ca="1" si="0"/>
        <v>"2084047607" : "Fushigi Yugi",</v>
      </c>
    </row>
    <row r="26" spans="1:6" ht="15.75" customHeight="1">
      <c r="A26" s="14">
        <v>2084006960</v>
      </c>
      <c r="B26" s="14" t="s">
        <v>436</v>
      </c>
      <c r="C26" s="14" t="s">
        <v>3930</v>
      </c>
      <c r="D26" s="5" t="str">
        <f ca="1">IFERROR(__xludf.DUMMYFUNCTION("GOOGLETRANSLATE(B26,""ja"",""vi"")"),"Gundam")</f>
        <v>Gundam</v>
      </c>
      <c r="E26" s="4" t="str">
        <f ca="1">IFERROR(__xludf.DUMMYFUNCTION("GOOGLETRANSLATE(C26,""ja"",""vi"")"),"Đấu giá&gt; Âm nhạc&gt; CD&gt; phim hoạt hình bài hát&gt; Gundam")</f>
        <v>Đấu giá&gt; Âm nhạc&gt; CD&gt; phim hoạt hình bài hát&gt; Gundam</v>
      </c>
      <c r="F26" t="str">
        <f t="shared" ca="1" si="0"/>
        <v>"2084006960" : "Gundam",</v>
      </c>
    </row>
    <row r="27" spans="1:6" ht="15.75" customHeight="1">
      <c r="A27" s="14">
        <v>2084243365</v>
      </c>
      <c r="B27" s="14" t="s">
        <v>3932</v>
      </c>
      <c r="C27" s="14" t="s">
        <v>3934</v>
      </c>
      <c r="D27" s="5" t="str">
        <f ca="1">IFERROR(__xludf.DUMMYFUNCTION("GOOGLETRANSLATE(B27,""ja"",""vi"")"),"Studio Ghibli")</f>
        <v>Studio Ghibli</v>
      </c>
      <c r="E27" s="4" t="str">
        <f ca="1">IFERROR(__xludf.DUMMYFUNCTION("GOOGLETRANSLATE(C27,""ja"",""vi"")"),"Đấu giá&gt; Âm nhạc&gt; CD&gt; phim hoạt hình bài hát&gt; Studio Ghibli")</f>
        <v>Đấu giá&gt; Âm nhạc&gt; CD&gt; phim hoạt hình bài hát&gt; Studio Ghibli</v>
      </c>
      <c r="F27" t="str">
        <f t="shared" ca="1" si="0"/>
        <v>"2084243365" : "Studio Ghibli",</v>
      </c>
    </row>
    <row r="28" spans="1:6" ht="15.75" customHeight="1">
      <c r="A28" s="14">
        <v>2084006963</v>
      </c>
      <c r="B28" s="14" t="s">
        <v>755</v>
      </c>
      <c r="C28" s="14" t="s">
        <v>3938</v>
      </c>
      <c r="D28" s="5" t="str">
        <f ca="1">IFERROR(__xludf.DUMMYFUNCTION("GOOGLETRANSLATE(B28,""ja"",""vi"")"),"Slayers")</f>
        <v>Slayers</v>
      </c>
      <c r="E28" s="4" t="str">
        <f ca="1">IFERROR(__xludf.DUMMYFUNCTION("GOOGLETRANSLATE(C28,""ja"",""vi"")"),"Đấu giá&gt; Âm nhạc&gt; CD&gt; phim hoạt hình bài hát&gt; Slayers")</f>
        <v>Đấu giá&gt; Âm nhạc&gt; CD&gt; phim hoạt hình bài hát&gt; Slayers</v>
      </c>
      <c r="F28" t="str">
        <f t="shared" ca="1" si="0"/>
        <v>"2084006963" : "Slayers",</v>
      </c>
    </row>
    <row r="29" spans="1:6" ht="15.75" customHeight="1">
      <c r="A29" s="14">
        <v>2084243366</v>
      </c>
      <c r="B29" s="14" t="s">
        <v>2828</v>
      </c>
      <c r="C29" s="14" t="s">
        <v>3942</v>
      </c>
      <c r="D29" s="5" t="str">
        <f ca="1">IFERROR(__xludf.DUMMYFUNCTION("GOOGLETRANSLATE(B29,""ja"",""vi"")"),"Disney")</f>
        <v>Disney</v>
      </c>
      <c r="E29" s="4" t="str">
        <f ca="1">IFERROR(__xludf.DUMMYFUNCTION("GOOGLETRANSLATE(C29,""ja"",""vi"")"),"Đấu giá&gt; Âm nhạc&gt; CD&gt; phim hoạt hình bài hát&gt; Disney")</f>
        <v>Đấu giá&gt; Âm nhạc&gt; CD&gt; phim hoạt hình bài hát&gt; Disney</v>
      </c>
      <c r="F29" t="str">
        <f t="shared" ca="1" si="0"/>
        <v>"2084243366" : "Disney",</v>
      </c>
    </row>
    <row r="30" spans="1:6" ht="15.75" customHeight="1">
      <c r="A30" s="14">
        <v>2084006965</v>
      </c>
      <c r="B30" s="14" t="s">
        <v>1494</v>
      </c>
      <c r="C30" s="14" t="s">
        <v>3948</v>
      </c>
      <c r="D30" s="5" t="str">
        <f ca="1">IFERROR(__xludf.DUMMYFUNCTION("GOOGLETRANSLATE(B30,""ja"",""vi"")"),"Macross")</f>
        <v>Macross</v>
      </c>
      <c r="E30" s="4" t="str">
        <f ca="1">IFERROR(__xludf.DUMMYFUNCTION("GOOGLETRANSLATE(C30,""ja"",""vi"")"),"Đấu giá&gt; Âm nhạc&gt; CD&gt; phim hoạt hình bài hát&gt; Macross")</f>
        <v>Đấu giá&gt; Âm nhạc&gt; CD&gt; phim hoạt hình bài hát&gt; Macross</v>
      </c>
      <c r="F30" t="str">
        <f t="shared" ca="1" si="0"/>
        <v>"2084006965" : "Macross",</v>
      </c>
    </row>
    <row r="31" spans="1:6" ht="15.75" customHeight="1">
      <c r="A31" s="14">
        <v>2084006968</v>
      </c>
      <c r="B31" s="14" t="s">
        <v>1740</v>
      </c>
      <c r="C31" s="14" t="s">
        <v>3955</v>
      </c>
      <c r="D31" s="5" t="str">
        <f ca="1">IFERROR(__xludf.DUMMYFUNCTION("GOOGLETRANSLATE(B31,""ja"",""vi"")"),"Lupin III")</f>
        <v>Lupin III</v>
      </c>
      <c r="E31" s="4" t="str">
        <f ca="1">IFERROR(__xludf.DUMMYFUNCTION("GOOGLETRANSLATE(C31,""ja"",""vi"")"),"Đấu giá&gt; Âm nhạc&gt; CD&gt; phim hoạt hình bài hát&gt; Lupin the Third")</f>
        <v>Đấu giá&gt; Âm nhạc&gt; CD&gt; phim hoạt hình bài hát&gt; Lupin the Third</v>
      </c>
      <c r="F31" t="str">
        <f t="shared" ca="1" si="0"/>
        <v>"2084006968" : "Lupin III",</v>
      </c>
    </row>
    <row r="32" spans="1:6" ht="15.75" customHeight="1">
      <c r="A32" s="14">
        <v>2084006969</v>
      </c>
      <c r="B32" s="14" t="s">
        <v>561</v>
      </c>
      <c r="C32" s="14" t="s">
        <v>3960</v>
      </c>
      <c r="D32" s="5" t="str">
        <f ca="1">IFERROR(__xludf.DUMMYFUNCTION("GOOGLETRANSLATE(B32,""ja"",""vi"")"),"Nadesico")</f>
        <v>Nadesico</v>
      </c>
      <c r="E32" s="4" t="str">
        <f ca="1">IFERROR(__xludf.DUMMYFUNCTION("GOOGLETRANSLATE(C32,""ja"",""vi"")"),"Đấu giá&gt; Âm nhạc&gt; CD&gt; phim hoạt hình bài hát&gt; Nadesico")</f>
        <v>Đấu giá&gt; Âm nhạc&gt; CD&gt; phim hoạt hình bài hát&gt; Nadesico</v>
      </c>
      <c r="F32" t="str">
        <f t="shared" ca="1" si="0"/>
        <v>"2084006969" : "Nadesico",</v>
      </c>
    </row>
    <row r="33" spans="1:6" ht="15.75" customHeight="1">
      <c r="A33" s="14">
        <v>2084006962</v>
      </c>
      <c r="B33" s="14" t="s">
        <v>820</v>
      </c>
      <c r="C33" s="14" t="s">
        <v>3965</v>
      </c>
      <c r="D33" s="5" t="str">
        <f ca="1">IFERROR(__xludf.DUMMYFUNCTION("GOOGLETRANSLATE(B33,""ja"",""vi"")"),"Tương lai GPX Cyber ​​Formula")</f>
        <v>Tương lai GPX Cyber ​​Formula</v>
      </c>
      <c r="E33" s="4" t="str">
        <f ca="1">IFERROR(__xludf.DUMMYFUNCTION("GOOGLETRANSLATE(C33,""ja"",""vi"")"),"Đấu giá&gt; Âm nhạc&gt; CD&gt; phim hoạt hình bài hát&gt; Future GPX Cyber ​​Formula")</f>
        <v>Đấu giá&gt; Âm nhạc&gt; CD&gt; phim hoạt hình bài hát&gt; Future GPX Cyber ​​Formula</v>
      </c>
      <c r="F33" t="str">
        <f t="shared" ca="1" si="0"/>
        <v>"2084006962" : "Tương lai GPX Cyber ​​Formula",</v>
      </c>
    </row>
    <row r="34" spans="1:6" ht="15.75" customHeight="1">
      <c r="A34" s="14">
        <v>2084006964</v>
      </c>
      <c r="B34" s="14" t="s">
        <v>826</v>
      </c>
      <c r="C34" s="14" t="s">
        <v>3968</v>
      </c>
      <c r="D34" s="5" t="str">
        <f ca="1">IFERROR(__xludf.DUMMYFUNCTION("GOOGLETRANSLATE(B34,""ja"",""vi"")"),"Neon Genesis Evangelion")</f>
        <v>Neon Genesis Evangelion</v>
      </c>
      <c r="E34" s="4" t="str">
        <f ca="1">IFERROR(__xludf.DUMMYFUNCTION("GOOGLETRANSLATE(C34,""ja"",""vi"")"),"Đấu giá&gt; Âm nhạc&gt; CD&gt; phim hoạt hình bài hát&gt; Neon Genesis Evangelion")</f>
        <v>Đấu giá&gt; Âm nhạc&gt; CD&gt; phim hoạt hình bài hát&gt; Neon Genesis Evangelion</v>
      </c>
      <c r="F34" t="str">
        <f t="shared" ca="1" si="0"/>
        <v>"2084006964" : "Neon Genesis Evangelion",</v>
      </c>
    </row>
    <row r="35" spans="1:6" ht="15.75" customHeight="1">
      <c r="A35" s="14">
        <v>2084006970</v>
      </c>
      <c r="B35" s="14" t="s">
        <v>3972</v>
      </c>
      <c r="C35" s="14" t="s">
        <v>3974</v>
      </c>
      <c r="D35" s="5" t="str">
        <f ca="1">IFERROR(__xludf.DUMMYFUNCTION("GOOGLETRANSLATE(B35,""ja"",""vi"")"),"diễn viên Đài phát thanh")</f>
        <v>diễn viên Đài phát thanh</v>
      </c>
      <c r="E35" s="4" t="str">
        <f ca="1">IFERROR(__xludf.DUMMYFUNCTION("GOOGLETRANSLATE(C35,""ja"",""vi"")"),"Đấu giá&gt; Âm nhạc&gt; CD&gt; phim hoạt hình bài hát&gt; Diễn viên lồng tiếng")</f>
        <v>Đấu giá&gt; Âm nhạc&gt; CD&gt; phim hoạt hình bài hát&gt; Diễn viên lồng tiếng</v>
      </c>
      <c r="F35" t="str">
        <f t="shared" ca="1" si="0"/>
        <v>"2084006970" : "diễn viên Đài phát thanh",</v>
      </c>
    </row>
    <row r="36" spans="1:6" ht="15.75" customHeight="1">
      <c r="A36" s="14">
        <v>2084006967</v>
      </c>
      <c r="B36" s="14" t="s">
        <v>1127</v>
      </c>
      <c r="C36" s="14" t="s">
        <v>3978</v>
      </c>
      <c r="D36" s="5" t="str">
        <f ca="1">IFERROR(__xludf.DUMMYFUNCTION("GOOGLETRANSLATE(B36,""ja"",""vi"")"),"Tenchi Muyo!")</f>
        <v>Tenchi Muyo!</v>
      </c>
      <c r="E36" s="4" t="str">
        <f ca="1">IFERROR(__xludf.DUMMYFUNCTION("GOOGLETRANSLATE(C36,""ja"",""vi"")"),"Đấu giá&gt; Âm nhạc&gt; CD&gt; phim hoạt hình bài hát&gt; Tenchi Muyo!")</f>
        <v>Đấu giá&gt; Âm nhạc&gt; CD&gt; phim hoạt hình bài hát&gt; Tenchi Muyo!</v>
      </c>
      <c r="F36" t="str">
        <f t="shared" ca="1" si="0"/>
        <v>"2084006967" : "Tenchi Muyo!",</v>
      </c>
    </row>
    <row r="37" spans="1:6" ht="15.75" customHeight="1">
      <c r="A37" s="14">
        <v>2084006966</v>
      </c>
      <c r="B37" s="14" t="s">
        <v>1684</v>
      </c>
      <c r="C37" s="14" t="s">
        <v>3983</v>
      </c>
      <c r="D37" s="5" t="str">
        <f ca="1">IFERROR(__xludf.DUMMYFUNCTION("GOOGLETRANSLATE(B37,""ja"",""vi"")"),"Yu Yu Hakusho")</f>
        <v>Yu Yu Hakusho</v>
      </c>
      <c r="E37" s="4" t="str">
        <f ca="1">IFERROR(__xludf.DUMMYFUNCTION("GOOGLETRANSLATE(C37,""ja"",""vi"")"),"Đấu giá&gt; Âm nhạc&gt; CD&gt; phim hoạt hình bài hát&gt; Yu Yu Hakusho")</f>
        <v>Đấu giá&gt; Âm nhạc&gt; CD&gt; phim hoạt hình bài hát&gt; Yu Yu Hakusho</v>
      </c>
      <c r="F37" t="str">
        <f t="shared" ca="1" si="0"/>
        <v>"2084006966" : "Yu Yu Hakusho",</v>
      </c>
    </row>
    <row r="38" spans="1:6" ht="15.75" customHeight="1">
      <c r="A38" s="14">
        <v>2084047451</v>
      </c>
      <c r="B38" s="14" t="s">
        <v>3986</v>
      </c>
      <c r="C38" s="14" t="s">
        <v>3988</v>
      </c>
      <c r="D38" s="5" t="str">
        <f ca="1">IFERROR(__xludf.DUMMYFUNCTION("GOOGLETRANSLATE(B38,""ja"",""vi"")"),"CD Sách, CD Drama")</f>
        <v>CD Sách, CD Drama</v>
      </c>
      <c r="E38" s="4" t="str">
        <f ca="1">IFERROR(__xludf.DUMMYFUNCTION("GOOGLETRANSLATE(C38,""ja"",""vi"")"),"Đấu giá&gt; Âm nhạc&gt; CD&gt; phim hoạt hình bài hát&gt; CD Sách, CD Drama")</f>
        <v>Đấu giá&gt; Âm nhạc&gt; CD&gt; phim hoạt hình bài hát&gt; CD Sách, CD Drama</v>
      </c>
      <c r="F38" t="str">
        <f t="shared" ca="1" si="0"/>
        <v>"2084047451" : "CD Sách, CD Drama",</v>
      </c>
    </row>
    <row r="39" spans="1:6" ht="15.75" customHeight="1">
      <c r="A39" s="14">
        <v>2084006950</v>
      </c>
      <c r="B39" s="14" t="s">
        <v>3991</v>
      </c>
      <c r="C39" s="14" t="s">
        <v>3992</v>
      </c>
      <c r="D39" s="5" t="str">
        <f ca="1">IFERROR(__xludf.DUMMYFUNCTION("GOOGLETRANSLATE(B39,""ja"",""vi"")"),"Jazz chung")</f>
        <v>Jazz chung</v>
      </c>
      <c r="E39" s="4" t="str">
        <f ca="1">IFERROR(__xludf.DUMMYFUNCTION("GOOGLETRANSLATE(C39,""ja"",""vi"")"),"Đấu giá&gt; Âm nhạc&gt; CD&gt; Nhạc Jazz&gt; chung Jazz")</f>
        <v>Đấu giá&gt; Âm nhạc&gt; CD&gt; Nhạc Jazz&gt; chung Jazz</v>
      </c>
      <c r="F39" t="str">
        <f t="shared" ca="1" si="0"/>
        <v>"2084006950" : "Jazz chung",</v>
      </c>
    </row>
    <row r="40" spans="1:6" ht="15.75" customHeight="1">
      <c r="A40" s="14">
        <v>2084006953</v>
      </c>
      <c r="B40" s="14" t="s">
        <v>3996</v>
      </c>
      <c r="C40" s="14" t="s">
        <v>3997</v>
      </c>
      <c r="D40" s="5" t="str">
        <f ca="1">IFERROR(__xludf.DUMMYFUNCTION("GOOGLETRANSLATE(B40,""ja"",""vi"")"),"Fusion")</f>
        <v>Fusion</v>
      </c>
      <c r="E40" s="4" t="str">
        <f ca="1">IFERROR(__xludf.DUMMYFUNCTION("GOOGLETRANSLATE(C40,""ja"",""vi"")"),"Đấu giá&gt; Âm nhạc&gt; CD&gt; Nhạc Jazz&gt; Fusion")</f>
        <v>Đấu giá&gt; Âm nhạc&gt; CD&gt; Nhạc Jazz&gt; Fusion</v>
      </c>
      <c r="F40" t="str">
        <f t="shared" ca="1" si="0"/>
        <v>"2084006953" : "Fusion",</v>
      </c>
    </row>
    <row r="41" spans="1:6" ht="15.75" customHeight="1">
      <c r="A41" s="14">
        <v>2084006951</v>
      </c>
      <c r="B41" s="14" t="s">
        <v>4002</v>
      </c>
      <c r="C41" s="14" t="s">
        <v>4003</v>
      </c>
      <c r="D41" s="5" t="str">
        <f ca="1">IFERROR(__xludf.DUMMYFUNCTION("GOOGLETRANSLATE(B41,""ja"",""vi"")"),"vocal")</f>
        <v>vocal</v>
      </c>
      <c r="E41" s="4" t="str">
        <f ca="1">IFERROR(__xludf.DUMMYFUNCTION("GOOGLETRANSLATE(C41,""ja"",""vi"")"),"Đấu giá&gt; Âm nhạc&gt; CD&gt; Nhạc Jazz&gt; vocal")</f>
        <v>Đấu giá&gt; Âm nhạc&gt; CD&gt; Nhạc Jazz&gt; vocal</v>
      </c>
      <c r="F41" t="str">
        <f t="shared" ca="1" si="0"/>
        <v>"2084006951" : "vocal",</v>
      </c>
    </row>
    <row r="42" spans="1:6" ht="15.75" customHeight="1">
      <c r="A42" s="14">
        <v>2084054244</v>
      </c>
      <c r="B42" s="14" t="s">
        <v>4007</v>
      </c>
      <c r="C42" s="14" t="s">
        <v>4008</v>
      </c>
      <c r="D42" s="5" t="str">
        <f ca="1">IFERROR(__xludf.DUMMYFUNCTION("GOOGLETRANSLATE(B42,""ja"",""vi"")"),"Biên soạn, VA")</f>
        <v>Biên soạn, VA</v>
      </c>
      <c r="E42" s="4" t="str">
        <f ca="1">IFERROR(__xludf.DUMMYFUNCTION("GOOGLETRANSLATE(C42,""ja"",""vi"")"),"Đấu giá&gt; Âm nhạc&gt; CD&gt; Nhạc Jazz&gt; biên soạn, omnibus")</f>
        <v>Đấu giá&gt; Âm nhạc&gt; CD&gt; Nhạc Jazz&gt; biên soạn, omnibus</v>
      </c>
      <c r="F42" t="str">
        <f t="shared" ca="1" si="0"/>
        <v>"2084054244" : "Biên soạn, VA",</v>
      </c>
    </row>
    <row r="43" spans="1:6" ht="15.75" customHeight="1">
      <c r="A43" s="14">
        <v>2084041481</v>
      </c>
      <c r="B43" s="14" t="s">
        <v>4011</v>
      </c>
      <c r="C43" s="14" t="s">
        <v>4013</v>
      </c>
      <c r="D43" s="5" t="str">
        <f ca="1">IFERROR(__xludf.DUMMYFUNCTION("GOOGLETRANSLATE(B43,""ja"",""vi"")"),"khúc nhạc")</f>
        <v>khúc nhạc</v>
      </c>
      <c r="E43" s="4" t="str">
        <f ca="1">IFERROR(__xludf.DUMMYFUNCTION("GOOGLETRANSLATE(C43,""ja"",""vi"")"),"Đấu giá&gt; Âm nhạc&gt; CD&gt; cổ điển&gt; giao hưởng")</f>
        <v>Đấu giá&gt; Âm nhạc&gt; CD&gt; cổ điển&gt; giao hưởng</v>
      </c>
      <c r="F43" t="str">
        <f t="shared" ca="1" si="0"/>
        <v>"2084041481" : "khúc nhạc",</v>
      </c>
    </row>
    <row r="44" spans="1:6" ht="15.75" customHeight="1">
      <c r="A44" s="14">
        <v>2084057670</v>
      </c>
      <c r="B44" s="14" t="s">
        <v>4015</v>
      </c>
      <c r="C44" s="14" t="s">
        <v>4017</v>
      </c>
      <c r="D44" s="5" t="str">
        <f ca="1">IFERROR(__xludf.DUMMYFUNCTION("GOOGLETRANSLATE(B44,""ja"",""vi"")"),"âm nhạc cho dàn nhạc")</f>
        <v>âm nhạc cho dàn nhạc</v>
      </c>
      <c r="E44" s="4" t="str">
        <f ca="1">IFERROR(__xludf.DUMMYFUNCTION("GOOGLETRANSLATE(C44,""ja"",""vi"")"),"Đấu giá&gt; Âm nhạc&gt; CD&gt; Cổ điển&gt; Orchestra")</f>
        <v>Đấu giá&gt; Âm nhạc&gt; CD&gt; Cổ điển&gt; Orchestra</v>
      </c>
      <c r="F44" t="str">
        <f t="shared" ca="1" si="0"/>
        <v>"2084057670" : "âm nhạc cho dàn nhạc",</v>
      </c>
    </row>
    <row r="45" spans="1:6" ht="15.75" customHeight="1">
      <c r="A45" s="14">
        <v>2084041482</v>
      </c>
      <c r="B45" s="14" t="s">
        <v>4021</v>
      </c>
      <c r="C45" s="14" t="s">
        <v>4022</v>
      </c>
      <c r="D45" s="5" t="str">
        <f ca="1">IFERROR(__xludf.DUMMYFUNCTION("GOOGLETRANSLATE(B45,""ja"",""vi"")"),"nhạc hợp tấu")</f>
        <v>nhạc hợp tấu</v>
      </c>
      <c r="E45" s="4" t="str">
        <f ca="1">IFERROR(__xludf.DUMMYFUNCTION("GOOGLETRANSLATE(C45,""ja"",""vi"")"),"Đấu giá&gt; Âm nhạc&gt; CD&gt; cổ điển&gt; Concerto")</f>
        <v>Đấu giá&gt; Âm nhạc&gt; CD&gt; cổ điển&gt; Concerto</v>
      </c>
      <c r="F45" t="str">
        <f t="shared" ca="1" si="0"/>
        <v>"2084041482" : "nhạc hợp tấu",</v>
      </c>
    </row>
    <row r="46" spans="1:6" ht="15.75" customHeight="1">
      <c r="A46" s="14">
        <v>2084041483</v>
      </c>
      <c r="B46" s="14" t="s">
        <v>4026</v>
      </c>
      <c r="C46" s="14" t="s">
        <v>4027</v>
      </c>
      <c r="D46" s="5" t="str">
        <f ca="1">IFERROR(__xludf.DUMMYFUNCTION("GOOGLETRANSLATE(B46,""ja"",""vi"")"),"Chamber Music")</f>
        <v>Chamber Music</v>
      </c>
      <c r="E46" s="4" t="str">
        <f ca="1">IFERROR(__xludf.DUMMYFUNCTION("GOOGLETRANSLATE(C46,""ja"",""vi"")"),"Đấu giá&gt; Âm nhạc&gt; CD&gt; Cổ điển&gt; Chamber Music")</f>
        <v>Đấu giá&gt; Âm nhạc&gt; CD&gt; Cổ điển&gt; Chamber Music</v>
      </c>
      <c r="F46" t="str">
        <f t="shared" ca="1" si="0"/>
        <v>"2084041483" : "Chamber Music",</v>
      </c>
    </row>
    <row r="47" spans="1:6" ht="15.75" customHeight="1">
      <c r="A47" s="14">
        <v>2084041485</v>
      </c>
      <c r="B47" s="14" t="s">
        <v>4031</v>
      </c>
      <c r="C47" s="14" t="s">
        <v>4032</v>
      </c>
      <c r="D47" s="5" t="str">
        <f ca="1">IFERROR(__xludf.DUMMYFUNCTION("GOOGLETRANSLATE(B47,""ja"",""vi"")"),"âm nhạc Instrumental")</f>
        <v>âm nhạc Instrumental</v>
      </c>
      <c r="E47" s="4" t="str">
        <f ca="1">IFERROR(__xludf.DUMMYFUNCTION("GOOGLETRANSLATE(C47,""ja"",""vi"")"),"Đấu giá&gt; Âm nhạc&gt; CD&gt; Cổ điển&gt; Instrumental")</f>
        <v>Đấu giá&gt; Âm nhạc&gt; CD&gt; Cổ điển&gt; Instrumental</v>
      </c>
      <c r="F47" t="str">
        <f t="shared" ca="1" si="0"/>
        <v>"2084041485" : "âm nhạc Instrumental",</v>
      </c>
    </row>
    <row r="48" spans="1:6" ht="15.75" customHeight="1">
      <c r="A48" s="14">
        <v>2084258236</v>
      </c>
      <c r="B48" s="14" t="s">
        <v>4034</v>
      </c>
      <c r="C48" s="14" t="s">
        <v>4035</v>
      </c>
      <c r="D48" s="5" t="str">
        <f ca="1">IFERROR(__xludf.DUMMYFUNCTION("GOOGLETRANSLATE(B48,""ja"",""vi"")"),"gió âm nhạc")</f>
        <v>gió âm nhạc</v>
      </c>
      <c r="E48" s="4" t="str">
        <f ca="1">IFERROR(__xludf.DUMMYFUNCTION("GOOGLETRANSLATE(C48,""ja"",""vi"")"),"Đấu giá&gt; Âm nhạc&gt; CD&gt; Cổ điển&gt; Gió")</f>
        <v>Đấu giá&gt; Âm nhạc&gt; CD&gt; Cổ điển&gt; Gió</v>
      </c>
      <c r="F48" t="str">
        <f t="shared" ca="1" si="0"/>
        <v>"2084258236" : "gió âm nhạc",</v>
      </c>
    </row>
    <row r="49" spans="1:6" ht="15.75" customHeight="1">
      <c r="A49" s="14">
        <v>2084006957</v>
      </c>
      <c r="B49" s="14" t="s">
        <v>4039</v>
      </c>
      <c r="C49" s="14" t="s">
        <v>4040</v>
      </c>
      <c r="D49" s="5" t="str">
        <f ca="1">IFERROR(__xludf.DUMMYFUNCTION("GOOGLETRANSLATE(B49,""ja"",""vi"")"),"thanh nhạc")</f>
        <v>thanh nhạc</v>
      </c>
      <c r="E49" s="4" t="str">
        <f ca="1">IFERROR(__xludf.DUMMYFUNCTION("GOOGLETRANSLATE(C49,""ja"",""vi"")"),"Đấu giá&gt; Âm nhạc&gt; CD&gt; Cổ điển&gt; Vocal")</f>
        <v>Đấu giá&gt; Âm nhạc&gt; CD&gt; Cổ điển&gt; Vocal</v>
      </c>
      <c r="F49" t="str">
        <f t="shared" ca="1" si="0"/>
        <v>"2084006957" : "thanh nhạc",</v>
      </c>
    </row>
    <row r="50" spans="1:6" ht="15.75" customHeight="1">
      <c r="A50" s="14">
        <v>2084006954</v>
      </c>
      <c r="B50" s="14" t="s">
        <v>1170</v>
      </c>
      <c r="C50" s="14" t="s">
        <v>4046</v>
      </c>
      <c r="D50" s="5" t="str">
        <f ca="1">IFERROR(__xludf.DUMMYFUNCTION("GOOGLETRANSLATE(B50,""ja"",""vi"")"),"nhạc kịch")</f>
        <v>nhạc kịch</v>
      </c>
      <c r="E50" s="4" t="str">
        <f ca="1">IFERROR(__xludf.DUMMYFUNCTION("GOOGLETRANSLATE(C50,""ja"",""vi"")"),"Đấu giá&gt; Âm nhạc&gt; CD&gt; Cổ điển&gt; Opera")</f>
        <v>Đấu giá&gt; Âm nhạc&gt; CD&gt; Cổ điển&gt; Opera</v>
      </c>
      <c r="F50" t="str">
        <f t="shared" ca="1" si="0"/>
        <v>"2084006954" : "nhạc kịch",</v>
      </c>
    </row>
    <row r="51" spans="1:6" ht="15.75" customHeight="1">
      <c r="A51" s="14">
        <v>2084006956</v>
      </c>
      <c r="B51" s="14" t="s">
        <v>4050</v>
      </c>
      <c r="C51" s="14" t="s">
        <v>4052</v>
      </c>
      <c r="D51" s="5" t="str">
        <f ca="1">IFERROR(__xludf.DUMMYFUNCTION("GOOGLETRANSLATE(B51,""ja"",""vi"")"),"âm nhạc đương đại")</f>
        <v>âm nhạc đương đại</v>
      </c>
      <c r="E51" s="4" t="str">
        <f ca="1">IFERROR(__xludf.DUMMYFUNCTION("GOOGLETRANSLATE(C51,""ja"",""vi"")"),"Đấu giá&gt; Âm nhạc&gt; CD&gt; Cổ điển&gt; Contemporary Music")</f>
        <v>Đấu giá&gt; Âm nhạc&gt; CD&gt; Cổ điển&gt; Contemporary Music</v>
      </c>
      <c r="F51" t="str">
        <f t="shared" ca="1" si="0"/>
        <v>"2084006956" : "âm nhạc đương đại",</v>
      </c>
    </row>
    <row r="52" spans="1:6" ht="15.75" customHeight="1">
      <c r="A52" s="14">
        <v>2084054245</v>
      </c>
      <c r="B52" s="14" t="s">
        <v>4007</v>
      </c>
      <c r="C52" s="14" t="s">
        <v>4057</v>
      </c>
      <c r="D52" s="5" t="str">
        <f ca="1">IFERROR(__xludf.DUMMYFUNCTION("GOOGLETRANSLATE(B52,""ja"",""vi"")"),"Biên soạn, VA")</f>
        <v>Biên soạn, VA</v>
      </c>
      <c r="E52" s="4" t="str">
        <f ca="1">IFERROR(__xludf.DUMMYFUNCTION("GOOGLETRANSLATE(C52,""ja"",""vi"")"),"Đấu giá&gt; Âm nhạc&gt; CD&gt; Cổ điển&gt; biên soạn, omnibus")</f>
        <v>Đấu giá&gt; Âm nhạc&gt; CD&gt; Cổ điển&gt; biên soạn, omnibus</v>
      </c>
      <c r="F52" t="str">
        <f t="shared" ca="1" si="0"/>
        <v>"2084054245" : "Biên soạn, VA",</v>
      </c>
    </row>
    <row r="53" spans="1:6" ht="15.75" customHeight="1">
      <c r="A53" s="14">
        <v>2084006958</v>
      </c>
      <c r="B53" s="14" t="s">
        <v>46</v>
      </c>
      <c r="C53" s="14" t="s">
        <v>4062</v>
      </c>
      <c r="D53" s="5" t="str">
        <f ca="1">IFERROR(__xludf.DUMMYFUNCTION("GOOGLETRANSLATE(B53,""ja"",""vi"")"),"nếu không thì")</f>
        <v>nếu không thì</v>
      </c>
      <c r="E53" s="4" t="str">
        <f ca="1">IFERROR(__xludf.DUMMYFUNCTION("GOOGLETRANSLATE(C53,""ja"",""vi"")"),"Đấu giá&gt; Âm nhạc&gt; CD&gt; Cổ điển&gt; Khác")</f>
        <v>Đấu giá&gt; Âm nhạc&gt; CD&gt; Cổ điển&gt; Khác</v>
      </c>
      <c r="F53" t="str">
        <f t="shared" ca="1" si="0"/>
        <v>"2084006958" : "nếu không thì",</v>
      </c>
    </row>
    <row r="54" spans="1:6" ht="15.75" customHeight="1">
      <c r="A54" s="14">
        <v>2084048271</v>
      </c>
      <c r="B54" s="14" t="s">
        <v>4065</v>
      </c>
      <c r="C54" s="14" t="s">
        <v>4067</v>
      </c>
      <c r="D54" s="5" t="str">
        <f ca="1">IFERROR(__xludf.DUMMYFUNCTION("GOOGLETRANSLATE(B54,""ja"",""vi"")"),"Châu Á Pop")</f>
        <v>Châu Á Pop</v>
      </c>
      <c r="E54" s="4" t="str">
        <f ca="1">IFERROR(__xludf.DUMMYFUNCTION("GOOGLETRANSLATE(C54,""ja"",""vi"")"),"Đấu giá&gt; Âm nhạc&gt; CD&gt; Thế giới Âm nhạc&gt; Pop Châu Á")</f>
        <v>Đấu giá&gt; Âm nhạc&gt; CD&gt; Thế giới Âm nhạc&gt; Pop Châu Á</v>
      </c>
      <c r="F54" t="str">
        <f t="shared" ca="1" si="0"/>
        <v>"2084048271" : "Châu Á Pop",</v>
      </c>
    </row>
    <row r="55" spans="1:6" ht="15.75" customHeight="1">
      <c r="A55" s="14">
        <v>2084243369</v>
      </c>
      <c r="B55" s="14" t="s">
        <v>4069</v>
      </c>
      <c r="C55" s="14" t="s">
        <v>4071</v>
      </c>
      <c r="D55" s="5" t="str">
        <f ca="1">IFERROR(__xludf.DUMMYFUNCTION("GOOGLETRANSLATE(B55,""ja"",""vi"")"),"Châu phi")</f>
        <v>Châu phi</v>
      </c>
      <c r="E55" s="4" t="str">
        <f ca="1">IFERROR(__xludf.DUMMYFUNCTION("GOOGLETRANSLATE(C55,""ja"",""vi"")"),"Đấu giá&gt; Âm nhạc&gt; CD&gt; Âm nhạc thế giới&gt; Châu Phi")</f>
        <v>Đấu giá&gt; Âm nhạc&gt; CD&gt; Âm nhạc thế giới&gt; Châu Phi</v>
      </c>
      <c r="F55" t="str">
        <f t="shared" ca="1" si="0"/>
        <v>"2084243369" : "Châu phi",</v>
      </c>
    </row>
    <row r="56" spans="1:6" ht="15.75" customHeight="1">
      <c r="A56" s="14">
        <v>2084243368</v>
      </c>
      <c r="B56" s="14" t="s">
        <v>4073</v>
      </c>
      <c r="C56" s="14" t="s">
        <v>4074</v>
      </c>
      <c r="D56" s="5" t="str">
        <f ca="1">IFERROR(__xludf.DUMMYFUNCTION("GOOGLETRANSLATE(B56,""ja"",""vi"")"),"Indonesia, Bali")</f>
        <v>Indonesia, Bali</v>
      </c>
      <c r="E56" s="4" t="str">
        <f ca="1">IFERROR(__xludf.DUMMYFUNCTION("GOOGLETRANSLATE(C56,""ja"",""vi"")"),"Đấu giá&gt; Âm nhạc&gt; CD&gt; Thế giới Âm nhạc&gt; Indonesia, Bali")</f>
        <v>Đấu giá&gt; Âm nhạc&gt; CD&gt; Thế giới Âm nhạc&gt; Indonesia, Bali</v>
      </c>
      <c r="F56" t="str">
        <f t="shared" ca="1" si="0"/>
        <v>"2084243368" : "Indonesia, Bali",</v>
      </c>
    </row>
    <row r="57" spans="1:6" ht="15.75" customHeight="1">
      <c r="A57" s="14">
        <v>2084047846</v>
      </c>
      <c r="B57" s="14" t="s">
        <v>4078</v>
      </c>
      <c r="C57" s="14" t="s">
        <v>4080</v>
      </c>
      <c r="D57" s="5" t="str">
        <f ca="1">IFERROR(__xludf.DUMMYFUNCTION("GOOGLETRANSLATE(B57,""ja"",""vi"")"),"Đất nước Tây")</f>
        <v>Đất nước Tây</v>
      </c>
      <c r="E57" s="4" t="str">
        <f ca="1">IFERROR(__xludf.DUMMYFUNCTION("GOOGLETRANSLATE(C57,""ja"",""vi"")"),"Đấu giá&gt; Âm nhạc&gt; CD&gt; Thế giới Âm nhạc&gt; Quốc gia &amp; Tây")</f>
        <v>Đấu giá&gt; Âm nhạc&gt; CD&gt; Thế giới Âm nhạc&gt; Quốc gia &amp; Tây</v>
      </c>
      <c r="F57" t="str">
        <f t="shared" ca="1" si="0"/>
        <v>"2084047846" : "Đất nước Tây",</v>
      </c>
    </row>
    <row r="58" spans="1:6" ht="15.75" customHeight="1">
      <c r="A58" s="14">
        <v>2084047847</v>
      </c>
      <c r="B58" s="14" t="s">
        <v>4082</v>
      </c>
      <c r="C58" s="14" t="s">
        <v>4083</v>
      </c>
      <c r="D58" s="5" t="str">
        <f ca="1">IFERROR(__xludf.DUMMYFUNCTION("GOOGLETRANSLATE(B58,""ja"",""vi"")"),"Samba")</f>
        <v>Samba</v>
      </c>
      <c r="E58" s="4" t="str">
        <f ca="1">IFERROR(__xludf.DUMMYFUNCTION("GOOGLETRANSLATE(C58,""ja"",""vi"")"),"Đấu giá&gt; Âm nhạc&gt; CD&gt; Thế giới Âm nhạc&gt; samba")</f>
        <v>Đấu giá&gt; Âm nhạc&gt; CD&gt; Thế giới Âm nhạc&gt; samba</v>
      </c>
      <c r="F58" t="str">
        <f t="shared" ca="1" si="0"/>
        <v>"2084047847" : "Samba",</v>
      </c>
    </row>
    <row r="59" spans="1:6" ht="15.75" customHeight="1">
      <c r="A59" s="14">
        <v>2084261352</v>
      </c>
      <c r="B59" s="14" t="s">
        <v>4087</v>
      </c>
      <c r="C59" s="14" t="s">
        <v>4088</v>
      </c>
      <c r="D59" s="5" t="str">
        <f ca="1">IFERROR(__xludf.DUMMYFUNCTION("GOOGLETRANSLATE(B59,""ja"",""vi"")"),"Chanson")</f>
        <v>Chanson</v>
      </c>
      <c r="E59" s="4" t="str">
        <f ca="1">IFERROR(__xludf.DUMMYFUNCTION("GOOGLETRANSLATE(C59,""ja"",""vi"")"),"Đấu giá&gt; Âm nhạc&gt; CD&gt; Thế giới Âm nhạc&gt; chanson")</f>
        <v>Đấu giá&gt; Âm nhạc&gt; CD&gt; Thế giới Âm nhạc&gt; chanson</v>
      </c>
      <c r="F59" t="str">
        <f t="shared" ca="1" si="0"/>
        <v>"2084261352" : "Chanson",</v>
      </c>
    </row>
    <row r="60" spans="1:6" ht="15.75" customHeight="1">
      <c r="A60" s="14">
        <v>2084047845</v>
      </c>
      <c r="B60" s="14" t="s">
        <v>4090</v>
      </c>
      <c r="C60" s="14" t="s">
        <v>4092</v>
      </c>
      <c r="D60" s="5" t="str">
        <f ca="1">IFERROR(__xludf.DUMMYFUNCTION("GOOGLETRANSLATE(B60,""ja"",""vi"")"),"ska")</f>
        <v>ska</v>
      </c>
      <c r="E60" s="4" t="str">
        <f ca="1">IFERROR(__xludf.DUMMYFUNCTION("GOOGLETRANSLATE(C60,""ja"",""vi"")"),"Đấu giá&gt; Âm nhạc&gt; CD&gt; Thế giới Âm nhạc&gt; Ska")</f>
        <v>Đấu giá&gt; Âm nhạc&gt; CD&gt; Thế giới Âm nhạc&gt; Ska</v>
      </c>
      <c r="F60" t="str">
        <f t="shared" ca="1" si="0"/>
        <v>"2084047845" : "ska",</v>
      </c>
    </row>
    <row r="61" spans="1:6" ht="15.75" customHeight="1">
      <c r="A61" s="14">
        <v>2084243367</v>
      </c>
      <c r="B61" s="14" t="s">
        <v>4095</v>
      </c>
      <c r="C61" s="14" t="s">
        <v>4096</v>
      </c>
      <c r="D61" s="5" t="str">
        <f ca="1">IFERROR(__xludf.DUMMYFUNCTION("GOOGLETRANSLATE(B61,""ja"",""vi"")"),"Hawaii")</f>
        <v>Hawaii</v>
      </c>
      <c r="E61" s="4" t="str">
        <f ca="1">IFERROR(__xludf.DUMMYFUNCTION("GOOGLETRANSLATE(C61,""ja"",""vi"")"),"Đấu giá&gt; Âm nhạc&gt; CD&gt; Thế giới Âm nhạc&gt; Hawaii")</f>
        <v>Đấu giá&gt; Âm nhạc&gt; CD&gt; Thế giới Âm nhạc&gt; Hawaii</v>
      </c>
      <c r="F61" t="str">
        <f t="shared" ca="1" si="0"/>
        <v>"2084243367" : "Hawaii",</v>
      </c>
    </row>
    <row r="62" spans="1:6" ht="15.75" customHeight="1">
      <c r="A62" s="14">
        <v>2084048273</v>
      </c>
      <c r="B62" s="14" t="s">
        <v>4101</v>
      </c>
      <c r="C62" s="14" t="s">
        <v>4102</v>
      </c>
      <c r="D62" s="5" t="str">
        <f ca="1">IFERROR(__xludf.DUMMYFUNCTION("GOOGLETRANSLATE(B62,""ja"",""vi"")"),"Dân gian &amp; Country")</f>
        <v>Dân gian &amp; Country</v>
      </c>
      <c r="E62" s="4" t="str">
        <f ca="1">IFERROR(__xludf.DUMMYFUNCTION("GOOGLETRANSLATE(C62,""ja"",""vi"")"),"Đấu giá&gt; Âm nhạc&gt; CD&gt; Thế giới Âm nhạc&gt; Nhạc dân tộc &amp; Country")</f>
        <v>Đấu giá&gt; Âm nhạc&gt; CD&gt; Thế giới Âm nhạc&gt; Nhạc dân tộc &amp; Country</v>
      </c>
      <c r="F62" t="str">
        <f t="shared" ca="1" si="0"/>
        <v>"2084048273" : "Dân gian &amp; Country",</v>
      </c>
    </row>
    <row r="63" spans="1:6" ht="15.75" customHeight="1">
      <c r="A63" s="14">
        <v>2084047850</v>
      </c>
      <c r="B63" s="14" t="s">
        <v>4106</v>
      </c>
      <c r="C63" s="14" t="s">
        <v>4107</v>
      </c>
      <c r="D63" s="5" t="str">
        <f ca="1">IFERROR(__xludf.DUMMYFUNCTION("GOOGLETRANSLATE(B63,""ja"",""vi"")"),"flamenco")</f>
        <v>flamenco</v>
      </c>
      <c r="E63" s="4" t="str">
        <f ca="1">IFERROR(__xludf.DUMMYFUNCTION("GOOGLETRANSLATE(C63,""ja"",""vi"")"),"Đấu giá&gt; Âm nhạc&gt; CD&gt; Thế giới Âm nhạc&gt; Flamenco")</f>
        <v>Đấu giá&gt; Âm nhạc&gt; CD&gt; Thế giới Âm nhạc&gt; Flamenco</v>
      </c>
      <c r="F63" t="str">
        <f t="shared" ca="1" si="0"/>
        <v>"2084047850" : "flamenco",</v>
      </c>
    </row>
    <row r="64" spans="1:6" ht="15.75" customHeight="1">
      <c r="A64" s="14">
        <v>2084048272</v>
      </c>
      <c r="B64" s="14" t="s">
        <v>4110</v>
      </c>
      <c r="C64" s="14" t="s">
        <v>4111</v>
      </c>
      <c r="D64" s="5" t="str">
        <f ca="1">IFERROR(__xludf.DUMMYFUNCTION("GOOGLETRANSLATE(B64,""ja"",""vi"")"),"dân gian Anh, trad")</f>
        <v>dân gian Anh, trad</v>
      </c>
      <c r="E64" s="4" t="str">
        <f ca="1">IFERROR(__xludf.DUMMYFUNCTION("GOOGLETRANSLATE(C64,""ja"",""vi"")"),"Đấu giá&gt; Âm nhạc&gt; CD&gt; Thế giới Âm nhạc&gt; folk Anh, trad")</f>
        <v>Đấu giá&gt; Âm nhạc&gt; CD&gt; Thế giới Âm nhạc&gt; folk Anh, trad</v>
      </c>
      <c r="F64" t="str">
        <f t="shared" ca="1" si="0"/>
        <v>"2084048272" : "dân gian Anh, trad",</v>
      </c>
    </row>
    <row r="65" spans="1:6" ht="15.75" customHeight="1">
      <c r="A65" s="14">
        <v>2084047849</v>
      </c>
      <c r="B65" s="14" t="s">
        <v>4116</v>
      </c>
      <c r="C65" s="14" t="s">
        <v>4117</v>
      </c>
      <c r="D65" s="5" t="str">
        <f ca="1">IFERROR(__xludf.DUMMYFUNCTION("GOOGLETRANSLATE(B65,""ja"",""vi"")"),"Bossa Nova")</f>
        <v>Bossa Nova</v>
      </c>
      <c r="E65" s="4" t="str">
        <f ca="1">IFERROR(__xludf.DUMMYFUNCTION("GOOGLETRANSLATE(C65,""ja"",""vi"")"),"Đấu giá&gt; Âm nhạc&gt; CD&gt; Thế giới Âm nhạc&gt; Bossa Nova")</f>
        <v>Đấu giá&gt; Âm nhạc&gt; CD&gt; Thế giới Âm nhạc&gt; Bossa Nova</v>
      </c>
      <c r="F65" t="str">
        <f t="shared" ca="1" si="0"/>
        <v>"2084047849" : "Bossa Nova",</v>
      </c>
    </row>
    <row r="66" spans="1:6" ht="15.75" customHeight="1">
      <c r="A66" s="14">
        <v>2084047843</v>
      </c>
      <c r="B66" s="14" t="s">
        <v>4122</v>
      </c>
      <c r="C66" s="14" t="s">
        <v>4123</v>
      </c>
      <c r="D66" s="5" t="str">
        <f ca="1">IFERROR(__xludf.DUMMYFUNCTION("GOOGLETRANSLATE(B66,""ja"",""vi"")"),"Reggae")</f>
        <v>Reggae</v>
      </c>
      <c r="E66" s="4" t="str">
        <f ca="1">IFERROR(__xludf.DUMMYFUNCTION("GOOGLETRANSLATE(C66,""ja"",""vi"")"),"Đấu giá&gt; Âm nhạc&gt; CD&gt; Thế giới Âm nhạc&gt; Reggae")</f>
        <v>Đấu giá&gt; Âm nhạc&gt; CD&gt; Thế giới Âm nhạc&gt; Reggae</v>
      </c>
      <c r="F66" t="str">
        <f t="shared" ref="F66:F129" ca="1" si="1">CONCATENATE(CHAR(34)&amp;"",A66,""&amp;CHAR(34)," : ", CHAR(34)&amp;"",D66,""&amp;CHAR(34),",")</f>
        <v>"2084047843" : "Reggae",</v>
      </c>
    </row>
    <row r="67" spans="1:6" ht="15.75" customHeight="1">
      <c r="A67" s="14">
        <v>2084047848</v>
      </c>
      <c r="B67" s="14" t="s">
        <v>46</v>
      </c>
      <c r="C67" s="14" t="s">
        <v>4126</v>
      </c>
      <c r="D67" s="5" t="str">
        <f ca="1">IFERROR(__xludf.DUMMYFUNCTION("GOOGLETRANSLATE(B67,""ja"",""vi"")"),"nếu không thì")</f>
        <v>nếu không thì</v>
      </c>
      <c r="E67" s="4" t="str">
        <f ca="1">IFERROR(__xludf.DUMMYFUNCTION("GOOGLETRANSLATE(C67,""ja"",""vi"")"),"Đấu giá&gt; Âm nhạc&gt; CD&gt; Thế giới Âm nhạc&gt; Khác")</f>
        <v>Đấu giá&gt; Âm nhạc&gt; CD&gt; Thế giới Âm nhạc&gt; Khác</v>
      </c>
      <c r="F67" t="str">
        <f t="shared" ca="1" si="1"/>
        <v>"2084047848" : "nếu không thì",</v>
      </c>
    </row>
    <row r="68" spans="1:6" ht="15.75" customHeight="1">
      <c r="A68" s="14">
        <v>2084006972</v>
      </c>
      <c r="B68" s="14" t="s">
        <v>4127</v>
      </c>
      <c r="C68" s="14" t="s">
        <v>4128</v>
      </c>
      <c r="D68" s="5" t="str">
        <f ca="1">IFERROR(__xludf.DUMMYFUNCTION("GOOGLETRANSLATE(B68,""ja"",""vi"")"),"trò chơi chung")</f>
        <v>trò chơi chung</v>
      </c>
      <c r="E68" s="4" t="str">
        <f ca="1">IFERROR(__xludf.DUMMYFUNCTION("GOOGLETRANSLATE(C68,""ja"",""vi"")"),"Đấu giá&gt; Âm nhạc&gt; CD&gt; trò chơi âm nhạc&gt; chung trò chơi")</f>
        <v>Đấu giá&gt; Âm nhạc&gt; CD&gt; trò chơi âm nhạc&gt; chung trò chơi</v>
      </c>
      <c r="F68" t="str">
        <f t="shared" ca="1" si="1"/>
        <v>"2084006972" : "trò chơi chung",</v>
      </c>
    </row>
    <row r="69" spans="1:6" ht="15.75" customHeight="1">
      <c r="A69" s="14">
        <v>2084006974</v>
      </c>
      <c r="B69" s="14" t="s">
        <v>908</v>
      </c>
      <c r="C69" s="14" t="s">
        <v>4130</v>
      </c>
      <c r="D69" s="5" t="str">
        <f ca="1">IFERROR(__xludf.DUMMYFUNCTION("GOOGLETRANSLATE(B69,""ja"",""vi"")"),"Memorial Tokimeki")</f>
        <v>Memorial Tokimeki</v>
      </c>
      <c r="E69" s="4" t="str">
        <f ca="1">IFERROR(__xludf.DUMMYFUNCTION("GOOGLETRANSLATE(C69,""ja"",""vi"")"),"Đấu giá&gt; Âm nhạc&gt; CD&gt; trò chơi âm nhạc&gt; Memorial Tokimeki")</f>
        <v>Đấu giá&gt; Âm nhạc&gt; CD&gt; trò chơi âm nhạc&gt; Memorial Tokimeki</v>
      </c>
      <c r="F69" t="str">
        <f t="shared" ca="1" si="1"/>
        <v>"2084006974" : "Memorial Tokimeki",</v>
      </c>
    </row>
    <row r="70" spans="1:6" ht="15.75" customHeight="1">
      <c r="A70" s="14">
        <v>2084006978</v>
      </c>
      <c r="B70" s="14" t="s">
        <v>2061</v>
      </c>
      <c r="C70" s="14" t="s">
        <v>4133</v>
      </c>
      <c r="D70" s="5" t="str">
        <f ca="1">IFERROR(__xludf.DUMMYFUNCTION("GOOGLETRANSLATE(B70,""ja"",""vi"")"),"Sakura Wars")</f>
        <v>Sakura Wars</v>
      </c>
      <c r="E70" s="4" t="str">
        <f ca="1">IFERROR(__xludf.DUMMYFUNCTION("GOOGLETRANSLATE(C70,""ja"",""vi"")"),"Đấu giá&gt; Âm nhạc&gt; CD&gt; trò chơi âm nhạc&gt; Sakura Wars")</f>
        <v>Đấu giá&gt; Âm nhạc&gt; CD&gt; trò chơi âm nhạc&gt; Sakura Wars</v>
      </c>
      <c r="F70" t="str">
        <f t="shared" ca="1" si="1"/>
        <v>"2084006978" : "Sakura Wars",</v>
      </c>
    </row>
    <row r="71" spans="1:6" ht="15.75" customHeight="1">
      <c r="A71" s="14">
        <v>2084006977</v>
      </c>
      <c r="B71" s="14" t="s">
        <v>3142</v>
      </c>
      <c r="C71" s="14" t="s">
        <v>4137</v>
      </c>
      <c r="D71" s="5" t="str">
        <f ca="1">IFERROR(__xludf.DUMMYFUNCTION("GOOGLETRANSLATE(B71,""ja"",""vi"")"),"sentimental Graffiti")</f>
        <v>sentimental Graffiti</v>
      </c>
      <c r="E71" s="4" t="str">
        <f ca="1">IFERROR(__xludf.DUMMYFUNCTION("GOOGLETRANSLATE(C71,""ja"",""vi"")"),"Đấu giá&gt; Âm nhạc&gt; CD&gt; trò chơi âm nhạc&gt; Sentimental Graffiti")</f>
        <v>Đấu giá&gt; Âm nhạc&gt; CD&gt; trò chơi âm nhạc&gt; Sentimental Graffiti</v>
      </c>
      <c r="F71" t="str">
        <f t="shared" ca="1" si="1"/>
        <v>"2084006977" : "sentimental Graffiti",</v>
      </c>
    </row>
    <row r="72" spans="1:6" ht="15.75" customHeight="1">
      <c r="A72" s="14">
        <v>2084006976</v>
      </c>
      <c r="B72" s="14" t="s">
        <v>3166</v>
      </c>
      <c r="C72" s="14" t="s">
        <v>4142</v>
      </c>
      <c r="D72" s="5" t="str">
        <f ca="1">IFERROR(__xludf.DUMMYFUNCTION("GOOGLETRANSLATE(B72,""ja"",""vi"")"),"dragon Quest")</f>
        <v>dragon Quest</v>
      </c>
      <c r="E72" s="4" t="str">
        <f ca="1">IFERROR(__xludf.DUMMYFUNCTION("GOOGLETRANSLATE(C72,""ja"",""vi"")"),"Đấu giá&gt; Âm nhạc&gt; CD&gt; trò chơi âm nhạc&gt; Dragon Quest")</f>
        <v>Đấu giá&gt; Âm nhạc&gt; CD&gt; trò chơi âm nhạc&gt; Dragon Quest</v>
      </c>
      <c r="F72" t="str">
        <f t="shared" ca="1" si="1"/>
        <v>"2084006976" : "dragon Quest",</v>
      </c>
    </row>
    <row r="73" spans="1:6" ht="15.75" customHeight="1">
      <c r="A73" s="14">
        <v>2084006975</v>
      </c>
      <c r="B73" s="14" t="s">
        <v>3174</v>
      </c>
      <c r="C73" s="14" t="s">
        <v>4146</v>
      </c>
      <c r="D73" s="5" t="str">
        <f ca="1">IFERROR(__xludf.DUMMYFUNCTION("GOOGLETRANSLATE(B73,""ja"",""vi"")"),"Final fantasy")</f>
        <v>Final fantasy</v>
      </c>
      <c r="E73" s="4" t="str">
        <f ca="1">IFERROR(__xludf.DUMMYFUNCTION("GOOGLETRANSLATE(C73,""ja"",""vi"")"),"Đấu giá&gt; Âm nhạc&gt; CD&gt; trò chơi âm nhạc&gt; Final Fantasy")</f>
        <v>Đấu giá&gt; Âm nhạc&gt; CD&gt; trò chơi âm nhạc&gt; Final Fantasy</v>
      </c>
      <c r="F73" t="str">
        <f t="shared" ca="1" si="1"/>
        <v>"2084006975" : "Final fantasy",</v>
      </c>
    </row>
    <row r="74" spans="1:6" ht="15.75" customHeight="1">
      <c r="A74" s="14">
        <v>2084047451</v>
      </c>
      <c r="B74" s="14" t="s">
        <v>4150</v>
      </c>
      <c r="C74" s="14" t="s">
        <v>4151</v>
      </c>
      <c r="D74" s="5" t="str">
        <f ca="1">IFERROR(__xludf.DUMMYFUNCTION("GOOGLETRANSLATE(B74,""ja"",""vi"")"),"CD cuốn sách")</f>
        <v>CD cuốn sách</v>
      </c>
      <c r="E74" s="4" t="str">
        <f ca="1">IFERROR(__xludf.DUMMYFUNCTION("GOOGLETRANSLATE(C74,""ja"",""vi"")"),"Đấu giá&gt; Âm nhạc&gt; CD&gt; trò chơi âm nhạc&gt; CD cuốn sách")</f>
        <v>Đấu giá&gt; Âm nhạc&gt; CD&gt; trò chơi âm nhạc&gt; CD cuốn sách</v>
      </c>
      <c r="F74" t="str">
        <f t="shared" ca="1" si="1"/>
        <v>"2084047451" : "CD cuốn sách",</v>
      </c>
    </row>
    <row r="75" spans="1:6" ht="15.75" customHeight="1">
      <c r="A75" s="14">
        <v>2084048268</v>
      </c>
      <c r="B75" s="14" t="s">
        <v>4156</v>
      </c>
      <c r="C75" s="14" t="s">
        <v>4157</v>
      </c>
      <c r="D75" s="5" t="str">
        <f ca="1">IFERROR(__xludf.DUMMYFUNCTION("GOOGLETRANSLATE(B75,""ja"",""vi"")"),"ở xung quanh")</f>
        <v>ở xung quanh</v>
      </c>
      <c r="E75" s="4" t="str">
        <f ca="1">IFERROR(__xludf.DUMMYFUNCTION("GOOGLETRANSLATE(C75,""ja"",""vi"")"),"Đấu giá&gt; Âm nhạc&gt; CD&gt; Club, Dance&gt; Ambient")</f>
        <v>Đấu giá&gt; Âm nhạc&gt; CD&gt; Club, Dance&gt; Ambient</v>
      </c>
      <c r="F75" t="str">
        <f t="shared" ca="1" si="1"/>
        <v>"2084048268" : "ở xung quanh",</v>
      </c>
    </row>
    <row r="76" spans="1:6" ht="15.75" customHeight="1">
      <c r="A76" s="14">
        <v>2084044746</v>
      </c>
      <c r="B76" s="14" t="s">
        <v>4160</v>
      </c>
      <c r="C76" s="14" t="s">
        <v>4162</v>
      </c>
      <c r="D76" s="5" t="str">
        <f ca="1">IFERROR(__xludf.DUMMYFUNCTION("GOOGLETRANSLATE(B76,""ja"",""vi"")"),"Techno")</f>
        <v>Techno</v>
      </c>
      <c r="E76" s="4" t="str">
        <f ca="1">IFERROR(__xludf.DUMMYFUNCTION("GOOGLETRANSLATE(C76,""ja"",""vi"")"),"Đấu giá&gt; Âm nhạc&gt; CD&gt; Club, Dance&gt; Techno")</f>
        <v>Đấu giá&gt; Âm nhạc&gt; CD&gt; Club, Dance&gt; Techno</v>
      </c>
      <c r="F76" t="str">
        <f t="shared" ca="1" si="1"/>
        <v>"2084044746" : "Techno",</v>
      </c>
    </row>
    <row r="77" spans="1:6" ht="15.75" customHeight="1">
      <c r="A77" s="14">
        <v>2084044747</v>
      </c>
      <c r="B77" s="14" t="s">
        <v>4168</v>
      </c>
      <c r="C77" s="14" t="s">
        <v>4169</v>
      </c>
      <c r="D77" s="5" t="str">
        <f ca="1">IFERROR(__xludf.DUMMYFUNCTION("GOOGLETRANSLATE(B77,""ja"",""vi"")"),"sàn nhảy")</f>
        <v>sàn nhảy</v>
      </c>
      <c r="E77" s="4" t="str">
        <f ca="1">IFERROR(__xludf.DUMMYFUNCTION("GOOGLETRANSLATE(C77,""ja"",""vi"")"),"Đấu giá&gt; Âm nhạc&gt; CD&gt; Club, Dance&gt; sàn nhảy")</f>
        <v>Đấu giá&gt; Âm nhạc&gt; CD&gt; Club, Dance&gt; sàn nhảy</v>
      </c>
      <c r="F77" t="str">
        <f t="shared" ca="1" si="1"/>
        <v>"2084044747" : "sàn nhảy",</v>
      </c>
    </row>
    <row r="78" spans="1:6" ht="15.75" customHeight="1">
      <c r="A78" s="14">
        <v>2084047839</v>
      </c>
      <c r="B78" s="14" t="s">
        <v>4173</v>
      </c>
      <c r="C78" s="14" t="s">
        <v>4174</v>
      </c>
      <c r="D78" s="5" t="str">
        <f ca="1">IFERROR(__xludf.DUMMYFUNCTION("GOOGLETRANSLATE(B78,""ja"",""vi"")"),"Transformer")</f>
        <v>Transformer</v>
      </c>
      <c r="E78" s="4" t="str">
        <f ca="1">IFERROR(__xludf.DUMMYFUNCTION("GOOGLETRANSLATE(C78,""ja"",""vi"")"),"Đấu giá&gt; Âm nhạc&gt; CD&gt; Club, Dance&gt; biến áp")</f>
        <v>Đấu giá&gt; Âm nhạc&gt; CD&gt; Club, Dance&gt; biến áp</v>
      </c>
      <c r="F78" t="str">
        <f t="shared" ca="1" si="1"/>
        <v>"2084047839" : "Transformer",</v>
      </c>
    </row>
    <row r="79" spans="1:6" ht="15.75" customHeight="1">
      <c r="A79" s="14">
        <v>2084044748</v>
      </c>
      <c r="B79" s="14" t="s">
        <v>4177</v>
      </c>
      <c r="C79" s="14" t="s">
        <v>4179</v>
      </c>
      <c r="D79" s="5" t="str">
        <f ca="1">IFERROR(__xludf.DUMMYFUNCTION("GOOGLETRANSLATE(B79,""ja"",""vi"")"),"nhà")</f>
        <v>nhà</v>
      </c>
      <c r="E79" s="4" t="str">
        <f ca="1">IFERROR(__xludf.DUMMYFUNCTION("GOOGLETRANSLATE(C79,""ja"",""vi"")"),"Đấu giá&gt; Âm nhạc&gt; CD&gt; Club, Dance&gt; Nhà")</f>
        <v>Đấu giá&gt; Âm nhạc&gt; CD&gt; Club, Dance&gt; Nhà</v>
      </c>
      <c r="F79" t="str">
        <f t="shared" ca="1" si="1"/>
        <v>"2084044748" : "nhà",</v>
      </c>
    </row>
    <row r="80" spans="1:6" ht="15.75" customHeight="1">
      <c r="A80" s="14">
        <v>2084044745</v>
      </c>
      <c r="B80" s="14" t="s">
        <v>4181</v>
      </c>
      <c r="C80" s="14" t="s">
        <v>4183</v>
      </c>
      <c r="D80" s="5" t="str">
        <f ca="1">IFERROR(__xludf.DUMMYFUNCTION("GOOGLETRANSLATE(B80,""ja"",""vi"")"),"nhịp Euro")</f>
        <v>nhịp Euro</v>
      </c>
      <c r="E80" s="4" t="str">
        <f ca="1">IFERROR(__xludf.DUMMYFUNCTION("GOOGLETRANSLATE(C80,""ja"",""vi"")"),"Đấu giá&gt; Âm nhạc&gt; CD&gt; Club, Dance&gt; nhịp Euro")</f>
        <v>Đấu giá&gt; Âm nhạc&gt; CD&gt; Club, Dance&gt; nhịp Euro</v>
      </c>
      <c r="F80" t="str">
        <f t="shared" ca="1" si="1"/>
        <v>"2084044745" : "nhịp Euro",</v>
      </c>
    </row>
    <row r="81" spans="1:6" ht="15.75" customHeight="1">
      <c r="A81" s="14">
        <v>2084054243</v>
      </c>
      <c r="B81" s="14" t="s">
        <v>4007</v>
      </c>
      <c r="C81" s="14" t="s">
        <v>4187</v>
      </c>
      <c r="D81" s="5" t="str">
        <f ca="1">IFERROR(__xludf.DUMMYFUNCTION("GOOGLETRANSLATE(B81,""ja"",""vi"")"),"Biên soạn, VA")</f>
        <v>Biên soạn, VA</v>
      </c>
      <c r="E81" s="4" t="str">
        <f ca="1">IFERROR(__xludf.DUMMYFUNCTION("GOOGLETRANSLATE(C81,""ja"",""vi"")"),"Đấu giá&gt; Âm nhạc&gt; CD&gt; Club, Dance&gt; biên soạn, omnibus")</f>
        <v>Đấu giá&gt; Âm nhạc&gt; CD&gt; Club, Dance&gt; biên soạn, omnibus</v>
      </c>
      <c r="F81" t="str">
        <f t="shared" ca="1" si="1"/>
        <v>"2084054243" : "Biên soạn, VA",</v>
      </c>
    </row>
    <row r="82" spans="1:6" ht="15.75" customHeight="1">
      <c r="A82" s="14">
        <v>2084044744</v>
      </c>
      <c r="B82" s="14" t="s">
        <v>46</v>
      </c>
      <c r="C82" s="14" t="s">
        <v>4191</v>
      </c>
      <c r="D82" s="5" t="str">
        <f ca="1">IFERROR(__xludf.DUMMYFUNCTION("GOOGLETRANSLATE(B82,""ja"",""vi"")"),"nếu không thì")</f>
        <v>nếu không thì</v>
      </c>
      <c r="E82" s="4" t="str">
        <f ca="1">IFERROR(__xludf.DUMMYFUNCTION("GOOGLETRANSLATE(C82,""ja"",""vi"")"),"Đấu giá&gt; Âm nhạc&gt; CD&gt; Club, Dance&gt; Khác")</f>
        <v>Đấu giá&gt; Âm nhạc&gt; CD&gt; Club, Dance&gt; Khác</v>
      </c>
      <c r="F82" t="str">
        <f t="shared" ca="1" si="1"/>
        <v>"2084044744" : "nếu không thì",</v>
      </c>
    </row>
    <row r="83" spans="1:6" ht="15.75" customHeight="1">
      <c r="A83" s="14">
        <v>2084256920</v>
      </c>
      <c r="B83" s="14" t="s">
        <v>4194</v>
      </c>
      <c r="C83" s="14" t="s">
        <v>4196</v>
      </c>
      <c r="D83" s="5" t="str">
        <f ca="1">IFERROR(__xludf.DUMMYFUNCTION("GOOGLETRANSLATE(B83,""ja"",""vi"")"),"nhạc dễ nghe")</f>
        <v>nhạc dễ nghe</v>
      </c>
      <c r="E83" s="4" t="str">
        <f ca="1">IFERROR(__xludf.DUMMYFUNCTION("GOOGLETRANSLATE(C83,""ja"",""vi"")"),"Đấu giá&gt; Âm nhạc&gt; CD&gt; Healing, New Age&gt; Dễ Nghe")</f>
        <v>Đấu giá&gt; Âm nhạc&gt; CD&gt; Healing, New Age&gt; Dễ Nghe</v>
      </c>
      <c r="F83" t="str">
        <f t="shared" ca="1" si="1"/>
        <v>"2084256920" : "nhạc dễ nghe",</v>
      </c>
    </row>
    <row r="84" spans="1:6" ht="15.75" customHeight="1">
      <c r="A84" s="14">
        <v>2084256922</v>
      </c>
      <c r="B84" s="14" t="s">
        <v>4200</v>
      </c>
      <c r="C84" s="14" t="s">
        <v>4201</v>
      </c>
      <c r="D84" s="5" t="str">
        <f ca="1">IFERROR(__xludf.DUMMYFUNCTION("GOOGLETRANSLATE(B84,""ja"",""vi"")"),"thời đại mới")</f>
        <v>thời đại mới</v>
      </c>
      <c r="E84" s="4" t="str">
        <f ca="1">IFERROR(__xludf.DUMMYFUNCTION("GOOGLETRANSLATE(C84,""ja"",""vi"")"),"Đấu giá&gt; Âm nhạc&gt; CD&gt; Healing, New Age&gt; New Age")</f>
        <v>Đấu giá&gt; Âm nhạc&gt; CD&gt; Healing, New Age&gt; New Age</v>
      </c>
      <c r="F84" t="str">
        <f t="shared" ca="1" si="1"/>
        <v>"2084256922" : "thời đại mới",</v>
      </c>
    </row>
    <row r="85" spans="1:6" ht="15.75" customHeight="1">
      <c r="A85" s="14">
        <v>2084256923</v>
      </c>
      <c r="B85" s="14" t="s">
        <v>4207</v>
      </c>
      <c r="C85" s="14" t="s">
        <v>4208</v>
      </c>
      <c r="D85" s="5" t="str">
        <f ca="1">IFERROR(__xludf.DUMMYFUNCTION("GOOGLETRANSLATE(B85,""ja"",""vi"")"),"chữa lành")</f>
        <v>chữa lành</v>
      </c>
      <c r="E85" s="4" t="str">
        <f ca="1">IFERROR(__xludf.DUMMYFUNCTION("GOOGLETRANSLATE(C85,""ja"",""vi"")"),"Đấu giá&gt; Âm nhạc&gt; CD&gt; Healing, New Age&gt; Healing")</f>
        <v>Đấu giá&gt; Âm nhạc&gt; CD&gt; Healing, New Age&gt; Healing</v>
      </c>
      <c r="F85" t="str">
        <f t="shared" ca="1" si="1"/>
        <v>"2084256923" : "chữa lành",</v>
      </c>
    </row>
    <row r="86" spans="1:6" ht="15.75" customHeight="1">
      <c r="A86" s="14">
        <v>2084256924</v>
      </c>
      <c r="B86" s="14" t="s">
        <v>4209</v>
      </c>
      <c r="C86" s="14" t="s">
        <v>4210</v>
      </c>
      <c r="D86" s="5" t="str">
        <f ca="1">IFERROR(__xludf.DUMMYFUNCTION("GOOGLETRANSLATE(B86,""ja"",""vi"")"),"Lounge")</f>
        <v>Lounge</v>
      </c>
      <c r="E86" s="4" t="str">
        <f ca="1">IFERROR(__xludf.DUMMYFUNCTION("GOOGLETRANSLATE(C86,""ja"",""vi"")"),"Đấu giá&gt; Âm nhạc&gt; CD&gt; Healing, New Age&gt; phòng chờ")</f>
        <v>Đấu giá&gt; Âm nhạc&gt; CD&gt; Healing, New Age&gt; phòng chờ</v>
      </c>
      <c r="F86" t="str">
        <f t="shared" ca="1" si="1"/>
        <v>"2084256924" : "Lounge",</v>
      </c>
    </row>
    <row r="87" spans="1:6" ht="15.75" customHeight="1">
      <c r="A87" s="14">
        <v>2084256925</v>
      </c>
      <c r="B87" s="14" t="s">
        <v>46</v>
      </c>
      <c r="C87" s="14" t="s">
        <v>4214</v>
      </c>
      <c r="D87" s="5" t="str">
        <f ca="1">IFERROR(__xludf.DUMMYFUNCTION("GOOGLETRANSLATE(B87,""ja"",""vi"")"),"nếu không thì")</f>
        <v>nếu không thì</v>
      </c>
      <c r="E87" s="4" t="str">
        <f ca="1">IFERROR(__xludf.DUMMYFUNCTION("GOOGLETRANSLATE(C87,""ja"",""vi"")"),"Đấu giá&gt; Âm nhạc&gt; CD&gt; Healing, New Age&gt; Khác")</f>
        <v>Đấu giá&gt; Âm nhạc&gt; CD&gt; Healing, New Age&gt; Khác</v>
      </c>
      <c r="F87" t="str">
        <f t="shared" ca="1" si="1"/>
        <v>"2084256925" : "nếu không thì",</v>
      </c>
    </row>
    <row r="88" spans="1:6" ht="15.75" customHeight="1">
      <c r="A88" s="14">
        <v>2084047841</v>
      </c>
      <c r="B88" s="14" t="s">
        <v>4219</v>
      </c>
      <c r="C88" s="14" t="s">
        <v>4220</v>
      </c>
      <c r="D88" s="5" t="str">
        <f ca="1">IFERROR(__xludf.DUMMYFUNCTION("GOOGLETRANSLATE(B88,""ja"",""vi"")"),"Cơ đốc giáo")</f>
        <v>Cơ đốc giáo</v>
      </c>
      <c r="E88" s="4" t="str">
        <f ca="1">IFERROR(__xludf.DUMMYFUNCTION("GOOGLETRANSLATE(C88,""ja"",""vi"")"),"Đấu giá&gt; Âm nhạc&gt; CD&gt; Nhạc Tôn Giáo&gt; Kitô giáo")</f>
        <v>Đấu giá&gt; Âm nhạc&gt; CD&gt; Nhạc Tôn Giáo&gt; Kitô giáo</v>
      </c>
      <c r="F88" t="str">
        <f t="shared" ca="1" si="1"/>
        <v>"2084047841" : "Cơ đốc giáo",</v>
      </c>
    </row>
    <row r="89" spans="1:6" ht="15.75" customHeight="1">
      <c r="A89" s="14">
        <v>2084047842</v>
      </c>
      <c r="B89" s="14" t="s">
        <v>46</v>
      </c>
      <c r="C89" s="14" t="s">
        <v>4225</v>
      </c>
      <c r="D89" s="5" t="str">
        <f ca="1">IFERROR(__xludf.DUMMYFUNCTION("GOOGLETRANSLATE(B89,""ja"",""vi"")"),"nếu không thì")</f>
        <v>nếu không thì</v>
      </c>
      <c r="E89" s="4" t="str">
        <f ca="1">IFERROR(__xludf.DUMMYFUNCTION("GOOGLETRANSLATE(C89,""ja"",""vi"")"),"Đấu giá&gt; Âm nhạc&gt; CD&gt; Nhạc tôn giáo&gt; Khác")</f>
        <v>Đấu giá&gt; Âm nhạc&gt; CD&gt; Nhạc tôn giáo&gt; Khác</v>
      </c>
      <c r="F89" t="str">
        <f t="shared" ca="1" si="1"/>
        <v>"2084047842" : "nếu không thì",</v>
      </c>
    </row>
    <row r="90" spans="1:6" ht="15.75" customHeight="1">
      <c r="A90" s="14">
        <v>2084041488</v>
      </c>
      <c r="B90" s="14" t="s">
        <v>4011</v>
      </c>
      <c r="C90" s="14" t="s">
        <v>4228</v>
      </c>
      <c r="D90" s="5" t="str">
        <f ca="1">IFERROR(__xludf.DUMMYFUNCTION("GOOGLETRANSLATE(B90,""ja"",""vi"")"),"khúc nhạc")</f>
        <v>khúc nhạc</v>
      </c>
      <c r="E90" s="4" t="str">
        <f ca="1">IFERROR(__xludf.DUMMYFUNCTION("GOOGLETRANSLATE(C90,""ja"",""vi"")"),"Đấu giá&gt; nhạc&gt; kỷ lục&gt; cổ điển&gt; giao hưởng")</f>
        <v>Đấu giá&gt; nhạc&gt; kỷ lục&gt; cổ điển&gt; giao hưởng</v>
      </c>
      <c r="F90" t="str">
        <f t="shared" ca="1" si="1"/>
        <v>"2084041488" : "khúc nhạc",</v>
      </c>
    </row>
    <row r="91" spans="1:6" ht="15.75" customHeight="1">
      <c r="A91" s="14">
        <v>2084258177</v>
      </c>
      <c r="B91" s="14" t="s">
        <v>4015</v>
      </c>
      <c r="C91" s="14" t="s">
        <v>4233</v>
      </c>
      <c r="D91" s="5" t="str">
        <f ca="1">IFERROR(__xludf.DUMMYFUNCTION("GOOGLETRANSLATE(B91,""ja"",""vi"")"),"âm nhạc cho dàn nhạc")</f>
        <v>âm nhạc cho dàn nhạc</v>
      </c>
      <c r="E91" s="4" t="str">
        <f ca="1">IFERROR(__xludf.DUMMYFUNCTION("GOOGLETRANSLATE(C91,""ja"",""vi"")"),"Đấu giá&gt; nhạc&gt; kỷ lục&gt; cổ điển&gt; dàn nhạc")</f>
        <v>Đấu giá&gt; nhạc&gt; kỷ lục&gt; cổ điển&gt; dàn nhạc</v>
      </c>
      <c r="F91" t="str">
        <f t="shared" ca="1" si="1"/>
        <v>"2084258177" : "âm nhạc cho dàn nhạc",</v>
      </c>
    </row>
    <row r="92" spans="1:6" ht="15.75" customHeight="1">
      <c r="A92" s="14">
        <v>2084041489</v>
      </c>
      <c r="B92" s="14" t="s">
        <v>4021</v>
      </c>
      <c r="C92" s="14" t="s">
        <v>4237</v>
      </c>
      <c r="D92" s="5" t="str">
        <f ca="1">IFERROR(__xludf.DUMMYFUNCTION("GOOGLETRANSLATE(B92,""ja"",""vi"")"),"nhạc hợp tấu")</f>
        <v>nhạc hợp tấu</v>
      </c>
      <c r="E92" s="4" t="str">
        <f ca="1">IFERROR(__xludf.DUMMYFUNCTION("GOOGLETRANSLATE(C92,""ja"",""vi"")"),"Đấu giá&gt; nhạc&gt; kỷ lục&gt; cổ điển&gt; Concerto")</f>
        <v>Đấu giá&gt; nhạc&gt; kỷ lục&gt; cổ điển&gt; Concerto</v>
      </c>
      <c r="F92" t="str">
        <f t="shared" ca="1" si="1"/>
        <v>"2084041489" : "nhạc hợp tấu",</v>
      </c>
    </row>
    <row r="93" spans="1:6" ht="15.75" customHeight="1">
      <c r="A93" s="14">
        <v>2084041490</v>
      </c>
      <c r="B93" s="14" t="s">
        <v>4026</v>
      </c>
      <c r="C93" s="14" t="s">
        <v>4240</v>
      </c>
      <c r="D93" s="5" t="str">
        <f ca="1">IFERROR(__xludf.DUMMYFUNCTION("GOOGLETRANSLATE(B93,""ja"",""vi"")"),"Chamber Music")</f>
        <v>Chamber Music</v>
      </c>
      <c r="E93" s="4" t="str">
        <f ca="1">IFERROR(__xludf.DUMMYFUNCTION("GOOGLETRANSLATE(C93,""ja"",""vi"")"),"Đấu giá&gt; nhạc&gt; kỷ lục&gt; cổ điển&gt; nhạc thính phòng")</f>
        <v>Đấu giá&gt; nhạc&gt; kỷ lục&gt; cổ điển&gt; nhạc thính phòng</v>
      </c>
      <c r="F93" t="str">
        <f t="shared" ca="1" si="1"/>
        <v>"2084041490" : "Chamber Music",</v>
      </c>
    </row>
    <row r="94" spans="1:6" ht="15.75" customHeight="1">
      <c r="A94" s="14">
        <v>2084041492</v>
      </c>
      <c r="B94" s="14" t="s">
        <v>4031</v>
      </c>
      <c r="C94" s="14" t="s">
        <v>4244</v>
      </c>
      <c r="D94" s="5" t="str">
        <f ca="1">IFERROR(__xludf.DUMMYFUNCTION("GOOGLETRANSLATE(B94,""ja"",""vi"")"),"âm nhạc Instrumental")</f>
        <v>âm nhạc Instrumental</v>
      </c>
      <c r="E94" s="4" t="str">
        <f ca="1">IFERROR(__xludf.DUMMYFUNCTION("GOOGLETRANSLATE(C94,""ja"",""vi"")"),"Đấu giá&gt; Âm nhạc&gt; Ghi lại&gt; Cổ điển&gt; Instrumental")</f>
        <v>Đấu giá&gt; Âm nhạc&gt; Ghi lại&gt; Cổ điển&gt; Instrumental</v>
      </c>
      <c r="F94" t="str">
        <f t="shared" ca="1" si="1"/>
        <v>"2084041492" : "âm nhạc Instrumental",</v>
      </c>
    </row>
    <row r="95" spans="1:6" ht="15.75" customHeight="1">
      <c r="A95" s="14">
        <v>2084258237</v>
      </c>
      <c r="B95" s="14" t="s">
        <v>4034</v>
      </c>
      <c r="C95" s="14" t="s">
        <v>4248</v>
      </c>
      <c r="D95" s="5" t="str">
        <f ca="1">IFERROR(__xludf.DUMMYFUNCTION("GOOGLETRANSLATE(B95,""ja"",""vi"")"),"gió âm nhạc")</f>
        <v>gió âm nhạc</v>
      </c>
      <c r="E95" s="4" t="str">
        <f ca="1">IFERROR(__xludf.DUMMYFUNCTION("GOOGLETRANSLATE(C95,""ja"",""vi"")"),"Đấu giá&gt; nhạc&gt; kỷ lục&gt; cổ điển&gt; Gió")</f>
        <v>Đấu giá&gt; nhạc&gt; kỷ lục&gt; cổ điển&gt; Gió</v>
      </c>
      <c r="F95" t="str">
        <f t="shared" ca="1" si="1"/>
        <v>"2084258237" : "gió âm nhạc",</v>
      </c>
    </row>
    <row r="96" spans="1:6" ht="15.75" customHeight="1">
      <c r="A96" s="14">
        <v>2084007033</v>
      </c>
      <c r="B96" s="14" t="s">
        <v>4039</v>
      </c>
      <c r="C96" s="14" t="s">
        <v>4251</v>
      </c>
      <c r="D96" s="5" t="str">
        <f ca="1">IFERROR(__xludf.DUMMYFUNCTION("GOOGLETRANSLATE(B96,""ja"",""vi"")"),"thanh nhạc")</f>
        <v>thanh nhạc</v>
      </c>
      <c r="E96" s="4" t="str">
        <f ca="1">IFERROR(__xludf.DUMMYFUNCTION("GOOGLETRANSLATE(C96,""ja"",""vi"")"),"Đấu giá&gt; Âm nhạc&gt; Ghi lại&gt; Cổ điển&gt; Vocal")</f>
        <v>Đấu giá&gt; Âm nhạc&gt; Ghi lại&gt; Cổ điển&gt; Vocal</v>
      </c>
      <c r="F96" t="str">
        <f t="shared" ca="1" si="1"/>
        <v>"2084007033" : "thanh nhạc",</v>
      </c>
    </row>
    <row r="97" spans="1:6" ht="15.75" customHeight="1">
      <c r="A97" s="14">
        <v>2084007030</v>
      </c>
      <c r="B97" s="14" t="s">
        <v>1170</v>
      </c>
      <c r="C97" s="14" t="s">
        <v>4256</v>
      </c>
      <c r="D97" s="5" t="str">
        <f ca="1">IFERROR(__xludf.DUMMYFUNCTION("GOOGLETRANSLATE(B97,""ja"",""vi"")"),"nhạc kịch")</f>
        <v>nhạc kịch</v>
      </c>
      <c r="E97" s="4" t="str">
        <f ca="1">IFERROR(__xludf.DUMMYFUNCTION("GOOGLETRANSLATE(C97,""ja"",""vi"")"),"Đấu giá&gt; Âm nhạc&gt; Ghi lại&gt; Cổ điển&gt; Opera")</f>
        <v>Đấu giá&gt; Âm nhạc&gt; Ghi lại&gt; Cổ điển&gt; Opera</v>
      </c>
      <c r="F97" t="str">
        <f t="shared" ca="1" si="1"/>
        <v>"2084007030" : "nhạc kịch",</v>
      </c>
    </row>
    <row r="98" spans="1:6" ht="15.75" customHeight="1">
      <c r="A98" s="14">
        <v>2084007032</v>
      </c>
      <c r="B98" s="14" t="s">
        <v>4050</v>
      </c>
      <c r="C98" s="14" t="s">
        <v>4259</v>
      </c>
      <c r="D98" s="5" t="str">
        <f ca="1">IFERROR(__xludf.DUMMYFUNCTION("GOOGLETRANSLATE(B98,""ja"",""vi"")"),"âm nhạc đương đại")</f>
        <v>âm nhạc đương đại</v>
      </c>
      <c r="E98" s="4" t="str">
        <f ca="1">IFERROR(__xludf.DUMMYFUNCTION("GOOGLETRANSLATE(C98,""ja"",""vi"")"),"Đấu giá&gt; Âm nhạc&gt; Ghi lại&gt; Cổ điển&gt; Contemporary Music")</f>
        <v>Đấu giá&gt; Âm nhạc&gt; Ghi lại&gt; Cổ điển&gt; Contemporary Music</v>
      </c>
      <c r="F98" t="str">
        <f t="shared" ca="1" si="1"/>
        <v>"2084007032" : "âm nhạc đương đại",</v>
      </c>
    </row>
    <row r="99" spans="1:6" ht="15.75" customHeight="1">
      <c r="A99" s="14">
        <v>2084007034</v>
      </c>
      <c r="B99" s="14" t="s">
        <v>46</v>
      </c>
      <c r="C99" s="14" t="s">
        <v>4264</v>
      </c>
      <c r="D99" s="5" t="str">
        <f ca="1">IFERROR(__xludf.DUMMYFUNCTION("GOOGLETRANSLATE(B99,""ja"",""vi"")"),"nếu không thì")</f>
        <v>nếu không thì</v>
      </c>
      <c r="E99" s="4" t="str">
        <f ca="1">IFERROR(__xludf.DUMMYFUNCTION("GOOGLETRANSLATE(C99,""ja"",""vi"")"),"Đấu giá&gt; nhạc&gt; kỷ lục&gt; cổ điển&gt; Khác")</f>
        <v>Đấu giá&gt; nhạc&gt; kỷ lục&gt; cổ điển&gt; Khác</v>
      </c>
      <c r="F99" t="str">
        <f t="shared" ca="1" si="1"/>
        <v>"2084007034" : "nếu không thì",</v>
      </c>
    </row>
    <row r="100" spans="1:6" ht="15.75" customHeight="1">
      <c r="A100" s="14">
        <v>2084055870</v>
      </c>
      <c r="B100" s="14" t="s">
        <v>4156</v>
      </c>
      <c r="C100" s="14" t="s">
        <v>4268</v>
      </c>
      <c r="D100" s="5" t="str">
        <f ca="1">IFERROR(__xludf.DUMMYFUNCTION("GOOGLETRANSLATE(B100,""ja"",""vi"")"),"ở xung quanh")</f>
        <v>ở xung quanh</v>
      </c>
      <c r="E100" s="4" t="str">
        <f ca="1">IFERROR(__xludf.DUMMYFUNCTION("GOOGLETRANSLATE(C100,""ja"",""vi"")"),"Đấu giá&gt; nhạc&gt; kỷ lục&gt; Club, Dance&gt; Ambient")</f>
        <v>Đấu giá&gt; nhạc&gt; kỷ lục&gt; Club, Dance&gt; Ambient</v>
      </c>
      <c r="F100" t="str">
        <f t="shared" ca="1" si="1"/>
        <v>"2084055870" : "ở xung quanh",</v>
      </c>
    </row>
    <row r="101" spans="1:6" ht="15.75" customHeight="1">
      <c r="A101" s="14">
        <v>2084044740</v>
      </c>
      <c r="B101" s="14" t="s">
        <v>4160</v>
      </c>
      <c r="C101" s="14" t="s">
        <v>4273</v>
      </c>
      <c r="D101" s="5" t="str">
        <f ca="1">IFERROR(__xludf.DUMMYFUNCTION("GOOGLETRANSLATE(B101,""ja"",""vi"")"),"Techno")</f>
        <v>Techno</v>
      </c>
      <c r="E101" s="4" t="str">
        <f ca="1">IFERROR(__xludf.DUMMYFUNCTION("GOOGLETRANSLATE(C101,""ja"",""vi"")"),"Đấu giá&gt; nhạc&gt; kỷ lục&gt; Club, Dance&gt; Techno")</f>
        <v>Đấu giá&gt; nhạc&gt; kỷ lục&gt; Club, Dance&gt; Techno</v>
      </c>
      <c r="F101" t="str">
        <f t="shared" ca="1" si="1"/>
        <v>"2084044740" : "Techno",</v>
      </c>
    </row>
    <row r="102" spans="1:6" ht="15.75" customHeight="1">
      <c r="A102" s="14">
        <v>2084044741</v>
      </c>
      <c r="B102" s="14" t="s">
        <v>4168</v>
      </c>
      <c r="C102" s="14" t="s">
        <v>4278</v>
      </c>
      <c r="D102" s="5" t="str">
        <f ca="1">IFERROR(__xludf.DUMMYFUNCTION("GOOGLETRANSLATE(B102,""ja"",""vi"")"),"sàn nhảy")</f>
        <v>sàn nhảy</v>
      </c>
      <c r="E102" s="4" t="str">
        <f ca="1">IFERROR(__xludf.DUMMYFUNCTION("GOOGLETRANSLATE(C102,""ja"",""vi"")"),"Đấu giá&gt; nhạc&gt; kỷ lục&gt; Club, Dance&gt; sàn nhảy")</f>
        <v>Đấu giá&gt; nhạc&gt; kỷ lục&gt; Club, Dance&gt; sàn nhảy</v>
      </c>
      <c r="F102" t="str">
        <f t="shared" ca="1" si="1"/>
        <v>"2084044741" : "sàn nhảy",</v>
      </c>
    </row>
    <row r="103" spans="1:6" ht="15.75" customHeight="1">
      <c r="A103" s="14">
        <v>2084055871</v>
      </c>
      <c r="B103" s="14" t="s">
        <v>4173</v>
      </c>
      <c r="C103" s="14" t="s">
        <v>4280</v>
      </c>
      <c r="D103" s="5" t="str">
        <f ca="1">IFERROR(__xludf.DUMMYFUNCTION("GOOGLETRANSLATE(B103,""ja"",""vi"")"),"Transformer")</f>
        <v>Transformer</v>
      </c>
      <c r="E103" s="4" t="str">
        <f ca="1">IFERROR(__xludf.DUMMYFUNCTION("GOOGLETRANSLATE(C103,""ja"",""vi"")"),"Đấu giá&gt; nhạc&gt; kỷ lục&gt; Club, Dance&gt; biến áp")</f>
        <v>Đấu giá&gt; nhạc&gt; kỷ lục&gt; Club, Dance&gt; biến áp</v>
      </c>
      <c r="F103" t="str">
        <f t="shared" ca="1" si="1"/>
        <v>"2084055871" : "Transformer",</v>
      </c>
    </row>
    <row r="104" spans="1:6" ht="15.75" customHeight="1">
      <c r="A104" s="14">
        <v>2084044742</v>
      </c>
      <c r="B104" s="14" t="s">
        <v>4177</v>
      </c>
      <c r="C104" s="14" t="s">
        <v>4285</v>
      </c>
      <c r="D104" s="5" t="str">
        <f ca="1">IFERROR(__xludf.DUMMYFUNCTION("GOOGLETRANSLATE(B104,""ja"",""vi"")"),"nhà")</f>
        <v>nhà</v>
      </c>
      <c r="E104" s="4" t="str">
        <f ca="1">IFERROR(__xludf.DUMMYFUNCTION("GOOGLETRANSLATE(C104,""ja"",""vi"")"),"Đấu giá&gt; nhạc&gt; kỷ lục&gt; Club, Dance&gt; Nhà")</f>
        <v>Đấu giá&gt; nhạc&gt; kỷ lục&gt; Club, Dance&gt; Nhà</v>
      </c>
      <c r="F104" t="str">
        <f t="shared" ca="1" si="1"/>
        <v>"2084044742" : "nhà",</v>
      </c>
    </row>
    <row r="105" spans="1:6" ht="15.75" customHeight="1">
      <c r="A105" s="14">
        <v>2084044739</v>
      </c>
      <c r="B105" s="14" t="s">
        <v>4181</v>
      </c>
      <c r="C105" s="14" t="s">
        <v>4289</v>
      </c>
      <c r="D105" s="5" t="str">
        <f ca="1">IFERROR(__xludf.DUMMYFUNCTION("GOOGLETRANSLATE(B105,""ja"",""vi"")"),"nhịp Euro")</f>
        <v>nhịp Euro</v>
      </c>
      <c r="E105" s="4" t="str">
        <f ca="1">IFERROR(__xludf.DUMMYFUNCTION("GOOGLETRANSLATE(C105,""ja"",""vi"")"),"Đấu giá&gt; nhạc&gt; kỷ lục&gt; Club, Dance&gt; nhịp Euro")</f>
        <v>Đấu giá&gt; nhạc&gt; kỷ lục&gt; Club, Dance&gt; nhịp Euro</v>
      </c>
      <c r="F105" t="str">
        <f t="shared" ca="1" si="1"/>
        <v>"2084044739" : "nhịp Euro",</v>
      </c>
    </row>
    <row r="106" spans="1:6" ht="15.75" customHeight="1">
      <c r="A106" s="14">
        <v>2084044743</v>
      </c>
      <c r="B106" s="14" t="s">
        <v>46</v>
      </c>
      <c r="C106" s="14" t="s">
        <v>4293</v>
      </c>
      <c r="D106" s="5" t="str">
        <f ca="1">IFERROR(__xludf.DUMMYFUNCTION("GOOGLETRANSLATE(B106,""ja"",""vi"")"),"nếu không thì")</f>
        <v>nếu không thì</v>
      </c>
      <c r="E106" s="4" t="str">
        <f ca="1">IFERROR(__xludf.DUMMYFUNCTION("GOOGLETRANSLATE(C106,""ja"",""vi"")"),"Đấu giá&gt; nhạc&gt; kỷ lục&gt; Club, Dance&gt; Khác")</f>
        <v>Đấu giá&gt; nhạc&gt; kỷ lục&gt; Club, Dance&gt; Khác</v>
      </c>
      <c r="F106" t="str">
        <f t="shared" ca="1" si="1"/>
        <v>"2084044743" : "nếu không thì",</v>
      </c>
    </row>
    <row r="107" spans="1:6" ht="15.75" customHeight="1">
      <c r="A107" s="14">
        <v>2084007027</v>
      </c>
      <c r="B107" s="14" t="s">
        <v>3991</v>
      </c>
      <c r="C107" s="14" t="s">
        <v>4297</v>
      </c>
      <c r="D107" s="5" t="str">
        <f ca="1">IFERROR(__xludf.DUMMYFUNCTION("GOOGLETRANSLATE(B107,""ja"",""vi"")"),"Jazz chung")</f>
        <v>Jazz chung</v>
      </c>
      <c r="E107" s="4" t="str">
        <f ca="1">IFERROR(__xludf.DUMMYFUNCTION("GOOGLETRANSLATE(C107,""ja"",""vi"")"),"Đấu giá&gt; nhạc&gt; kỷ lục&gt; Nhạc Jazz&gt; chung Jazz")</f>
        <v>Đấu giá&gt; nhạc&gt; kỷ lục&gt; Nhạc Jazz&gt; chung Jazz</v>
      </c>
      <c r="F107" t="str">
        <f t="shared" ca="1" si="1"/>
        <v>"2084007027" : "Jazz chung",</v>
      </c>
    </row>
    <row r="108" spans="1:6" ht="15.75" customHeight="1">
      <c r="A108" s="14">
        <v>2084007028</v>
      </c>
      <c r="B108" s="14" t="s">
        <v>3996</v>
      </c>
      <c r="C108" s="14" t="s">
        <v>4301</v>
      </c>
      <c r="D108" s="5" t="str">
        <f ca="1">IFERROR(__xludf.DUMMYFUNCTION("GOOGLETRANSLATE(B108,""ja"",""vi"")"),"Fusion")</f>
        <v>Fusion</v>
      </c>
      <c r="E108" s="4" t="str">
        <f ca="1">IFERROR(__xludf.DUMMYFUNCTION("GOOGLETRANSLATE(C108,""ja"",""vi"")"),"Đấu giá&gt; nhạc&gt; kỷ lục&gt; Nhạc Jazz&gt; Fusion")</f>
        <v>Đấu giá&gt; nhạc&gt; kỷ lục&gt; Nhạc Jazz&gt; Fusion</v>
      </c>
      <c r="F108" t="str">
        <f t="shared" ca="1" si="1"/>
        <v>"2084007028" : "Fusion",</v>
      </c>
    </row>
    <row r="109" spans="1:6" ht="15.75" customHeight="1">
      <c r="A109" s="14">
        <v>2084044766</v>
      </c>
      <c r="B109" s="14" t="s">
        <v>4002</v>
      </c>
      <c r="C109" s="14" t="s">
        <v>4302</v>
      </c>
      <c r="D109" s="5" t="str">
        <f ca="1">IFERROR(__xludf.DUMMYFUNCTION("GOOGLETRANSLATE(B109,""ja"",""vi"")"),"vocal")</f>
        <v>vocal</v>
      </c>
      <c r="E109" s="4" t="str">
        <f ca="1">IFERROR(__xludf.DUMMYFUNCTION("GOOGLETRANSLATE(C109,""ja"",""vi"")"),"Đấu giá&gt; nhạc&gt; kỷ lục&gt; Nhạc Jazz&gt; vocal")</f>
        <v>Đấu giá&gt; nhạc&gt; kỷ lục&gt; Nhạc Jazz&gt; vocal</v>
      </c>
      <c r="F109" t="str">
        <f t="shared" ca="1" si="1"/>
        <v>"2084044766" : "vocal",</v>
      </c>
    </row>
    <row r="110" spans="1:6" ht="15.75" customHeight="1">
      <c r="A110" s="14">
        <v>2084007029</v>
      </c>
      <c r="B110" s="14" t="s">
        <v>46</v>
      </c>
      <c r="C110" s="14" t="s">
        <v>4308</v>
      </c>
      <c r="D110" s="5" t="str">
        <f ca="1">IFERROR(__xludf.DUMMYFUNCTION("GOOGLETRANSLATE(B110,""ja"",""vi"")"),"nếu không thì")</f>
        <v>nếu không thì</v>
      </c>
      <c r="E110" s="4" t="str">
        <f ca="1">IFERROR(__xludf.DUMMYFUNCTION("GOOGLETRANSLATE(C110,""ja"",""vi"")"),"Đấu giá&gt; nhạc&gt; kỷ lục&gt; Nhạc Jazz&gt; Khác")</f>
        <v>Đấu giá&gt; nhạc&gt; kỷ lục&gt; Nhạc Jazz&gt; Khác</v>
      </c>
      <c r="F110" t="str">
        <f t="shared" ca="1" si="1"/>
        <v>"2084007029" : "nếu không thì",</v>
      </c>
    </row>
    <row r="111" spans="1:6" ht="15.75" customHeight="1">
      <c r="A111" s="14">
        <v>2084007022</v>
      </c>
      <c r="B111" s="14" t="s">
        <v>3789</v>
      </c>
      <c r="C111" s="14" t="s">
        <v>4312</v>
      </c>
      <c r="D111" s="5" t="str">
        <f ca="1">IFERROR(__xludf.DUMMYFUNCTION("GOOGLETRANSLATE(B111,""ja"",""vi"")"),"Indies")</f>
        <v>Indies</v>
      </c>
      <c r="E111" s="4" t="str">
        <f ca="1">IFERROR(__xludf.DUMMYFUNCTION("GOOGLETRANSLATE(C111,""ja"",""vi"")"),"Đấu giá&gt; nhạc&gt; kỷ lục&gt; Nhật Bản Pop&gt; Indie")</f>
        <v>Đấu giá&gt; nhạc&gt; kỷ lục&gt; Nhật Bản Pop&gt; Indie</v>
      </c>
      <c r="F111" t="str">
        <f t="shared" ca="1" si="1"/>
        <v>"2084007022" : "Indies",</v>
      </c>
    </row>
    <row r="112" spans="1:6" ht="15.75" customHeight="1">
      <c r="A112" s="14">
        <v>2084007021</v>
      </c>
      <c r="B112" s="14" t="s">
        <v>3781</v>
      </c>
      <c r="C112" s="14" t="s">
        <v>4316</v>
      </c>
      <c r="D112" s="5" t="str">
        <f ca="1">IFERROR(__xludf.DUMMYFUNCTION("GOOGLETRANSLATE(B112,""ja"",""vi"")"),"Rock, Pop")</f>
        <v>Rock, Pop</v>
      </c>
      <c r="E112" s="4" t="str">
        <f ca="1">IFERROR(__xludf.DUMMYFUNCTION("GOOGLETRANSLATE(C112,""ja"",""vi"")"),"Đấu giá&gt; nhạc&gt; kỷ lục&gt; Nhật Bản Pop&gt; Rock, Pop")</f>
        <v>Đấu giá&gt; nhạc&gt; kỷ lục&gt; Nhật Bản Pop&gt; Rock, Pop</v>
      </c>
      <c r="F112" t="str">
        <f t="shared" ca="1" si="1"/>
        <v>"2084007021" : "Rock, Pop",</v>
      </c>
    </row>
    <row r="113" spans="1:6" ht="15.75" customHeight="1">
      <c r="A113" s="14">
        <v>2084007023</v>
      </c>
      <c r="B113" s="14" t="s">
        <v>46</v>
      </c>
      <c r="C113" s="14" t="s">
        <v>4320</v>
      </c>
      <c r="D113" s="5" t="str">
        <f ca="1">IFERROR(__xludf.DUMMYFUNCTION("GOOGLETRANSLATE(B113,""ja"",""vi"")"),"nếu không thì")</f>
        <v>nếu không thì</v>
      </c>
      <c r="E113" s="4" t="str">
        <f ca="1">IFERROR(__xludf.DUMMYFUNCTION("GOOGLETRANSLATE(C113,""ja"",""vi"")"),"Đấu giá&gt; nhạc&gt; kỷ lục&gt; Pop Nhật Bản&gt; Khác")</f>
        <v>Đấu giá&gt; nhạc&gt; kỷ lục&gt; Pop Nhật Bản&gt; Khác</v>
      </c>
      <c r="F113" t="str">
        <f t="shared" ca="1" si="1"/>
        <v>"2084007023" : "nếu không thì",</v>
      </c>
    </row>
    <row r="114" spans="1:6" ht="15.75" customHeight="1">
      <c r="A114" s="14">
        <v>2084007024</v>
      </c>
      <c r="B114" s="14" t="s">
        <v>3801</v>
      </c>
      <c r="C114" s="14" t="s">
        <v>4322</v>
      </c>
      <c r="D114" s="5" t="str">
        <f ca="1">IFERROR(__xludf.DUMMYFUNCTION("GOOGLETRANSLATE(B114,""ja"",""vi"")"),"Rock, Pop chung")</f>
        <v>Rock, Pop chung</v>
      </c>
      <c r="E114" s="4" t="str">
        <f ca="1">IFERROR(__xludf.DUMMYFUNCTION("GOOGLETRANSLATE(C114,""ja"",""vi"")"),"Đấu giá&gt; Âm nhạc&gt; Ghi lại&gt; Rock, Pop (Western)&gt; Rock, Pop chung")</f>
        <v>Đấu giá&gt; Âm nhạc&gt; Ghi lại&gt; Rock, Pop (Western)&gt; Rock, Pop chung</v>
      </c>
      <c r="F114" t="str">
        <f t="shared" ca="1" si="1"/>
        <v>"2084007024" : "Rock, Pop chung",</v>
      </c>
    </row>
    <row r="115" spans="1:6" ht="15.75" customHeight="1">
      <c r="A115" s="14">
        <v>2084007217</v>
      </c>
      <c r="B115" s="14" t="s">
        <v>3807</v>
      </c>
      <c r="C115" s="14" t="s">
        <v>4327</v>
      </c>
      <c r="D115" s="5" t="str">
        <f ca="1">IFERROR(__xludf.DUMMYFUNCTION("GOOGLETRANSLATE(B115,""ja"",""vi"")"),"hard rock")</f>
        <v>hard rock</v>
      </c>
      <c r="E115" s="4" t="str">
        <f ca="1">IFERROR(__xludf.DUMMYFUNCTION("GOOGLETRANSLATE(C115,""ja"",""vi"")"),"Đấu giá&gt; Âm nhạc&gt; Ghi lại&gt; Rock, Pop (Western)&gt; Hard Rock")</f>
        <v>Đấu giá&gt; Âm nhạc&gt; Ghi lại&gt; Rock, Pop (Western)&gt; Hard Rock</v>
      </c>
      <c r="F115" t="str">
        <f t="shared" ca="1" si="1"/>
        <v>"2084007217" : "hard rock",</v>
      </c>
    </row>
    <row r="116" spans="1:6" ht="15.75" customHeight="1">
      <c r="A116" s="14">
        <v>2084007218</v>
      </c>
      <c r="B116" s="14" t="s">
        <v>3813</v>
      </c>
      <c r="C116" s="14" t="s">
        <v>4332</v>
      </c>
      <c r="D116" s="5" t="str">
        <f ca="1">IFERROR(__xludf.DUMMYFUNCTION("GOOGLETRANSLATE(B116,""ja"",""vi"")"),"Punk")</f>
        <v>Punk</v>
      </c>
      <c r="E116" s="4" t="str">
        <f ca="1">IFERROR(__xludf.DUMMYFUNCTION("GOOGLETRANSLATE(C116,""ja"",""vi"")"),"Đấu giá&gt; Âm nhạc&gt; Ghi lại&gt; Rock, Pop (Western)&gt; nhạc punk")</f>
        <v>Đấu giá&gt; Âm nhạc&gt; Ghi lại&gt; Rock, Pop (Western)&gt; nhạc punk</v>
      </c>
      <c r="F116" t="str">
        <f t="shared" ca="1" si="1"/>
        <v>"2084007218" : "Punk",</v>
      </c>
    </row>
    <row r="117" spans="1:6" ht="15.75" customHeight="1">
      <c r="A117" s="14">
        <v>2084007216</v>
      </c>
      <c r="B117" s="14" t="s">
        <v>3819</v>
      </c>
      <c r="C117" s="14" t="s">
        <v>4337</v>
      </c>
      <c r="D117" s="5" t="str">
        <f ca="1">IFERROR(__xludf.DUMMYFUNCTION("GOOGLETRANSLATE(B117,""ja"",""vi"")"),"Progressive Rock")</f>
        <v>Progressive Rock</v>
      </c>
      <c r="E117" s="4" t="str">
        <f ca="1">IFERROR(__xludf.DUMMYFUNCTION("GOOGLETRANSLATE(C117,""ja"",""vi"")"),"Đấu giá&gt; Âm nhạc&gt; Ghi lại&gt; Rock, Pop (Western)&gt; progressive rock")</f>
        <v>Đấu giá&gt; Âm nhạc&gt; Ghi lại&gt; Rock, Pop (Western)&gt; progressive rock</v>
      </c>
      <c r="F117" t="str">
        <f t="shared" ca="1" si="1"/>
        <v>"2084007216" : "Progressive Rock",</v>
      </c>
    </row>
    <row r="118" spans="1:6" ht="15.75" customHeight="1">
      <c r="A118" s="14">
        <v>2084007025</v>
      </c>
      <c r="B118" s="14" t="s">
        <v>3824</v>
      </c>
      <c r="C118" s="14" t="s">
        <v>4340</v>
      </c>
      <c r="D118" s="5" t="str">
        <f ca="1">IFERROR(__xludf.DUMMYFUNCTION("GOOGLETRANSLATE(B118,""ja"",""vi"")"),"phổ biến vocal")</f>
        <v>phổ biến vocal</v>
      </c>
      <c r="E118" s="4" t="str">
        <f ca="1">IFERROR(__xludf.DUMMYFUNCTION("GOOGLETRANSLATE(C118,""ja"",""vi"")"),"Đấu giá&gt; Âm nhạc&gt; Ghi lại&gt; Rock, Pop (Western)&gt; vocal phổ biến")</f>
        <v>Đấu giá&gt; Âm nhạc&gt; Ghi lại&gt; Rock, Pop (Western)&gt; vocal phổ biến</v>
      </c>
      <c r="F118" t="str">
        <f t="shared" ca="1" si="1"/>
        <v>"2084007025" : "phổ biến vocal",</v>
      </c>
    </row>
    <row r="119" spans="1:6" ht="15.75" customHeight="1">
      <c r="A119" s="14">
        <v>2084007026</v>
      </c>
      <c r="B119" s="14" t="s">
        <v>46</v>
      </c>
      <c r="C119" s="14" t="s">
        <v>4345</v>
      </c>
      <c r="D119" s="5" t="str">
        <f ca="1">IFERROR(__xludf.DUMMYFUNCTION("GOOGLETRANSLATE(B119,""ja"",""vi"")"),"nếu không thì")</f>
        <v>nếu không thì</v>
      </c>
      <c r="E119" s="4" t="str">
        <f ca="1">IFERROR(__xludf.DUMMYFUNCTION("GOOGLETRANSLATE(C119,""ja"",""vi"")"),"Đấu giá&gt; Âm nhạc&gt; Ghi lại&gt; Rock, Pop (Western)&gt; Khác")</f>
        <v>Đấu giá&gt; Âm nhạc&gt; Ghi lại&gt; Rock, Pop (Western)&gt; Khác</v>
      </c>
      <c r="F119" t="str">
        <f t="shared" ca="1" si="1"/>
        <v>"2084007026" : "nếu không thì",</v>
      </c>
    </row>
    <row r="120" spans="1:6" ht="15.75" customHeight="1">
      <c r="A120" s="14">
        <v>2084048573</v>
      </c>
      <c r="B120" s="14" t="s">
        <v>4065</v>
      </c>
      <c r="C120" s="14" t="s">
        <v>4348</v>
      </c>
      <c r="D120" s="5" t="str">
        <f ca="1">IFERROR(__xludf.DUMMYFUNCTION("GOOGLETRANSLATE(B120,""ja"",""vi"")"),"Châu Á Pop")</f>
        <v>Châu Á Pop</v>
      </c>
      <c r="E120" s="4" t="str">
        <f ca="1">IFERROR(__xludf.DUMMYFUNCTION("GOOGLETRANSLATE(C120,""ja"",""vi"")"),"Đấu giá&gt; nhạc&gt; kỷ lục&gt; Thế giới Âm nhạc&gt; Pop Châu Á")</f>
        <v>Đấu giá&gt; nhạc&gt; kỷ lục&gt; Thế giới Âm nhạc&gt; Pop Châu Á</v>
      </c>
      <c r="F120" t="str">
        <f t="shared" ca="1" si="1"/>
        <v>"2084048573" : "Châu Á Pop",</v>
      </c>
    </row>
    <row r="121" spans="1:6" ht="15.75" customHeight="1">
      <c r="A121" s="14">
        <v>2084048574</v>
      </c>
      <c r="B121" s="14" t="s">
        <v>4078</v>
      </c>
      <c r="C121" s="14" t="s">
        <v>4353</v>
      </c>
      <c r="D121" s="5" t="str">
        <f ca="1">IFERROR(__xludf.DUMMYFUNCTION("GOOGLETRANSLATE(B121,""ja"",""vi"")"),"Đất nước Tây")</f>
        <v>Đất nước Tây</v>
      </c>
      <c r="E121" s="4" t="str">
        <f ca="1">IFERROR(__xludf.DUMMYFUNCTION("GOOGLETRANSLATE(C121,""ja"",""vi"")"),"Đấu giá&gt; nhạc&gt; kỷ lục&gt; Thế giới Âm nhạc&gt; Quốc gia &amp; Tây")</f>
        <v>Đấu giá&gt; nhạc&gt; kỷ lục&gt; Thế giới Âm nhạc&gt; Quốc gia &amp; Tây</v>
      </c>
      <c r="F121" t="str">
        <f t="shared" ca="1" si="1"/>
        <v>"2084048574" : "Đất nước Tây",</v>
      </c>
    </row>
    <row r="122" spans="1:6" ht="15.75" customHeight="1">
      <c r="A122" s="14">
        <v>2084048575</v>
      </c>
      <c r="B122" s="14" t="s">
        <v>4082</v>
      </c>
      <c r="C122" s="14" t="s">
        <v>4358</v>
      </c>
      <c r="D122" s="5" t="str">
        <f ca="1">IFERROR(__xludf.DUMMYFUNCTION("GOOGLETRANSLATE(B122,""ja"",""vi"")"),"Samba")</f>
        <v>Samba</v>
      </c>
      <c r="E122" s="4" t="str">
        <f ca="1">IFERROR(__xludf.DUMMYFUNCTION("GOOGLETRANSLATE(C122,""ja"",""vi"")"),"Đấu giá&gt; nhạc&gt; kỷ lục&gt; Thế giới Âm nhạc&gt; samba")</f>
        <v>Đấu giá&gt; nhạc&gt; kỷ lục&gt; Thế giới Âm nhạc&gt; samba</v>
      </c>
      <c r="F122" t="str">
        <f t="shared" ca="1" si="1"/>
        <v>"2084048575" : "Samba",</v>
      </c>
    </row>
    <row r="123" spans="1:6" ht="15.75" customHeight="1">
      <c r="A123" s="14">
        <v>2084048576</v>
      </c>
      <c r="B123" s="14" t="s">
        <v>4090</v>
      </c>
      <c r="C123" s="14" t="s">
        <v>4363</v>
      </c>
      <c r="D123" s="5" t="str">
        <f ca="1">IFERROR(__xludf.DUMMYFUNCTION("GOOGLETRANSLATE(B123,""ja"",""vi"")"),"ska")</f>
        <v>ska</v>
      </c>
      <c r="E123" s="4" t="str">
        <f ca="1">IFERROR(__xludf.DUMMYFUNCTION("GOOGLETRANSLATE(C123,""ja"",""vi"")"),"Đấu giá&gt; nhạc&gt; kỷ lục&gt; Thế giới Âm nhạc&gt; Ska")</f>
        <v>Đấu giá&gt; nhạc&gt; kỷ lục&gt; Thế giới Âm nhạc&gt; Ska</v>
      </c>
      <c r="F123" t="str">
        <f t="shared" ca="1" si="1"/>
        <v>"2084048576" : "ska",</v>
      </c>
    </row>
    <row r="124" spans="1:6" ht="15.75" customHeight="1">
      <c r="A124" s="14">
        <v>2084048578</v>
      </c>
      <c r="B124" s="14" t="s">
        <v>4101</v>
      </c>
      <c r="C124" s="14" t="s">
        <v>4367</v>
      </c>
      <c r="D124" s="5" t="str">
        <f ca="1">IFERROR(__xludf.DUMMYFUNCTION("GOOGLETRANSLATE(B124,""ja"",""vi"")"),"Dân gian &amp; Country")</f>
        <v>Dân gian &amp; Country</v>
      </c>
      <c r="E124" s="4" t="str">
        <f ca="1">IFERROR(__xludf.DUMMYFUNCTION("GOOGLETRANSLATE(C124,""ja"",""vi"")"),"Đấu giá&gt; nhạc&gt; kỷ lục&gt; Thế giới Âm nhạc&gt; Nhạc dân tộc &amp; Country")</f>
        <v>Đấu giá&gt; nhạc&gt; kỷ lục&gt; Thế giới Âm nhạc&gt; Nhạc dân tộc &amp; Country</v>
      </c>
      <c r="F124" t="str">
        <f t="shared" ca="1" si="1"/>
        <v>"2084048578" : "Dân gian &amp; Country",</v>
      </c>
    </row>
    <row r="125" spans="1:6" ht="15.75" customHeight="1">
      <c r="A125" s="14">
        <v>2084048579</v>
      </c>
      <c r="B125" s="14" t="s">
        <v>4106</v>
      </c>
      <c r="C125" s="14" t="s">
        <v>4369</v>
      </c>
      <c r="D125" s="5" t="str">
        <f ca="1">IFERROR(__xludf.DUMMYFUNCTION("GOOGLETRANSLATE(B125,""ja"",""vi"")"),"flamenco")</f>
        <v>flamenco</v>
      </c>
      <c r="E125" s="4" t="str">
        <f ca="1">IFERROR(__xludf.DUMMYFUNCTION("GOOGLETRANSLATE(C125,""ja"",""vi"")"),"Đấu giá&gt; nhạc&gt; kỷ lục&gt; Thế giới Âm nhạc&gt; Flamenco")</f>
        <v>Đấu giá&gt; nhạc&gt; kỷ lục&gt; Thế giới Âm nhạc&gt; Flamenco</v>
      </c>
      <c r="F125" t="str">
        <f t="shared" ca="1" si="1"/>
        <v>"2084048579" : "flamenco",</v>
      </c>
    </row>
    <row r="126" spans="1:6" ht="15.75" customHeight="1">
      <c r="A126" s="14">
        <v>2084048580</v>
      </c>
      <c r="B126" s="14" t="s">
        <v>4110</v>
      </c>
      <c r="C126" s="14" t="s">
        <v>4374</v>
      </c>
      <c r="D126" s="5" t="str">
        <f ca="1">IFERROR(__xludf.DUMMYFUNCTION("GOOGLETRANSLATE(B126,""ja"",""vi"")"),"dân gian Anh, trad")</f>
        <v>dân gian Anh, trad</v>
      </c>
      <c r="E126" s="4" t="str">
        <f ca="1">IFERROR(__xludf.DUMMYFUNCTION("GOOGLETRANSLATE(C126,""ja"",""vi"")"),"Đấu giá&gt; nhạc&gt; kỷ lục&gt; Thế giới Âm nhạc&gt; folk Anh, trad")</f>
        <v>Đấu giá&gt; nhạc&gt; kỷ lục&gt; Thế giới Âm nhạc&gt; folk Anh, trad</v>
      </c>
      <c r="F126" t="str">
        <f t="shared" ca="1" si="1"/>
        <v>"2084048580" : "dân gian Anh, trad",</v>
      </c>
    </row>
    <row r="127" spans="1:6" ht="15.75" customHeight="1">
      <c r="A127" s="14">
        <v>2084048581</v>
      </c>
      <c r="B127" s="14" t="s">
        <v>4116</v>
      </c>
      <c r="C127" s="14" t="s">
        <v>4377</v>
      </c>
      <c r="D127" s="5" t="str">
        <f ca="1">IFERROR(__xludf.DUMMYFUNCTION("GOOGLETRANSLATE(B127,""ja"",""vi"")"),"Bossa Nova")</f>
        <v>Bossa Nova</v>
      </c>
      <c r="E127" s="4" t="str">
        <f ca="1">IFERROR(__xludf.DUMMYFUNCTION("GOOGLETRANSLATE(C127,""ja"",""vi"")"),"Đấu giá&gt; nhạc&gt; kỷ lục&gt; Thế giới Âm nhạc&gt; Bossa Nova")</f>
        <v>Đấu giá&gt; nhạc&gt; kỷ lục&gt; Thế giới Âm nhạc&gt; Bossa Nova</v>
      </c>
      <c r="F127" t="str">
        <f t="shared" ca="1" si="1"/>
        <v>"2084048581" : "Bossa Nova",</v>
      </c>
    </row>
    <row r="128" spans="1:6" ht="15.75" customHeight="1">
      <c r="A128" s="14">
        <v>2084048577</v>
      </c>
      <c r="B128" s="14" t="s">
        <v>4122</v>
      </c>
      <c r="C128" s="14" t="s">
        <v>4382</v>
      </c>
      <c r="D128" s="5" t="str">
        <f ca="1">IFERROR(__xludf.DUMMYFUNCTION("GOOGLETRANSLATE(B128,""ja"",""vi"")"),"Reggae")</f>
        <v>Reggae</v>
      </c>
      <c r="E128" s="4" t="str">
        <f ca="1">IFERROR(__xludf.DUMMYFUNCTION("GOOGLETRANSLATE(C128,""ja"",""vi"")"),"Đấu giá&gt; nhạc&gt; kỷ lục&gt; Thế giới Âm nhạc&gt; Reggae")</f>
        <v>Đấu giá&gt; nhạc&gt; kỷ lục&gt; Thế giới Âm nhạc&gt; Reggae</v>
      </c>
      <c r="F128" t="str">
        <f t="shared" ca="1" si="1"/>
        <v>"2084048577" : "Reggae",</v>
      </c>
    </row>
    <row r="129" spans="1:6" ht="15.75" customHeight="1">
      <c r="A129" s="14">
        <v>2084048572</v>
      </c>
      <c r="B129" s="14" t="s">
        <v>46</v>
      </c>
      <c r="C129" s="14" t="s">
        <v>4384</v>
      </c>
      <c r="D129" s="5" t="str">
        <f ca="1">IFERROR(__xludf.DUMMYFUNCTION("GOOGLETRANSLATE(B129,""ja"",""vi"")"),"nếu không thì")</f>
        <v>nếu không thì</v>
      </c>
      <c r="E129" s="4" t="str">
        <f ca="1">IFERROR(__xludf.DUMMYFUNCTION("GOOGLETRANSLATE(C129,""ja"",""vi"")"),"Đấu giá&gt; nhạc&gt; kỷ lục&gt; Thế giới Âm nhạc&gt; Khác")</f>
        <v>Đấu giá&gt; nhạc&gt; kỷ lục&gt; Thế giới Âm nhạc&gt; Khác</v>
      </c>
      <c r="F129" t="str">
        <f t="shared" ca="1" si="1"/>
        <v>"2084048572" : "nếu không thì",</v>
      </c>
    </row>
    <row r="130" spans="1:6" ht="15.75" customHeight="1">
      <c r="A130" s="14">
        <v>2084041504</v>
      </c>
      <c r="B130" s="14" t="s">
        <v>3835</v>
      </c>
      <c r="C130" s="14" t="s">
        <v>4387</v>
      </c>
      <c r="D130" s="5" t="str">
        <f ca="1">IFERROR(__xludf.DUMMYFUNCTION("GOOGLETRANSLATE(B130,""ja"",""vi"")"),"SF, Viễn tưởng")</f>
        <v>SF, Viễn tưởng</v>
      </c>
      <c r="E130" s="4" t="str">
        <f ca="1">IFERROR(__xludf.DUMMYFUNCTION("GOOGLETRANSLATE(C130,""ja"",""vi"")"),"Đấu giá&gt; nhạc&gt; kỷ lục&gt; Phim Âm nhạc&gt; SF, Viễn tưởng")</f>
        <v>Đấu giá&gt; nhạc&gt; kỷ lục&gt; Phim Âm nhạc&gt; SF, Viễn tưởng</v>
      </c>
      <c r="F130" t="str">
        <f t="shared" ref="F130:F193" ca="1" si="2">CONCATENATE(CHAR(34)&amp;"",A130,""&amp;CHAR(34)," : ", CHAR(34)&amp;"",D130,""&amp;CHAR(34),",")</f>
        <v>"2084041504" : "SF, Viễn tưởng",</v>
      </c>
    </row>
    <row r="131" spans="1:6" ht="15.75" customHeight="1">
      <c r="A131" s="14">
        <v>2084041506</v>
      </c>
      <c r="B131" s="14" t="s">
        <v>3842</v>
      </c>
      <c r="C131" s="14" t="s">
        <v>4391</v>
      </c>
      <c r="D131" s="5" t="str">
        <f ca="1">IFERROR(__xludf.DUMMYFUNCTION("GOOGLETRANSLATE(B131,""ja"",""vi"")"),"Hành động, phiêu lưu")</f>
        <v>Hành động, phiêu lưu</v>
      </c>
      <c r="E131" s="4" t="str">
        <f ca="1">IFERROR(__xludf.DUMMYFUNCTION("GOOGLETRANSLATE(C131,""ja"",""vi"")"),"Đấu giá&gt; nhạc&gt; kỷ lục&gt; Phim Âm nhạc&gt; Hành động, phiêu lưu")</f>
        <v>Đấu giá&gt; nhạc&gt; kỷ lục&gt; Phim Âm nhạc&gt; Hành động, phiêu lưu</v>
      </c>
      <c r="F131" t="str">
        <f t="shared" ca="1" si="2"/>
        <v>"2084041506" : "Hành động, phiêu lưu",</v>
      </c>
    </row>
    <row r="132" spans="1:6" ht="15.75" customHeight="1">
      <c r="A132" s="14">
        <v>2084007037</v>
      </c>
      <c r="B132" s="14" t="s">
        <v>3849</v>
      </c>
      <c r="C132" s="14" t="s">
        <v>4395</v>
      </c>
      <c r="D132" s="5" t="str">
        <f ca="1">IFERROR(__xludf.DUMMYFUNCTION("GOOGLETRANSLATE(B132,""ja"",""vi"")"),"Anime bài hát")</f>
        <v>Anime bài hát</v>
      </c>
      <c r="E132" s="4" t="str">
        <f ca="1">IFERROR(__xludf.DUMMYFUNCTION("GOOGLETRANSLATE(C132,""ja"",""vi"")"),"Đấu giá&gt; nhạc&gt; kỷ lục&gt; Phim Âm nhạc&gt; phim hoạt hình bài hát")</f>
        <v>Đấu giá&gt; nhạc&gt; kỷ lục&gt; Phim Âm nhạc&gt; phim hoạt hình bài hát</v>
      </c>
      <c r="F132" t="str">
        <f t="shared" ca="1" si="2"/>
        <v>"2084007037" : "Anime bài hát",</v>
      </c>
    </row>
    <row r="133" spans="1:6" ht="15.75" customHeight="1">
      <c r="A133" s="14">
        <v>2084041507</v>
      </c>
      <c r="B133" s="14" t="s">
        <v>3855</v>
      </c>
      <c r="C133" s="14" t="s">
        <v>4399</v>
      </c>
      <c r="D133" s="5" t="str">
        <f ca="1">IFERROR(__xludf.DUMMYFUNCTION("GOOGLETRANSLATE(B133,""ja"",""vi"")"),"hài kịch")</f>
        <v>hài kịch</v>
      </c>
      <c r="E133" s="4" t="str">
        <f ca="1">IFERROR(__xludf.DUMMYFUNCTION("GOOGLETRANSLATE(C133,""ja"",""vi"")"),"Đấu giá&gt; nhạc&gt; kỷ lục&gt; Phim Âm nhạc&gt; Comedy")</f>
        <v>Đấu giá&gt; nhạc&gt; kỷ lục&gt; Phim Âm nhạc&gt; Comedy</v>
      </c>
      <c r="F133" t="str">
        <f t="shared" ca="1" si="2"/>
        <v>"2084041507" : "hài kịch",</v>
      </c>
    </row>
    <row r="134" spans="1:6" ht="15.75" customHeight="1">
      <c r="A134" s="14">
        <v>2084041508</v>
      </c>
      <c r="B134" s="14" t="s">
        <v>3864</v>
      </c>
      <c r="C134" s="14" t="s">
        <v>4402</v>
      </c>
      <c r="D134" s="5" t="str">
        <f ca="1">IFERROR(__xludf.DUMMYFUNCTION("GOOGLETRANSLATE(B134,""ja"",""vi"")"),"Hồi hộp")</f>
        <v>Hồi hộp</v>
      </c>
      <c r="E134" s="4" t="str">
        <f ca="1">IFERROR(__xludf.DUMMYFUNCTION("GOOGLETRANSLATE(C134,""ja"",""vi"")"),"Đấu giá&gt; nhạc&gt; kỷ lục&gt; Phim Âm nhạc&gt; Hồi hộp")</f>
        <v>Đấu giá&gt; nhạc&gt; kỷ lục&gt; Phim Âm nhạc&gt; Hồi hộp</v>
      </c>
      <c r="F134" t="str">
        <f t="shared" ca="1" si="2"/>
        <v>"2084041508" : "Hồi hộp",</v>
      </c>
    </row>
    <row r="135" spans="1:6" ht="15.75" customHeight="1">
      <c r="A135" s="14">
        <v>2084041510</v>
      </c>
      <c r="B135" s="14" t="s">
        <v>3870</v>
      </c>
      <c r="C135" s="14" t="s">
        <v>4407</v>
      </c>
      <c r="D135" s="5" t="str">
        <f ca="1">IFERROR(__xludf.DUMMYFUNCTION("GOOGLETRANSLATE(B135,""ja"",""vi"")"),"kịch")</f>
        <v>kịch</v>
      </c>
      <c r="E135" s="4" t="str">
        <f ca="1">IFERROR(__xludf.DUMMYFUNCTION("GOOGLETRANSLATE(C135,""ja"",""vi"")"),"Đấu giá&gt; nhạc&gt; kỷ lục&gt; Phim Âm nhạc&gt; Drama")</f>
        <v>Đấu giá&gt; nhạc&gt; kỷ lục&gt; Phim Âm nhạc&gt; Drama</v>
      </c>
      <c r="F135" t="str">
        <f t="shared" ca="1" si="2"/>
        <v>"2084041510" : "kịch",</v>
      </c>
    </row>
    <row r="136" spans="1:6" ht="15.75" customHeight="1">
      <c r="A136" s="14">
        <v>2084041511</v>
      </c>
      <c r="B136" s="14" t="s">
        <v>3876</v>
      </c>
      <c r="C136" s="14" t="s">
        <v>4409</v>
      </c>
      <c r="D136" s="5" t="str">
        <f ca="1">IFERROR(__xludf.DUMMYFUNCTION("GOOGLETRANSLATE(B136,""ja"",""vi"")"),"rùng rợn")</f>
        <v>rùng rợn</v>
      </c>
      <c r="E136" s="4" t="str">
        <f ca="1">IFERROR(__xludf.DUMMYFUNCTION("GOOGLETRANSLATE(C136,""ja"",""vi"")"),"Đấu giá&gt; nhạc&gt; kỷ lục&gt; Phim Âm nhạc&gt; Horror")</f>
        <v>Đấu giá&gt; nhạc&gt; kỷ lục&gt; Phim Âm nhạc&gt; Horror</v>
      </c>
      <c r="F136" t="str">
        <f t="shared" ca="1" si="2"/>
        <v>"2084041511" : "rùng rợn",</v>
      </c>
    </row>
    <row r="137" spans="1:6" ht="15.75" customHeight="1">
      <c r="A137" s="14">
        <v>2084041509</v>
      </c>
      <c r="B137" s="14" t="s">
        <v>1207</v>
      </c>
      <c r="C137" s="14" t="s">
        <v>4413</v>
      </c>
      <c r="D137" s="5" t="str">
        <f ca="1">IFERROR(__xludf.DUMMYFUNCTION("GOOGLETRANSLATE(B137,""ja"",""vi"")"),"nhạc")</f>
        <v>nhạc</v>
      </c>
      <c r="E137" s="4" t="str">
        <f ca="1">IFERROR(__xludf.DUMMYFUNCTION("GOOGLETRANSLATE(C137,""ja"",""vi"")"),"Đấu giá&gt; nhạc&gt; kỷ lục&gt; Phim Âm nhạc&gt; Nhạc")</f>
        <v>Đấu giá&gt; nhạc&gt; kỷ lục&gt; Phim Âm nhạc&gt; Nhạc</v>
      </c>
      <c r="F137" t="str">
        <f t="shared" ca="1" si="2"/>
        <v>"2084041509" : "nhạc",</v>
      </c>
    </row>
    <row r="138" spans="1:6" ht="15.75" customHeight="1">
      <c r="A138" s="14">
        <v>2084041515</v>
      </c>
      <c r="B138" s="14" t="s">
        <v>3888</v>
      </c>
      <c r="C138" s="14" t="s">
        <v>4419</v>
      </c>
      <c r="D138" s="5" t="str">
        <f ca="1">IFERROR(__xludf.DUMMYFUNCTION("GOOGLETRANSLATE(B138,""ja"",""vi"")"),"chơi lịch sử")</f>
        <v>chơi lịch sử</v>
      </c>
      <c r="E138" s="4" t="str">
        <f ca="1">IFERROR(__xludf.DUMMYFUNCTION("GOOGLETRANSLATE(C138,""ja"",""vi"")"),"Đấu giá&gt; nhạc&gt; kỷ lục&gt; Phim Âm nhạc&gt; phim kỷ nguyên")</f>
        <v>Đấu giá&gt; nhạc&gt; kỷ lục&gt; Phim Âm nhạc&gt; phim kỷ nguyên</v>
      </c>
      <c r="F138" t="str">
        <f t="shared" ca="1" si="2"/>
        <v>"2084041515" : "chơi lịch sử",</v>
      </c>
    </row>
    <row r="139" spans="1:6" ht="15.75" customHeight="1">
      <c r="A139" s="14">
        <v>2084041512</v>
      </c>
      <c r="B139" s="14" t="s">
        <v>3893</v>
      </c>
      <c r="C139" s="14" t="s">
        <v>4424</v>
      </c>
      <c r="D139" s="5" t="str">
        <f ca="1">IFERROR(__xludf.DUMMYFUNCTION("GOOGLETRANSLATE(B139,""ja"",""vi"")"),"Tây")</f>
        <v>Tây</v>
      </c>
      <c r="E139" s="4" t="str">
        <f ca="1">IFERROR(__xludf.DUMMYFUNCTION("GOOGLETRANSLATE(C139,""ja"",""vi"")"),"Đấu giá&gt; nhạc&gt; kỷ lục&gt; Phim Âm nhạc&gt; cao bồi miền Tây")</f>
        <v>Đấu giá&gt; nhạc&gt; kỷ lục&gt; Phim Âm nhạc&gt; cao bồi miền Tây</v>
      </c>
      <c r="F139" t="str">
        <f t="shared" ca="1" si="2"/>
        <v>"2084041512" : "Tây",</v>
      </c>
    </row>
    <row r="140" spans="1:6" ht="15.75" customHeight="1">
      <c r="A140" s="14">
        <v>2084041514</v>
      </c>
      <c r="B140" s="14" t="s">
        <v>3899</v>
      </c>
      <c r="C140" s="14" t="s">
        <v>4426</v>
      </c>
      <c r="D140" s="5" t="str">
        <f ca="1">IFERROR(__xludf.DUMMYFUNCTION("GOOGLETRANSLATE(B140,""ja"",""vi"")"),"chiến tranh")</f>
        <v>chiến tranh</v>
      </c>
      <c r="E140" s="4" t="str">
        <f ca="1">IFERROR(__xludf.DUMMYFUNCTION("GOOGLETRANSLATE(C140,""ja"",""vi"")"),"Đấu giá&gt; nhạc&gt; kỷ lục&gt; Phim Âm nhạc&gt; Chiến tranh")</f>
        <v>Đấu giá&gt; nhạc&gt; kỷ lục&gt; Phim Âm nhạc&gt; Chiến tranh</v>
      </c>
      <c r="F140" t="str">
        <f t="shared" ca="1" si="2"/>
        <v>"2084041514" : "chiến tranh",</v>
      </c>
    </row>
    <row r="141" spans="1:6" ht="15.75" customHeight="1">
      <c r="A141" s="14">
        <v>2084041505</v>
      </c>
      <c r="B141" s="14" t="s">
        <v>46</v>
      </c>
      <c r="C141" s="14" t="s">
        <v>4430</v>
      </c>
      <c r="D141" s="5" t="str">
        <f ca="1">IFERROR(__xludf.DUMMYFUNCTION("GOOGLETRANSLATE(B141,""ja"",""vi"")"),"nếu không thì")</f>
        <v>nếu không thì</v>
      </c>
      <c r="E141" s="4" t="str">
        <f ca="1">IFERROR(__xludf.DUMMYFUNCTION("GOOGLETRANSLATE(C141,""ja"",""vi"")"),"Đấu giá&gt; nhạc&gt; kỷ lục&gt; Phim Âm nhạc&gt; Khác")</f>
        <v>Đấu giá&gt; nhạc&gt; kỷ lục&gt; Phim Âm nhạc&gt; Khác</v>
      </c>
      <c r="F141" t="str">
        <f t="shared" ca="1" si="2"/>
        <v>"2084041505" : "nếu không thì",</v>
      </c>
    </row>
    <row r="142" spans="1:6" ht="15.75" customHeight="1">
      <c r="A142" s="14">
        <v>2084006981</v>
      </c>
      <c r="B142" s="14" t="s">
        <v>3789</v>
      </c>
      <c r="C142" s="14" t="s">
        <v>4433</v>
      </c>
      <c r="D142" s="5" t="str">
        <f ca="1">IFERROR(__xludf.DUMMYFUNCTION("GOOGLETRANSLATE(B142,""ja"",""vi"")"),"Indies")</f>
        <v>Indies</v>
      </c>
      <c r="E142" s="4" t="str">
        <f ca="1">IFERROR(__xludf.DUMMYFUNCTION("GOOGLETRANSLATE(C142,""ja"",""vi"")"),"Đấu giá&gt; nhạc&gt; băng băng&gt; Nhật Bản Pop&gt; Indie")</f>
        <v>Đấu giá&gt; nhạc&gt; băng băng&gt; Nhật Bản Pop&gt; Indie</v>
      </c>
      <c r="F142" t="str">
        <f t="shared" ca="1" si="2"/>
        <v>"2084006981" : "Indies",</v>
      </c>
    </row>
    <row r="143" spans="1:6" ht="15.75" customHeight="1">
      <c r="A143" s="14">
        <v>2084006980</v>
      </c>
      <c r="B143" s="14" t="s">
        <v>3781</v>
      </c>
      <c r="C143" s="14" t="s">
        <v>4438</v>
      </c>
      <c r="D143" s="5" t="str">
        <f ca="1">IFERROR(__xludf.DUMMYFUNCTION("GOOGLETRANSLATE(B143,""ja"",""vi"")"),"Rock, Pop")</f>
        <v>Rock, Pop</v>
      </c>
      <c r="E143" s="4" t="str">
        <f ca="1">IFERROR(__xludf.DUMMYFUNCTION("GOOGLETRANSLATE(C143,""ja"",""vi"")"),"Đấu giá&gt; nhạc&gt; băng cassette&gt; Nhật Bản Pop&gt; Rock, Pop")</f>
        <v>Đấu giá&gt; nhạc&gt; băng cassette&gt; Nhật Bản Pop&gt; Rock, Pop</v>
      </c>
      <c r="F143" t="str">
        <f t="shared" ca="1" si="2"/>
        <v>"2084006980" : "Rock, Pop",</v>
      </c>
    </row>
    <row r="144" spans="1:6" ht="15.75" customHeight="1">
      <c r="A144" s="14">
        <v>2084006982</v>
      </c>
      <c r="B144" s="14" t="s">
        <v>46</v>
      </c>
      <c r="C144" s="14" t="s">
        <v>4442</v>
      </c>
      <c r="D144" s="5" t="str">
        <f ca="1">IFERROR(__xludf.DUMMYFUNCTION("GOOGLETRANSLATE(B144,""ja"",""vi"")"),"nếu không thì")</f>
        <v>nếu không thì</v>
      </c>
      <c r="E144" s="4" t="str">
        <f ca="1">IFERROR(__xludf.DUMMYFUNCTION("GOOGLETRANSLATE(C144,""ja"",""vi"")"),"Đấu giá&gt; nhạc&gt; băng cassette&gt; Pop Nhật Bản&gt; Khác")</f>
        <v>Đấu giá&gt; nhạc&gt; băng cassette&gt; Pop Nhật Bản&gt; Khác</v>
      </c>
      <c r="F144" t="str">
        <f t="shared" ca="1" si="2"/>
        <v>"2084006982" : "nếu không thì",</v>
      </c>
    </row>
    <row r="145" spans="1:6" ht="15.75" customHeight="1">
      <c r="A145" s="14">
        <v>2084006983</v>
      </c>
      <c r="B145" s="14" t="s">
        <v>3801</v>
      </c>
      <c r="C145" s="14" t="s">
        <v>4446</v>
      </c>
      <c r="D145" s="5" t="str">
        <f ca="1">IFERROR(__xludf.DUMMYFUNCTION("GOOGLETRANSLATE(B145,""ja"",""vi"")"),"Rock, Pop chung")</f>
        <v>Rock, Pop chung</v>
      </c>
      <c r="E145" s="4" t="str">
        <f ca="1">IFERROR(__xludf.DUMMYFUNCTION("GOOGLETRANSLATE(C145,""ja"",""vi"")"),"Đấu giá&gt; nhạc&gt; băng băng&gt; Khóa, pops (Western)&gt; Rock, Pop chung")</f>
        <v>Đấu giá&gt; nhạc&gt; băng băng&gt; Khóa, pops (Western)&gt; Rock, Pop chung</v>
      </c>
      <c r="F145" t="str">
        <f t="shared" ca="1" si="2"/>
        <v>"2084006983" : "Rock, Pop chung",</v>
      </c>
    </row>
    <row r="146" spans="1:6" ht="15.75" customHeight="1">
      <c r="A146" s="14">
        <v>2084007207</v>
      </c>
      <c r="B146" s="14" t="s">
        <v>3807</v>
      </c>
      <c r="C146" s="14" t="s">
        <v>4450</v>
      </c>
      <c r="D146" s="5" t="str">
        <f ca="1">IFERROR(__xludf.DUMMYFUNCTION("GOOGLETRANSLATE(B146,""ja"",""vi"")"),"hard rock")</f>
        <v>hard rock</v>
      </c>
      <c r="E146" s="4" t="str">
        <f ca="1">IFERROR(__xludf.DUMMYFUNCTION("GOOGLETRANSLATE(C146,""ja"",""vi"")"),"Đấu giá&gt; nhạc&gt; băng băng&gt; Khóa, pops (Western)&gt; Hard Rock")</f>
        <v>Đấu giá&gt; nhạc&gt; băng băng&gt; Khóa, pops (Western)&gt; Hard Rock</v>
      </c>
      <c r="F146" t="str">
        <f t="shared" ca="1" si="2"/>
        <v>"2084007207" : "hard rock",</v>
      </c>
    </row>
    <row r="147" spans="1:6" ht="15.75" customHeight="1">
      <c r="A147" s="14">
        <v>2084007208</v>
      </c>
      <c r="B147" s="14" t="s">
        <v>3813</v>
      </c>
      <c r="C147" s="14" t="s">
        <v>4454</v>
      </c>
      <c r="D147" s="5" t="str">
        <f ca="1">IFERROR(__xludf.DUMMYFUNCTION("GOOGLETRANSLATE(B147,""ja"",""vi"")"),"Punk")</f>
        <v>Punk</v>
      </c>
      <c r="E147" s="4" t="str">
        <f ca="1">IFERROR(__xludf.DUMMYFUNCTION("GOOGLETRANSLATE(C147,""ja"",""vi"")"),"Đấu giá&gt; nhạc&gt; băng băng&gt; Khóa, pops (Western)&gt; nhạc punk")</f>
        <v>Đấu giá&gt; nhạc&gt; băng băng&gt; Khóa, pops (Western)&gt; nhạc punk</v>
      </c>
      <c r="F147" t="str">
        <f t="shared" ca="1" si="2"/>
        <v>"2084007208" : "Punk",</v>
      </c>
    </row>
    <row r="148" spans="1:6" ht="15.75" customHeight="1">
      <c r="A148" s="14">
        <v>2084007209</v>
      </c>
      <c r="B148" s="14" t="s">
        <v>3819</v>
      </c>
      <c r="C148" s="14" t="s">
        <v>4457</v>
      </c>
      <c r="D148" s="5" t="str">
        <f ca="1">IFERROR(__xludf.DUMMYFUNCTION("GOOGLETRANSLATE(B148,""ja"",""vi"")"),"Progressive Rock")</f>
        <v>Progressive Rock</v>
      </c>
      <c r="E148" s="4" t="str">
        <f ca="1">IFERROR(__xludf.DUMMYFUNCTION("GOOGLETRANSLATE(C148,""ja"",""vi"")"),"Đấu giá&gt; nhạc&gt; băng băng&gt; Khóa, pops (Western)&gt; progressive rock")</f>
        <v>Đấu giá&gt; nhạc&gt; băng băng&gt; Khóa, pops (Western)&gt; progressive rock</v>
      </c>
      <c r="F148" t="str">
        <f t="shared" ca="1" si="2"/>
        <v>"2084007209" : "Progressive Rock",</v>
      </c>
    </row>
    <row r="149" spans="1:6" ht="15.75" customHeight="1">
      <c r="A149" s="14">
        <v>2084006984</v>
      </c>
      <c r="B149" s="14" t="s">
        <v>3824</v>
      </c>
      <c r="C149" s="14" t="s">
        <v>4462</v>
      </c>
      <c r="D149" s="5" t="str">
        <f ca="1">IFERROR(__xludf.DUMMYFUNCTION("GOOGLETRANSLATE(B149,""ja"",""vi"")"),"phổ biến vocal")</f>
        <v>phổ biến vocal</v>
      </c>
      <c r="E149" s="4" t="str">
        <f ca="1">IFERROR(__xludf.DUMMYFUNCTION("GOOGLETRANSLATE(C149,""ja"",""vi"")"),"Đấu giá&gt; nhạc&gt; băng băng&gt; Khóa, pops (Western)&gt; vocal phổ biến")</f>
        <v>Đấu giá&gt; nhạc&gt; băng băng&gt; Khóa, pops (Western)&gt; vocal phổ biến</v>
      </c>
      <c r="F149" t="str">
        <f t="shared" ca="1" si="2"/>
        <v>"2084006984" : "phổ biến vocal",</v>
      </c>
    </row>
    <row r="150" spans="1:6" ht="15.75" customHeight="1">
      <c r="A150" s="14">
        <v>2084006985</v>
      </c>
      <c r="B150" s="14" t="s">
        <v>46</v>
      </c>
      <c r="C150" s="14" t="s">
        <v>4466</v>
      </c>
      <c r="D150" s="5" t="str">
        <f ca="1">IFERROR(__xludf.DUMMYFUNCTION("GOOGLETRANSLATE(B150,""ja"",""vi"")"),"nếu không thì")</f>
        <v>nếu không thì</v>
      </c>
      <c r="E150" s="4" t="str">
        <f ca="1">IFERROR(__xludf.DUMMYFUNCTION("GOOGLETRANSLATE(C150,""ja"",""vi"")"),"Đấu giá&gt; nhạc&gt; băng băng&gt; Khóa, pops (Western)&gt; Khác")</f>
        <v>Đấu giá&gt; nhạc&gt; băng băng&gt; Khóa, pops (Western)&gt; Khác</v>
      </c>
      <c r="F150" t="str">
        <f t="shared" ca="1" si="2"/>
        <v>"2084006985" : "nếu không thì",</v>
      </c>
    </row>
    <row r="151" spans="1:6" ht="15.75" customHeight="1">
      <c r="A151" s="14">
        <v>2084006990</v>
      </c>
      <c r="B151" s="14" t="s">
        <v>3789</v>
      </c>
      <c r="C151" s="14" t="s">
        <v>4470</v>
      </c>
      <c r="D151" s="5" t="str">
        <f ca="1">IFERROR(__xludf.DUMMYFUNCTION("GOOGLETRANSLATE(B151,""ja"",""vi"")"),"Indies")</f>
        <v>Indies</v>
      </c>
      <c r="E151" s="4" t="str">
        <f ca="1">IFERROR(__xludf.DUMMYFUNCTION("GOOGLETRANSLATE(C151,""ja"",""vi"")"),"Đấu giá&gt; Âm nhạc&gt; Video&gt; Nhật Bản Pop&gt; Indie")</f>
        <v>Đấu giá&gt; Âm nhạc&gt; Video&gt; Nhật Bản Pop&gt; Indie</v>
      </c>
      <c r="F151" t="str">
        <f t="shared" ca="1" si="2"/>
        <v>"2084006990" : "Indies",</v>
      </c>
    </row>
    <row r="152" spans="1:6" ht="15.75" customHeight="1">
      <c r="A152" s="14">
        <v>2084006989</v>
      </c>
      <c r="B152" s="14" t="s">
        <v>3781</v>
      </c>
      <c r="C152" s="14" t="s">
        <v>4475</v>
      </c>
      <c r="D152" s="5" t="str">
        <f ca="1">IFERROR(__xludf.DUMMYFUNCTION("GOOGLETRANSLATE(B152,""ja"",""vi"")"),"Rock, Pop")</f>
        <v>Rock, Pop</v>
      </c>
      <c r="E152" s="4" t="str">
        <f ca="1">IFERROR(__xludf.DUMMYFUNCTION("GOOGLETRANSLATE(C152,""ja"",""vi"")"),"Đấu giá&gt; Âm nhạc&gt; Video&gt; Pop Nhật Bản&gt; Rock, Pop")</f>
        <v>Đấu giá&gt; Âm nhạc&gt; Video&gt; Pop Nhật Bản&gt; Rock, Pop</v>
      </c>
      <c r="F152" t="str">
        <f t="shared" ca="1" si="2"/>
        <v>"2084006989" : "Rock, Pop",</v>
      </c>
    </row>
    <row r="153" spans="1:6" ht="15.75" customHeight="1">
      <c r="A153" s="14">
        <v>2084006991</v>
      </c>
      <c r="B153" s="14" t="s">
        <v>46</v>
      </c>
      <c r="C153" s="14" t="s">
        <v>4479</v>
      </c>
      <c r="D153" s="5" t="str">
        <f ca="1">IFERROR(__xludf.DUMMYFUNCTION("GOOGLETRANSLATE(B153,""ja"",""vi"")"),"nếu không thì")</f>
        <v>nếu không thì</v>
      </c>
      <c r="E153" s="4" t="str">
        <f ca="1">IFERROR(__xludf.DUMMYFUNCTION("GOOGLETRANSLATE(C153,""ja"",""vi"")"),"Đấu giá&gt; Âm nhạc&gt; Video&gt; Nhật Bản Pop&gt; Khác")</f>
        <v>Đấu giá&gt; Âm nhạc&gt; Video&gt; Nhật Bản Pop&gt; Khác</v>
      </c>
      <c r="F153" t="str">
        <f t="shared" ca="1" si="2"/>
        <v>"2084006991" : "nếu không thì",</v>
      </c>
    </row>
    <row r="154" spans="1:6" ht="15.75" customHeight="1">
      <c r="A154" s="14">
        <v>2084006992</v>
      </c>
      <c r="B154" s="14" t="s">
        <v>3801</v>
      </c>
      <c r="C154" s="14" t="s">
        <v>4483</v>
      </c>
      <c r="D154" s="5" t="str">
        <f ca="1">IFERROR(__xludf.DUMMYFUNCTION("GOOGLETRANSLATE(B154,""ja"",""vi"")"),"Rock, Pop chung")</f>
        <v>Rock, Pop chung</v>
      </c>
      <c r="E154" s="4" t="str">
        <f ca="1">IFERROR(__xludf.DUMMYFUNCTION("GOOGLETRANSLATE(C154,""ja"",""vi"")"),"Đấu giá&gt; Âm nhạc&gt; Video&gt; Rock, Pop (Western)&gt; Rock, Pop chung")</f>
        <v>Đấu giá&gt; Âm nhạc&gt; Video&gt; Rock, Pop (Western)&gt; Rock, Pop chung</v>
      </c>
      <c r="F154" t="str">
        <f t="shared" ca="1" si="2"/>
        <v>"2084006992" : "Rock, Pop chung",</v>
      </c>
    </row>
    <row r="155" spans="1:6" ht="15.75" customHeight="1">
      <c r="A155" s="14">
        <v>2084007211</v>
      </c>
      <c r="B155" s="14" t="s">
        <v>3807</v>
      </c>
      <c r="C155" s="14" t="s">
        <v>4488</v>
      </c>
      <c r="D155" s="5" t="str">
        <f ca="1">IFERROR(__xludf.DUMMYFUNCTION("GOOGLETRANSLATE(B155,""ja"",""vi"")"),"hard rock")</f>
        <v>hard rock</v>
      </c>
      <c r="E155" s="4" t="str">
        <f ca="1">IFERROR(__xludf.DUMMYFUNCTION("GOOGLETRANSLATE(C155,""ja"",""vi"")"),"Đấu giá&gt; Âm nhạc&gt; Video&gt; Rock, Pop (Western)&gt; Hard Rock")</f>
        <v>Đấu giá&gt; Âm nhạc&gt; Video&gt; Rock, Pop (Western)&gt; Hard Rock</v>
      </c>
      <c r="F155" t="str">
        <f t="shared" ca="1" si="2"/>
        <v>"2084007211" : "hard rock",</v>
      </c>
    </row>
    <row r="156" spans="1:6" ht="15.75" customHeight="1">
      <c r="A156" s="14">
        <v>2084007212</v>
      </c>
      <c r="B156" s="14" t="s">
        <v>3813</v>
      </c>
      <c r="C156" s="14" t="s">
        <v>4493</v>
      </c>
      <c r="D156" s="5" t="str">
        <f ca="1">IFERROR(__xludf.DUMMYFUNCTION("GOOGLETRANSLATE(B156,""ja"",""vi"")"),"Punk")</f>
        <v>Punk</v>
      </c>
      <c r="E156" s="4" t="str">
        <f ca="1">IFERROR(__xludf.DUMMYFUNCTION("GOOGLETRANSLATE(C156,""ja"",""vi"")"),"Đấu giá&gt; Âm nhạc&gt; Video&gt; Rock, Pop (Western)&gt; nhạc punk")</f>
        <v>Đấu giá&gt; Âm nhạc&gt; Video&gt; Rock, Pop (Western)&gt; nhạc punk</v>
      </c>
      <c r="F156" t="str">
        <f t="shared" ca="1" si="2"/>
        <v>"2084007212" : "Punk",</v>
      </c>
    </row>
    <row r="157" spans="1:6" ht="15.75" customHeight="1">
      <c r="A157" s="14">
        <v>2084007210</v>
      </c>
      <c r="B157" s="14" t="s">
        <v>3819</v>
      </c>
      <c r="C157" s="14" t="s">
        <v>4497</v>
      </c>
      <c r="D157" s="5" t="str">
        <f ca="1">IFERROR(__xludf.DUMMYFUNCTION("GOOGLETRANSLATE(B157,""ja"",""vi"")"),"Progressive Rock")</f>
        <v>Progressive Rock</v>
      </c>
      <c r="E157" s="4" t="str">
        <f ca="1">IFERROR(__xludf.DUMMYFUNCTION("GOOGLETRANSLATE(C157,""ja"",""vi"")"),"Đấu giá&gt; Âm nhạc&gt; Video&gt; Rock, Pop (Western)&gt; progressive rock")</f>
        <v>Đấu giá&gt; Âm nhạc&gt; Video&gt; Rock, Pop (Western)&gt; progressive rock</v>
      </c>
      <c r="F157" t="str">
        <f t="shared" ca="1" si="2"/>
        <v>"2084007210" : "Progressive Rock",</v>
      </c>
    </row>
    <row r="158" spans="1:6" ht="15.75" customHeight="1">
      <c r="A158" s="14">
        <v>2084006993</v>
      </c>
      <c r="B158" s="14" t="s">
        <v>3824</v>
      </c>
      <c r="C158" s="14" t="s">
        <v>4502</v>
      </c>
      <c r="D158" s="5" t="str">
        <f ca="1">IFERROR(__xludf.DUMMYFUNCTION("GOOGLETRANSLATE(B158,""ja"",""vi"")"),"phổ biến vocal")</f>
        <v>phổ biến vocal</v>
      </c>
      <c r="E158" s="4" t="str">
        <f ca="1">IFERROR(__xludf.DUMMYFUNCTION("GOOGLETRANSLATE(C158,""ja"",""vi"")"),"Đấu giá&gt; Âm nhạc&gt; Video&gt; Rock, Pop (Western)&gt; vocal phổ biến")</f>
        <v>Đấu giá&gt; Âm nhạc&gt; Video&gt; Rock, Pop (Western)&gt; vocal phổ biến</v>
      </c>
      <c r="F158" t="str">
        <f t="shared" ca="1" si="2"/>
        <v>"2084006993" : "phổ biến vocal",</v>
      </c>
    </row>
    <row r="159" spans="1:6" ht="15.75" customHeight="1">
      <c r="A159" s="14">
        <v>2084006994</v>
      </c>
      <c r="B159" s="14" t="s">
        <v>46</v>
      </c>
      <c r="C159" s="14" t="s">
        <v>4507</v>
      </c>
      <c r="D159" s="5" t="str">
        <f ca="1">IFERROR(__xludf.DUMMYFUNCTION("GOOGLETRANSLATE(B159,""ja"",""vi"")"),"nếu không thì")</f>
        <v>nếu không thì</v>
      </c>
      <c r="E159" s="4" t="str">
        <f ca="1">IFERROR(__xludf.DUMMYFUNCTION("GOOGLETRANSLATE(C159,""ja"",""vi"")"),"Đấu giá&gt; Âm nhạc&gt; Video&gt; Rock, Pop (Western)&gt; Khác")</f>
        <v>Đấu giá&gt; Âm nhạc&gt; Video&gt; Rock, Pop (Western)&gt; Khác</v>
      </c>
      <c r="F159" t="str">
        <f t="shared" ca="1" si="2"/>
        <v>"2084006994" : "nếu không thì",</v>
      </c>
    </row>
    <row r="160" spans="1:6" ht="15.75" customHeight="1">
      <c r="A160" s="14">
        <v>2084007007</v>
      </c>
      <c r="B160" s="14" t="s">
        <v>3789</v>
      </c>
      <c r="C160" s="14" t="s">
        <v>4513</v>
      </c>
      <c r="D160" s="5" t="str">
        <f ca="1">IFERROR(__xludf.DUMMYFUNCTION("GOOGLETRANSLATE(B160,""ja"",""vi"")"),"Indies")</f>
        <v>Indies</v>
      </c>
      <c r="E160" s="4" t="str">
        <f ca="1">IFERROR(__xludf.DUMMYFUNCTION("GOOGLETRANSLATE(C160,""ja"",""vi"")"),"Đấu giá&gt; nhạc&gt; đĩa laze&gt; Nhật Bản Pop&gt; Indie")</f>
        <v>Đấu giá&gt; nhạc&gt; đĩa laze&gt; Nhật Bản Pop&gt; Indie</v>
      </c>
      <c r="F160" t="str">
        <f t="shared" ca="1" si="2"/>
        <v>"2084007007" : "Indies",</v>
      </c>
    </row>
    <row r="161" spans="1:6" ht="15.75" customHeight="1">
      <c r="A161" s="14">
        <v>2084007006</v>
      </c>
      <c r="B161" s="14" t="s">
        <v>3781</v>
      </c>
      <c r="C161" s="14" t="s">
        <v>4518</v>
      </c>
      <c r="D161" s="5" t="str">
        <f ca="1">IFERROR(__xludf.DUMMYFUNCTION("GOOGLETRANSLATE(B161,""ja"",""vi"")"),"Rock, Pop")</f>
        <v>Rock, Pop</v>
      </c>
      <c r="E161" s="4" t="str">
        <f ca="1">IFERROR(__xludf.DUMMYFUNCTION("GOOGLETRANSLATE(C161,""ja"",""vi"")"),"Đấu giá&gt; nhạc&gt; đĩa laze&gt; Nhật Bản Pop&gt; Rock, Pop")</f>
        <v>Đấu giá&gt; nhạc&gt; đĩa laze&gt; Nhật Bản Pop&gt; Rock, Pop</v>
      </c>
      <c r="F161" t="str">
        <f t="shared" ca="1" si="2"/>
        <v>"2084007006" : "Rock, Pop",</v>
      </c>
    </row>
    <row r="162" spans="1:6" ht="15.75" customHeight="1">
      <c r="A162" s="14">
        <v>2084007008</v>
      </c>
      <c r="B162" s="14" t="s">
        <v>46</v>
      </c>
      <c r="C162" s="14" t="s">
        <v>4523</v>
      </c>
      <c r="D162" s="5" t="str">
        <f ca="1">IFERROR(__xludf.DUMMYFUNCTION("GOOGLETRANSLATE(B162,""ja"",""vi"")"),"nếu không thì")</f>
        <v>nếu không thì</v>
      </c>
      <c r="E162" s="4" t="str">
        <f ca="1">IFERROR(__xludf.DUMMYFUNCTION("GOOGLETRANSLATE(C162,""ja"",""vi"")"),"Đấu giá&gt; nhạc&gt; đĩa laze&gt; Pop Nhật Bản&gt; Khác")</f>
        <v>Đấu giá&gt; nhạc&gt; đĩa laze&gt; Pop Nhật Bản&gt; Khác</v>
      </c>
      <c r="F162" t="str">
        <f t="shared" ca="1" si="2"/>
        <v>"2084007008" : "nếu không thì",</v>
      </c>
    </row>
    <row r="163" spans="1:6" ht="15.75" customHeight="1">
      <c r="A163" s="14">
        <v>2084007009</v>
      </c>
      <c r="B163" s="14" t="s">
        <v>3801</v>
      </c>
      <c r="C163" s="14" t="s">
        <v>4527</v>
      </c>
      <c r="D163" s="5" t="str">
        <f ca="1">IFERROR(__xludf.DUMMYFUNCTION("GOOGLETRANSLATE(B163,""ja"",""vi"")"),"Rock, Pop chung")</f>
        <v>Rock, Pop chung</v>
      </c>
      <c r="E163" s="4" t="str">
        <f ca="1">IFERROR(__xludf.DUMMYFUNCTION("GOOGLETRANSLATE(C163,""ja"",""vi"")"),"Đấu giá&gt; nhạc&gt; đĩa laze&gt; Rock, Pop (Western)&gt; Rock, Pop chung")</f>
        <v>Đấu giá&gt; nhạc&gt; đĩa laze&gt; Rock, Pop (Western)&gt; Rock, Pop chung</v>
      </c>
      <c r="F163" t="str">
        <f t="shared" ca="1" si="2"/>
        <v>"2084007009" : "Rock, Pop chung",</v>
      </c>
    </row>
    <row r="164" spans="1:6" ht="15.75" customHeight="1">
      <c r="A164" s="14">
        <v>2084007213</v>
      </c>
      <c r="B164" s="14" t="s">
        <v>3807</v>
      </c>
      <c r="C164" s="14" t="s">
        <v>4530</v>
      </c>
      <c r="D164" s="5" t="str">
        <f ca="1">IFERROR(__xludf.DUMMYFUNCTION("GOOGLETRANSLATE(B164,""ja"",""vi"")"),"hard rock")</f>
        <v>hard rock</v>
      </c>
      <c r="E164" s="4" t="str">
        <f ca="1">IFERROR(__xludf.DUMMYFUNCTION("GOOGLETRANSLATE(C164,""ja"",""vi"")"),"Đấu giá&gt; nhạc&gt; đĩa laze&gt; Rock, Pop (Western)&gt; Hard Rock")</f>
        <v>Đấu giá&gt; nhạc&gt; đĩa laze&gt; Rock, Pop (Western)&gt; Hard Rock</v>
      </c>
      <c r="F164" t="str">
        <f t="shared" ca="1" si="2"/>
        <v>"2084007213" : "hard rock",</v>
      </c>
    </row>
    <row r="165" spans="1:6" ht="15.75" customHeight="1">
      <c r="A165" s="14">
        <v>2084007214</v>
      </c>
      <c r="B165" s="14" t="s">
        <v>3813</v>
      </c>
      <c r="C165" s="14" t="s">
        <v>4533</v>
      </c>
      <c r="D165" s="5" t="str">
        <f ca="1">IFERROR(__xludf.DUMMYFUNCTION("GOOGLETRANSLATE(B165,""ja"",""vi"")"),"Punk")</f>
        <v>Punk</v>
      </c>
      <c r="E165" s="4" t="str">
        <f ca="1">IFERROR(__xludf.DUMMYFUNCTION("GOOGLETRANSLATE(C165,""ja"",""vi"")"),"Đấu giá&gt; nhạc&gt; đĩa laze&gt; Rock, Pop (Western)&gt; nhạc punk")</f>
        <v>Đấu giá&gt; nhạc&gt; đĩa laze&gt; Rock, Pop (Western)&gt; nhạc punk</v>
      </c>
      <c r="F165" t="str">
        <f t="shared" ca="1" si="2"/>
        <v>"2084007214" : "Punk",</v>
      </c>
    </row>
    <row r="166" spans="1:6" ht="15.75" customHeight="1">
      <c r="A166" s="14">
        <v>2084007215</v>
      </c>
      <c r="B166" s="14" t="s">
        <v>3819</v>
      </c>
      <c r="C166" s="14" t="s">
        <v>4535</v>
      </c>
      <c r="D166" s="5" t="str">
        <f ca="1">IFERROR(__xludf.DUMMYFUNCTION("GOOGLETRANSLATE(B166,""ja"",""vi"")"),"Progressive Rock")</f>
        <v>Progressive Rock</v>
      </c>
      <c r="E166" s="4" t="str">
        <f ca="1">IFERROR(__xludf.DUMMYFUNCTION("GOOGLETRANSLATE(C166,""ja"",""vi"")"),"Đấu giá&gt; nhạc&gt; đĩa laze&gt; Rock, Pop (Western)&gt; progressive rock")</f>
        <v>Đấu giá&gt; nhạc&gt; đĩa laze&gt; Rock, Pop (Western)&gt; progressive rock</v>
      </c>
      <c r="F166" t="str">
        <f t="shared" ca="1" si="2"/>
        <v>"2084007215" : "Progressive Rock",</v>
      </c>
    </row>
    <row r="167" spans="1:6" ht="15.75" customHeight="1">
      <c r="A167" s="14">
        <v>2084007010</v>
      </c>
      <c r="B167" s="14" t="s">
        <v>3824</v>
      </c>
      <c r="C167" s="14" t="s">
        <v>4537</v>
      </c>
      <c r="D167" s="5" t="str">
        <f ca="1">IFERROR(__xludf.DUMMYFUNCTION("GOOGLETRANSLATE(B167,""ja"",""vi"")"),"phổ biến vocal")</f>
        <v>phổ biến vocal</v>
      </c>
      <c r="E167" s="4" t="str">
        <f ca="1">IFERROR(__xludf.DUMMYFUNCTION("GOOGLETRANSLATE(C167,""ja"",""vi"")"),"Đấu giá&gt; nhạc&gt; đĩa laze&gt; Rock, Pop (Western)&gt; vocal phổ biến")</f>
        <v>Đấu giá&gt; nhạc&gt; đĩa laze&gt; Rock, Pop (Western)&gt; vocal phổ biến</v>
      </c>
      <c r="F167" t="str">
        <f t="shared" ca="1" si="2"/>
        <v>"2084007010" : "phổ biến vocal",</v>
      </c>
    </row>
    <row r="168" spans="1:6" ht="15.75" customHeight="1">
      <c r="A168" s="14">
        <v>2084007011</v>
      </c>
      <c r="B168" s="14" t="s">
        <v>46</v>
      </c>
      <c r="C168" s="14" t="s">
        <v>4540</v>
      </c>
      <c r="D168" s="5" t="str">
        <f ca="1">IFERROR(__xludf.DUMMYFUNCTION("GOOGLETRANSLATE(B168,""ja"",""vi"")"),"nếu không thì")</f>
        <v>nếu không thì</v>
      </c>
      <c r="E168" s="4" t="str">
        <f ca="1">IFERROR(__xludf.DUMMYFUNCTION("GOOGLETRANSLATE(C168,""ja"",""vi"")"),"Đấu giá&gt; nhạc&gt; đĩa laze&gt; Rock, Pop (Western)&gt; Khác")</f>
        <v>Đấu giá&gt; nhạc&gt; đĩa laze&gt; Rock, Pop (Western)&gt; Khác</v>
      </c>
      <c r="F168" t="str">
        <f t="shared" ca="1" si="2"/>
        <v>"2084007011" : "nếu không thì",</v>
      </c>
    </row>
    <row r="169" spans="1:6" ht="15.75" customHeight="1">
      <c r="A169" s="14">
        <v>22488</v>
      </c>
      <c r="B169" s="14" t="s">
        <v>4543</v>
      </c>
      <c r="C169" s="14" t="s">
        <v>4544</v>
      </c>
      <c r="D169" s="5" t="str">
        <f ca="1">IFERROR(__xludf.DUMMYFUNCTION("GOOGLETRANSLATE(B169,""ja"",""vi"")"),"guitar điện")</f>
        <v>guitar điện</v>
      </c>
      <c r="E169" s="4" t="str">
        <f ca="1">IFERROR(__xludf.DUMMYFUNCTION("GOOGLETRANSLATE(C169,""ja"",""vi"")"),"Đấu giá&gt; Sở thích, văn hóa&gt; Nhạc cụ và thiết bị&gt; guitar&gt; guitar điện")</f>
        <v>Đấu giá&gt; Sở thích, văn hóa&gt; Nhạc cụ và thiết bị&gt; guitar&gt; guitar điện</v>
      </c>
      <c r="F169" t="str">
        <f t="shared" ca="1" si="2"/>
        <v>"22488" : "guitar điện",</v>
      </c>
    </row>
    <row r="170" spans="1:6" ht="15.75" customHeight="1">
      <c r="A170" s="14">
        <v>22484</v>
      </c>
      <c r="B170" s="14" t="s">
        <v>4546</v>
      </c>
      <c r="C170" s="14" t="s">
        <v>4548</v>
      </c>
      <c r="D170" s="5" t="str">
        <f ca="1">IFERROR(__xludf.DUMMYFUNCTION("GOOGLETRANSLATE(B170,""ja"",""vi"")"),"guitar acoustic")</f>
        <v>guitar acoustic</v>
      </c>
      <c r="E170" s="4" t="str">
        <f ca="1">IFERROR(__xludf.DUMMYFUNCTION("GOOGLETRANSLATE(C170,""ja"",""vi"")"),"Đấu giá&gt; Sở thích, văn hóa&gt; Nhạc cụ và thiết bị&gt; guitar&gt; guitar acoustic")</f>
        <v>Đấu giá&gt; Sở thích, văn hóa&gt; Nhạc cụ và thiết bị&gt; guitar&gt; guitar acoustic</v>
      </c>
      <c r="F170" t="str">
        <f t="shared" ca="1" si="2"/>
        <v>"22484" : "guitar acoustic",</v>
      </c>
    </row>
    <row r="171" spans="1:6" ht="15.75" customHeight="1">
      <c r="A171" s="14">
        <v>22492</v>
      </c>
      <c r="B171" s="14" t="s">
        <v>4549</v>
      </c>
      <c r="C171" s="14" t="s">
        <v>4550</v>
      </c>
      <c r="D171" s="5" t="str">
        <f ca="1">IFERROR(__xludf.DUMMYFUNCTION("GOOGLETRANSLATE(B171,""ja"",""vi"")"),"Classical Guitar")</f>
        <v>Classical Guitar</v>
      </c>
      <c r="E171" s="4" t="str">
        <f ca="1">IFERROR(__xludf.DUMMYFUNCTION("GOOGLETRANSLATE(C171,""ja"",""vi"")"),"Đấu giá&gt; Sở thích, văn hóa&gt; Nhạc cụ và thiết bị&gt; Guitar&gt; Guitar cổ điển")</f>
        <v>Đấu giá&gt; Sở thích, văn hóa&gt; Nhạc cụ và thiết bị&gt; Guitar&gt; Guitar cổ điển</v>
      </c>
      <c r="F171" t="str">
        <f t="shared" ca="1" si="2"/>
        <v>"22492" : "Classical Guitar",</v>
      </c>
    </row>
    <row r="172" spans="1:6" ht="15.75" customHeight="1">
      <c r="A172" s="14">
        <v>2084306013</v>
      </c>
      <c r="B172" s="14" t="s">
        <v>4553</v>
      </c>
      <c r="C172" s="14" t="s">
        <v>4554</v>
      </c>
      <c r="D172" s="5" t="str">
        <f ca="1">IFERROR(__xludf.DUMMYFUNCTION("GOOGLETRANSLATE(B172,""ja"",""vi"")"),"đàn guitar flamenco")</f>
        <v>đàn guitar flamenco</v>
      </c>
      <c r="E172" s="4" t="str">
        <f ca="1">IFERROR(__xludf.DUMMYFUNCTION("GOOGLETRANSLATE(C172,""ja"",""vi"")"),"Đấu giá&gt; Sở thích, văn hóa&gt; Nhạc cụ và thiết bị&gt; guitar&gt; guitar flamenco")</f>
        <v>Đấu giá&gt; Sở thích, văn hóa&gt; Nhạc cụ và thiết bị&gt; guitar&gt; guitar flamenco</v>
      </c>
      <c r="F172" t="str">
        <f t="shared" ca="1" si="2"/>
        <v>"2084306013" : "đàn guitar flamenco",</v>
      </c>
    </row>
    <row r="173" spans="1:6" ht="15.75" customHeight="1">
      <c r="A173" s="14">
        <v>2084005285</v>
      </c>
      <c r="B173" s="14" t="s">
        <v>4555</v>
      </c>
      <c r="C173" s="14" t="s">
        <v>4557</v>
      </c>
      <c r="D173" s="5" t="str">
        <f ca="1">IFERROR(__xludf.DUMMYFUNCTION("GOOGLETRANSLATE(B173,""ja"",""vi"")"),"đờn du ku li li")</f>
        <v>đờn du ku li li</v>
      </c>
      <c r="E173" s="4" t="str">
        <f ca="1">IFERROR(__xludf.DUMMYFUNCTION("GOOGLETRANSLATE(C173,""ja"",""vi"")"),"Đấu giá&gt; Sở thích, văn hóa&gt; Nhạc cụ và thiết bị&gt; guitar&gt; ukulele")</f>
        <v>Đấu giá&gt; Sở thích, văn hóa&gt; Nhạc cụ và thiết bị&gt; guitar&gt; ukulele</v>
      </c>
      <c r="F173" t="str">
        <f t="shared" ca="1" si="2"/>
        <v>"2084005285" : "đờn du ku li li",</v>
      </c>
    </row>
    <row r="174" spans="1:6" ht="15.75" customHeight="1">
      <c r="A174" s="14">
        <v>2084230110</v>
      </c>
      <c r="B174" s="14" t="s">
        <v>1685</v>
      </c>
      <c r="C174" s="14" t="s">
        <v>4562</v>
      </c>
      <c r="D174" s="5" t="str">
        <f ca="1">IFERROR(__xludf.DUMMYFUNCTION("GOOGLETRANSLATE(B174,""ja"",""vi"")"),"phụ kiện")</f>
        <v>phụ kiện</v>
      </c>
      <c r="E174" s="4" t="str">
        <f ca="1">IFERROR(__xludf.DUMMYFUNCTION("GOOGLETRANSLATE(C174,""ja"",""vi"")"),"Đấu giá&gt; Sở thích, văn hóa&gt; Nhạc cụ và thiết bị&gt; Guitar&gt; Accessories")</f>
        <v>Đấu giá&gt; Sở thích, văn hóa&gt; Nhạc cụ và thiết bị&gt; Guitar&gt; Accessories</v>
      </c>
      <c r="F174" t="str">
        <f t="shared" ca="1" si="2"/>
        <v>"2084230110" : "phụ kiện",</v>
      </c>
    </row>
    <row r="175" spans="1:6" ht="15.75" customHeight="1">
      <c r="A175" s="14">
        <v>22480</v>
      </c>
      <c r="B175" s="14" t="s">
        <v>4566</v>
      </c>
      <c r="C175" s="14" t="s">
        <v>4567</v>
      </c>
      <c r="D175" s="5" t="str">
        <f ca="1">IFERROR(__xludf.DUMMYFUNCTION("GOOGLETRANSLATE(B175,""ja"",""vi"")"),"căn cứ")</f>
        <v>căn cứ</v>
      </c>
      <c r="E175" s="4" t="str">
        <f ca="1">IFERROR(__xludf.DUMMYFUNCTION("GOOGLETRANSLATE(C175,""ja"",""vi"")"),"Đấu giá&gt; Sở thích, văn hóa&gt; Nhạc cụ và thiết bị&gt; guitar&gt; Cơ sở")</f>
        <v>Đấu giá&gt; Sở thích, văn hóa&gt; Nhạc cụ và thiết bị&gt; guitar&gt; Cơ sở</v>
      </c>
      <c r="F175" t="str">
        <f t="shared" ca="1" si="2"/>
        <v>"22480" : "căn cứ",</v>
      </c>
    </row>
    <row r="176" spans="1:6" ht="15.75" customHeight="1">
      <c r="A176" s="14">
        <v>22496</v>
      </c>
      <c r="B176" s="14" t="s">
        <v>46</v>
      </c>
      <c r="C176" s="14" t="s">
        <v>4571</v>
      </c>
      <c r="D176" s="5" t="str">
        <f ca="1">IFERROR(__xludf.DUMMYFUNCTION("GOOGLETRANSLATE(B176,""ja"",""vi"")"),"nếu không thì")</f>
        <v>nếu không thì</v>
      </c>
      <c r="E176" s="4" t="str">
        <f ca="1">IFERROR(__xludf.DUMMYFUNCTION("GOOGLETRANSLATE(C176,""ja"",""vi"")"),"Đấu giá&gt; Sở thích, văn hóa&gt; Nhạc cụ và thiết bị&gt; guitar&gt; Khác")</f>
        <v>Đấu giá&gt; Sở thích, văn hóa&gt; Nhạc cụ và thiết bị&gt; guitar&gt; Khác</v>
      </c>
      <c r="F176" t="str">
        <f t="shared" ca="1" si="2"/>
        <v>"22496" : "nếu không thì",</v>
      </c>
    </row>
    <row r="177" spans="1:6" ht="15.75" customHeight="1">
      <c r="A177" s="14">
        <v>2084019034</v>
      </c>
      <c r="B177" s="14" t="s">
        <v>4572</v>
      </c>
      <c r="C177" s="14" t="s">
        <v>4575</v>
      </c>
      <c r="D177" s="5" t="str">
        <f ca="1">IFERROR(__xludf.DUMMYFUNCTION("GOOGLETRANSLATE(B177,""ja"",""vi"")"),"cơ thể âm bass điện")</f>
        <v>cơ thể âm bass điện</v>
      </c>
      <c r="E177" s="4" t="str">
        <f ca="1">IFERROR(__xludf.DUMMYFUNCTION("GOOGLETRANSLATE(C177,""ja"",""vi"")"),"Đấu giá&gt; Sở thích, văn hóa&gt; Nhạc cụ và thiết bị&gt; cơ sở&gt; cơ thể âm bass điện")</f>
        <v>Đấu giá&gt; Sở thích, văn hóa&gt; Nhạc cụ và thiết bị&gt; cơ sở&gt; cơ thể âm bass điện</v>
      </c>
      <c r="F177" t="str">
        <f t="shared" ca="1" si="2"/>
        <v>"2084019034" : "cơ thể âm bass điện",</v>
      </c>
    </row>
    <row r="178" spans="1:6" ht="15.75" customHeight="1">
      <c r="A178" s="14">
        <v>2084305936</v>
      </c>
      <c r="B178" s="14" t="s">
        <v>4577</v>
      </c>
      <c r="C178" s="14" t="s">
        <v>4579</v>
      </c>
      <c r="D178" s="5" t="str">
        <f ca="1">IFERROR(__xludf.DUMMYFUNCTION("GOOGLETRANSLATE(B178,""ja"",""vi"")"),"âm bass Acoustic")</f>
        <v>âm bass Acoustic</v>
      </c>
      <c r="E178" s="4" t="str">
        <f ca="1">IFERROR(__xludf.DUMMYFUNCTION("GOOGLETRANSLATE(C178,""ja"",""vi"")"),"Đấu giá&gt; Sở thích, văn hóa&gt; Nhạc cụ và thiết bị&gt; cơ sở&gt; âm bass acoustic")</f>
        <v>Đấu giá&gt; Sở thích, văn hóa&gt; Nhạc cụ và thiết bị&gt; cơ sở&gt; âm bass acoustic</v>
      </c>
      <c r="F178" t="str">
        <f t="shared" ca="1" si="2"/>
        <v>"2084305936" : "âm bass Acoustic",</v>
      </c>
    </row>
    <row r="179" spans="1:6" ht="15.75" customHeight="1">
      <c r="A179" s="14">
        <v>2084305937</v>
      </c>
      <c r="B179" s="14" t="s">
        <v>4582</v>
      </c>
      <c r="C179" s="14" t="s">
        <v>4584</v>
      </c>
      <c r="D179" s="5" t="str">
        <f ca="1">IFERROR(__xludf.DUMMYFUNCTION("GOOGLETRANSLATE(B179,""ja"",""vi"")"),"EUB")</f>
        <v>EUB</v>
      </c>
      <c r="E179" s="4" t="str">
        <f ca="1">IFERROR(__xludf.DUMMYFUNCTION("GOOGLETRANSLATE(C179,""ja"",""vi"")"),"Đấu giá&gt; Sở thích, văn hóa&gt; Nhạc cụ và thiết bị&gt; cơ sở&gt; EUB")</f>
        <v>Đấu giá&gt; Sở thích, văn hóa&gt; Nhạc cụ và thiết bị&gt; cơ sở&gt; EUB</v>
      </c>
      <c r="F179" t="str">
        <f t="shared" ca="1" si="2"/>
        <v>"2084305937" : "EUB",</v>
      </c>
    </row>
    <row r="180" spans="1:6" ht="15.75" customHeight="1">
      <c r="A180" s="14">
        <v>2084236001</v>
      </c>
      <c r="B180" s="14" t="s">
        <v>4588</v>
      </c>
      <c r="C180" s="14" t="s">
        <v>4589</v>
      </c>
      <c r="D180" s="5" t="str">
        <f ca="1">IFERROR(__xludf.DUMMYFUNCTION("GOOGLETRANSLATE(B180,""ja"",""vi"")"),"Gỗ-based, double bass")</f>
        <v>Gỗ-based, double bass</v>
      </c>
      <c r="E180" s="4" t="str">
        <f ca="1">IFERROR(__xludf.DUMMYFUNCTION("GOOGLETRANSLATE(C180,""ja"",""vi"")"),"Đấu giá&gt; Sở thích, văn hóa&gt; Nhạc cụ và thiết bị&gt; cơ sở&gt; gỗ dựa trên, double bass")</f>
        <v>Đấu giá&gt; Sở thích, văn hóa&gt; Nhạc cụ và thiết bị&gt; cơ sở&gt; gỗ dựa trên, double bass</v>
      </c>
      <c r="F180" t="str">
        <f t="shared" ca="1" si="2"/>
        <v>"2084236001" : "Gỗ-based, double bass",</v>
      </c>
    </row>
    <row r="181" spans="1:6" ht="15.75" customHeight="1">
      <c r="A181" s="14">
        <v>2084019040</v>
      </c>
      <c r="B181" s="14" t="s">
        <v>4593</v>
      </c>
      <c r="C181" s="14" t="s">
        <v>4595</v>
      </c>
      <c r="D181" s="5" t="str">
        <f ca="1">IFERROR(__xludf.DUMMYFUNCTION("GOOGLETRANSLATE(B181,""ja"",""vi"")"),"phần bass điện")</f>
        <v>phần bass điện</v>
      </c>
      <c r="E181" s="4" t="str">
        <f ca="1">IFERROR(__xludf.DUMMYFUNCTION("GOOGLETRANSLATE(C181,""ja"",""vi"")"),"Đấu giá&gt; Sở thích, văn hóa&gt; Nhạc cụ và thiết bị&gt; cơ sở&gt; phần bass điện")</f>
        <v>Đấu giá&gt; Sở thích, văn hóa&gt; Nhạc cụ và thiết bị&gt; cơ sở&gt; phần bass điện</v>
      </c>
      <c r="F181" t="str">
        <f t="shared" ca="1" si="2"/>
        <v>"2084019040" : "phần bass điện",</v>
      </c>
    </row>
    <row r="182" spans="1:6" ht="15.75" customHeight="1">
      <c r="A182" s="14">
        <v>2084019000</v>
      </c>
      <c r="B182" s="14" t="s">
        <v>4596</v>
      </c>
      <c r="C182" s="14" t="s">
        <v>4597</v>
      </c>
      <c r="D182" s="5" t="str">
        <f ca="1">IFERROR(__xludf.DUMMYFUNCTION("GOOGLETRANSLATE(B182,""ja"",""vi"")"),"Bass amp")</f>
        <v>Bass amp</v>
      </c>
      <c r="E182" s="4" t="str">
        <f ca="1">IFERROR(__xludf.DUMMYFUNCTION("GOOGLETRANSLATE(C182,""ja"",""vi"")"),"Đấu giá&gt; Sở thích, văn hóa&gt; Nhạc cụ và thiết bị&gt; cơ sở&gt; amp âm bass")</f>
        <v>Đấu giá&gt; Sở thích, văn hóa&gt; Nhạc cụ và thiết bị&gt; cơ sở&gt; amp âm bass</v>
      </c>
      <c r="F182" t="str">
        <f t="shared" ca="1" si="2"/>
        <v>"2084019000" : "Bass amp",</v>
      </c>
    </row>
    <row r="183" spans="1:6" ht="15.75" customHeight="1">
      <c r="A183" s="14">
        <v>2084305938</v>
      </c>
      <c r="B183" s="14" t="s">
        <v>4601</v>
      </c>
      <c r="C183" s="14" t="s">
        <v>4602</v>
      </c>
      <c r="D183" s="5" t="str">
        <f ca="1">IFERROR(__xludf.DUMMYFUNCTION("GOOGLETRANSLATE(B183,""ja"",""vi"")"),"effector cơ sở")</f>
        <v>effector cơ sở</v>
      </c>
      <c r="E183" s="4" t="str">
        <f ca="1">IFERROR(__xludf.DUMMYFUNCTION("GOOGLETRANSLATE(C183,""ja"",""vi"")"),"Đấu giá&gt; Sở thích, văn hóa&gt; Nhạc cụ và thiết bị&gt; cơ sở&gt; effector cơ sở")</f>
        <v>Đấu giá&gt; Sở thích, văn hóa&gt; Nhạc cụ và thiết bị&gt; cơ sở&gt; effector cơ sở</v>
      </c>
      <c r="F183" t="str">
        <f t="shared" ca="1" si="2"/>
        <v>"2084305938" : "effector cơ sở",</v>
      </c>
    </row>
    <row r="184" spans="1:6" ht="15.75" customHeight="1">
      <c r="A184" s="14">
        <v>2084305954</v>
      </c>
      <c r="B184" s="14" t="s">
        <v>4603</v>
      </c>
      <c r="C184" s="14" t="s">
        <v>4606</v>
      </c>
      <c r="D184" s="5" t="str">
        <f ca="1">IFERROR(__xludf.DUMMYFUNCTION("GOOGLETRANSLATE(B184,""ja"",""vi"")"),"trường hợp cơ sở")</f>
        <v>trường hợp cơ sở</v>
      </c>
      <c r="E184" s="4" t="str">
        <f ca="1">IFERROR(__xludf.DUMMYFUNCTION("GOOGLETRANSLATE(C184,""ja"",""vi"")"),"Đấu giá&gt; Sở thích, văn hóa&gt; Nhạc cụ và thiết bị&gt; cơ sở&gt; trường hợp cơ sở")</f>
        <v>Đấu giá&gt; Sở thích, văn hóa&gt; Nhạc cụ và thiết bị&gt; cơ sở&gt; trường hợp cơ sở</v>
      </c>
      <c r="F184" t="str">
        <f t="shared" ca="1" si="2"/>
        <v>"2084305954" : "trường hợp cơ sở",</v>
      </c>
    </row>
    <row r="185" spans="1:6" ht="15.75" customHeight="1">
      <c r="A185" s="14">
        <v>2084019030</v>
      </c>
      <c r="B185" s="14" t="s">
        <v>4609</v>
      </c>
      <c r="C185" s="14" t="s">
        <v>4612</v>
      </c>
      <c r="D185" s="5" t="str">
        <f ca="1">IFERROR(__xludf.DUMMYFUNCTION("GOOGLETRANSLATE(B185,""ja"",""vi"")"),"khiên")</f>
        <v>khiên</v>
      </c>
      <c r="E185" s="4" t="str">
        <f ca="1">IFERROR(__xludf.DUMMYFUNCTION("GOOGLETRANSLATE(C185,""ja"",""vi"")"),"Đấu giá&gt; Sở thích, văn hóa&gt; Nhạc cụ và thiết bị&gt; cơ sở&gt; khiên")</f>
        <v>Đấu giá&gt; Sở thích, văn hóa&gt; Nhạc cụ và thiết bị&gt; cơ sở&gt; khiên</v>
      </c>
      <c r="F185" t="str">
        <f t="shared" ca="1" si="2"/>
        <v>"2084019030" : "khiên",</v>
      </c>
    </row>
    <row r="186" spans="1:6" ht="15.75" customHeight="1">
      <c r="A186" s="14">
        <v>2084019029</v>
      </c>
      <c r="B186" s="14" t="s">
        <v>4614</v>
      </c>
      <c r="C186" s="14" t="s">
        <v>4615</v>
      </c>
      <c r="D186" s="5" t="str">
        <f ca="1">IFERROR(__xludf.DUMMYFUNCTION("GOOGLETRANSLATE(B186,""ja"",""vi"")"),"đứng")</f>
        <v>đứng</v>
      </c>
      <c r="E186" s="4" t="str">
        <f ca="1">IFERROR(__xludf.DUMMYFUNCTION("GOOGLETRANSLATE(C186,""ja"",""vi"")"),"Đấu giá&gt; Sở thích, văn hóa&gt; Nhạc cụ và thiết bị&gt; cơ sở&gt; đứng")</f>
        <v>Đấu giá&gt; Sở thích, văn hóa&gt; Nhạc cụ và thiết bị&gt; cơ sở&gt; đứng</v>
      </c>
      <c r="F186" t="str">
        <f t="shared" ca="1" si="2"/>
        <v>"2084019029" : "đứng",</v>
      </c>
    </row>
    <row r="187" spans="1:6" ht="15.75" customHeight="1">
      <c r="A187" s="14">
        <v>2084019031</v>
      </c>
      <c r="B187" s="14" t="s">
        <v>3685</v>
      </c>
      <c r="C187" s="14" t="s">
        <v>4619</v>
      </c>
      <c r="D187" s="5" t="str">
        <f ca="1">IFERROR(__xludf.DUMMYFUNCTION("GOOGLETRANSLATE(B187,""ja"",""vi"")"),"dây đeo")</f>
        <v>dây đeo</v>
      </c>
      <c r="E187" s="4" t="str">
        <f ca="1">IFERROR(__xludf.DUMMYFUNCTION("GOOGLETRANSLATE(C187,""ja"",""vi"")"),"Đấu giá&gt; Sở thích, văn hóa&gt; Nhạc cụ và thiết bị&gt; cơ sở&gt; dây đeo")</f>
        <v>Đấu giá&gt; Sở thích, văn hóa&gt; Nhạc cụ và thiết bị&gt; cơ sở&gt; dây đeo</v>
      </c>
      <c r="F187" t="str">
        <f t="shared" ca="1" si="2"/>
        <v>"2084019031" : "dây đeo",</v>
      </c>
    </row>
    <row r="188" spans="1:6" ht="15.75" customHeight="1">
      <c r="A188" s="14">
        <v>2084201071</v>
      </c>
      <c r="B188" s="14" t="s">
        <v>3114</v>
      </c>
      <c r="C188" s="14" t="s">
        <v>4621</v>
      </c>
      <c r="D188" s="5" t="str">
        <f ca="1">IFERROR(__xludf.DUMMYFUNCTION("GOOGLETRANSLATE(B188,""ja"",""vi"")"),"Tuner")</f>
        <v>Tuner</v>
      </c>
      <c r="E188" s="4" t="str">
        <f ca="1">IFERROR(__xludf.DUMMYFUNCTION("GOOGLETRANSLATE(C188,""ja"",""vi"")"),"Đấu giá&gt; Sở thích, văn hóa&gt; Nhạc cụ và thiết bị&gt; cơ sở&gt; chỉnh")</f>
        <v>Đấu giá&gt; Sở thích, văn hóa&gt; Nhạc cụ và thiết bị&gt; cơ sở&gt; chỉnh</v>
      </c>
      <c r="F188" t="str">
        <f t="shared" ca="1" si="2"/>
        <v>"2084201071" : "Tuner",</v>
      </c>
    </row>
    <row r="189" spans="1:6" ht="15.75" customHeight="1">
      <c r="A189" s="14">
        <v>2084230114</v>
      </c>
      <c r="B189" s="14" t="s">
        <v>4625</v>
      </c>
      <c r="C189" s="14" t="s">
        <v>4626</v>
      </c>
      <c r="D189" s="5" t="str">
        <f ca="1">IFERROR(__xludf.DUMMYFUNCTION("GOOGLETRANSLATE(B189,""ja"",""vi"")"),"nhặt")</f>
        <v>nhặt</v>
      </c>
      <c r="E189" s="4" t="str">
        <f ca="1">IFERROR(__xludf.DUMMYFUNCTION("GOOGLETRANSLATE(C189,""ja"",""vi"")"),"Đấu giá&gt; Sở thích, văn hóa&gt; công cụ và thiết bị&gt; cơ sở Musical&gt; Chọn")</f>
        <v>Đấu giá&gt; Sở thích, văn hóa&gt; công cụ và thiết bị&gt; cơ sở Musical&gt; Chọn</v>
      </c>
      <c r="F189" t="str">
        <f t="shared" ca="1" si="2"/>
        <v>"2084230114" : "nhặt",</v>
      </c>
    </row>
    <row r="190" spans="1:6" ht="15.75" customHeight="1">
      <c r="A190" s="14">
        <v>2084305981</v>
      </c>
      <c r="B190" s="14" t="s">
        <v>4630</v>
      </c>
      <c r="C190" s="14" t="s">
        <v>4632</v>
      </c>
      <c r="D190" s="5" t="str">
        <f ca="1">IFERROR(__xludf.DUMMYFUNCTION("GOOGLETRANSLATE(B190,""ja"",""vi"")"),"Bass Strings")</f>
        <v>Bass Strings</v>
      </c>
      <c r="E190" s="4" t="str">
        <f ca="1">IFERROR(__xludf.DUMMYFUNCTION("GOOGLETRANSLATE(C190,""ja"",""vi"")"),"Đấu giá&gt; Sở thích, văn hóa&gt; Nhạc cụ và thiết bị&gt; cơ sở&gt; Bass Strings")</f>
        <v>Đấu giá&gt; Sở thích, văn hóa&gt; Nhạc cụ và thiết bị&gt; cơ sở&gt; Bass Strings</v>
      </c>
      <c r="F190" t="str">
        <f t="shared" ca="1" si="2"/>
        <v>"2084305981" : "Bass Strings",</v>
      </c>
    </row>
    <row r="191" spans="1:6" ht="15.75" customHeight="1">
      <c r="A191" s="14">
        <v>2084019041</v>
      </c>
      <c r="B191" s="14" t="s">
        <v>46</v>
      </c>
      <c r="C191" s="14" t="s">
        <v>4637</v>
      </c>
      <c r="D191" s="5" t="str">
        <f ca="1">IFERROR(__xludf.DUMMYFUNCTION("GOOGLETRANSLATE(B191,""ja"",""vi"")"),"nếu không thì")</f>
        <v>nếu không thì</v>
      </c>
      <c r="E191" s="4" t="str">
        <f ca="1">IFERROR(__xludf.DUMMYFUNCTION("GOOGLETRANSLATE(C191,""ja"",""vi"")"),"Đấu giá&gt; Sở thích, văn hóa&gt; Nhạc cụ và thiết bị&gt; cơ sở&gt; Khác")</f>
        <v>Đấu giá&gt; Sở thích, văn hóa&gt; Nhạc cụ và thiết bị&gt; cơ sở&gt; Khác</v>
      </c>
      <c r="F191" t="str">
        <f t="shared" ca="1" si="2"/>
        <v>"2084019041" : "nếu không thì",</v>
      </c>
    </row>
    <row r="192" spans="1:6" ht="15.75" customHeight="1">
      <c r="A192" s="14">
        <v>22476</v>
      </c>
      <c r="B192" s="14" t="s">
        <v>4639</v>
      </c>
      <c r="C192" s="14" t="s">
        <v>4640</v>
      </c>
      <c r="D192" s="5" t="str">
        <f ca="1">IFERROR(__xludf.DUMMYFUNCTION("GOOGLETRANSLATE(B192,""ja"",""vi"")"),"Guitar")</f>
        <v>Guitar</v>
      </c>
      <c r="E192" s="4" t="str">
        <f ca="1">IFERROR(__xludf.DUMMYFUNCTION("GOOGLETRANSLATE(C192,""ja"",""vi"")"),"Đấu giá&gt; Sở thích, văn hóa&gt; công cụ và thiết bị âm nhạc&gt; loại nhạc cụ&gt; guitar")</f>
        <v>Đấu giá&gt; Sở thích, văn hóa&gt; công cụ và thiết bị âm nhạc&gt; loại nhạc cụ&gt; guitar</v>
      </c>
      <c r="F192" t="str">
        <f t="shared" ca="1" si="2"/>
        <v>"22476" : "Guitar",</v>
      </c>
    </row>
    <row r="193" spans="1:6" ht="15.75" customHeight="1">
      <c r="A193" s="14">
        <v>22480</v>
      </c>
      <c r="B193" s="14" t="s">
        <v>4566</v>
      </c>
      <c r="C193" s="14" t="s">
        <v>4644</v>
      </c>
      <c r="D193" s="5" t="str">
        <f ca="1">IFERROR(__xludf.DUMMYFUNCTION("GOOGLETRANSLATE(B193,""ja"",""vi"")"),"căn cứ")</f>
        <v>căn cứ</v>
      </c>
      <c r="E193" s="4" t="str">
        <f ca="1">IFERROR(__xludf.DUMMYFUNCTION("GOOGLETRANSLATE(C193,""ja"",""vi"")"),"Đấu giá&gt; Sở thích, văn hóa&gt; công cụ và thiết bị âm nhạc&gt; loại nhạc cụ&gt; cơ sở")</f>
        <v>Đấu giá&gt; Sở thích, văn hóa&gt; công cụ và thiết bị âm nhạc&gt; loại nhạc cụ&gt; cơ sở</v>
      </c>
      <c r="F193" t="str">
        <f t="shared" ca="1" si="2"/>
        <v>"22480" : "căn cứ",</v>
      </c>
    </row>
    <row r="194" spans="1:6" ht="15.75" customHeight="1">
      <c r="A194" s="14">
        <v>2084005285</v>
      </c>
      <c r="B194" s="14" t="s">
        <v>4555</v>
      </c>
      <c r="C194" s="14" t="s">
        <v>4648</v>
      </c>
      <c r="D194" s="5" t="str">
        <f ca="1">IFERROR(__xludf.DUMMYFUNCTION("GOOGLETRANSLATE(B194,""ja"",""vi"")"),"đờn du ku li li")</f>
        <v>đờn du ku li li</v>
      </c>
      <c r="E194" s="4" t="str">
        <f ca="1">IFERROR(__xludf.DUMMYFUNCTION("GOOGLETRANSLATE(C194,""ja"",""vi"")"),"Đấu giá&gt; Sở thích, văn hóa&gt; công cụ và thiết bị âm nhạc&gt; loại nhạc cụ&gt; ukulele")</f>
        <v>Đấu giá&gt; Sở thích, văn hóa&gt; công cụ và thiết bị âm nhạc&gt; loại nhạc cụ&gt; ukulele</v>
      </c>
      <c r="F194" t="str">
        <f t="shared" ref="F194:F257" ca="1" si="3">CONCATENATE(CHAR(34)&amp;"",A194,""&amp;CHAR(34)," : ", CHAR(34)&amp;"",D194,""&amp;CHAR(34),",")</f>
        <v>"2084005285" : "đờn du ku li li",</v>
      </c>
    </row>
    <row r="195" spans="1:6" ht="15.75" customHeight="1">
      <c r="A195" s="14">
        <v>2084236001</v>
      </c>
      <c r="B195" s="14" t="s">
        <v>4652</v>
      </c>
      <c r="C195" s="14" t="s">
        <v>4653</v>
      </c>
      <c r="D195" s="5" t="str">
        <f ca="1">IFERROR(__xludf.DUMMYFUNCTION("GOOGLETRANSLATE(B195,""ja"",""vi"")"),"loại đàn giống như vĩ cầm")</f>
        <v>loại đàn giống như vĩ cầm</v>
      </c>
      <c r="E195" s="4" t="str">
        <f ca="1">IFERROR(__xludf.DUMMYFUNCTION("GOOGLETRANSLATE(C195,""ja"",""vi"")"),"Đấu giá&gt; Sở thích, văn hóa&gt; công cụ và thiết bị âm nhạc&gt; loại nhạc cụ&gt; Double Bass")</f>
        <v>Đấu giá&gt; Sở thích, văn hóa&gt; công cụ và thiết bị âm nhạc&gt; loại nhạc cụ&gt; Double Bass</v>
      </c>
      <c r="F195" t="str">
        <f t="shared" ca="1" si="3"/>
        <v>"2084236001" : "loại đàn giống như vĩ cầm",</v>
      </c>
    </row>
    <row r="196" spans="1:6" ht="15.75" customHeight="1">
      <c r="A196" s="14">
        <v>22584</v>
      </c>
      <c r="B196" s="14" t="s">
        <v>4658</v>
      </c>
      <c r="C196" s="14" t="s">
        <v>4659</v>
      </c>
      <c r="D196" s="5" t="str">
        <f ca="1">IFERROR(__xludf.DUMMYFUNCTION("GOOGLETRANSLATE(B196,""ja"",""vi"")"),"hồ cầm")</f>
        <v>hồ cầm</v>
      </c>
      <c r="E196" s="4" t="str">
        <f ca="1">IFERROR(__xludf.DUMMYFUNCTION("GOOGLETRANSLATE(C196,""ja"",""vi"")"),"Đấu giá&gt; Sở thích, văn hóa&gt; công cụ và thiết bị âm nhạc&gt; loại nhạc cụ&gt; Cello")</f>
        <v>Đấu giá&gt; Sở thích, văn hóa&gt; công cụ và thiết bị âm nhạc&gt; loại nhạc cụ&gt; Cello</v>
      </c>
      <c r="F196" t="str">
        <f t="shared" ca="1" si="3"/>
        <v>"22584" : "hồ cầm",</v>
      </c>
    </row>
    <row r="197" spans="1:6" ht="15.75" customHeight="1">
      <c r="A197" s="14">
        <v>22576</v>
      </c>
      <c r="B197" s="14" t="s">
        <v>4661</v>
      </c>
      <c r="C197" s="14" t="s">
        <v>4662</v>
      </c>
      <c r="D197" s="5" t="str">
        <f ca="1">IFERROR(__xludf.DUMMYFUNCTION("GOOGLETRANSLATE(B197,""ja"",""vi"")"),"vĩ cầm")</f>
        <v>vĩ cầm</v>
      </c>
      <c r="E197" s="4" t="str">
        <f ca="1">IFERROR(__xludf.DUMMYFUNCTION("GOOGLETRANSLATE(C197,""ja"",""vi"")"),"Đấu giá&gt; Sở thích, văn hóa&gt; công cụ và thiết bị âm nhạc&gt; loại nhạc cụ&gt; violon")</f>
        <v>Đấu giá&gt; Sở thích, văn hóa&gt; công cụ và thiết bị âm nhạc&gt; loại nhạc cụ&gt; violon</v>
      </c>
      <c r="F197" t="str">
        <f t="shared" ca="1" si="3"/>
        <v>"22576" : "vĩ cầm",</v>
      </c>
    </row>
    <row r="198" spans="1:6" ht="15.75" customHeight="1">
      <c r="A198" s="14">
        <v>22580</v>
      </c>
      <c r="B198" s="14" t="s">
        <v>4665</v>
      </c>
      <c r="C198" s="14" t="s">
        <v>4667</v>
      </c>
      <c r="D198" s="5" t="str">
        <f ca="1">IFERROR(__xludf.DUMMYFUNCTION("GOOGLETRANSLATE(B198,""ja"",""vi"")"),"cây tử la lan")</f>
        <v>cây tử la lan</v>
      </c>
      <c r="E198" s="4" t="str">
        <f ca="1">IFERROR(__xludf.DUMMYFUNCTION("GOOGLETRANSLATE(C198,""ja"",""vi"")"),"Đấu giá&gt; Sở thích, văn hóa&gt; công cụ và thiết bị âm nhạc&gt; loại nhạc cụ&gt; Viola")</f>
        <v>Đấu giá&gt; Sở thích, văn hóa&gt; công cụ và thiết bị âm nhạc&gt; loại nhạc cụ&gt; Viola</v>
      </c>
      <c r="F198" t="str">
        <f t="shared" ca="1" si="3"/>
        <v>"22580" : "cây tử la lan",</v>
      </c>
    </row>
    <row r="199" spans="1:6" ht="15.75" customHeight="1">
      <c r="A199" s="14">
        <v>2084049859</v>
      </c>
      <c r="B199" s="14" t="s">
        <v>4669</v>
      </c>
      <c r="C199" s="14" t="s">
        <v>4671</v>
      </c>
      <c r="D199" s="5" t="str">
        <f ca="1">IFERROR(__xludf.DUMMYFUNCTION("GOOGLETRANSLATE(B199,""ja"",""vi"")"),"đờn măng đô lin")</f>
        <v>đờn măng đô lin</v>
      </c>
      <c r="E199" s="4" t="str">
        <f ca="1">IFERROR(__xludf.DUMMYFUNCTION("GOOGLETRANSLATE(C199,""ja"",""vi"")"),"Đấu giá&gt; Sở thích, văn hóa&gt; công cụ và thiết bị âm nhạc&gt; loại nhạc cụ&gt; Mandolin")</f>
        <v>Đấu giá&gt; Sở thích, văn hóa&gt; công cụ và thiết bị âm nhạc&gt; loại nhạc cụ&gt; Mandolin</v>
      </c>
      <c r="F199" t="str">
        <f t="shared" ca="1" si="3"/>
        <v>"2084049859" : "đờn măng đô lin",</v>
      </c>
    </row>
    <row r="200" spans="1:6" ht="15.75" customHeight="1">
      <c r="A200" s="14">
        <v>2084046803</v>
      </c>
      <c r="B200" s="14" t="s">
        <v>4673</v>
      </c>
      <c r="C200" s="14" t="s">
        <v>4674</v>
      </c>
      <c r="D200" s="5" t="str">
        <f ca="1">IFERROR(__xludf.DUMMYFUNCTION("GOOGLETRANSLATE(B200,""ja"",""vi"")"),"Kokyu")</f>
        <v>Kokyu</v>
      </c>
      <c r="E200" s="4" t="str">
        <f ca="1">IFERROR(__xludf.DUMMYFUNCTION("GOOGLETRANSLATE(C200,""ja"",""vi"")"),"Đấu giá&gt; Sở thích, văn hóa&gt; công cụ và thiết bị âm nhạc&gt; loại nhạc cụ&gt; fiddle")</f>
        <v>Đấu giá&gt; Sở thích, văn hóa&gt; công cụ và thiết bị âm nhạc&gt; loại nhạc cụ&gt; fiddle</v>
      </c>
      <c r="F200" t="str">
        <f t="shared" ca="1" si="3"/>
        <v>"2084046803" : "Kokyu",</v>
      </c>
    </row>
    <row r="201" spans="1:6" ht="15.75" customHeight="1">
      <c r="A201" s="14">
        <v>2084305866</v>
      </c>
      <c r="B201" s="14" t="s">
        <v>4677</v>
      </c>
      <c r="C201" s="14" t="s">
        <v>4678</v>
      </c>
      <c r="D201" s="5" t="str">
        <f ca="1">IFERROR(__xludf.DUMMYFUNCTION("GOOGLETRANSLATE(B201,""ja"",""vi"")"),"Ba dây")</f>
        <v>Ba dây</v>
      </c>
      <c r="E201" s="4" t="str">
        <f ca="1">IFERROR(__xludf.DUMMYFUNCTION("GOOGLETRANSLATE(C201,""ja"",""vi"")"),"Đấu giá&gt; Sở thích, văn hóa&gt; công cụ và thiết bị âm nhạc&gt; loại nhạc cụ&gt; ba dây")</f>
        <v>Đấu giá&gt; Sở thích, văn hóa&gt; công cụ và thiết bị âm nhạc&gt; loại nhạc cụ&gt; ba dây</v>
      </c>
      <c r="F201" t="str">
        <f t="shared" ca="1" si="3"/>
        <v>"2084305866" : "Ba dây",</v>
      </c>
    </row>
    <row r="202" spans="1:6" ht="15.75" customHeight="1">
      <c r="A202" s="14">
        <v>2084046802</v>
      </c>
      <c r="B202" s="14" t="s">
        <v>4681</v>
      </c>
      <c r="C202" s="14" t="s">
        <v>4682</v>
      </c>
      <c r="D202" s="5" t="str">
        <f ca="1">IFERROR(__xludf.DUMMYFUNCTION("GOOGLETRANSLATE(B202,""ja"",""vi"")"),"shamisen")</f>
        <v>shamisen</v>
      </c>
      <c r="E202" s="4" t="str">
        <f ca="1">IFERROR(__xludf.DUMMYFUNCTION("GOOGLETRANSLATE(C202,""ja"",""vi"")"),"Đấu giá&gt; Sở thích, văn hóa&gt; công cụ và thiết bị âm nhạc&gt; loại nhạc cụ&gt; shamisen")</f>
        <v>Đấu giá&gt; Sở thích, văn hóa&gt; công cụ và thiết bị âm nhạc&gt; loại nhạc cụ&gt; shamisen</v>
      </c>
      <c r="F202" t="str">
        <f t="shared" ca="1" si="3"/>
        <v>"2084046802" : "shamisen",</v>
      </c>
    </row>
    <row r="203" spans="1:6" ht="15.75" customHeight="1">
      <c r="A203" s="14">
        <v>2084305874</v>
      </c>
      <c r="B203" s="14" t="s">
        <v>4685</v>
      </c>
      <c r="C203" s="14" t="s">
        <v>4686</v>
      </c>
      <c r="D203" s="5" t="str">
        <f ca="1">IFERROR(__xludf.DUMMYFUNCTION("GOOGLETRANSLATE(B203,""ja"",""vi"")"),"Taishogoto")</f>
        <v>Taishogoto</v>
      </c>
      <c r="E203" s="4" t="str">
        <f ca="1">IFERROR(__xludf.DUMMYFUNCTION("GOOGLETRANSLATE(C203,""ja"",""vi"")"),"Đấu giá&gt; Sở thích, văn hóa&gt; công cụ và thiết bị âm nhạc&gt; loại nhạc cụ&gt; Taishogoto")</f>
        <v>Đấu giá&gt; Sở thích, văn hóa&gt; công cụ và thiết bị âm nhạc&gt; loại nhạc cụ&gt; Taishogoto</v>
      </c>
      <c r="F203" t="str">
        <f t="shared" ca="1" si="3"/>
        <v>"2084305874" : "Taishogoto",</v>
      </c>
    </row>
    <row r="204" spans="1:6" ht="15.75" customHeight="1">
      <c r="A204" s="14">
        <v>2084305875</v>
      </c>
      <c r="B204" s="14" t="s">
        <v>4687</v>
      </c>
      <c r="C204" s="14" t="s">
        <v>4689</v>
      </c>
      <c r="D204" s="5" t="str">
        <f ca="1">IFERROR(__xludf.DUMMYFUNCTION("GOOGLETRANSLATE(B204,""ja"",""vi"")"),"Biwa")</f>
        <v>Biwa</v>
      </c>
      <c r="E204" s="4" t="str">
        <f ca="1">IFERROR(__xludf.DUMMYFUNCTION("GOOGLETRANSLATE(C204,""ja"",""vi"")"),"Đấu giá&gt; Sở thích, văn hóa&gt; công cụ và thiết bị âm nhạc&gt; loại nhạc cụ&gt; pipa")</f>
        <v>Đấu giá&gt; Sở thích, văn hóa&gt; công cụ và thiết bị âm nhạc&gt; loại nhạc cụ&gt; pipa</v>
      </c>
      <c r="F204" t="str">
        <f t="shared" ca="1" si="3"/>
        <v>"2084305875" : "Biwa",</v>
      </c>
    </row>
    <row r="205" spans="1:6" ht="15.75" customHeight="1">
      <c r="A205" s="14">
        <v>2084305876</v>
      </c>
      <c r="B205" s="14" t="s">
        <v>4693</v>
      </c>
      <c r="C205" s="14" t="s">
        <v>4695</v>
      </c>
      <c r="D205" s="5" t="str">
        <f ca="1">IFERROR(__xludf.DUMMYFUNCTION("GOOGLETRANSLATE(B205,""ja"",""vi"")"),"Koto, đàn koto")</f>
        <v>Koto, đàn koto</v>
      </c>
      <c r="E205" s="4" t="str">
        <f ca="1">IFERROR(__xludf.DUMMYFUNCTION("GOOGLETRANSLATE(C205,""ja"",""vi"")"),"Đấu giá&gt; Sở thích, văn hóa&gt; công cụ và thiết bị âm nhạc&gt; loại nhạc cụ&gt; koto, koto")</f>
        <v>Đấu giá&gt; Sở thích, văn hóa&gt; công cụ và thiết bị âm nhạc&gt; loại nhạc cụ&gt; koto, koto</v>
      </c>
      <c r="F205" t="str">
        <f t="shared" ca="1" si="3"/>
        <v>"2084305876" : "Koto, đàn koto",</v>
      </c>
    </row>
    <row r="206" spans="1:6" ht="15.75" customHeight="1">
      <c r="A206" s="14">
        <v>22596</v>
      </c>
      <c r="B206" s="14" t="s">
        <v>1685</v>
      </c>
      <c r="C206" s="14" t="s">
        <v>4701</v>
      </c>
      <c r="D206" s="5" t="str">
        <f ca="1">IFERROR(__xludf.DUMMYFUNCTION("GOOGLETRANSLATE(B206,""ja"",""vi"")"),"phụ kiện")</f>
        <v>phụ kiện</v>
      </c>
      <c r="E206" s="4" t="str">
        <f ca="1">IFERROR(__xludf.DUMMYFUNCTION("GOOGLETRANSLATE(C206,""ja"",""vi"")"),"Đấu giá&gt; Sở thích, văn hóa&gt; công cụ và thiết bị âm nhạc&gt; loại nhạc cụ&gt; Phụ kiện")</f>
        <v>Đấu giá&gt; Sở thích, văn hóa&gt; công cụ và thiết bị âm nhạc&gt; loại nhạc cụ&gt; Phụ kiện</v>
      </c>
      <c r="F206" t="str">
        <f t="shared" ca="1" si="3"/>
        <v>"22596" : "phụ kiện",</v>
      </c>
    </row>
    <row r="207" spans="1:6" ht="15.75" customHeight="1">
      <c r="A207" s="14">
        <v>2084009091</v>
      </c>
      <c r="B207" s="14" t="s">
        <v>4706</v>
      </c>
      <c r="C207" s="14" t="s">
        <v>4707</v>
      </c>
      <c r="D207" s="5" t="str">
        <f ca="1">IFERROR(__xludf.DUMMYFUNCTION("GOOGLETRANSLATE(B207,""ja"",""vi"")"),"Điểm (một nhạc cụ dây)")</f>
        <v>Điểm (một nhạc cụ dây)</v>
      </c>
      <c r="E207" s="4" t="str">
        <f ca="1">IFERROR(__xludf.DUMMYFUNCTION("GOOGLETRANSLATE(C207,""ja"",""vi"")"),"Đấu giá&gt; Sở thích, văn hóa&gt; công cụ và thiết bị âm nhạc&gt; loại nhạc cụ&gt; điểm âm nhạc (một nhạc cụ dây)")</f>
        <v>Đấu giá&gt; Sở thích, văn hóa&gt; công cụ và thiết bị âm nhạc&gt; loại nhạc cụ&gt; điểm âm nhạc (một nhạc cụ dây)</v>
      </c>
      <c r="F207" t="str">
        <f t="shared" ca="1" si="3"/>
        <v>"2084009091" : "Điểm (một nhạc cụ dây)",</v>
      </c>
    </row>
    <row r="208" spans="1:6" ht="15.75" customHeight="1">
      <c r="A208" s="14">
        <v>22600</v>
      </c>
      <c r="B208" s="14" t="s">
        <v>46</v>
      </c>
      <c r="C208" s="14" t="s">
        <v>4710</v>
      </c>
      <c r="D208" s="5" t="str">
        <f ca="1">IFERROR(__xludf.DUMMYFUNCTION("GOOGLETRANSLATE(B208,""ja"",""vi"")"),"nếu không thì")</f>
        <v>nếu không thì</v>
      </c>
      <c r="E208" s="4" t="str">
        <f ca="1">IFERROR(__xludf.DUMMYFUNCTION("GOOGLETRANSLATE(C208,""ja"",""vi"")"),"Đấu giá&gt; Sở thích, văn hóa&gt; công cụ và thiết bị âm nhạc&gt; loại nhạc cụ&gt; Khác")</f>
        <v>Đấu giá&gt; Sở thích, văn hóa&gt; công cụ và thiết bị âm nhạc&gt; loại nhạc cụ&gt; Khác</v>
      </c>
      <c r="F208" t="str">
        <f t="shared" ca="1" si="3"/>
        <v>"22600" : "nếu không thì",</v>
      </c>
    </row>
    <row r="209" spans="1:6" ht="15.75" customHeight="1">
      <c r="A209" s="14">
        <v>22620</v>
      </c>
      <c r="B209" s="14" t="s">
        <v>4715</v>
      </c>
      <c r="C209" s="14" t="s">
        <v>4719</v>
      </c>
      <c r="D209" s="5" t="str">
        <f ca="1">IFERROR(__xludf.DUMMYFUNCTION("GOOGLETRANSLATE(B209,""ja"",""vi"")"),"kèn có hai dăm")</f>
        <v>kèn có hai dăm</v>
      </c>
      <c r="E209" s="4" t="str">
        <f ca="1">IFERROR(__xludf.DUMMYFUNCTION("GOOGLETRANSLATE(C209,""ja"",""vi"")"),"Đấu giá&gt; Sở thích, văn hóa&gt; Nhạc cụ và thiết bị&gt; Gió cụ&gt; Oboe")</f>
        <v>Đấu giá&gt; Sở thích, văn hóa&gt; Nhạc cụ và thiết bị&gt; Gió cụ&gt; Oboe</v>
      </c>
      <c r="F209" t="str">
        <f t="shared" ca="1" si="3"/>
        <v>"22620" : "kèn có hai dăm",</v>
      </c>
    </row>
    <row r="210" spans="1:6" ht="15.75" customHeight="1">
      <c r="A210" s="14">
        <v>22612</v>
      </c>
      <c r="B210" s="14" t="s">
        <v>4723</v>
      </c>
      <c r="C210" s="14" t="s">
        <v>4724</v>
      </c>
      <c r="D210" s="5" t="str">
        <f ca="1">IFERROR(__xludf.DUMMYFUNCTION("GOOGLETRANSLATE(B210,""ja"",""vi"")"),"người thổi kèn")</f>
        <v>người thổi kèn</v>
      </c>
      <c r="E210" s="4" t="str">
        <f ca="1">IFERROR(__xludf.DUMMYFUNCTION("GOOGLETRANSLATE(C210,""ja"",""vi"")"),"Đấu giá&gt; Sở thích, văn hóa&gt; công cụ và thiết bị âm nhạc&gt; Gió cụ&gt; Clarinet")</f>
        <v>Đấu giá&gt; Sở thích, văn hóa&gt; công cụ và thiết bị âm nhạc&gt; Gió cụ&gt; Clarinet</v>
      </c>
      <c r="F210" t="str">
        <f t="shared" ca="1" si="3"/>
        <v>"22612" : "người thổi kèn",</v>
      </c>
    </row>
    <row r="211" spans="1:6" ht="15.75" customHeight="1">
      <c r="A211" s="14">
        <v>22444</v>
      </c>
      <c r="B211" s="14" t="s">
        <v>4729</v>
      </c>
      <c r="C211" s="14" t="s">
        <v>4730</v>
      </c>
      <c r="D211" s="5" t="str">
        <f ca="1">IFERROR(__xludf.DUMMYFUNCTION("GOOGLETRANSLATE(B211,""ja"",""vi"")"),"mũ của đàn bà")</f>
        <v>mũ của đàn bà</v>
      </c>
      <c r="E211" s="4" t="str">
        <f ca="1">IFERROR(__xludf.DUMMYFUNCTION("GOOGLETRANSLATE(C211,""ja"",""vi"")"),"Đấu giá&gt; Sở thích, văn hóa&gt; Nhạc cụ và thiết bị&gt; kèn&gt; Cornet")</f>
        <v>Đấu giá&gt; Sở thích, văn hóa&gt; Nhạc cụ và thiết bị&gt; kèn&gt; Cornet</v>
      </c>
      <c r="F211" t="str">
        <f t="shared" ca="1" si="3"/>
        <v>"22444" : "mũ của đàn bà",</v>
      </c>
    </row>
    <row r="212" spans="1:6" ht="15.75" customHeight="1">
      <c r="A212" s="14">
        <v>2084046795</v>
      </c>
      <c r="B212" s="14" t="s">
        <v>4733</v>
      </c>
      <c r="C212" s="14" t="s">
        <v>4734</v>
      </c>
      <c r="D212" s="5" t="str">
        <f ca="1">IFERROR(__xludf.DUMMYFUNCTION("GOOGLETRANSLATE(B212,""ja"",""vi"")"),"kèn")</f>
        <v>kèn</v>
      </c>
      <c r="E212" s="4" t="str">
        <f ca="1">IFERROR(__xludf.DUMMYFUNCTION("GOOGLETRANSLATE(C212,""ja"",""vi"")"),"Đấu giá&gt; Sở thích, văn hóa&gt; Nhạc cụ và thiết bị&gt; kèn&gt; sax")</f>
        <v>Đấu giá&gt; Sở thích, văn hóa&gt; Nhạc cụ và thiết bị&gt; kèn&gt; sax</v>
      </c>
      <c r="F212" t="str">
        <f t="shared" ca="1" si="3"/>
        <v>"2084046795" : "kèn",</v>
      </c>
    </row>
    <row r="213" spans="1:6" ht="15.75" customHeight="1">
      <c r="A213" s="14">
        <v>22464</v>
      </c>
      <c r="B213" s="14" t="s">
        <v>4737</v>
      </c>
      <c r="C213" s="14" t="s">
        <v>4739</v>
      </c>
      <c r="D213" s="5" t="str">
        <f ca="1">IFERROR(__xludf.DUMMYFUNCTION("GOOGLETRANSLATE(B213,""ja"",""vi"")"),"một thứ kèn")</f>
        <v>một thứ kèn</v>
      </c>
      <c r="E213" s="4" t="str">
        <f ca="1">IFERROR(__xludf.DUMMYFUNCTION("GOOGLETRANSLATE(C213,""ja"",""vi"")"),"Đấu giá&gt; Sở thích, văn hóa&gt; công cụ và thiết bị âm nhạc&gt; kèn&gt; tuba")</f>
        <v>Đấu giá&gt; Sở thích, văn hóa&gt; công cụ và thiết bị âm nhạc&gt; kèn&gt; tuba</v>
      </c>
      <c r="F213" t="str">
        <f t="shared" ca="1" si="3"/>
        <v>"22464" : "một thứ kèn",</v>
      </c>
    </row>
    <row r="214" spans="1:6" ht="15.75" customHeight="1">
      <c r="A214" s="14">
        <v>22460</v>
      </c>
      <c r="B214" s="14" t="s">
        <v>4743</v>
      </c>
      <c r="C214" s="14" t="s">
        <v>4744</v>
      </c>
      <c r="D214" s="5" t="str">
        <f ca="1">IFERROR(__xludf.DUMMYFUNCTION("GOOGLETRANSLATE(B214,""ja"",""vi"")"),"kèn")</f>
        <v>kèn</v>
      </c>
      <c r="E214" s="4" t="str">
        <f ca="1">IFERROR(__xludf.DUMMYFUNCTION("GOOGLETRANSLATE(C214,""ja"",""vi"")"),"Đấu giá&gt; Sở thích, văn hóa&gt; công cụ và thiết bị âm nhạc&gt; kèn&gt; trumpet")</f>
        <v>Đấu giá&gt; Sở thích, văn hóa&gt; công cụ và thiết bị âm nhạc&gt; kèn&gt; trumpet</v>
      </c>
      <c r="F214" t="str">
        <f t="shared" ca="1" si="3"/>
        <v>"22460" : "kèn",</v>
      </c>
    </row>
    <row r="215" spans="1:6" ht="15.75" customHeight="1">
      <c r="A215" s="14">
        <v>22456</v>
      </c>
      <c r="B215" s="14" t="s">
        <v>4749</v>
      </c>
      <c r="C215" s="14" t="s">
        <v>4750</v>
      </c>
      <c r="D215" s="5" t="str">
        <f ca="1">IFERROR(__xludf.DUMMYFUNCTION("GOOGLETRANSLATE(B215,""ja"",""vi"")"),"loại kèn hai ống")</f>
        <v>loại kèn hai ống</v>
      </c>
      <c r="E215" s="4" t="str">
        <f ca="1">IFERROR(__xludf.DUMMYFUNCTION("GOOGLETRANSLATE(C215,""ja"",""vi"")"),"Đấu giá&gt; Sở thích, văn hóa&gt; công cụ và thiết bị âm nhạc&gt; kèn&gt; trombone")</f>
        <v>Đấu giá&gt; Sở thích, văn hóa&gt; công cụ và thiết bị âm nhạc&gt; kèn&gt; trombone</v>
      </c>
      <c r="F215" t="str">
        <f t="shared" ca="1" si="3"/>
        <v>"22456" : "loại kèn hai ống",</v>
      </c>
    </row>
    <row r="216" spans="1:6" ht="15.75" customHeight="1">
      <c r="A216" s="14">
        <v>2084046842</v>
      </c>
      <c r="B216" s="14" t="s">
        <v>4755</v>
      </c>
      <c r="C216" s="14" t="s">
        <v>4757</v>
      </c>
      <c r="D216" s="5" t="str">
        <f ca="1">IFERROR(__xludf.DUMMYFUNCTION("GOOGLETRANSLATE(B216,""ja"",""vi"")"),"Harmonica, blues harp")</f>
        <v>Harmonica, blues harp</v>
      </c>
      <c r="E216" s="4" t="str">
        <f ca="1">IFERROR(__xludf.DUMMYFUNCTION("GOOGLETRANSLATE(C216,""ja"",""vi"")"),"Đấu giá&gt; Sở thích, văn hóa&gt; Nhạc cụ và thiết bị&gt; kèn&gt; harmonica, blues harp")</f>
        <v>Đấu giá&gt; Sở thích, văn hóa&gt; Nhạc cụ và thiết bị&gt; kèn&gt; harmonica, blues harp</v>
      </c>
      <c r="F216" t="str">
        <f t="shared" ca="1" si="3"/>
        <v>"2084046842" : "Harmonica, blues harp",</v>
      </c>
    </row>
    <row r="217" spans="1:6" ht="15.75" customHeight="1">
      <c r="A217" s="14">
        <v>22624</v>
      </c>
      <c r="B217" s="14" t="s">
        <v>4761</v>
      </c>
      <c r="C217" s="14" t="s">
        <v>4763</v>
      </c>
      <c r="D217" s="5" t="str">
        <f ca="1">IFERROR(__xludf.DUMMYFUNCTION("GOOGLETRANSLATE(B217,""ja"",""vi"")"),"ống sáo nhỏ")</f>
        <v>ống sáo nhỏ</v>
      </c>
      <c r="E217" s="4" t="str">
        <f ca="1">IFERROR(__xludf.DUMMYFUNCTION("GOOGLETRANSLATE(C217,""ja"",""vi"")"),"Đấu giá&gt; Sở thích, văn hóa&gt; công cụ và thiết bị âm nhạc&gt; kèn&gt; Piccolo")</f>
        <v>Đấu giá&gt; Sở thích, văn hóa&gt; công cụ và thiết bị âm nhạc&gt; kèn&gt; Piccolo</v>
      </c>
      <c r="F217" t="str">
        <f t="shared" ca="1" si="3"/>
        <v>"22624" : "ống sáo nhỏ",</v>
      </c>
    </row>
    <row r="218" spans="1:6" ht="15.75" customHeight="1">
      <c r="A218" s="14">
        <v>22608</v>
      </c>
      <c r="B218" s="14" t="s">
        <v>4766</v>
      </c>
      <c r="C218" s="14" t="s">
        <v>4768</v>
      </c>
      <c r="D218" s="5" t="str">
        <f ca="1">IFERROR(__xludf.DUMMYFUNCTION("GOOGLETRANSLATE(B218,""ja"",""vi"")"),"kèn giọng trầm")</f>
        <v>kèn giọng trầm</v>
      </c>
      <c r="E218" s="4" t="str">
        <f ca="1">IFERROR(__xludf.DUMMYFUNCTION("GOOGLETRANSLATE(C218,""ja"",""vi"")"),"Đấu giá&gt; Sở thích, văn hóa&gt; Nhạc cụ và thiết bị&gt; Gió cụ&gt; bassoon")</f>
        <v>Đấu giá&gt; Sở thích, văn hóa&gt; Nhạc cụ và thiết bị&gt; Gió cụ&gt; bassoon</v>
      </c>
      <c r="F218" t="str">
        <f t="shared" ca="1" si="3"/>
        <v>"22608" : "kèn giọng trầm",</v>
      </c>
    </row>
    <row r="219" spans="1:6" ht="15.75" customHeight="1">
      <c r="A219" s="14">
        <v>22616</v>
      </c>
      <c r="B219" s="14" t="s">
        <v>4770</v>
      </c>
      <c r="C219" s="14" t="s">
        <v>4771</v>
      </c>
      <c r="D219" s="5" t="str">
        <f ca="1">IFERROR(__xludf.DUMMYFUNCTION("GOOGLETRANSLATE(B219,""ja"",""vi"")"),"ống sáo")</f>
        <v>ống sáo</v>
      </c>
      <c r="E219" s="4" t="str">
        <f ca="1">IFERROR(__xludf.DUMMYFUNCTION("GOOGLETRANSLATE(C219,""ja"",""vi"")"),"Đấu giá&gt; Sở thích, văn hóa&gt; công cụ và thiết bị âm nhạc&gt; kèn&gt; Flute")</f>
        <v>Đấu giá&gt; Sở thích, văn hóa&gt; công cụ và thiết bị âm nhạc&gt; kèn&gt; Flute</v>
      </c>
      <c r="F219" t="str">
        <f t="shared" ca="1" si="3"/>
        <v>"22616" : "ống sáo",</v>
      </c>
    </row>
    <row r="220" spans="1:6" ht="15.75" customHeight="1">
      <c r="A220" s="14">
        <v>22452</v>
      </c>
      <c r="B220" s="14" t="s">
        <v>4775</v>
      </c>
      <c r="C220" s="14" t="s">
        <v>4776</v>
      </c>
      <c r="D220" s="5" t="str">
        <f ca="1">IFERROR(__xludf.DUMMYFUNCTION("GOOGLETRANSLATE(B220,""ja"",""vi"")"),"sừng")</f>
        <v>sừng</v>
      </c>
      <c r="E220" s="4" t="str">
        <f ca="1">IFERROR(__xludf.DUMMYFUNCTION("GOOGLETRANSLATE(C220,""ja"",""vi"")"),"Đấu giá&gt; Sở thích, văn hóa&gt; công cụ và thiết bị âm nhạc&gt; kèn&gt; Horn")</f>
        <v>Đấu giá&gt; Sở thích, văn hóa&gt; công cụ và thiết bị âm nhạc&gt; kèn&gt; Horn</v>
      </c>
      <c r="F220" t="str">
        <f t="shared" ca="1" si="3"/>
        <v>"22452" : "sừng",</v>
      </c>
    </row>
    <row r="221" spans="1:6" ht="15.75" customHeight="1">
      <c r="A221" s="14">
        <v>2084290086</v>
      </c>
      <c r="B221" s="14" t="s">
        <v>4779</v>
      </c>
      <c r="C221" s="14" t="s">
        <v>4780</v>
      </c>
      <c r="D221" s="5" t="str">
        <f ca="1">IFERROR(__xludf.DUMMYFUNCTION("GOOGLETRANSLATE(B221,""ja"",""vi"")"),"Euphonium")</f>
        <v>Euphonium</v>
      </c>
      <c r="E221" s="4" t="str">
        <f ca="1">IFERROR(__xludf.DUMMYFUNCTION("GOOGLETRANSLATE(C221,""ja"",""vi"")"),"Đấu giá&gt; Sở thích, văn hóa&gt; công cụ và thiết bị âm nhạc&gt; kèn&gt; euphonium")</f>
        <v>Đấu giá&gt; Sở thích, văn hóa&gt; công cụ và thiết bị âm nhạc&gt; kèn&gt; euphonium</v>
      </c>
      <c r="F221" t="str">
        <f t="shared" ca="1" si="3"/>
        <v>"2084290086" : "Euphonium",</v>
      </c>
    </row>
    <row r="222" spans="1:6" ht="15.75" customHeight="1">
      <c r="A222" s="14">
        <v>22628</v>
      </c>
      <c r="B222" s="14" t="s">
        <v>4785</v>
      </c>
      <c r="C222" s="14" t="s">
        <v>4786</v>
      </c>
      <c r="D222" s="5" t="str">
        <f ca="1">IFERROR(__xludf.DUMMYFUNCTION("GOOGLETRANSLATE(B222,""ja"",""vi"")"),"máy ghi")</f>
        <v>máy ghi</v>
      </c>
      <c r="E222" s="4" t="str">
        <f ca="1">IFERROR(__xludf.DUMMYFUNCTION("GOOGLETRANSLATE(C222,""ja"",""vi"")"),"Đấu giá&gt; Sở thích, văn hóa&gt; công cụ và thiết bị âm nhạc&gt; kèn&gt; Máy ghi âm")</f>
        <v>Đấu giá&gt; Sở thích, văn hóa&gt; công cụ và thiết bị âm nhạc&gt; kèn&gt; Máy ghi âm</v>
      </c>
      <c r="F222" t="str">
        <f t="shared" ca="1" si="3"/>
        <v>"22628" : "máy ghi",</v>
      </c>
    </row>
    <row r="223" spans="1:6" ht="15.75" customHeight="1">
      <c r="A223" s="14">
        <v>2084305861</v>
      </c>
      <c r="B223" s="14" t="s">
        <v>4788</v>
      </c>
      <c r="C223" s="14" t="s">
        <v>4789</v>
      </c>
      <c r="D223" s="5" t="str">
        <f ca="1">IFERROR(__xludf.DUMMYFUNCTION("GOOGLETRANSLATE(B223,""ja"",""vi"")"),"thổi tiêu")</f>
        <v>thổi tiêu</v>
      </c>
      <c r="E223" s="4" t="str">
        <f ca="1">IFERROR(__xludf.DUMMYFUNCTION("GOOGLETRANSLATE(C223,""ja"",""vi"")"),"Đấu giá&gt; Sở thích, văn hóa&gt; công cụ và thiết bị âm nhạc&gt; kèn&gt; sáo")</f>
        <v>Đấu giá&gt; Sở thích, văn hóa&gt; công cụ và thiết bị âm nhạc&gt; kèn&gt; sáo</v>
      </c>
      <c r="F223" t="str">
        <f t="shared" ca="1" si="3"/>
        <v>"2084305861" : "thổi tiêu",</v>
      </c>
    </row>
    <row r="224" spans="1:6" ht="15.75" customHeight="1">
      <c r="A224" s="14">
        <v>2084305871</v>
      </c>
      <c r="B224" s="14" t="s">
        <v>4794</v>
      </c>
      <c r="C224" s="14" t="s">
        <v>4796</v>
      </c>
      <c r="D224" s="5" t="str">
        <f ca="1">IFERROR(__xludf.DUMMYFUNCTION("GOOGLETRANSLATE(B224,""ja"",""vi"")"),"sáo trúc")</f>
        <v>sáo trúc</v>
      </c>
      <c r="E224" s="4" t="str">
        <f ca="1">IFERROR(__xludf.DUMMYFUNCTION("GOOGLETRANSLATE(C224,""ja"",""vi"")"),"Đấu giá&gt; Sở thích, văn hóa&gt; Nhạc cụ và thiết bị&gt; kèn&gt; shakuhachi")</f>
        <v>Đấu giá&gt; Sở thích, văn hóa&gt; Nhạc cụ và thiết bị&gt; kèn&gt; shakuhachi</v>
      </c>
      <c r="F224" t="str">
        <f t="shared" ca="1" si="3"/>
        <v>"2084305871" : "sáo trúc",</v>
      </c>
    </row>
    <row r="225" spans="1:6" ht="15.75" customHeight="1">
      <c r="A225" s="14">
        <v>2084009090</v>
      </c>
      <c r="B225" s="14" t="s">
        <v>4798</v>
      </c>
      <c r="C225" s="14" t="s">
        <v>4801</v>
      </c>
      <c r="D225" s="5" t="str">
        <f ca="1">IFERROR(__xludf.DUMMYFUNCTION("GOOGLETRANSLATE(B225,""ja"",""vi"")"),"Bản nhạc (kèn bài hát)")</f>
        <v>Bản nhạc (kèn bài hát)</v>
      </c>
      <c r="E225" s="4" t="str">
        <f ca="1">IFERROR(__xludf.DUMMYFUNCTION("GOOGLETRANSLATE(C225,""ja"",""vi"")"),"Đấu giá&gt; Sở thích, văn hóa&gt; Nhạc cụ và thiết bị&gt; kèn&gt; Điểm (gió cụ bài hát)")</f>
        <v>Đấu giá&gt; Sở thích, văn hóa&gt; Nhạc cụ và thiết bị&gt; kèn&gt; Điểm (gió cụ bài hát)</v>
      </c>
      <c r="F225" t="str">
        <f t="shared" ca="1" si="3"/>
        <v>"2084009090" : "Bản nhạc (kèn bài hát)",</v>
      </c>
    </row>
    <row r="226" spans="1:6" ht="15.75" customHeight="1">
      <c r="A226" s="14">
        <v>22652</v>
      </c>
      <c r="B226" s="14" t="s">
        <v>4804</v>
      </c>
      <c r="C226" s="14" t="s">
        <v>4806</v>
      </c>
      <c r="D226" s="5" t="str">
        <f ca="1">IFERROR(__xludf.DUMMYFUNCTION("GOOGLETRANSLATE(B226,""ja"",""vi"")"),"Woodwind khác")</f>
        <v>Woodwind khác</v>
      </c>
      <c r="E226" s="4" t="str">
        <f ca="1">IFERROR(__xludf.DUMMYFUNCTION("GOOGLETRANSLATE(C226,""ja"",""vi"")"),"Đấu giá&gt; Sở thích, văn hóa&gt; Nhạc cụ và thiết bị&gt; kèn&gt; Woodwind khác")</f>
        <v>Đấu giá&gt; Sở thích, văn hóa&gt; Nhạc cụ và thiết bị&gt; kèn&gt; Woodwind khác</v>
      </c>
      <c r="F226" t="str">
        <f t="shared" ca="1" si="3"/>
        <v>"22652" : "Woodwind khác",</v>
      </c>
    </row>
    <row r="227" spans="1:6" ht="15.75" customHeight="1">
      <c r="A227" s="14">
        <v>22472</v>
      </c>
      <c r="B227" s="14" t="s">
        <v>4808</v>
      </c>
      <c r="C227" s="14" t="s">
        <v>4810</v>
      </c>
      <c r="D227" s="5" t="str">
        <f ca="1">IFERROR(__xludf.DUMMYFUNCTION("GOOGLETRANSLATE(B227,""ja"",""vi"")"),"đồng khác")</f>
        <v>đồng khác</v>
      </c>
      <c r="E227" s="4" t="str">
        <f ca="1">IFERROR(__xludf.DUMMYFUNCTION("GOOGLETRANSLATE(C227,""ja"",""vi"")"),"Đấu giá&gt; Sở thích, văn hóa&gt; Nhạc cụ và thiết bị&gt; kèn&gt; đồng Khác")</f>
        <v>Đấu giá&gt; Sở thích, văn hóa&gt; Nhạc cụ và thiết bị&gt; kèn&gt; đồng Khác</v>
      </c>
      <c r="F227" t="str">
        <f t="shared" ca="1" si="3"/>
        <v>"22472" : "đồng khác",</v>
      </c>
    </row>
    <row r="228" spans="1:6" ht="15.75" customHeight="1">
      <c r="A228" s="14">
        <v>22552</v>
      </c>
      <c r="B228" s="14" t="s">
        <v>4812</v>
      </c>
      <c r="C228" s="14" t="s">
        <v>4813</v>
      </c>
      <c r="D228" s="5" t="str">
        <f ca="1">IFERROR(__xludf.DUMMYFUNCTION("GOOGLETRANSLATE(B228,""ja"",""vi"")"),"dương cầm")</f>
        <v>dương cầm</v>
      </c>
      <c r="E228" s="4" t="str">
        <f ca="1">IFERROR(__xludf.DUMMYFUNCTION("GOOGLETRANSLATE(C228,""ja"",""vi"")"),"Đấu giá&gt; Sở thích, văn hóa&gt; Nhạc cụ và thiết bị&gt; công cụ bàn phím&gt; đàn piano")</f>
        <v>Đấu giá&gt; Sở thích, văn hóa&gt; Nhạc cụ và thiết bị&gt; công cụ bàn phím&gt; đàn piano</v>
      </c>
      <c r="F228" t="str">
        <f t="shared" ca="1" si="3"/>
        <v>"22552" : "dương cầm",</v>
      </c>
    </row>
    <row r="229" spans="1:6" ht="15.75" customHeight="1">
      <c r="A229" s="14">
        <v>2084053236</v>
      </c>
      <c r="B229" s="14" t="s">
        <v>4815</v>
      </c>
      <c r="C229" s="14" t="s">
        <v>4817</v>
      </c>
      <c r="D229" s="5" t="str">
        <f ca="1">IFERROR(__xludf.DUMMYFUNCTION("GOOGLETRANSLATE(B229,""ja"",""vi"")"),"đàn piano điện tử")</f>
        <v>đàn piano điện tử</v>
      </c>
      <c r="E229" s="4" t="str">
        <f ca="1">IFERROR(__xludf.DUMMYFUNCTION("GOOGLETRANSLATE(C229,""ja"",""vi"")"),"Đấu giá&gt; Sở thích, văn hóa&gt; Nhạc cụ và thiết bị&gt; công cụ bàn phím&gt; đàn piano điện tử")</f>
        <v>Đấu giá&gt; Sở thích, văn hóa&gt; Nhạc cụ và thiết bị&gt; công cụ bàn phím&gt; đàn piano điện tử</v>
      </c>
      <c r="F229" t="str">
        <f t="shared" ca="1" si="3"/>
        <v>"2084053236" : "đàn piano điện tử",</v>
      </c>
    </row>
    <row r="230" spans="1:6" ht="15.75" customHeight="1">
      <c r="A230" s="14">
        <v>22548</v>
      </c>
      <c r="B230" s="14" t="s">
        <v>4819</v>
      </c>
      <c r="C230" s="14" t="s">
        <v>4821</v>
      </c>
      <c r="D230" s="5" t="str">
        <f ca="1">IFERROR(__xludf.DUMMYFUNCTION("GOOGLETRANSLATE(B230,""ja"",""vi"")"),"cơ quan")</f>
        <v>cơ quan</v>
      </c>
      <c r="E230" s="4" t="str">
        <f ca="1">IFERROR(__xludf.DUMMYFUNCTION("GOOGLETRANSLATE(C230,""ja"",""vi"")"),"Đấu giá&gt; Sở thích, văn hóa&gt; công cụ và thiết bị âm nhạc&gt; công cụ bàn phím&gt; Organ")</f>
        <v>Đấu giá&gt; Sở thích, văn hóa&gt; công cụ và thiết bị âm nhạc&gt; công cụ bàn phím&gt; Organ</v>
      </c>
      <c r="F230" t="str">
        <f t="shared" ca="1" si="3"/>
        <v>"22548" : "cơ quan",</v>
      </c>
    </row>
    <row r="231" spans="1:6" ht="15.75" customHeight="1">
      <c r="A231" s="14">
        <v>22540</v>
      </c>
      <c r="B231" s="14" t="s">
        <v>4823</v>
      </c>
      <c r="C231" s="14" t="s">
        <v>4824</v>
      </c>
      <c r="D231" s="5" t="str">
        <f ca="1">IFERROR(__xludf.DUMMYFUNCTION("GOOGLETRANSLATE(B231,""ja"",""vi"")"),"organ điện tử")</f>
        <v>organ điện tử</v>
      </c>
      <c r="E231" s="4" t="str">
        <f ca="1">IFERROR(__xludf.DUMMYFUNCTION("GOOGLETRANSLATE(C231,""ja"",""vi"")"),"Đấu giá&gt; Sở thích, văn hóa&gt; Nhạc cụ và thiết bị&gt; công cụ bàn phím&gt; organ điện tử")</f>
        <v>Đấu giá&gt; Sở thích, văn hóa&gt; Nhạc cụ và thiết bị&gt; công cụ bàn phím&gt; organ điện tử</v>
      </c>
      <c r="F231" t="str">
        <f t="shared" ca="1" si="3"/>
        <v>"22540" : "organ điện tử",</v>
      </c>
    </row>
    <row r="232" spans="1:6" ht="15.75" customHeight="1">
      <c r="A232" s="14">
        <v>22536</v>
      </c>
      <c r="B232" s="14" t="s">
        <v>4826</v>
      </c>
      <c r="C232" s="14" t="s">
        <v>4828</v>
      </c>
      <c r="D232" s="5" t="str">
        <f ca="1">IFERROR(__xludf.DUMMYFUNCTION("GOOGLETRANSLATE(B232,""ja"",""vi"")"),"accordion")</f>
        <v>accordion</v>
      </c>
      <c r="E232" s="4" t="str">
        <f ca="1">IFERROR(__xludf.DUMMYFUNCTION("GOOGLETRANSLATE(C232,""ja"",""vi"")"),"Đấu giá&gt; Sở thích, văn hóa&gt; công cụ và thiết bị âm nhạc&gt; công cụ bàn phím&gt; Accordion")</f>
        <v>Đấu giá&gt; Sở thích, văn hóa&gt; công cụ và thiết bị âm nhạc&gt; công cụ bàn phím&gt; Accordion</v>
      </c>
      <c r="F232" t="str">
        <f t="shared" ca="1" si="3"/>
        <v>"22536" : "accordion",</v>
      </c>
    </row>
    <row r="233" spans="1:6" ht="15.75" customHeight="1">
      <c r="A233" s="14">
        <v>2084019003</v>
      </c>
      <c r="B233" s="14" t="s">
        <v>3044</v>
      </c>
      <c r="C233" s="14" t="s">
        <v>4830</v>
      </c>
      <c r="D233" s="5" t="str">
        <f ca="1">IFERROR(__xludf.DUMMYFUNCTION("GOOGLETRANSLATE(B233,""ja"",""vi"")"),"Bàn phím, tổng hợp")</f>
        <v>Bàn phím, tổng hợp</v>
      </c>
      <c r="E233" s="4" t="str">
        <f ca="1">IFERROR(__xludf.DUMMYFUNCTION("GOOGLETRANSLATE(C233,""ja"",""vi"")"),"Đấu giá&gt; Sở thích, văn hóa&gt; Nhạc cụ và thiết bị&gt; công cụ bàn phím&gt; bàn phím, tổng hợp")</f>
        <v>Đấu giá&gt; Sở thích, văn hóa&gt; Nhạc cụ và thiết bị&gt; công cụ bàn phím&gt; bàn phím, tổng hợp</v>
      </c>
      <c r="F233" t="str">
        <f t="shared" ca="1" si="3"/>
        <v>"2084019003" : "Bàn phím, tổng hợp",</v>
      </c>
    </row>
    <row r="234" spans="1:6" ht="15.75" customHeight="1">
      <c r="A234" s="14">
        <v>22564</v>
      </c>
      <c r="B234" s="14" t="s">
        <v>1685</v>
      </c>
      <c r="C234" s="14" t="s">
        <v>4833</v>
      </c>
      <c r="D234" s="5" t="str">
        <f ca="1">IFERROR(__xludf.DUMMYFUNCTION("GOOGLETRANSLATE(B234,""ja"",""vi"")"),"phụ kiện")</f>
        <v>phụ kiện</v>
      </c>
      <c r="E234" s="4" t="str">
        <f ca="1">IFERROR(__xludf.DUMMYFUNCTION("GOOGLETRANSLATE(C234,""ja"",""vi"")"),"Đấu giá&gt; Sở thích, văn hóa&gt; Nhạc cụ và thiết bị&gt; công cụ bàn phím&gt; Accessories")</f>
        <v>Đấu giá&gt; Sở thích, văn hóa&gt; Nhạc cụ và thiết bị&gt; công cụ bàn phím&gt; Accessories</v>
      </c>
      <c r="F234" t="str">
        <f t="shared" ca="1" si="3"/>
        <v>"22564" : "phụ kiện",</v>
      </c>
    </row>
    <row r="235" spans="1:6" ht="15.75" customHeight="1">
      <c r="A235" s="14">
        <v>22568</v>
      </c>
      <c r="B235" s="14" t="s">
        <v>46</v>
      </c>
      <c r="C235" s="14" t="s">
        <v>4836</v>
      </c>
      <c r="D235" s="5" t="str">
        <f ca="1">IFERROR(__xludf.DUMMYFUNCTION("GOOGLETRANSLATE(B235,""ja"",""vi"")"),"nếu không thì")</f>
        <v>nếu không thì</v>
      </c>
      <c r="E235" s="4" t="str">
        <f ca="1">IFERROR(__xludf.DUMMYFUNCTION("GOOGLETRANSLATE(C235,""ja"",""vi"")"),"Đấu giá&gt; Sở thích, văn hóa&gt; Nhạc cụ và thiết bị&gt; công cụ bàn phím&gt; Khác")</f>
        <v>Đấu giá&gt; Sở thích, văn hóa&gt; Nhạc cụ và thiết bị&gt; công cụ bàn phím&gt; Khác</v>
      </c>
      <c r="F235" t="str">
        <f t="shared" ca="1" si="3"/>
        <v>"22568" : "nếu không thì",</v>
      </c>
    </row>
    <row r="236" spans="1:6" ht="15.75" customHeight="1">
      <c r="A236" s="14">
        <v>22512</v>
      </c>
      <c r="B236" s="14" t="s">
        <v>4838</v>
      </c>
      <c r="C236" s="14" t="s">
        <v>4839</v>
      </c>
      <c r="D236" s="5" t="str">
        <f ca="1">IFERROR(__xludf.DUMMYFUNCTION("GOOGLETRANSLATE(B236,""ja"",""vi"")"),"Drum")</f>
        <v>Drum</v>
      </c>
      <c r="E236" s="4" t="str">
        <f ca="1">IFERROR(__xludf.DUMMYFUNCTION("GOOGLETRANSLATE(C236,""ja"",""vi"")"),"Đấu giá&gt; Sở thích, văn hóa&gt; Nhạc cụ và thiết bị&gt; nhạc cụ gõ&gt; trống")</f>
        <v>Đấu giá&gt; Sở thích, văn hóa&gt; Nhạc cụ và thiết bị&gt; nhạc cụ gõ&gt; trống</v>
      </c>
      <c r="F236" t="str">
        <f t="shared" ca="1" si="3"/>
        <v>"22512" : "Drum",</v>
      </c>
    </row>
    <row r="237" spans="1:6" ht="15.75" customHeight="1">
      <c r="A237" s="14">
        <v>22504</v>
      </c>
      <c r="B237" s="14" t="s">
        <v>4842</v>
      </c>
      <c r="C237" s="14" t="s">
        <v>4843</v>
      </c>
      <c r="D237" s="5" t="str">
        <f ca="1">IFERROR(__xludf.DUMMYFUNCTION("GOOGLETRANSLATE(B237,""ja"",""vi"")"),"chuông nhỏ")</f>
        <v>chuông nhỏ</v>
      </c>
      <c r="E237" s="4" t="str">
        <f ca="1">IFERROR(__xludf.DUMMYFUNCTION("GOOGLETRANSLATE(C237,""ja"",""vi"")"),"Đấu giá&gt; Sở thích, văn hóa&gt; Nhạc cụ và thiết bị&gt; nhạc cụ gõ&gt; chuông nhỏ")</f>
        <v>Đấu giá&gt; Sở thích, văn hóa&gt; Nhạc cụ và thiết bị&gt; nhạc cụ gõ&gt; chuông nhỏ</v>
      </c>
      <c r="F237" t="str">
        <f t="shared" ca="1" si="3"/>
        <v>"22504" : "chuông nhỏ",</v>
      </c>
    </row>
    <row r="238" spans="1:6" ht="15.75" customHeight="1">
      <c r="A238" s="14">
        <v>2084019005</v>
      </c>
      <c r="B238" s="14" t="s">
        <v>3041</v>
      </c>
      <c r="C238" s="14" t="s">
        <v>4846</v>
      </c>
      <c r="D238" s="5" t="str">
        <f ca="1">IFERROR(__xludf.DUMMYFUNCTION("GOOGLETRANSLATE(B238,""ja"",""vi"")"),"máy nhịp")</f>
        <v>máy nhịp</v>
      </c>
      <c r="E238" s="4" t="str">
        <f ca="1">IFERROR(__xludf.DUMMYFUNCTION("GOOGLETRANSLATE(C238,""ja"",""vi"")"),"Đấu giá&gt; Sở thích, văn hóa&gt; Nhạc cụ và thiết bị&gt; nhạc cụ gõ&gt; máy nhịp")</f>
        <v>Đấu giá&gt; Sở thích, văn hóa&gt; Nhạc cụ và thiết bị&gt; nhạc cụ gõ&gt; máy nhịp</v>
      </c>
      <c r="F238" t="str">
        <f t="shared" ca="1" si="3"/>
        <v>"2084019005" : "máy nhịp",</v>
      </c>
    </row>
    <row r="239" spans="1:6" ht="15.75" customHeight="1">
      <c r="A239" s="14">
        <v>22508</v>
      </c>
      <c r="B239" s="14" t="s">
        <v>4849</v>
      </c>
      <c r="C239" s="14" t="s">
        <v>4850</v>
      </c>
      <c r="D239" s="5" t="str">
        <f ca="1">IFERROR(__xludf.DUMMYFUNCTION("GOOGLETRANSLATE(B239,""ja"",""vi"")"),"mộc cầm")</f>
        <v>mộc cầm</v>
      </c>
      <c r="E239" s="4" t="str">
        <f ca="1">IFERROR(__xludf.DUMMYFUNCTION("GOOGLETRANSLATE(C239,""ja"",""vi"")"),"Đấu giá&gt; Sở thích, văn hóa&gt; Nhạc cụ và thiết bị&gt; nhạc cụ gõ&gt; xylophone")</f>
        <v>Đấu giá&gt; Sở thích, văn hóa&gt; Nhạc cụ và thiết bị&gt; nhạc cụ gõ&gt; xylophone</v>
      </c>
      <c r="F239" t="str">
        <f t="shared" ca="1" si="3"/>
        <v>"22508" : "mộc cầm",</v>
      </c>
    </row>
    <row r="240" spans="1:6" ht="15.75" customHeight="1">
      <c r="A240" s="14">
        <v>2084201053</v>
      </c>
      <c r="B240" s="14" t="s">
        <v>4853</v>
      </c>
      <c r="C240" s="14" t="s">
        <v>4854</v>
      </c>
      <c r="D240" s="5" t="str">
        <f ca="1">IFERROR(__xludf.DUMMYFUNCTION("GOOGLETRANSLATE(B240,""ja"",""vi"")"),"trống Nhật Bản")</f>
        <v>trống Nhật Bản</v>
      </c>
      <c r="E240" s="4" t="str">
        <f ca="1">IFERROR(__xludf.DUMMYFUNCTION("GOOGLETRANSLATE(C240,""ja"",""vi"")"),"Đấu giá&gt; Sở thích, văn hóa&gt; công cụ và thiết bị âm nhạc&gt; Percussion&gt; Taiko")</f>
        <v>Đấu giá&gt; Sở thích, văn hóa&gt; công cụ và thiết bị âm nhạc&gt; Percussion&gt; Taiko</v>
      </c>
      <c r="F240" t="str">
        <f t="shared" ca="1" si="3"/>
        <v>"2084201053" : "trống Nhật Bản",</v>
      </c>
    </row>
    <row r="241" spans="1:6" ht="15.75" customHeight="1">
      <c r="A241" s="14">
        <v>22528</v>
      </c>
      <c r="B241" s="14" t="s">
        <v>46</v>
      </c>
      <c r="C241" s="14" t="s">
        <v>4856</v>
      </c>
      <c r="D241" s="5" t="str">
        <f ca="1">IFERROR(__xludf.DUMMYFUNCTION("GOOGLETRANSLATE(B241,""ja"",""vi"")"),"nếu không thì")</f>
        <v>nếu không thì</v>
      </c>
      <c r="E241" s="4" t="str">
        <f ca="1">IFERROR(__xludf.DUMMYFUNCTION("GOOGLETRANSLATE(C241,""ja"",""vi"")"),"Đấu giá&gt; Sở thích, văn hóa&gt; Nhạc cụ và thiết bị&gt; nhạc cụ gõ&gt; Khác")</f>
        <v>Đấu giá&gt; Sở thích, văn hóa&gt; Nhạc cụ và thiết bị&gt; nhạc cụ gõ&gt; Khác</v>
      </c>
      <c r="F241" t="str">
        <f t="shared" ca="1" si="3"/>
        <v>"22528" : "nếu không thì",</v>
      </c>
    </row>
    <row r="242" spans="1:6" ht="15.75" customHeight="1">
      <c r="A242" s="14">
        <v>2084305861</v>
      </c>
      <c r="B242" s="14" t="s">
        <v>4788</v>
      </c>
      <c r="C242" s="14" t="s">
        <v>4859</v>
      </c>
      <c r="D242" s="5" t="str">
        <f ca="1">IFERROR(__xludf.DUMMYFUNCTION("GOOGLETRANSLATE(B242,""ja"",""vi"")"),"thổi tiêu")</f>
        <v>thổi tiêu</v>
      </c>
      <c r="E242" s="4" t="str">
        <f ca="1">IFERROR(__xludf.DUMMYFUNCTION("GOOGLETRANSLATE(C242,""ja"",""vi"")"),"Đấu giá&gt; Sở thích, văn hóa&gt; công cụ và thiết bị âm nhạc&gt; nhạc cụ Nhật Bản&gt; sáo")</f>
        <v>Đấu giá&gt; Sở thích, văn hóa&gt; công cụ và thiết bị âm nhạc&gt; nhạc cụ Nhật Bản&gt; sáo</v>
      </c>
      <c r="F242" t="str">
        <f t="shared" ca="1" si="3"/>
        <v>"2084305861" : "thổi tiêu",</v>
      </c>
    </row>
    <row r="243" spans="1:6" ht="15.75" customHeight="1">
      <c r="A243" s="14">
        <v>2084305871</v>
      </c>
      <c r="B243" s="14" t="s">
        <v>4794</v>
      </c>
      <c r="C243" s="14" t="s">
        <v>4861</v>
      </c>
      <c r="D243" s="5" t="str">
        <f ca="1">IFERROR(__xludf.DUMMYFUNCTION("GOOGLETRANSLATE(B243,""ja"",""vi"")"),"sáo trúc")</f>
        <v>sáo trúc</v>
      </c>
      <c r="E243" s="4" t="str">
        <f ca="1">IFERROR(__xludf.DUMMYFUNCTION("GOOGLETRANSLATE(C243,""ja"",""vi"")"),"Đấu giá&gt; Sở thích, văn hóa&gt; công cụ và thiết bị âm nhạc&gt; nhạc cụ Nhật Bản&gt; shakuhachi")</f>
        <v>Đấu giá&gt; Sở thích, văn hóa&gt; công cụ và thiết bị âm nhạc&gt; nhạc cụ Nhật Bản&gt; shakuhachi</v>
      </c>
      <c r="F243" t="str">
        <f t="shared" ca="1" si="3"/>
        <v>"2084305871" : "sáo trúc",</v>
      </c>
    </row>
    <row r="244" spans="1:6" ht="15.75" customHeight="1">
      <c r="A244" s="14">
        <v>2084046803</v>
      </c>
      <c r="B244" s="14" t="s">
        <v>4673</v>
      </c>
      <c r="C244" s="14" t="s">
        <v>4863</v>
      </c>
      <c r="D244" s="5" t="str">
        <f ca="1">IFERROR(__xludf.DUMMYFUNCTION("GOOGLETRANSLATE(B244,""ja"",""vi"")"),"Kokyu")</f>
        <v>Kokyu</v>
      </c>
      <c r="E244" s="4" t="str">
        <f ca="1">IFERROR(__xludf.DUMMYFUNCTION("GOOGLETRANSLATE(C244,""ja"",""vi"")"),"Đấu giá&gt; Sở thích, văn hóa&gt; công cụ và thiết bị âm nhạc&gt; nhạc cụ Nhật Bản&gt; fiddle")</f>
        <v>Đấu giá&gt; Sở thích, văn hóa&gt; công cụ và thiết bị âm nhạc&gt; nhạc cụ Nhật Bản&gt; fiddle</v>
      </c>
      <c r="F244" t="str">
        <f t="shared" ca="1" si="3"/>
        <v>"2084046803" : "Kokyu",</v>
      </c>
    </row>
    <row r="245" spans="1:6" ht="15.75" customHeight="1">
      <c r="A245" s="14">
        <v>2084305866</v>
      </c>
      <c r="B245" s="14" t="s">
        <v>4677</v>
      </c>
      <c r="C245" s="14" t="s">
        <v>4865</v>
      </c>
      <c r="D245" s="5" t="str">
        <f ca="1">IFERROR(__xludf.DUMMYFUNCTION("GOOGLETRANSLATE(B245,""ja"",""vi"")"),"Ba dây")</f>
        <v>Ba dây</v>
      </c>
      <c r="E245" s="4" t="str">
        <f ca="1">IFERROR(__xludf.DUMMYFUNCTION("GOOGLETRANSLATE(C245,""ja"",""vi"")"),"Đấu giá&gt; Sở thích, văn hóa&gt; công cụ và thiết bị âm nhạc&gt; nhạc cụ Nhật Bản&gt; ba dây")</f>
        <v>Đấu giá&gt; Sở thích, văn hóa&gt; công cụ và thiết bị âm nhạc&gt; nhạc cụ Nhật Bản&gt; ba dây</v>
      </c>
      <c r="F245" t="str">
        <f t="shared" ca="1" si="3"/>
        <v>"2084305866" : "Ba dây",</v>
      </c>
    </row>
    <row r="246" spans="1:6" ht="15.75" customHeight="1">
      <c r="A246" s="14">
        <v>2084046802</v>
      </c>
      <c r="B246" s="14" t="s">
        <v>4681</v>
      </c>
      <c r="C246" s="14" t="s">
        <v>4868</v>
      </c>
      <c r="D246" s="5" t="str">
        <f ca="1">IFERROR(__xludf.DUMMYFUNCTION("GOOGLETRANSLATE(B246,""ja"",""vi"")"),"shamisen")</f>
        <v>shamisen</v>
      </c>
      <c r="E246" s="4" t="str">
        <f ca="1">IFERROR(__xludf.DUMMYFUNCTION("GOOGLETRANSLATE(C246,""ja"",""vi"")"),"Đấu giá&gt; Sở thích, văn hóa&gt; công cụ và thiết bị âm nhạc&gt; nhạc cụ Nhật Bản&gt; shamisen")</f>
        <v>Đấu giá&gt; Sở thích, văn hóa&gt; công cụ và thiết bị âm nhạc&gt; nhạc cụ Nhật Bản&gt; shamisen</v>
      </c>
      <c r="F246" t="str">
        <f t="shared" ca="1" si="3"/>
        <v>"2084046802" : "shamisen",</v>
      </c>
    </row>
    <row r="247" spans="1:6" ht="15.75" customHeight="1">
      <c r="A247" s="14">
        <v>2084305875</v>
      </c>
      <c r="B247" s="14" t="s">
        <v>4687</v>
      </c>
      <c r="C247" s="14" t="s">
        <v>4870</v>
      </c>
      <c r="D247" s="5" t="str">
        <f ca="1">IFERROR(__xludf.DUMMYFUNCTION("GOOGLETRANSLATE(B247,""ja"",""vi"")"),"Biwa")</f>
        <v>Biwa</v>
      </c>
      <c r="E247" s="4" t="str">
        <f ca="1">IFERROR(__xludf.DUMMYFUNCTION("GOOGLETRANSLATE(C247,""ja"",""vi"")"),"Đấu giá&gt; Sở thích, văn hóa&gt; công cụ và thiết bị âm nhạc&gt; nhạc cụ Nhật Bản&gt; Biwa")</f>
        <v>Đấu giá&gt; Sở thích, văn hóa&gt; công cụ và thiết bị âm nhạc&gt; nhạc cụ Nhật Bản&gt; Biwa</v>
      </c>
      <c r="F247" t="str">
        <f t="shared" ca="1" si="3"/>
        <v>"2084305875" : "Biwa",</v>
      </c>
    </row>
    <row r="248" spans="1:6" ht="15.75" customHeight="1">
      <c r="A248" s="14">
        <v>2084305874</v>
      </c>
      <c r="B248" s="14" t="s">
        <v>4685</v>
      </c>
      <c r="C248" s="14" t="s">
        <v>4872</v>
      </c>
      <c r="D248" s="5" t="str">
        <f ca="1">IFERROR(__xludf.DUMMYFUNCTION("GOOGLETRANSLATE(B248,""ja"",""vi"")"),"Taishogoto")</f>
        <v>Taishogoto</v>
      </c>
      <c r="E248" s="4" t="str">
        <f ca="1">IFERROR(__xludf.DUMMYFUNCTION("GOOGLETRANSLATE(C248,""ja"",""vi"")"),"Đấu giá&gt; Sở thích, văn hóa&gt; công cụ và thiết bị âm nhạc&gt; nhạc cụ Nhật Bản&gt; Taishogoto")</f>
        <v>Đấu giá&gt; Sở thích, văn hóa&gt; công cụ và thiết bị âm nhạc&gt; nhạc cụ Nhật Bản&gt; Taishogoto</v>
      </c>
      <c r="F248" t="str">
        <f t="shared" ca="1" si="3"/>
        <v>"2084305874" : "Taishogoto",</v>
      </c>
    </row>
    <row r="249" spans="1:6" ht="15.75" customHeight="1">
      <c r="A249" s="14">
        <v>2084305876</v>
      </c>
      <c r="B249" s="14" t="s">
        <v>4693</v>
      </c>
      <c r="C249" s="14" t="s">
        <v>4874</v>
      </c>
      <c r="D249" s="5" t="str">
        <f ca="1">IFERROR(__xludf.DUMMYFUNCTION("GOOGLETRANSLATE(B249,""ja"",""vi"")"),"Koto, đàn koto")</f>
        <v>Koto, đàn koto</v>
      </c>
      <c r="E249" s="4" t="str">
        <f ca="1">IFERROR(__xludf.DUMMYFUNCTION("GOOGLETRANSLATE(C249,""ja"",""vi"")"),"Đấu giá&gt; Sở thích, văn hóa&gt; công cụ và thiết bị âm nhạc&gt; Nhật nhạc cụ&gt; koto, koto")</f>
        <v>Đấu giá&gt; Sở thích, văn hóa&gt; công cụ và thiết bị âm nhạc&gt; Nhật nhạc cụ&gt; koto, koto</v>
      </c>
      <c r="F249" t="str">
        <f t="shared" ca="1" si="3"/>
        <v>"2084305876" : "Koto, đàn koto",</v>
      </c>
    </row>
    <row r="250" spans="1:6" ht="15.75" customHeight="1">
      <c r="A250" s="14">
        <v>2084201053</v>
      </c>
      <c r="B250" s="14" t="s">
        <v>4853</v>
      </c>
      <c r="C250" s="14" t="s">
        <v>4876</v>
      </c>
      <c r="D250" s="5" t="str">
        <f ca="1">IFERROR(__xludf.DUMMYFUNCTION("GOOGLETRANSLATE(B250,""ja"",""vi"")"),"trống Nhật Bản")</f>
        <v>trống Nhật Bản</v>
      </c>
      <c r="E250" s="4" t="str">
        <f ca="1">IFERROR(__xludf.DUMMYFUNCTION("GOOGLETRANSLATE(C250,""ja"",""vi"")"),"Đấu giá&gt; Sở thích, văn hóa&gt; công cụ và thiết bị âm nhạc&gt; nhạc cụ Nhật Bản&gt; Taiko")</f>
        <v>Đấu giá&gt; Sở thích, văn hóa&gt; công cụ và thiết bị âm nhạc&gt; nhạc cụ Nhật Bản&gt; Taiko</v>
      </c>
      <c r="F250" t="str">
        <f t="shared" ca="1" si="3"/>
        <v>"2084201053" : "trống Nhật Bản",</v>
      </c>
    </row>
    <row r="251" spans="1:6" ht="15.75" customHeight="1">
      <c r="A251" s="14">
        <v>2084305865</v>
      </c>
      <c r="B251" s="14" t="s">
        <v>4880</v>
      </c>
      <c r="C251" s="14" t="s">
        <v>4881</v>
      </c>
      <c r="D251" s="5" t="str">
        <f ca="1">IFERROR(__xludf.DUMMYFUNCTION("GOOGLETRANSLATE(B251,""ja"",""vi"")"),"trống tay")</f>
        <v>trống tay</v>
      </c>
      <c r="E251" s="4" t="str">
        <f ca="1">IFERROR(__xludf.DUMMYFUNCTION("GOOGLETRANSLATE(C251,""ja"",""vi"")"),"Đấu giá&gt; Sở thích, văn hóa&gt; công cụ và thiết bị âm nhạc&gt; nhạc cụ Nhật Bản&gt; Drum")</f>
        <v>Đấu giá&gt; Sở thích, văn hóa&gt; công cụ và thiết bị âm nhạc&gt; nhạc cụ Nhật Bản&gt; Drum</v>
      </c>
      <c r="F251" t="str">
        <f t="shared" ca="1" si="3"/>
        <v>"2084305865" : "trống tay",</v>
      </c>
    </row>
    <row r="252" spans="1:6" ht="15.75" customHeight="1">
      <c r="A252" s="14">
        <v>2084305884</v>
      </c>
      <c r="B252" s="14" t="s">
        <v>46</v>
      </c>
      <c r="C252" s="14" t="s">
        <v>4888</v>
      </c>
      <c r="D252" s="5" t="str">
        <f ca="1">IFERROR(__xludf.DUMMYFUNCTION("GOOGLETRANSLATE(B252,""ja"",""vi"")"),"nếu không thì")</f>
        <v>nếu không thì</v>
      </c>
      <c r="E252" s="4" t="str">
        <f ca="1">IFERROR(__xludf.DUMMYFUNCTION("GOOGLETRANSLATE(C252,""ja"",""vi"")"),"Đấu giá&gt; Sở thích, văn hóa&gt; Nhạc cụ và thiết bị&gt; nhạc cụ Nhật Bản&gt; Khác")</f>
        <v>Đấu giá&gt; Sở thích, văn hóa&gt; Nhạc cụ và thiết bị&gt; nhạc cụ Nhật Bản&gt; Khác</v>
      </c>
      <c r="F252" t="str">
        <f t="shared" ca="1" si="3"/>
        <v>"2084305884" : "nếu không thì",</v>
      </c>
    </row>
    <row r="253" spans="1:6" ht="15.75" customHeight="1">
      <c r="A253" s="14">
        <v>2084305768</v>
      </c>
      <c r="B253" s="14" t="s">
        <v>4892</v>
      </c>
      <c r="C253" s="14" t="s">
        <v>4893</v>
      </c>
      <c r="D253" s="5" t="str">
        <f ca="1">IFERROR(__xludf.DUMMYFUNCTION("GOOGLETRANSLATE(B253,""ja"",""vi"")"),"DI (hộp trực tiếp)")</f>
        <v>DI (hộp trực tiếp)</v>
      </c>
      <c r="E253" s="4" t="str">
        <f ca="1">IFERROR(__xludf.DUMMYFUNCTION("GOOGLETRANSLATE(C253,""ja"",""vi"")"),"Đấu giá&gt; Sở thích, văn hóa&gt; nhạc cụ, thiết bị&gt; ghi âm, thiết bị PA&gt; DI (hộp trực tiếp)")</f>
        <v>Đấu giá&gt; Sở thích, văn hóa&gt; nhạc cụ, thiết bị&gt; ghi âm, thiết bị PA&gt; DI (hộp trực tiếp)</v>
      </c>
      <c r="F253" t="str">
        <f t="shared" ca="1" si="3"/>
        <v>"2084305768" : "DI (hộp trực tiếp)",</v>
      </c>
    </row>
    <row r="254" spans="1:6" ht="15.75" customHeight="1">
      <c r="A254" s="14">
        <v>2084305769</v>
      </c>
      <c r="B254" s="14" t="s">
        <v>4895</v>
      </c>
      <c r="C254" s="14" t="s">
        <v>4897</v>
      </c>
      <c r="D254" s="5" t="str">
        <f ca="1">IFERROR(__xludf.DUMMYFUNCTION("GOOGLETRANSLATE(B254,""ja"",""vi"")"),"equalizer")</f>
        <v>equalizer</v>
      </c>
      <c r="E254" s="4" t="str">
        <f ca="1">IFERROR(__xludf.DUMMYFUNCTION("GOOGLETRANSLATE(C254,""ja"",""vi"")"),"Đấu giá&gt; Sở thích, văn hóa&gt; nhạc cụ, thiết bị&gt; ghi âm, thiết bị PA&gt; equalizer")</f>
        <v>Đấu giá&gt; Sở thích, văn hóa&gt; nhạc cụ, thiết bị&gt; ghi âm, thiết bị PA&gt; equalizer</v>
      </c>
      <c r="F254" t="str">
        <f t="shared" ca="1" si="3"/>
        <v>"2084305769" : "equalizer",</v>
      </c>
    </row>
    <row r="255" spans="1:6" ht="15.75" customHeight="1">
      <c r="A255" s="14">
        <v>2084019011</v>
      </c>
      <c r="B255" s="14" t="s">
        <v>4899</v>
      </c>
      <c r="C255" s="14" t="s">
        <v>4900</v>
      </c>
      <c r="D255" s="5" t="str">
        <f ca="1">IFERROR(__xludf.DUMMYFUNCTION("GOOGLETRANSLATE(B255,""ja"",""vi"")"),"effector")</f>
        <v>effector</v>
      </c>
      <c r="E255" s="4" t="str">
        <f ca="1">IFERROR(__xludf.DUMMYFUNCTION("GOOGLETRANSLATE(C255,""ja"",""vi"")"),"Đấu giá&gt; Sở thích, văn hóa&gt; nhạc cụ, thiết bị&gt; ghi âm, thiết bị PA&gt; effector")</f>
        <v>Đấu giá&gt; Sở thích, văn hóa&gt; nhạc cụ, thiết bị&gt; ghi âm, thiết bị PA&gt; effector</v>
      </c>
      <c r="F255" t="str">
        <f t="shared" ca="1" si="3"/>
        <v>"2084019011" : "effector",</v>
      </c>
    </row>
    <row r="256" spans="1:6" ht="15.75" customHeight="1">
      <c r="A256" s="14">
        <v>2084305770</v>
      </c>
      <c r="B256" s="14" t="s">
        <v>4903</v>
      </c>
      <c r="C256" s="14" t="s">
        <v>4904</v>
      </c>
      <c r="D256" s="5" t="str">
        <f ca="1">IFERROR(__xludf.DUMMYFUNCTION("GOOGLETRANSLATE(B256,""ja"",""vi"")"),"chất hỗ trợ")</f>
        <v>chất hỗ trợ</v>
      </c>
      <c r="E256" s="4" t="str">
        <f ca="1">IFERROR(__xludf.DUMMYFUNCTION("GOOGLETRANSLATE(C256,""ja"",""vi"")"),"Đấu giá&gt; Sở thích, văn hóa&gt; nhạc cụ, thiết bị&gt; ghi âm, thiết bị PA&gt; Enhancer")</f>
        <v>Đấu giá&gt; Sở thích, văn hóa&gt; nhạc cụ, thiết bị&gt; ghi âm, thiết bị PA&gt; Enhancer</v>
      </c>
      <c r="F256" t="str">
        <f t="shared" ca="1" si="3"/>
        <v>"2084305770" : "chất hỗ trợ",</v>
      </c>
    </row>
    <row r="257" spans="1:6" ht="15.75" customHeight="1">
      <c r="A257" s="14">
        <v>2084305771</v>
      </c>
      <c r="B257" s="14" t="s">
        <v>4908</v>
      </c>
      <c r="C257" s="14" t="s">
        <v>4910</v>
      </c>
      <c r="D257" s="5" t="str">
        <f ca="1">IFERROR(__xludf.DUMMYFUNCTION("GOOGLETRANSLATE(B257,""ja"",""vi"")"),"Crossover")</f>
        <v>Crossover</v>
      </c>
      <c r="E257" s="4" t="str">
        <f ca="1">IFERROR(__xludf.DUMMYFUNCTION("GOOGLETRANSLATE(C257,""ja"",""vi"")"),"Đấu giá&gt; Sở thích, văn hóa&gt; nhạc cụ, thiết bị&gt; ghi âm, thiết bị PA&gt; chéo")</f>
        <v>Đấu giá&gt; Sở thích, văn hóa&gt; nhạc cụ, thiết bị&gt; ghi âm, thiết bị PA&gt; chéo</v>
      </c>
      <c r="F257" t="str">
        <f t="shared" ca="1" si="3"/>
        <v>"2084305771" : "Crossover",</v>
      </c>
    </row>
    <row r="258" spans="1:6" ht="15.75" customHeight="1">
      <c r="A258" s="14">
        <v>2084305772</v>
      </c>
      <c r="B258" s="14" t="s">
        <v>4914</v>
      </c>
      <c r="C258" s="14" t="s">
        <v>4915</v>
      </c>
      <c r="D258" s="5" t="str">
        <f ca="1">IFERROR(__xludf.DUMMYFUNCTION("GOOGLETRANSLATE(B258,""ja"",""vi"")"),"Cáp, đầu nối")</f>
        <v>Cáp, đầu nối</v>
      </c>
      <c r="E258" s="4" t="str">
        <f ca="1">IFERROR(__xludf.DUMMYFUNCTION("GOOGLETRANSLATE(C258,""ja"",""vi"")"),"Đấu giá&gt; Sở thích, văn hóa&gt; nhạc cụ, thiết bị&gt; ghi âm, thiết bị PA&gt; cáp, đầu nối")</f>
        <v>Đấu giá&gt; Sở thích, văn hóa&gt; nhạc cụ, thiết bị&gt; ghi âm, thiết bị PA&gt; cáp, đầu nối</v>
      </c>
      <c r="F258" t="str">
        <f t="shared" ref="F258:F321" ca="1" si="4">CONCATENATE(CHAR(34)&amp;"",A258,""&amp;CHAR(34)," : ", CHAR(34)&amp;"",D258,""&amp;CHAR(34),",")</f>
        <v>"2084305772" : "Cáp, đầu nối",</v>
      </c>
    </row>
    <row r="259" spans="1:6" ht="15.75" customHeight="1">
      <c r="A259" s="14">
        <v>2084305777</v>
      </c>
      <c r="B259" s="14" t="s">
        <v>4919</v>
      </c>
      <c r="C259" s="14" t="s">
        <v>4920</v>
      </c>
      <c r="D259" s="5" t="str">
        <f ca="1">IFERROR(__xludf.DUMMYFUNCTION("GOOGLETRANSLATE(B259,""ja"",""vi"")"),"máy ép")</f>
        <v>máy ép</v>
      </c>
      <c r="E259" s="4" t="str">
        <f ca="1">IFERROR(__xludf.DUMMYFUNCTION("GOOGLETRANSLATE(C259,""ja"",""vi"")"),"Đấu giá&gt; Sở thích, văn hóa&gt; nhạc cụ, thiết bị&gt; ghi âm, thiết bị PA&gt; nén")</f>
        <v>Đấu giá&gt; Sở thích, văn hóa&gt; nhạc cụ, thiết bị&gt; ghi âm, thiết bị PA&gt; nén</v>
      </c>
      <c r="F259" t="str">
        <f t="shared" ca="1" si="4"/>
        <v>"2084305777" : "máy ép",</v>
      </c>
    </row>
    <row r="260" spans="1:6" ht="15.75" customHeight="1">
      <c r="A260" s="14">
        <v>2084305778</v>
      </c>
      <c r="B260" s="14" t="s">
        <v>2654</v>
      </c>
      <c r="C260" s="14" t="s">
        <v>4923</v>
      </c>
      <c r="D260" s="5" t="str">
        <f ca="1">IFERROR(__xludf.DUMMYFUNCTION("GOOGLETRANSLATE(B260,""ja"",""vi"")"),"loa")</f>
        <v>loa</v>
      </c>
      <c r="E260" s="4" t="str">
        <f ca="1">IFERROR(__xludf.DUMMYFUNCTION("GOOGLETRANSLATE(C260,""ja"",""vi"")"),"Đấu giá&gt; Sở thích, văn hóa&gt; nhạc cụ, thiết bị&gt; ghi âm, PA thiết bị&gt; Loa")</f>
        <v>Đấu giá&gt; Sở thích, văn hóa&gt; nhạc cụ, thiết bị&gt; ghi âm, PA thiết bị&gt; Loa</v>
      </c>
      <c r="F260" t="str">
        <f t="shared" ca="1" si="4"/>
        <v>"2084305778" : "loa",</v>
      </c>
    </row>
    <row r="261" spans="1:6" ht="15.75" customHeight="1">
      <c r="A261" s="14">
        <v>2084305792</v>
      </c>
      <c r="B261" s="14" t="s">
        <v>2834</v>
      </c>
      <c r="C261" s="14" t="s">
        <v>4927</v>
      </c>
      <c r="D261" s="5" t="str">
        <f ca="1">IFERROR(__xludf.DUMMYFUNCTION("GOOGLETRANSLATE(B261,""ja"",""vi"")"),"cáp loa")</f>
        <v>cáp loa</v>
      </c>
      <c r="E261" s="4" t="str">
        <f ca="1">IFERROR(__xludf.DUMMYFUNCTION("GOOGLETRANSLATE(C261,""ja"",""vi"")"),"Đấu giá&gt; Sở thích, văn hóa&gt; nhạc cụ, thiết bị&gt; ghi âm, thiết bị PA&gt; cáp loa")</f>
        <v>Đấu giá&gt; Sở thích, văn hóa&gt; nhạc cụ, thiết bị&gt; ghi âm, thiết bị PA&gt; cáp loa</v>
      </c>
      <c r="F261" t="str">
        <f t="shared" ca="1" si="4"/>
        <v>"2084305792" : "cáp loa",</v>
      </c>
    </row>
    <row r="262" spans="1:6" ht="15.75" customHeight="1">
      <c r="A262" s="14">
        <v>2084305781</v>
      </c>
      <c r="B262" s="14" t="s">
        <v>4930</v>
      </c>
      <c r="C262" s="14" t="s">
        <v>4933</v>
      </c>
      <c r="D262" s="5" t="str">
        <f ca="1">IFERROR(__xludf.DUMMYFUNCTION("GOOGLETRANSLATE(B262,""ja"",""vi"")"),"xử lý năng động")</f>
        <v>xử lý năng động</v>
      </c>
      <c r="E262" s="4" t="str">
        <f ca="1">IFERROR(__xludf.DUMMYFUNCTION("GOOGLETRANSLATE(C262,""ja"",""vi"")"),"Đấu giá&gt; Sở thích, văn hóa&gt; nhạc cụ, thiết bị&gt; ghi âm, thiết bị PA&gt; xử lý năng động")</f>
        <v>Đấu giá&gt; Sở thích, văn hóa&gt; nhạc cụ, thiết bị&gt; ghi âm, thiết bị PA&gt; xử lý năng động</v>
      </c>
      <c r="F262" t="str">
        <f t="shared" ca="1" si="4"/>
        <v>"2084305781" : "xử lý năng động",</v>
      </c>
    </row>
    <row r="263" spans="1:6" ht="15.75" customHeight="1">
      <c r="A263" s="14">
        <v>2084305783</v>
      </c>
      <c r="B263" s="14" t="s">
        <v>4936</v>
      </c>
      <c r="C263" s="14" t="s">
        <v>4937</v>
      </c>
      <c r="D263" s="5" t="str">
        <f ca="1">IFERROR(__xludf.DUMMYFUNCTION("GOOGLETRANSLATE(B263,""ja"",""vi"")"),"tiếng ồn Cổng")</f>
        <v>tiếng ồn Cổng</v>
      </c>
      <c r="E263" s="4" t="str">
        <f ca="1">IFERROR(__xludf.DUMMYFUNCTION("GOOGLETRANSLATE(C263,""ja"",""vi"")"),"Đấu giá&gt; Sở thích, văn hóa&gt; nhạc cụ, thiết bị&gt; ghi âm, thiết bị PA&gt; cổng tiếng ồn")</f>
        <v>Đấu giá&gt; Sở thích, văn hóa&gt; nhạc cụ, thiết bị&gt; ghi âm, thiết bị PA&gt; cổng tiếng ồn</v>
      </c>
      <c r="F263" t="str">
        <f t="shared" ca="1" si="4"/>
        <v>"2084305783" : "tiếng ồn Cổng",</v>
      </c>
    </row>
    <row r="264" spans="1:6" ht="15.75" customHeight="1">
      <c r="A264" s="14">
        <v>2084024108</v>
      </c>
      <c r="B264" s="14" t="s">
        <v>4939</v>
      </c>
      <c r="C264" s="14" t="s">
        <v>4941</v>
      </c>
      <c r="D264" s="5" t="str">
        <f ca="1">IFERROR(__xludf.DUMMYFUNCTION("GOOGLETRANSLATE(B264,""ja"",""vi"")"),"Handy Recorder")</f>
        <v>Handy Recorder</v>
      </c>
      <c r="E264" s="4" t="str">
        <f ca="1">IFERROR(__xludf.DUMMYFUNCTION("GOOGLETRANSLATE(C264,""ja"",""vi"")"),"Đấu giá&gt; Sở thích, văn hóa&gt; nhạc cụ, thiết bị&gt; ghi âm, PA thiết bị&gt; Handy Recorder")</f>
        <v>Đấu giá&gt; Sở thích, văn hóa&gt; nhạc cụ, thiết bị&gt; ghi âm, PA thiết bị&gt; Handy Recorder</v>
      </c>
      <c r="F264" t="str">
        <f t="shared" ca="1" si="4"/>
        <v>"2084024108" : "Handy Recorder",</v>
      </c>
    </row>
    <row r="265" spans="1:6" ht="15.75" customHeight="1">
      <c r="A265" s="14">
        <v>2084305784</v>
      </c>
      <c r="B265" s="14" t="s">
        <v>4943</v>
      </c>
      <c r="C265" s="14" t="s">
        <v>4944</v>
      </c>
      <c r="D265" s="5" t="str">
        <f ca="1">IFERROR(__xludf.DUMMYFUNCTION("GOOGLETRANSLATE(B265,""ja"",""vi"")"),"vịnh")</f>
        <v>vịnh</v>
      </c>
      <c r="E265" s="4" t="str">
        <f ca="1">IFERROR(__xludf.DUMMYFUNCTION("GOOGLETRANSLATE(C265,""ja"",""vi"")"),"Đấu giá&gt; Sở thích, văn hóa&gt; nhạc cụ, thiết bị&gt; ghi âm, thiết bị PA&gt; vịnh vá")</f>
        <v>Đấu giá&gt; Sở thích, văn hóa&gt; nhạc cụ, thiết bị&gt; ghi âm, thiết bị PA&gt; vịnh vá</v>
      </c>
      <c r="F265" t="str">
        <f t="shared" ca="1" si="4"/>
        <v>"2084305784" : "vịnh",</v>
      </c>
    </row>
    <row r="266" spans="1:6" ht="15.75" customHeight="1">
      <c r="A266" s="14">
        <v>2084305785</v>
      </c>
      <c r="B266" s="14" t="s">
        <v>4948</v>
      </c>
      <c r="C266" s="14" t="s">
        <v>4950</v>
      </c>
      <c r="D266" s="5" t="str">
        <f ca="1">IFERROR(__xludf.DUMMYFUNCTION("GOOGLETRANSLATE(B266,""ja"",""vi"")"),"Power Amplifier")</f>
        <v>Power Amplifier</v>
      </c>
      <c r="E266" s="4" t="str">
        <f ca="1">IFERROR(__xludf.DUMMYFUNCTION("GOOGLETRANSLATE(C266,""ja"",""vi"")"),"Đấu giá&gt; Sở thích, văn hóa&gt; nhạc cụ, thiết bị&gt; ghi âm, PA thiết bị&gt; Power Amplifier")</f>
        <v>Đấu giá&gt; Sở thích, văn hóa&gt; nhạc cụ, thiết bị&gt; ghi âm, PA thiết bị&gt; Power Amplifier</v>
      </c>
      <c r="F266" t="str">
        <f t="shared" ca="1" si="4"/>
        <v>"2084305785" : "Power Amplifier",</v>
      </c>
    </row>
    <row r="267" spans="1:6" ht="15.75" customHeight="1">
      <c r="A267" s="14">
        <v>2084305787</v>
      </c>
      <c r="B267" s="14" t="s">
        <v>4951</v>
      </c>
      <c r="C267" s="14" t="s">
        <v>4952</v>
      </c>
      <c r="D267" s="5" t="str">
        <f ca="1">IFERROR(__xludf.DUMMYFUNCTION("GOOGLETRANSLATE(B267,""ja"",""vi"")"),"làm biếng")</f>
        <v>làm biếng</v>
      </c>
      <c r="E267" s="4" t="str">
        <f ca="1">IFERROR(__xludf.DUMMYFUNCTION("GOOGLETRANSLATE(C267,""ja"",""vi"")"),"Đấu giá&gt; Sở thích, văn hóa&gt; nhạc cụ, thiết bị&gt; ghi âm, thiết bị PA&gt; microphone")</f>
        <v>Đấu giá&gt; Sở thích, văn hóa&gt; nhạc cụ, thiết bị&gt; ghi âm, thiết bị PA&gt; microphone</v>
      </c>
      <c r="F267" t="str">
        <f t="shared" ca="1" si="4"/>
        <v>"2084305787" : "làm biếng",</v>
      </c>
    </row>
    <row r="268" spans="1:6" ht="15.75" customHeight="1">
      <c r="A268" s="14">
        <v>2084305797</v>
      </c>
      <c r="B268" s="14" t="s">
        <v>4955</v>
      </c>
      <c r="C268" s="14" t="s">
        <v>4957</v>
      </c>
      <c r="D268" s="5" t="str">
        <f ca="1">IFERROR(__xludf.DUMMYFUNCTION("GOOGLETRANSLATE(B268,""ja"",""vi"")"),"micro đứng")</f>
        <v>micro đứng</v>
      </c>
      <c r="E268" s="4" t="str">
        <f ca="1">IFERROR(__xludf.DUMMYFUNCTION("GOOGLETRANSLATE(C268,""ja"",""vi"")"),"Đấu giá&gt; Sở thích, văn hóa&gt; nhạc cụ, thiết bị&gt; ghi âm, thiết bị PA&gt; micro đứng")</f>
        <v>Đấu giá&gt; Sở thích, văn hóa&gt; nhạc cụ, thiết bị&gt; ghi âm, thiết bị PA&gt; micro đứng</v>
      </c>
      <c r="F268" t="str">
        <f t="shared" ca="1" si="4"/>
        <v>"2084305797" : "micro đứng",</v>
      </c>
    </row>
    <row r="269" spans="1:6" ht="15.75" customHeight="1">
      <c r="A269" s="14">
        <v>2084305798</v>
      </c>
      <c r="B269" s="14" t="s">
        <v>4961</v>
      </c>
      <c r="C269" s="14" t="s">
        <v>4963</v>
      </c>
      <c r="D269" s="5" t="str">
        <f ca="1">IFERROR(__xludf.DUMMYFUNCTION("GOOGLETRANSLATE(B269,""ja"",""vi"")"),"tiền khuyếch đại mic")</f>
        <v>tiền khuyếch đại mic</v>
      </c>
      <c r="E269" s="4" t="str">
        <f ca="1">IFERROR(__xludf.DUMMYFUNCTION("GOOGLETRANSLATE(C269,""ja"",""vi"")"),"Đấu giá&gt; Sở thích, văn hóa&gt; nhạc cụ, thiết bị&gt; ghi âm, thiết bị PA&gt; tiền khuyếch đại mic")</f>
        <v>Đấu giá&gt; Sở thích, văn hóa&gt; nhạc cụ, thiết bị&gt; ghi âm, thiết bị PA&gt; tiền khuyếch đại mic</v>
      </c>
      <c r="F269" t="str">
        <f t="shared" ca="1" si="4"/>
        <v>"2084305798" : "tiền khuyếch đại mic",</v>
      </c>
    </row>
    <row r="270" spans="1:6" ht="15.75" customHeight="1">
      <c r="A270" s="14">
        <v>2084019012</v>
      </c>
      <c r="B270" s="14" t="s">
        <v>4966</v>
      </c>
      <c r="C270" s="14" t="s">
        <v>4968</v>
      </c>
      <c r="D270" s="5" t="str">
        <f ca="1">IFERROR(__xludf.DUMMYFUNCTION("GOOGLETRANSLATE(B270,""ja"",""vi"")"),"Multi-track ghi âm")</f>
        <v>Multi-track ghi âm</v>
      </c>
      <c r="E270" s="4" t="str">
        <f ca="1">IFERROR(__xludf.DUMMYFUNCTION("GOOGLETRANSLATE(C270,""ja"",""vi"")"),"Đấu giá&gt; Sở thích, văn hóa&gt; nhạc cụ, thiết bị&gt; ghi âm, thiết bị PA&gt; Máy ghi multitrack")</f>
        <v>Đấu giá&gt; Sở thích, văn hóa&gt; nhạc cụ, thiết bị&gt; ghi âm, thiết bị PA&gt; Máy ghi multitrack</v>
      </c>
      <c r="F270" t="str">
        <f t="shared" ca="1" si="4"/>
        <v>"2084019012" : "Multi-track ghi âm",</v>
      </c>
    </row>
    <row r="271" spans="1:6" ht="15.75" customHeight="1">
      <c r="A271" s="14">
        <v>2084019013</v>
      </c>
      <c r="B271" s="14" t="s">
        <v>3795</v>
      </c>
      <c r="C271" s="14" t="s">
        <v>4974</v>
      </c>
      <c r="D271" s="5" t="str">
        <f ca="1">IFERROR(__xludf.DUMMYFUNCTION("GOOGLETRANSLATE(B271,""ja"",""vi"")"),"máy trộn")</f>
        <v>máy trộn</v>
      </c>
      <c r="E271" s="4" t="str">
        <f ca="1">IFERROR(__xludf.DUMMYFUNCTION("GOOGLETRANSLATE(C271,""ja"",""vi"")"),"Đấu giá&gt; Sở thích, văn hóa&gt; nhạc cụ, thiết bị&gt; ghi âm, thiết bị PA&gt; máy trộn")</f>
        <v>Đấu giá&gt; Sở thích, văn hóa&gt; nhạc cụ, thiết bị&gt; ghi âm, thiết bị PA&gt; máy trộn</v>
      </c>
      <c r="F271" t="str">
        <f t="shared" ca="1" si="4"/>
        <v>"2084019013" : "máy trộn",</v>
      </c>
    </row>
    <row r="272" spans="1:6" ht="15.75" customHeight="1">
      <c r="A272" s="14">
        <v>2084305800</v>
      </c>
      <c r="B272" s="14" t="s">
        <v>4979</v>
      </c>
      <c r="C272" s="14" t="s">
        <v>4980</v>
      </c>
      <c r="D272" s="5" t="str">
        <f ca="1">IFERROR(__xludf.DUMMYFUNCTION("GOOGLETRANSLATE(B272,""ja"",""vi"")"),"reverb")</f>
        <v>reverb</v>
      </c>
      <c r="E272" s="4" t="str">
        <f ca="1">IFERROR(__xludf.DUMMYFUNCTION("GOOGLETRANSLATE(C272,""ja"",""vi"")"),"Đấu giá&gt; Sở thích, văn hóa&gt; nhạc cụ, thiết bị&gt; ghi âm, thiết bị PA&gt; reverb")</f>
        <v>Đấu giá&gt; Sở thích, văn hóa&gt; nhạc cụ, thiết bị&gt; ghi âm, thiết bị PA&gt; reverb</v>
      </c>
      <c r="F272" t="str">
        <f t="shared" ca="1" si="4"/>
        <v>"2084305800" : "reverb",</v>
      </c>
    </row>
    <row r="273" spans="1:6" ht="15.75" customHeight="1">
      <c r="A273" s="14">
        <v>2084305801</v>
      </c>
      <c r="B273" s="14" t="s">
        <v>4984</v>
      </c>
      <c r="C273" s="14" t="s">
        <v>4986</v>
      </c>
      <c r="D273" s="5" t="str">
        <f ca="1">IFERROR(__xludf.DUMMYFUNCTION("GOOGLETRANSLATE(B273,""ja"",""vi"")"),"cáp điện")</f>
        <v>cáp điện</v>
      </c>
      <c r="E273" s="4" t="str">
        <f ca="1">IFERROR(__xludf.DUMMYFUNCTION("GOOGLETRANSLATE(C273,""ja"",""vi"")"),"Đấu giá&gt; Sở thích, văn hóa&gt; nhạc cụ, thiết bị&gt; ghi âm, thiết bị PA&gt; cáp điện")</f>
        <v>Đấu giá&gt; Sở thích, văn hóa&gt; nhạc cụ, thiết bị&gt; ghi âm, thiết bị PA&gt; cáp điện</v>
      </c>
      <c r="F273" t="str">
        <f t="shared" ca="1" si="4"/>
        <v>"2084305801" : "cáp điện",</v>
      </c>
    </row>
    <row r="274" spans="1:6" ht="15.75" customHeight="1">
      <c r="A274" s="14">
        <v>23804</v>
      </c>
      <c r="B274" s="14" t="s">
        <v>4403</v>
      </c>
      <c r="C274" s="14" t="s">
        <v>4990</v>
      </c>
      <c r="D274" s="5" t="str">
        <f ca="1">IFERROR(__xludf.DUMMYFUNCTION("GOOGLETRANSLATE(B274,""ja"",""vi"")"),"Tai nghe, tai nghe")</f>
        <v>Tai nghe, tai nghe</v>
      </c>
      <c r="E274" s="4" t="str">
        <f ca="1">IFERROR(__xludf.DUMMYFUNCTION("GOOGLETRANSLATE(C274,""ja"",""vi"")"),"Đấu giá&gt; Sở thích, văn hóa&gt; nhạc cụ, thiết bị&gt; ghi âm, thiết bị PA&gt; tai nghe, tai nghe")</f>
        <v>Đấu giá&gt; Sở thích, văn hóa&gt; nhạc cụ, thiết bị&gt; ghi âm, thiết bị PA&gt; tai nghe, tai nghe</v>
      </c>
      <c r="F274" t="str">
        <f t="shared" ca="1" si="4"/>
        <v>"23804" : "Tai nghe, tai nghe",</v>
      </c>
    </row>
    <row r="275" spans="1:6" ht="15.75" customHeight="1">
      <c r="A275" s="14">
        <v>2084305799</v>
      </c>
      <c r="B275" s="14" t="s">
        <v>4993</v>
      </c>
      <c r="C275" s="14" t="s">
        <v>4995</v>
      </c>
      <c r="D275" s="5" t="str">
        <f ca="1">IFERROR(__xludf.DUMMYFUNCTION("GOOGLETRANSLATE(B275,""ja"",""vi"")"),"Rack, Rack trường hợp")</f>
        <v>Rack, Rack trường hợp</v>
      </c>
      <c r="E275" s="4" t="str">
        <f ca="1">IFERROR(__xludf.DUMMYFUNCTION("GOOGLETRANSLATE(C275,""ja"",""vi"")"),"Đấu giá&gt; Sở thích, văn hóa&gt; nhạc cụ, thiết bị&gt; ghi âm, thiết bị PA&gt; rack, trường hợp giá")</f>
        <v>Đấu giá&gt; Sở thích, văn hóa&gt; nhạc cụ, thiết bị&gt; ghi âm, thiết bị PA&gt; rack, trường hợp giá</v>
      </c>
      <c r="F275" t="str">
        <f t="shared" ca="1" si="4"/>
        <v>"2084305799" : "Rack, Rack trường hợp",</v>
      </c>
    </row>
    <row r="276" spans="1:6" ht="15.75" customHeight="1">
      <c r="A276" s="14">
        <v>2084019014</v>
      </c>
      <c r="B276" s="14" t="s">
        <v>46</v>
      </c>
      <c r="C276" s="14" t="s">
        <v>5001</v>
      </c>
      <c r="D276" s="5" t="str">
        <f ca="1">IFERROR(__xludf.DUMMYFUNCTION("GOOGLETRANSLATE(B276,""ja"",""vi"")"),"nếu không thì")</f>
        <v>nếu không thì</v>
      </c>
      <c r="E276" s="4" t="str">
        <f ca="1">IFERROR(__xludf.DUMMYFUNCTION("GOOGLETRANSLATE(C276,""ja"",""vi"")"),"Đấu giá&gt; Sở thích, văn hóa&gt; nhạc cụ, thiết bị&gt; ghi âm, PA thiết bị&gt; Khác")</f>
        <v>Đấu giá&gt; Sở thích, văn hóa&gt; nhạc cụ, thiết bị&gt; ghi âm, PA thiết bị&gt; Khác</v>
      </c>
      <c r="F276" t="str">
        <f t="shared" ca="1" si="4"/>
        <v>"2084019014" : "nếu không thì",</v>
      </c>
    </row>
    <row r="277" spans="1:6" ht="15.75" customHeight="1">
      <c r="A277" s="14">
        <v>2084261083</v>
      </c>
      <c r="B277" s="14" t="s">
        <v>2697</v>
      </c>
      <c r="C277" s="14" t="s">
        <v>2699</v>
      </c>
      <c r="D277" s="5" t="str">
        <f ca="1">IFERROR(__xludf.DUMMYFUNCTION("GOOGLETRANSLATE(B277,""ja"",""vi"")"),"CDJ")</f>
        <v>CDJ</v>
      </c>
      <c r="E277" s="4" t="str">
        <f ca="1">IFERROR(__xludf.DUMMYFUNCTION("GOOGLETRANSLATE(C277,""ja"",""vi"")"),"Đấu giá&gt; Sở thích, văn hóa&gt; nhạc cụ, thiết bị&gt; Thiết bị DJ&gt; CDJ")</f>
        <v>Đấu giá&gt; Sở thích, văn hóa&gt; nhạc cụ, thiết bị&gt; Thiết bị DJ&gt; CDJ</v>
      </c>
      <c r="F277" t="str">
        <f t="shared" ca="1" si="4"/>
        <v>"2084261083" : "CDJ",</v>
      </c>
    </row>
    <row r="278" spans="1:6" ht="15.75" customHeight="1">
      <c r="A278" s="14">
        <v>2084261082</v>
      </c>
      <c r="B278" s="14" t="s">
        <v>2703</v>
      </c>
      <c r="C278" s="14" t="s">
        <v>2707</v>
      </c>
      <c r="D278" s="5" t="str">
        <f ca="1">IFERROR(__xludf.DUMMYFUNCTION("GOOGLETRANSLATE(B278,""ja"",""vi"")"),"DJ mixer")</f>
        <v>DJ mixer</v>
      </c>
      <c r="E278" s="4" t="str">
        <f ca="1">IFERROR(__xludf.DUMMYFUNCTION("GOOGLETRANSLATE(C278,""ja"",""vi"")"),"Đấu giá&gt; Sở thích, văn hóa&gt; nhạc cụ, thiết bị&gt; Thiết bị DJ&gt; DJ mixer")</f>
        <v>Đấu giá&gt; Sở thích, văn hóa&gt; nhạc cụ, thiết bị&gt; Thiết bị DJ&gt; DJ mixer</v>
      </c>
      <c r="F278" t="str">
        <f t="shared" ca="1" si="4"/>
        <v>"2084261082" : "DJ mixer",</v>
      </c>
    </row>
    <row r="279" spans="1:6" ht="15.75" customHeight="1">
      <c r="A279" s="14">
        <v>2084305407</v>
      </c>
      <c r="B279" s="14" t="s">
        <v>2710</v>
      </c>
      <c r="C279" s="14" t="s">
        <v>2712</v>
      </c>
      <c r="D279" s="5" t="str">
        <f ca="1">IFERROR(__xludf.DUMMYFUNCTION("GOOGLETRANSLATE(B279,""ja"",""vi"")"),"DJ effector")</f>
        <v>DJ effector</v>
      </c>
      <c r="E279" s="4" t="str">
        <f ca="1">IFERROR(__xludf.DUMMYFUNCTION("GOOGLETRANSLATE(C279,""ja"",""vi"")"),"Đấu giá&gt; Sở thích, văn hóa&gt; nhạc cụ, thiết bị&gt; Thiết bị DJ&gt; DJ effector")</f>
        <v>Đấu giá&gt; Sở thích, văn hóa&gt; nhạc cụ, thiết bị&gt; Thiết bị DJ&gt; DJ effector</v>
      </c>
      <c r="F279" t="str">
        <f t="shared" ca="1" si="4"/>
        <v>"2084305407" : "DJ effector",</v>
      </c>
    </row>
    <row r="280" spans="1:6" ht="15.75" customHeight="1">
      <c r="A280" s="14">
        <v>2084305408</v>
      </c>
      <c r="B280" s="14" t="s">
        <v>2715</v>
      </c>
      <c r="C280" s="14" t="s">
        <v>2716</v>
      </c>
      <c r="D280" s="5" t="str">
        <f ca="1">IFERROR(__xludf.DUMMYFUNCTION("GOOGLETRANSLATE(B280,""ja"",""vi"")"),"DJ điều khiển")</f>
        <v>DJ điều khiển</v>
      </c>
      <c r="E280" s="4" t="str">
        <f ca="1">IFERROR(__xludf.DUMMYFUNCTION("GOOGLETRANSLATE(C280,""ja"",""vi"")"),"Đấu giá&gt; Sở thích, văn hóa&gt; nhạc cụ, thiết bị&gt; Thiết bị DJ&gt; DJ điều khiển")</f>
        <v>Đấu giá&gt; Sở thích, văn hóa&gt; nhạc cụ, thiết bị&gt; Thiết bị DJ&gt; DJ điều khiển</v>
      </c>
      <c r="F280" t="str">
        <f t="shared" ca="1" si="4"/>
        <v>"2084305408" : "DJ điều khiển",</v>
      </c>
    </row>
    <row r="281" spans="1:6" ht="15.75" customHeight="1">
      <c r="A281" s="14">
        <v>2084305410</v>
      </c>
      <c r="B281" s="14" t="s">
        <v>2721</v>
      </c>
      <c r="C281" s="14" t="s">
        <v>2722</v>
      </c>
      <c r="D281" s="5" t="str">
        <f ca="1">IFERROR(__xludf.DUMMYFUNCTION("GOOGLETRANSLATE(B281,""ja"",""vi"")"),"PCDJ")</f>
        <v>PCDJ</v>
      </c>
      <c r="E281" s="4" t="str">
        <f ca="1">IFERROR(__xludf.DUMMYFUNCTION("GOOGLETRANSLATE(C281,""ja"",""vi"")"),"Đấu giá&gt; Sở thích, văn hóa&gt; nhạc cụ, thiết bị&gt; Thiết bị DJ&gt; PCDJ")</f>
        <v>Đấu giá&gt; Sở thích, văn hóa&gt; nhạc cụ, thiết bị&gt; Thiết bị DJ&gt; PCDJ</v>
      </c>
      <c r="F281" t="str">
        <f t="shared" ca="1" si="4"/>
        <v>"2084305410" : "PCDJ",</v>
      </c>
    </row>
    <row r="282" spans="1:6" ht="15.75" customHeight="1">
      <c r="A282" s="14">
        <v>2084305418</v>
      </c>
      <c r="B282" s="14" t="s">
        <v>2727</v>
      </c>
      <c r="C282" s="14" t="s">
        <v>2728</v>
      </c>
      <c r="D282" s="5" t="str">
        <f ca="1">IFERROR(__xludf.DUMMYFUNCTION("GOOGLETRANSLATE(B282,""ja"",""vi"")"),"turntable")</f>
        <v>turntable</v>
      </c>
      <c r="E282" s="4" t="str">
        <f ca="1">IFERROR(__xludf.DUMMYFUNCTION("GOOGLETRANSLATE(C282,""ja"",""vi"")"),"Đấu giá&gt; Sở thích, văn hóa&gt; nhạc cụ, thiết bị&gt; Thiết bị DJ&gt; bàn xoay")</f>
        <v>Đấu giá&gt; Sở thích, văn hóa&gt; nhạc cụ, thiết bị&gt; Thiết bị DJ&gt; bàn xoay</v>
      </c>
      <c r="F282" t="str">
        <f t="shared" ca="1" si="4"/>
        <v>"2084305418" : "turntable",</v>
      </c>
    </row>
    <row r="283" spans="1:6" ht="15.75" customHeight="1">
      <c r="A283" s="14">
        <v>2084305419</v>
      </c>
      <c r="B283" s="14" t="s">
        <v>2733</v>
      </c>
      <c r="C283" s="14" t="s">
        <v>2734</v>
      </c>
      <c r="D283" s="5" t="str">
        <f ca="1">IFERROR(__xludf.DUMMYFUNCTION("GOOGLETRANSLATE(B283,""ja"",""vi"")"),"Trưởng vỏ")</f>
        <v>Trưởng vỏ</v>
      </c>
      <c r="E283" s="4" t="str">
        <f ca="1">IFERROR(__xludf.DUMMYFUNCTION("GOOGLETRANSLATE(C283,""ja"",""vi"")"),"Đấu giá&gt; Sở thích, văn hóa&gt; nhạc cụ, thiết bị&gt; Thiết bị DJ&gt; vỏ đầu")</f>
        <v>Đấu giá&gt; Sở thích, văn hóa&gt; nhạc cụ, thiết bị&gt; Thiết bị DJ&gt; vỏ đầu</v>
      </c>
      <c r="F283" t="str">
        <f t="shared" ca="1" si="4"/>
        <v>"2084305419" : "Trưởng vỏ",</v>
      </c>
    </row>
    <row r="284" spans="1:6" ht="15.75" customHeight="1">
      <c r="A284" s="14">
        <v>2084305420</v>
      </c>
      <c r="B284" s="14" t="s">
        <v>2740</v>
      </c>
      <c r="C284" s="14" t="s">
        <v>2742</v>
      </c>
      <c r="D284" s="5" t="str">
        <f ca="1">IFERROR(__xludf.DUMMYFUNCTION("GOOGLETRANSLATE(B284,""ja"",""vi"")"),"mực Ghi")</f>
        <v>mực Ghi</v>
      </c>
      <c r="E284" s="4" t="str">
        <f ca="1">IFERROR(__xludf.DUMMYFUNCTION("GOOGLETRANSLATE(C284,""ja"",""vi"")"),"Đấu giá&gt; Sở thích, văn hóa&gt; nhạc cụ, thiết bị&gt; Thiết bị DJ&gt; Ghi mực")</f>
        <v>Đấu giá&gt; Sở thích, văn hóa&gt; nhạc cụ, thiết bị&gt; Thiết bị DJ&gt; Ghi mực</v>
      </c>
      <c r="F284" t="str">
        <f t="shared" ca="1" si="4"/>
        <v>"2084305420" : "mực Ghi",</v>
      </c>
    </row>
    <row r="285" spans="1:6" ht="15.75" customHeight="1">
      <c r="A285" s="14">
        <v>2084305422</v>
      </c>
      <c r="B285" s="14" t="s">
        <v>2747</v>
      </c>
      <c r="C285" s="14" t="s">
        <v>2749</v>
      </c>
      <c r="D285" s="5" t="str">
        <f ca="1">IFERROR(__xludf.DUMMYFUNCTION("GOOGLETRANSLATE(B285,""ja"",""vi"")"),"kim Ghi")</f>
        <v>kim Ghi</v>
      </c>
      <c r="E285" s="4" t="str">
        <f ca="1">IFERROR(__xludf.DUMMYFUNCTION("GOOGLETRANSLATE(C285,""ja"",""vi"")"),"Đấu giá&gt; Sở thích, văn hóa&gt; nhạc cụ, thiết bị&gt; Thiết bị DJ&gt; Ghi kim")</f>
        <v>Đấu giá&gt; Sở thích, văn hóa&gt; nhạc cụ, thiết bị&gt; Thiết bị DJ&gt; Ghi kim</v>
      </c>
      <c r="F285" t="str">
        <f t="shared" ca="1" si="4"/>
        <v>"2084305422" : "kim Ghi",</v>
      </c>
    </row>
    <row r="286" spans="1:6" ht="15.75" customHeight="1">
      <c r="A286" s="14">
        <v>2084305416</v>
      </c>
      <c r="B286" s="14" t="s">
        <v>2754</v>
      </c>
      <c r="C286" s="14" t="s">
        <v>2756</v>
      </c>
      <c r="D286" s="5" t="str">
        <f ca="1">IFERROR(__xludf.DUMMYFUNCTION("GOOGLETRANSLATE(B286,""ja"",""vi"")"),"thiết bị VJ liên quan")</f>
        <v>thiết bị VJ liên quan</v>
      </c>
      <c r="E286" s="4" t="str">
        <f ca="1">IFERROR(__xludf.DUMMYFUNCTION("GOOGLETRANSLATE(C286,""ja"",""vi"")"),"Đấu giá&gt; Sở thích, văn hóa&gt; nhạc cụ, thiết bị&gt; Thiết bị DJ&gt; thiết bị VJ liên quan")</f>
        <v>Đấu giá&gt; Sở thích, văn hóa&gt; nhạc cụ, thiết bị&gt; Thiết bị DJ&gt; thiết bị VJ liên quan</v>
      </c>
      <c r="F286" t="str">
        <f t="shared" ca="1" si="4"/>
        <v>"2084305416" : "thiết bị VJ liên quan",</v>
      </c>
    </row>
    <row r="287" spans="1:6" ht="15.75" customHeight="1">
      <c r="A287" s="14">
        <v>2084305417</v>
      </c>
      <c r="B287" s="14" t="s">
        <v>2761</v>
      </c>
      <c r="C287" s="14" t="s">
        <v>2764</v>
      </c>
      <c r="D287" s="5" t="str">
        <f ca="1">IFERROR(__xludf.DUMMYFUNCTION("GOOGLETRANSLATE(B287,""ja"",""vi"")"),"trượt Mat")</f>
        <v>trượt Mat</v>
      </c>
      <c r="E287" s="4" t="str">
        <f ca="1">IFERROR(__xludf.DUMMYFUNCTION("GOOGLETRANSLATE(C287,""ja"",""vi"")"),"Đấu giá&gt; Sở thích, văn hóa&gt; nhạc cụ, thiết bị&gt; Thiết bị DJ&gt; trượt mat")</f>
        <v>Đấu giá&gt; Sở thích, văn hóa&gt; nhạc cụ, thiết bị&gt; Thiết bị DJ&gt; trượt mat</v>
      </c>
      <c r="F287" t="str">
        <f t="shared" ca="1" si="4"/>
        <v>"2084305417" : "trượt Mat",</v>
      </c>
    </row>
    <row r="288" spans="1:6" ht="15.75" customHeight="1">
      <c r="A288" s="14">
        <v>2084305409</v>
      </c>
      <c r="B288" s="14" t="s">
        <v>2767</v>
      </c>
      <c r="C288" s="14" t="s">
        <v>2769</v>
      </c>
      <c r="D288" s="5" t="str">
        <f ca="1">IFERROR(__xludf.DUMMYFUNCTION("GOOGLETRANSLATE(B288,""ja"",""vi"")"),"bảng DJ")</f>
        <v>bảng DJ</v>
      </c>
      <c r="E288" s="4" t="str">
        <f ca="1">IFERROR(__xludf.DUMMYFUNCTION("GOOGLETRANSLATE(C288,""ja"",""vi"")"),"Đấu giá&gt; Sở thích, văn hóa&gt; nhạc cụ, thiết bị&gt; Thiết bị DJ&gt; DJ bảng")</f>
        <v>Đấu giá&gt; Sở thích, văn hóa&gt; nhạc cụ, thiết bị&gt; Thiết bị DJ&gt; DJ bảng</v>
      </c>
      <c r="F288" t="str">
        <f t="shared" ca="1" si="4"/>
        <v>"2084305409" : "bảng DJ",</v>
      </c>
    </row>
    <row r="289" spans="1:6" ht="15.75" customHeight="1">
      <c r="A289" s="14">
        <v>2084305421</v>
      </c>
      <c r="B289" s="14" t="s">
        <v>2772</v>
      </c>
      <c r="C289" s="14" t="s">
        <v>2773</v>
      </c>
      <c r="D289" s="5" t="str">
        <f ca="1">IFERROR(__xludf.DUMMYFUNCTION("GOOGLETRANSLATE(B289,""ja"",""vi"")"),"Ghi lại trường hợp, túi")</f>
        <v>Ghi lại trường hợp, túi</v>
      </c>
      <c r="E289" s="4" t="str">
        <f ca="1">IFERROR(__xludf.DUMMYFUNCTION("GOOGLETRANSLATE(C289,""ja"",""vi"")"),"Đấu giá&gt; Sở thích, văn hóa&gt; nhạc cụ, thiết bị&gt; Thiết bị DJ&gt; Ghi lại trường hợp, túi")</f>
        <v>Đấu giá&gt; Sở thích, văn hóa&gt; nhạc cụ, thiết bị&gt; Thiết bị DJ&gt; Ghi lại trường hợp, túi</v>
      </c>
      <c r="F289" t="str">
        <f t="shared" ca="1" si="4"/>
        <v>"2084305421" : "Ghi lại trường hợp, túi",</v>
      </c>
    </row>
    <row r="290" spans="1:6" ht="15.75" customHeight="1">
      <c r="A290" s="14">
        <v>2084261084</v>
      </c>
      <c r="B290" s="14" t="s">
        <v>46</v>
      </c>
      <c r="C290" s="14" t="s">
        <v>2778</v>
      </c>
      <c r="D290" s="5" t="str">
        <f ca="1">IFERROR(__xludf.DUMMYFUNCTION("GOOGLETRANSLATE(B290,""ja"",""vi"")"),"nếu không thì")</f>
        <v>nếu không thì</v>
      </c>
      <c r="E290" s="4" t="str">
        <f ca="1">IFERROR(__xludf.DUMMYFUNCTION("GOOGLETRANSLATE(C290,""ja"",""vi"")"),"Đấu giá&gt; Sở thích, văn hóa&gt; nhạc cụ, thiết bị&gt; Thiết bị DJ&gt; Khác")</f>
        <v>Đấu giá&gt; Sở thích, văn hóa&gt; nhạc cụ, thiết bị&gt; Thiết bị DJ&gt; Khác</v>
      </c>
      <c r="F290" t="str">
        <f t="shared" ca="1" si="4"/>
        <v>"2084261084" : "nếu không thì",</v>
      </c>
    </row>
    <row r="291" spans="1:6" ht="15.75" customHeight="1">
      <c r="A291" s="14">
        <v>2084022802</v>
      </c>
      <c r="B291" s="14" t="s">
        <v>3004</v>
      </c>
      <c r="C291" s="14" t="s">
        <v>3006</v>
      </c>
      <c r="D291" s="5" t="str">
        <f ca="1">IFERROR(__xludf.DUMMYFUNCTION("GOOGLETRANSLATE(B291,""ja"",""vi"")"),"Đối với phần mềm Windows")</f>
        <v>Đối với phần mềm Windows</v>
      </c>
      <c r="E291" s="4" t="str">
        <f ca="1">IFERROR(__xludf.DUMMYFUNCTION("GOOGLETRANSLATE(C291,""ja"",""vi"")"),"Đấu giá&gt; Sở thích, văn hóa&gt; nhạc cụ, thiết bị&gt; DTM, DAW&gt; Phần mềm cho Windows")</f>
        <v>Đấu giá&gt; Sở thích, văn hóa&gt; nhạc cụ, thiết bị&gt; DTM, DAW&gt; Phần mềm cho Windows</v>
      </c>
      <c r="F291" t="str">
        <f t="shared" ca="1" si="4"/>
        <v>"2084022802" : "Đối với phần mềm Windows",</v>
      </c>
    </row>
    <row r="292" spans="1:6" ht="15.75" customHeight="1">
      <c r="A292" s="14">
        <v>2084023577</v>
      </c>
      <c r="B292" s="14" t="s">
        <v>3010</v>
      </c>
      <c r="C292" s="14" t="s">
        <v>3011</v>
      </c>
      <c r="D292" s="5" t="str">
        <f ca="1">IFERROR(__xludf.DUMMYFUNCTION("GOOGLETRANSLATE(B292,""ja"",""vi"")"),"Phần mềm cho phần mềm Mac")</f>
        <v>Phần mềm cho phần mềm Mac</v>
      </c>
      <c r="E292" s="4" t="str">
        <f ca="1">IFERROR(__xludf.DUMMYFUNCTION("GOOGLETRANSLATE(C292,""ja"",""vi"")"),"Đấu giá&gt; Sở thích, văn hóa&gt; nhạc cụ, thiết bị&gt; DTM, DAW&gt; phần mềm cho phần mềm Mac")</f>
        <v>Đấu giá&gt; Sở thích, văn hóa&gt; nhạc cụ, thiết bị&gt; DTM, DAW&gt; phần mềm cho phần mềm Mac</v>
      </c>
      <c r="F292" t="str">
        <f t="shared" ca="1" si="4"/>
        <v>"2084023577" : "Phần mềm cho phần mềm Mac",</v>
      </c>
    </row>
    <row r="293" spans="1:6" ht="15.75" customHeight="1">
      <c r="A293" s="14">
        <v>2084305426</v>
      </c>
      <c r="B293" s="14" t="s">
        <v>2663</v>
      </c>
      <c r="C293" s="14" t="s">
        <v>3015</v>
      </c>
      <c r="D293" s="5" t="str">
        <f ca="1">IFERROR(__xludf.DUMMYFUNCTION("GOOGLETRANSLATE(B293,""ja"",""vi"")"),"MIDI bàn phím, bộ điều khiển")</f>
        <v>MIDI bàn phím, bộ điều khiển</v>
      </c>
      <c r="E293" s="4" t="str">
        <f ca="1">IFERROR(__xludf.DUMMYFUNCTION("GOOGLETRANSLATE(C293,""ja"",""vi"")"),"Đấu giá&gt; Sở thích, văn hóa&gt; nhạc cụ, thiết bị&gt; DTM, DAW&gt; MIDI bàn phím, bộ điều khiển")</f>
        <v>Đấu giá&gt; Sở thích, văn hóa&gt; nhạc cụ, thiết bị&gt; DTM, DAW&gt; MIDI bàn phím, bộ điều khiển</v>
      </c>
      <c r="F293" t="str">
        <f t="shared" ca="1" si="4"/>
        <v>"2084305426" : "MIDI bàn phím, bộ điều khiển",</v>
      </c>
    </row>
    <row r="294" spans="1:6" ht="15.75" customHeight="1">
      <c r="A294" s="14">
        <v>2084305429</v>
      </c>
      <c r="B294" s="14" t="s">
        <v>3020</v>
      </c>
      <c r="C294" s="14" t="s">
        <v>3022</v>
      </c>
      <c r="D294" s="5" t="str">
        <f ca="1">IFERROR(__xludf.DUMMYFUNCTION("GOOGLETRANSLATE(B294,""ja"",""vi"")"),"người làm hàng mẫu")</f>
        <v>người làm hàng mẫu</v>
      </c>
      <c r="E294" s="4" t="str">
        <f ca="1">IFERROR(__xludf.DUMMYFUNCTION("GOOGLETRANSLATE(C294,""ja"",""vi"")"),"Đấu giá&gt; Sở thích, văn hóa&gt; nhạc cụ, thiết bị&gt; DTM, DAW&gt; sampler")</f>
        <v>Đấu giá&gt; Sở thích, văn hóa&gt; nhạc cụ, thiết bị&gt; DTM, DAW&gt; sampler</v>
      </c>
      <c r="F294" t="str">
        <f t="shared" ca="1" si="4"/>
        <v>"2084305429" : "người làm hàng mẫu",</v>
      </c>
    </row>
    <row r="295" spans="1:6" ht="15.75" customHeight="1">
      <c r="A295" s="14">
        <v>2084019007</v>
      </c>
      <c r="B295" s="14" t="s">
        <v>2679</v>
      </c>
      <c r="C295" s="14" t="s">
        <v>3026</v>
      </c>
      <c r="D295" s="5" t="str">
        <f ca="1">IFERROR(__xludf.DUMMYFUNCTION("GOOGLETRANSLATE(B295,""ja"",""vi"")"),"Lấy mẫu CD")</f>
        <v>Lấy mẫu CD</v>
      </c>
      <c r="E295" s="4" t="str">
        <f ca="1">IFERROR(__xludf.DUMMYFUNCTION("GOOGLETRANSLATE(C295,""ja"",""vi"")"),"Đấu giá&gt; Sở thích, văn hóa&gt; nhạc cụ, thiết bị&gt; DTM, DAW&gt; lấy mẫu CD")</f>
        <v>Đấu giá&gt; Sở thích, văn hóa&gt; nhạc cụ, thiết bị&gt; DTM, DAW&gt; lấy mẫu CD</v>
      </c>
      <c r="F295" t="str">
        <f t="shared" ca="1" si="4"/>
        <v>"2084019007" : "Lấy mẫu CD",</v>
      </c>
    </row>
    <row r="296" spans="1:6" ht="15.75" customHeight="1">
      <c r="A296" s="14">
        <v>2084305428</v>
      </c>
      <c r="B296" s="14" t="s">
        <v>2673</v>
      </c>
      <c r="C296" s="14" t="s">
        <v>3030</v>
      </c>
      <c r="D296" s="5" t="str">
        <f ca="1">IFERROR(__xludf.DUMMYFUNCTION("GOOGLETRANSLATE(B296,""ja"",""vi"")"),"giao diện âm thanh")</f>
        <v>giao diện âm thanh</v>
      </c>
      <c r="E296" s="4" t="str">
        <f ca="1">IFERROR(__xludf.DUMMYFUNCTION("GOOGLETRANSLATE(C296,""ja"",""vi"")"),"Đấu giá&gt; Sở thích, văn hóa&gt; nhạc cụ, thiết bị&gt; DTM, DAW&gt; giao diện âm thanh")</f>
        <v>Đấu giá&gt; Sở thích, văn hóa&gt; nhạc cụ, thiết bị&gt; DTM, DAW&gt; giao diện âm thanh</v>
      </c>
      <c r="F296" t="str">
        <f t="shared" ca="1" si="4"/>
        <v>"2084305428" : "giao diện âm thanh",</v>
      </c>
    </row>
    <row r="297" spans="1:6" ht="15.75" customHeight="1">
      <c r="A297" s="14">
        <v>2084019004</v>
      </c>
      <c r="B297" s="14" t="s">
        <v>3033</v>
      </c>
      <c r="C297" s="14" t="s">
        <v>3034</v>
      </c>
      <c r="D297" s="5" t="str">
        <f ca="1">IFERROR(__xludf.DUMMYFUNCTION("GOOGLETRANSLATE(B297,""ja"",""vi"")"),"mô-đun âm thanh")</f>
        <v>mô-đun âm thanh</v>
      </c>
      <c r="E297" s="4" t="str">
        <f ca="1">IFERROR(__xludf.DUMMYFUNCTION("GOOGLETRANSLATE(C297,""ja"",""vi"")"),"Đấu giá&gt; Sở thích, văn hóa&gt; nhạc cụ, thiết bị&gt; DTM, DAW&gt; mô-đun âm thanh")</f>
        <v>Đấu giá&gt; Sở thích, văn hóa&gt; nhạc cụ, thiết bị&gt; DTM, DAW&gt; mô-đun âm thanh</v>
      </c>
      <c r="F297" t="str">
        <f t="shared" ca="1" si="4"/>
        <v>"2084019004" : "mô-đun âm thanh",</v>
      </c>
    </row>
    <row r="298" spans="1:6" ht="15.75" customHeight="1">
      <c r="A298" s="14">
        <v>2084305427</v>
      </c>
      <c r="B298" s="14" t="s">
        <v>3036</v>
      </c>
      <c r="C298" s="14" t="s">
        <v>3038</v>
      </c>
      <c r="D298" s="5" t="str">
        <f ca="1">IFERROR(__xludf.DUMMYFUNCTION("GOOGLETRANSLATE(B298,""ja"",""vi"")"),"thiết bị MIDI cho PC")</f>
        <v>thiết bị MIDI cho PC</v>
      </c>
      <c r="E298" s="4" t="str">
        <f ca="1">IFERROR(__xludf.DUMMYFUNCTION("GOOGLETRANSLATE(C298,""ja"",""vi"")"),"Đấu giá&gt; Sở thích, văn hóa&gt; nhạc cụ, thiết bị&gt; DTM, DAW&gt; thiết bị MIDI cho PC")</f>
        <v>Đấu giá&gt; Sở thích, văn hóa&gt; nhạc cụ, thiết bị&gt; DTM, DAW&gt; thiết bị MIDI cho PC</v>
      </c>
      <c r="F298" t="str">
        <f t="shared" ca="1" si="4"/>
        <v>"2084305427" : "thiết bị MIDI cho PC",</v>
      </c>
    </row>
    <row r="299" spans="1:6" ht="15.75" customHeight="1">
      <c r="A299" s="14">
        <v>2084019005</v>
      </c>
      <c r="B299" s="14" t="s">
        <v>3041</v>
      </c>
      <c r="C299" s="14" t="s">
        <v>3042</v>
      </c>
      <c r="D299" s="5" t="str">
        <f ca="1">IFERROR(__xludf.DUMMYFUNCTION("GOOGLETRANSLATE(B299,""ja"",""vi"")"),"máy nhịp")</f>
        <v>máy nhịp</v>
      </c>
      <c r="E299" s="4" t="str">
        <f ca="1">IFERROR(__xludf.DUMMYFUNCTION("GOOGLETRANSLATE(C299,""ja"",""vi"")"),"Đấu giá&gt; Sở thích, văn hóa&gt; nhạc cụ, thiết bị&gt; DTM, DAW&gt; máy nhịp")</f>
        <v>Đấu giá&gt; Sở thích, văn hóa&gt; nhạc cụ, thiết bị&gt; DTM, DAW&gt; máy nhịp</v>
      </c>
      <c r="F299" t="str">
        <f t="shared" ca="1" si="4"/>
        <v>"2084019005" : "máy nhịp",</v>
      </c>
    </row>
    <row r="300" spans="1:6" ht="15.75" customHeight="1">
      <c r="A300" s="14">
        <v>2084019003</v>
      </c>
      <c r="B300" s="14" t="s">
        <v>3044</v>
      </c>
      <c r="C300" s="14" t="s">
        <v>3045</v>
      </c>
      <c r="D300" s="5" t="str">
        <f ca="1">IFERROR(__xludf.DUMMYFUNCTION("GOOGLETRANSLATE(B300,""ja"",""vi"")"),"Bàn phím, tổng hợp")</f>
        <v>Bàn phím, tổng hợp</v>
      </c>
      <c r="E300" s="4" t="str">
        <f ca="1">IFERROR(__xludf.DUMMYFUNCTION("GOOGLETRANSLATE(C300,""ja"",""vi"")"),"Đấu giá&gt; Sở thích, văn hóa&gt; nhạc cụ, thiết bị&gt; DTM, DAW&gt; bàn phím, tổng hợp")</f>
        <v>Đấu giá&gt; Sở thích, văn hóa&gt; nhạc cụ, thiết bị&gt; DTM, DAW&gt; bàn phím, tổng hợp</v>
      </c>
      <c r="F300" t="str">
        <f t="shared" ca="1" si="4"/>
        <v>"2084019003" : "Bàn phím, tổng hợp",</v>
      </c>
    </row>
    <row r="301" spans="1:6" ht="15.75" customHeight="1">
      <c r="A301" s="14">
        <v>2084039706</v>
      </c>
      <c r="B301" s="14" t="s">
        <v>3049</v>
      </c>
      <c r="C301" s="14" t="s">
        <v>3051</v>
      </c>
      <c r="D301" s="5" t="str">
        <f ca="1">IFERROR(__xludf.DUMMYFUNCTION("GOOGLETRANSLATE(B301,""ja"",""vi"")"),"thiết bị ngoại vi máy tính")</f>
        <v>thiết bị ngoại vi máy tính</v>
      </c>
      <c r="E301" s="4" t="str">
        <f ca="1">IFERROR(__xludf.DUMMYFUNCTION("GOOGLETRANSLATE(C301,""ja"",""vi"")"),"Đấu giá&gt; Sở thích, văn hóa&gt; nhạc cụ, thiết bị&gt; DTM, DAW&gt; thiết bị ngoại vi máy tính")</f>
        <v>Đấu giá&gt; Sở thích, văn hóa&gt; nhạc cụ, thiết bị&gt; DTM, DAW&gt; thiết bị ngoại vi máy tính</v>
      </c>
      <c r="F301" t="str">
        <f t="shared" ca="1" si="4"/>
        <v>"2084039706" : "thiết bị ngoại vi máy tính",</v>
      </c>
    </row>
    <row r="302" spans="1:6" ht="15.75" customHeight="1">
      <c r="A302" s="14">
        <v>2084019009</v>
      </c>
      <c r="B302" s="14" t="s">
        <v>46</v>
      </c>
      <c r="C302" s="14" t="s">
        <v>3053</v>
      </c>
      <c r="D302" s="5" t="str">
        <f ca="1">IFERROR(__xludf.DUMMYFUNCTION("GOOGLETRANSLATE(B302,""ja"",""vi"")"),"nếu không thì")</f>
        <v>nếu không thì</v>
      </c>
      <c r="E302" s="4" t="str">
        <f ca="1">IFERROR(__xludf.DUMMYFUNCTION("GOOGLETRANSLATE(C302,""ja"",""vi"")"),"Đấu giá&gt; Sở thích, văn hóa&gt; nhạc cụ, thiết bị&gt; DTM, DAW&gt; Khác")</f>
        <v>Đấu giá&gt; Sở thích, văn hóa&gt; nhạc cụ, thiết bị&gt; DTM, DAW&gt; Khác</v>
      </c>
      <c r="F302" t="str">
        <f t="shared" ca="1" si="4"/>
        <v>"2084019009" : "nếu không thì",</v>
      </c>
    </row>
    <row r="303" spans="1:6" ht="15.75" customHeight="1">
      <c r="A303" s="14">
        <v>2084018998</v>
      </c>
      <c r="B303" s="14" t="s">
        <v>5103</v>
      </c>
      <c r="C303" s="14" t="s">
        <v>5104</v>
      </c>
      <c r="D303" s="5" t="str">
        <f ca="1">IFERROR(__xludf.DUMMYFUNCTION("GOOGLETRANSLATE(B303,""ja"",""vi"")"),"Guitar khuếch đại")</f>
        <v>Guitar khuếch đại</v>
      </c>
      <c r="E303" s="4" t="str">
        <f ca="1">IFERROR(__xludf.DUMMYFUNCTION("GOOGLETRANSLATE(C303,""ja"",""vi"")"),"Đấu giá&gt; Sở thích, văn hóa&gt; Nhạc cụ và thiết bị&gt; Bộ khuếch đại&gt; Guitar khuếch đại")</f>
        <v>Đấu giá&gt; Sở thích, văn hóa&gt; Nhạc cụ và thiết bị&gt; Bộ khuếch đại&gt; Guitar khuếch đại</v>
      </c>
      <c r="F303" t="str">
        <f t="shared" ca="1" si="4"/>
        <v>"2084018998" : "Guitar khuếch đại",</v>
      </c>
    </row>
    <row r="304" spans="1:6" ht="15.75" customHeight="1">
      <c r="A304" s="14">
        <v>2084019000</v>
      </c>
      <c r="B304" s="14" t="s">
        <v>4596</v>
      </c>
      <c r="C304" s="14" t="s">
        <v>5108</v>
      </c>
      <c r="D304" s="5" t="str">
        <f ca="1">IFERROR(__xludf.DUMMYFUNCTION("GOOGLETRANSLATE(B304,""ja"",""vi"")"),"Bass amp")</f>
        <v>Bass amp</v>
      </c>
      <c r="E304" s="4" t="str">
        <f ca="1">IFERROR(__xludf.DUMMYFUNCTION("GOOGLETRANSLATE(C304,""ja"",""vi"")"),"Đấu giá&gt; Sở thích, văn hóa&gt; công cụ và thiết bị âm nhạc&gt; Bộ khuếch đại&gt; Bass amp")</f>
        <v>Đấu giá&gt; Sở thích, văn hóa&gt; công cụ và thiết bị âm nhạc&gt; Bộ khuếch đại&gt; Bass amp</v>
      </c>
      <c r="F304" t="str">
        <f t="shared" ca="1" si="4"/>
        <v>"2084019000" : "Bass amp",</v>
      </c>
    </row>
    <row r="305" spans="1:6" ht="15.75" customHeight="1">
      <c r="A305" s="14">
        <v>2084019002</v>
      </c>
      <c r="B305" s="14" t="s">
        <v>46</v>
      </c>
      <c r="C305" s="14" t="s">
        <v>5113</v>
      </c>
      <c r="D305" s="5" t="str">
        <f ca="1">IFERROR(__xludf.DUMMYFUNCTION("GOOGLETRANSLATE(B305,""ja"",""vi"")"),"nếu không thì")</f>
        <v>nếu không thì</v>
      </c>
      <c r="E305" s="4" t="str">
        <f ca="1">IFERROR(__xludf.DUMMYFUNCTION("GOOGLETRANSLATE(C305,""ja"",""vi"")"),"Đấu giá&gt; Sở thích, văn hóa&gt; Nhạc cụ và thiết bị&gt; Bộ khuếch đại&gt; Khác")</f>
        <v>Đấu giá&gt; Sở thích, văn hóa&gt; Nhạc cụ và thiết bị&gt; Bộ khuếch đại&gt; Khác</v>
      </c>
      <c r="F305" t="str">
        <f t="shared" ca="1" si="4"/>
        <v>"2084019002" : "nếu không thì",</v>
      </c>
    </row>
    <row r="306" spans="1:6" ht="15.75" customHeight="1">
      <c r="A306" s="14">
        <v>2084024193</v>
      </c>
      <c r="B306" s="14" t="s">
        <v>5118</v>
      </c>
      <c r="C306" s="14" t="s">
        <v>5120</v>
      </c>
      <c r="D306" s="5" t="str">
        <f ca="1">IFERROR(__xludf.DUMMYFUNCTION("GOOGLETRANSLATE(B306,""ja"",""vi"")"),"Taiko")</f>
        <v>Taiko</v>
      </c>
      <c r="E306" s="4" t="str">
        <f ca="1">IFERROR(__xludf.DUMMYFUNCTION("GOOGLETRANSLATE(C306,""ja"",""vi"")"),"Đấu giá&gt; Đồ chơi, trò chơi&gt; Nhạc Đồ chơi&gt; taiko")</f>
        <v>Đấu giá&gt; Đồ chơi, trò chơi&gt; Nhạc Đồ chơi&gt; taiko</v>
      </c>
      <c r="F306" t="str">
        <f t="shared" ca="1" si="4"/>
        <v>"2084024193" : "Taiko",</v>
      </c>
    </row>
    <row r="307" spans="1:6" ht="15.75" customHeight="1">
      <c r="A307" s="14">
        <v>2084024192</v>
      </c>
      <c r="B307" s="14" t="s">
        <v>4812</v>
      </c>
      <c r="C307" s="14" t="s">
        <v>5124</v>
      </c>
      <c r="D307" s="5" t="str">
        <f ca="1">IFERROR(__xludf.DUMMYFUNCTION("GOOGLETRANSLATE(B307,""ja"",""vi"")"),"dương cầm")</f>
        <v>dương cầm</v>
      </c>
      <c r="E307" s="4" t="str">
        <f ca="1">IFERROR(__xludf.DUMMYFUNCTION("GOOGLETRANSLATE(C307,""ja"",""vi"")"),"Đấu giá&gt; Đồ chơi, trò chơi&gt; Đồ chơi âm nhạc&gt; đàn piano")</f>
        <v>Đấu giá&gt; Đồ chơi, trò chơi&gt; Đồ chơi âm nhạc&gt; đàn piano</v>
      </c>
      <c r="F307" t="str">
        <f t="shared" ca="1" si="4"/>
        <v>"2084024192" : "dương cầm",</v>
      </c>
    </row>
    <row r="308" spans="1:6" ht="15.75" customHeight="1">
      <c r="A308" s="14">
        <v>2084024194</v>
      </c>
      <c r="B308" s="14" t="s">
        <v>5126</v>
      </c>
      <c r="C308" s="14" t="s">
        <v>5128</v>
      </c>
      <c r="D308" s="5" t="str">
        <f ca="1">IFERROR(__xludf.DUMMYFUNCTION("GOOGLETRANSLATE(B308,""ja"",""vi"")"),"Sáo, kèn")</f>
        <v>Sáo, kèn</v>
      </c>
      <c r="E308" s="4" t="str">
        <f ca="1">IFERROR(__xludf.DUMMYFUNCTION("GOOGLETRANSLATE(C308,""ja"",""vi"")"),"Đấu giá&gt; Đồ chơi, trò chơi&gt; Đồ chơi âm nhạc&gt; sáo, kèn")</f>
        <v>Đấu giá&gt; Đồ chơi, trò chơi&gt; Đồ chơi âm nhạc&gt; sáo, kèn</v>
      </c>
      <c r="F308" t="str">
        <f t="shared" ca="1" si="4"/>
        <v>"2084024194" : "Sáo, kèn",</v>
      </c>
    </row>
    <row r="309" spans="1:6" ht="15.75" customHeight="1">
      <c r="A309" s="14">
        <v>22436</v>
      </c>
      <c r="B309" s="14" t="s">
        <v>5129</v>
      </c>
      <c r="C309" s="14" t="s">
        <v>5130</v>
      </c>
      <c r="D309" s="5" t="str">
        <f ca="1">IFERROR(__xludf.DUMMYFUNCTION("GOOGLETRANSLATE(B309,""ja"",""vi"")"),"công cụ và thiết bị âm nhạc")</f>
        <v>công cụ và thiết bị âm nhạc</v>
      </c>
      <c r="E309" s="4" t="str">
        <f ca="1">IFERROR(__xludf.DUMMYFUNCTION("GOOGLETRANSLATE(C309,""ja"",""vi"")"),"Đấu giá&gt; Đồ chơi, trò chơi&gt; Đồ chơi âm nhạc&gt; nhạc cụ và thiết bị âm nhạc")</f>
        <v>Đấu giá&gt; Đồ chơi, trò chơi&gt; Đồ chơi âm nhạc&gt; nhạc cụ và thiết bị âm nhạc</v>
      </c>
      <c r="F309" t="str">
        <f t="shared" ca="1" si="4"/>
        <v>"22436" : "công cụ và thiết bị âm nhạc",</v>
      </c>
    </row>
    <row r="310" spans="1:6" ht="15.75" customHeight="1">
      <c r="A310" s="14">
        <v>2084024195</v>
      </c>
      <c r="B310" s="14" t="s">
        <v>46</v>
      </c>
      <c r="C310" s="14" t="s">
        <v>5131</v>
      </c>
      <c r="D310" s="5" t="str">
        <f ca="1">IFERROR(__xludf.DUMMYFUNCTION("GOOGLETRANSLATE(B310,""ja"",""vi"")"),"nếu không thì")</f>
        <v>nếu không thì</v>
      </c>
      <c r="E310" s="4" t="str">
        <f ca="1">IFERROR(__xludf.DUMMYFUNCTION("GOOGLETRANSLATE(C310,""ja"",""vi"")"),"Đấu giá&gt; Đồ chơi, trò chơi&gt; Nhạc Đồ chơi&gt; Khác")</f>
        <v>Đấu giá&gt; Đồ chơi, trò chơi&gt; Nhạc Đồ chơi&gt; Khác</v>
      </c>
      <c r="F310" t="str">
        <f t="shared" ca="1" si="4"/>
        <v>"2084024195" : "nếu không thì",</v>
      </c>
    </row>
    <row r="311" spans="1:6" ht="15.75" customHeight="1">
      <c r="A311" s="14">
        <v>2084009087</v>
      </c>
      <c r="B311" s="14" t="s">
        <v>1162</v>
      </c>
      <c r="C311" s="14" t="s">
        <v>5134</v>
      </c>
      <c r="D311" s="5" t="str">
        <f ca="1">IFERROR(__xludf.DUMMYFUNCTION("GOOGLETRANSLATE(B311,""ja"",""vi"")"),"cổ điển")</f>
        <v>cổ điển</v>
      </c>
      <c r="E311" s="4" t="str">
        <f ca="1">IFERROR(__xludf.DUMMYFUNCTION("GOOGLETRANSLATE(C311,""ja"",""vi"")"),"Đấu giá&gt; cuốn sách, tạp chí&gt; nghệ thuật, vui chơi giải trí&gt; âm nhạc, điểm số âm nhạc&gt; điểm âm nhạc&gt; Cổ điển")</f>
        <v>Đấu giá&gt; cuốn sách, tạp chí&gt; nghệ thuật, vui chơi giải trí&gt; âm nhạc, điểm số âm nhạc&gt; điểm âm nhạc&gt; Cổ điển</v>
      </c>
      <c r="F311" t="str">
        <f t="shared" ca="1" si="4"/>
        <v>"2084009087" : "cổ điển",</v>
      </c>
    </row>
    <row r="312" spans="1:6" ht="15.75" customHeight="1">
      <c r="A312" s="14">
        <v>2084009095</v>
      </c>
      <c r="B312" s="14" t="s">
        <v>5137</v>
      </c>
      <c r="C312" s="14" t="s">
        <v>5138</v>
      </c>
      <c r="D312" s="5" t="str">
        <f ca="1">IFERROR(__xludf.DUMMYFUNCTION("GOOGLETRANSLATE(B312,""ja"",""vi"")"),"phổ biến")</f>
        <v>phổ biến</v>
      </c>
      <c r="E312" s="4" t="str">
        <f ca="1">IFERROR(__xludf.DUMMYFUNCTION("GOOGLETRANSLATE(C312,""ja"",""vi"")"),"Đấu giá&gt; cuốn sách, tạp chí&gt; nghệ thuật, vui chơi giải trí&gt; âm nhạc, điểm số âm nhạc&gt; điểm âm nhạc&gt; phổ biến")</f>
        <v>Đấu giá&gt; cuốn sách, tạp chí&gt; nghệ thuật, vui chơi giải trí&gt; âm nhạc, điểm số âm nhạc&gt; điểm âm nhạc&gt; phổ biến</v>
      </c>
      <c r="F312" t="str">
        <f t="shared" ca="1" si="4"/>
        <v>"2084009095" : "phổ biến",</v>
      </c>
    </row>
    <row r="313" spans="1:6" ht="15.75" customHeight="1">
      <c r="A313" s="14">
        <v>2084009103</v>
      </c>
      <c r="B313" s="14" t="s">
        <v>5140</v>
      </c>
      <c r="C313" s="14" t="s">
        <v>5142</v>
      </c>
      <c r="D313" s="5" t="str">
        <f ca="1">IFERROR(__xludf.DUMMYFUNCTION("GOOGLETRANSLATE(B313,""ja"",""vi"")"),"vần điệu trẻ, bài hát thiếu nhi")</f>
        <v>vần điệu trẻ, bài hát thiếu nhi</v>
      </c>
      <c r="E313" s="4" t="str">
        <f ca="1">IFERROR(__xludf.DUMMYFUNCTION("GOOGLETRANSLATE(C313,""ja"",""vi"")"),"Đấu giá&gt; cuốn sách, tạp chí&gt; nghệ thuật, vui chơi giải trí&gt; âm nhạc, điểm số âm nhạc&gt; điểm âm nhạc&gt; vườn ươm vần điệu, bài hát thiếu nhi")</f>
        <v>Đấu giá&gt; cuốn sách, tạp chí&gt; nghệ thuật, vui chơi giải trí&gt; âm nhạc, điểm số âm nhạc&gt; điểm âm nhạc&gt; vườn ươm vần điệu, bài hát thiếu nhi</v>
      </c>
      <c r="F313" t="str">
        <f t="shared" ca="1" si="4"/>
        <v>"2084009103" : "vần điệu trẻ, bài hát thiếu nhi",</v>
      </c>
    </row>
    <row r="314" spans="1:6" ht="15.75" customHeight="1">
      <c r="A314" s="14">
        <v>2084048449</v>
      </c>
      <c r="B314" s="14" t="s">
        <v>46</v>
      </c>
      <c r="C314" s="14" t="s">
        <v>5145</v>
      </c>
      <c r="D314" s="5" t="str">
        <f ca="1">IFERROR(__xludf.DUMMYFUNCTION("GOOGLETRANSLATE(B314,""ja"",""vi"")"),"nếu không thì")</f>
        <v>nếu không thì</v>
      </c>
      <c r="E314" s="4" t="str">
        <f ca="1">IFERROR(__xludf.DUMMYFUNCTION("GOOGLETRANSLATE(C314,""ja"",""vi"")"),"Đấu giá&gt; cuốn sách, tạp chí&gt; nghệ thuật, vui chơi giải trí&gt; âm nhạc, điểm số âm nhạc&gt; điểm âm nhạc&gt; Khác")</f>
        <v>Đấu giá&gt; cuốn sách, tạp chí&gt; nghệ thuật, vui chơi giải trí&gt; âm nhạc, điểm số âm nhạc&gt; điểm âm nhạc&gt; Khác</v>
      </c>
      <c r="F314" t="str">
        <f t="shared" ca="1" si="4"/>
        <v>"2084048449" : "nếu không thì",</v>
      </c>
    </row>
    <row r="315" spans="1:6" ht="15.75" customHeight="1">
      <c r="A315" s="14">
        <v>2084059686</v>
      </c>
      <c r="B315" s="14" t="s">
        <v>1147</v>
      </c>
      <c r="C315" s="14" t="s">
        <v>5148</v>
      </c>
      <c r="D315" s="5" t="str">
        <f ca="1">IFERROR(__xludf.DUMMYFUNCTION("GOOGLETRANSLATE(B315,""ja"",""vi"")"),"ballad")</f>
        <v>ballad</v>
      </c>
      <c r="E315" s="4" t="str">
        <f ca="1">IFERROR(__xludf.DUMMYFUNCTION("GOOGLETRANSLATE(C315,""ja"",""vi"")"),"Đấu giá&gt; vé, chứng từ, đặt phòng khách sạn&gt; vé vui chơi giải trí&gt; Âm nhạc&gt; Nhật Bản Pop&gt; Enka")</f>
        <v>Đấu giá&gt; vé, chứng từ, đặt phòng khách sạn&gt; vé vui chơi giải trí&gt; Âm nhạc&gt; Nhật Bản Pop&gt; Enka</v>
      </c>
      <c r="F315" t="str">
        <f t="shared" ca="1" si="4"/>
        <v>"2084059686" : "ballad",</v>
      </c>
    </row>
    <row r="316" spans="1:6" ht="15.75" customHeight="1">
      <c r="A316" s="14">
        <v>2084039808</v>
      </c>
      <c r="B316" s="14" t="s">
        <v>5151</v>
      </c>
      <c r="C316" s="14" t="s">
        <v>5152</v>
      </c>
      <c r="D316" s="5" t="str">
        <f ca="1">IFERROR(__xludf.DUMMYFUNCTION("GOOGLETRANSLATE(B316,""ja"",""vi"")"),"Hokkaido")</f>
        <v>Hokkaido</v>
      </c>
      <c r="E316" s="4" t="str">
        <f ca="1">IFERROR(__xludf.DUMMYFUNCTION("GOOGLETRANSLATE(C316,""ja"",""vi"")"),"Đấu giá&gt; vé, chứng từ, đặt phòng khách sạn&gt; vé vui chơi giải trí&gt; Âm nhạc&gt; Nhật Bản Pop&gt; Hokkaido")</f>
        <v>Đấu giá&gt; vé, chứng từ, đặt phòng khách sạn&gt; vé vui chơi giải trí&gt; Âm nhạc&gt; Nhật Bản Pop&gt; Hokkaido</v>
      </c>
      <c r="F316" t="str">
        <f t="shared" ca="1" si="4"/>
        <v>"2084039808" : "Hokkaido",</v>
      </c>
    </row>
    <row r="317" spans="1:6" ht="15.75" customHeight="1">
      <c r="A317" s="14">
        <v>2084039809</v>
      </c>
      <c r="B317" s="14" t="s">
        <v>5155</v>
      </c>
      <c r="C317" s="14" t="s">
        <v>5156</v>
      </c>
      <c r="D317" s="5" t="str">
        <f ca="1">IFERROR(__xludf.DUMMYFUNCTION("GOOGLETRANSLATE(B317,""ja"",""vi"")"),"đông bắc")</f>
        <v>đông bắc</v>
      </c>
      <c r="E317" s="4" t="str">
        <f ca="1">IFERROR(__xludf.DUMMYFUNCTION("GOOGLETRANSLATE(C317,""ja"",""vi"")"),"Đấu giá&gt; vé, chứng từ, đặt phòng khách sạn&gt; vé vui chơi giải trí&gt; Âm nhạc&gt; Nhật Bản Pop&gt; Đông Bắc")</f>
        <v>Đấu giá&gt; vé, chứng từ, đặt phòng khách sạn&gt; vé vui chơi giải trí&gt; Âm nhạc&gt; Nhật Bản Pop&gt; Đông Bắc</v>
      </c>
      <c r="F317" t="str">
        <f t="shared" ca="1" si="4"/>
        <v>"2084039809" : "đông bắc",</v>
      </c>
    </row>
    <row r="318" spans="1:6" ht="15.75" customHeight="1">
      <c r="A318" s="14">
        <v>2084039810</v>
      </c>
      <c r="B318" s="14" t="s">
        <v>5159</v>
      </c>
      <c r="C318" s="14" t="s">
        <v>5160</v>
      </c>
      <c r="D318" s="5" t="str">
        <f ca="1">IFERROR(__xludf.DUMMYFUNCTION("GOOGLETRANSLATE(B318,""ja"",""vi"")"),"Kanto")</f>
        <v>Kanto</v>
      </c>
      <c r="E318" s="4" t="str">
        <f ca="1">IFERROR(__xludf.DUMMYFUNCTION("GOOGLETRANSLATE(C318,""ja"",""vi"")"),"Đấu giá&gt; vé, chứng từ, đặt phòng khách sạn&gt; vé vui chơi giải trí&gt; Âm nhạc&gt; Nhật Bản Pop&gt; Kanto")</f>
        <v>Đấu giá&gt; vé, chứng từ, đặt phòng khách sạn&gt; vé vui chơi giải trí&gt; Âm nhạc&gt; Nhật Bản Pop&gt; Kanto</v>
      </c>
      <c r="F318" t="str">
        <f t="shared" ca="1" si="4"/>
        <v>"2084039810" : "Kanto",</v>
      </c>
    </row>
    <row r="319" spans="1:6" ht="15.75" customHeight="1">
      <c r="A319" s="14">
        <v>2084039811</v>
      </c>
      <c r="B319" s="14" t="s">
        <v>5163</v>
      </c>
      <c r="C319" s="14" t="s">
        <v>5164</v>
      </c>
      <c r="D319" s="5" t="str">
        <f ca="1">IFERROR(__xludf.DUMMYFUNCTION("GOOGLETRANSLATE(B319,""ja"",""vi"")"),"Hokuriku")</f>
        <v>Hokuriku</v>
      </c>
      <c r="E319" s="4" t="str">
        <f ca="1">IFERROR(__xludf.DUMMYFUNCTION("GOOGLETRANSLATE(C319,""ja"",""vi"")"),"Đấu giá&gt; vé, chứng từ, đặt phòng khách sạn&gt; vé vui chơi giải trí&gt; Âm nhạc&gt; Nhật Bản Pop&gt; Hokuriku")</f>
        <v>Đấu giá&gt; vé, chứng từ, đặt phòng khách sạn&gt; vé vui chơi giải trí&gt; Âm nhạc&gt; Nhật Bản Pop&gt; Hokuriku</v>
      </c>
      <c r="F319" t="str">
        <f t="shared" ca="1" si="4"/>
        <v>"2084039811" : "Hokuriku",</v>
      </c>
    </row>
    <row r="320" spans="1:6" ht="15.75" customHeight="1">
      <c r="A320" s="14">
        <v>2084039812</v>
      </c>
      <c r="B320" s="14" t="s">
        <v>5166</v>
      </c>
      <c r="C320" s="14" t="s">
        <v>5168</v>
      </c>
      <c r="D320" s="5" t="str">
        <f ca="1">IFERROR(__xludf.DUMMYFUNCTION("GOOGLETRANSLATE(B320,""ja"",""vi"")"),"Shin-Etsu")</f>
        <v>Shin-Etsu</v>
      </c>
      <c r="E320" s="4" t="str">
        <f ca="1">IFERROR(__xludf.DUMMYFUNCTION("GOOGLETRANSLATE(C320,""ja"",""vi"")"),"Đấu giá&gt; vé, chứng từ, đặt phòng khách sạn&gt; vé vui chơi giải trí&gt; Âm nhạc&gt; Nhật Bản Pop&gt; Shin-Etsu")</f>
        <v>Đấu giá&gt; vé, chứng từ, đặt phòng khách sạn&gt; vé vui chơi giải trí&gt; Âm nhạc&gt; Nhật Bản Pop&gt; Shin-Etsu</v>
      </c>
      <c r="F320" t="str">
        <f t="shared" ca="1" si="4"/>
        <v>"2084039812" : "Shin-Etsu",</v>
      </c>
    </row>
    <row r="321" spans="1:6" ht="15.75" customHeight="1">
      <c r="A321" s="14">
        <v>2084039813</v>
      </c>
      <c r="B321" s="14" t="s">
        <v>5170</v>
      </c>
      <c r="C321" s="14" t="s">
        <v>5171</v>
      </c>
      <c r="D321" s="5" t="str">
        <f ca="1">IFERROR(__xludf.DUMMYFUNCTION("GOOGLETRANSLATE(B321,""ja"",""vi"")"),"Tokai")</f>
        <v>Tokai</v>
      </c>
      <c r="E321" s="4" t="str">
        <f ca="1">IFERROR(__xludf.DUMMYFUNCTION("GOOGLETRANSLATE(C321,""ja"",""vi"")"),"Đấu giá&gt; vé, chứng từ, đặt phòng khách sạn&gt; vé vui chơi giải trí&gt; Âm nhạc&gt; Nhật Bản Pop&gt; Tokai")</f>
        <v>Đấu giá&gt; vé, chứng từ, đặt phòng khách sạn&gt; vé vui chơi giải trí&gt; Âm nhạc&gt; Nhật Bản Pop&gt; Tokai</v>
      </c>
      <c r="F321" t="str">
        <f t="shared" ca="1" si="4"/>
        <v>"2084039813" : "Tokai",</v>
      </c>
    </row>
    <row r="322" spans="1:6" ht="15.75" customHeight="1">
      <c r="A322" s="14">
        <v>2084039814</v>
      </c>
      <c r="B322" s="14" t="s">
        <v>5174</v>
      </c>
      <c r="C322" s="14" t="s">
        <v>5175</v>
      </c>
      <c r="D322" s="5" t="str">
        <f ca="1">IFERROR(__xludf.DUMMYFUNCTION("GOOGLETRANSLATE(B322,""ja"",""vi"")"),"Kinki")</f>
        <v>Kinki</v>
      </c>
      <c r="E322" s="4" t="str">
        <f ca="1">IFERROR(__xludf.DUMMYFUNCTION("GOOGLETRANSLATE(C322,""ja"",""vi"")"),"Đấu giá&gt; vé, chứng từ, đặt phòng khách sạn&gt; vé vui chơi giải trí&gt; Âm nhạc&gt; Nhật Bản Pop&gt; Kinki")</f>
        <v>Đấu giá&gt; vé, chứng từ, đặt phòng khách sạn&gt; vé vui chơi giải trí&gt; Âm nhạc&gt; Nhật Bản Pop&gt; Kinki</v>
      </c>
      <c r="F322" t="str">
        <f t="shared" ref="F322:F385" ca="1" si="5">CONCATENATE(CHAR(34)&amp;"",A322,""&amp;CHAR(34)," : ", CHAR(34)&amp;"",D322,""&amp;CHAR(34),",")</f>
        <v>"2084039814" : "Kinki",</v>
      </c>
    </row>
    <row r="323" spans="1:6" ht="15.75" customHeight="1">
      <c r="A323" s="14">
        <v>2084039815</v>
      </c>
      <c r="B323" s="14" t="s">
        <v>5177</v>
      </c>
      <c r="C323" s="14" t="s">
        <v>5178</v>
      </c>
      <c r="D323" s="5" t="str">
        <f ca="1">IFERROR(__xludf.DUMMYFUNCTION("GOOGLETRANSLATE(B323,""ja"",""vi"")"),"đồ sứ")</f>
        <v>đồ sứ</v>
      </c>
      <c r="E323" s="4" t="str">
        <f ca="1">IFERROR(__xludf.DUMMYFUNCTION("GOOGLETRANSLATE(C323,""ja"",""vi"")"),"Đấu giá&gt; vé, chứng từ, đặt phòng khách sạn&gt; vé vui chơi giải trí&gt; Âm nhạc&gt; Nhật Bản Pop&gt; Trung Quốc")</f>
        <v>Đấu giá&gt; vé, chứng từ, đặt phòng khách sạn&gt; vé vui chơi giải trí&gt; Âm nhạc&gt; Nhật Bản Pop&gt; Trung Quốc</v>
      </c>
      <c r="F323" t="str">
        <f t="shared" ca="1" si="5"/>
        <v>"2084039815" : "đồ sứ",</v>
      </c>
    </row>
    <row r="324" spans="1:6" ht="15.75" customHeight="1">
      <c r="A324" s="14">
        <v>2084039816</v>
      </c>
      <c r="B324" s="14" t="s">
        <v>5180</v>
      </c>
      <c r="C324" s="14" t="s">
        <v>5182</v>
      </c>
      <c r="D324" s="5" t="str">
        <f ca="1">IFERROR(__xludf.DUMMYFUNCTION("GOOGLETRANSLATE(B324,""ja"",""vi"")"),"Shikoku")</f>
        <v>Shikoku</v>
      </c>
      <c r="E324" s="4" t="str">
        <f ca="1">IFERROR(__xludf.DUMMYFUNCTION("GOOGLETRANSLATE(C324,""ja"",""vi"")"),"Đấu giá&gt; vé, chứng từ, đặt phòng khách sạn&gt; vé vui chơi giải trí&gt; Âm nhạc&gt; Nhật Bản Pop&gt; Shikoku")</f>
        <v>Đấu giá&gt; vé, chứng từ, đặt phòng khách sạn&gt; vé vui chơi giải trí&gt; Âm nhạc&gt; Nhật Bản Pop&gt; Shikoku</v>
      </c>
      <c r="F324" t="str">
        <f t="shared" ca="1" si="5"/>
        <v>"2084039816" : "Shikoku",</v>
      </c>
    </row>
    <row r="325" spans="1:6" ht="15.75" customHeight="1">
      <c r="A325" s="14">
        <v>2084039817</v>
      </c>
      <c r="B325" s="14" t="s">
        <v>5183</v>
      </c>
      <c r="C325" s="14" t="s">
        <v>5185</v>
      </c>
      <c r="D325" s="5" t="str">
        <f ca="1">IFERROR(__xludf.DUMMYFUNCTION("GOOGLETRANSLATE(B325,""ja"",""vi"")"),"Kyushu")</f>
        <v>Kyushu</v>
      </c>
      <c r="E325" s="4" t="str">
        <f ca="1">IFERROR(__xludf.DUMMYFUNCTION("GOOGLETRANSLATE(C325,""ja"",""vi"")"),"Đấu giá&gt; vé, chứng từ, đặt phòng khách sạn&gt; vé vui chơi giải trí&gt; Âm nhạc&gt; Nhật Bản Pop&gt; Kyushu")</f>
        <v>Đấu giá&gt; vé, chứng từ, đặt phòng khách sạn&gt; vé vui chơi giải trí&gt; Âm nhạc&gt; Nhật Bản Pop&gt; Kyushu</v>
      </c>
      <c r="F325" t="str">
        <f t="shared" ca="1" si="5"/>
        <v>"2084039817" : "Kyushu",</v>
      </c>
    </row>
    <row r="326" spans="1:6" ht="15.75" customHeight="1">
      <c r="A326" s="14">
        <v>2084039818</v>
      </c>
      <c r="B326" s="14" t="s">
        <v>5186</v>
      </c>
      <c r="C326" s="14" t="s">
        <v>5187</v>
      </c>
      <c r="D326" s="5" t="str">
        <f ca="1">IFERROR(__xludf.DUMMYFUNCTION("GOOGLETRANSLATE(B326,""ja"",""vi"")"),"Okinawa")</f>
        <v>Okinawa</v>
      </c>
      <c r="E326" s="4" t="str">
        <f ca="1">IFERROR(__xludf.DUMMYFUNCTION("GOOGLETRANSLATE(C326,""ja"",""vi"")"),"Đấu giá&gt; vé, chứng từ, đặt phòng khách sạn&gt; vé vui chơi giải trí&gt; Âm nhạc&gt; Nhật Bản Pop&gt; Okinawa")</f>
        <v>Đấu giá&gt; vé, chứng từ, đặt phòng khách sạn&gt; vé vui chơi giải trí&gt; Âm nhạc&gt; Nhật Bản Pop&gt; Okinawa</v>
      </c>
      <c r="F326" t="str">
        <f t="shared" ca="1" si="5"/>
        <v>"2084039818" : "Okinawa",</v>
      </c>
    </row>
    <row r="327" spans="1:6" ht="15.75" customHeight="1">
      <c r="A327" s="14">
        <v>2084041487</v>
      </c>
      <c r="B327" s="14" t="s">
        <v>46</v>
      </c>
      <c r="C327" s="14" t="s">
        <v>5190</v>
      </c>
      <c r="D327" s="5" t="str">
        <f ca="1">IFERROR(__xludf.DUMMYFUNCTION("GOOGLETRANSLATE(B327,""ja"",""vi"")"),"nếu không thì")</f>
        <v>nếu không thì</v>
      </c>
      <c r="E327" s="4" t="str">
        <f ca="1">IFERROR(__xludf.DUMMYFUNCTION("GOOGLETRANSLATE(C327,""ja"",""vi"")"),"Đấu giá&gt; vé, chứng từ, đặt phòng khách sạn&gt; vé vui chơi giải trí&gt; Âm nhạc&gt; Pop Nhật Bản&gt; Khác")</f>
        <v>Đấu giá&gt; vé, chứng từ, đặt phòng khách sạn&gt; vé vui chơi giải trí&gt; Âm nhạc&gt; Pop Nhật Bản&gt; Khác</v>
      </c>
      <c r="F327" t="str">
        <f t="shared" ca="1" si="5"/>
        <v>"2084041487" : "nếu không thì",</v>
      </c>
    </row>
    <row r="328" spans="1:6" ht="15.75" customHeight="1">
      <c r="A328" s="14">
        <v>2084047230</v>
      </c>
      <c r="B328" s="14" t="s">
        <v>5151</v>
      </c>
      <c r="C328" s="14" t="s">
        <v>5192</v>
      </c>
      <c r="D328" s="5" t="str">
        <f ca="1">IFERROR(__xludf.DUMMYFUNCTION("GOOGLETRANSLATE(B328,""ja"",""vi"")"),"Hokkaido")</f>
        <v>Hokkaido</v>
      </c>
      <c r="E328" s="4" t="str">
        <f ca="1">IFERROR(__xludf.DUMMYFUNCTION("GOOGLETRANSLATE(C328,""ja"",""vi"")"),"Đấu giá&gt; vé, chứng từ, đặt phòng khách sạn&gt; vé vui chơi giải trí&gt; Âm nhạc&gt; Thế Giới&gt; Hokkaido")</f>
        <v>Đấu giá&gt; vé, chứng từ, đặt phòng khách sạn&gt; vé vui chơi giải trí&gt; Âm nhạc&gt; Thế Giới&gt; Hokkaido</v>
      </c>
      <c r="F328" t="str">
        <f t="shared" ca="1" si="5"/>
        <v>"2084047230" : "Hokkaido",</v>
      </c>
    </row>
    <row r="329" spans="1:6" ht="15.75" customHeight="1">
      <c r="A329" s="14">
        <v>2084047229</v>
      </c>
      <c r="B329" s="14" t="s">
        <v>5155</v>
      </c>
      <c r="C329" s="14" t="s">
        <v>5195</v>
      </c>
      <c r="D329" s="5" t="str">
        <f ca="1">IFERROR(__xludf.DUMMYFUNCTION("GOOGLETRANSLATE(B329,""ja"",""vi"")"),"đông bắc")</f>
        <v>đông bắc</v>
      </c>
      <c r="E329" s="4" t="str">
        <f ca="1">IFERROR(__xludf.DUMMYFUNCTION("GOOGLETRANSLATE(C329,""ja"",""vi"")"),"Đấu giá&gt; vé, chứng từ, đặt phòng khách sạn&gt; vé vui chơi giải trí&gt; Âm nhạc&gt; Thế Giới&gt; Đông Bắc")</f>
        <v>Đấu giá&gt; vé, chứng từ, đặt phòng khách sạn&gt; vé vui chơi giải trí&gt; Âm nhạc&gt; Thế Giới&gt; Đông Bắc</v>
      </c>
      <c r="F329" t="str">
        <f t="shared" ca="1" si="5"/>
        <v>"2084047229" : "đông bắc",</v>
      </c>
    </row>
    <row r="330" spans="1:6" ht="15.75" customHeight="1">
      <c r="A330" s="14">
        <v>2084047222</v>
      </c>
      <c r="B330" s="14" t="s">
        <v>5159</v>
      </c>
      <c r="C330" s="14" t="s">
        <v>5200</v>
      </c>
      <c r="D330" s="5" t="str">
        <f ca="1">IFERROR(__xludf.DUMMYFUNCTION("GOOGLETRANSLATE(B330,""ja"",""vi"")"),"Kanto")</f>
        <v>Kanto</v>
      </c>
      <c r="E330" s="4" t="str">
        <f ca="1">IFERROR(__xludf.DUMMYFUNCTION("GOOGLETRANSLATE(C330,""ja"",""vi"")"),"Đấu giá&gt; vé, chứng từ, đặt phòng khách sạn&gt; vé vui chơi giải trí&gt; Âm nhạc&gt; Thế Giới&gt; Kanto")</f>
        <v>Đấu giá&gt; vé, chứng từ, đặt phòng khách sạn&gt; vé vui chơi giải trí&gt; Âm nhạc&gt; Thế Giới&gt; Kanto</v>
      </c>
      <c r="F330" t="str">
        <f t="shared" ca="1" si="5"/>
        <v>"2084047222" : "Kanto",</v>
      </c>
    </row>
    <row r="331" spans="1:6" ht="15.75" customHeight="1">
      <c r="A331" s="14">
        <v>2084047231</v>
      </c>
      <c r="B331" s="14" t="s">
        <v>5163</v>
      </c>
      <c r="C331" s="14" t="s">
        <v>5205</v>
      </c>
      <c r="D331" s="5" t="str">
        <f ca="1">IFERROR(__xludf.DUMMYFUNCTION("GOOGLETRANSLATE(B331,""ja"",""vi"")"),"Hokuriku")</f>
        <v>Hokuriku</v>
      </c>
      <c r="E331" s="4" t="str">
        <f ca="1">IFERROR(__xludf.DUMMYFUNCTION("GOOGLETRANSLATE(C331,""ja"",""vi"")"),"Đấu giá&gt; vé, chứng từ, đặt phòng khách sạn&gt; vé vui chơi giải trí&gt; Âm nhạc&gt; Thế Giới&gt; Hokuriku")</f>
        <v>Đấu giá&gt; vé, chứng từ, đặt phòng khách sạn&gt; vé vui chơi giải trí&gt; Âm nhạc&gt; Thế Giới&gt; Hokuriku</v>
      </c>
      <c r="F331" t="str">
        <f t="shared" ca="1" si="5"/>
        <v>"2084047231" : "Hokuriku",</v>
      </c>
    </row>
    <row r="332" spans="1:6" ht="15.75" customHeight="1">
      <c r="A332" s="14">
        <v>2084047226</v>
      </c>
      <c r="B332" s="14" t="s">
        <v>5166</v>
      </c>
      <c r="C332" s="14" t="s">
        <v>5209</v>
      </c>
      <c r="D332" s="5" t="str">
        <f ca="1">IFERROR(__xludf.DUMMYFUNCTION("GOOGLETRANSLATE(B332,""ja"",""vi"")"),"Shin-Etsu")</f>
        <v>Shin-Etsu</v>
      </c>
      <c r="E332" s="4" t="str">
        <f ca="1">IFERROR(__xludf.DUMMYFUNCTION("GOOGLETRANSLATE(C332,""ja"",""vi"")"),"Đấu giá&gt; vé, chứng từ, đặt phòng khách sạn&gt; vé vui chơi giải trí&gt; Âm nhạc&gt; Thế Giới&gt; Shin-Etsu")</f>
        <v>Đấu giá&gt; vé, chứng từ, đặt phòng khách sạn&gt; vé vui chơi giải trí&gt; Âm nhạc&gt; Thế Giới&gt; Shin-Etsu</v>
      </c>
      <c r="F332" t="str">
        <f t="shared" ca="1" si="5"/>
        <v>"2084047226" : "Shin-Etsu",</v>
      </c>
    </row>
    <row r="333" spans="1:6" ht="15.75" customHeight="1">
      <c r="A333" s="14">
        <v>2084047228</v>
      </c>
      <c r="B333" s="14" t="s">
        <v>5170</v>
      </c>
      <c r="C333" s="14" t="s">
        <v>5213</v>
      </c>
      <c r="D333" s="5" t="str">
        <f ca="1">IFERROR(__xludf.DUMMYFUNCTION("GOOGLETRANSLATE(B333,""ja"",""vi"")"),"Tokai")</f>
        <v>Tokai</v>
      </c>
      <c r="E333" s="4" t="str">
        <f ca="1">IFERROR(__xludf.DUMMYFUNCTION("GOOGLETRANSLATE(C333,""ja"",""vi"")"),"Đấu giá&gt; vé, chứng từ, đặt phòng khách sạn&gt; vé vui chơi giải trí&gt; Âm nhạc&gt; Thế Giới&gt; Tokai")</f>
        <v>Đấu giá&gt; vé, chứng từ, đặt phòng khách sạn&gt; vé vui chơi giải trí&gt; Âm nhạc&gt; Thế Giới&gt; Tokai</v>
      </c>
      <c r="F333" t="str">
        <f t="shared" ca="1" si="5"/>
        <v>"2084047228" : "Tokai",</v>
      </c>
    </row>
    <row r="334" spans="1:6" ht="15.75" customHeight="1">
      <c r="A334" s="14">
        <v>2084047223</v>
      </c>
      <c r="B334" s="14" t="s">
        <v>5174</v>
      </c>
      <c r="C334" s="14" t="s">
        <v>5219</v>
      </c>
      <c r="D334" s="5" t="str">
        <f ca="1">IFERROR(__xludf.DUMMYFUNCTION("GOOGLETRANSLATE(B334,""ja"",""vi"")"),"Kinki")</f>
        <v>Kinki</v>
      </c>
      <c r="E334" s="4" t="str">
        <f ca="1">IFERROR(__xludf.DUMMYFUNCTION("GOOGLETRANSLATE(C334,""ja"",""vi"")"),"Đấu giá&gt; vé, chứng từ, đặt phòng khách sạn&gt; vé vui chơi giải trí&gt; Âm nhạc&gt; Thế Giới&gt; Kinki")</f>
        <v>Đấu giá&gt; vé, chứng từ, đặt phòng khách sạn&gt; vé vui chơi giải trí&gt; Âm nhạc&gt; Thế Giới&gt; Kinki</v>
      </c>
      <c r="F334" t="str">
        <f t="shared" ca="1" si="5"/>
        <v>"2084047223" : "Kinki",</v>
      </c>
    </row>
    <row r="335" spans="1:6" ht="15.75" customHeight="1">
      <c r="A335" s="14">
        <v>2084047227</v>
      </c>
      <c r="B335" s="14" t="s">
        <v>5177</v>
      </c>
      <c r="C335" s="14" t="s">
        <v>5222</v>
      </c>
      <c r="D335" s="5" t="str">
        <f ca="1">IFERROR(__xludf.DUMMYFUNCTION("GOOGLETRANSLATE(B335,""ja"",""vi"")"),"đồ sứ")</f>
        <v>đồ sứ</v>
      </c>
      <c r="E335" s="4" t="str">
        <f ca="1">IFERROR(__xludf.DUMMYFUNCTION("GOOGLETRANSLATE(C335,""ja"",""vi"")"),"Đấu giá&gt; vé, chứng từ, đặt phòng khách sạn&gt; vé vui chơi giải trí&gt; Âm nhạc&gt; Thế giới&gt; Trung Quốc")</f>
        <v>Đấu giá&gt; vé, chứng từ, đặt phòng khách sạn&gt; vé vui chơi giải trí&gt; Âm nhạc&gt; Thế giới&gt; Trung Quốc</v>
      </c>
      <c r="F335" t="str">
        <f t="shared" ca="1" si="5"/>
        <v>"2084047227" : "đồ sứ",</v>
      </c>
    </row>
    <row r="336" spans="1:6" ht="15.75" customHeight="1">
      <c r="A336" s="14">
        <v>2084047225</v>
      </c>
      <c r="B336" s="14" t="s">
        <v>5180</v>
      </c>
      <c r="C336" s="14" t="s">
        <v>5226</v>
      </c>
      <c r="D336" s="5" t="str">
        <f ca="1">IFERROR(__xludf.DUMMYFUNCTION("GOOGLETRANSLATE(B336,""ja"",""vi"")"),"Shikoku")</f>
        <v>Shikoku</v>
      </c>
      <c r="E336" s="4" t="str">
        <f ca="1">IFERROR(__xludf.DUMMYFUNCTION("GOOGLETRANSLATE(C336,""ja"",""vi"")"),"Đấu giá&gt; vé, chứng từ, đặt phòng khách sạn&gt; vé vui chơi giải trí&gt; Âm nhạc&gt; Thế Giới&gt; Shikoku")</f>
        <v>Đấu giá&gt; vé, chứng từ, đặt phòng khách sạn&gt; vé vui chơi giải trí&gt; Âm nhạc&gt; Thế Giới&gt; Shikoku</v>
      </c>
      <c r="F336" t="str">
        <f t="shared" ca="1" si="5"/>
        <v>"2084047225" : "Shikoku",</v>
      </c>
    </row>
    <row r="337" spans="1:6" ht="15.75" customHeight="1">
      <c r="A337" s="14">
        <v>2084047224</v>
      </c>
      <c r="B337" s="14" t="s">
        <v>5183</v>
      </c>
      <c r="C337" s="14" t="s">
        <v>5229</v>
      </c>
      <c r="D337" s="5" t="str">
        <f ca="1">IFERROR(__xludf.DUMMYFUNCTION("GOOGLETRANSLATE(B337,""ja"",""vi"")"),"Kyushu")</f>
        <v>Kyushu</v>
      </c>
      <c r="E337" s="4" t="str">
        <f ca="1">IFERROR(__xludf.DUMMYFUNCTION("GOOGLETRANSLATE(C337,""ja"",""vi"")"),"Đấu giá&gt; vé, chứng từ, đặt phòng khách sạn&gt; vé vui chơi giải trí&gt; Âm nhạc&gt; Thế Giới&gt; Kyushu")</f>
        <v>Đấu giá&gt; vé, chứng từ, đặt phòng khách sạn&gt; vé vui chơi giải trí&gt; Âm nhạc&gt; Thế Giới&gt; Kyushu</v>
      </c>
      <c r="F337" t="str">
        <f t="shared" ca="1" si="5"/>
        <v>"2084047224" : "Kyushu",</v>
      </c>
    </row>
    <row r="338" spans="1:6" ht="15.75" customHeight="1">
      <c r="A338" s="14">
        <v>2084047221</v>
      </c>
      <c r="B338" s="14" t="s">
        <v>5186</v>
      </c>
      <c r="C338" s="14" t="s">
        <v>5232</v>
      </c>
      <c r="D338" s="5" t="str">
        <f ca="1">IFERROR(__xludf.DUMMYFUNCTION("GOOGLETRANSLATE(B338,""ja"",""vi"")"),"Okinawa")</f>
        <v>Okinawa</v>
      </c>
      <c r="E338" s="4" t="str">
        <f ca="1">IFERROR(__xludf.DUMMYFUNCTION("GOOGLETRANSLATE(C338,""ja"",""vi"")"),"Đấu giá&gt; vé, chứng từ, đặt phòng khách sạn&gt; vé vui chơi giải trí&gt; Âm nhạc&gt; Thế Giới&gt; Okinawa")</f>
        <v>Đấu giá&gt; vé, chứng từ, đặt phòng khách sạn&gt; vé vui chơi giải trí&gt; Âm nhạc&gt; Thế Giới&gt; Okinawa</v>
      </c>
      <c r="F338" t="str">
        <f t="shared" ca="1" si="5"/>
        <v>"2084047221" : "Okinawa",</v>
      </c>
    </row>
    <row r="339" spans="1:6" ht="15.75" customHeight="1">
      <c r="A339" s="14">
        <v>2084047220</v>
      </c>
      <c r="B339" s="14" t="s">
        <v>46</v>
      </c>
      <c r="C339" s="14" t="s">
        <v>5235</v>
      </c>
      <c r="D339" s="5" t="str">
        <f ca="1">IFERROR(__xludf.DUMMYFUNCTION("GOOGLETRANSLATE(B339,""ja"",""vi"")"),"nếu không thì")</f>
        <v>nếu không thì</v>
      </c>
      <c r="E339" s="4" t="str">
        <f ca="1">IFERROR(__xludf.DUMMYFUNCTION("GOOGLETRANSLATE(C339,""ja"",""vi"")"),"Đấu giá&gt; vé, chứng từ, đặt phòng khách sạn&gt; vé vui chơi giải trí&gt; Âm nhạc&gt; Tây&gt; Khác")</f>
        <v>Đấu giá&gt; vé, chứng từ, đặt phòng khách sạn&gt; vé vui chơi giải trí&gt; Âm nhạc&gt; Tây&gt; Khác</v>
      </c>
      <c r="F339" t="str">
        <f t="shared" ca="1" si="5"/>
        <v>"2084047220" : "nếu không thì",</v>
      </c>
    </row>
    <row r="340" spans="1:6" ht="15.75" customHeight="1">
      <c r="A340" s="14">
        <v>2084009080</v>
      </c>
      <c r="B340" s="14" t="s">
        <v>1162</v>
      </c>
      <c r="C340" s="14" t="s">
        <v>5238</v>
      </c>
      <c r="D340" s="5" t="str">
        <f ca="1">IFERROR(__xludf.DUMMYFUNCTION("GOOGLETRANSLATE(B340,""ja"",""vi"")"),"cổ điển")</f>
        <v>cổ điển</v>
      </c>
      <c r="E340" s="4" t="str">
        <f ca="1">IFERROR(__xludf.DUMMYFUNCTION("GOOGLETRANSLATE(C340,""ja"",""vi"")"),"Đấu giá&gt; cuốn sách, tạp chí&gt; nghệ thuật, vui chơi giải trí&gt; âm nhạc, điểm số âm nhạc&gt; nhạc chỉ trích&gt; cổ điển")</f>
        <v>Đấu giá&gt; cuốn sách, tạp chí&gt; nghệ thuật, vui chơi giải trí&gt; âm nhạc, điểm số âm nhạc&gt; nhạc chỉ trích&gt; cổ điển</v>
      </c>
      <c r="F340" t="str">
        <f t="shared" ca="1" si="5"/>
        <v>"2084009080" : "cổ điển",</v>
      </c>
    </row>
    <row r="341" spans="1:6" ht="15.75" customHeight="1">
      <c r="A341" s="14">
        <v>2084009081</v>
      </c>
      <c r="B341" s="14" t="s">
        <v>1176</v>
      </c>
      <c r="C341" s="14" t="s">
        <v>5242</v>
      </c>
      <c r="D341" s="5" t="str">
        <f ca="1">IFERROR(__xludf.DUMMYFUNCTION("GOOGLETRANSLATE(B341,""ja"",""vi"")"),"nhạc jazz")</f>
        <v>nhạc jazz</v>
      </c>
      <c r="E341" s="4" t="str">
        <f ca="1">IFERROR(__xludf.DUMMYFUNCTION("GOOGLETRANSLATE(C341,""ja"",""vi"")"),"Đấu giá&gt; cuốn sách, tạp chí&gt; nghệ thuật, vui chơi giải trí&gt; âm nhạc, điểm số âm nhạc&gt; nhạc chỉ trích&gt; Jazz")</f>
        <v>Đấu giá&gt; cuốn sách, tạp chí&gt; nghệ thuật, vui chơi giải trí&gt; âm nhạc, điểm số âm nhạc&gt; nhạc chỉ trích&gt; Jazz</v>
      </c>
      <c r="F341" t="str">
        <f t="shared" ca="1" si="5"/>
        <v>"2084009081" : "nhạc jazz",</v>
      </c>
    </row>
    <row r="342" spans="1:6" ht="15.75" customHeight="1">
      <c r="A342" s="14">
        <v>2084009082</v>
      </c>
      <c r="B342" s="14" t="s">
        <v>1139</v>
      </c>
      <c r="C342" s="14" t="s">
        <v>5245</v>
      </c>
      <c r="D342" s="5" t="str">
        <f ca="1">IFERROR(__xludf.DUMMYFUNCTION("GOOGLETRANSLATE(B342,""ja"",""vi"")"),"Pop Nhật Bản")</f>
        <v>Pop Nhật Bản</v>
      </c>
      <c r="E342" s="4" t="str">
        <f ca="1">IFERROR(__xludf.DUMMYFUNCTION("GOOGLETRANSLATE(C342,""ja"",""vi"")"),"Đấu giá&gt; cuốn sách, tạp chí&gt; nghệ thuật, vui chơi giải trí&gt; âm nhạc, điểm số âm nhạc&gt; nhà phê bình âm nhạc&gt; Nhật Bản Pop")</f>
        <v>Đấu giá&gt; cuốn sách, tạp chí&gt; nghệ thuật, vui chơi giải trí&gt; âm nhạc, điểm số âm nhạc&gt; nhà phê bình âm nhạc&gt; Nhật Bản Pop</v>
      </c>
      <c r="F342" t="str">
        <f t="shared" ca="1" si="5"/>
        <v>"2084009082" : "Pop Nhật Bản",</v>
      </c>
    </row>
    <row r="343" spans="1:6" ht="15.75" customHeight="1">
      <c r="A343" s="14">
        <v>2084009084</v>
      </c>
      <c r="B343" s="14" t="s">
        <v>5140</v>
      </c>
      <c r="C343" s="14" t="s">
        <v>5250</v>
      </c>
      <c r="D343" s="5" t="str">
        <f ca="1">IFERROR(__xludf.DUMMYFUNCTION("GOOGLETRANSLATE(B343,""ja"",""vi"")"),"vần điệu trẻ, bài hát thiếu nhi")</f>
        <v>vần điệu trẻ, bài hát thiếu nhi</v>
      </c>
      <c r="E343" s="4" t="str">
        <f ca="1">IFERROR(__xludf.DUMMYFUNCTION("GOOGLETRANSLATE(C343,""ja"",""vi"")"),"Đấu giá&gt; cuốn sách, tạp chí&gt; nghệ thuật, vui chơi giải trí&gt; âm nhạc, điểm số âm nhạc&gt; nhạc chỉ trích&gt; vườn ươm vần điệu, bài hát thiếu nhi")</f>
        <v>Đấu giá&gt; cuốn sách, tạp chí&gt; nghệ thuật, vui chơi giải trí&gt; âm nhạc, điểm số âm nhạc&gt; nhạc chỉ trích&gt; vườn ươm vần điệu, bài hát thiếu nhi</v>
      </c>
      <c r="F343" t="str">
        <f t="shared" ca="1" si="5"/>
        <v>"2084009084" : "vần điệu trẻ, bài hát thiếu nhi",</v>
      </c>
    </row>
    <row r="344" spans="1:6" ht="15.75" customHeight="1">
      <c r="A344" s="14">
        <v>2084009085</v>
      </c>
      <c r="B344" s="14" t="s">
        <v>5253</v>
      </c>
      <c r="C344" s="14" t="s">
        <v>5255</v>
      </c>
      <c r="D344" s="5" t="str">
        <f ca="1">IFERROR(__xludf.DUMMYFUNCTION("GOOGLETRANSLATE(B344,""ja"",""vi"")"),"âm nhạc dân gian, làn điệu dân ca")</f>
        <v>âm nhạc dân gian, làn điệu dân ca</v>
      </c>
      <c r="E344" s="4" t="str">
        <f ca="1">IFERROR(__xludf.DUMMYFUNCTION("GOOGLETRANSLATE(C344,""ja"",""vi"")"),"Đấu giá&gt; cuốn sách, tạp chí&gt; nghệ thuật, vui chơi giải trí&gt; âm nhạc, điểm số âm nhạc&gt; nhà phê bình âm nhạc&gt; nhạc dân gian, làn điệu dân ca")</f>
        <v>Đấu giá&gt; cuốn sách, tạp chí&gt; nghệ thuật, vui chơi giải trí&gt; âm nhạc, điểm số âm nhạc&gt; nhà phê bình âm nhạc&gt; nhạc dân gian, làn điệu dân ca</v>
      </c>
      <c r="F344" t="str">
        <f t="shared" ca="1" si="5"/>
        <v>"2084009085" : "âm nhạc dân gian, làn điệu dân ca",</v>
      </c>
    </row>
    <row r="345" spans="1:6" ht="15.75" customHeight="1">
      <c r="A345" s="14">
        <v>2084009083</v>
      </c>
      <c r="B345" s="14" t="s">
        <v>1154</v>
      </c>
      <c r="C345" s="14" t="s">
        <v>5260</v>
      </c>
      <c r="D345" s="5" t="str">
        <f ca="1">IFERROR(__xludf.DUMMYFUNCTION("GOOGLETRANSLATE(B345,""ja"",""vi"")"),"thế giới")</f>
        <v>thế giới</v>
      </c>
      <c r="E345" s="4" t="str">
        <f ca="1">IFERROR(__xludf.DUMMYFUNCTION("GOOGLETRANSLATE(C345,""ja"",""vi"")"),"Đấu giá&gt; cuốn sách, tạp chí&gt; nghệ thuật, vui chơi giải trí&gt; âm nhạc, điểm số âm nhạc&gt; nhạc chỉ trích&gt; Tây")</f>
        <v>Đấu giá&gt; cuốn sách, tạp chí&gt; nghệ thuật, vui chơi giải trí&gt; âm nhạc, điểm số âm nhạc&gt; nhạc chỉ trích&gt; Tây</v>
      </c>
      <c r="F345" t="str">
        <f t="shared" ca="1" si="5"/>
        <v>"2084009083" : "thế giới",</v>
      </c>
    </row>
    <row r="346" spans="1:6" ht="15.75" customHeight="1">
      <c r="A346" s="14">
        <v>2084009087</v>
      </c>
      <c r="B346" s="14" t="s">
        <v>1162</v>
      </c>
      <c r="C346" s="14" t="s">
        <v>5134</v>
      </c>
      <c r="D346" s="5" t="str">
        <f ca="1">IFERROR(__xludf.DUMMYFUNCTION("GOOGLETRANSLATE(B346,""ja"",""vi"")"),"cổ điển")</f>
        <v>cổ điển</v>
      </c>
      <c r="E346" s="4" t="str">
        <f ca="1">IFERROR(__xludf.DUMMYFUNCTION("GOOGLETRANSLATE(C346,""ja"",""vi"")"),"Đấu giá&gt; cuốn sách, tạp chí&gt; nghệ thuật, vui chơi giải trí&gt; âm nhạc, điểm số âm nhạc&gt; điểm âm nhạc&gt; Cổ điển")</f>
        <v>Đấu giá&gt; cuốn sách, tạp chí&gt; nghệ thuật, vui chơi giải trí&gt; âm nhạc, điểm số âm nhạc&gt; điểm âm nhạc&gt; Cổ điển</v>
      </c>
      <c r="F346" t="str">
        <f t="shared" ca="1" si="5"/>
        <v>"2084009087" : "cổ điển",</v>
      </c>
    </row>
    <row r="347" spans="1:6" ht="15.75" customHeight="1">
      <c r="A347" s="14">
        <v>2084009095</v>
      </c>
      <c r="B347" s="14" t="s">
        <v>5137</v>
      </c>
      <c r="C347" s="14" t="s">
        <v>5138</v>
      </c>
      <c r="D347" s="5" t="str">
        <f ca="1">IFERROR(__xludf.DUMMYFUNCTION("GOOGLETRANSLATE(B347,""ja"",""vi"")"),"phổ biến")</f>
        <v>phổ biến</v>
      </c>
      <c r="E347" s="4" t="str">
        <f ca="1">IFERROR(__xludf.DUMMYFUNCTION("GOOGLETRANSLATE(C347,""ja"",""vi"")"),"Đấu giá&gt; cuốn sách, tạp chí&gt; nghệ thuật, vui chơi giải trí&gt; âm nhạc, điểm số âm nhạc&gt; điểm âm nhạc&gt; phổ biến")</f>
        <v>Đấu giá&gt; cuốn sách, tạp chí&gt; nghệ thuật, vui chơi giải trí&gt; âm nhạc, điểm số âm nhạc&gt; điểm âm nhạc&gt; phổ biến</v>
      </c>
      <c r="F347" t="str">
        <f t="shared" ca="1" si="5"/>
        <v>"2084009095" : "phổ biến",</v>
      </c>
    </row>
    <row r="348" spans="1:6" ht="15.75" customHeight="1">
      <c r="A348" s="14">
        <v>2084009103</v>
      </c>
      <c r="B348" s="14" t="s">
        <v>5140</v>
      </c>
      <c r="C348" s="14" t="s">
        <v>5142</v>
      </c>
      <c r="D348" s="5" t="str">
        <f ca="1">IFERROR(__xludf.DUMMYFUNCTION("GOOGLETRANSLATE(B348,""ja"",""vi"")"),"vần điệu trẻ, bài hát thiếu nhi")</f>
        <v>vần điệu trẻ, bài hát thiếu nhi</v>
      </c>
      <c r="E348" s="4" t="str">
        <f ca="1">IFERROR(__xludf.DUMMYFUNCTION("GOOGLETRANSLATE(C348,""ja"",""vi"")"),"Đấu giá&gt; cuốn sách, tạp chí&gt; nghệ thuật, vui chơi giải trí&gt; âm nhạc, điểm số âm nhạc&gt; điểm âm nhạc&gt; vườn ươm vần điệu, bài hát thiếu nhi")</f>
        <v>Đấu giá&gt; cuốn sách, tạp chí&gt; nghệ thuật, vui chơi giải trí&gt; âm nhạc, điểm số âm nhạc&gt; điểm âm nhạc&gt; vườn ươm vần điệu, bài hát thiếu nhi</v>
      </c>
      <c r="F348" t="str">
        <f t="shared" ca="1" si="5"/>
        <v>"2084009103" : "vần điệu trẻ, bài hát thiếu nhi",</v>
      </c>
    </row>
    <row r="349" spans="1:6" ht="15.75" customHeight="1">
      <c r="A349" s="14">
        <v>2084048449</v>
      </c>
      <c r="B349" s="14" t="s">
        <v>46</v>
      </c>
      <c r="C349" s="14" t="s">
        <v>5145</v>
      </c>
      <c r="D349" s="5" t="str">
        <f ca="1">IFERROR(__xludf.DUMMYFUNCTION("GOOGLETRANSLATE(B349,""ja"",""vi"")"),"nếu không thì")</f>
        <v>nếu không thì</v>
      </c>
      <c r="E349" s="4" t="str">
        <f ca="1">IFERROR(__xludf.DUMMYFUNCTION("GOOGLETRANSLATE(C349,""ja"",""vi"")"),"Đấu giá&gt; cuốn sách, tạp chí&gt; nghệ thuật, vui chơi giải trí&gt; âm nhạc, điểm số âm nhạc&gt; điểm âm nhạc&gt; Khác")</f>
        <v>Đấu giá&gt; cuốn sách, tạp chí&gt; nghệ thuật, vui chơi giải trí&gt; âm nhạc, điểm số âm nhạc&gt; điểm âm nhạc&gt; Khác</v>
      </c>
      <c r="F349" t="str">
        <f t="shared" ca="1" si="5"/>
        <v>"2084048449" : "nếu không thì",</v>
      </c>
    </row>
    <row r="350" spans="1:6" ht="15.75" customHeight="1">
      <c r="A350" s="14">
        <v>2084230334</v>
      </c>
      <c r="B350" s="14" t="s">
        <v>5277</v>
      </c>
      <c r="C350" s="14" t="s">
        <v>5278</v>
      </c>
      <c r="D350" s="5" t="str">
        <f ca="1">IFERROR(__xludf.DUMMYFUNCTION("GOOGLETRANSLATE(B350,""ja"",""vi"")"),"gió cụ")</f>
        <v>gió cụ</v>
      </c>
      <c r="E350" s="4" t="str">
        <f ca="1">IFERROR(__xludf.DUMMYFUNCTION("GOOGLETRANSLATE(C350,""ja"",""vi"")"),"Đấu giá&gt; cuốn sách, tạp chí&gt; nghệ thuật, vui chơi giải trí&gt; âm nhạc, điểm số âm nhạc&gt; giáo dục âm nhạc, hướng dẫn&gt; kèn")</f>
        <v>Đấu giá&gt; cuốn sách, tạp chí&gt; nghệ thuật, vui chơi giải trí&gt; âm nhạc, điểm số âm nhạc&gt; giáo dục âm nhạc, hướng dẫn&gt; kèn</v>
      </c>
      <c r="F350" t="str">
        <f t="shared" ca="1" si="5"/>
        <v>"2084230334" : "gió cụ",</v>
      </c>
    </row>
    <row r="351" spans="1:6" ht="15.75" customHeight="1">
      <c r="A351" s="14">
        <v>2084230309</v>
      </c>
      <c r="B351" s="14" t="s">
        <v>5283</v>
      </c>
      <c r="C351" s="14" t="s">
        <v>5284</v>
      </c>
      <c r="D351" s="5" t="str">
        <f ca="1">IFERROR(__xludf.DUMMYFUNCTION("GOOGLETRANSLATE(B351,""ja"",""vi"")"),"công cụ bàn phím")</f>
        <v>công cụ bàn phím</v>
      </c>
      <c r="E351" s="4" t="str">
        <f ca="1">IFERROR(__xludf.DUMMYFUNCTION("GOOGLETRANSLATE(C351,""ja"",""vi"")"),"Đấu giá&gt; cuốn sách, tạp chí&gt; nghệ thuật, vui chơi giải trí&gt; âm nhạc, điểm số âm nhạc&gt; giáo dục âm nhạc, hướng dẫn&gt; công cụ bàn phím")</f>
        <v>Đấu giá&gt; cuốn sách, tạp chí&gt; nghệ thuật, vui chơi giải trí&gt; âm nhạc, điểm số âm nhạc&gt; giáo dục âm nhạc, hướng dẫn&gt; công cụ bàn phím</v>
      </c>
      <c r="F351" t="str">
        <f t="shared" ca="1" si="5"/>
        <v>"2084230309" : "công cụ bàn phím",</v>
      </c>
    </row>
    <row r="352" spans="1:6" ht="15.75" customHeight="1">
      <c r="A352" s="14">
        <v>2084230308</v>
      </c>
      <c r="B352" s="14" t="s">
        <v>5288</v>
      </c>
      <c r="C352" s="14" t="s">
        <v>5289</v>
      </c>
      <c r="D352" s="5" t="str">
        <f ca="1">IFERROR(__xludf.DUMMYFUNCTION("GOOGLETRANSLATE(B352,""ja"",""vi"")"),"nhạc cụ dây")</f>
        <v>nhạc cụ dây</v>
      </c>
      <c r="E352" s="4" t="str">
        <f ca="1">IFERROR(__xludf.DUMMYFUNCTION("GOOGLETRANSLATE(C352,""ja"",""vi"")"),"Đấu giá&gt; cuốn sách, tạp chí&gt; nghệ thuật, vui chơi giải trí&gt; âm nhạc, điểm số âm nhạc&gt; giáo dục âm nhạc, hướng dẫn&gt; loại nhạc cụ")</f>
        <v>Đấu giá&gt; cuốn sách, tạp chí&gt; nghệ thuật, vui chơi giải trí&gt; âm nhạc, điểm số âm nhạc&gt; giáo dục âm nhạc, hướng dẫn&gt; loại nhạc cụ</v>
      </c>
      <c r="F352" t="str">
        <f t="shared" ca="1" si="5"/>
        <v>"2084230308" : "nhạc cụ dây",</v>
      </c>
    </row>
    <row r="353" spans="1:6" ht="15.75" customHeight="1">
      <c r="A353" s="14">
        <v>2084230351</v>
      </c>
      <c r="B353" s="14" t="s">
        <v>5294</v>
      </c>
      <c r="C353" s="14" t="s">
        <v>5295</v>
      </c>
      <c r="D353" s="5" t="str">
        <f ca="1">IFERROR(__xludf.DUMMYFUNCTION("GOOGLETRANSLATE(B353,""ja"",""vi"")"),"bộ gõ nhạc cụ")</f>
        <v>bộ gõ nhạc cụ</v>
      </c>
      <c r="E353" s="4" t="str">
        <f ca="1">IFERROR(__xludf.DUMMYFUNCTION("GOOGLETRANSLATE(C353,""ja"",""vi"")"),"Đấu giá&gt; cuốn sách, tạp chí&gt; nghệ thuật, vui chơi giải trí&gt; âm nhạc, điểm số âm nhạc&gt; giáo dục âm nhạc, hướng dẫn&gt; nhạc cụ gõ")</f>
        <v>Đấu giá&gt; cuốn sách, tạp chí&gt; nghệ thuật, vui chơi giải trí&gt; âm nhạc, điểm số âm nhạc&gt; giáo dục âm nhạc, hướng dẫn&gt; nhạc cụ gõ</v>
      </c>
      <c r="F353" t="str">
        <f t="shared" ca="1" si="5"/>
        <v>"2084230351" : "bộ gõ nhạc cụ",</v>
      </c>
    </row>
    <row r="354" spans="1:6" ht="15.75" customHeight="1">
      <c r="A354" s="14">
        <v>2084230352</v>
      </c>
      <c r="B354" s="14" t="s">
        <v>46</v>
      </c>
      <c r="C354" s="14" t="s">
        <v>5301</v>
      </c>
      <c r="D354" s="5" t="str">
        <f ca="1">IFERROR(__xludf.DUMMYFUNCTION("GOOGLETRANSLATE(B354,""ja"",""vi"")"),"nếu không thì")</f>
        <v>nếu không thì</v>
      </c>
      <c r="E354" s="4" t="str">
        <f ca="1">IFERROR(__xludf.DUMMYFUNCTION("GOOGLETRANSLATE(C354,""ja"",""vi"")"),"Đấu giá&gt; cuốn sách, tạp chí&gt; nghệ thuật, vui chơi giải trí&gt; âm nhạc, điểm số âm nhạc&gt; giáo dục âm nhạc, hướng dẫn&gt; Khác")</f>
        <v>Đấu giá&gt; cuốn sách, tạp chí&gt; nghệ thuật, vui chơi giải trí&gt; âm nhạc, điểm số âm nhạc&gt; giáo dục âm nhạc, hướng dẫn&gt; Khác</v>
      </c>
      <c r="F354" t="str">
        <f t="shared" ca="1" si="5"/>
        <v>"2084230352" : "nếu không thì",</v>
      </c>
    </row>
    <row r="355" spans="1:6" ht="15.75" customHeight="1">
      <c r="A355" s="14">
        <v>2084033845</v>
      </c>
      <c r="B355" s="14" t="s">
        <v>934</v>
      </c>
      <c r="C355" s="14" t="s">
        <v>935</v>
      </c>
      <c r="D355" s="5" t="str">
        <f ca="1">IFERROR(__xludf.DUMMYFUNCTION("GOOGLETRANSLATE(B355,""ja"",""vi"")"),"Tiểu luận")</f>
        <v>Tiểu luận</v>
      </c>
      <c r="E355" s="4" t="str">
        <f ca="1">IFERROR(__xludf.DUMMYFUNCTION("GOOGLETRANSLATE(C355,""ja"",""vi"")"),"Đấu giá&gt; Sách, tạp chí&gt; Nghệ thuật &amp; giải trí&gt; Phim ảnh, truyền hình&gt; cuốn sách tài năng&gt; Nhạc sĩ của này&gt; tiểu luận")</f>
        <v>Đấu giá&gt; Sách, tạp chí&gt; Nghệ thuật &amp; giải trí&gt; Phim ảnh, truyền hình&gt; cuốn sách tài năng&gt; Nhạc sĩ của này&gt; tiểu luận</v>
      </c>
      <c r="F355" t="str">
        <f t="shared" ca="1" si="5"/>
        <v>"2084033845" : "Tiểu luận",</v>
      </c>
    </row>
    <row r="356" spans="1:6" ht="15.75" customHeight="1">
      <c r="A356" s="14">
        <v>2084033846</v>
      </c>
      <c r="B356" s="14" t="s">
        <v>942</v>
      </c>
      <c r="C356" s="14" t="s">
        <v>943</v>
      </c>
      <c r="D356" s="5" t="str">
        <f ca="1">IFERROR(__xludf.DUMMYFUNCTION("GOOGLETRANSLATE(B356,""ja"",""vi"")"),"Tự truyện, giáo dục")</f>
        <v>Tự truyện, giáo dục</v>
      </c>
      <c r="E356" s="4" t="str">
        <f ca="1">IFERROR(__xludf.DUMMYFUNCTION("GOOGLETRANSLATE(C356,""ja"",""vi"")"),"Đấu giá&gt; Sách, tạp chí&gt; Nghệ thuật &amp; giải trí&gt; Phim ảnh, truyền hình&gt; cuốn sách tài năng&gt; Nhạc sĩ của này&gt; cuốn tự truyện, giáo dục")</f>
        <v>Đấu giá&gt; Sách, tạp chí&gt; Nghệ thuật &amp; giải trí&gt; Phim ảnh, truyền hình&gt; cuốn sách tài năng&gt; Nhạc sĩ của này&gt; cuốn tự truyện, giáo dục</v>
      </c>
      <c r="F356" t="str">
        <f t="shared" ca="1" si="5"/>
        <v>"2084033846" : "Tự truyện, giáo dục",</v>
      </c>
    </row>
    <row r="357" spans="1:6" ht="15.75" customHeight="1">
      <c r="A357" s="14">
        <v>2084033844</v>
      </c>
      <c r="B357" s="14" t="s">
        <v>950</v>
      </c>
      <c r="C357" s="14" t="s">
        <v>951</v>
      </c>
      <c r="D357" s="5" t="str">
        <f ca="1">IFERROR(__xludf.DUMMYFUNCTION("GOOGLETRANSLATE(B357,""ja"",""vi"")"),"tiểu thuyết")</f>
        <v>tiểu thuyết</v>
      </c>
      <c r="E357" s="4" t="str">
        <f ca="1">IFERROR(__xludf.DUMMYFUNCTION("GOOGLETRANSLATE(C357,""ja"",""vi"")"),"Đấu giá&gt; Sách, tạp chí&gt; Nghệ thuật &amp; giải trí&gt; Phim ảnh, truyền hình&gt; cuốn sách tài năng&gt; Nhạc sĩ của này&gt; Fiction")</f>
        <v>Đấu giá&gt; Sách, tạp chí&gt; Nghệ thuật &amp; giải trí&gt; Phim ảnh, truyền hình&gt; cuốn sách tài năng&gt; Nhạc sĩ của này&gt; Fiction</v>
      </c>
      <c r="F357" t="str">
        <f t="shared" ca="1" si="5"/>
        <v>"2084033844" : "tiểu thuyết",</v>
      </c>
    </row>
    <row r="358" spans="1:6" ht="15.75" customHeight="1">
      <c r="A358" s="14">
        <v>2084033847</v>
      </c>
      <c r="B358" s="14" t="s">
        <v>46</v>
      </c>
      <c r="C358" s="14" t="s">
        <v>958</v>
      </c>
      <c r="D358" s="5" t="str">
        <f ca="1">IFERROR(__xludf.DUMMYFUNCTION("GOOGLETRANSLATE(B358,""ja"",""vi"")"),"nếu không thì")</f>
        <v>nếu không thì</v>
      </c>
      <c r="E358" s="4" t="str">
        <f ca="1">IFERROR(__xludf.DUMMYFUNCTION("GOOGLETRANSLATE(C358,""ja"",""vi"")"),"Đấu giá&gt; Sách, tạp chí&gt; Nghệ thuật &amp; giải trí&gt; Phim ảnh, truyền hình&gt; cuốn sách tài năng&gt; Nhạc sĩ của này&gt; Khác")</f>
        <v>Đấu giá&gt; Sách, tạp chí&gt; Nghệ thuật &amp; giải trí&gt; Phim ảnh, truyền hình&gt; cuốn sách tài năng&gt; Nhạc sĩ của này&gt; Khác</v>
      </c>
      <c r="F358" t="str">
        <f t="shared" ca="1" si="5"/>
        <v>"2084033847" : "nếu không thì",</v>
      </c>
    </row>
    <row r="359" spans="1:6" ht="15.75" customHeight="1">
      <c r="A359" s="14">
        <v>2084033876</v>
      </c>
      <c r="B359" s="14" t="s">
        <v>5324</v>
      </c>
      <c r="C359" s="14" t="s">
        <v>5325</v>
      </c>
      <c r="D359" s="5" t="str">
        <f ca="1">IFERROR(__xludf.DUMMYFUNCTION("GOOGLETRANSLATE(B359,""ja"",""vi"")"),"CD thông tin, xếp hạng")</f>
        <v>CD thông tin, xếp hạng</v>
      </c>
      <c r="E359" s="4" t="str">
        <f ca="1">IFERROR(__xludf.DUMMYFUNCTION("GOOGLETRANSLATE(C359,""ja"",""vi"")"),"Đấu giá&gt; Sách, tạp chí&gt; Tạp chí&gt; Nghệ thuật &amp; giải trí&gt; Âm nhạc&gt; Thông tin CD, đứng")</f>
        <v>Đấu giá&gt; Sách, tạp chí&gt; Tạp chí&gt; Nghệ thuật &amp; giải trí&gt; Âm nhạc&gt; Thông tin CD, đứng</v>
      </c>
      <c r="F359" t="str">
        <f t="shared" ca="1" si="5"/>
        <v>"2084033876" : "CD thông tin, xếp hạng",</v>
      </c>
    </row>
    <row r="360" spans="1:6" ht="15.75" customHeight="1">
      <c r="A360" s="14">
        <v>2084008062</v>
      </c>
      <c r="B360" s="14" t="s">
        <v>1162</v>
      </c>
      <c r="C360" s="14" t="s">
        <v>5329</v>
      </c>
      <c r="D360" s="5" t="str">
        <f ca="1">IFERROR(__xludf.DUMMYFUNCTION("GOOGLETRANSLATE(B360,""ja"",""vi"")"),"cổ điển")</f>
        <v>cổ điển</v>
      </c>
      <c r="E360" s="4" t="str">
        <f ca="1">IFERROR(__xludf.DUMMYFUNCTION("GOOGLETRANSLATE(C360,""ja"",""vi"")"),"Đấu giá&gt; Sách, tạp chí&gt; Tạp chí&gt; Nghệ thuật &amp; giải trí&gt; Âm nhạc&gt; Cổ điển")</f>
        <v>Đấu giá&gt; Sách, tạp chí&gt; Tạp chí&gt; Nghệ thuật &amp; giải trí&gt; Âm nhạc&gt; Cổ điển</v>
      </c>
      <c r="F360" t="str">
        <f t="shared" ca="1" si="5"/>
        <v>"2084008062" : "cổ điển",</v>
      </c>
    </row>
    <row r="361" spans="1:6" ht="15.75" customHeight="1">
      <c r="A361" s="14">
        <v>2084008029</v>
      </c>
      <c r="B361" s="14" t="s">
        <v>5334</v>
      </c>
      <c r="C361" s="14" t="s">
        <v>5336</v>
      </c>
      <c r="D361" s="5" t="str">
        <f ca="1">IFERROR(__xludf.DUMMYFUNCTION("GOOGLETRANSLATE(B361,""ja"",""vi"")"),"nhạc máy tính")</f>
        <v>nhạc máy tính</v>
      </c>
      <c r="E361" s="4" t="str">
        <f ca="1">IFERROR(__xludf.DUMMYFUNCTION("GOOGLETRANSLATE(C361,""ja"",""vi"")"),"Đấu giá&gt; Sách, tạp chí&gt; Tạp chí&gt; Nghệ thuật &amp; giải trí&gt; Âm nhạc&gt; Máy tính Âm nhạc")</f>
        <v>Đấu giá&gt; Sách, tạp chí&gt; Tạp chí&gt; Nghệ thuật &amp; giải trí&gt; Âm nhạc&gt; Máy tính Âm nhạc</v>
      </c>
      <c r="F361" t="str">
        <f t="shared" ca="1" si="5"/>
        <v>"2084008029" : "nhạc máy tính",</v>
      </c>
    </row>
    <row r="362" spans="1:6" ht="15.75" customHeight="1">
      <c r="A362" s="14">
        <v>2084008063</v>
      </c>
      <c r="B362" s="14" t="s">
        <v>1176</v>
      </c>
      <c r="C362" s="14" t="s">
        <v>5340</v>
      </c>
      <c r="D362" s="5" t="str">
        <f ca="1">IFERROR(__xludf.DUMMYFUNCTION("GOOGLETRANSLATE(B362,""ja"",""vi"")"),"nhạc jazz")</f>
        <v>nhạc jazz</v>
      </c>
      <c r="E362" s="4" t="str">
        <f ca="1">IFERROR(__xludf.DUMMYFUNCTION("GOOGLETRANSLATE(C362,""ja"",""vi"")"),"Đấu giá&gt; Sách, tạp chí&gt; Tạp chí&gt; Nghệ thuật &amp; giải trí&gt; Âm nhạc&gt; Nhạc Jazz")</f>
        <v>Đấu giá&gt; Sách, tạp chí&gt; Tạp chí&gt; Nghệ thuật &amp; giải trí&gt; Âm nhạc&gt; Nhạc Jazz</v>
      </c>
      <c r="F362" t="str">
        <f t="shared" ca="1" si="5"/>
        <v>"2084008063" : "nhạc jazz",</v>
      </c>
    </row>
    <row r="363" spans="1:6" ht="15.75" customHeight="1">
      <c r="A363" s="14">
        <v>2084008064</v>
      </c>
      <c r="B363" s="14" t="s">
        <v>1139</v>
      </c>
      <c r="C363" s="14" t="s">
        <v>5345</v>
      </c>
      <c r="D363" s="5" t="str">
        <f ca="1">IFERROR(__xludf.DUMMYFUNCTION("GOOGLETRANSLATE(B363,""ja"",""vi"")"),"Pop Nhật Bản")</f>
        <v>Pop Nhật Bản</v>
      </c>
      <c r="E363" s="4" t="str">
        <f ca="1">IFERROR(__xludf.DUMMYFUNCTION("GOOGLETRANSLATE(C363,""ja"",""vi"")"),"Đấu giá&gt; Sách, tạp chí&gt; Tạp chí&gt; Nghệ thuật &amp; giải trí&gt; Âm nhạc&gt; Pop Nhật Bản")</f>
        <v>Đấu giá&gt; Sách, tạp chí&gt; Tạp chí&gt; Nghệ thuật &amp; giải trí&gt; Âm nhạc&gt; Pop Nhật Bản</v>
      </c>
      <c r="F363" t="str">
        <f t="shared" ca="1" si="5"/>
        <v>"2084008064" : "Pop Nhật Bản",</v>
      </c>
    </row>
    <row r="364" spans="1:6" ht="15.75" customHeight="1">
      <c r="A364" s="14">
        <v>2084008059</v>
      </c>
      <c r="B364" s="14" t="s">
        <v>5349</v>
      </c>
      <c r="C364" s="14" t="s">
        <v>5351</v>
      </c>
      <c r="D364" s="5" t="str">
        <f ca="1">IFERROR(__xludf.DUMMYFUNCTION("GOOGLETRANSLATE(B364,""ja"",""vi"")"),"nhạc cụ")</f>
        <v>nhạc cụ</v>
      </c>
      <c r="E364" s="4" t="str">
        <f ca="1">IFERROR(__xludf.DUMMYFUNCTION("GOOGLETRANSLATE(C364,""ja"",""vi"")"),"Đấu giá&gt; Sách, tạp chí&gt; Tạp chí&gt; Nghệ thuật &amp; giải trí&gt; Âm nhạc&gt; Nhạc cụ")</f>
        <v>Đấu giá&gt; Sách, tạp chí&gt; Tạp chí&gt; Nghệ thuật &amp; giải trí&gt; Âm nhạc&gt; Nhạc cụ</v>
      </c>
      <c r="F364" t="str">
        <f t="shared" ca="1" si="5"/>
        <v>"2084008059" : "nhạc cụ",</v>
      </c>
    </row>
    <row r="365" spans="1:6" ht="15.75" customHeight="1">
      <c r="A365" s="14">
        <v>2084008061</v>
      </c>
      <c r="B365" s="14" t="s">
        <v>1154</v>
      </c>
      <c r="C365" s="14" t="s">
        <v>5354</v>
      </c>
      <c r="D365" s="5" t="str">
        <f ca="1">IFERROR(__xludf.DUMMYFUNCTION("GOOGLETRANSLATE(B365,""ja"",""vi"")"),"thế giới")</f>
        <v>thế giới</v>
      </c>
      <c r="E365" s="4" t="str">
        <f ca="1">IFERROR(__xludf.DUMMYFUNCTION("GOOGLETRANSLATE(C365,""ja"",""vi"")"),"Đấu giá&gt; Sách, tạp chí&gt; Tạp chí&gt; Nghệ thuật &amp; giải trí&gt; Âm nhạc&gt; Tây")</f>
        <v>Đấu giá&gt; Sách, tạp chí&gt; Tạp chí&gt; Nghệ thuật &amp; giải trí&gt; Âm nhạc&gt; Tây</v>
      </c>
      <c r="F365" t="str">
        <f t="shared" ca="1" si="5"/>
        <v>"2084008061" : "thế giới",</v>
      </c>
    </row>
    <row r="366" spans="1:6" ht="15.75" customHeight="1">
      <c r="A366" s="14">
        <v>2084008065</v>
      </c>
      <c r="B366" s="14" t="s">
        <v>46</v>
      </c>
      <c r="C366" s="14" t="s">
        <v>5357</v>
      </c>
      <c r="D366" s="5" t="str">
        <f ca="1">IFERROR(__xludf.DUMMYFUNCTION("GOOGLETRANSLATE(B366,""ja"",""vi"")"),"nếu không thì")</f>
        <v>nếu không thì</v>
      </c>
      <c r="E366" s="4" t="str">
        <f ca="1">IFERROR(__xludf.DUMMYFUNCTION("GOOGLETRANSLATE(C366,""ja"",""vi"")"),"Đấu giá&gt; Sách, tạp chí&gt; Tạp chí&gt; Nghệ thuật &amp; giải trí&gt; Âm nhạc&gt; Khác")</f>
        <v>Đấu giá&gt; Sách, tạp chí&gt; Tạp chí&gt; Nghệ thuật &amp; giải trí&gt; Âm nhạc&gt; Khác</v>
      </c>
      <c r="F366" t="str">
        <f t="shared" ca="1" si="5"/>
        <v>"2084008065" : "nếu không thì",</v>
      </c>
    </row>
    <row r="367" spans="1:6" ht="15.75" customHeight="1">
      <c r="A367" s="14">
        <v>2084008368</v>
      </c>
      <c r="B367" s="14" t="s">
        <v>1139</v>
      </c>
      <c r="C367" s="14" t="s">
        <v>1745</v>
      </c>
      <c r="D367" s="5" t="str">
        <f ca="1">IFERROR(__xludf.DUMMYFUNCTION("GOOGLETRANSLATE(B367,""ja"",""vi"")"),"Pop Nhật Bản")</f>
        <v>Pop Nhật Bản</v>
      </c>
      <c r="E367" s="4" t="str">
        <f ca="1">IFERROR(__xludf.DUMMYFUNCTION("GOOGLETRANSLATE(C367,""ja"",""vi"")"),"Đấu giá&gt; cổ, bộ sưu tập&gt; hàng linh tinh&gt; dán&gt; nhạc sĩ&gt; Pop Nhật Bản")</f>
        <v>Đấu giá&gt; cổ, bộ sưu tập&gt; hàng linh tinh&gt; dán&gt; nhạc sĩ&gt; Pop Nhật Bản</v>
      </c>
      <c r="F367" t="str">
        <f t="shared" ca="1" si="5"/>
        <v>"2084008368" : "Pop Nhật Bản",</v>
      </c>
    </row>
    <row r="368" spans="1:6" ht="15.75" customHeight="1">
      <c r="A368" s="14">
        <v>2084008369</v>
      </c>
      <c r="B368" s="14" t="s">
        <v>1751</v>
      </c>
      <c r="C368" s="14" t="s">
        <v>1753</v>
      </c>
      <c r="D368" s="5" t="str">
        <f ca="1">IFERROR(__xludf.DUMMYFUNCTION("GOOGLETRANSLATE(B368,""ja"",""vi"")"),"Rock, Pop (Western)")</f>
        <v>Rock, Pop (Western)</v>
      </c>
      <c r="E368" s="4" t="str">
        <f ca="1">IFERROR(__xludf.DUMMYFUNCTION("GOOGLETRANSLATE(C368,""ja"",""vi"")"),"Đấu giá&gt; cổ, bộ sưu tập&gt; hàng linh tinh&gt; dán&gt; nhạc sĩ&gt; Rock, Pop (Western)")</f>
        <v>Đấu giá&gt; cổ, bộ sưu tập&gt; hàng linh tinh&gt; dán&gt; nhạc sĩ&gt; Rock, Pop (Western)</v>
      </c>
      <c r="F368" t="str">
        <f t="shared" ca="1" si="5"/>
        <v>"2084008369" : "Rock, Pop (Western)",</v>
      </c>
    </row>
    <row r="369" spans="1:6" ht="15.75" customHeight="1">
      <c r="A369" s="14">
        <v>2084008370</v>
      </c>
      <c r="B369" s="14" t="s">
        <v>46</v>
      </c>
      <c r="C369" s="14" t="s">
        <v>1760</v>
      </c>
      <c r="D369" s="5" t="str">
        <f ca="1">IFERROR(__xludf.DUMMYFUNCTION("GOOGLETRANSLATE(B369,""ja"",""vi"")"),"nếu không thì")</f>
        <v>nếu không thì</v>
      </c>
      <c r="E369" s="4" t="str">
        <f ca="1">IFERROR(__xludf.DUMMYFUNCTION("GOOGLETRANSLATE(C369,""ja"",""vi"")"),"Đấu giá&gt; cổ, bộ sưu tập&gt; hàng linh tinh&gt; dán&gt; nhạc sĩ&gt; Khác")</f>
        <v>Đấu giá&gt; cổ, bộ sưu tập&gt; hàng linh tinh&gt; dán&gt; nhạc sĩ&gt; Khác</v>
      </c>
      <c r="F369" t="str">
        <f t="shared" ca="1" si="5"/>
        <v>"2084008370" : "nếu không thì",</v>
      </c>
    </row>
    <row r="370" spans="1:6" ht="15.75" customHeight="1">
      <c r="A370" s="14">
        <v>2084005108</v>
      </c>
      <c r="B370" s="14" t="s">
        <v>1771</v>
      </c>
      <c r="C370" s="14" t="s">
        <v>1772</v>
      </c>
      <c r="D370" s="5" t="str">
        <f ca="1">IFERROR(__xludf.DUMMYFUNCTION("GOOGLETRANSLATE(B370,""ja"",""vi"")"),"nhóm")</f>
        <v>nhóm</v>
      </c>
      <c r="E370" s="4" t="str">
        <f ca="1">IFERROR(__xludf.DUMMYFUNCTION("GOOGLETRANSLATE(C370,""ja"",""vi"")"),"Đấu giá&gt; vé, chứng từ, đặt phòng khách sạn&gt; Thẻ trả trước&gt; Thẻ điện thoại&gt; nhạc sĩ&gt; nhóm")</f>
        <v>Đấu giá&gt; vé, chứng từ, đặt phòng khách sạn&gt; Thẻ trả trước&gt; Thẻ điện thoại&gt; nhạc sĩ&gt; nhóm</v>
      </c>
      <c r="F370" t="str">
        <f t="shared" ca="1" si="5"/>
        <v>"2084005108" : "nhóm",</v>
      </c>
    </row>
    <row r="371" spans="1:6" ht="15.75" customHeight="1">
      <c r="A371" s="14">
        <v>2084005107</v>
      </c>
      <c r="B371" s="14" t="s">
        <v>1778</v>
      </c>
      <c r="C371" s="14" t="s">
        <v>1781</v>
      </c>
      <c r="D371" s="5" t="str">
        <f ca="1">IFERROR(__xludf.DUMMYFUNCTION("GOOGLETRANSLATE(B371,""ja"",""vi"")"),"đàn bà")</f>
        <v>đàn bà</v>
      </c>
      <c r="E371" s="4" t="str">
        <f ca="1">IFERROR(__xludf.DUMMYFUNCTION("GOOGLETRANSLATE(C371,""ja"",""vi"")"),"Đấu giá&gt; vé, chứng từ, đặt phòng khách sạn&gt; Thẻ trả trước&gt; Thẻ điện thoại&gt; nhạc sĩ&gt; phụ nữ")</f>
        <v>Đấu giá&gt; vé, chứng từ, đặt phòng khách sạn&gt; Thẻ trả trước&gt; Thẻ điện thoại&gt; nhạc sĩ&gt; phụ nữ</v>
      </c>
      <c r="F371" t="str">
        <f t="shared" ca="1" si="5"/>
        <v>"2084005107" : "đàn bà",</v>
      </c>
    </row>
    <row r="372" spans="1:6" ht="15.75" customHeight="1">
      <c r="A372" s="14">
        <v>2084005106</v>
      </c>
      <c r="B372" s="14" t="s">
        <v>1787</v>
      </c>
      <c r="C372" s="14" t="s">
        <v>1789</v>
      </c>
      <c r="D372" s="5" t="str">
        <f ca="1">IFERROR(__xludf.DUMMYFUNCTION("GOOGLETRANSLATE(B372,""ja"",""vi"")"),"người")</f>
        <v>người</v>
      </c>
      <c r="E372" s="4" t="str">
        <f ca="1">IFERROR(__xludf.DUMMYFUNCTION("GOOGLETRANSLATE(C372,""ja"",""vi"")"),"Đấu giá&gt; vé, chứng từ, đặt phòng khách sạn&gt; Thẻ trả trước&gt; Thẻ điện thoại&gt; nhạc sĩ&gt; Đàn ông")</f>
        <v>Đấu giá&gt; vé, chứng từ, đặt phòng khách sạn&gt; Thẻ trả trước&gt; Thẻ điện thoại&gt; nhạc sĩ&gt; Đàn ông</v>
      </c>
      <c r="F372" t="str">
        <f t="shared" ca="1" si="5"/>
        <v>"2084005106" : "người",</v>
      </c>
    </row>
    <row r="373" spans="1:6" ht="15.75" customHeight="1">
      <c r="A373" s="14">
        <v>2084054970</v>
      </c>
      <c r="B373" s="14" t="s">
        <v>554</v>
      </c>
      <c r="C373" s="14" t="s">
        <v>556</v>
      </c>
      <c r="D373" s="5" t="str">
        <f ca="1">IFERROR(__xludf.DUMMYFUNCTION("GOOGLETRANSLATE(B373,""ja"",""vi"")"),"hàng nitơ")</f>
        <v>hàng nitơ</v>
      </c>
      <c r="E373" s="4" t="str">
        <f ca="1">IFERROR(__xludf.DUMMYFUNCTION("GOOGLETRANSLATE(C373,""ja"",""vi"")"),"Đấu giá&gt; hàng Talent&gt; người, theo nhóm&gt; nhạc sĩ&gt; hàng nitơ")</f>
        <v>Đấu giá&gt; hàng Talent&gt; người, theo nhóm&gt; nhạc sĩ&gt; hàng nitơ</v>
      </c>
      <c r="F373" t="str">
        <f t="shared" ca="1" si="5"/>
        <v>"2084054970" : "hàng nitơ",</v>
      </c>
    </row>
    <row r="374" spans="1:6" ht="15.75" customHeight="1">
      <c r="A374" s="14">
        <v>2084054971</v>
      </c>
      <c r="B374" s="14" t="s">
        <v>562</v>
      </c>
      <c r="C374" s="14" t="s">
        <v>564</v>
      </c>
      <c r="D374" s="5" t="str">
        <f ca="1">IFERROR(__xludf.DUMMYFUNCTION("GOOGLETRANSLATE(B374,""ja"",""vi"")"),"hoặc hàng")</f>
        <v>hoặc hàng</v>
      </c>
      <c r="E374" s="4" t="str">
        <f ca="1">IFERROR(__xludf.DUMMYFUNCTION("GOOGLETRANSLATE(C374,""ja"",""vi"")"),"Đấu giá&gt; hàng Talent&gt; người, theo nhóm&gt; nhạc sĩ&gt; hoặc hàng")</f>
        <v>Đấu giá&gt; hàng Talent&gt; người, theo nhóm&gt; nhạc sĩ&gt; hoặc hàng</v>
      </c>
      <c r="F374" t="str">
        <f t="shared" ca="1" si="5"/>
        <v>"2084054971" : "hoặc hàng",</v>
      </c>
    </row>
    <row r="375" spans="1:6" ht="15.75" customHeight="1">
      <c r="A375" s="14">
        <v>2084054972</v>
      </c>
      <c r="B375" s="14" t="s">
        <v>570</v>
      </c>
      <c r="C375" s="14" t="s">
        <v>572</v>
      </c>
      <c r="D375" s="5" t="str">
        <f ca="1">IFERROR(__xludf.DUMMYFUNCTION("GOOGLETRANSLATE(B375,""ja"",""vi"")"),"Các chữ s")</f>
        <v>Các chữ s</v>
      </c>
      <c r="E375" s="4" t="str">
        <f ca="1">IFERROR(__xludf.DUMMYFUNCTION("GOOGLETRANSLATE(C375,""ja"",""vi"")"),"Đấu giá&gt; hàng Talent&gt; người, theo nhóm&gt; nhạc sĩ&gt; chữ s")</f>
        <v>Đấu giá&gt; hàng Talent&gt; người, theo nhóm&gt; nhạc sĩ&gt; chữ s</v>
      </c>
      <c r="F375" t="str">
        <f t="shared" ca="1" si="5"/>
        <v>"2084054972" : "Các chữ s",</v>
      </c>
    </row>
    <row r="376" spans="1:6" ht="15.75" customHeight="1">
      <c r="A376" s="14">
        <v>2084054973</v>
      </c>
      <c r="B376" s="14" t="s">
        <v>578</v>
      </c>
      <c r="C376" s="14" t="s">
        <v>580</v>
      </c>
      <c r="D376" s="5" t="str">
        <f ca="1">IFERROR(__xludf.DUMMYFUNCTION("GOOGLETRANSLATE(B376,""ja"",""vi"")"),"Tagyo")</f>
        <v>Tagyo</v>
      </c>
      <c r="E376" s="4" t="str">
        <f ca="1">IFERROR(__xludf.DUMMYFUNCTION("GOOGLETRANSLATE(C376,""ja"",""vi"")"),"Đấu giá&gt; hàng Talent&gt; người, theo nhóm&gt; nhạc sĩ&gt; Tagyo")</f>
        <v>Đấu giá&gt; hàng Talent&gt; người, theo nhóm&gt; nhạc sĩ&gt; Tagyo</v>
      </c>
      <c r="F376" t="str">
        <f t="shared" ca="1" si="5"/>
        <v>"2084054973" : "Tagyo",</v>
      </c>
    </row>
    <row r="377" spans="1:6" ht="15.75" customHeight="1">
      <c r="A377" s="14">
        <v>2084054974</v>
      </c>
      <c r="B377" s="14" t="s">
        <v>587</v>
      </c>
      <c r="C377" s="14" t="s">
        <v>589</v>
      </c>
      <c r="D377" s="5" t="str">
        <f ca="1">IFERROR(__xludf.DUMMYFUNCTION("GOOGLETRANSLATE(B377,""ja"",""vi"")"),"Một dòng")</f>
        <v>Một dòng</v>
      </c>
      <c r="E377" s="4" t="str">
        <f ca="1">IFERROR(__xludf.DUMMYFUNCTION("GOOGLETRANSLATE(C377,""ja"",""vi"")"),"Đấu giá&gt; hàng Talent&gt; người, theo nhóm&gt; nhạc sĩ&gt; hàng")</f>
        <v>Đấu giá&gt; hàng Talent&gt; người, theo nhóm&gt; nhạc sĩ&gt; hàng</v>
      </c>
      <c r="F377" t="str">
        <f t="shared" ca="1" si="5"/>
        <v>"2084054974" : "Một dòng",</v>
      </c>
    </row>
    <row r="378" spans="1:6" ht="15.75" customHeight="1">
      <c r="A378" s="14">
        <v>2084054975</v>
      </c>
      <c r="B378" s="14" t="s">
        <v>592</v>
      </c>
      <c r="C378" s="14" t="s">
        <v>595</v>
      </c>
      <c r="D378" s="5" t="str">
        <f ca="1">IFERROR(__xludf.DUMMYFUNCTION("GOOGLETRANSLATE(B378,""ja"",""vi"")"),"hàng")</f>
        <v>hàng</v>
      </c>
      <c r="E378" s="4" t="str">
        <f ca="1">IFERROR(__xludf.DUMMYFUNCTION("GOOGLETRANSLATE(C378,""ja"",""vi"")"),"Đấu giá&gt; hàng Talent&gt; người, theo nhóm&gt; nhạc sĩ&gt; hàng")</f>
        <v>Đấu giá&gt; hàng Talent&gt; người, theo nhóm&gt; nhạc sĩ&gt; hàng</v>
      </c>
      <c r="F378" t="str">
        <f t="shared" ca="1" si="5"/>
        <v>"2084054975" : "hàng",</v>
      </c>
    </row>
    <row r="379" spans="1:6" ht="15.75" customHeight="1">
      <c r="A379" s="14">
        <v>2084054976</v>
      </c>
      <c r="B379" s="14" t="s">
        <v>600</v>
      </c>
      <c r="C379" s="14" t="s">
        <v>602</v>
      </c>
      <c r="D379" s="5" t="str">
        <f ca="1">IFERROR(__xludf.DUMMYFUNCTION("GOOGLETRANSLATE(B379,""ja"",""vi"")"),"hoặc dòng")</f>
        <v>hoặc dòng</v>
      </c>
      <c r="E379" s="4" t="str">
        <f ca="1">IFERROR(__xludf.DUMMYFUNCTION("GOOGLETRANSLATE(C379,""ja"",""vi"")"),"Đấu giá&gt; hàng Talent&gt; người, theo nhóm&gt; nhạc sĩ&gt; hoặc hàng")</f>
        <v>Đấu giá&gt; hàng Talent&gt; người, theo nhóm&gt; nhạc sĩ&gt; hoặc hàng</v>
      </c>
      <c r="F379" t="str">
        <f t="shared" ca="1" si="5"/>
        <v>"2084054976" : "hoặc dòng",</v>
      </c>
    </row>
    <row r="380" spans="1:6" ht="15.75" customHeight="1">
      <c r="A380" s="14">
        <v>2084054977</v>
      </c>
      <c r="B380" s="14" t="s">
        <v>608</v>
      </c>
      <c r="C380" s="14" t="s">
        <v>610</v>
      </c>
      <c r="D380" s="5" t="str">
        <f ca="1">IFERROR(__xludf.DUMMYFUNCTION("GOOGLETRANSLATE(B380,""ja"",""vi"")"),"hoặc hàng")</f>
        <v>hoặc hàng</v>
      </c>
      <c r="E380" s="4" t="str">
        <f ca="1">IFERROR(__xludf.DUMMYFUNCTION("GOOGLETRANSLATE(C380,""ja"",""vi"")"),"Đấu giá&gt; hàng Talent&gt; người, theo nhóm&gt; nhạc sĩ&gt; hoặc hàng")</f>
        <v>Đấu giá&gt; hàng Talent&gt; người, theo nhóm&gt; nhạc sĩ&gt; hoặc hàng</v>
      </c>
      <c r="F380" t="str">
        <f t="shared" ca="1" si="5"/>
        <v>"2084054977" : "hoặc hàng",</v>
      </c>
    </row>
    <row r="381" spans="1:6" ht="15.75" customHeight="1">
      <c r="A381" s="14">
        <v>2084054978</v>
      </c>
      <c r="B381" s="14" t="s">
        <v>614</v>
      </c>
      <c r="C381" s="14" t="s">
        <v>617</v>
      </c>
      <c r="D381" s="5" t="str">
        <f ca="1">IFERROR(__xludf.DUMMYFUNCTION("GOOGLETRANSLATE(B381,""ja"",""vi"")"),"Et / I đường")</f>
        <v>Et / I đường</v>
      </c>
      <c r="E381" s="4" t="str">
        <f ca="1">IFERROR(__xludf.DUMMYFUNCTION("GOOGLETRANSLATE(C381,""ja"",""vi"")"),"Đấu giá&gt; hàng Talent&gt; người, theo nhóm&gt; nhạc sĩ&gt; et al. / I đường")</f>
        <v>Đấu giá&gt; hàng Talent&gt; người, theo nhóm&gt; nhạc sĩ&gt; et al. / I đường</v>
      </c>
      <c r="F381" t="str">
        <f t="shared" ca="1" si="5"/>
        <v>"2084054978" : "Et / I đường",</v>
      </c>
    </row>
    <row r="382" spans="1:6" ht="15.75" customHeight="1">
      <c r="A382" s="14">
        <v>2084309520</v>
      </c>
      <c r="B382" s="14" t="s">
        <v>46</v>
      </c>
      <c r="C382" s="14" t="s">
        <v>625</v>
      </c>
      <c r="D382" s="5" t="str">
        <f ca="1">IFERROR(__xludf.DUMMYFUNCTION("GOOGLETRANSLATE(B382,""ja"",""vi"")"),"nếu không thì")</f>
        <v>nếu không thì</v>
      </c>
      <c r="E382" s="4" t="str">
        <f ca="1">IFERROR(__xludf.DUMMYFUNCTION("GOOGLETRANSLATE(C382,""ja"",""vi"")"),"Đấu giá&gt; hàng Talent&gt; người, theo nhóm&gt; nhạc sĩ&gt; Khác")</f>
        <v>Đấu giá&gt; hàng Talent&gt; người, theo nhóm&gt; nhạc sĩ&gt; Khác</v>
      </c>
      <c r="F382" t="str">
        <f t="shared" ca="1" si="5"/>
        <v>"2084309520" : "nếu không thì",</v>
      </c>
    </row>
    <row r="383" spans="1:6" ht="15.75" customHeight="1">
      <c r="A383" s="14">
        <v>2084031646</v>
      </c>
      <c r="B383" s="14" t="s">
        <v>1847</v>
      </c>
      <c r="C383" s="14" t="s">
        <v>1848</v>
      </c>
      <c r="D383" s="5" t="str">
        <f ca="1">IFERROR(__xludf.DUMMYFUNCTION("GOOGLETRANSLATE(B383,""ja"",""vi"")"),"B'z")</f>
        <v>B'z</v>
      </c>
      <c r="E383" s="4" t="str">
        <f ca="1">IFERROR(__xludf.DUMMYFUNCTION("GOOGLETRANSLATE(C383,""ja"",""vi"")"),"Đấu giá&gt; Sách, tạp chí&gt; Nghệ thuật &amp; giải trí&gt; Hình ảnh&gt; nhạc sĩ&gt; B'z")</f>
        <v>Đấu giá&gt; Sách, tạp chí&gt; Nghệ thuật &amp; giải trí&gt; Hình ảnh&gt; nhạc sĩ&gt; B'z</v>
      </c>
      <c r="F383" t="str">
        <f t="shared" ca="1" si="5"/>
        <v>"2084031646" : "B'z",</v>
      </c>
    </row>
    <row r="384" spans="1:6" ht="15.75" customHeight="1">
      <c r="A384" s="14">
        <v>2084031645</v>
      </c>
      <c r="B384" s="14" t="s">
        <v>1854</v>
      </c>
      <c r="C384" s="14" t="s">
        <v>1855</v>
      </c>
      <c r="D384" s="5" t="str">
        <f ca="1">IFERROR(__xludf.DUMMYFUNCTION("GOOGLETRANSLATE(B384,""ja"",""vi"")"),"BOOWY")</f>
        <v>BOOWY</v>
      </c>
      <c r="E384" s="4" t="str">
        <f ca="1">IFERROR(__xludf.DUMMYFUNCTION("GOOGLETRANSLATE(C384,""ja"",""vi"")"),"Đấu giá&gt; Sách, tạp chí&gt; Nghệ thuật &amp; giải trí&gt; Hình ảnh&gt; nhạc sĩ&gt; BOOWY")</f>
        <v>Đấu giá&gt; Sách, tạp chí&gt; Nghệ thuật &amp; giải trí&gt; Hình ảnh&gt; nhạc sĩ&gt; BOOWY</v>
      </c>
      <c r="F384" t="str">
        <f t="shared" ca="1" si="5"/>
        <v>"2084031645" : "BOOWY",</v>
      </c>
    </row>
    <row r="385" spans="1:6" ht="15.75" customHeight="1">
      <c r="A385" s="14">
        <v>2084040608</v>
      </c>
      <c r="B385" s="14" t="s">
        <v>1860</v>
      </c>
      <c r="C385" s="14" t="s">
        <v>1861</v>
      </c>
      <c r="D385" s="5" t="str">
        <f ca="1">IFERROR(__xludf.DUMMYFUNCTION("GOOGLETRANSLATE(B385,""ja"",""vi"")"),"Chage &amp; ASKA")</f>
        <v>Chage &amp; ASKA</v>
      </c>
      <c r="E385" s="4" t="str">
        <f ca="1">IFERROR(__xludf.DUMMYFUNCTION("GOOGLETRANSLATE(C385,""ja"",""vi"")"),"Đấu giá&gt; Sách, tạp chí&gt; Nghệ thuật &amp; giải trí&gt; Hình ảnh&gt; nhạc sĩ&gt; chage &amp; ASKA")</f>
        <v>Đấu giá&gt; Sách, tạp chí&gt; Nghệ thuật &amp; giải trí&gt; Hình ảnh&gt; nhạc sĩ&gt; chage &amp; ASKA</v>
      </c>
      <c r="F385" t="str">
        <f t="shared" ca="1" si="5"/>
        <v>"2084040608" : "Chage &amp; ASKA",</v>
      </c>
    </row>
    <row r="386" spans="1:6" ht="15.75" customHeight="1">
      <c r="A386" s="14">
        <v>2084031648</v>
      </c>
      <c r="B386" s="14" t="s">
        <v>1867</v>
      </c>
      <c r="C386" s="14" t="s">
        <v>1869</v>
      </c>
      <c r="D386" s="5" t="str">
        <f ca="1">IFERROR(__xludf.DUMMYFUNCTION("GOOGLETRANSLATE(B386,""ja"",""vi"")"),"GLAY")</f>
        <v>GLAY</v>
      </c>
      <c r="E386" s="4" t="str">
        <f ca="1">IFERROR(__xludf.DUMMYFUNCTION("GOOGLETRANSLATE(C386,""ja"",""vi"")"),"Đấu giá&gt; Sách, tạp chí&gt; Nghệ thuật &amp; giải trí&gt; Hình ảnh&gt; nhạc sĩ&gt; GLAY")</f>
        <v>Đấu giá&gt; Sách, tạp chí&gt; Nghệ thuật &amp; giải trí&gt; Hình ảnh&gt; nhạc sĩ&gt; GLAY</v>
      </c>
      <c r="F386" t="str">
        <f t="shared" ref="F386:F411" ca="1" si="6">CONCATENATE(CHAR(34)&amp;"",A386,""&amp;CHAR(34)," : ", CHAR(34)&amp;"",D386,""&amp;CHAR(34),",")</f>
        <v>"2084031648" : "GLAY",</v>
      </c>
    </row>
    <row r="387" spans="1:6" ht="15.75" customHeight="1">
      <c r="A387" s="14">
        <v>2084031647</v>
      </c>
      <c r="B387" s="14" t="s">
        <v>1873</v>
      </c>
      <c r="C387" s="14" t="s">
        <v>1876</v>
      </c>
      <c r="D387" s="5" t="str">
        <f ca="1">IFERROR(__xludf.DUMMYFUNCTION("GOOGLETRANSLATE(B387,""ja"",""vi"")"),"Gackt")</f>
        <v>Gackt</v>
      </c>
      <c r="E387" s="4" t="str">
        <f ca="1">IFERROR(__xludf.DUMMYFUNCTION("GOOGLETRANSLATE(C387,""ja"",""vi"")"),"Đấu giá&gt; Sách, tạp chí&gt; Nghệ thuật &amp; giải trí&gt; Hình ảnh&gt; nhạc sĩ&gt; Gackt")</f>
        <v>Đấu giá&gt; Sách, tạp chí&gt; Nghệ thuật &amp; giải trí&gt; Hình ảnh&gt; nhạc sĩ&gt; Gackt</v>
      </c>
      <c r="F387" t="str">
        <f t="shared" ca="1" si="6"/>
        <v>"2084031647" : "Gackt",</v>
      </c>
    </row>
    <row r="388" spans="1:6" ht="15.75" customHeight="1">
      <c r="A388" s="14">
        <v>2084031649</v>
      </c>
      <c r="B388" s="14" t="s">
        <v>1881</v>
      </c>
      <c r="C388" s="14" t="s">
        <v>1883</v>
      </c>
      <c r="D388" s="5" t="str">
        <f ca="1">IFERROR(__xludf.DUMMYFUNCTION("GOOGLETRANSLATE(B388,""ja"",""vi"")"),"L'Arc-en-Ciel")</f>
        <v>L'Arc-en-Ciel</v>
      </c>
      <c r="E388" s="4" t="str">
        <f ca="1">IFERROR(__xludf.DUMMYFUNCTION("GOOGLETRANSLATE(C388,""ja"",""vi"")"),"Đấu giá&gt; Sách, tạp chí&gt; Nghệ thuật &amp; giải trí&gt; Hình ảnh&gt; nhạc sĩ&gt; L'Arc-en-Ciel")</f>
        <v>Đấu giá&gt; Sách, tạp chí&gt; Nghệ thuật &amp; giải trí&gt; Hình ảnh&gt; nhạc sĩ&gt; L'Arc-en-Ciel</v>
      </c>
      <c r="F388" t="str">
        <f t="shared" ca="1" si="6"/>
        <v>"2084031649" : "L'Arc-en-Ciel",</v>
      </c>
    </row>
    <row r="389" spans="1:6" ht="15.75" customHeight="1">
      <c r="A389" s="14">
        <v>2084031650</v>
      </c>
      <c r="B389" s="14" t="s">
        <v>1890</v>
      </c>
      <c r="C389" s="14" t="s">
        <v>1892</v>
      </c>
      <c r="D389" s="5" t="str">
        <f ca="1">IFERROR(__xludf.DUMMYFUNCTION("GOOGLETRANSLATE(B389,""ja"",""vi"")"),"LUNA SEA")</f>
        <v>LUNA SEA</v>
      </c>
      <c r="E389" s="4" t="str">
        <f ca="1">IFERROR(__xludf.DUMMYFUNCTION("GOOGLETRANSLATE(C389,""ja"",""vi"")"),"Đấu giá&gt; Sách, tạp chí&gt; Nghệ thuật &amp; giải trí&gt; Hình ảnh&gt; nhạc sĩ&gt; LUNA SEA")</f>
        <v>Đấu giá&gt; Sách, tạp chí&gt; Nghệ thuật &amp; giải trí&gt; Hình ảnh&gt; nhạc sĩ&gt; LUNA SEA</v>
      </c>
      <c r="F389" t="str">
        <f t="shared" ca="1" si="6"/>
        <v>"2084031650" : "LUNA SEA",</v>
      </c>
    </row>
    <row r="390" spans="1:6" ht="15.75" customHeight="1">
      <c r="A390" s="14">
        <v>2084031651</v>
      </c>
      <c r="B390" s="14" t="s">
        <v>1897</v>
      </c>
      <c r="C390" s="14" t="s">
        <v>1899</v>
      </c>
      <c r="D390" s="5" t="str">
        <f ca="1">IFERROR(__xludf.DUMMYFUNCTION("GOOGLETRANSLATE(B390,""ja"",""vi"")"),"Malice Mizer")</f>
        <v>Malice Mizer</v>
      </c>
      <c r="E390" s="4" t="str">
        <f ca="1">IFERROR(__xludf.DUMMYFUNCTION("GOOGLETRANSLATE(C390,""ja"",""vi"")"),"Đấu giá&gt; Sách, tạp chí&gt; Nghệ thuật &amp; giải trí&gt; Hình ảnh&gt; nhạc sĩ&gt; Malice Mizer")</f>
        <v>Đấu giá&gt; Sách, tạp chí&gt; Nghệ thuật &amp; giải trí&gt; Hình ảnh&gt; nhạc sĩ&gt; Malice Mizer</v>
      </c>
      <c r="F390" t="str">
        <f t="shared" ca="1" si="6"/>
        <v>"2084031651" : "Malice Mizer",</v>
      </c>
    </row>
    <row r="391" spans="1:6" ht="15.75" customHeight="1">
      <c r="A391" s="14">
        <v>2084031652</v>
      </c>
      <c r="B391" s="14" t="s">
        <v>1903</v>
      </c>
      <c r="C391" s="14" t="s">
        <v>1904</v>
      </c>
      <c r="D391" s="5" t="str">
        <f ca="1">IFERROR(__xludf.DUMMYFUNCTION("GOOGLETRANSLATE(B391,""ja"",""vi"")"),"rolling Stones")</f>
        <v>rolling Stones</v>
      </c>
      <c r="E391" s="4" t="str">
        <f ca="1">IFERROR(__xludf.DUMMYFUNCTION("GOOGLETRANSLATE(C391,""ja"",""vi"")"),"Đấu giá&gt; Sách, tạp chí&gt; Nghệ thuật &amp; giải trí&gt; Hình ảnh&gt; nhạc sĩ&gt; Rolling Stones")</f>
        <v>Đấu giá&gt; Sách, tạp chí&gt; Nghệ thuật &amp; giải trí&gt; Hình ảnh&gt; nhạc sĩ&gt; Rolling Stones</v>
      </c>
      <c r="F391" t="str">
        <f t="shared" ca="1" si="6"/>
        <v>"2084031652" : "rolling Stones",</v>
      </c>
    </row>
    <row r="392" spans="1:6" ht="15.75" customHeight="1">
      <c r="A392" s="14">
        <v>2084031654</v>
      </c>
      <c r="B392" s="14" t="s">
        <v>1911</v>
      </c>
      <c r="C392" s="14" t="s">
        <v>1913</v>
      </c>
      <c r="D392" s="5" t="str">
        <f ca="1">IFERROR(__xludf.DUMMYFUNCTION("GOOGLETRANSLATE(B392,""ja"",""vi"")"),"T.M.Revolution")</f>
        <v>T.M.Revolution</v>
      </c>
      <c r="E392" s="4" t="str">
        <f ca="1">IFERROR(__xludf.DUMMYFUNCTION("GOOGLETRANSLATE(C392,""ja"",""vi"")"),"Đấu giá&gt; Sách, tạp chí&gt; Nghệ thuật &amp; giải trí&gt; Hình ảnh&gt; nhạc sĩ&gt; T.M.Revolution")</f>
        <v>Đấu giá&gt; Sách, tạp chí&gt; Nghệ thuật &amp; giải trí&gt; Hình ảnh&gt; nhạc sĩ&gt; T.M.Revolution</v>
      </c>
      <c r="F392" t="str">
        <f t="shared" ca="1" si="6"/>
        <v>"2084031654" : "T.M.Revolution",</v>
      </c>
    </row>
    <row r="393" spans="1:6" ht="15.75" customHeight="1">
      <c r="A393" s="14">
        <v>2084031630</v>
      </c>
      <c r="B393" s="14" t="s">
        <v>1919</v>
      </c>
      <c r="C393" s="14" t="s">
        <v>1922</v>
      </c>
      <c r="D393" s="5" t="str">
        <f ca="1">IFERROR(__xludf.DUMMYFUNCTION("GOOGLETRANSLATE(B393,""ja"",""vi"")"),"THE ALFEE")</f>
        <v>THE ALFEE</v>
      </c>
      <c r="E393" s="4" t="str">
        <f ca="1">IFERROR(__xludf.DUMMYFUNCTION("GOOGLETRANSLATE(C393,""ja"",""vi"")"),"Đấu giá&gt; Sách, tạp chí&gt; Nghệ thuật &amp; giải trí&gt; Hình ảnh&gt; nhạc sĩ&gt; THE ALFEE")</f>
        <v>Đấu giá&gt; Sách, tạp chí&gt; Nghệ thuật &amp; giải trí&gt; Hình ảnh&gt; nhạc sĩ&gt; THE ALFEE</v>
      </c>
      <c r="F393" t="str">
        <f t="shared" ca="1" si="6"/>
        <v>"2084031630" : "THE ALFEE",</v>
      </c>
    </row>
    <row r="394" spans="1:6" ht="15.75" customHeight="1">
      <c r="A394" s="14">
        <v>2084031631</v>
      </c>
      <c r="B394" s="14" t="s">
        <v>1929</v>
      </c>
      <c r="C394" s="14" t="s">
        <v>1930</v>
      </c>
      <c r="D394" s="5" t="str">
        <f ca="1">IFERROR(__xludf.DUMMYFUNCTION("GOOGLETRANSLATE(B394,""ja"",""vi"")"),"The Beatles")</f>
        <v>The Beatles</v>
      </c>
      <c r="E394" s="4" t="str">
        <f ca="1">IFERROR(__xludf.DUMMYFUNCTION("GOOGLETRANSLATE(C394,""ja"",""vi"")"),"Đấu giá&gt; Sách, tạp chí&gt; Nghệ thuật &amp; giải trí&gt; Hình ảnh&gt; nhạc sĩ&gt; The Beatles")</f>
        <v>Đấu giá&gt; Sách, tạp chí&gt; Nghệ thuật &amp; giải trí&gt; Hình ảnh&gt; nhạc sĩ&gt; The Beatles</v>
      </c>
      <c r="F394" t="str">
        <f t="shared" ca="1" si="6"/>
        <v>"2084031631" : "The Beatles",</v>
      </c>
    </row>
    <row r="395" spans="1:6" ht="15.75" customHeight="1">
      <c r="A395" s="14">
        <v>2084040619</v>
      </c>
      <c r="B395" s="14" t="s">
        <v>1935</v>
      </c>
      <c r="C395" s="14" t="s">
        <v>1936</v>
      </c>
      <c r="D395" s="5" t="str">
        <f ca="1">IFERROR(__xludf.DUMMYFUNCTION("GOOGLETRANSLATE(B395,""ja"",""vi"")"),"TM NETWORK")</f>
        <v>TM NETWORK</v>
      </c>
      <c r="E395" s="4" t="str">
        <f ca="1">IFERROR(__xludf.DUMMYFUNCTION("GOOGLETRANSLATE(C395,""ja"",""vi"")"),"Đấu giá&gt; Sách, tạp chí&gt; Nghệ thuật &amp; giải trí&gt; Hình ảnh&gt; nhạc sĩ&gt; TM NETWORK")</f>
        <v>Đấu giá&gt; Sách, tạp chí&gt; Nghệ thuật &amp; giải trí&gt; Hình ảnh&gt; nhạc sĩ&gt; TM NETWORK</v>
      </c>
      <c r="F395" t="str">
        <f t="shared" ca="1" si="6"/>
        <v>"2084040619" : "TM NETWORK",</v>
      </c>
    </row>
    <row r="396" spans="1:6" ht="15.75" customHeight="1">
      <c r="A396" s="14">
        <v>2084040621</v>
      </c>
      <c r="B396" s="14" t="s">
        <v>1941</v>
      </c>
      <c r="C396" s="14" t="s">
        <v>1943</v>
      </c>
      <c r="D396" s="5" t="str">
        <f ca="1">IFERROR(__xludf.DUMMYFUNCTION("GOOGLETRANSLATE(B396,""ja"",""vi"")"),"YMO")</f>
        <v>YMO</v>
      </c>
      <c r="E396" s="4" t="str">
        <f ca="1">IFERROR(__xludf.DUMMYFUNCTION("GOOGLETRANSLATE(C396,""ja"",""vi"")"),"Đấu giá&gt; Sách, tạp chí&gt; Nghệ thuật &amp; giải trí&gt; Hình ảnh&gt; nhạc sĩ&gt; YMO")</f>
        <v>Đấu giá&gt; Sách, tạp chí&gt; Nghệ thuật &amp; giải trí&gt; Hình ảnh&gt; nhạc sĩ&gt; YMO</v>
      </c>
      <c r="F396" t="str">
        <f t="shared" ca="1" si="6"/>
        <v>"2084040621" : "YMO",</v>
      </c>
    </row>
    <row r="397" spans="1:6" ht="15.75" customHeight="1">
      <c r="A397" s="14">
        <v>2084040609</v>
      </c>
      <c r="B397" s="14" t="s">
        <v>1949</v>
      </c>
      <c r="C397" s="14" t="s">
        <v>1951</v>
      </c>
      <c r="D397" s="5" t="str">
        <f ca="1">IFERROR(__xludf.DUMMYFUNCTION("GOOGLETRANSLATE(B397,""ja"",""vi"")"),"Yoshiki")</f>
        <v>Yoshiki</v>
      </c>
      <c r="E397" s="4" t="str">
        <f ca="1">IFERROR(__xludf.DUMMYFUNCTION("GOOGLETRANSLATE(C397,""ja"",""vi"")"),"Đấu giá&gt; Sách, tạp chí&gt; Nghệ thuật &amp; giải trí&gt; Hình ảnh&gt; nhạc sĩ&gt; Yoshiki")</f>
        <v>Đấu giá&gt; Sách, tạp chí&gt; Nghệ thuật &amp; giải trí&gt; Hình ảnh&gt; nhạc sĩ&gt; Yoshiki</v>
      </c>
      <c r="F397" t="str">
        <f t="shared" ca="1" si="6"/>
        <v>"2084040609" : "Yoshiki",</v>
      </c>
    </row>
    <row r="398" spans="1:6" ht="15.75" customHeight="1">
      <c r="A398" s="14">
        <v>2084040610</v>
      </c>
      <c r="B398" s="14" t="s">
        <v>1955</v>
      </c>
      <c r="C398" s="14" t="s">
        <v>1957</v>
      </c>
      <c r="D398" s="5" t="str">
        <f ca="1">IFERROR(__xludf.DUMMYFUNCTION("GOOGLETRANSLATE(B398,""ja"",""vi"")"),"ZARD")</f>
        <v>ZARD</v>
      </c>
      <c r="E398" s="4" t="str">
        <f ca="1">IFERROR(__xludf.DUMMYFUNCTION("GOOGLETRANSLATE(C398,""ja"",""vi"")"),"Đấu giá&gt; Sách, tạp chí&gt; Nghệ thuật &amp; giải trí&gt; Hình ảnh&gt; nhạc sĩ&gt; ZARD")</f>
        <v>Đấu giá&gt; Sách, tạp chí&gt; Nghệ thuật &amp; giải trí&gt; Hình ảnh&gt; nhạc sĩ&gt; ZARD</v>
      </c>
      <c r="F398" t="str">
        <f t="shared" ca="1" si="6"/>
        <v>"2084040610" : "ZARD",</v>
      </c>
    </row>
    <row r="399" spans="1:6" ht="15.75" customHeight="1">
      <c r="A399" s="14">
        <v>2084040611</v>
      </c>
      <c r="B399" s="14" t="s">
        <v>1963</v>
      </c>
      <c r="C399" s="14" t="s">
        <v>1964</v>
      </c>
      <c r="D399" s="5" t="str">
        <f ca="1">IFERROR(__xludf.DUMMYFUNCTION("GOOGLETRANSLATE(B399,""ja"",""vi"")"),"hitomi")</f>
        <v>hitomi</v>
      </c>
      <c r="E399" s="4" t="str">
        <f ca="1">IFERROR(__xludf.DUMMYFUNCTION("GOOGLETRANSLATE(C399,""ja"",""vi"")"),"Đấu giá&gt; Sách, tạp chí&gt; Nghệ thuật &amp; giải trí&gt; Hình ảnh&gt; nhạc sĩ&gt; hitomi")</f>
        <v>Đấu giá&gt; Sách, tạp chí&gt; Nghệ thuật &amp; giải trí&gt; Hình ảnh&gt; nhạc sĩ&gt; hitomi</v>
      </c>
      <c r="F399" t="str">
        <f t="shared" ca="1" si="6"/>
        <v>"2084040611" : "hitomi",</v>
      </c>
    </row>
    <row r="400" spans="1:6" ht="15.75" customHeight="1">
      <c r="A400" s="14">
        <v>2084031632</v>
      </c>
      <c r="B400" s="14" t="s">
        <v>1970</v>
      </c>
      <c r="C400" s="14" t="s">
        <v>1971</v>
      </c>
      <c r="D400" s="5" t="str">
        <f ca="1">IFERROR(__xludf.DUMMYFUNCTION("GOOGLETRANSLATE(B400,""ja"",""vi"")"),"OFF COURSE")</f>
        <v>OFF COURSE</v>
      </c>
      <c r="E400" s="4" t="str">
        <f ca="1">IFERROR(__xludf.DUMMYFUNCTION("GOOGLETRANSLATE(C400,""ja"",""vi"")"),"Đấu giá&gt; Sách, tạp chí&gt; Nghệ thuật &amp; giải trí&gt; Hình ảnh&gt; nhạc sĩ&gt; Tắt Khóa học")</f>
        <v>Đấu giá&gt; Sách, tạp chí&gt; Nghệ thuật &amp; giải trí&gt; Hình ảnh&gt; nhạc sĩ&gt; Tắt Khóa học</v>
      </c>
      <c r="F400" t="str">
        <f t="shared" ca="1" si="6"/>
        <v>"2084031632" : "OFF COURSE",</v>
      </c>
    </row>
    <row r="401" spans="1:6" ht="15.75" customHeight="1">
      <c r="A401" s="14">
        <v>2084040612</v>
      </c>
      <c r="B401" s="14" t="s">
        <v>1977</v>
      </c>
      <c r="C401" s="14" t="s">
        <v>1978</v>
      </c>
      <c r="D401" s="5" t="str">
        <f ca="1">IFERROR(__xludf.DUMMYFUNCTION("GOOGLETRANSLATE(B401,""ja"",""vi"")"),"kỳ lân")</f>
        <v>kỳ lân</v>
      </c>
      <c r="E401" s="4" t="str">
        <f ca="1">IFERROR(__xludf.DUMMYFUNCTION("GOOGLETRANSLATE(C401,""ja"",""vi"")"),"Đấu giá&gt; Sách, tạp chí&gt; Nghệ thuật &amp; giải trí&gt; Hình ảnh&gt; nhạc sĩ&gt; Unicorn")</f>
        <v>Đấu giá&gt; Sách, tạp chí&gt; Nghệ thuật &amp; giải trí&gt; Hình ảnh&gt; nhạc sĩ&gt; Unicorn</v>
      </c>
      <c r="F401" t="str">
        <f t="shared" ca="1" si="6"/>
        <v>"2084040612" : "kỳ lân",</v>
      </c>
    </row>
    <row r="402" spans="1:6" ht="15.75" customHeight="1">
      <c r="A402" s="14">
        <v>2084040613</v>
      </c>
      <c r="B402" s="14" t="s">
        <v>1984</v>
      </c>
      <c r="C402" s="14" t="s">
        <v>1986</v>
      </c>
      <c r="D402" s="5" t="str">
        <f ca="1">IFERROR(__xludf.DUMMYFUNCTION("GOOGLETRANSLATE(B402,""ja"",""vi"")"),"Mariko Nagai")</f>
        <v>Mariko Nagai</v>
      </c>
      <c r="E402" s="4" t="str">
        <f ca="1">IFERROR(__xludf.DUMMYFUNCTION("GOOGLETRANSLATE(C402,""ja"",""vi"")"),"Đấu giá&gt; Sách, tạp chí&gt; Nghệ thuật &amp; giải trí&gt; Hình ảnh&gt; nhạc sĩ&gt; Mariko Nagai")</f>
        <v>Đấu giá&gt; Sách, tạp chí&gt; Nghệ thuật &amp; giải trí&gt; Hình ảnh&gt; nhạc sĩ&gt; Mariko Nagai</v>
      </c>
      <c r="F402" t="str">
        <f t="shared" ca="1" si="6"/>
        <v>"2084040613" : "Mariko Nagai",</v>
      </c>
    </row>
    <row r="403" spans="1:6" ht="15.75" customHeight="1">
      <c r="A403" s="14">
        <v>2084040616</v>
      </c>
      <c r="B403" s="14" t="s">
        <v>1993</v>
      </c>
      <c r="C403" s="14" t="s">
        <v>1995</v>
      </c>
      <c r="D403" s="5" t="str">
        <f ca="1">IFERROR(__xludf.DUMMYFUNCTION("GOOGLETRANSLATE(B403,""ja"",""vi"")"),"Koji Yoshikawa")</f>
        <v>Koji Yoshikawa</v>
      </c>
      <c r="E403" s="4" t="str">
        <f ca="1">IFERROR(__xludf.DUMMYFUNCTION("GOOGLETRANSLATE(C403,""ja"",""vi"")"),"Đấu giá&gt; Sách, tạp chí&gt; Nghệ thuật &amp; giải trí&gt; Hình ảnh&gt; nhạc sĩ&gt; Koji Kikkawa")</f>
        <v>Đấu giá&gt; Sách, tạp chí&gt; Nghệ thuật &amp; giải trí&gt; Hình ảnh&gt; nhạc sĩ&gt; Koji Kikkawa</v>
      </c>
      <c r="F403" t="str">
        <f t="shared" ca="1" si="6"/>
        <v>"2084040616" : "Koji Yoshikawa",</v>
      </c>
    </row>
    <row r="404" spans="1:6" ht="15.75" customHeight="1">
      <c r="A404" s="14">
        <v>2084031637</v>
      </c>
      <c r="B404" s="14" t="s">
        <v>2000</v>
      </c>
      <c r="C404" s="14" t="s">
        <v>2002</v>
      </c>
      <c r="D404" s="5" t="str">
        <f ca="1">IFERROR(__xludf.DUMMYFUNCTION("GOOGLETRANSLATE(B404,""ja"",""vi"")"),"Masayoshi Yamazaki")</f>
        <v>Masayoshi Yamazaki</v>
      </c>
      <c r="E404" s="4" t="str">
        <f ca="1">IFERROR(__xludf.DUMMYFUNCTION("GOOGLETRANSLATE(C404,""ja"",""vi"")"),"Đấu giá&gt; Sách, tạp chí&gt; Nghệ thuật &amp; giải trí&gt; Hình ảnh&gt; nhạc sĩ&gt; Masayoshi Yamazaki")</f>
        <v>Đấu giá&gt; Sách, tạp chí&gt; Nghệ thuật &amp; giải trí&gt; Hình ảnh&gt; nhạc sĩ&gt; Masayoshi Yamazaki</v>
      </c>
      <c r="F404" t="str">
        <f t="shared" ca="1" si="6"/>
        <v>"2084031637" : "Masayoshi Yamazaki",</v>
      </c>
    </row>
    <row r="405" spans="1:6" ht="15.75" customHeight="1">
      <c r="A405" s="14">
        <v>2084031639</v>
      </c>
      <c r="B405" s="14" t="s">
        <v>2009</v>
      </c>
      <c r="C405" s="14" t="s">
        <v>2011</v>
      </c>
      <c r="D405" s="5" t="str">
        <f ca="1">IFERROR(__xludf.DUMMYFUNCTION("GOOGLETRANSLATE(B405,""ja"",""vi"")"),"Yumi Tanimura")</f>
        <v>Yumi Tanimura</v>
      </c>
      <c r="E405" s="4" t="str">
        <f ca="1">IFERROR(__xludf.DUMMYFUNCTION("GOOGLETRANSLATE(C405,""ja"",""vi"")"),"Đấu giá&gt; Sách, tạp chí&gt; Nghệ thuật &amp; giải trí&gt; Hình ảnh&gt; nhạc sĩ&gt; Yumi Tanimura")</f>
        <v>Đấu giá&gt; Sách, tạp chí&gt; Nghệ thuật &amp; giải trí&gt; Hình ảnh&gt; nhạc sĩ&gt; Yumi Tanimura</v>
      </c>
      <c r="F405" t="str">
        <f t="shared" ca="1" si="6"/>
        <v>"2084031639" : "Yumi Tanimura",</v>
      </c>
    </row>
    <row r="406" spans="1:6" ht="15.75" customHeight="1">
      <c r="A406" s="14">
        <v>2084031640</v>
      </c>
      <c r="B406" s="14" t="s">
        <v>2016</v>
      </c>
      <c r="C406" s="14" t="s">
        <v>2018</v>
      </c>
      <c r="D406" s="5" t="str">
        <f ca="1">IFERROR(__xludf.DUMMYFUNCTION("GOOGLETRANSLATE(B406,""ja"",""vi"")"),"Miyuki Nakajima")</f>
        <v>Miyuki Nakajima</v>
      </c>
      <c r="E406" s="4" t="str">
        <f ca="1">IFERROR(__xludf.DUMMYFUNCTION("GOOGLETRANSLATE(C406,""ja"",""vi"")"),"Đấu giá&gt; Sách, tạp chí&gt; Nghệ thuật &amp; giải trí&gt; Hình ảnh&gt; nhạc sĩ&gt; Miyuki Nakajima")</f>
        <v>Đấu giá&gt; Sách, tạp chí&gt; Nghệ thuật &amp; giải trí&gt; Hình ảnh&gt; nhạc sĩ&gt; Miyuki Nakajima</v>
      </c>
      <c r="F406" t="str">
        <f t="shared" ca="1" si="6"/>
        <v>"2084031640" : "Miyuki Nakajima",</v>
      </c>
    </row>
    <row r="407" spans="1:6" ht="15.75" customHeight="1">
      <c r="A407" s="14">
        <v>2084060024</v>
      </c>
      <c r="B407" s="14" t="s">
        <v>2027</v>
      </c>
      <c r="C407" s="14" t="s">
        <v>2028</v>
      </c>
      <c r="D407" s="5" t="str">
        <f ca="1">IFERROR(__xludf.DUMMYFUNCTION("GOOGLETRANSLATE(B407,""ja"",""vi"")"),"Fujii Fumiya")</f>
        <v>Fujii Fumiya</v>
      </c>
      <c r="E407" s="4" t="str">
        <f ca="1">IFERROR(__xludf.DUMMYFUNCTION("GOOGLETRANSLATE(C407,""ja"",""vi"")"),"Đấu giá&gt; Sách, tạp chí&gt; Nghệ thuật &amp; giải trí&gt; Hình ảnh&gt; nhạc sĩ&gt; Fujii Fumiya")</f>
        <v>Đấu giá&gt; Sách, tạp chí&gt; Nghệ thuật &amp; giải trí&gt; Hình ảnh&gt; nhạc sĩ&gt; Fujii Fumiya</v>
      </c>
      <c r="F407" t="str">
        <f t="shared" ca="1" si="6"/>
        <v>"2084060024" : "Fujii Fumiya",</v>
      </c>
    </row>
    <row r="408" spans="1:6" ht="15.75" customHeight="1">
      <c r="A408" s="14">
        <v>2084031641</v>
      </c>
      <c r="B408" s="14" t="s">
        <v>2034</v>
      </c>
      <c r="C408" s="14" t="s">
        <v>2036</v>
      </c>
      <c r="D408" s="5" t="str">
        <f ca="1">IFERROR(__xludf.DUMMYFUNCTION("GOOGLETRANSLATE(B408,""ja"",""vi"")"),"Yutaka Ozaki")</f>
        <v>Yutaka Ozaki</v>
      </c>
      <c r="E408" s="4" t="str">
        <f ca="1">IFERROR(__xludf.DUMMYFUNCTION("GOOGLETRANSLATE(C408,""ja"",""vi"")"),"Đấu giá&gt; Sách, tạp chí&gt; Nghệ thuật &amp; giải trí&gt; Hình ảnh&gt; nhạc sĩ&gt; Yutaka Ozaki")</f>
        <v>Đấu giá&gt; Sách, tạp chí&gt; Nghệ thuật &amp; giải trí&gt; Hình ảnh&gt; nhạc sĩ&gt; Yutaka Ozaki</v>
      </c>
      <c r="F408" t="str">
        <f t="shared" ca="1" si="6"/>
        <v>"2084031641" : "Yutaka Ozaki",</v>
      </c>
    </row>
    <row r="409" spans="1:6" ht="15.75" customHeight="1">
      <c r="A409" s="14">
        <v>2084031642</v>
      </c>
      <c r="B409" s="14" t="s">
        <v>2042</v>
      </c>
      <c r="C409" s="14" t="s">
        <v>2043</v>
      </c>
      <c r="D409" s="5" t="str">
        <f ca="1">IFERROR(__xludf.DUMMYFUNCTION("GOOGLETRANSLATE(B409,""ja"",""vi"")"),"Masaharu Fukuyama")</f>
        <v>Masaharu Fukuyama</v>
      </c>
      <c r="E409" s="4" t="str">
        <f ca="1">IFERROR(__xludf.DUMMYFUNCTION("GOOGLETRANSLATE(C409,""ja"",""vi"")"),"Đấu giá&gt; Sách, tạp chí&gt; Nghệ thuật &amp; giải trí&gt; Hình ảnh&gt; nhạc sĩ&gt; Masaharu Fukuyama")</f>
        <v>Đấu giá&gt; Sách, tạp chí&gt; Nghệ thuật &amp; giải trí&gt; Hình ảnh&gt; nhạc sĩ&gt; Masaharu Fukuyama</v>
      </c>
      <c r="F409" t="str">
        <f t="shared" ca="1" si="6"/>
        <v>"2084031642" : "Masaharu Fukuyama",</v>
      </c>
    </row>
    <row r="410" spans="1:6" ht="15.75" customHeight="1">
      <c r="A410" s="14">
        <v>2084031644</v>
      </c>
      <c r="B410" s="14" t="s">
        <v>2049</v>
      </c>
      <c r="C410" s="14" t="s">
        <v>2050</v>
      </c>
      <c r="D410" s="5" t="str">
        <f ca="1">IFERROR(__xludf.DUMMYFUNCTION("GOOGLETRANSLATE(B410,""ja"",""vi"")"),"Eikichi Yazawa")</f>
        <v>Eikichi Yazawa</v>
      </c>
      <c r="E410" s="4" t="str">
        <f ca="1">IFERROR(__xludf.DUMMYFUNCTION("GOOGLETRANSLATE(C410,""ja"",""vi"")"),"Đấu giá&gt; Sách, tạp chí&gt; Nghệ thuật &amp; giải trí&gt; Hình ảnh&gt; nhạc sĩ&gt; Eikichi Yazawa")</f>
        <v>Đấu giá&gt; Sách, tạp chí&gt; Nghệ thuật &amp; giải trí&gt; Hình ảnh&gt; nhạc sĩ&gt; Eikichi Yazawa</v>
      </c>
      <c r="F410" t="str">
        <f t="shared" ca="1" si="6"/>
        <v>"2084031644" : "Eikichi Yazawa",</v>
      </c>
    </row>
    <row r="411" spans="1:6" ht="15.75" customHeight="1">
      <c r="A411" s="14">
        <v>2084032120</v>
      </c>
      <c r="B411" s="14" t="s">
        <v>46</v>
      </c>
      <c r="C411" s="14" t="s">
        <v>2057</v>
      </c>
      <c r="D411" s="5" t="str">
        <f ca="1">IFERROR(__xludf.DUMMYFUNCTION("GOOGLETRANSLATE(B411,""ja"",""vi"")"),"nếu không thì")</f>
        <v>nếu không thì</v>
      </c>
      <c r="E411" s="4" t="str">
        <f ca="1">IFERROR(__xludf.DUMMYFUNCTION("GOOGLETRANSLATE(C411,""ja"",""vi"")"),"Đấu giá&gt; Sách, tạp chí&gt; Nghệ thuật &amp; giải trí&gt; Hình ảnh&gt; nhạc sĩ&gt; Khác")</f>
        <v>Đấu giá&gt; Sách, tạp chí&gt; Nghệ thuật &amp; giải trí&gt; Hình ảnh&gt; nhạc sĩ&gt; Khác</v>
      </c>
      <c r="F411" t="str">
        <f t="shared" ca="1" si="6"/>
        <v>"2084032120" : "nếu không thì",</v>
      </c>
    </row>
    <row r="412" spans="1:6" ht="15.75" customHeight="1"/>
    <row r="413" spans="1:6" ht="15.75" customHeight="1"/>
    <row r="414" spans="1:6" ht="15.75" customHeight="1"/>
    <row r="415" spans="1:6" ht="15.75" customHeight="1"/>
    <row r="416" spans="1: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>
      <selection activeCell="F1" sqref="F1"/>
    </sheetView>
  </sheetViews>
  <sheetFormatPr defaultColWidth="12.59765625" defaultRowHeight="15" customHeight="1"/>
  <cols>
    <col min="1" max="1" width="8.09765625" customWidth="1"/>
    <col min="2" max="2" width="9.19921875" customWidth="1"/>
    <col min="3" max="3" width="33.69921875" customWidth="1"/>
    <col min="4" max="4" width="7.59765625" customWidth="1"/>
    <col min="5" max="5" width="67.5" customWidth="1"/>
    <col min="6" max="26" width="7.59765625" customWidth="1"/>
  </cols>
  <sheetData>
    <row r="1" spans="1:6" ht="21.6">
      <c r="A1" s="12">
        <v>2084040627</v>
      </c>
      <c r="B1" s="12" t="s">
        <v>3738</v>
      </c>
      <c r="C1" s="12" t="s">
        <v>3739</v>
      </c>
      <c r="D1" s="5" t="str">
        <f ca="1">IFERROR(__xludf.DUMMYFUNCTION("GOOGLETRANSLATE(B1,""ja"",""vi"")"),"theo tiêu đề")</f>
        <v>theo tiêu đề</v>
      </c>
      <c r="E1" s="4" t="str">
        <f ca="1">IFERROR(__xludf.DUMMYFUNCTION("GOOGLETRANSLATE(C1,""ja"",""vi"")"),"Đấu giá&gt; cuốn sách, tạp chí&gt; manga, truyện tranh&gt; phe đảng tạp chí&gt; theo tiêu đề")</f>
        <v>Đấu giá&gt; cuốn sách, tạp chí&gt; manga, truyện tranh&gt; phe đảng tạp chí&gt; theo tiêu đề</v>
      </c>
      <c r="F1" t="str">
        <f ca="1">CONCATENATE(CHAR(34)&amp;"",A1,""&amp;CHAR(34)," : ", CHAR(34)&amp;"",D1,""&amp;CHAR(34),",")</f>
        <v>"2084040627" : "theo tiêu đề",</v>
      </c>
    </row>
    <row r="2" spans="1:6" ht="21.6">
      <c r="A2" s="12">
        <v>2084007071</v>
      </c>
      <c r="B2" s="12" t="s">
        <v>3743</v>
      </c>
      <c r="C2" s="12" t="s">
        <v>3746</v>
      </c>
      <c r="D2" s="5" t="str">
        <f ca="1">IFERROR(__xludf.DUMMYFUNCTION("GOOGLETRANSLATE(B2,""ja"",""vi"")"),"Sáng tạo, ban đầu")</f>
        <v>Sáng tạo, ban đầu</v>
      </c>
      <c r="E2" s="4" t="str">
        <f ca="1">IFERROR(__xludf.DUMMYFUNCTION("GOOGLETRANSLATE(C2,""ja"",""vi"")"),"Đấu giá&gt; cuốn sách, tạp chí&gt; manga, truyện tranh&gt; doujinshi&gt; sáng tạo, ban đầu")</f>
        <v>Đấu giá&gt; cuốn sách, tạp chí&gt; manga, truyện tranh&gt; doujinshi&gt; sáng tạo, ban đầu</v>
      </c>
      <c r="F2" t="str">
        <f t="shared" ref="F2:F65" ca="1" si="0">CONCATENATE(CHAR(34)&amp;"",A2,""&amp;CHAR(34)," : ", CHAR(34)&amp;"",D2,""&amp;CHAR(34),",")</f>
        <v>"2084007071" : "Sáng tạo, ban đầu",</v>
      </c>
    </row>
    <row r="3" spans="1:6" ht="21.6">
      <c r="A3" s="16">
        <v>2084051217</v>
      </c>
      <c r="B3" s="16" t="s">
        <v>3750</v>
      </c>
      <c r="C3" s="16" t="s">
        <v>3751</v>
      </c>
      <c r="D3" s="5" t="str">
        <f ca="1">IFERROR(__xludf.DUMMYFUNCTION("GOOGLETRANSLATE(B3,""ja"",""vi"")"),"bộ sưu tập hình minh họa, bộ sưu tập hình ảnh gốc")</f>
        <v>bộ sưu tập hình minh họa, bộ sưu tập hình ảnh gốc</v>
      </c>
      <c r="E3" s="4" t="str">
        <f ca="1">IFERROR(__xludf.DUMMYFUNCTION("GOOGLETRANSLATE(C3,""ja"",""vi"")"),"Đấu giá&gt; cuốn sách, tạp chí&gt; manga, truyện tranh&gt; tạp chí phe đảng&gt; Bộ sưu tập minh hoạ, bộ sưu tập hình ảnh gốc")</f>
        <v>Đấu giá&gt; cuốn sách, tạp chí&gt; manga, truyện tranh&gt; tạp chí phe đảng&gt; Bộ sưu tập minh hoạ, bộ sưu tập hình ảnh gốc</v>
      </c>
      <c r="F3" t="str">
        <f t="shared" ca="1" si="0"/>
        <v>"2084051217" : "bộ sưu tập hình minh họa, bộ sưu tập hình ảnh gốc",</v>
      </c>
    </row>
    <row r="4" spans="1:6" ht="21.6">
      <c r="A4" s="12">
        <v>2084008145</v>
      </c>
      <c r="B4" s="12" t="s">
        <v>3755</v>
      </c>
      <c r="C4" s="12" t="s">
        <v>3756</v>
      </c>
      <c r="D4" s="5" t="str">
        <f ca="1">IFERROR(__xludf.DUMMYFUNCTION("GOOGLETRANSLATE(B4,""ja"",""vi"")"),"tạp chí truyện tranh cho trẻ em")</f>
        <v>tạp chí truyện tranh cho trẻ em</v>
      </c>
      <c r="E4" s="4" t="str">
        <f ca="1">IFERROR(__xludf.DUMMYFUNCTION("GOOGLETRANSLATE(C4,""ja"",""vi"")"),"Đấu giá&gt; cuốn sách, tạp chí&gt; Tạp chí&gt; manga, truyện tranh&gt; Child truyện tranh")</f>
        <v>Đấu giá&gt; cuốn sách, tạp chí&gt; Tạp chí&gt; manga, truyện tranh&gt; Child truyện tranh</v>
      </c>
      <c r="F4" t="str">
        <f t="shared" ca="1" si="0"/>
        <v>"2084008145" : "tạp chí truyện tranh cho trẻ em",</v>
      </c>
    </row>
    <row r="5" spans="1:6" ht="21.6">
      <c r="A5" s="12">
        <v>2084008146</v>
      </c>
      <c r="B5" s="12" t="s">
        <v>3758</v>
      </c>
      <c r="C5" s="12" t="s">
        <v>3759</v>
      </c>
      <c r="D5" s="5" t="str">
        <f ca="1">IFERROR(__xludf.DUMMYFUNCTION("GOOGLETRANSLATE(B5,""ja"",""vi"")"),"Woman truyện tranh")</f>
        <v>Woman truyện tranh</v>
      </c>
      <c r="E5" s="4" t="str">
        <f ca="1">IFERROR(__xludf.DUMMYFUNCTION("GOOGLETRANSLATE(C5,""ja"",""vi"")"),"Đấu giá&gt; cuốn sách, tạp chí&gt; Tạp chí&gt; manga, truyện tranh&gt; người phụ nữ hài hước")</f>
        <v>Đấu giá&gt; cuốn sách, tạp chí&gt; Tạp chí&gt; manga, truyện tranh&gt; người phụ nữ hài hước</v>
      </c>
      <c r="F5" t="str">
        <f t="shared" ca="1" si="0"/>
        <v>"2084008146" : "Woman truyện tranh",</v>
      </c>
    </row>
    <row r="6" spans="1:6" ht="21.6">
      <c r="A6" s="12">
        <v>2084008149</v>
      </c>
      <c r="B6" s="12" t="s">
        <v>3761</v>
      </c>
      <c r="C6" s="12" t="s">
        <v>3762</v>
      </c>
      <c r="D6" s="5" t="str">
        <f ca="1">IFERROR(__xludf.DUMMYFUNCTION("GOOGLETRANSLATE(B6,""ja"",""vi"")"),"Đàn ông hài hước")</f>
        <v>Đàn ông hài hước</v>
      </c>
      <c r="E6" s="4" t="str">
        <f ca="1">IFERROR(__xludf.DUMMYFUNCTION("GOOGLETRANSLATE(C6,""ja"",""vi"")"),"Đấu giá&gt; cuốn sách, tạp chí&gt; Tạp chí&gt; manga, truyện tranh&gt; man tạp chí truyện tranh")</f>
        <v>Đấu giá&gt; cuốn sách, tạp chí&gt; Tạp chí&gt; manga, truyện tranh&gt; man tạp chí truyện tranh</v>
      </c>
      <c r="F6" t="str">
        <f t="shared" ca="1" si="0"/>
        <v>"2084008149" : "Đàn ông hài hước",</v>
      </c>
    </row>
    <row r="7" spans="1:6" ht="21.6">
      <c r="A7" s="12">
        <v>2084048235</v>
      </c>
      <c r="B7" s="12" t="s">
        <v>4877</v>
      </c>
      <c r="C7" s="12" t="s">
        <v>4878</v>
      </c>
      <c r="D7" s="5" t="str">
        <f ca="1">IFERROR(__xludf.DUMMYFUNCTION("GOOGLETRANSLATE(B7,""ja"",""vi"")"),"Nghệ thuật chung")</f>
        <v>Nghệ thuật chung</v>
      </c>
      <c r="E7" s="4" t="str">
        <f ca="1">IFERROR(__xludf.DUMMYFUNCTION("GOOGLETRANSLATE(C7,""ja"",""vi"")"),"Đấu giá&gt; Sách, tạp chí&gt; Tạp chí&gt; Nghệ thuật &amp; giải trí&gt; Nghệ thuật chung")</f>
        <v>Đấu giá&gt; Sách, tạp chí&gt; Tạp chí&gt; Nghệ thuật &amp; giải trí&gt; Nghệ thuật chung</v>
      </c>
      <c r="F7" t="str">
        <f t="shared" ca="1" si="0"/>
        <v>"2084048235" : "Nghệ thuật chung",</v>
      </c>
    </row>
    <row r="8" spans="1:6" ht="21.6">
      <c r="A8" s="12">
        <v>21888</v>
      </c>
      <c r="B8" s="12" t="s">
        <v>4882</v>
      </c>
      <c r="C8" s="12" t="s">
        <v>4883</v>
      </c>
      <c r="D8" s="5" t="str">
        <f ca="1">IFERROR(__xludf.DUMMYFUNCTION("GOOGLETRANSLATE(B8,""ja"",""vi"")"),"Nghệ thuật Nhiếp ảnh")</f>
        <v>Nghệ thuật Nhiếp ảnh</v>
      </c>
      <c r="E8" s="4" t="str">
        <f ca="1">IFERROR(__xludf.DUMMYFUNCTION("GOOGLETRANSLATE(C8,""ja"",""vi"")"),"Đấu giá&gt; Sách, tạp chí&gt; Tạp chí&gt; Nghệ thuật &amp; giải trí&gt; Nghệ thuật Nhiếp ảnh")</f>
        <v>Đấu giá&gt; Sách, tạp chí&gt; Tạp chí&gt; Nghệ thuật &amp; giải trí&gt; Nghệ thuật Nhiếp ảnh</v>
      </c>
      <c r="F8" t="str">
        <f t="shared" ca="1" si="0"/>
        <v>"21888" : "Nghệ thuật Nhiếp ảnh",</v>
      </c>
    </row>
    <row r="9" spans="1:6" ht="21.6">
      <c r="A9" s="12">
        <v>2084008067</v>
      </c>
      <c r="B9" s="12" t="s">
        <v>4885</v>
      </c>
      <c r="C9" s="12" t="s">
        <v>4886</v>
      </c>
      <c r="D9" s="5" t="str">
        <f ca="1">IFERROR(__xludf.DUMMYFUNCTION("GOOGLETRANSLATE(B9,""ja"",""vi"")"),"hình ảnh")</f>
        <v>hình ảnh</v>
      </c>
      <c r="E9" s="4" t="str">
        <f ca="1">IFERROR(__xludf.DUMMYFUNCTION("GOOGLETRANSLATE(C9,""ja"",""vi"")"),"Đấu giá&gt; Sách, tạp chí&gt; Tạp chí&gt; Nghệ thuật &amp; giải trí&gt; Tranh vẽ trên vải")</f>
        <v>Đấu giá&gt; Sách, tạp chí&gt; Tạp chí&gt; Nghệ thuật &amp; giải trí&gt; Tranh vẽ trên vải</v>
      </c>
      <c r="F9" t="str">
        <f t="shared" ca="1" si="0"/>
        <v>"2084008067" : "hình ảnh",</v>
      </c>
    </row>
    <row r="10" spans="1:6" ht="21.6">
      <c r="A10" s="12">
        <v>2084228572</v>
      </c>
      <c r="B10" s="12" t="s">
        <v>4889</v>
      </c>
      <c r="C10" s="12" t="s">
        <v>4890</v>
      </c>
      <c r="D10" s="5" t="str">
        <f ca="1">IFERROR(__xludf.DUMMYFUNCTION("GOOGLETRANSLATE(B10,""ja"",""vi"")"),"đồ thủ công")</f>
        <v>đồ thủ công</v>
      </c>
      <c r="E10" s="4" t="str">
        <f ca="1">IFERROR(__xludf.DUMMYFUNCTION("GOOGLETRANSLATE(C10,""ja"",""vi"")"),"Đấu giá&gt; Sách, tạp chí&gt; Tạp chí&gt; Nghệ thuật &amp; giải trí&gt; Thủ công mỹ nghệ")</f>
        <v>Đấu giá&gt; Sách, tạp chí&gt; Tạp chí&gt; Nghệ thuật &amp; giải trí&gt; Thủ công mỹ nghệ</v>
      </c>
      <c r="F10" t="str">
        <f t="shared" ca="1" si="0"/>
        <v>"2084228572" : "đồ thủ công",</v>
      </c>
    </row>
    <row r="11" spans="1:6" ht="31.8">
      <c r="A11" s="12">
        <v>21932</v>
      </c>
      <c r="B11" s="12" t="s">
        <v>4894</v>
      </c>
      <c r="C11" s="12" t="s">
        <v>4896</v>
      </c>
      <c r="D11" s="5" t="str">
        <f ca="1">IFERROR(__xludf.DUMMYFUNCTION("GOOGLETRANSLATE(B11,""ja"",""vi"")"),"Phim, truyền hình")</f>
        <v>Phim, truyền hình</v>
      </c>
      <c r="E11" s="4" t="str">
        <f ca="1">IFERROR(__xludf.DUMMYFUNCTION("GOOGLETRANSLATE(C11,""ja"",""vi"")"),"Đấu giá&gt; Sách, tạp chí&gt; Tạp chí&gt; Nghệ thuật &amp; giải trí&gt; Phim ảnh, truyền hình")</f>
        <v>Đấu giá&gt; Sách, tạp chí&gt; Tạp chí&gt; Nghệ thuật &amp; giải trí&gt; Phim ảnh, truyền hình</v>
      </c>
      <c r="F11" t="str">
        <f t="shared" ca="1" si="0"/>
        <v>"21932" : "Phim, truyền hình",</v>
      </c>
    </row>
    <row r="12" spans="1:6" ht="21.6">
      <c r="A12" s="12">
        <v>2084008070</v>
      </c>
      <c r="B12" s="12" t="s">
        <v>1213</v>
      </c>
      <c r="C12" s="12" t="s">
        <v>4902</v>
      </c>
      <c r="D12" s="5" t="str">
        <f ca="1">IFERROR(__xludf.DUMMYFUNCTION("GOOGLETRANSLATE(B12,""ja"",""vi"")"),"nhà hát")</f>
        <v>nhà hát</v>
      </c>
      <c r="E12" s="4" t="str">
        <f ca="1">IFERROR(__xludf.DUMMYFUNCTION("GOOGLETRANSLATE(C12,""ja"",""vi"")"),"Đấu giá&gt; Sách, tạp chí&gt; Tạp chí&gt; Nghệ thuật &amp; giải trí&gt; Nhà hát")</f>
        <v>Đấu giá&gt; Sách, tạp chí&gt; Tạp chí&gt; Nghệ thuật &amp; giải trí&gt; Nhà hát</v>
      </c>
      <c r="F12" t="str">
        <f t="shared" ca="1" si="0"/>
        <v>"2084008070" : "nhà hát",</v>
      </c>
    </row>
    <row r="13" spans="1:6" ht="21.6">
      <c r="A13" s="12">
        <v>21936</v>
      </c>
      <c r="B13" s="12" t="s">
        <v>4905</v>
      </c>
      <c r="C13" s="12" t="s">
        <v>4907</v>
      </c>
      <c r="D13" s="5" t="str">
        <f ca="1">IFERROR(__xludf.DUMMYFUNCTION("GOOGLETRANSLATE(B13,""ja"",""vi"")"),"nhạc")</f>
        <v>nhạc</v>
      </c>
      <c r="E13" s="4" t="str">
        <f ca="1">IFERROR(__xludf.DUMMYFUNCTION("GOOGLETRANSLATE(C13,""ja"",""vi"")"),"Đấu giá&gt; Sách, tạp chí&gt; Tạp chí&gt; Nghệ thuật &amp; giải trí&gt; Âm nhạc")</f>
        <v>Đấu giá&gt; Sách, tạp chí&gt; Tạp chí&gt; Nghệ thuật &amp; giải trí&gt; Âm nhạc</v>
      </c>
      <c r="F13" t="str">
        <f t="shared" ca="1" si="0"/>
        <v>"21936" : "nhạc",</v>
      </c>
    </row>
    <row r="14" spans="1:6" ht="31.8">
      <c r="A14" s="12">
        <v>2084008066</v>
      </c>
      <c r="B14" s="12" t="s">
        <v>4911</v>
      </c>
      <c r="C14" s="12" t="s">
        <v>4912</v>
      </c>
      <c r="D14" s="5" t="str">
        <f ca="1">IFERROR(__xludf.DUMMYFUNCTION("GOOGLETRANSLATE(B14,""ja"",""vi"")"),"Nhàn rỗi, giải trí")</f>
        <v>Nhàn rỗi, giải trí</v>
      </c>
      <c r="E14" s="4" t="str">
        <f ca="1">IFERROR(__xludf.DUMMYFUNCTION("GOOGLETRANSLATE(C14,""ja"",""vi"")"),"Đấu giá&gt; cuốn sách, tạp chí&gt; Tạp chí&gt; nghệ thuật, vui chơi giải trí&gt; thần tượng, người nổi tiếng")</f>
        <v>Đấu giá&gt; cuốn sách, tạp chí&gt; Tạp chí&gt; nghệ thuật, vui chơi giải trí&gt; thần tượng, người nổi tiếng</v>
      </c>
      <c r="F14" t="str">
        <f t="shared" ca="1" si="0"/>
        <v>"2084008066" : "Nhàn rỗi, giải trí",</v>
      </c>
    </row>
    <row r="15" spans="1:6" ht="31.8">
      <c r="A15" s="12">
        <v>2084008068</v>
      </c>
      <c r="B15" s="12" t="s">
        <v>4916</v>
      </c>
      <c r="C15" s="12" t="s">
        <v>4917</v>
      </c>
      <c r="D15" s="5" t="str">
        <f ca="1">IFERROR(__xludf.DUMMYFUNCTION("GOOGLETRANSLATE(B15,""ja"",""vi"")"),"Animation")</f>
        <v>Animation</v>
      </c>
      <c r="E15" s="4" t="str">
        <f ca="1">IFERROR(__xludf.DUMMYFUNCTION("GOOGLETRANSLATE(C15,""ja"",""vi"")"),"Đấu giá&gt; cuốn sách, tạp chí&gt; Tạp chí&gt; nghệ thuật, vui chơi giải trí&gt; hoạt hình")</f>
        <v>Đấu giá&gt; cuốn sách, tạp chí&gt; Tạp chí&gt; nghệ thuật, vui chơi giải trí&gt; hoạt hình</v>
      </c>
      <c r="F15" t="str">
        <f t="shared" ca="1" si="0"/>
        <v>"2084008068" : "Animation",</v>
      </c>
    </row>
    <row r="16" spans="1:6" ht="21.6">
      <c r="A16" s="12">
        <v>2084047654</v>
      </c>
      <c r="B16" s="12" t="s">
        <v>143</v>
      </c>
      <c r="C16" s="12" t="s">
        <v>4921</v>
      </c>
      <c r="D16" s="5" t="str">
        <f ca="1">IFERROR(__xludf.DUMMYFUNCTION("GOOGLETRANSLATE(B16,""ja"",""vi"")"),"trò chơi")</f>
        <v>trò chơi</v>
      </c>
      <c r="E16" s="4" t="str">
        <f ca="1">IFERROR(__xludf.DUMMYFUNCTION("GOOGLETRANSLATE(C16,""ja"",""vi"")"),"Đấu giá&gt; Sách, tạp chí&gt; Tạp chí&gt; Nghệ thuật &amp; giải trí&gt; Games")</f>
        <v>Đấu giá&gt; Sách, tạp chí&gt; Tạp chí&gt; Nghệ thuật &amp; giải trí&gt; Games</v>
      </c>
      <c r="F16" t="str">
        <f t="shared" ca="1" si="0"/>
        <v>"2084047654" : "trò chơi",</v>
      </c>
    </row>
    <row r="17" spans="1:6" ht="31.8">
      <c r="A17" s="12">
        <v>2084048850</v>
      </c>
      <c r="B17" s="12" t="s">
        <v>4924</v>
      </c>
      <c r="C17" s="12" t="s">
        <v>4925</v>
      </c>
      <c r="D17" s="5" t="str">
        <f ca="1">IFERROR(__xludf.DUMMYFUNCTION("GOOGLETRANSLATE(B17,""ja"",""vi"")"),"Cấy truyền")</f>
        <v>Cấy truyền</v>
      </c>
      <c r="E17" s="4" t="str">
        <f ca="1">IFERROR(__xludf.DUMMYFUNCTION("GOOGLETRANSLATE(C17,""ja"",""vi"")"),"Đấu giá&gt; cuốn sách, tạp chí&gt; Tạp chí&gt; nghệ thuật, vui chơi giải trí&gt; nét đẹp văn hóa")</f>
        <v>Đấu giá&gt; cuốn sách, tạp chí&gt; Tạp chí&gt; nghệ thuật, vui chơi giải trí&gt; nét đẹp văn hóa</v>
      </c>
      <c r="F17" t="str">
        <f t="shared" ca="1" si="0"/>
        <v>"2084048850" : "Cấy truyền",</v>
      </c>
    </row>
    <row r="18" spans="1:6" ht="31.8">
      <c r="A18" s="12">
        <v>2084008090</v>
      </c>
      <c r="B18" s="12" t="s">
        <v>1232</v>
      </c>
      <c r="C18" s="12" t="s">
        <v>4928</v>
      </c>
      <c r="D18" s="5" t="str">
        <f ca="1">IFERROR(__xludf.DUMMYFUNCTION("GOOGLETRANSLATE(B18,""ja"",""vi"")"),"Ballet, múa")</f>
        <v>Ballet, múa</v>
      </c>
      <c r="E18" s="4" t="str">
        <f ca="1">IFERROR(__xludf.DUMMYFUNCTION("GOOGLETRANSLATE(C18,""ja"",""vi"")"),"Đấu giá&gt; cuốn sách, tạp chí&gt; Tạp chí&gt; nghệ thuật, vui chơi giải trí&gt; ballet, khiêu vũ")</f>
        <v>Đấu giá&gt; cuốn sách, tạp chí&gt; Tạp chí&gt; nghệ thuật, vui chơi giải trí&gt; ballet, khiêu vũ</v>
      </c>
      <c r="F18" t="str">
        <f t="shared" ca="1" si="0"/>
        <v>"2084008090" : "Ballet, múa",</v>
      </c>
    </row>
    <row r="19" spans="1:6" ht="31.8">
      <c r="A19" s="12">
        <v>2084008141</v>
      </c>
      <c r="B19" s="12" t="s">
        <v>4931</v>
      </c>
      <c r="C19" s="12" t="s">
        <v>4932</v>
      </c>
      <c r="D19" s="5" t="str">
        <f ca="1">IFERROR(__xludf.DUMMYFUNCTION("GOOGLETRANSLATE(B19,""ja"",""vi"")"),"Trend thông tin, thị xã hướng dẫn")</f>
        <v>Trend thông tin, thị xã hướng dẫn</v>
      </c>
      <c r="E19" s="4" t="str">
        <f ca="1">IFERROR(__xludf.DUMMYFUNCTION("GOOGLETRANSLATE(C19,""ja"",""vi"")"),"Đấu giá&gt; cuốn sách, tạp chí&gt; Tạp chí&gt; nghệ thuật, vui chơi giải trí&gt; Thông tin xu hướng, thị xã hướng dẫn")</f>
        <v>Đấu giá&gt; cuốn sách, tạp chí&gt; Tạp chí&gt; nghệ thuật, vui chơi giải trí&gt; Thông tin xu hướng, thị xã hướng dẫn</v>
      </c>
      <c r="F19" t="str">
        <f t="shared" ca="1" si="0"/>
        <v>"2084008141" : "Trend thông tin, thị xã hướng dẫn",</v>
      </c>
    </row>
    <row r="20" spans="1:6" ht="31.8">
      <c r="A20" s="12">
        <v>2084008024</v>
      </c>
      <c r="B20" s="12" t="s">
        <v>3696</v>
      </c>
      <c r="C20" s="12" t="s">
        <v>3698</v>
      </c>
      <c r="D20" s="5" t="str">
        <f ca="1">IFERROR(__xludf.DUMMYFUNCTION("GOOGLETRANSLATE(B20,""ja"",""vi"")"),"PC chung")</f>
        <v>PC chung</v>
      </c>
      <c r="E20" s="4" t="str">
        <f ca="1">IFERROR(__xludf.DUMMYFUNCTION("GOOGLETRANSLATE(C20,""ja"",""vi"")"),"Đấu giá&gt; cuốn sách, tạp chí&gt; Tạp chí&gt; máy tính và internet&gt; chung máy tính cá nhân")</f>
        <v>Đấu giá&gt; cuốn sách, tạp chí&gt; Tạp chí&gt; máy tính và internet&gt; chung máy tính cá nhân</v>
      </c>
      <c r="F20" t="str">
        <f t="shared" ca="1" si="0"/>
        <v>"2084008024" : "PC chung",</v>
      </c>
    </row>
    <row r="21" spans="1:6" ht="15.75" customHeight="1">
      <c r="A21" s="12">
        <v>2084008026</v>
      </c>
      <c r="B21" s="12" t="s">
        <v>3703</v>
      </c>
      <c r="C21" s="12" t="s">
        <v>3705</v>
      </c>
      <c r="D21" s="5" t="str">
        <f ca="1">IFERROR(__xludf.DUMMYFUNCTION("GOOGLETRANSLATE(B21,""ja"",""vi"")"),"tạp chí Mac")</f>
        <v>tạp chí Mac</v>
      </c>
      <c r="E21" s="4" t="str">
        <f ca="1">IFERROR(__xludf.DUMMYFUNCTION("GOOGLETRANSLATE(C21,""ja"",""vi"")"),"Đấu giá&gt; cuốn sách, tạp chí&gt; Tạp chí&gt; máy tính và internet&gt; Mac tạp chí liên quan")</f>
        <v>Đấu giá&gt; cuốn sách, tạp chí&gt; Tạp chí&gt; máy tính và internet&gt; Mac tạp chí liên quan</v>
      </c>
      <c r="F21" t="str">
        <f t="shared" ca="1" si="0"/>
        <v>"2084008026" : "tạp chí Mac",</v>
      </c>
    </row>
    <row r="22" spans="1:6" ht="15.75" customHeight="1">
      <c r="A22" s="12">
        <v>2084008027</v>
      </c>
      <c r="B22" s="12" t="s">
        <v>3709</v>
      </c>
      <c r="C22" s="12" t="s">
        <v>3712</v>
      </c>
      <c r="D22" s="5" t="str">
        <f ca="1">IFERROR(__xludf.DUMMYFUNCTION("GOOGLETRANSLATE(B22,""ja"",""vi"")"),"tạp chí có liên quan của Windows")</f>
        <v>tạp chí có liên quan của Windows</v>
      </c>
      <c r="E22" s="4" t="str">
        <f ca="1">IFERROR(__xludf.DUMMYFUNCTION("GOOGLETRANSLATE(C22,""ja"",""vi"")"),"Đấu giá&gt; cuốn sách, tạp chí&gt; Tạp chí&gt; máy tính và internet&gt; tạp chí có liên quan của Windows")</f>
        <v>Đấu giá&gt; cuốn sách, tạp chí&gt; Tạp chí&gt; máy tính và internet&gt; tạp chí có liên quan của Windows</v>
      </c>
      <c r="F22" t="str">
        <f t="shared" ca="1" si="0"/>
        <v>"2084008027" : "tạp chí có liên quan của Windows",</v>
      </c>
    </row>
    <row r="23" spans="1:6" ht="15.75" customHeight="1">
      <c r="A23" s="12">
        <v>2084008028</v>
      </c>
      <c r="B23" s="12" t="s">
        <v>3715</v>
      </c>
      <c r="C23" s="12" t="s">
        <v>3718</v>
      </c>
      <c r="D23" s="5" t="str">
        <f ca="1">IFERROR(__xludf.DUMMYFUNCTION("GOOGLETRANSLATE(B23,""ja"",""vi"")"),"Internet, truyền thông")</f>
        <v>Internet, truyền thông</v>
      </c>
      <c r="E23" s="4" t="str">
        <f ca="1">IFERROR(__xludf.DUMMYFUNCTION("GOOGLETRANSLATE(C23,""ja"",""vi"")"),"Đấu giá&gt; cuốn sách, tạp chí&gt; Tạp chí&gt; máy tính và internet&gt; Internet, thông tin liên lạc")</f>
        <v>Đấu giá&gt; cuốn sách, tạp chí&gt; Tạp chí&gt; máy tính và internet&gt; Internet, thông tin liên lạc</v>
      </c>
      <c r="F23" t="str">
        <f t="shared" ca="1" si="0"/>
        <v>"2084008028" : "Internet, truyền thông",</v>
      </c>
    </row>
    <row r="24" spans="1:6" ht="15.75" customHeight="1">
      <c r="A24" s="12">
        <v>2084008029</v>
      </c>
      <c r="B24" s="12" t="s">
        <v>3722</v>
      </c>
      <c r="C24" s="12" t="s">
        <v>3724</v>
      </c>
      <c r="D24" s="5" t="str">
        <f ca="1">IFERROR(__xludf.DUMMYFUNCTION("GOOGLETRANSLATE(B24,""ja"",""vi"")"),"nhạc máy tính, DTM")</f>
        <v>nhạc máy tính, DTM</v>
      </c>
      <c r="E24" s="4" t="str">
        <f ca="1">IFERROR(__xludf.DUMMYFUNCTION("GOOGLETRANSLATE(C24,""ja"",""vi"")"),"Đấu giá&gt; cuốn sách, tạp chí&gt; Tạp chí&gt; máy tính và internet&gt; nhạc máy tính, DTM")</f>
        <v>Đấu giá&gt; cuốn sách, tạp chí&gt; Tạp chí&gt; máy tính và internet&gt; nhạc máy tính, DTM</v>
      </c>
      <c r="F24" t="str">
        <f t="shared" ca="1" si="0"/>
        <v>"2084008029" : "nhạc máy tính, DTM",</v>
      </c>
    </row>
    <row r="25" spans="1:6" ht="15.75" customHeight="1">
      <c r="A25" s="12">
        <v>2084008025</v>
      </c>
      <c r="B25" s="12" t="s">
        <v>3728</v>
      </c>
      <c r="C25" s="12" t="s">
        <v>3730</v>
      </c>
      <c r="D25" s="5" t="str">
        <f ca="1">IFERROR(__xludf.DUMMYFUNCTION("GOOGLETRANSLATE(B25,""ja"",""vi"")"),"PC Games")</f>
        <v>PC Games</v>
      </c>
      <c r="E25" s="4" t="str">
        <f ca="1">IFERROR(__xludf.DUMMYFUNCTION("GOOGLETRANSLATE(C25,""ja"",""vi"")"),"Đấu giá&gt; cuốn sách, tạp chí&gt; Tạp chí&gt; máy tính và internet&gt; trò chơi máy tính cá nhân")</f>
        <v>Đấu giá&gt; cuốn sách, tạp chí&gt; Tạp chí&gt; máy tính và internet&gt; trò chơi máy tính cá nhân</v>
      </c>
      <c r="F25" t="str">
        <f t="shared" ca="1" si="0"/>
        <v>"2084008025" : "PC Games",</v>
      </c>
    </row>
    <row r="26" spans="1:6" ht="15.75" customHeight="1">
      <c r="A26" s="12">
        <v>2084008143</v>
      </c>
      <c r="B26" s="12" t="s">
        <v>4956</v>
      </c>
      <c r="C26" s="12" t="s">
        <v>4958</v>
      </c>
      <c r="D26" s="5" t="str">
        <f ca="1">IFERROR(__xludf.DUMMYFUNCTION("GOOGLETRANSLATE(B26,""ja"",""vi"")"),"Thị trấn thông tin cho người sành ăn")</f>
        <v>Thị trấn thông tin cho người sành ăn</v>
      </c>
      <c r="E26" s="4" t="str">
        <f ca="1">IFERROR(__xludf.DUMMYFUNCTION("GOOGLETRANSLATE(C26,""ja"",""vi"")"),"Đấu giá&gt; cuốn sách, tạp chí&gt; Tạp chí&gt; xu hướng thông tin, thị xã hướng dẫn&gt; Thông tin Town người sành ăn")</f>
        <v>Đấu giá&gt; cuốn sách, tạp chí&gt; Tạp chí&gt; xu hướng thông tin, thị xã hướng dẫn&gt; Thông tin Town người sành ăn</v>
      </c>
      <c r="F26" t="str">
        <f t="shared" ca="1" si="0"/>
        <v>"2084008143" : "Thị trấn thông tin cho người sành ăn",</v>
      </c>
    </row>
    <row r="27" spans="1:6" ht="15.75" customHeight="1">
      <c r="A27" s="12">
        <v>2084008142</v>
      </c>
      <c r="B27" s="12" t="s">
        <v>4962</v>
      </c>
      <c r="C27" s="12" t="s">
        <v>4964</v>
      </c>
      <c r="D27" s="5" t="str">
        <f ca="1">IFERROR(__xludf.DUMMYFUNCTION("GOOGLETRANSLATE(B27,""ja"",""vi"")"),"Mono thông tin xu hướng")</f>
        <v>Mono thông tin xu hướng</v>
      </c>
      <c r="E27" s="4" t="str">
        <f ca="1">IFERROR(__xludf.DUMMYFUNCTION("GOOGLETRANSLATE(C27,""ja"",""vi"")"),"Đấu giá&gt; cuốn sách, tạp chí&gt; Tạp chí&gt; Thông tin xu hướng, thị xã Hướng dẫn&gt; mono thông tin xu hướng")</f>
        <v>Đấu giá&gt; cuốn sách, tạp chí&gt; Tạp chí&gt; Thông tin xu hướng, thị xã Hướng dẫn&gt; mono thông tin xu hướng</v>
      </c>
      <c r="F27" t="str">
        <f t="shared" ca="1" si="0"/>
        <v>"2084008142" : "Mono thông tin xu hướng",</v>
      </c>
    </row>
    <row r="28" spans="1:6" ht="15.75" customHeight="1">
      <c r="A28" s="12">
        <v>2084008043</v>
      </c>
      <c r="B28" s="12" t="s">
        <v>4967</v>
      </c>
      <c r="C28" s="12" t="s">
        <v>4969</v>
      </c>
      <c r="D28" s="5" t="str">
        <f ca="1">IFERROR(__xludf.DUMMYFUNCTION("GOOGLETRANSLATE(B28,""ja"",""vi"")"),"tạp chí đồ thị")</f>
        <v>tạp chí đồ thị</v>
      </c>
      <c r="E28" s="4" t="str">
        <f ca="1">IFERROR(__xludf.DUMMYFUNCTION("GOOGLETRANSLATE(C28,""ja"",""vi"")"),"Đấu giá&gt; cuốn sách, tạp chí&gt; Tạp chí&gt; Tin tức, chung&gt; tạp chí đồ thị")</f>
        <v>Đấu giá&gt; cuốn sách, tạp chí&gt; Tạp chí&gt; Tin tức, chung&gt; tạp chí đồ thị</v>
      </c>
      <c r="F28" t="str">
        <f t="shared" ca="1" si="0"/>
        <v>"2084008043" : "tạp chí đồ thị",</v>
      </c>
    </row>
    <row r="29" spans="1:6" ht="15.75" customHeight="1">
      <c r="A29" s="12">
        <v>2084008048</v>
      </c>
      <c r="B29" s="12" t="s">
        <v>4972</v>
      </c>
      <c r="C29" s="12" t="s">
        <v>4973</v>
      </c>
      <c r="D29" s="5" t="str">
        <f ca="1">IFERROR(__xludf.DUMMYFUNCTION("GOOGLETRANSLATE(B29,""ja"",""vi"")"),"Kinh doanh, tiền")</f>
        <v>Kinh doanh, tiền</v>
      </c>
      <c r="E29" s="4" t="str">
        <f ca="1">IFERROR(__xludf.DUMMYFUNCTION("GOOGLETRANSLATE(C29,""ja"",""vi"")"),"Đấu giá&gt; cuốn sách, tạp chí&gt; Tạp chí&gt; Tin tức, chung&gt; Kinh doanh, tiền")</f>
        <v>Đấu giá&gt; cuốn sách, tạp chí&gt; Tạp chí&gt; Tin tức, chung&gt; Kinh doanh, tiền</v>
      </c>
      <c r="F29" t="str">
        <f t="shared" ca="1" si="0"/>
        <v>"2084008048" : "Kinh doanh, tiền",</v>
      </c>
    </row>
    <row r="30" spans="1:6" ht="15.75" customHeight="1">
      <c r="A30" s="12">
        <v>2084008038</v>
      </c>
      <c r="B30" s="12" t="s">
        <v>4976</v>
      </c>
      <c r="C30" s="12" t="s">
        <v>4978</v>
      </c>
      <c r="D30" s="5" t="str">
        <f ca="1">IFERROR(__xludf.DUMMYFUNCTION("GOOGLETRANSLATE(B30,""ja"",""vi"")"),"Hình ảnh tạp chí hàng tuần")</f>
        <v>Hình ảnh tạp chí hàng tuần</v>
      </c>
      <c r="E30" s="4" t="str">
        <f ca="1">IFERROR(__xludf.DUMMYFUNCTION("GOOGLETRANSLATE(C30,""ja"",""vi"")"),"Đấu giá&gt; cuốn sách, tạp chí&gt; Tạp chí&gt; Tin tức, chung&gt; tạp chí ảnh")</f>
        <v>Đấu giá&gt; cuốn sách, tạp chí&gt; Tạp chí&gt; Tin tức, chung&gt; tạp chí ảnh</v>
      </c>
      <c r="F30" t="str">
        <f t="shared" ca="1" si="0"/>
        <v>"2084008038" : "Hình ảnh tạp chí hàng tuần",</v>
      </c>
    </row>
    <row r="31" spans="1:6" ht="15.75" customHeight="1">
      <c r="A31" s="12">
        <v>2084008030</v>
      </c>
      <c r="B31" s="12" t="s">
        <v>4981</v>
      </c>
      <c r="C31" s="12" t="s">
        <v>4982</v>
      </c>
      <c r="D31" s="5" t="str">
        <f ca="1">IFERROR(__xludf.DUMMYFUNCTION("GOOGLETRANSLATE(B31,""ja"",""vi"")"),"tạp chí toàn diện")</f>
        <v>tạp chí toàn diện</v>
      </c>
      <c r="E31" s="4" t="str">
        <f ca="1">IFERROR(__xludf.DUMMYFUNCTION("GOOGLETRANSLATE(C31,""ja"",""vi"")"),"Đấu giá&gt; cuốn sách, tạp chí&gt; Tạp chí&gt; Tin tức, chung&gt; Tạp chí chung")</f>
        <v>Đấu giá&gt; cuốn sách, tạp chí&gt; Tạp chí&gt; Tin tức, chung&gt; Tạp chí chung</v>
      </c>
      <c r="F31" t="str">
        <f t="shared" ca="1" si="0"/>
        <v>"2084008030" : "tạp chí toàn diện",</v>
      </c>
    </row>
    <row r="32" spans="1:6" ht="15.75" customHeight="1">
      <c r="A32" s="12">
        <v>2084008142</v>
      </c>
      <c r="B32" s="12" t="s">
        <v>4962</v>
      </c>
      <c r="C32" s="12" t="s">
        <v>4988</v>
      </c>
      <c r="D32" s="5" t="str">
        <f ca="1">IFERROR(__xludf.DUMMYFUNCTION("GOOGLETRANSLATE(B32,""ja"",""vi"")"),"Mono thông tin xu hướng")</f>
        <v>Mono thông tin xu hướng</v>
      </c>
      <c r="E32" s="4" t="str">
        <f ca="1">IFERROR(__xludf.DUMMYFUNCTION("GOOGLETRANSLATE(C32,""ja"",""vi"")"),"Đấu giá&gt; cuốn sách, tạp chí&gt; Tạp chí&gt; Thời trang&gt; Thông tin xu hướng mono")</f>
        <v>Đấu giá&gt; cuốn sách, tạp chí&gt; Tạp chí&gt; Thời trang&gt; Thông tin xu hướng mono</v>
      </c>
      <c r="F32" t="str">
        <f t="shared" ca="1" si="0"/>
        <v>"2084008142" : "Mono thông tin xu hướng",</v>
      </c>
    </row>
    <row r="33" spans="1:6" ht="15.75" customHeight="1">
      <c r="A33" s="12">
        <v>2084008050</v>
      </c>
      <c r="B33" s="12" t="s">
        <v>1778</v>
      </c>
      <c r="C33" s="12" t="s">
        <v>4994</v>
      </c>
      <c r="D33" s="5" t="str">
        <f ca="1">IFERROR(__xludf.DUMMYFUNCTION("GOOGLETRANSLATE(B33,""ja"",""vi"")"),"đàn bà")</f>
        <v>đàn bà</v>
      </c>
      <c r="E33" s="4" t="str">
        <f ca="1">IFERROR(__xludf.DUMMYFUNCTION("GOOGLETRANSLATE(C33,""ja"",""vi"")"),"Đấu giá&gt; cuốn sách, tạp chí&gt; Tạp chí&gt; thời trang&gt; phụ nữ")</f>
        <v>Đấu giá&gt; cuốn sách, tạp chí&gt; Tạp chí&gt; thời trang&gt; phụ nữ</v>
      </c>
      <c r="F33" t="str">
        <f t="shared" ca="1" si="0"/>
        <v>"2084008050" : "đàn bà",</v>
      </c>
    </row>
    <row r="34" spans="1:6" ht="15.75" customHeight="1">
      <c r="A34" s="12">
        <v>2084008049</v>
      </c>
      <c r="B34" s="12" t="s">
        <v>1787</v>
      </c>
      <c r="C34" s="12" t="s">
        <v>4999</v>
      </c>
      <c r="D34" s="5" t="str">
        <f ca="1">IFERROR(__xludf.DUMMYFUNCTION("GOOGLETRANSLATE(B34,""ja"",""vi"")"),"người")</f>
        <v>người</v>
      </c>
      <c r="E34" s="4" t="str">
        <f ca="1">IFERROR(__xludf.DUMMYFUNCTION("GOOGLETRANSLATE(C34,""ja"",""vi"")"),"Đấu giá&gt; cuốn sách, tạp chí&gt; Tạp chí&gt; Thời trang&gt; Đàn ông")</f>
        <v>Đấu giá&gt; cuốn sách, tạp chí&gt; Tạp chí&gt; Thời trang&gt; Đàn ông</v>
      </c>
      <c r="F34" t="str">
        <f t="shared" ca="1" si="0"/>
        <v>"2084008049" : "người",</v>
      </c>
    </row>
    <row r="35" spans="1:6" ht="15.75" customHeight="1">
      <c r="A35" s="12">
        <v>2084008077</v>
      </c>
      <c r="B35" s="12" t="s">
        <v>5003</v>
      </c>
      <c r="C35" s="12" t="s">
        <v>5004</v>
      </c>
      <c r="D35" s="5" t="str">
        <f ca="1">IFERROR(__xludf.DUMMYFUNCTION("GOOGLETRANSLATE(B35,""ja"",""vi"")"),"nghiên cứu ngôn ngữ")</f>
        <v>nghiên cứu ngôn ngữ</v>
      </c>
      <c r="E35" s="4" t="str">
        <f ca="1">IFERROR(__xludf.DUMMYFUNCTION("GOOGLETRANSLATE(C35,""ja"",""vi"")"),"Đấu giá&gt; cuốn sách, tạp chí&gt; Tạp chí&gt; nghiên cứu, giáo dục&gt; Ngôn ngữ")</f>
        <v>Đấu giá&gt; cuốn sách, tạp chí&gt; Tạp chí&gt; nghiên cứu, giáo dục&gt; Ngôn ngữ</v>
      </c>
      <c r="F35" t="str">
        <f t="shared" ca="1" si="0"/>
        <v>"2084008077" : "nghiên cứu ngôn ngữ",</v>
      </c>
    </row>
    <row r="36" spans="1:6" ht="15.75" customHeight="1">
      <c r="A36" s="12">
        <v>21896</v>
      </c>
      <c r="B36" s="12" t="s">
        <v>5008</v>
      </c>
      <c r="C36" s="12" t="s">
        <v>5010</v>
      </c>
      <c r="D36" s="5" t="str">
        <f ca="1">IFERROR(__xludf.DUMMYFUNCTION("GOOGLETRANSLATE(B36,""ja"",""vi"")"),"Đối với trẻ em")</f>
        <v>Đối với trẻ em</v>
      </c>
      <c r="E36" s="4" t="str">
        <f ca="1">IFERROR(__xludf.DUMMYFUNCTION("GOOGLETRANSLATE(C36,""ja"",""vi"")"),"Đấu giá&gt; cuốn sách, tạp chí&gt; Tạp chí&gt; nghiên cứu, giáo dục&gt; trẻ em")</f>
        <v>Đấu giá&gt; cuốn sách, tạp chí&gt; Tạp chí&gt; nghiên cứu, giáo dục&gt; trẻ em</v>
      </c>
      <c r="F36" t="str">
        <f t="shared" ca="1" si="0"/>
        <v>"21896" : "Đối với trẻ em",</v>
      </c>
    </row>
    <row r="37" spans="1:6" ht="15.75" customHeight="1">
      <c r="A37" s="12">
        <v>2084008078</v>
      </c>
      <c r="B37" s="12" t="s">
        <v>5012</v>
      </c>
      <c r="C37" s="12" t="s">
        <v>5013</v>
      </c>
      <c r="D37" s="5" t="str">
        <f ca="1">IFERROR(__xludf.DUMMYFUNCTION("GOOGLETRANSLATE(B37,""ja"",""vi"")"),"văn bản Sở thích")</f>
        <v>văn bản Sở thích</v>
      </c>
      <c r="E37" s="4" t="str">
        <f ca="1">IFERROR(__xludf.DUMMYFUNCTION("GOOGLETRANSLATE(C37,""ja"",""vi"")"),"Đấu giá&gt; cuốn sách, tạp chí&gt; Tạp chí&gt; nghiên cứu, giáo dục&gt; text sở thích")</f>
        <v>Đấu giá&gt; cuốn sách, tạp chí&gt; Tạp chí&gt; nghiên cứu, giáo dục&gt; text sở thích</v>
      </c>
      <c r="F37" t="str">
        <f t="shared" ca="1" si="0"/>
        <v>"2084008078" : "văn bản Sở thích",</v>
      </c>
    </row>
    <row r="38" spans="1:6" ht="15.75" customHeight="1">
      <c r="A38" s="12">
        <v>21904</v>
      </c>
      <c r="B38" s="12" t="s">
        <v>5016</v>
      </c>
      <c r="C38" s="12" t="s">
        <v>5018</v>
      </c>
      <c r="D38" s="5" t="str">
        <f ca="1">IFERROR(__xludf.DUMMYFUNCTION("GOOGLETRANSLATE(B38,""ja"",""vi"")"),"Đại học, trường trung học")</f>
        <v>Đại học, trường trung học</v>
      </c>
      <c r="E38" s="4" t="str">
        <f ca="1">IFERROR(__xludf.DUMMYFUNCTION("GOOGLETRANSLATE(C38,""ja"",""vi"")"),"Đấu giá&gt; cuốn sách, tạp chí&gt; Tạp chí&gt; nghiên cứu, giáo dục&gt; Đại học, trường trung học")</f>
        <v>Đấu giá&gt; cuốn sách, tạp chí&gt; Tạp chí&gt; nghiên cứu, giáo dục&gt; Đại học, trường trung học</v>
      </c>
      <c r="F38" t="str">
        <f t="shared" ca="1" si="0"/>
        <v>"21904" : "Đại học, trường trung học",</v>
      </c>
    </row>
    <row r="39" spans="1:6" ht="15.75" customHeight="1">
      <c r="A39" s="12">
        <v>2084008079</v>
      </c>
      <c r="B39" s="12" t="s">
        <v>46</v>
      </c>
      <c r="C39" s="12" t="s">
        <v>5021</v>
      </c>
      <c r="D39" s="5" t="str">
        <f ca="1">IFERROR(__xludf.DUMMYFUNCTION("GOOGLETRANSLATE(B39,""ja"",""vi"")"),"nếu không thì")</f>
        <v>nếu không thì</v>
      </c>
      <c r="E39" s="4" t="str">
        <f ca="1">IFERROR(__xludf.DUMMYFUNCTION("GOOGLETRANSLATE(C39,""ja"",""vi"")"),"Đấu giá&gt; cuốn sách, tạp chí&gt; Tạp chí&gt; nghiên cứu, giáo dục&gt; Khác")</f>
        <v>Đấu giá&gt; cuốn sách, tạp chí&gt; Tạp chí&gt; nghiên cứu, giáo dục&gt; Khác</v>
      </c>
      <c r="F39" t="str">
        <f t="shared" ca="1" si="0"/>
        <v>"2084008079" : "nếu không thì",</v>
      </c>
    </row>
    <row r="40" spans="1:6" ht="15.75" customHeight="1">
      <c r="A40" s="12">
        <v>2084008092</v>
      </c>
      <c r="B40" s="12" t="s">
        <v>5024</v>
      </c>
      <c r="C40" s="12" t="s">
        <v>5025</v>
      </c>
      <c r="D40" s="5" t="str">
        <f ca="1">IFERROR(__xludf.DUMMYFUNCTION("GOOGLETRANSLATE(B40,""ja"",""vi"")"),"ngoài trời")</f>
        <v>ngoài trời</v>
      </c>
      <c r="E40" s="4" t="str">
        <f ca="1">IFERROR(__xludf.DUMMYFUNCTION("GOOGLETRANSLATE(C40,""ja"",""vi"")"),"Đấu giá&gt; cuốn sách, tạp chí&gt; Tạp chí&gt; sở thích, thể thao, sử dụng thực tế&gt; Ngoài trời")</f>
        <v>Đấu giá&gt; cuốn sách, tạp chí&gt; Tạp chí&gt; sở thích, thể thao, sử dụng thực tế&gt; Ngoài trời</v>
      </c>
      <c r="F40" t="str">
        <f t="shared" ca="1" si="0"/>
        <v>"2084008092" : "ngoài trời",</v>
      </c>
    </row>
    <row r="41" spans="1:6" ht="15.75" customHeight="1">
      <c r="A41" s="12">
        <v>2084008122</v>
      </c>
      <c r="B41" s="12" t="s">
        <v>5027</v>
      </c>
      <c r="C41" s="12" t="s">
        <v>5028</v>
      </c>
      <c r="D41" s="5" t="str">
        <f ca="1">IFERROR(__xludf.DUMMYFUNCTION("GOOGLETRANSLATE(B41,""ja"",""vi"")"),"âm thanh")</f>
        <v>âm thanh</v>
      </c>
      <c r="E41" s="4" t="str">
        <f ca="1">IFERROR(__xludf.DUMMYFUNCTION("GOOGLETRANSLATE(C41,""ja"",""vi"")"),"Đấu giá&gt; cuốn sách, tạp chí&gt; Tạp chí&gt; sở thích, thể thao, sử dụng thực tế&gt; âm thanh")</f>
        <v>Đấu giá&gt; cuốn sách, tạp chí&gt; Tạp chí&gt; sở thích, thể thao, sử dụng thực tế&gt; âm thanh</v>
      </c>
      <c r="F41" t="str">
        <f t="shared" ca="1" si="0"/>
        <v>"2084008122" : "âm thanh",</v>
      </c>
    </row>
    <row r="42" spans="1:6" ht="15.75" customHeight="1">
      <c r="A42" s="12">
        <v>2084008105</v>
      </c>
      <c r="B42" s="12" t="s">
        <v>5031</v>
      </c>
      <c r="C42" s="12" t="s">
        <v>5032</v>
      </c>
      <c r="D42" s="5" t="str">
        <f ca="1">IFERROR(__xludf.DUMMYFUNCTION("GOOGLETRANSLATE(B42,""ja"",""vi"")"),"xe mô tô")</f>
        <v>xe mô tô</v>
      </c>
      <c r="E42" s="4" t="str">
        <f ca="1">IFERROR(__xludf.DUMMYFUNCTION("GOOGLETRANSLATE(C42,""ja"",""vi"")"),"Đấu giá&gt; cuốn sách, tạp chí&gt; Tạp chí&gt; sở thích, thể thao, sử dụng thực tế&gt; xe máy")</f>
        <v>Đấu giá&gt; cuốn sách, tạp chí&gt; Tạp chí&gt; sở thích, thể thao, sử dụng thực tế&gt; xe máy</v>
      </c>
      <c r="F42" t="str">
        <f t="shared" ca="1" si="0"/>
        <v>"2084008105" : "xe mô tô",</v>
      </c>
    </row>
    <row r="43" spans="1:6" ht="15.75" customHeight="1">
      <c r="A43" s="12">
        <v>2084008096</v>
      </c>
      <c r="B43" s="12" t="s">
        <v>5035</v>
      </c>
      <c r="C43" s="12" t="s">
        <v>5036</v>
      </c>
      <c r="D43" s="5" t="str">
        <f ca="1">IFERROR(__xludf.DUMMYFUNCTION("GOOGLETRANSLATE(B43,""ja"",""vi"")"),"Cờ bạc")</f>
        <v>Cờ bạc</v>
      </c>
      <c r="E43" s="4" t="str">
        <f ca="1">IFERROR(__xludf.DUMMYFUNCTION("GOOGLETRANSLATE(C43,""ja"",""vi"")"),"Đấu giá&gt; cuốn sách, tạp chí&gt; Tạp chí&gt; sở thích, thể thao, sử dụng thực tế&gt; cờ bạc")</f>
        <v>Đấu giá&gt; cuốn sách, tạp chí&gt; Tạp chí&gt; sở thích, thể thao, sử dụng thực tế&gt; cờ bạc</v>
      </c>
      <c r="F43" t="str">
        <f t="shared" ca="1" si="0"/>
        <v>"2084008096" : "Cờ bạc",</v>
      </c>
    </row>
    <row r="44" spans="1:6" ht="15.75" customHeight="1">
      <c r="A44" s="12">
        <v>2084008083</v>
      </c>
      <c r="B44" s="12" t="s">
        <v>4458</v>
      </c>
      <c r="C44" s="12" t="s">
        <v>5039</v>
      </c>
      <c r="D44" s="5" t="str">
        <f ca="1">IFERROR(__xludf.DUMMYFUNCTION("GOOGLETRANSLATE(B44,""ja"",""vi"")"),"thể thao")</f>
        <v>thể thao</v>
      </c>
      <c r="E44" s="4" t="str">
        <f ca="1">IFERROR(__xludf.DUMMYFUNCTION("GOOGLETRANSLATE(C44,""ja"",""vi"")"),"Đấu giá&gt; cuốn sách, tạp chí&gt; Tạp chí&gt; sở thích, thể thao, sử dụng thực tế&gt; Thể Thao")</f>
        <v>Đấu giá&gt; cuốn sách, tạp chí&gt; Tạp chí&gt; sở thích, thể thao, sử dụng thực tế&gt; Thể Thao</v>
      </c>
      <c r="F44" t="str">
        <f t="shared" ca="1" si="0"/>
        <v>"2084008083" : "thể thao",</v>
      </c>
    </row>
    <row r="45" spans="1:6" ht="15.75" customHeight="1">
      <c r="A45" s="12">
        <v>2084008094</v>
      </c>
      <c r="B45" s="12" t="s">
        <v>5041</v>
      </c>
      <c r="C45" s="12" t="s">
        <v>5042</v>
      </c>
      <c r="D45" s="5" t="str">
        <f ca="1">IFERROR(__xludf.DUMMYFUNCTION("GOOGLETRANSLATE(B45,""ja"",""vi"")"),"Puzzle")</f>
        <v>Puzzle</v>
      </c>
      <c r="E45" s="4" t="str">
        <f ca="1">IFERROR(__xludf.DUMMYFUNCTION("GOOGLETRANSLATE(C45,""ja"",""vi"")"),"Đấu giá&gt; cuốn sách, tạp chí&gt; Tạp chí&gt; sở thích, thể thao, sử dụng thực tế&gt; đố")</f>
        <v>Đấu giá&gt; cuốn sách, tạp chí&gt; Tạp chí&gt; sở thích, thể thao, sử dụng thực tế&gt; đố</v>
      </c>
      <c r="F45" t="str">
        <f t="shared" ca="1" si="0"/>
        <v>"2084008094" : "Puzzle",</v>
      </c>
    </row>
    <row r="46" spans="1:6" ht="15.75" customHeight="1">
      <c r="A46" s="12">
        <v>2084008095</v>
      </c>
      <c r="B46" s="12" t="s">
        <v>5043</v>
      </c>
      <c r="C46" s="12" t="s">
        <v>5044</v>
      </c>
      <c r="D46" s="5" t="str">
        <f ca="1">IFERROR(__xludf.DUMMYFUNCTION("GOOGLETRANSLATE(B46,""ja"",""vi"")"),"Vật nuôi, động vật")</f>
        <v>Vật nuôi, động vật</v>
      </c>
      <c r="E46" s="4" t="str">
        <f ca="1">IFERROR(__xludf.DUMMYFUNCTION("GOOGLETRANSLATE(C46,""ja"",""vi"")"),"Đấu giá&gt; cuốn sách, tạp chí&gt; Tạp chí&gt; sở thích, thể thao, sử dụng thực tế&gt; vật nuôi, động vật")</f>
        <v>Đấu giá&gt; cuốn sách, tạp chí&gt; Tạp chí&gt; sở thích, thể thao, sử dụng thực tế&gt; vật nuôi, động vật</v>
      </c>
      <c r="F46" t="str">
        <f t="shared" ca="1" si="0"/>
        <v>"2084008095" : "Vật nuôi, động vật",</v>
      </c>
    </row>
    <row r="47" spans="1:6" ht="15.75" customHeight="1">
      <c r="A47" s="12">
        <v>2084008127</v>
      </c>
      <c r="B47" s="12" t="s">
        <v>5045</v>
      </c>
      <c r="C47" s="12" t="s">
        <v>5046</v>
      </c>
      <c r="D47" s="5" t="str">
        <f ca="1">IFERROR(__xludf.DUMMYFUNCTION("GOOGLETRANSLATE(B47,""ja"",""vi"")"),"Vườn, làm vườn")</f>
        <v>Vườn, làm vườn</v>
      </c>
      <c r="E47" s="4" t="str">
        <f ca="1">IFERROR(__xludf.DUMMYFUNCTION("GOOGLETRANSLATE(C47,""ja"",""vi"")"),"Đấu giá&gt; cuốn sách, tạp chí&gt; Tạp chí&gt; sở thích, thể thao, sử dụng thực tế&gt; làm vườn, làm vườn")</f>
        <v>Đấu giá&gt; cuốn sách, tạp chí&gt; Tạp chí&gt; sở thích, thể thao, sử dụng thực tế&gt; làm vườn, làm vườn</v>
      </c>
      <c r="F47" t="str">
        <f t="shared" ca="1" si="0"/>
        <v>"2084008127" : "Vườn, làm vườn",</v>
      </c>
    </row>
    <row r="48" spans="1:6" ht="15.75" customHeight="1">
      <c r="A48" s="12">
        <v>2084008117</v>
      </c>
      <c r="B48" s="12" t="s">
        <v>4494</v>
      </c>
      <c r="C48" s="12" t="s">
        <v>5047</v>
      </c>
      <c r="D48" s="5" t="str">
        <f ca="1">IFERROR(__xludf.DUMMYFUNCTION("GOOGLETRANSLATE(B48,""ja"",""vi"")"),"phi cơ")</f>
        <v>phi cơ</v>
      </c>
      <c r="E48" s="4" t="str">
        <f ca="1">IFERROR(__xludf.DUMMYFUNCTION("GOOGLETRANSLATE(C48,""ja"",""vi"")"),"Đấu giá&gt; cuốn sách, tạp chí&gt; Tạp chí&gt; sở thích, thể thao, sử dụng thực tế&gt; máy bay")</f>
        <v>Đấu giá&gt; cuốn sách, tạp chí&gt; Tạp chí&gt; sở thích, thể thao, sử dụng thực tế&gt; máy bay</v>
      </c>
      <c r="F48" t="str">
        <f t="shared" ca="1" si="0"/>
        <v>"2084008117" : "phi cơ",</v>
      </c>
    </row>
    <row r="49" spans="1:6" ht="15.75" customHeight="1">
      <c r="A49" s="12">
        <v>2084008099</v>
      </c>
      <c r="B49" s="12" t="s">
        <v>4496</v>
      </c>
      <c r="C49" s="12" t="s">
        <v>5048</v>
      </c>
      <c r="D49" s="5" t="str">
        <f ca="1">IFERROR(__xludf.DUMMYFUNCTION("GOOGLETRANSLATE(B49,""ja"",""vi"")"),"xe hơi")</f>
        <v>xe hơi</v>
      </c>
      <c r="E49" s="4" t="str">
        <f ca="1">IFERROR(__xludf.DUMMYFUNCTION("GOOGLETRANSLATE(C49,""ja"",""vi"")"),"Đấu giá&gt; cuốn sách, tạp chí&gt; Tạp chí&gt; sở thích, thể thao, sử dụng thực tế&gt; ô tô")</f>
        <v>Đấu giá&gt; cuốn sách, tạp chí&gt; Tạp chí&gt; sở thích, thể thao, sử dụng thực tế&gt; ô tô</v>
      </c>
      <c r="F49" t="str">
        <f t="shared" ca="1" si="0"/>
        <v>"2084008099" : "xe hơi",</v>
      </c>
    </row>
    <row r="50" spans="1:6" ht="15.75" customHeight="1">
      <c r="A50" s="12">
        <v>2084008097</v>
      </c>
      <c r="B50" s="12" t="s">
        <v>5049</v>
      </c>
      <c r="C50" s="12" t="s">
        <v>5050</v>
      </c>
      <c r="D50" s="5" t="str">
        <f ca="1">IFERROR(__xludf.DUMMYFUNCTION("GOOGLETRANSLATE(B50,""ja"",""vi"")"),"Bói toán")</f>
        <v>Bói toán</v>
      </c>
      <c r="E50" s="4" t="str">
        <f ca="1">IFERROR(__xludf.DUMMYFUNCTION("GOOGLETRANSLATE(C50,""ja"",""vi"")"),"Đấu giá&gt; cuốn sách, tạp chí&gt; Tạp chí&gt; sở thích, thể thao, sử dụng thực tế&gt; bói toán")</f>
        <v>Đấu giá&gt; cuốn sách, tạp chí&gt; Tạp chí&gt; sở thích, thể thao, sử dụng thực tế&gt; bói toán</v>
      </c>
      <c r="F50" t="str">
        <f t="shared" ca="1" si="0"/>
        <v>"2084008097" : "Bói toán",</v>
      </c>
    </row>
    <row r="51" spans="1:6" ht="15.75" customHeight="1">
      <c r="A51" s="12">
        <v>2084008093</v>
      </c>
      <c r="B51" s="12" t="s">
        <v>5051</v>
      </c>
      <c r="C51" s="12" t="s">
        <v>5052</v>
      </c>
      <c r="D51" s="5" t="str">
        <f ca="1">IFERROR(__xludf.DUMMYFUNCTION("GOOGLETRANSLATE(B51,""ja"",""vi"")"),"Câu cá, câu cá")</f>
        <v>Câu cá, câu cá</v>
      </c>
      <c r="E51" s="4" t="str">
        <f ca="1">IFERROR(__xludf.DUMMYFUNCTION("GOOGLETRANSLATE(C51,""ja"",""vi"")"),"Đấu giá&gt; cuốn sách, tạp chí&gt; Tạp chí&gt; sở thích, thể thao, sử dụng thực tế&gt; câu cá, câu cá")</f>
        <v>Đấu giá&gt; cuốn sách, tạp chí&gt; Tạp chí&gt; sở thích, thể thao, sử dụng thực tế&gt; câu cá, câu cá</v>
      </c>
      <c r="F51" t="str">
        <f t="shared" ca="1" si="0"/>
        <v>"2084008093" : "Câu cá, câu cá",</v>
      </c>
    </row>
    <row r="52" spans="1:6" ht="15.75" customHeight="1">
      <c r="A52" s="12">
        <v>2084008110</v>
      </c>
      <c r="B52" s="12" t="s">
        <v>4511</v>
      </c>
      <c r="C52" s="12" t="s">
        <v>5054</v>
      </c>
      <c r="D52" s="5" t="str">
        <f ca="1">IFERROR(__xludf.DUMMYFUNCTION("GOOGLETRANSLATE(B52,""ja"",""vi"")"),"đường sắt")</f>
        <v>đường sắt</v>
      </c>
      <c r="E52" s="4" t="str">
        <f ca="1">IFERROR(__xludf.DUMMYFUNCTION("GOOGLETRANSLATE(C52,""ja"",""vi"")"),"Đấu giá&gt; cuốn sách, tạp chí&gt; Tạp chí&gt; sở thích, thể thao, sử dụng thực tế&gt; đường sắt")</f>
        <v>Đấu giá&gt; cuốn sách, tạp chí&gt; Tạp chí&gt; sở thích, thể thao, sử dụng thực tế&gt; đường sắt</v>
      </c>
      <c r="F52" t="str">
        <f t="shared" ca="1" si="0"/>
        <v>"2084008110" : "đường sắt",</v>
      </c>
    </row>
    <row r="53" spans="1:6" ht="15.75" customHeight="1">
      <c r="A53" s="12">
        <v>2084048353</v>
      </c>
      <c r="B53" s="12" t="s">
        <v>5057</v>
      </c>
      <c r="C53" s="12" t="s">
        <v>5059</v>
      </c>
      <c r="D53" s="5" t="str">
        <f ca="1">IFERROR(__xludf.DUMMYFUNCTION("GOOGLETRANSLATE(B53,""ja"",""vi"")"),"Mô hình, mô hình nhựa, điều khiển bằng radio")</f>
        <v>Mô hình, mô hình nhựa, điều khiển bằng radio</v>
      </c>
      <c r="E53" s="4" t="str">
        <f ca="1">IFERROR(__xludf.DUMMYFUNCTION("GOOGLETRANSLATE(C53,""ja"",""vi"")"),"Đấu giá&gt; cuốn sách, tạp chí&gt; Tạp chí&gt; sở thích, thể thao, sử dụng thực tế&gt; mô hình, mô hình nhựa, điều khiển bằng radio")</f>
        <v>Đấu giá&gt; cuốn sách, tạp chí&gt; Tạp chí&gt; sở thích, thể thao, sử dụng thực tế&gt; mô hình, mô hình nhựa, điều khiển bằng radio</v>
      </c>
      <c r="F53" t="str">
        <f t="shared" ca="1" si="0"/>
        <v>"2084048353" : "Mô hình, mô hình nhựa, điều khiển bằng radio",</v>
      </c>
    </row>
    <row r="54" spans="1:6" ht="15.75" customHeight="1">
      <c r="A54" s="12">
        <v>2084008125</v>
      </c>
      <c r="B54" s="12" t="s">
        <v>5062</v>
      </c>
      <c r="C54" s="12" t="s">
        <v>5063</v>
      </c>
      <c r="D54" s="5" t="str">
        <f ca="1">IFERROR(__xludf.DUMMYFUNCTION("GOOGLETRANSLATE(B54,""ja"",""vi"")"),"Nội thất, xây dựng nhà")</f>
        <v>Nội thất, xây dựng nhà</v>
      </c>
      <c r="E54" s="4" t="str">
        <f ca="1">IFERROR(__xludf.DUMMYFUNCTION("GOOGLETRANSLATE(C54,""ja"",""vi"")"),"Đấu giá&gt; cuốn sách, tạp chí&gt; Tạp chí&gt; nhà, sinh hoạt, chăm sóc trẻ&gt; nội thất, xây dựng nhà")</f>
        <v>Đấu giá&gt; cuốn sách, tạp chí&gt; Tạp chí&gt; nhà, sinh hoạt, chăm sóc trẻ&gt; nội thất, xây dựng nhà</v>
      </c>
      <c r="F54" t="str">
        <f t="shared" ca="1" si="0"/>
        <v>"2084008125" : "Nội thất, xây dựng nhà",</v>
      </c>
    </row>
    <row r="55" spans="1:6" ht="15.75" customHeight="1">
      <c r="A55" s="12">
        <v>2084008095</v>
      </c>
      <c r="B55" s="12" t="s">
        <v>5043</v>
      </c>
      <c r="C55" s="12" t="s">
        <v>5067</v>
      </c>
      <c r="D55" s="5" t="str">
        <f ca="1">IFERROR(__xludf.DUMMYFUNCTION("GOOGLETRANSLATE(B55,""ja"",""vi"")"),"Vật nuôi, động vật")</f>
        <v>Vật nuôi, động vật</v>
      </c>
      <c r="E55" s="4" t="str">
        <f ca="1">IFERROR(__xludf.DUMMYFUNCTION("GOOGLETRANSLATE(C55,""ja"",""vi"")"),"Đấu giá&gt; cuốn sách, tạp chí&gt; Tạp chí&gt; nhà, sinh hoạt, chăm sóc trẻ&gt; vật nuôi, động vật")</f>
        <v>Đấu giá&gt; cuốn sách, tạp chí&gt; Tạp chí&gt; nhà, sinh hoạt, chăm sóc trẻ&gt; vật nuôi, động vật</v>
      </c>
      <c r="F55" t="str">
        <f t="shared" ca="1" si="0"/>
        <v>"2084008095" : "Vật nuôi, động vật",</v>
      </c>
    </row>
    <row r="56" spans="1:6" ht="15.75" customHeight="1">
      <c r="A56" s="12">
        <v>2084008127</v>
      </c>
      <c r="B56" s="12" t="s">
        <v>5045</v>
      </c>
      <c r="C56" s="12" t="s">
        <v>5070</v>
      </c>
      <c r="D56" s="5" t="str">
        <f ca="1">IFERROR(__xludf.DUMMYFUNCTION("GOOGLETRANSLATE(B56,""ja"",""vi"")"),"Vườn, làm vườn")</f>
        <v>Vườn, làm vườn</v>
      </c>
      <c r="E56" s="4" t="str">
        <f ca="1">IFERROR(__xludf.DUMMYFUNCTION("GOOGLETRANSLATE(C56,""ja"",""vi"")"),"Đấu giá&gt; cuốn sách, tạp chí&gt; Tạp chí&gt; nhà, sinh hoạt, chăm sóc trẻ&gt; làm vườn, làm vườn")</f>
        <v>Đấu giá&gt; cuốn sách, tạp chí&gt; Tạp chí&gt; nhà, sinh hoạt, chăm sóc trẻ&gt; làm vườn, làm vườn</v>
      </c>
      <c r="F56" t="str">
        <f t="shared" ca="1" si="0"/>
        <v>"2084008127" : "Vườn, làm vườn",</v>
      </c>
    </row>
    <row r="57" spans="1:6" ht="15.75" customHeight="1">
      <c r="A57" s="12">
        <v>2084008128</v>
      </c>
      <c r="B57" s="12" t="s">
        <v>5074</v>
      </c>
      <c r="C57" s="12" t="s">
        <v>5075</v>
      </c>
      <c r="D57" s="5" t="str">
        <f ca="1">IFERROR(__xludf.DUMMYFUNCTION("GOOGLETRANSLATE(B57,""ja"",""vi"")"),"Hôn nhân, dẫn cưới")</f>
        <v>Hôn nhân, dẫn cưới</v>
      </c>
      <c r="E57" s="4" t="str">
        <f ca="1">IFERROR(__xludf.DUMMYFUNCTION("GOOGLETRANSLATE(C57,""ja"",""vi"")"),"Đấu giá&gt; cuốn sách, tạp chí&gt; Tạp chí&gt; nhà, sinh hoạt, chăm sóc trẻ&gt; hôn nhân, dẫn cưới")</f>
        <v>Đấu giá&gt; cuốn sách, tạp chí&gt; Tạp chí&gt; nhà, sinh hoạt, chăm sóc trẻ&gt; hôn nhân, dẫn cưới</v>
      </c>
      <c r="F57" t="str">
        <f t="shared" ca="1" si="0"/>
        <v>"2084008128" : "Hôn nhân, dẫn cưới",</v>
      </c>
    </row>
    <row r="58" spans="1:6" ht="15.75" customHeight="1">
      <c r="A58" s="12">
        <v>2084008126</v>
      </c>
      <c r="B58" s="12" t="s">
        <v>5077</v>
      </c>
      <c r="C58" s="12" t="s">
        <v>5078</v>
      </c>
      <c r="D58" s="5" t="str">
        <f ca="1">IFERROR(__xludf.DUMMYFUNCTION("GOOGLETRANSLATE(B58,""ja"",""vi"")"),"tạp chí sức khỏe")</f>
        <v>tạp chí sức khỏe</v>
      </c>
      <c r="E58" s="4" t="str">
        <f ca="1">IFERROR(__xludf.DUMMYFUNCTION("GOOGLETRANSLATE(C58,""ja"",""vi"")"),"Đấu giá&gt; cuốn sách, tạp chí&gt; Tạp chí&gt; nhà, chăm sóc trẻ em sống&gt; tạp chí Sức khỏe")</f>
        <v>Đấu giá&gt; cuốn sách, tạp chí&gt; Tạp chí&gt; nhà, chăm sóc trẻ em sống&gt; tạp chí Sức khỏe</v>
      </c>
      <c r="F58" t="str">
        <f t="shared" ca="1" si="0"/>
        <v>"2084008126" : "tạp chí sức khỏe",</v>
      </c>
    </row>
    <row r="59" spans="1:6" ht="15.75" customHeight="1">
      <c r="A59" s="12">
        <v>2084008129</v>
      </c>
      <c r="B59" s="12" t="s">
        <v>5081</v>
      </c>
      <c r="C59" s="12" t="s">
        <v>5083</v>
      </c>
      <c r="D59" s="5" t="str">
        <f ca="1">IFERROR(__xludf.DUMMYFUNCTION("GOOGLETRANSLATE(B59,""ja"",""vi"")"),"Sinh, chăm sóc trẻ em")</f>
        <v>Sinh, chăm sóc trẻ em</v>
      </c>
      <c r="E59" s="4" t="str">
        <f ca="1">IFERROR(__xludf.DUMMYFUNCTION("GOOGLETRANSLATE(C59,""ja"",""vi"")"),"Đấu giá&gt; cuốn sách, tạp chí&gt; Tạp chí&gt; nhà, sinh hoạt, chăm sóc trẻ&gt; sinh con, chăm sóc trẻ em")</f>
        <v>Đấu giá&gt; cuốn sách, tạp chí&gt; Tạp chí&gt; nhà, sinh hoạt, chăm sóc trẻ&gt; sinh con, chăm sóc trẻ em</v>
      </c>
      <c r="F59" t="str">
        <f t="shared" ca="1" si="0"/>
        <v>"2084008129" : "Sinh, chăm sóc trẻ em",</v>
      </c>
    </row>
    <row r="60" spans="1:6" ht="15.75" customHeight="1">
      <c r="A60" s="12">
        <v>2084008124</v>
      </c>
      <c r="B60" s="12" t="s">
        <v>5085</v>
      </c>
      <c r="C60" s="12" t="s">
        <v>5086</v>
      </c>
      <c r="D60" s="5" t="str">
        <f ca="1">IFERROR(__xludf.DUMMYFUNCTION("GOOGLETRANSLATE(B60,""ja"",""vi"")"),"Cuộc sống, tạp chí nấu ăn")</f>
        <v>Cuộc sống, tạp chí nấu ăn</v>
      </c>
      <c r="E60" s="4" t="str">
        <f ca="1">IFERROR(__xludf.DUMMYFUNCTION("GOOGLETRANSLATE(C60,""ja"",""vi"")"),"Đấu giá&gt; cuốn sách, tạp chí&gt; Tạp chí&gt; nhà, sinh hoạt, chăm sóc trẻ&gt; cuộc sống, tạp chí nấu ăn")</f>
        <v>Đấu giá&gt; cuốn sách, tạp chí&gt; Tạp chí&gt; nhà, sinh hoạt, chăm sóc trẻ&gt; cuộc sống, tạp chí nấu ăn</v>
      </c>
      <c r="F60" t="str">
        <f t="shared" ca="1" si="0"/>
        <v>"2084008124" : "Cuộc sống, tạp chí nấu ăn",</v>
      </c>
    </row>
    <row r="61" spans="1:6" ht="15.75" customHeight="1">
      <c r="A61" s="12">
        <v>2084008097</v>
      </c>
      <c r="B61" s="12" t="s">
        <v>5049</v>
      </c>
      <c r="C61" s="12" t="s">
        <v>5089</v>
      </c>
      <c r="D61" s="5" t="str">
        <f ca="1">IFERROR(__xludf.DUMMYFUNCTION("GOOGLETRANSLATE(B61,""ja"",""vi"")"),"Bói toán")</f>
        <v>Bói toán</v>
      </c>
      <c r="E61" s="4" t="str">
        <f ca="1">IFERROR(__xludf.DUMMYFUNCTION("GOOGLETRANSLATE(C61,""ja"",""vi"")"),"Đấu giá&gt; cuốn sách, tạp chí&gt; Tạp chí&gt; nhà, sinh hoạt, chăm sóc trẻ&gt; bói toán")</f>
        <v>Đấu giá&gt; cuốn sách, tạp chí&gt; Tạp chí&gt; nhà, sinh hoạt, chăm sóc trẻ&gt; bói toán</v>
      </c>
      <c r="F61" t="str">
        <f t="shared" ca="1" si="0"/>
        <v>"2084008097" : "Bói toán",</v>
      </c>
    </row>
    <row r="62" spans="1:6" ht="15.75" customHeight="1">
      <c r="A62" s="12">
        <v>2084008140</v>
      </c>
      <c r="B62" s="12" t="s">
        <v>4924</v>
      </c>
      <c r="C62" s="12" t="s">
        <v>5092</v>
      </c>
      <c r="D62" s="5" t="str">
        <f ca="1">IFERROR(__xludf.DUMMYFUNCTION("GOOGLETRANSLATE(B62,""ja"",""vi"")"),"Cấy truyền")</f>
        <v>Cấy truyền</v>
      </c>
      <c r="E62" s="4" t="str">
        <f ca="1">IFERROR(__xludf.DUMMYFUNCTION("GOOGLETRANSLATE(C62,""ja"",""vi"")"),"Đấu giá&gt; cuốn sách, tạp chí&gt; Tạp chí&gt; nhân văn, xã hội, không hư cấu&gt; nét đẹp văn hóa")</f>
        <v>Đấu giá&gt; cuốn sách, tạp chí&gt; Tạp chí&gt; nhân văn, xã hội, không hư cấu&gt; nét đẹp văn hóa</v>
      </c>
      <c r="F62" t="str">
        <f t="shared" ca="1" si="0"/>
        <v>"2084008140" : "Cấy truyền",</v>
      </c>
    </row>
    <row r="63" spans="1:6" ht="15.75" customHeight="1">
      <c r="A63" s="12">
        <v>2084008139</v>
      </c>
      <c r="B63" s="12" t="s">
        <v>5094</v>
      </c>
      <c r="C63" s="12" t="s">
        <v>5095</v>
      </c>
      <c r="D63" s="5" t="str">
        <f ca="1">IFERROR(__xludf.DUMMYFUNCTION("GOOGLETRANSLATE(B63,""ja"",""vi"")"),"Huyền bí, huyền bí")</f>
        <v>Huyền bí, huyền bí</v>
      </c>
      <c r="E63" s="4" t="str">
        <f ca="1">IFERROR(__xludf.DUMMYFUNCTION("GOOGLETRANSLATE(C63,""ja"",""vi"")"),"Đấu giá&gt; cuốn sách, tạp chí&gt; Tạp chí&gt; nhân văn, xã hội, không hư cấu&gt; huyền bí, huyền bí")</f>
        <v>Đấu giá&gt; cuốn sách, tạp chí&gt; Tạp chí&gt; nhân văn, xã hội, không hư cấu&gt; huyền bí, huyền bí</v>
      </c>
      <c r="F63" t="str">
        <f t="shared" ca="1" si="0"/>
        <v>"2084008139" : "Huyền bí, huyền bí",</v>
      </c>
    </row>
    <row r="64" spans="1:6" ht="15.75" customHeight="1">
      <c r="A64" s="12">
        <v>2084008138</v>
      </c>
      <c r="B64" s="12" t="s">
        <v>5097</v>
      </c>
      <c r="C64" s="12" t="s">
        <v>5098</v>
      </c>
      <c r="D64" s="5" t="str">
        <f ca="1">IFERROR(__xludf.DUMMYFUNCTION("GOOGLETRANSLATE(B64,""ja"",""vi"")"),"lịch sử")</f>
        <v>lịch sử</v>
      </c>
      <c r="E64" s="4" t="str">
        <f ca="1">IFERROR(__xludf.DUMMYFUNCTION("GOOGLETRANSLATE(C64,""ja"",""vi"")"),"Đấu giá&gt; cuốn sách, tạp chí&gt; Tạp chí&gt; nhân văn, xã hội, không hư cấu&gt; Lịch sử")</f>
        <v>Đấu giá&gt; cuốn sách, tạp chí&gt; Tạp chí&gt; nhân văn, xã hội, không hư cấu&gt; Lịch sử</v>
      </c>
      <c r="F64" t="str">
        <f t="shared" ca="1" si="0"/>
        <v>"2084008138" : "lịch sử",</v>
      </c>
    </row>
    <row r="65" spans="1:6" ht="15.75" customHeight="1">
      <c r="A65" s="12">
        <v>2084008134</v>
      </c>
      <c r="B65" s="12" t="s">
        <v>5100</v>
      </c>
      <c r="C65" s="12" t="s">
        <v>5102</v>
      </c>
      <c r="D65" s="5" t="str">
        <f ca="1">IFERROR(__xludf.DUMMYFUNCTION("GOOGLETRANSLATE(B65,""ja"",""vi"")"),"chung Novel")</f>
        <v>chung Novel</v>
      </c>
      <c r="E65" s="4" t="str">
        <f ca="1">IFERROR(__xludf.DUMMYFUNCTION("GOOGLETRANSLATE(C65,""ja"",""vi"")"),"Đấu giá&gt; cuốn sách, tạp chí&gt; Tạp chí&gt; văn học, tiểu thuyết&gt; chung tiểu thuyết")</f>
        <v>Đấu giá&gt; cuốn sách, tạp chí&gt; Tạp chí&gt; văn học, tiểu thuyết&gt; chung tiểu thuyết</v>
      </c>
      <c r="F65" t="str">
        <f t="shared" ca="1" si="0"/>
        <v>"2084008134" : "chung Novel",</v>
      </c>
    </row>
    <row r="66" spans="1:6" ht="15.75" customHeight="1">
      <c r="A66" s="12">
        <v>21952</v>
      </c>
      <c r="B66" s="12" t="s">
        <v>5107</v>
      </c>
      <c r="C66" s="12" t="s">
        <v>5109</v>
      </c>
      <c r="D66" s="5" t="str">
        <f ca="1">IFERROR(__xludf.DUMMYFUNCTION("GOOGLETRANSLATE(B66,""ja"",""vi"")"),"SF, Fantasy, Horror")</f>
        <v>SF, Fantasy, Horror</v>
      </c>
      <c r="E66" s="4" t="str">
        <f ca="1">IFERROR(__xludf.DUMMYFUNCTION("GOOGLETRANSLATE(C66,""ja"",""vi"")"),"Đấu giá&gt; cuốn sách, tạp chí&gt; Tạp chí&gt; văn học, tiểu thuyết&gt; SF, Fantasy, Horror")</f>
        <v>Đấu giá&gt; cuốn sách, tạp chí&gt; Tạp chí&gt; văn học, tiểu thuyết&gt; SF, Fantasy, Horror</v>
      </c>
      <c r="F66" t="str">
        <f t="shared" ref="F66:F129" ca="1" si="1">CONCATENATE(CHAR(34)&amp;"",A66,""&amp;CHAR(34)," : ", CHAR(34)&amp;"",D66,""&amp;CHAR(34),",")</f>
        <v>"21952" : "SF, Fantasy, Horror",</v>
      </c>
    </row>
    <row r="67" spans="1:6" ht="15.75" customHeight="1">
      <c r="A67" s="12">
        <v>21940</v>
      </c>
      <c r="B67" s="12" t="s">
        <v>5112</v>
      </c>
      <c r="C67" s="12" t="s">
        <v>5114</v>
      </c>
      <c r="D67" s="5" t="str">
        <f ca="1">IFERROR(__xludf.DUMMYFUNCTION("GOOGLETRANSLATE(B67,""ja"",""vi"")"),"điều bí ẩn")</f>
        <v>điều bí ẩn</v>
      </c>
      <c r="E67" s="4" t="str">
        <f ca="1">IFERROR(__xludf.DUMMYFUNCTION("GOOGLETRANSLATE(C67,""ja"",""vi"")"),"Đấu giá&gt; cuốn sách, tạp chí&gt; Tạp chí&gt; văn học, tiểu thuyết&gt; bí ẩn")</f>
        <v>Đấu giá&gt; cuốn sách, tạp chí&gt; Tạp chí&gt; văn học, tiểu thuyết&gt; bí ẩn</v>
      </c>
      <c r="F67" t="str">
        <f t="shared" ca="1" si="1"/>
        <v>"21940" : "điều bí ẩn",</v>
      </c>
    </row>
    <row r="68" spans="1:6" ht="15.75" customHeight="1">
      <c r="A68" s="12">
        <v>2084008135</v>
      </c>
      <c r="B68" s="12" t="s">
        <v>5115</v>
      </c>
      <c r="C68" s="12" t="s">
        <v>5116</v>
      </c>
      <c r="D68" s="5" t="str">
        <f ca="1">IFERROR(__xludf.DUMMYFUNCTION("GOOGLETRANSLATE(B68,""ja"",""vi"")"),"light novel")</f>
        <v>light novel</v>
      </c>
      <c r="E68" s="4" t="str">
        <f ca="1">IFERROR(__xludf.DUMMYFUNCTION("GOOGLETRANSLATE(C68,""ja"",""vi"")"),"Đấu giá&gt; cuốn sách, tạp chí&gt; Tạp chí&gt; văn học, tiểu thuyết&gt; light novel")</f>
        <v>Đấu giá&gt; cuốn sách, tạp chí&gt; Tạp chí&gt; văn học, tiểu thuyết&gt; light novel</v>
      </c>
      <c r="F68" t="str">
        <f t="shared" ca="1" si="1"/>
        <v>"2084008135" : "light novel",</v>
      </c>
    </row>
    <row r="69" spans="1:6" ht="15.75" customHeight="1">
      <c r="A69" s="12">
        <v>2084008136</v>
      </c>
      <c r="B69" s="12" t="s">
        <v>5121</v>
      </c>
      <c r="C69" s="12" t="s">
        <v>5122</v>
      </c>
      <c r="D69" s="5" t="str">
        <f ca="1">IFERROR(__xludf.DUMMYFUNCTION("GOOGLETRANSLATE(B69,""ja"",""vi"")"),"Tiểu luận, Tanka, haiku")</f>
        <v>Tiểu luận, Tanka, haiku</v>
      </c>
      <c r="E69" s="4" t="str">
        <f ca="1">IFERROR(__xludf.DUMMYFUNCTION("GOOGLETRANSLATE(C69,""ja"",""vi"")"),"Đấu giá&gt; cuốn sách, tạp chí&gt; Tạp chí&gt; văn học, tiểu thuyết&gt; tiểu luận, Tanka, haiku")</f>
        <v>Đấu giá&gt; cuốn sách, tạp chí&gt; Tạp chí&gt; văn học, tiểu thuyết&gt; tiểu luận, Tanka, haiku</v>
      </c>
      <c r="F69" t="str">
        <f t="shared" ca="1" si="1"/>
        <v>"2084008136" : "Tiểu luận, Tanka, haiku",</v>
      </c>
    </row>
    <row r="70" spans="1:6" ht="15.75" customHeight="1">
      <c r="A70" s="12">
        <v>2084008145</v>
      </c>
      <c r="B70" s="12" t="s">
        <v>3755</v>
      </c>
      <c r="C70" s="12" t="s">
        <v>3756</v>
      </c>
      <c r="D70" s="5" t="str">
        <f ca="1">IFERROR(__xludf.DUMMYFUNCTION("GOOGLETRANSLATE(B70,""ja"",""vi"")"),"tạp chí truyện tranh cho trẻ em")</f>
        <v>tạp chí truyện tranh cho trẻ em</v>
      </c>
      <c r="E70" s="4" t="str">
        <f ca="1">IFERROR(__xludf.DUMMYFUNCTION("GOOGLETRANSLATE(C70,""ja"",""vi"")"),"Đấu giá&gt; cuốn sách, tạp chí&gt; Tạp chí&gt; manga, truyện tranh&gt; Child truyện tranh")</f>
        <v>Đấu giá&gt; cuốn sách, tạp chí&gt; Tạp chí&gt; manga, truyện tranh&gt; Child truyện tranh</v>
      </c>
      <c r="F70" t="str">
        <f t="shared" ca="1" si="1"/>
        <v>"2084008145" : "tạp chí truyện tranh cho trẻ em",</v>
      </c>
    </row>
    <row r="71" spans="1:6" ht="15.75" customHeight="1">
      <c r="A71" s="12">
        <v>2084008146</v>
      </c>
      <c r="B71" s="12" t="s">
        <v>3758</v>
      </c>
      <c r="C71" s="12" t="s">
        <v>3759</v>
      </c>
      <c r="D71" s="5" t="str">
        <f ca="1">IFERROR(__xludf.DUMMYFUNCTION("GOOGLETRANSLATE(B71,""ja"",""vi"")"),"Woman truyện tranh")</f>
        <v>Woman truyện tranh</v>
      </c>
      <c r="E71" s="4" t="str">
        <f ca="1">IFERROR(__xludf.DUMMYFUNCTION("GOOGLETRANSLATE(C71,""ja"",""vi"")"),"Đấu giá&gt; cuốn sách, tạp chí&gt; Tạp chí&gt; manga, truyện tranh&gt; người phụ nữ hài hước")</f>
        <v>Đấu giá&gt; cuốn sách, tạp chí&gt; Tạp chí&gt; manga, truyện tranh&gt; người phụ nữ hài hước</v>
      </c>
      <c r="F71" t="str">
        <f t="shared" ca="1" si="1"/>
        <v>"2084008146" : "Woman truyện tranh",</v>
      </c>
    </row>
    <row r="72" spans="1:6" ht="15.75" customHeight="1">
      <c r="A72" s="12">
        <v>2084008149</v>
      </c>
      <c r="B72" s="12" t="s">
        <v>3761</v>
      </c>
      <c r="C72" s="12" t="s">
        <v>3762</v>
      </c>
      <c r="D72" s="5" t="str">
        <f ca="1">IFERROR(__xludf.DUMMYFUNCTION("GOOGLETRANSLATE(B72,""ja"",""vi"")"),"Đàn ông hài hước")</f>
        <v>Đàn ông hài hước</v>
      </c>
      <c r="E72" s="4" t="str">
        <f ca="1">IFERROR(__xludf.DUMMYFUNCTION("GOOGLETRANSLATE(C72,""ja"",""vi"")"),"Đấu giá&gt; cuốn sách, tạp chí&gt; Tạp chí&gt; manga, truyện tranh&gt; man tạp chí truyện tranh")</f>
        <v>Đấu giá&gt; cuốn sách, tạp chí&gt; Tạp chí&gt; manga, truyện tranh&gt; man tạp chí truyện tranh</v>
      </c>
      <c r="F72" t="str">
        <f t="shared" ca="1" si="1"/>
        <v>"2084008149" : "Đàn ông hài hước",</v>
      </c>
    </row>
    <row r="73" spans="1:6" ht="15.75" customHeight="1">
      <c r="A73" s="12">
        <v>2084008538</v>
      </c>
      <c r="B73" s="12" t="s">
        <v>5132</v>
      </c>
      <c r="C73" s="12" t="s">
        <v>5133</v>
      </c>
      <c r="D73" s="5" t="str">
        <f ca="1">IFERROR(__xludf.DUMMYFUNCTION("GOOGLETRANSLATE(B73,""ja"",""vi"")"),"nhà văn nước ngoài")</f>
        <v>nhà văn nước ngoài</v>
      </c>
      <c r="E73" s="4" t="str">
        <f ca="1">IFERROR(__xludf.DUMMYFUNCTION("GOOGLETRANSLATE(C73,""ja"",""vi"")"),"Đấu giá&gt; cuốn sách, tạp chí&gt; văn học, tiểu thuyết&gt; tiểu thuyết chung&gt; nhà văn nước ngoài")</f>
        <v>Đấu giá&gt; cuốn sách, tạp chí&gt; văn học, tiểu thuyết&gt; tiểu thuyết chung&gt; nhà văn nước ngoài</v>
      </c>
      <c r="F73" t="str">
        <f t="shared" ca="1" si="1"/>
        <v>"2084008538" : "nhà văn nước ngoài",</v>
      </c>
    </row>
    <row r="74" spans="1:6" ht="15.75" customHeight="1">
      <c r="A74" s="12">
        <v>2084008526</v>
      </c>
      <c r="B74" s="12" t="s">
        <v>5135</v>
      </c>
      <c r="C74" s="12" t="s">
        <v>5136</v>
      </c>
      <c r="D74" s="5" t="str">
        <f ca="1">IFERROR(__xludf.DUMMYFUNCTION("GOOGLETRANSLATE(B74,""ja"",""vi"")"),"nhà văn Nhật Bản")</f>
        <v>nhà văn Nhật Bản</v>
      </c>
      <c r="E74" s="4" t="str">
        <f ca="1">IFERROR(__xludf.DUMMYFUNCTION("GOOGLETRANSLATE(C74,""ja"",""vi"")"),"Đấu giá&gt; cuốn sách, tạp chí&gt; văn học, tiểu thuyết&gt; tiểu thuyết chung&gt; nhà văn Nhật Bản")</f>
        <v>Đấu giá&gt; cuốn sách, tạp chí&gt; văn học, tiểu thuyết&gt; tiểu thuyết chung&gt; nhà văn Nhật Bản</v>
      </c>
      <c r="F74" t="str">
        <f t="shared" ca="1" si="1"/>
        <v>"2084008526" : "nhà văn Nhật Bản",</v>
      </c>
    </row>
    <row r="75" spans="1:6" ht="15.75" customHeight="1">
      <c r="A75" s="12">
        <v>2084034078</v>
      </c>
      <c r="B75" s="12" t="s">
        <v>5139</v>
      </c>
      <c r="C75" s="12" t="s">
        <v>5141</v>
      </c>
      <c r="D75" s="5" t="str">
        <f ca="1">IFERROR(__xludf.DUMMYFUNCTION("GOOGLETRANSLATE(B75,""ja"",""vi"")"),"boys Love")</f>
        <v>boys Love</v>
      </c>
      <c r="E75" s="4" t="str">
        <f ca="1">IFERROR(__xludf.DUMMYFUNCTION("GOOGLETRANSLATE(C75,""ja"",""vi"")"),"Đấu giá&gt; cuốn sách, tạp chí&gt; văn học, tiểu thuyết&gt; light novel&gt; Boys Love")</f>
        <v>Đấu giá&gt; cuốn sách, tạp chí&gt; văn học, tiểu thuyết&gt; light novel&gt; Boys Love</v>
      </c>
      <c r="F75" t="str">
        <f t="shared" ca="1" si="1"/>
        <v>"2084034078" : "boys Love",</v>
      </c>
    </row>
    <row r="76" spans="1:6" ht="15.75" customHeight="1">
      <c r="A76" s="12">
        <v>2084034080</v>
      </c>
      <c r="B76" s="12" t="s">
        <v>5143</v>
      </c>
      <c r="C76" s="12" t="s">
        <v>5144</v>
      </c>
      <c r="D76" s="5" t="str">
        <f ca="1">IFERROR(__xludf.DUMMYFUNCTION("GOOGLETRANSLATE(B76,""ja"",""vi"")"),"chung light novel")</f>
        <v>chung light novel</v>
      </c>
      <c r="E76" s="4" t="str">
        <f ca="1">IFERROR(__xludf.DUMMYFUNCTION("GOOGLETRANSLATE(C76,""ja"",""vi"")"),"Đấu giá&gt; cuốn sách, tạp chí&gt; văn học, tiểu thuyết&gt; light novel&gt; ánh sáng chung tiểu thuyết")</f>
        <v>Đấu giá&gt; cuốn sách, tạp chí&gt; văn học, tiểu thuyết&gt; light novel&gt; ánh sáng chung tiểu thuyết</v>
      </c>
      <c r="F76" t="str">
        <f t="shared" ca="1" si="1"/>
        <v>"2084034080" : "chung light novel",</v>
      </c>
    </row>
    <row r="77" spans="1:6" ht="15.75" customHeight="1">
      <c r="A77" s="12">
        <v>2084034058</v>
      </c>
      <c r="B77" s="12" t="s">
        <v>5146</v>
      </c>
      <c r="C77" s="12" t="s">
        <v>5147</v>
      </c>
      <c r="D77" s="5" t="str">
        <f ca="1">IFERROR(__xludf.DUMMYFUNCTION("GOOGLETRANSLATE(B77,""ja"",""vi"")"),"tiểu thuyết lãng mạn nói chung")</f>
        <v>tiểu thuyết lãng mạn nói chung</v>
      </c>
      <c r="E77" s="4" t="str">
        <f ca="1">IFERROR(__xludf.DUMMYFUNCTION("GOOGLETRANSLATE(C77,""ja"",""vi"")"),"tiểu thuyết đấu giá&gt; cuốn sách, tạp chí&gt; văn học, tiểu thuyết&gt; lãng mạn, câu chuyện tình yêu&gt; lãng mạn nói chung")</f>
        <v>tiểu thuyết đấu giá&gt; cuốn sách, tạp chí&gt; văn học, tiểu thuyết&gt; lãng mạn, câu chuyện tình yêu&gt; lãng mạn nói chung</v>
      </c>
      <c r="F77" t="str">
        <f t="shared" ca="1" si="1"/>
        <v>"2084034058" : "tiểu thuyết lãng mạn nói chung",</v>
      </c>
    </row>
    <row r="78" spans="1:6" ht="15.75" customHeight="1">
      <c r="A78" s="12">
        <v>2084041692</v>
      </c>
      <c r="B78" s="12" t="s">
        <v>5149</v>
      </c>
      <c r="C78" s="12" t="s">
        <v>5150</v>
      </c>
      <c r="D78" s="5" t="str">
        <f ca="1">IFERROR(__xludf.DUMMYFUNCTION("GOOGLETRANSLATE(B78,""ja"",""vi"")"),"Sanrio lãng mạn")</f>
        <v>Sanrio lãng mạn</v>
      </c>
      <c r="E78" s="4" t="str">
        <f ca="1">IFERROR(__xludf.DUMMYFUNCTION("GOOGLETRANSLATE(C78,""ja"",""vi"")"),"Đấu giá&gt; cuốn sách, tạp chí&gt; văn học, tiểu thuyết&gt; lãng mạn, câu chuyện tình yêu&gt; Sanrio Lãng mạn")</f>
        <v>Đấu giá&gt; cuốn sách, tạp chí&gt; văn học, tiểu thuyết&gt; lãng mạn, câu chuyện tình yêu&gt; Sanrio Lãng mạn</v>
      </c>
      <c r="F78" t="str">
        <f t="shared" ca="1" si="1"/>
        <v>"2084041692" : "Sanrio lãng mạn",</v>
      </c>
    </row>
    <row r="79" spans="1:6" ht="15.75" customHeight="1">
      <c r="A79" s="12">
        <v>2084041693</v>
      </c>
      <c r="B79" s="12" t="s">
        <v>5153</v>
      </c>
      <c r="C79" s="12" t="s">
        <v>5154</v>
      </c>
      <c r="D79" s="5" t="str">
        <f ca="1">IFERROR(__xludf.DUMMYFUNCTION("GOOGLETRANSLATE(B79,""ja"",""vi"")"),"Second Chance Ath Tình yêu")</f>
        <v>Second Chance Ath Tình yêu</v>
      </c>
      <c r="E79" s="4" t="str">
        <f ca="1">IFERROR(__xludf.DUMMYFUNCTION("GOOGLETRANSLATE(C79,""ja"",""vi"")"),"Đấu giá&gt; cuốn sách, tạp chí&gt; văn học, tiểu thuyết&gt; lãng mạn, câu chuyện tình yêu&gt; Second Chance tại-Tình yêu")</f>
        <v>Đấu giá&gt; cuốn sách, tạp chí&gt; văn học, tiểu thuyết&gt; lãng mạn, câu chuyện tình yêu&gt; Second Chance tại-Tình yêu</v>
      </c>
      <c r="F79" t="str">
        <f t="shared" ca="1" si="1"/>
        <v>"2084041693" : "Second Chance Ath Tình yêu",</v>
      </c>
    </row>
    <row r="80" spans="1:6" ht="15.75" customHeight="1">
      <c r="A80" s="12">
        <v>2084034059</v>
      </c>
      <c r="B80" s="12" t="s">
        <v>5157</v>
      </c>
      <c r="C80" s="12" t="s">
        <v>5158</v>
      </c>
      <c r="D80" s="5" t="str">
        <f ca="1">IFERROR(__xludf.DUMMYFUNCTION("GOOGLETRANSLATE(B80,""ja"",""vi"")"),"Harlequin loạt")</f>
        <v>Harlequin loạt</v>
      </c>
      <c r="E80" s="4" t="str">
        <f ca="1">IFERROR(__xludf.DUMMYFUNCTION("GOOGLETRANSLATE(C80,""ja"",""vi"")"),"Đấu giá&gt; cuốn sách, tạp chí&gt; văn học, tiểu thuyết&gt; lãng mạn, câu chuyện tình yêu&gt; Harlequin loạt")</f>
        <v>Đấu giá&gt; cuốn sách, tạp chí&gt; văn học, tiểu thuyết&gt; lãng mạn, câu chuyện tình yêu&gt; Harlequin loạt</v>
      </c>
      <c r="F80" t="str">
        <f t="shared" ca="1" si="1"/>
        <v>"2084034059" : "Harlequin loạt",</v>
      </c>
    </row>
    <row r="81" spans="1:6" ht="15.75" customHeight="1">
      <c r="A81" s="12">
        <v>2084041691</v>
      </c>
      <c r="B81" s="12" t="s">
        <v>5161</v>
      </c>
      <c r="C81" s="12" t="s">
        <v>5162</v>
      </c>
      <c r="D81" s="5" t="str">
        <f ca="1">IFERROR(__xludf.DUMMYFUNCTION("GOOGLETRANSLATE(B81,""ja"",""vi"")"),"Barbara Cartland lãng mạn")</f>
        <v>Barbara Cartland lãng mạn</v>
      </c>
      <c r="E81" s="4" t="str">
        <f ca="1">IFERROR(__xludf.DUMMYFUNCTION("GOOGLETRANSLATE(C81,""ja"",""vi"")"),"Đấu giá&gt; cuốn sách, tạp chí&gt; văn học, tiểu thuyết&gt; lãng mạn, câu chuyện tình yêu&gt; Barbara Cartland lãng mạn")</f>
        <v>Đấu giá&gt; cuốn sách, tạp chí&gt; văn học, tiểu thuyết&gt; lãng mạn, câu chuyện tình yêu&gt; Barbara Cartland lãng mạn</v>
      </c>
      <c r="F81" t="str">
        <f t="shared" ca="1" si="1"/>
        <v>"2084041691" : "Barbara Cartland lãng mạn",</v>
      </c>
    </row>
    <row r="82" spans="1:6" ht="15.75" customHeight="1">
      <c r="A82" s="12">
        <v>2084034078</v>
      </c>
      <c r="B82" s="12" t="s">
        <v>5139</v>
      </c>
      <c r="C82" s="12" t="s">
        <v>5165</v>
      </c>
      <c r="D82" s="5" t="str">
        <f ca="1">IFERROR(__xludf.DUMMYFUNCTION("GOOGLETRANSLATE(B82,""ja"",""vi"")"),"boys Love")</f>
        <v>boys Love</v>
      </c>
      <c r="E82" s="4" t="str">
        <f ca="1">IFERROR(__xludf.DUMMYFUNCTION("GOOGLETRANSLATE(C82,""ja"",""vi"")"),"Đấu giá&gt; cuốn sách, tạp chí&gt; văn học, tiểu thuyết&gt; lãng mạn, câu chuyện tình yêu&gt; Boys Love")</f>
        <v>Đấu giá&gt; cuốn sách, tạp chí&gt; văn học, tiểu thuyết&gt; lãng mạn, câu chuyện tình yêu&gt; Boys Love</v>
      </c>
      <c r="F82" t="str">
        <f t="shared" ca="1" si="1"/>
        <v>"2084034078" : "boys Love",</v>
      </c>
    </row>
    <row r="83" spans="1:6" ht="15.75" customHeight="1">
      <c r="A83" s="12">
        <v>2084008507</v>
      </c>
      <c r="B83" s="12" t="s">
        <v>5132</v>
      </c>
      <c r="C83" s="12" t="s">
        <v>5167</v>
      </c>
      <c r="D83" s="5" t="str">
        <f ca="1">IFERROR(__xludf.DUMMYFUNCTION("GOOGLETRANSLATE(B83,""ja"",""vi"")"),"nhà văn nước ngoài")</f>
        <v>nhà văn nước ngoài</v>
      </c>
      <c r="E83" s="4" t="str">
        <f ca="1">IFERROR(__xludf.DUMMYFUNCTION("GOOGLETRANSLATE(C83,""ja"",""vi"")"),"Đấu giá&gt; cuốn sách, tạp chí&gt; văn học, tiểu thuyết&gt; SF&gt; nhà văn nước ngoài")</f>
        <v>Đấu giá&gt; cuốn sách, tạp chí&gt; văn học, tiểu thuyết&gt; SF&gt; nhà văn nước ngoài</v>
      </c>
      <c r="F83" t="str">
        <f t="shared" ca="1" si="1"/>
        <v>"2084008507" : "nhà văn nước ngoài",</v>
      </c>
    </row>
    <row r="84" spans="1:6" ht="15.75" customHeight="1">
      <c r="A84" s="12">
        <v>2084008506</v>
      </c>
      <c r="B84" s="12" t="s">
        <v>5135</v>
      </c>
      <c r="C84" s="12" t="s">
        <v>5169</v>
      </c>
      <c r="D84" s="5" t="str">
        <f ca="1">IFERROR(__xludf.DUMMYFUNCTION("GOOGLETRANSLATE(B84,""ja"",""vi"")"),"nhà văn Nhật Bản")</f>
        <v>nhà văn Nhật Bản</v>
      </c>
      <c r="E84" s="4" t="str">
        <f ca="1">IFERROR(__xludf.DUMMYFUNCTION("GOOGLETRANSLATE(C84,""ja"",""vi"")"),"Đấu giá&gt; cuốn sách, tạp chí&gt; văn học, tiểu thuyết&gt; SF&gt; nhà văn Nhật Bản")</f>
        <v>Đấu giá&gt; cuốn sách, tạp chí&gt; văn học, tiểu thuyết&gt; SF&gt; nhà văn Nhật Bản</v>
      </c>
      <c r="F84" t="str">
        <f t="shared" ca="1" si="1"/>
        <v>"2084008506" : "nhà văn Nhật Bản",</v>
      </c>
    </row>
    <row r="85" spans="1:6" ht="15.75" customHeight="1">
      <c r="A85" s="12">
        <v>2084047866</v>
      </c>
      <c r="B85" s="12" t="s">
        <v>5172</v>
      </c>
      <c r="C85" s="12" t="s">
        <v>5173</v>
      </c>
      <c r="D85" s="5" t="str">
        <f ca="1">IFERROR(__xludf.DUMMYFUNCTION("GOOGLETRANSLATE(B85,""ja"",""vi"")"),"doujinshi")</f>
        <v>doujinshi</v>
      </c>
      <c r="E85" s="4" t="str">
        <f ca="1">IFERROR(__xludf.DUMMYFUNCTION("GOOGLETRANSLATE(C85,""ja"",""vi"")"),"Đấu giá&gt; cuốn sách, tạp chí&gt; văn học, tiểu thuyết&gt; SF&gt; fanzine")</f>
        <v>Đấu giá&gt; cuốn sách, tạp chí&gt; văn học, tiểu thuyết&gt; SF&gt; fanzine</v>
      </c>
      <c r="F85" t="str">
        <f t="shared" ca="1" si="1"/>
        <v>"2084047866" : "doujinshi",</v>
      </c>
    </row>
    <row r="86" spans="1:6" ht="15.75" customHeight="1">
      <c r="A86" s="12">
        <v>2084008514</v>
      </c>
      <c r="B86" s="12" t="s">
        <v>5132</v>
      </c>
      <c r="C86" s="12" t="s">
        <v>5176</v>
      </c>
      <c r="D86" s="5" t="str">
        <f ca="1">IFERROR(__xludf.DUMMYFUNCTION("GOOGLETRANSLATE(B86,""ja"",""vi"")"),"nhà văn nước ngoài")</f>
        <v>nhà văn nước ngoài</v>
      </c>
      <c r="E86" s="4" t="str">
        <f ca="1">IFERROR(__xludf.DUMMYFUNCTION("GOOGLETRANSLATE(C86,""ja"",""vi"")"),"Đấu giá&gt; cuốn sách, tạp chí&gt; văn học, tiểu thuyết&gt; tưởng tượng&gt; nhà văn nước ngoài")</f>
        <v>Đấu giá&gt; cuốn sách, tạp chí&gt; văn học, tiểu thuyết&gt; tưởng tượng&gt; nhà văn nước ngoài</v>
      </c>
      <c r="F86" t="str">
        <f t="shared" ca="1" si="1"/>
        <v>"2084008514" : "nhà văn nước ngoài",</v>
      </c>
    </row>
    <row r="87" spans="1:6" ht="15.75" customHeight="1">
      <c r="A87" s="12">
        <v>2084008513</v>
      </c>
      <c r="B87" s="12" t="s">
        <v>5135</v>
      </c>
      <c r="C87" s="12" t="s">
        <v>5179</v>
      </c>
      <c r="D87" s="5" t="str">
        <f ca="1">IFERROR(__xludf.DUMMYFUNCTION("GOOGLETRANSLATE(B87,""ja"",""vi"")"),"nhà văn Nhật Bản")</f>
        <v>nhà văn Nhật Bản</v>
      </c>
      <c r="E87" s="4" t="str">
        <f ca="1">IFERROR(__xludf.DUMMYFUNCTION("GOOGLETRANSLATE(C87,""ja"",""vi"")"),"Đấu giá&gt; cuốn sách, tạp chí&gt; văn học, tiểu thuyết&gt; tưởng tượng&gt; nhà văn Nhật Bản")</f>
        <v>Đấu giá&gt; cuốn sách, tạp chí&gt; văn học, tiểu thuyết&gt; tưởng tượng&gt; nhà văn Nhật Bản</v>
      </c>
      <c r="F87" t="str">
        <f t="shared" ca="1" si="1"/>
        <v>"2084008513" : "nhà văn Nhật Bản",</v>
      </c>
    </row>
    <row r="88" spans="1:6" ht="15.75" customHeight="1">
      <c r="A88" s="12">
        <v>2084047870</v>
      </c>
      <c r="B88" s="12" t="s">
        <v>5172</v>
      </c>
      <c r="C88" s="12" t="s">
        <v>5181</v>
      </c>
      <c r="D88" s="5" t="str">
        <f ca="1">IFERROR(__xludf.DUMMYFUNCTION("GOOGLETRANSLATE(B88,""ja"",""vi"")"),"doujinshi")</f>
        <v>doujinshi</v>
      </c>
      <c r="E88" s="4" t="str">
        <f ca="1">IFERROR(__xludf.DUMMYFUNCTION("GOOGLETRANSLATE(C88,""ja"",""vi"")"),"Đấu giá&gt; cuốn sách, tạp chí&gt; văn học, tiểu thuyết&gt; tưởng tượng&gt; fanzine")</f>
        <v>Đấu giá&gt; cuốn sách, tạp chí&gt; văn học, tiểu thuyết&gt; tưởng tượng&gt; fanzine</v>
      </c>
      <c r="F88" t="str">
        <f t="shared" ca="1" si="1"/>
        <v>"2084047870" : "doujinshi",</v>
      </c>
    </row>
    <row r="89" spans="1:6" ht="15.75" customHeight="1">
      <c r="A89" s="12">
        <v>2084038671</v>
      </c>
      <c r="B89" s="12" t="s">
        <v>5132</v>
      </c>
      <c r="C89" s="12" t="s">
        <v>5184</v>
      </c>
      <c r="D89" s="5" t="str">
        <f ca="1">IFERROR(__xludf.DUMMYFUNCTION("GOOGLETRANSLATE(B89,""ja"",""vi"")"),"nhà văn nước ngoài")</f>
        <v>nhà văn nước ngoài</v>
      </c>
      <c r="E89" s="4" t="str">
        <f ca="1">IFERROR(__xludf.DUMMYFUNCTION("GOOGLETRANSLATE(C89,""ja"",""vi"")"),"Đấu giá&gt; cuốn sách, tạp chí&gt; văn học, tiểu thuyết&gt; kinh dị&gt; nhà văn nước ngoài")</f>
        <v>Đấu giá&gt; cuốn sách, tạp chí&gt; văn học, tiểu thuyết&gt; kinh dị&gt; nhà văn nước ngoài</v>
      </c>
      <c r="F89" t="str">
        <f t="shared" ca="1" si="1"/>
        <v>"2084038671" : "nhà văn nước ngoài",</v>
      </c>
    </row>
    <row r="90" spans="1:6" ht="15.75" customHeight="1">
      <c r="A90" s="12">
        <v>2084008520</v>
      </c>
      <c r="B90" s="12" t="s">
        <v>5135</v>
      </c>
      <c r="C90" s="12" t="s">
        <v>5188</v>
      </c>
      <c r="D90" s="5" t="str">
        <f ca="1">IFERROR(__xludf.DUMMYFUNCTION("GOOGLETRANSLATE(B90,""ja"",""vi"")"),"nhà văn Nhật Bản")</f>
        <v>nhà văn Nhật Bản</v>
      </c>
      <c r="E90" s="4" t="str">
        <f ca="1">IFERROR(__xludf.DUMMYFUNCTION("GOOGLETRANSLATE(C90,""ja"",""vi"")"),"Đấu giá&gt; cuốn sách, tạp chí&gt; văn học, tiểu thuyết&gt; kinh dị&gt; nhà văn Nhật Bản")</f>
        <v>Đấu giá&gt; cuốn sách, tạp chí&gt; văn học, tiểu thuyết&gt; kinh dị&gt; nhà văn Nhật Bản</v>
      </c>
      <c r="F90" t="str">
        <f t="shared" ca="1" si="1"/>
        <v>"2084008520" : "nhà văn Nhật Bản",</v>
      </c>
    </row>
    <row r="91" spans="1:6" ht="15.75" customHeight="1">
      <c r="A91" s="12">
        <v>2084047867</v>
      </c>
      <c r="B91" s="12" t="s">
        <v>5172</v>
      </c>
      <c r="C91" s="12" t="s">
        <v>5189</v>
      </c>
      <c r="D91" s="5" t="str">
        <f ca="1">IFERROR(__xludf.DUMMYFUNCTION("GOOGLETRANSLATE(B91,""ja"",""vi"")"),"doujinshi")</f>
        <v>doujinshi</v>
      </c>
      <c r="E91" s="4" t="str">
        <f ca="1">IFERROR(__xludf.DUMMYFUNCTION("GOOGLETRANSLATE(C91,""ja"",""vi"")"),"Đấu giá&gt; cuốn sách, tạp chí&gt; văn học, tiểu thuyết&gt; kinh dị&gt; fanzine")</f>
        <v>Đấu giá&gt; cuốn sách, tạp chí&gt; văn học, tiểu thuyết&gt; kinh dị&gt; fanzine</v>
      </c>
      <c r="F91" t="str">
        <f t="shared" ca="1" si="1"/>
        <v>"2084047867" : "doujinshi",</v>
      </c>
    </row>
    <row r="92" spans="1:6" ht="15.75" customHeight="1">
      <c r="A92" s="12">
        <v>2084008528</v>
      </c>
      <c r="B92" s="12" t="s">
        <v>5132</v>
      </c>
      <c r="C92" s="12" t="s">
        <v>5191</v>
      </c>
      <c r="D92" s="5" t="str">
        <f ca="1">IFERROR(__xludf.DUMMYFUNCTION("GOOGLETRANSLATE(B92,""ja"",""vi"")"),"nhà văn nước ngoài")</f>
        <v>nhà văn nước ngoài</v>
      </c>
      <c r="E92" s="4" t="str">
        <f ca="1">IFERROR(__xludf.DUMMYFUNCTION("GOOGLETRANSLATE(C92,""ja"",""vi"")"),"Đấu giá&gt; cuốn sách, tạp chí&gt; văn học, tiểu thuyết&gt; bí ẩn&gt; nhà văn nước ngoài")</f>
        <v>Đấu giá&gt; cuốn sách, tạp chí&gt; văn học, tiểu thuyết&gt; bí ẩn&gt; nhà văn nước ngoài</v>
      </c>
      <c r="F92" t="str">
        <f t="shared" ca="1" si="1"/>
        <v>"2084008528" : "nhà văn nước ngoài",</v>
      </c>
    </row>
    <row r="93" spans="1:6" ht="15.75" customHeight="1">
      <c r="A93" s="12">
        <v>2084008527</v>
      </c>
      <c r="B93" s="12" t="s">
        <v>5135</v>
      </c>
      <c r="C93" s="12" t="s">
        <v>5193</v>
      </c>
      <c r="D93" s="5" t="str">
        <f ca="1">IFERROR(__xludf.DUMMYFUNCTION("GOOGLETRANSLATE(B93,""ja"",""vi"")"),"nhà văn Nhật Bản")</f>
        <v>nhà văn Nhật Bản</v>
      </c>
      <c r="E93" s="4" t="str">
        <f ca="1">IFERROR(__xludf.DUMMYFUNCTION("GOOGLETRANSLATE(C93,""ja"",""vi"")"),"Đấu giá&gt; cuốn sách, tạp chí&gt; văn học, tiểu thuyết&gt; bí ẩn&gt; nhà văn Nhật Bản")</f>
        <v>Đấu giá&gt; cuốn sách, tạp chí&gt; văn học, tiểu thuyết&gt; bí ẩn&gt; nhà văn Nhật Bản</v>
      </c>
      <c r="F93" t="str">
        <f t="shared" ca="1" si="1"/>
        <v>"2084008527" : "nhà văn Nhật Bản",</v>
      </c>
    </row>
    <row r="94" spans="1:6" ht="15.75" customHeight="1">
      <c r="A94" s="12">
        <v>2084047868</v>
      </c>
      <c r="B94" s="12" t="s">
        <v>5172</v>
      </c>
      <c r="C94" s="12" t="s">
        <v>5196</v>
      </c>
      <c r="D94" s="5" t="str">
        <f ca="1">IFERROR(__xludf.DUMMYFUNCTION("GOOGLETRANSLATE(B94,""ja"",""vi"")"),"doujinshi")</f>
        <v>doujinshi</v>
      </c>
      <c r="E94" s="4" t="str">
        <f ca="1">IFERROR(__xludf.DUMMYFUNCTION("GOOGLETRANSLATE(C94,""ja"",""vi"")"),"Đấu giá&gt; cuốn sách, tạp chí&gt; văn học, tiểu thuyết&gt; bí ẩn&gt; fanzine")</f>
        <v>Đấu giá&gt; cuốn sách, tạp chí&gt; văn học, tiểu thuyết&gt; bí ẩn&gt; fanzine</v>
      </c>
      <c r="F94" t="str">
        <f t="shared" ca="1" si="1"/>
        <v>"2084047868" : "doujinshi",</v>
      </c>
    </row>
    <row r="95" spans="1:6" ht="15.75" customHeight="1">
      <c r="A95" s="12">
        <v>2084008535</v>
      </c>
      <c r="B95" s="12" t="s">
        <v>5199</v>
      </c>
      <c r="C95" s="12" t="s">
        <v>5201</v>
      </c>
      <c r="D95" s="5" t="str">
        <f ca="1">IFERROR(__xludf.DUMMYFUNCTION("GOOGLETRANSLATE(B95,""ja"",""vi"")"),"Lịch sử thế giới")</f>
        <v>Lịch sử thế giới</v>
      </c>
      <c r="E95" s="4" t="str">
        <f ca="1">IFERROR(__xludf.DUMMYFUNCTION("GOOGLETRANSLATE(C95,""ja"",""vi"")"),"Đấu giá&gt; cuốn sách, tạp chí&gt; văn học, tiểu thuyết&gt; thời đại, lịch sử&gt; Lịch sử của thế giới")</f>
        <v>Đấu giá&gt; cuốn sách, tạp chí&gt; văn học, tiểu thuyết&gt; thời đại, lịch sử&gt; Lịch sử của thế giới</v>
      </c>
      <c r="F95" t="str">
        <f t="shared" ca="1" si="1"/>
        <v>"2084008535" : "Lịch sử thế giới",</v>
      </c>
    </row>
    <row r="96" spans="1:6" ht="15.75" customHeight="1">
      <c r="A96" s="12">
        <v>2084008534</v>
      </c>
      <c r="B96" s="12" t="s">
        <v>5203</v>
      </c>
      <c r="C96" s="12" t="s">
        <v>5204</v>
      </c>
      <c r="D96" s="5" t="str">
        <f ca="1">IFERROR(__xludf.DUMMYFUNCTION("GOOGLETRANSLATE(B96,""ja"",""vi"")"),"Lịch sử của Nhật Bản")</f>
        <v>Lịch sử của Nhật Bản</v>
      </c>
      <c r="E96" s="4" t="str">
        <f ca="1">IFERROR(__xludf.DUMMYFUNCTION("GOOGLETRANSLATE(C96,""ja"",""vi"")"),"Đấu giá&gt; cuốn sách, tạp chí&gt; văn học, tiểu thuyết&gt; thời đại, lịch sử&gt; Lịch sử Nhật Bản")</f>
        <v>Đấu giá&gt; cuốn sách, tạp chí&gt; văn học, tiểu thuyết&gt; thời đại, lịch sử&gt; Lịch sử Nhật Bản</v>
      </c>
      <c r="F96" t="str">
        <f t="shared" ca="1" si="1"/>
        <v>"2084008534" : "Lịch sử của Nhật Bản",</v>
      </c>
    </row>
    <row r="97" spans="1:6" ht="15.75" customHeight="1">
      <c r="A97" s="12">
        <v>2084037931</v>
      </c>
      <c r="B97" s="12" t="s">
        <v>554</v>
      </c>
      <c r="C97" s="12" t="s">
        <v>5208</v>
      </c>
      <c r="D97" s="5" t="str">
        <f ca="1">IFERROR(__xludf.DUMMYFUNCTION("GOOGLETRANSLATE(B97,""ja"",""vi"")"),"hàng nitơ")</f>
        <v>hàng nitơ</v>
      </c>
      <c r="E97" s="4" t="str">
        <f ca="1">IFERROR(__xludf.DUMMYFUNCTION("GOOGLETRANSLATE(C97,""ja"",""vi"")"),"Đấu giá&gt; cuốn sách, tạp chí&gt; văn học, tiểu thuyết&gt; belles-Lettres&gt; hàng nitơ")</f>
        <v>Đấu giá&gt; cuốn sách, tạp chí&gt; văn học, tiểu thuyết&gt; belles-Lettres&gt; hàng nitơ</v>
      </c>
      <c r="F97" t="str">
        <f t="shared" ca="1" si="1"/>
        <v>"2084037931" : "hàng nitơ",</v>
      </c>
    </row>
    <row r="98" spans="1:6" ht="15.75" customHeight="1">
      <c r="A98" s="12">
        <v>2084037933</v>
      </c>
      <c r="B98" s="12" t="s">
        <v>562</v>
      </c>
      <c r="C98" s="12" t="s">
        <v>5214</v>
      </c>
      <c r="D98" s="5" t="str">
        <f ca="1">IFERROR(__xludf.DUMMYFUNCTION("GOOGLETRANSLATE(B98,""ja"",""vi"")"),"hoặc hàng")</f>
        <v>hoặc hàng</v>
      </c>
      <c r="E98" s="4" t="str">
        <f ca="1">IFERROR(__xludf.DUMMYFUNCTION("GOOGLETRANSLATE(C98,""ja"",""vi"")"),"Đấu giá&gt; cuốn sách, tạp chí&gt; văn học, tiểu thuyết&gt; belles-Lettres&gt; hoặc hàng")</f>
        <v>Đấu giá&gt; cuốn sách, tạp chí&gt; văn học, tiểu thuyết&gt; belles-Lettres&gt; hoặc hàng</v>
      </c>
      <c r="F98" t="str">
        <f t="shared" ca="1" si="1"/>
        <v>"2084037933" : "hoặc hàng",</v>
      </c>
    </row>
    <row r="99" spans="1:6" ht="15.75" customHeight="1">
      <c r="A99" s="12">
        <v>2084037935</v>
      </c>
      <c r="B99" s="12" t="s">
        <v>570</v>
      </c>
      <c r="C99" s="12" t="s">
        <v>5217</v>
      </c>
      <c r="D99" s="5" t="str">
        <f ca="1">IFERROR(__xludf.DUMMYFUNCTION("GOOGLETRANSLATE(B99,""ja"",""vi"")"),"Các chữ s")</f>
        <v>Các chữ s</v>
      </c>
      <c r="E99" s="4" t="str">
        <f ca="1">IFERROR(__xludf.DUMMYFUNCTION("GOOGLETRANSLATE(C99,""ja"",""vi"")"),"Đấu giá&gt; cuốn sách, tạp chí&gt; văn học, tiểu thuyết&gt; belles-Lettres&gt; chữ s")</f>
        <v>Đấu giá&gt; cuốn sách, tạp chí&gt; văn học, tiểu thuyết&gt; belles-Lettres&gt; chữ s</v>
      </c>
      <c r="F99" t="str">
        <f t="shared" ca="1" si="1"/>
        <v>"2084037935" : "Các chữ s",</v>
      </c>
    </row>
    <row r="100" spans="1:6" ht="15.75" customHeight="1">
      <c r="A100" s="12">
        <v>2084037937</v>
      </c>
      <c r="B100" s="12" t="s">
        <v>578</v>
      </c>
      <c r="C100" s="12" t="s">
        <v>5223</v>
      </c>
      <c r="D100" s="5" t="str">
        <f ca="1">IFERROR(__xludf.DUMMYFUNCTION("GOOGLETRANSLATE(B100,""ja"",""vi"")"),"Tagyo")</f>
        <v>Tagyo</v>
      </c>
      <c r="E100" s="4" t="str">
        <f ca="1">IFERROR(__xludf.DUMMYFUNCTION("GOOGLETRANSLATE(C100,""ja"",""vi"")"),"Đấu giá&gt; cuốn sách, tạp chí&gt; văn học, tiểu thuyết&gt; belles-Lettres&gt; Tagyo")</f>
        <v>Đấu giá&gt; cuốn sách, tạp chí&gt; văn học, tiểu thuyết&gt; belles-Lettres&gt; Tagyo</v>
      </c>
      <c r="F100" t="str">
        <f t="shared" ca="1" si="1"/>
        <v>"2084037937" : "Tagyo",</v>
      </c>
    </row>
    <row r="101" spans="1:6" ht="15.75" customHeight="1">
      <c r="A101" s="12">
        <v>2084037939</v>
      </c>
      <c r="B101" s="12" t="s">
        <v>587</v>
      </c>
      <c r="C101" s="12" t="s">
        <v>5227</v>
      </c>
      <c r="D101" s="5" t="str">
        <f ca="1">IFERROR(__xludf.DUMMYFUNCTION("GOOGLETRANSLATE(B101,""ja"",""vi"")"),"Một dòng")</f>
        <v>Một dòng</v>
      </c>
      <c r="E101" s="4" t="str">
        <f ca="1">IFERROR(__xludf.DUMMYFUNCTION("GOOGLETRANSLATE(C101,""ja"",""vi"")"),"Đấu giá&gt; cuốn sách, tạp chí&gt; văn học, tiểu thuyết&gt; belles-Lettres&gt; hàng")</f>
        <v>Đấu giá&gt; cuốn sách, tạp chí&gt; văn học, tiểu thuyết&gt; belles-Lettres&gt; hàng</v>
      </c>
      <c r="F101" t="str">
        <f t="shared" ca="1" si="1"/>
        <v>"2084037939" : "Một dòng",</v>
      </c>
    </row>
    <row r="102" spans="1:6" ht="15.75" customHeight="1">
      <c r="A102" s="12">
        <v>2084037941</v>
      </c>
      <c r="B102" s="12" t="s">
        <v>592</v>
      </c>
      <c r="C102" s="12" t="s">
        <v>5230</v>
      </c>
      <c r="D102" s="5" t="str">
        <f ca="1">IFERROR(__xludf.DUMMYFUNCTION("GOOGLETRANSLATE(B102,""ja"",""vi"")"),"hàng")</f>
        <v>hàng</v>
      </c>
      <c r="E102" s="4" t="str">
        <f ca="1">IFERROR(__xludf.DUMMYFUNCTION("GOOGLETRANSLATE(C102,""ja"",""vi"")"),"Đấu giá&gt; cuốn sách, tạp chí&gt; văn học, tiểu thuyết&gt; belles-Lettres&gt; hàng")</f>
        <v>Đấu giá&gt; cuốn sách, tạp chí&gt; văn học, tiểu thuyết&gt; belles-Lettres&gt; hàng</v>
      </c>
      <c r="F102" t="str">
        <f t="shared" ca="1" si="1"/>
        <v>"2084037941" : "hàng",</v>
      </c>
    </row>
    <row r="103" spans="1:6" ht="15.75" customHeight="1">
      <c r="A103" s="12">
        <v>2084037943</v>
      </c>
      <c r="B103" s="12" t="s">
        <v>600</v>
      </c>
      <c r="C103" s="12" t="s">
        <v>5233</v>
      </c>
      <c r="D103" s="5" t="str">
        <f ca="1">IFERROR(__xludf.DUMMYFUNCTION("GOOGLETRANSLATE(B103,""ja"",""vi"")"),"hoặc dòng")</f>
        <v>hoặc dòng</v>
      </c>
      <c r="E103" s="4" t="str">
        <f ca="1">IFERROR(__xludf.DUMMYFUNCTION("GOOGLETRANSLATE(C103,""ja"",""vi"")"),"Đấu giá&gt; cuốn sách, tạp chí&gt; văn học, tiểu thuyết&gt; belles-Lettres&gt; hoặc hàng")</f>
        <v>Đấu giá&gt; cuốn sách, tạp chí&gt; văn học, tiểu thuyết&gt; belles-Lettres&gt; hoặc hàng</v>
      </c>
      <c r="F103" t="str">
        <f t="shared" ca="1" si="1"/>
        <v>"2084037943" : "hoặc dòng",</v>
      </c>
    </row>
    <row r="104" spans="1:6" ht="15.75" customHeight="1">
      <c r="A104" s="12">
        <v>2084037945</v>
      </c>
      <c r="B104" s="12" t="s">
        <v>608</v>
      </c>
      <c r="C104" s="12" t="s">
        <v>5236</v>
      </c>
      <c r="D104" s="5" t="str">
        <f ca="1">IFERROR(__xludf.DUMMYFUNCTION("GOOGLETRANSLATE(B104,""ja"",""vi"")"),"hoặc hàng")</f>
        <v>hoặc hàng</v>
      </c>
      <c r="E104" s="4" t="str">
        <f ca="1">IFERROR(__xludf.DUMMYFUNCTION("GOOGLETRANSLATE(C104,""ja"",""vi"")"),"Đấu giá&gt; cuốn sách, tạp chí&gt; văn học, tiểu thuyết&gt; belles-Lettres&gt; hoặc hàng")</f>
        <v>Đấu giá&gt; cuốn sách, tạp chí&gt; văn học, tiểu thuyết&gt; belles-Lettres&gt; hoặc hàng</v>
      </c>
      <c r="F104" t="str">
        <f t="shared" ca="1" si="1"/>
        <v>"2084037945" : "hoặc hàng",</v>
      </c>
    </row>
    <row r="105" spans="1:6" ht="15.75" customHeight="1">
      <c r="A105" s="12">
        <v>2084037947</v>
      </c>
      <c r="B105" s="12" t="s">
        <v>689</v>
      </c>
      <c r="C105" s="12" t="s">
        <v>5239</v>
      </c>
      <c r="D105" s="5" t="str">
        <f ca="1">IFERROR(__xludf.DUMMYFUNCTION("GOOGLETRANSLATE(B105,""ja"",""vi"")"),"Racovian")</f>
        <v>Racovian</v>
      </c>
      <c r="E105" s="4" t="str">
        <f ca="1">IFERROR(__xludf.DUMMYFUNCTION("GOOGLETRANSLATE(C105,""ja"",""vi"")"),"Đấu giá&gt; cuốn sách, tạp chí&gt; văn học, tiểu thuyết&gt; belles-Lettres&gt; Racovian")</f>
        <v>Đấu giá&gt; cuốn sách, tạp chí&gt; văn học, tiểu thuyết&gt; belles-Lettres&gt; Racovian</v>
      </c>
      <c r="F105" t="str">
        <f t="shared" ca="1" si="1"/>
        <v>"2084037947" : "Racovian",</v>
      </c>
    </row>
    <row r="106" spans="1:6" ht="15.75" customHeight="1">
      <c r="A106" s="12">
        <v>2084037948</v>
      </c>
      <c r="B106" s="12" t="s">
        <v>696</v>
      </c>
      <c r="C106" s="12" t="s">
        <v>5241</v>
      </c>
      <c r="D106" s="5" t="str">
        <f ca="1">IFERROR(__xludf.DUMMYFUNCTION("GOOGLETRANSLATE(B106,""ja"",""vi"")"),"tôi hàng")</f>
        <v>tôi hàng</v>
      </c>
      <c r="E106" s="4" t="str">
        <f ca="1">IFERROR(__xludf.DUMMYFUNCTION("GOOGLETRANSLATE(C106,""ja"",""vi"")"),"Đấu giá&gt; cuốn sách, tạp chí&gt; văn học, tiểu thuyết&gt; belles-Lettres&gt; Tôi dòng")</f>
        <v>Đấu giá&gt; cuốn sách, tạp chí&gt; văn học, tiểu thuyết&gt; belles-Lettres&gt; Tôi dòng</v>
      </c>
      <c r="F106" t="str">
        <f t="shared" ca="1" si="1"/>
        <v>"2084037948" : "tôi hàng",</v>
      </c>
    </row>
    <row r="107" spans="1:6" ht="15.75" customHeight="1">
      <c r="A107" s="12">
        <v>2084047869</v>
      </c>
      <c r="B107" s="12" t="s">
        <v>5172</v>
      </c>
      <c r="C107" s="12" t="s">
        <v>5244</v>
      </c>
      <c r="D107" s="5" t="str">
        <f ca="1">IFERROR(__xludf.DUMMYFUNCTION("GOOGLETRANSLATE(B107,""ja"",""vi"")"),"doujinshi")</f>
        <v>doujinshi</v>
      </c>
      <c r="E107" s="4" t="str">
        <f ca="1">IFERROR(__xludf.DUMMYFUNCTION("GOOGLETRANSLATE(C107,""ja"",""vi"")"),"Đấu giá&gt; cuốn sách, tạp chí&gt; văn học, tiểu thuyết&gt; belles-Lettres&gt; fanzine")</f>
        <v>Đấu giá&gt; cuốn sách, tạp chí&gt; văn học, tiểu thuyết&gt; belles-Lettres&gt; fanzine</v>
      </c>
      <c r="F107" t="str">
        <f t="shared" ca="1" si="1"/>
        <v>"2084047869" : "doujinshi",</v>
      </c>
    </row>
    <row r="108" spans="1:6" ht="15.75" customHeight="1">
      <c r="A108" s="12">
        <v>2084008547</v>
      </c>
      <c r="B108" s="12" t="s">
        <v>5248</v>
      </c>
      <c r="C108" s="12" t="s">
        <v>5249</v>
      </c>
      <c r="D108" s="5" t="str">
        <f ca="1">IFERROR(__xludf.DUMMYFUNCTION("GOOGLETRANSLATE(B108,""ja"",""vi"")"),"cổ điển nước ngoài")</f>
        <v>cổ điển nước ngoài</v>
      </c>
      <c r="E108" s="4" t="str">
        <f ca="1">IFERROR(__xludf.DUMMYFUNCTION("GOOGLETRANSLATE(C108,""ja"",""vi"")"),"Đấu giá&gt; cuốn sách, tạp chí&gt; văn học, tiểu thuyết&gt; văn học cổ điển&gt; Overseas cổ điển")</f>
        <v>Đấu giá&gt; cuốn sách, tạp chí&gt; văn học, tiểu thuyết&gt; văn học cổ điển&gt; Overseas cổ điển</v>
      </c>
      <c r="F108" t="str">
        <f t="shared" ca="1" si="1"/>
        <v>"2084008547" : "cổ điển nước ngoài",</v>
      </c>
    </row>
    <row r="109" spans="1:6" ht="15.75" customHeight="1">
      <c r="A109" s="12">
        <v>2084008546</v>
      </c>
      <c r="B109" s="12" t="s">
        <v>5254</v>
      </c>
      <c r="C109" s="12" t="s">
        <v>5256</v>
      </c>
      <c r="D109" s="5" t="str">
        <f ca="1">IFERROR(__xludf.DUMMYFUNCTION("GOOGLETRANSLATE(B109,""ja"",""vi"")"),"Nhật Bản cổ điển")</f>
        <v>Nhật Bản cổ điển</v>
      </c>
      <c r="E109" s="4" t="str">
        <f ca="1">IFERROR(__xludf.DUMMYFUNCTION("GOOGLETRANSLATE(C109,""ja"",""vi"")"),"Đấu giá&gt; cuốn sách, tạp chí&gt; văn học, tiểu thuyết&gt; văn học cổ điển&gt; Nhật Bản cổ điển")</f>
        <v>Đấu giá&gt; cuốn sách, tạp chí&gt; văn học, tiểu thuyết&gt; văn học cổ điển&gt; Nhật Bản cổ điển</v>
      </c>
      <c r="F109" t="str">
        <f t="shared" ca="1" si="1"/>
        <v>"2084008546" : "Nhật Bản cổ điển",</v>
      </c>
    </row>
    <row r="110" spans="1:6" ht="15.75" customHeight="1">
      <c r="A110" s="12">
        <v>2084263670</v>
      </c>
      <c r="B110" s="12" t="s">
        <v>5258</v>
      </c>
      <c r="C110" s="12" t="s">
        <v>5259</v>
      </c>
      <c r="D110" s="5" t="str">
        <f ca="1">IFERROR(__xludf.DUMMYFUNCTION("GOOGLETRANSLATE(B110,""ja"",""vi"")"),"sách cũ, tài liệu cũ")</f>
        <v>sách cũ, tài liệu cũ</v>
      </c>
      <c r="E110" s="4" t="str">
        <f ca="1">IFERROR(__xludf.DUMMYFUNCTION("GOOGLETRANSLATE(C110,""ja"",""vi"")"),"Đấu giá&gt; cuốn sách, tạp chí&gt; văn học, tiểu thuyết&gt; văn học cổ điển&gt; cuốn sách cũ, tài liệu cổ")</f>
        <v>Đấu giá&gt; cuốn sách, tạp chí&gt; văn học, tiểu thuyết&gt; văn học cổ điển&gt; cuốn sách cũ, tài liệu cổ</v>
      </c>
      <c r="F110" t="str">
        <f t="shared" ca="1" si="1"/>
        <v>"2084263670" : "sách cũ, tài liệu cũ",</v>
      </c>
    </row>
    <row r="111" spans="1:6" ht="15.75" customHeight="1">
      <c r="A111" s="12">
        <v>2084008915</v>
      </c>
      <c r="B111" s="12" t="s">
        <v>5262</v>
      </c>
      <c r="C111" s="12" t="s">
        <v>5263</v>
      </c>
      <c r="D111" s="5" t="str">
        <f ca="1">IFERROR(__xludf.DUMMYFUNCTION("GOOGLETRANSLATE(B111,""ja"",""vi"")"),"Travel viết, tiểu luận du lịch")</f>
        <v>Travel viết, tiểu luận du lịch</v>
      </c>
      <c r="E111" s="4" t="str">
        <f ca="1">IFERROR(__xludf.DUMMYFUNCTION("GOOGLETRANSLATE(C111,""ja"",""vi"")"),"Đấu giá&gt; cuốn sách, tạp chí&gt; văn học, tiểu thuyết&gt; tiểu luận, bài luận&gt; Du lịch văn, tiểu luận du lịch")</f>
        <v>Đấu giá&gt; cuốn sách, tạp chí&gt; văn học, tiểu thuyết&gt; tiểu luận, bài luận&gt; Du lịch văn, tiểu luận du lịch</v>
      </c>
      <c r="F111" t="str">
        <f t="shared" ca="1" si="1"/>
        <v>"2084008915" : "Travel viết, tiểu luận du lịch",</v>
      </c>
    </row>
    <row r="112" spans="1:6" ht="15.75" customHeight="1">
      <c r="A112" s="12">
        <v>2084008943</v>
      </c>
      <c r="B112" s="12" t="s">
        <v>5266</v>
      </c>
      <c r="C112" s="12" t="s">
        <v>5267</v>
      </c>
      <c r="D112" s="5" t="str">
        <f ca="1">IFERROR(__xludf.DUMMYFUNCTION("GOOGLETRANSLATE(B112,""ja"",""vi"")"),"tiểu luận nấu ăn")</f>
        <v>tiểu luận nấu ăn</v>
      </c>
      <c r="E112" s="4" t="str">
        <f ca="1">IFERROR(__xludf.DUMMYFUNCTION("GOOGLETRANSLATE(C112,""ja"",""vi"")"),"Đấu giá&gt; cuốn sách, tạp chí&gt; văn học, tiểu thuyết&gt; tiểu luận, bài luận&gt; tiểu luận nấu ăn")</f>
        <v>Đấu giá&gt; cuốn sách, tạp chí&gt; văn học, tiểu thuyết&gt; tiểu luận, bài luận&gt; tiểu luận nấu ăn</v>
      </c>
      <c r="F112" t="str">
        <f t="shared" ca="1" si="1"/>
        <v>"2084008943" : "tiểu luận nấu ăn",</v>
      </c>
    </row>
    <row r="113" spans="1:6" ht="15.75" customHeight="1">
      <c r="A113" s="12">
        <v>2084008555</v>
      </c>
      <c r="B113" s="12" t="s">
        <v>5269</v>
      </c>
      <c r="C113" s="12" t="s">
        <v>5270</v>
      </c>
      <c r="D113" s="5" t="str">
        <f ca="1">IFERROR(__xludf.DUMMYFUNCTION("GOOGLETRANSLATE(B113,""ja"",""vi"")"),"tình yêu tiểu luận")</f>
        <v>tình yêu tiểu luận</v>
      </c>
      <c r="E113" s="4" t="str">
        <f ca="1">IFERROR(__xludf.DUMMYFUNCTION("GOOGLETRANSLATE(C113,""ja"",""vi"")"),"Đấu giá&gt; cuốn sách, tạp chí&gt; văn học, tiểu thuyết&gt; tiểu luận, bài luận&gt; tiểu luận tình yêu")</f>
        <v>Đấu giá&gt; cuốn sách, tạp chí&gt; văn học, tiểu thuyết&gt; tiểu luận, bài luận&gt; tiểu luận tình yêu</v>
      </c>
      <c r="F113" t="str">
        <f t="shared" ca="1" si="1"/>
        <v>"2084008555" : "tình yêu tiểu luận",</v>
      </c>
    </row>
    <row r="114" spans="1:6" ht="15.75" customHeight="1">
      <c r="A114" s="12">
        <v>2084008560</v>
      </c>
      <c r="B114" s="12" t="s">
        <v>46</v>
      </c>
      <c r="C114" s="12" t="s">
        <v>5273</v>
      </c>
      <c r="D114" s="5" t="str">
        <f ca="1">IFERROR(__xludf.DUMMYFUNCTION("GOOGLETRANSLATE(B114,""ja"",""vi"")"),"nếu không thì")</f>
        <v>nếu không thì</v>
      </c>
      <c r="E114" s="4" t="str">
        <f ca="1">IFERROR(__xludf.DUMMYFUNCTION("GOOGLETRANSLATE(C114,""ja"",""vi"")"),"Đấu giá&gt; cuốn sách, tạp chí&gt; văn học, tiểu thuyết&gt; tiểu luận, bài luận&gt; Khác")</f>
        <v>Đấu giá&gt; cuốn sách, tạp chí&gt; văn học, tiểu thuyết&gt; tiểu luận, bài luận&gt; Khác</v>
      </c>
      <c r="F114" t="str">
        <f t="shared" ca="1" si="1"/>
        <v>"2084008560" : "nếu không thì",</v>
      </c>
    </row>
    <row r="115" spans="1:6" ht="15.75" customHeight="1">
      <c r="A115" s="12">
        <v>2084046904</v>
      </c>
      <c r="B115" s="12" t="s">
        <v>2241</v>
      </c>
      <c r="C115" s="12" t="s">
        <v>5275</v>
      </c>
      <c r="D115" s="5" t="str">
        <f ca="1">IFERROR(__xludf.DUMMYFUNCTION("GOOGLETRANSLATE(B115,""ja"",""vi"")"),"chung")</f>
        <v>chung</v>
      </c>
      <c r="E115" s="4" t="str">
        <f ca="1">IFERROR(__xludf.DUMMYFUNCTION("GOOGLETRANSLATE(C115,""ja"",""vi"")"),"Đấu giá&gt; cuốn sách, tạp chí&gt; không hư cấu, giáo dục&gt; nét đẹp văn hóa&gt; chung")</f>
        <v>Đấu giá&gt; cuốn sách, tạp chí&gt; không hư cấu, giáo dục&gt; nét đẹp văn hóa&gt; chung</v>
      </c>
      <c r="F115" t="str">
        <f t="shared" ca="1" si="1"/>
        <v>"2084046904" : "chung",</v>
      </c>
    </row>
    <row r="116" spans="1:6" ht="15.75" customHeight="1">
      <c r="A116" s="12">
        <v>2084048850</v>
      </c>
      <c r="B116" s="12" t="s">
        <v>5280</v>
      </c>
      <c r="C116" s="12" t="s">
        <v>5282</v>
      </c>
      <c r="D116" s="5" t="str">
        <f ca="1">IFERROR(__xludf.DUMMYFUNCTION("GOOGLETRANSLATE(B116,""ja"",""vi"")"),"tạp chí Nghệ thuật")</f>
        <v>tạp chí Nghệ thuật</v>
      </c>
      <c r="E116" s="4" t="str">
        <f ca="1">IFERROR(__xludf.DUMMYFUNCTION("GOOGLETRANSLATE(C116,""ja"",""vi"")"),"Đấu giá&gt; cuốn sách, tạp chí&gt; không hư cấu, giáo dục&gt; nét đẹp văn hóa&gt; tạp chí Nghệ thuật")</f>
        <v>Đấu giá&gt; cuốn sách, tạp chí&gt; không hư cấu, giáo dục&gt; nét đẹp văn hóa&gt; tạp chí Nghệ thuật</v>
      </c>
      <c r="F116" t="str">
        <f t="shared" ca="1" si="1"/>
        <v>"2084048850" : "tạp chí Nghệ thuật",</v>
      </c>
    </row>
    <row r="117" spans="1:6" ht="15.75" customHeight="1">
      <c r="A117" s="12">
        <v>2084008140</v>
      </c>
      <c r="B117" s="12" t="s">
        <v>5285</v>
      </c>
      <c r="C117" s="12" t="s">
        <v>5286</v>
      </c>
      <c r="D117" s="5" t="str">
        <f ca="1">IFERROR(__xludf.DUMMYFUNCTION("GOOGLETRANSLATE(B117,""ja"",""vi"")"),"tạp chí non-fiction")</f>
        <v>tạp chí non-fiction</v>
      </c>
      <c r="E117" s="4" t="str">
        <f ca="1">IFERROR(__xludf.DUMMYFUNCTION("GOOGLETRANSLATE(C117,""ja"",""vi"")"),"Đấu giá&gt; cuốn sách, tạp chí&gt; không hư cấu, giáo dục&gt; nét đẹp văn hóa&gt; Non-fiction tạp chí")</f>
        <v>Đấu giá&gt; cuốn sách, tạp chí&gt; không hư cấu, giáo dục&gt; nét đẹp văn hóa&gt; Non-fiction tạp chí</v>
      </c>
      <c r="F117" t="str">
        <f t="shared" ca="1" si="1"/>
        <v>"2084008140" : "tạp chí non-fiction",</v>
      </c>
    </row>
    <row r="118" spans="1:6" ht="15.75" customHeight="1">
      <c r="A118" s="12">
        <v>2084049730</v>
      </c>
      <c r="B118" s="12" t="s">
        <v>5290</v>
      </c>
      <c r="C118" s="12" t="s">
        <v>5291</v>
      </c>
      <c r="D118" s="5" t="str">
        <f ca="1">IFERROR(__xludf.DUMMYFUNCTION("GOOGLETRANSLATE(B118,""ja"",""vi"")"),"trần thế")</f>
        <v>trần thế</v>
      </c>
      <c r="E118" s="4" t="str">
        <f ca="1">IFERROR(__xludf.DUMMYFUNCTION("GOOGLETRANSLATE(C118,""ja"",""vi"")"),"Đấu giá&gt; cuốn sách, tạp chí&gt; không hư cấu, giáo dục&gt; nét đẹp văn hóa&gt; thế giới ngầm")</f>
        <v>Đấu giá&gt; cuốn sách, tạp chí&gt; không hư cấu, giáo dục&gt; nét đẹp văn hóa&gt; thế giới ngầm</v>
      </c>
      <c r="F118" t="str">
        <f t="shared" ca="1" si="1"/>
        <v>"2084049730" : "trần thế",</v>
      </c>
    </row>
    <row r="119" spans="1:6" ht="15.75" customHeight="1">
      <c r="A119" s="12">
        <v>2084049732</v>
      </c>
      <c r="B119" s="12" t="s">
        <v>5296</v>
      </c>
      <c r="C119" s="12" t="s">
        <v>5297</v>
      </c>
      <c r="D119" s="5" t="str">
        <f ca="1">IFERROR(__xludf.DUMMYFUNCTION("GOOGLETRANSLATE(B119,""ja"",""vi"")"),"khoa học")</f>
        <v>khoa học</v>
      </c>
      <c r="E119" s="4" t="str">
        <f ca="1">IFERROR(__xludf.DUMMYFUNCTION("GOOGLETRANSLATE(C119,""ja"",""vi"")"),"Đấu giá&gt; cuốn sách, tạp chí&gt; không hư cấu, giáo dục&gt; không hư cấu&gt; Khoa học")</f>
        <v>Đấu giá&gt; cuốn sách, tạp chí&gt; không hư cấu, giáo dục&gt; không hư cấu&gt; Khoa học</v>
      </c>
      <c r="F119" t="str">
        <f t="shared" ca="1" si="1"/>
        <v>"2084049732" : "khoa học",</v>
      </c>
    </row>
    <row r="120" spans="1:6" ht="15.75" customHeight="1">
      <c r="A120" s="12">
        <v>2084049733</v>
      </c>
      <c r="B120" s="12" t="s">
        <v>5299</v>
      </c>
      <c r="C120" s="12" t="s">
        <v>5300</v>
      </c>
      <c r="D120" s="5" t="str">
        <f ca="1">IFERROR(__xludf.DUMMYFUNCTION("GOOGLETRANSLATE(B120,""ja"",""vi"")"),"Thể thao không hư cấu")</f>
        <v>Thể thao không hư cấu</v>
      </c>
      <c r="E120" s="4" t="str">
        <f ca="1">IFERROR(__xludf.DUMMYFUNCTION("GOOGLETRANSLATE(C120,""ja"",""vi"")"),"Đấu giá&gt; cuốn sách, tạp chí&gt; không hư cấu, giáo dục&gt; không hư cấu&gt; Thể Thao không hư cấu")</f>
        <v>Đấu giá&gt; cuốn sách, tạp chí&gt; không hư cấu, giáo dục&gt; không hư cấu&gt; Thể Thao không hư cấu</v>
      </c>
      <c r="F120" t="str">
        <f t="shared" ca="1" si="1"/>
        <v>"2084049733" : "Thể thao không hư cấu",</v>
      </c>
    </row>
    <row r="121" spans="1:6" ht="15.75" customHeight="1">
      <c r="A121" s="12">
        <v>2084045180</v>
      </c>
      <c r="B121" s="12" t="s">
        <v>5304</v>
      </c>
      <c r="C121" s="12" t="s">
        <v>5305</v>
      </c>
      <c r="D121" s="5" t="str">
        <f ca="1">IFERROR(__xludf.DUMMYFUNCTION("GOOGLETRANSLATE(B121,""ja"",""vi"")"),"Overseas non-fiction")</f>
        <v>Overseas non-fiction</v>
      </c>
      <c r="E121" s="4" t="str">
        <f ca="1">IFERROR(__xludf.DUMMYFUNCTION("GOOGLETRANSLATE(C121,""ja"",""vi"")"),"Đấu giá&gt; cuốn sách, tạp chí&gt; không hư cấu, giáo dục&gt; không hư cấu&gt; không hư cấu ở nước ngoài")</f>
        <v>Đấu giá&gt; cuốn sách, tạp chí&gt; không hư cấu, giáo dục&gt; không hư cấu&gt; không hư cấu ở nước ngoài</v>
      </c>
      <c r="F121" t="str">
        <f t="shared" ca="1" si="1"/>
        <v>"2084045180" : "Overseas non-fiction",</v>
      </c>
    </row>
    <row r="122" spans="1:6" ht="15.75" customHeight="1">
      <c r="A122" s="12">
        <v>2084049731</v>
      </c>
      <c r="B122" s="12" t="s">
        <v>5308</v>
      </c>
      <c r="C122" s="12" t="s">
        <v>5309</v>
      </c>
      <c r="D122" s="5" t="str">
        <f ca="1">IFERROR(__xludf.DUMMYFUNCTION("GOOGLETRANSLATE(B122,""ja"",""vi"")"),"Hoàng gia")</f>
        <v>Hoàng gia</v>
      </c>
      <c r="E122" s="4" t="str">
        <f ca="1">IFERROR(__xludf.DUMMYFUNCTION("GOOGLETRANSLATE(C122,""ja"",""vi"")"),"Đấu giá&gt; cuốn sách, tạp chí&gt; không hư cấu, giáo dục&gt; không hư cấu&gt; hoàng")</f>
        <v>Đấu giá&gt; cuốn sách, tạp chí&gt; không hư cấu, giáo dục&gt; không hư cấu&gt; hoàng</v>
      </c>
      <c r="F122" t="str">
        <f t="shared" ca="1" si="1"/>
        <v>"2084049731" : "Hoàng gia",</v>
      </c>
    </row>
    <row r="123" spans="1:6" ht="15.75" customHeight="1">
      <c r="A123" s="12">
        <v>2084045179</v>
      </c>
      <c r="B123" s="12" t="s">
        <v>5312</v>
      </c>
      <c r="C123" s="12" t="s">
        <v>5313</v>
      </c>
      <c r="D123" s="5" t="str">
        <f ca="1">IFERROR(__xludf.DUMMYFUNCTION("GOOGLETRANSLATE(B123,""ja"",""vi"")"),"Nhật Bản non-fiction")</f>
        <v>Nhật Bản non-fiction</v>
      </c>
      <c r="E123" s="4" t="str">
        <f ca="1">IFERROR(__xludf.DUMMYFUNCTION("GOOGLETRANSLATE(C123,""ja"",""vi"")"),"Đấu giá&gt; cuốn sách, tạp chí&gt; không hư cấu, giáo dục&gt; không hư cấu&gt; Nhật Bản không hư cấu")</f>
        <v>Đấu giá&gt; cuốn sách, tạp chí&gt; không hư cấu, giáo dục&gt; không hư cấu&gt; Nhật Bản không hư cấu</v>
      </c>
      <c r="F123" t="str">
        <f t="shared" ca="1" si="1"/>
        <v>"2084045179" : "Nhật Bản non-fiction",</v>
      </c>
    </row>
    <row r="124" spans="1:6" ht="15.75" customHeight="1">
      <c r="A124" s="12">
        <v>2084046906</v>
      </c>
      <c r="B124" s="12" t="s">
        <v>2241</v>
      </c>
      <c r="C124" s="12" t="s">
        <v>5314</v>
      </c>
      <c r="D124" s="5" t="str">
        <f ca="1">IFERROR(__xludf.DUMMYFUNCTION("GOOGLETRANSLATE(B124,""ja"",""vi"")"),"chung")</f>
        <v>chung</v>
      </c>
      <c r="E124" s="4" t="str">
        <f ca="1">IFERROR(__xludf.DUMMYFUNCTION("GOOGLETRANSLATE(C124,""ja"",""vi"")"),"Đấu giá&gt; cuốn sách, tạp chí&gt; không hư cấu, giáo dục&gt; huyền bí, huyền bí&gt; General")</f>
        <v>Đấu giá&gt; cuốn sách, tạp chí&gt; không hư cấu, giáo dục&gt; huyền bí, huyền bí&gt; General</v>
      </c>
      <c r="F124" t="str">
        <f t="shared" ca="1" si="1"/>
        <v>"2084046906" : "chung",</v>
      </c>
    </row>
    <row r="125" spans="1:6" ht="15.75" customHeight="1">
      <c r="A125" s="12">
        <v>2084008139</v>
      </c>
      <c r="B125" s="12" t="s">
        <v>1586</v>
      </c>
      <c r="C125" s="12" t="s">
        <v>5317</v>
      </c>
      <c r="D125" s="5" t="str">
        <f ca="1">IFERROR(__xludf.DUMMYFUNCTION("GOOGLETRANSLATE(B125,""ja"",""vi"")"),"tạp chí")</f>
        <v>tạp chí</v>
      </c>
      <c r="E125" s="4" t="str">
        <f ca="1">IFERROR(__xludf.DUMMYFUNCTION("GOOGLETRANSLATE(C125,""ja"",""vi"")"),"Đấu giá&gt; cuốn sách, tạp chí&gt; không hư cấu, giáo dục&gt; huyền bí, huyền bí&gt; Tạp chí")</f>
        <v>Đấu giá&gt; cuốn sách, tạp chí&gt; không hư cấu, giáo dục&gt; huyền bí, huyền bí&gt; Tạp chí</v>
      </c>
      <c r="F125" t="str">
        <f t="shared" ca="1" si="1"/>
        <v>"2084008139" : "tạp chí",</v>
      </c>
    </row>
    <row r="126" spans="1:6" ht="15.75" customHeight="1">
      <c r="A126" s="12">
        <v>2084008555</v>
      </c>
      <c r="B126" s="12" t="s">
        <v>934</v>
      </c>
      <c r="C126" s="12" t="s">
        <v>5319</v>
      </c>
      <c r="D126" s="5" t="str">
        <f ca="1">IFERROR(__xludf.DUMMYFUNCTION("GOOGLETRANSLATE(B126,""ja"",""vi"")"),"Tiểu luận")</f>
        <v>Tiểu luận</v>
      </c>
      <c r="E126" s="4" t="str">
        <f ca="1">IFERROR(__xludf.DUMMYFUNCTION("GOOGLETRANSLATE(C126,""ja"",""vi"")"),"Đấu giá&gt; cuốn sách, tạp chí&gt; không hư cấu, giáo dục&gt; tình yêu, hôn nhân&gt; tiểu luận")</f>
        <v>Đấu giá&gt; cuốn sách, tạp chí&gt; không hư cấu, giáo dục&gt; tình yêu, hôn nhân&gt; tiểu luận</v>
      </c>
      <c r="F126" t="str">
        <f t="shared" ca="1" si="1"/>
        <v>"2084008555" : "Tiểu luận",</v>
      </c>
    </row>
    <row r="127" spans="1:6" ht="15.75" customHeight="1">
      <c r="A127" s="12">
        <v>2084034057</v>
      </c>
      <c r="B127" s="12" t="s">
        <v>5320</v>
      </c>
      <c r="C127" s="12" t="s">
        <v>5323</v>
      </c>
      <c r="D127" s="5" t="str">
        <f ca="1">IFERROR(__xludf.DUMMYFUNCTION("GOOGLETRANSLATE(B127,""ja"",""vi"")"),"Lãng mạn, tiểu thuyết lãng mạn")</f>
        <v>Lãng mạn, tiểu thuyết lãng mạn</v>
      </c>
      <c r="E127" s="4" t="str">
        <f ca="1">IFERROR(__xludf.DUMMYFUNCTION("GOOGLETRANSLATE(C127,""ja"",""vi"")"),"Đấu giá&gt; cuốn sách, tạp chí&gt; không hư cấu, giáo dục&gt; tình yêu, hôn nhân&gt; lãng mạn, tiểu thuyết lãng mạn")</f>
        <v>Đấu giá&gt; cuốn sách, tạp chí&gt; không hư cấu, giáo dục&gt; tình yêu, hôn nhân&gt; lãng mạn, tiểu thuyết lãng mạn</v>
      </c>
      <c r="F127" t="str">
        <f t="shared" ca="1" si="1"/>
        <v>"2084034057" : "Lãng mạn, tiểu thuyết lãng mạn",</v>
      </c>
    </row>
    <row r="128" spans="1:6" ht="15.75" customHeight="1">
      <c r="A128" s="12">
        <v>2084008558</v>
      </c>
      <c r="B128" s="12" t="s">
        <v>5327</v>
      </c>
      <c r="C128" s="12" t="s">
        <v>5328</v>
      </c>
      <c r="D128" s="5" t="str">
        <f ca="1">IFERROR(__xludf.DUMMYFUNCTION("GOOGLETRANSLATE(B128,""ja"",""vi"")"),"Gia đình, Yomeshuto vấn đề")</f>
        <v>Gia đình, Yomeshuto vấn đề</v>
      </c>
      <c r="E128" s="4" t="str">
        <f ca="1">IFERROR(__xludf.DUMMYFUNCTION("GOOGLETRANSLATE(C128,""ja"",""vi"")"),"Đấu giá&gt; cuốn sách, tạp chí&gt; không hư cấu, giáo dục&gt; tình yêu, hôn nhân&gt; gia đình, vấn đề Yomeshuto")</f>
        <v>Đấu giá&gt; cuốn sách, tạp chí&gt; không hư cấu, giáo dục&gt; tình yêu, hôn nhân&gt; gia đình, vấn đề Yomeshuto</v>
      </c>
      <c r="F128" t="str">
        <f t="shared" ca="1" si="1"/>
        <v>"2084008558" : "Gia đình, Yomeshuto vấn đề",</v>
      </c>
    </row>
    <row r="129" spans="1:6" ht="15.75" customHeight="1">
      <c r="A129" s="12">
        <v>2084048027</v>
      </c>
      <c r="B129" s="12" t="s">
        <v>5332</v>
      </c>
      <c r="C129" s="12" t="s">
        <v>5333</v>
      </c>
      <c r="D129" s="5" t="str">
        <f ca="1">IFERROR(__xludf.DUMMYFUNCTION("GOOGLETRANSLATE(B129,""ja"",""vi"")"),"hôn nhân")</f>
        <v>hôn nhân</v>
      </c>
      <c r="E129" s="4" t="str">
        <f ca="1">IFERROR(__xludf.DUMMYFUNCTION("GOOGLETRANSLATE(C129,""ja"",""vi"")"),"Đấu giá&gt; cuốn sách, tạp chí&gt; không hư cấu, giáo dục&gt; tình yêu, hôn nhân&gt; Hôn nhân")</f>
        <v>Đấu giá&gt; cuốn sách, tạp chí&gt; không hư cấu, giáo dục&gt; tình yêu, hôn nhân&gt; Hôn nhân</v>
      </c>
      <c r="F129" t="str">
        <f t="shared" ca="1" si="1"/>
        <v>"2084048027" : "hôn nhân",</v>
      </c>
    </row>
    <row r="130" spans="1:6" ht="15.75" customHeight="1">
      <c r="A130" s="12">
        <v>2084008557</v>
      </c>
      <c r="B130" s="12" t="s">
        <v>5338</v>
      </c>
      <c r="C130" s="12" t="s">
        <v>5339</v>
      </c>
      <c r="D130" s="5" t="str">
        <f ca="1">IFERROR(__xludf.DUMMYFUNCTION("GOOGLETRANSLATE(B130,""ja"",""vi"")"),"Cách sống của phụ nữ")</f>
        <v>Cách sống của phụ nữ</v>
      </c>
      <c r="E130" s="4" t="str">
        <f ca="1">IFERROR(__xludf.DUMMYFUNCTION("GOOGLETRANSLATE(C130,""ja"",""vi"")"),"Đấu giá&gt; cuốn sách, tạp chí&gt; không hư cấu, giáo dục&gt; tình yêu, hôn nhân&gt; cách sống của phụ nữ")</f>
        <v>Đấu giá&gt; cuốn sách, tạp chí&gt; không hư cấu, giáo dục&gt; tình yêu, hôn nhân&gt; cách sống của phụ nữ</v>
      </c>
      <c r="F130" t="str">
        <f t="shared" ref="F130:F193" ca="1" si="2">CONCATENATE(CHAR(34)&amp;"",A130,""&amp;CHAR(34)," : ", CHAR(34)&amp;"",D130,""&amp;CHAR(34),",")</f>
        <v>"2084008557" : "Cách sống của phụ nữ",</v>
      </c>
    </row>
    <row r="131" spans="1:6" ht="15.75" customHeight="1">
      <c r="A131" s="12">
        <v>2084008556</v>
      </c>
      <c r="B131" s="12" t="s">
        <v>5342</v>
      </c>
      <c r="C131" s="12" t="s">
        <v>5343</v>
      </c>
      <c r="D131" s="5" t="str">
        <f ca="1">IFERROR(__xludf.DUMMYFUNCTION("GOOGLETRANSLATE(B131,""ja"",""vi"")"),"tình yêu tâm lý")</f>
        <v>tình yêu tâm lý</v>
      </c>
      <c r="E131" s="4" t="str">
        <f ca="1">IFERROR(__xludf.DUMMYFUNCTION("GOOGLETRANSLATE(C131,""ja"",""vi"")"),"Đấu giá&gt; cuốn sách, tạp chí&gt; không hư cấu, giáo dục&gt; tình yêu, hôn nhân&gt; tình yêu Tâm lý")</f>
        <v>Đấu giá&gt; cuốn sách, tạp chí&gt; không hư cấu, giáo dục&gt; tình yêu, hôn nhân&gt; tình yêu Tâm lý</v>
      </c>
      <c r="F131" t="str">
        <f t="shared" ca="1" si="2"/>
        <v>"2084008556" : "tình yêu tâm lý",</v>
      </c>
    </row>
    <row r="132" spans="1:6" ht="15.75" customHeight="1">
      <c r="A132" s="12">
        <v>2084008917</v>
      </c>
      <c r="B132" s="12" t="s">
        <v>5347</v>
      </c>
      <c r="C132" s="12" t="s">
        <v>5348</v>
      </c>
      <c r="D132" s="5" t="str">
        <f ca="1">IFERROR(__xludf.DUMMYFUNCTION("GOOGLETRANSLATE(B132,""ja"",""vi"")"),"cả nước")</f>
        <v>cả nước</v>
      </c>
      <c r="E132" s="4" t="str">
        <f ca="1">IFERROR(__xludf.DUMMYFUNCTION("GOOGLETRANSLATE(C132,""ja"",""vi"")"),"Đấu giá&gt; cuốn sách, tạp chí&gt; bản đồ, hướng dẫn du lịch&gt; bản đồ Nhật Bản&gt; phạm vi cả nước")</f>
        <v>Đấu giá&gt; cuốn sách, tạp chí&gt; bản đồ, hướng dẫn du lịch&gt; bản đồ Nhật Bản&gt; phạm vi cả nước</v>
      </c>
      <c r="F132" t="str">
        <f t="shared" ca="1" si="2"/>
        <v>"2084008917" : "cả nước",</v>
      </c>
    </row>
    <row r="133" spans="1:6" ht="15.75" customHeight="1">
      <c r="A133" s="12">
        <v>2084008918</v>
      </c>
      <c r="B133" s="12" t="s">
        <v>5151</v>
      </c>
      <c r="C133" s="12" t="s">
        <v>5352</v>
      </c>
      <c r="D133" s="5" t="str">
        <f ca="1">IFERROR(__xludf.DUMMYFUNCTION("GOOGLETRANSLATE(B133,""ja"",""vi"")"),"Hokkaido")</f>
        <v>Hokkaido</v>
      </c>
      <c r="E133" s="4" t="str">
        <f ca="1">IFERROR(__xludf.DUMMYFUNCTION("GOOGLETRANSLATE(C133,""ja"",""vi"")"),"Đấu giá&gt; cuốn sách, tạp chí&gt; bản đồ, hướng dẫn du lịch&gt; bản đồ Nhật Bản&gt; Hokkaido")</f>
        <v>Đấu giá&gt; cuốn sách, tạp chí&gt; bản đồ, hướng dẫn du lịch&gt; bản đồ Nhật Bản&gt; Hokkaido</v>
      </c>
      <c r="F133" t="str">
        <f t="shared" ca="1" si="2"/>
        <v>"2084008918" : "Hokkaido",</v>
      </c>
    </row>
    <row r="134" spans="1:6" ht="15.75" customHeight="1">
      <c r="A134" s="12">
        <v>2084008919</v>
      </c>
      <c r="B134" s="12" t="s">
        <v>5155</v>
      </c>
      <c r="C134" s="12" t="s">
        <v>5356</v>
      </c>
      <c r="D134" s="5" t="str">
        <f ca="1">IFERROR(__xludf.DUMMYFUNCTION("GOOGLETRANSLATE(B134,""ja"",""vi"")"),"đông bắc")</f>
        <v>đông bắc</v>
      </c>
      <c r="E134" s="4" t="str">
        <f ca="1">IFERROR(__xludf.DUMMYFUNCTION("GOOGLETRANSLATE(C134,""ja"",""vi"")"),"Đấu giá&gt; cuốn sách, tạp chí&gt; bản đồ, hướng dẫn du lịch&gt; bản đồ Nhật Bản&gt; Tohoku")</f>
        <v>Đấu giá&gt; cuốn sách, tạp chí&gt; bản đồ, hướng dẫn du lịch&gt; bản đồ Nhật Bản&gt; Tohoku</v>
      </c>
      <c r="F134" t="str">
        <f t="shared" ca="1" si="2"/>
        <v>"2084008919" : "đông bắc",</v>
      </c>
    </row>
    <row r="135" spans="1:6" ht="15.75" customHeight="1">
      <c r="A135" s="12">
        <v>2084008920</v>
      </c>
      <c r="B135" s="12" t="s">
        <v>5159</v>
      </c>
      <c r="C135" s="12" t="s">
        <v>5360</v>
      </c>
      <c r="D135" s="5" t="str">
        <f ca="1">IFERROR(__xludf.DUMMYFUNCTION("GOOGLETRANSLATE(B135,""ja"",""vi"")"),"Kanto")</f>
        <v>Kanto</v>
      </c>
      <c r="E135" s="4" t="str">
        <f ca="1">IFERROR(__xludf.DUMMYFUNCTION("GOOGLETRANSLATE(C135,""ja"",""vi"")"),"Đấu giá&gt; cuốn sách, tạp chí&gt; bản đồ, hướng dẫn du lịch&gt; bản đồ Nhật Bản&gt; Kanto")</f>
        <v>Đấu giá&gt; cuốn sách, tạp chí&gt; bản đồ, hướng dẫn du lịch&gt; bản đồ Nhật Bản&gt; Kanto</v>
      </c>
      <c r="F135" t="str">
        <f t="shared" ca="1" si="2"/>
        <v>"2084008920" : "Kanto",</v>
      </c>
    </row>
    <row r="136" spans="1:6" ht="15.75" customHeight="1">
      <c r="A136" s="12">
        <v>2084008976</v>
      </c>
      <c r="B136" s="12" t="s">
        <v>5166</v>
      </c>
      <c r="C136" s="12" t="s">
        <v>5362</v>
      </c>
      <c r="D136" s="5" t="str">
        <f ca="1">IFERROR(__xludf.DUMMYFUNCTION("GOOGLETRANSLATE(B136,""ja"",""vi"")"),"Shin-Etsu")</f>
        <v>Shin-Etsu</v>
      </c>
      <c r="E136" s="4" t="str">
        <f ca="1">IFERROR(__xludf.DUMMYFUNCTION("GOOGLETRANSLATE(C136,""ja"",""vi"")"),"Đấu giá&gt; cuốn sách, tạp chí&gt; bản đồ, hướng dẫn du lịch&gt; bản đồ Nhật Bản&gt; Shin-Etsu")</f>
        <v>Đấu giá&gt; cuốn sách, tạp chí&gt; bản đồ, hướng dẫn du lịch&gt; bản đồ Nhật Bản&gt; Shin-Etsu</v>
      </c>
      <c r="F136" t="str">
        <f t="shared" ca="1" si="2"/>
        <v>"2084008976" : "Shin-Etsu",</v>
      </c>
    </row>
    <row r="137" spans="1:6" ht="15.75" customHeight="1">
      <c r="A137" s="12">
        <v>2084008921</v>
      </c>
      <c r="B137" s="12" t="s">
        <v>5163</v>
      </c>
      <c r="C137" s="12" t="s">
        <v>5365</v>
      </c>
      <c r="D137" s="5" t="str">
        <f ca="1">IFERROR(__xludf.DUMMYFUNCTION("GOOGLETRANSLATE(B137,""ja"",""vi"")"),"Hokuriku")</f>
        <v>Hokuriku</v>
      </c>
      <c r="E137" s="4" t="str">
        <f ca="1">IFERROR(__xludf.DUMMYFUNCTION("GOOGLETRANSLATE(C137,""ja"",""vi"")"),"Đấu giá&gt; cuốn sách, tạp chí&gt; bản đồ, hướng dẫn du lịch&gt; bản đồ Nhật Bản&gt; Hokuriku")</f>
        <v>Đấu giá&gt; cuốn sách, tạp chí&gt; bản đồ, hướng dẫn du lịch&gt; bản đồ Nhật Bản&gt; Hokuriku</v>
      </c>
      <c r="F137" t="str">
        <f t="shared" ca="1" si="2"/>
        <v>"2084008921" : "Hokuriku",</v>
      </c>
    </row>
    <row r="138" spans="1:6" ht="15.75" customHeight="1">
      <c r="A138" s="12">
        <v>2084008922</v>
      </c>
      <c r="B138" s="12" t="s">
        <v>5170</v>
      </c>
      <c r="C138" s="12" t="s">
        <v>5367</v>
      </c>
      <c r="D138" s="5" t="str">
        <f ca="1">IFERROR(__xludf.DUMMYFUNCTION("GOOGLETRANSLATE(B138,""ja"",""vi"")"),"Tokai")</f>
        <v>Tokai</v>
      </c>
      <c r="E138" s="4" t="str">
        <f ca="1">IFERROR(__xludf.DUMMYFUNCTION("GOOGLETRANSLATE(C138,""ja"",""vi"")"),"Đấu giá&gt; cuốn sách, tạp chí&gt; bản đồ, hướng dẫn du lịch&gt; bản đồ Nhật Bản&gt; Tokai")</f>
        <v>Đấu giá&gt; cuốn sách, tạp chí&gt; bản đồ, hướng dẫn du lịch&gt; bản đồ Nhật Bản&gt; Tokai</v>
      </c>
      <c r="F138" t="str">
        <f t="shared" ca="1" si="2"/>
        <v>"2084008922" : "Tokai",</v>
      </c>
    </row>
    <row r="139" spans="1:6" ht="15.75" customHeight="1">
      <c r="A139" s="12">
        <v>2084008923</v>
      </c>
      <c r="B139" s="12" t="s">
        <v>5174</v>
      </c>
      <c r="C139" s="12" t="s">
        <v>5369</v>
      </c>
      <c r="D139" s="5" t="str">
        <f ca="1">IFERROR(__xludf.DUMMYFUNCTION("GOOGLETRANSLATE(B139,""ja"",""vi"")"),"Kinki")</f>
        <v>Kinki</v>
      </c>
      <c r="E139" s="4" t="str">
        <f ca="1">IFERROR(__xludf.DUMMYFUNCTION("GOOGLETRANSLATE(C139,""ja"",""vi"")"),"Đấu giá&gt; cuốn sách, tạp chí&gt; bản đồ, hướng dẫn du lịch&gt; bản đồ Nhật Bản&gt; Kinki")</f>
        <v>Đấu giá&gt; cuốn sách, tạp chí&gt; bản đồ, hướng dẫn du lịch&gt; bản đồ Nhật Bản&gt; Kinki</v>
      </c>
      <c r="F139" t="str">
        <f t="shared" ca="1" si="2"/>
        <v>"2084008923" : "Kinki",</v>
      </c>
    </row>
    <row r="140" spans="1:6" ht="15.75" customHeight="1">
      <c r="A140" s="12">
        <v>2084008925</v>
      </c>
      <c r="B140" s="12" t="s">
        <v>5180</v>
      </c>
      <c r="C140" s="12" t="s">
        <v>5372</v>
      </c>
      <c r="D140" s="5" t="str">
        <f ca="1">IFERROR(__xludf.DUMMYFUNCTION("GOOGLETRANSLATE(B140,""ja"",""vi"")"),"Shikoku")</f>
        <v>Shikoku</v>
      </c>
      <c r="E140" s="4" t="str">
        <f ca="1">IFERROR(__xludf.DUMMYFUNCTION("GOOGLETRANSLATE(C140,""ja"",""vi"")"),"Đấu giá&gt; cuốn sách, tạp chí&gt; bản đồ, hướng dẫn du lịch&gt; bản đồ Nhật Bản&gt; Shikoku")</f>
        <v>Đấu giá&gt; cuốn sách, tạp chí&gt; bản đồ, hướng dẫn du lịch&gt; bản đồ Nhật Bản&gt; Shikoku</v>
      </c>
      <c r="F140" t="str">
        <f t="shared" ca="1" si="2"/>
        <v>"2084008925" : "Shikoku",</v>
      </c>
    </row>
    <row r="141" spans="1:6" ht="15.75" customHeight="1">
      <c r="A141" s="12">
        <v>2084008924</v>
      </c>
      <c r="B141" s="12" t="s">
        <v>5177</v>
      </c>
      <c r="C141" s="12" t="s">
        <v>5374</v>
      </c>
      <c r="D141" s="5" t="str">
        <f ca="1">IFERROR(__xludf.DUMMYFUNCTION("GOOGLETRANSLATE(B141,""ja"",""vi"")"),"đồ sứ")</f>
        <v>đồ sứ</v>
      </c>
      <c r="E141" s="4" t="str">
        <f ca="1">IFERROR(__xludf.DUMMYFUNCTION("GOOGLETRANSLATE(C141,""ja"",""vi"")"),"Đấu giá&gt; cuốn sách, tạp chí&gt; bản đồ, hướng dẫn du lịch&gt; bản đồ Nhật Bản&gt; Trung Quốc")</f>
        <v>Đấu giá&gt; cuốn sách, tạp chí&gt; bản đồ, hướng dẫn du lịch&gt; bản đồ Nhật Bản&gt; Trung Quốc</v>
      </c>
      <c r="F141" t="str">
        <f t="shared" ca="1" si="2"/>
        <v>"2084008924" : "đồ sứ",</v>
      </c>
    </row>
    <row r="142" spans="1:6" ht="15.75" customHeight="1">
      <c r="A142" s="12">
        <v>2084008926</v>
      </c>
      <c r="B142" s="12" t="s">
        <v>5183</v>
      </c>
      <c r="C142" s="12" t="s">
        <v>5376</v>
      </c>
      <c r="D142" s="5" t="str">
        <f ca="1">IFERROR(__xludf.DUMMYFUNCTION("GOOGLETRANSLATE(B142,""ja"",""vi"")"),"Kyushu")</f>
        <v>Kyushu</v>
      </c>
      <c r="E142" s="4" t="str">
        <f ca="1">IFERROR(__xludf.DUMMYFUNCTION("GOOGLETRANSLATE(C142,""ja"",""vi"")"),"Đấu giá&gt; cuốn sách, tạp chí&gt; bản đồ, hướng dẫn du lịch&gt; bản đồ Nhật Bản&gt; Kyushu")</f>
        <v>Đấu giá&gt; cuốn sách, tạp chí&gt; bản đồ, hướng dẫn du lịch&gt; bản đồ Nhật Bản&gt; Kyushu</v>
      </c>
      <c r="F142" t="str">
        <f t="shared" ca="1" si="2"/>
        <v>"2084008926" : "Kyushu",</v>
      </c>
    </row>
    <row r="143" spans="1:6" ht="15.75" customHeight="1">
      <c r="A143" s="12">
        <v>2084008927</v>
      </c>
      <c r="B143" s="12" t="s">
        <v>5186</v>
      </c>
      <c r="C143" s="12" t="s">
        <v>5379</v>
      </c>
      <c r="D143" s="5" t="str">
        <f ca="1">IFERROR(__xludf.DUMMYFUNCTION("GOOGLETRANSLATE(B143,""ja"",""vi"")"),"Okinawa")</f>
        <v>Okinawa</v>
      </c>
      <c r="E143" s="4" t="str">
        <f ca="1">IFERROR(__xludf.DUMMYFUNCTION("GOOGLETRANSLATE(C143,""ja"",""vi"")"),"Đấu giá&gt; cuốn sách, tạp chí&gt; bản đồ, hướng dẫn du lịch&gt; bản đồ Nhật Bản&gt; Okinawa")</f>
        <v>Đấu giá&gt; cuốn sách, tạp chí&gt; bản đồ, hướng dẫn du lịch&gt; bản đồ Nhật Bản&gt; Okinawa</v>
      </c>
      <c r="F143" t="str">
        <f t="shared" ca="1" si="2"/>
        <v>"2084008927" : "Okinawa",</v>
      </c>
    </row>
    <row r="144" spans="1:6" ht="15.75" customHeight="1">
      <c r="A144" s="12">
        <v>2084008914</v>
      </c>
      <c r="B144" s="12" t="s">
        <v>5381</v>
      </c>
      <c r="C144" s="12" t="s">
        <v>5382</v>
      </c>
      <c r="D144" s="5" t="str">
        <f ca="1">IFERROR(__xludf.DUMMYFUNCTION("GOOGLETRANSLATE(B144,""ja"",""vi"")"),"giải trí Hướng dẫn")</f>
        <v>giải trí Hướng dẫn</v>
      </c>
      <c r="E144" s="4" t="str">
        <f ca="1">IFERROR(__xludf.DUMMYFUNCTION("GOOGLETRANSLATE(C144,""ja"",""vi"")"),"Đấu giá&gt; cuốn sách, tạp chí&gt; sở thích, thể thao, sử dụng thực tế&gt; Du lịch, giải trí dẫn&gt; Giải trí Hướng dẫn")</f>
        <v>Đấu giá&gt; cuốn sách, tạp chí&gt; sở thích, thể thao, sử dụng thực tế&gt; Du lịch, giải trí dẫn&gt; Giải trí Hướng dẫn</v>
      </c>
      <c r="F144" t="str">
        <f t="shared" ca="1" si="2"/>
        <v>"2084008914" : "giải trí Hướng dẫn",</v>
      </c>
    </row>
    <row r="145" spans="1:6" ht="15.75" customHeight="1">
      <c r="A145" s="12">
        <v>2084008913</v>
      </c>
      <c r="B145" s="12" t="s">
        <v>5384</v>
      </c>
      <c r="C145" s="12" t="s">
        <v>5386</v>
      </c>
      <c r="D145" s="5" t="str">
        <f ca="1">IFERROR(__xludf.DUMMYFUNCTION("GOOGLETRANSLATE(B145,""ja"",""vi"")"),"hướng dẫn nhà hàng")</f>
        <v>hướng dẫn nhà hàng</v>
      </c>
      <c r="E145" s="4" t="str">
        <f ca="1">IFERROR(__xludf.DUMMYFUNCTION("GOOGLETRANSLATE(C145,""ja"",""vi"")"),"Đấu giá&gt; cuốn sách, tạp chí&gt; sở thích, thể thao, sử dụng thực tế&gt; Du lịch, giải trí dẫn&gt; nhà hàng hướng dẫn")</f>
        <v>Đấu giá&gt; cuốn sách, tạp chí&gt; sở thích, thể thao, sử dụng thực tế&gt; Du lịch, giải trí dẫn&gt; nhà hàng hướng dẫn</v>
      </c>
      <c r="F145" t="str">
        <f t="shared" ca="1" si="2"/>
        <v>"2084008913" : "hướng dẫn nhà hàng",</v>
      </c>
    </row>
    <row r="146" spans="1:6" ht="15.75" customHeight="1">
      <c r="A146" s="12">
        <v>2084008915</v>
      </c>
      <c r="B146" s="12" t="s">
        <v>5262</v>
      </c>
      <c r="C146" s="12" t="s">
        <v>5387</v>
      </c>
      <c r="D146" s="5" t="str">
        <f ca="1">IFERROR(__xludf.DUMMYFUNCTION("GOOGLETRANSLATE(B146,""ja"",""vi"")"),"Travel viết, tiểu luận du lịch")</f>
        <v>Travel viết, tiểu luận du lịch</v>
      </c>
      <c r="E146" s="4" t="str">
        <f ca="1">IFERROR(__xludf.DUMMYFUNCTION("GOOGLETRANSLATE(C146,""ja"",""vi"")"),"Đấu giá&gt; cuốn sách, tạp chí&gt; sở thích, thể thao, sử dụng thực tế&gt; Du lịch, giải trí dẫn&gt; Du lịch văn, tiểu luận du lịch")</f>
        <v>Đấu giá&gt; cuốn sách, tạp chí&gt; sở thích, thể thao, sử dụng thực tế&gt; Du lịch, giải trí dẫn&gt; Du lịch văn, tiểu luận du lịch</v>
      </c>
      <c r="F146" t="str">
        <f t="shared" ca="1" si="2"/>
        <v>"2084008915" : "Travel viết, tiểu luận du lịch",</v>
      </c>
    </row>
    <row r="147" spans="1:6" ht="15.75" customHeight="1">
      <c r="A147" s="12">
        <v>2084008912</v>
      </c>
      <c r="B147" s="12" t="s">
        <v>5388</v>
      </c>
      <c r="C147" s="12" t="s">
        <v>5389</v>
      </c>
      <c r="D147" s="5" t="str">
        <f ca="1">IFERROR(__xludf.DUMMYFUNCTION("GOOGLETRANSLATE(B147,""ja"",""vi"")"),"Chỗ ở, hướng dẫn khách sạn")</f>
        <v>Chỗ ở, hướng dẫn khách sạn</v>
      </c>
      <c r="E147" s="4" t="str">
        <f ca="1">IFERROR(__xludf.DUMMYFUNCTION("GOOGLETRANSLATE(C147,""ja"",""vi"")"),"Đấu giá&gt; cuốn sách, tạp chí&gt; sở thích, thể thao, sử dụng thực tế&gt; Du lịch, giải trí dẫn&gt; chỗ ở, khách sạn hướng dẫn")</f>
        <v>Đấu giá&gt; cuốn sách, tạp chí&gt; sở thích, thể thao, sử dụng thực tế&gt; Du lịch, giải trí dẫn&gt; chỗ ở, khách sạn hướng dẫn</v>
      </c>
      <c r="F147" t="str">
        <f t="shared" ca="1" si="2"/>
        <v>"2084008912" : "Chỗ ở, hướng dẫn khách sạn",</v>
      </c>
    </row>
    <row r="148" spans="1:6" ht="15.75" customHeight="1">
      <c r="A148" s="12">
        <v>21740</v>
      </c>
      <c r="B148" s="12" t="s">
        <v>5390</v>
      </c>
      <c r="C148" s="12" t="s">
        <v>5391</v>
      </c>
      <c r="D148" s="5" t="str">
        <f ca="1">IFERROR(__xludf.DUMMYFUNCTION("GOOGLETRANSLATE(B148,""ja"",""vi"")"),"bản đồ")</f>
        <v>bản đồ</v>
      </c>
      <c r="E148" s="4" t="str">
        <f ca="1">IFERROR(__xludf.DUMMYFUNCTION("GOOGLETRANSLATE(C148,""ja"",""vi"")"),"Đấu giá&gt; cuốn sách, tạp chí&gt; sở thích, thể thao, sử dụng thực tế&gt; Du lịch, giải trí dẫn&gt; bản đồ")</f>
        <v>Đấu giá&gt; cuốn sách, tạp chí&gt; sở thích, thể thao, sử dụng thực tế&gt; Du lịch, giải trí dẫn&gt; bản đồ</v>
      </c>
      <c r="F148" t="str">
        <f t="shared" ca="1" si="2"/>
        <v>"21740" : "bản đồ",</v>
      </c>
    </row>
    <row r="149" spans="1:6" ht="15.75" customHeight="1">
      <c r="A149" s="12">
        <v>2084008911</v>
      </c>
      <c r="B149" s="12" t="s">
        <v>5392</v>
      </c>
      <c r="C149" s="12" t="s">
        <v>5393</v>
      </c>
      <c r="D149" s="5" t="str">
        <f ca="1">IFERROR(__xludf.DUMMYFUNCTION("GOOGLETRANSLATE(B149,""ja"",""vi"")"),"Hướng dẫn du lịch")</f>
        <v>Hướng dẫn du lịch</v>
      </c>
      <c r="E149" s="4" t="str">
        <f ca="1">IFERROR(__xludf.DUMMYFUNCTION("GOOGLETRANSLATE(C149,""ja"",""vi"")"),"Đấu giá&gt; cuốn sách, tạp chí&gt; sở thích, thể thao, sử dụng thực tế&gt; Du lịch, giải trí dẫn&gt; Hướng dẫn du lịch")</f>
        <v>Đấu giá&gt; cuốn sách, tạp chí&gt; sở thích, thể thao, sử dụng thực tế&gt; Du lịch, giải trí dẫn&gt; Hướng dẫn du lịch</v>
      </c>
      <c r="F149" t="str">
        <f t="shared" ca="1" si="2"/>
        <v>"2084008911" : "Hướng dẫn du lịch",</v>
      </c>
    </row>
    <row r="150" spans="1:6" ht="15.75" customHeight="1">
      <c r="A150" s="12">
        <v>2084008894</v>
      </c>
      <c r="B150" s="12" t="s">
        <v>5394</v>
      </c>
      <c r="C150" s="12" t="s">
        <v>5395</v>
      </c>
      <c r="D150" s="5" t="str">
        <f ca="1">IFERROR(__xludf.DUMMYFUNCTION("GOOGLETRANSLATE(B150,""ja"",""vi"")"),"cắt Collection")</f>
        <v>cắt Collection</v>
      </c>
      <c r="E150" s="4" t="str">
        <f ca="1">IFERROR(__xludf.DUMMYFUNCTION("GOOGLETRANSLATE(C150,""ja"",""vi"")"),"Đấu giá&gt; cuốn sách, tạp chí&gt; sở thích, thể thao, sử dụng thực tế&gt; minh họa, cắt&gt; Bộ sưu tập cắt")</f>
        <v>Đấu giá&gt; cuốn sách, tạp chí&gt; sở thích, thể thao, sử dụng thực tế&gt; minh họa, cắt&gt; Bộ sưu tập cắt</v>
      </c>
      <c r="F150" t="str">
        <f t="shared" ca="1" si="2"/>
        <v>"2084008894" : "cắt Collection",</v>
      </c>
    </row>
    <row r="151" spans="1:6" ht="15.75" customHeight="1">
      <c r="A151" s="12">
        <v>2084008751</v>
      </c>
      <c r="B151" s="12" t="s">
        <v>5396</v>
      </c>
      <c r="C151" s="12" t="s">
        <v>5397</v>
      </c>
      <c r="D151" s="5" t="str">
        <f ca="1">IFERROR(__xludf.DUMMYFUNCTION("GOOGLETRANSLATE(B151,""ja"",""vi"")"),"bộ sưu tập hình minh họa truyện tranh")</f>
        <v>bộ sưu tập hình minh họa truyện tranh</v>
      </c>
      <c r="E151" s="4" t="str">
        <f ca="1">IFERROR(__xludf.DUMMYFUNCTION("GOOGLETRANSLATE(C151,""ja"",""vi"")"),"Đấu giá&gt; cuốn sách, tạp chí&gt; sở thích, thể thao, sử dụng thực tế&gt; minh họa, cắt&gt; Bộ sưu tập truyện tranh minh họa")</f>
        <v>Đấu giá&gt; cuốn sách, tạp chí&gt; sở thích, thể thao, sử dụng thực tế&gt; minh họa, cắt&gt; Bộ sưu tập truyện tranh minh họa</v>
      </c>
      <c r="F151" t="str">
        <f t="shared" ca="1" si="2"/>
        <v>"2084008751" : "bộ sưu tập hình minh họa truyện tranh",</v>
      </c>
    </row>
    <row r="152" spans="1:6" ht="15.75" customHeight="1">
      <c r="A152" s="12">
        <v>2084008896</v>
      </c>
      <c r="B152" s="12" t="s">
        <v>5398</v>
      </c>
      <c r="C152" s="12" t="s">
        <v>5399</v>
      </c>
      <c r="D152" s="5" t="str">
        <f ca="1">IFERROR(__xludf.DUMMYFUNCTION("GOOGLETRANSLATE(B152,""ja"",""vi"")"),"hình thư")</f>
        <v>hình thư</v>
      </c>
      <c r="E152" s="4" t="str">
        <f ca="1">IFERROR(__xludf.DUMMYFUNCTION("GOOGLETRANSLATE(C152,""ja"",""vi"")"),"Đấu giá&gt; cuốn sách, tạp chí&gt; sở thích, thể thao, sử dụng thực tế&gt; minh họa, cắt&gt; thư ảnh")</f>
        <v>Đấu giá&gt; cuốn sách, tạp chí&gt; sở thích, thể thao, sử dụng thực tế&gt; minh họa, cắt&gt; thư ảnh</v>
      </c>
      <c r="F152" t="str">
        <f t="shared" ca="1" si="2"/>
        <v>"2084008896" : "hình thư",</v>
      </c>
    </row>
    <row r="153" spans="1:6" ht="15.75" customHeight="1">
      <c r="A153" s="12">
        <v>2084008895</v>
      </c>
      <c r="B153" s="12" t="s">
        <v>5400</v>
      </c>
      <c r="C153" s="12" t="s">
        <v>5401</v>
      </c>
      <c r="D153" s="5" t="str">
        <f ca="1">IFERROR(__xludf.DUMMYFUNCTION("GOOGLETRANSLATE(B153,""ja"",""vi"")"),"kỹ thuật tay")</f>
        <v>kỹ thuật tay</v>
      </c>
      <c r="E153" s="4" t="str">
        <f ca="1">IFERROR(__xludf.DUMMYFUNCTION("GOOGLETRANSLATE(C153,""ja"",""vi"")"),"Đấu giá&gt; cuốn sách, tạp chí&gt; sở thích, thể thao, sử dụng thực tế&gt; minh họa, cắt&gt; Kỹ thuật thủ công")</f>
        <v>Đấu giá&gt; cuốn sách, tạp chí&gt; sở thích, thể thao, sử dụng thực tế&gt; minh họa, cắt&gt; Kỹ thuật thủ công</v>
      </c>
      <c r="F153" t="str">
        <f t="shared" ca="1" si="2"/>
        <v>"2084008895" : "kỹ thuật tay",</v>
      </c>
    </row>
    <row r="154" spans="1:6" ht="15.75" customHeight="1">
      <c r="A154" s="12">
        <v>2084008897</v>
      </c>
      <c r="B154" s="12" t="s">
        <v>46</v>
      </c>
      <c r="C154" s="12" t="s">
        <v>5404</v>
      </c>
      <c r="D154" s="5" t="str">
        <f ca="1">IFERROR(__xludf.DUMMYFUNCTION("GOOGLETRANSLATE(B154,""ja"",""vi"")"),"nếu không thì")</f>
        <v>nếu không thì</v>
      </c>
      <c r="E154" s="4" t="str">
        <f ca="1">IFERROR(__xludf.DUMMYFUNCTION("GOOGLETRANSLATE(C154,""ja"",""vi"")"),"Đấu giá&gt; cuốn sách, tạp chí&gt; sở thích, thể thao, sử dụng thực tế&gt; minh họa, cắt&gt; Khác")</f>
        <v>Đấu giá&gt; cuốn sách, tạp chí&gt; sở thích, thể thao, sử dụng thực tế&gt; minh họa, cắt&gt; Khác</v>
      </c>
      <c r="F154" t="str">
        <f t="shared" ca="1" si="2"/>
        <v>"2084008897" : "nếu không thì",</v>
      </c>
    </row>
    <row r="155" spans="1:6" ht="15.75" customHeight="1">
      <c r="A155" s="12">
        <v>2084008877</v>
      </c>
      <c r="B155" s="12" t="s">
        <v>5405</v>
      </c>
      <c r="C155" s="12" t="s">
        <v>5407</v>
      </c>
      <c r="D155" s="5" t="str">
        <f ca="1">IFERROR(__xludf.DUMMYFUNCTION("GOOGLETRANSLATE(B155,""ja"",""vi"")"),"Bike chung")</f>
        <v>Bike chung</v>
      </c>
      <c r="E155" s="4" t="str">
        <f ca="1">IFERROR(__xludf.DUMMYFUNCTION("GOOGLETRANSLATE(C155,""ja"",""vi"")"),"Đấu giá&gt; cuốn sách, tạp chí&gt; sở thích, thể thao, sử dụng thực tế&gt; xe máy&gt; nói chung xe đạp")</f>
        <v>Đấu giá&gt; cuốn sách, tạp chí&gt; sở thích, thể thao, sử dụng thực tế&gt; xe máy&gt; nói chung xe đạp</v>
      </c>
      <c r="F155" t="str">
        <f t="shared" ca="1" si="2"/>
        <v>"2084008877" : "Bike chung",</v>
      </c>
    </row>
    <row r="156" spans="1:6" ht="15.75" customHeight="1">
      <c r="A156" s="12">
        <v>2084008878</v>
      </c>
      <c r="B156" s="12" t="s">
        <v>5409</v>
      </c>
      <c r="C156" s="12" t="s">
        <v>5411</v>
      </c>
      <c r="D156" s="5" t="str">
        <f ca="1">IFERROR(__xludf.DUMMYFUNCTION("GOOGLETRANSLATE(B156,""ja"",""vi"")"),"cơ chế")</f>
        <v>cơ chế</v>
      </c>
      <c r="E156" s="4" t="str">
        <f ca="1">IFERROR(__xludf.DUMMYFUNCTION("GOOGLETRANSLATE(C156,""ja"",""vi"")"),"Đấu giá&gt; cuốn sách, tạp chí&gt; sở thích, thể thao, sử dụng thực tế&gt; xe máy&gt; cơ chế")</f>
        <v>Đấu giá&gt; cuốn sách, tạp chí&gt; sở thích, thể thao, sử dụng thực tế&gt; xe máy&gt; cơ chế</v>
      </c>
      <c r="F156" t="str">
        <f t="shared" ca="1" si="2"/>
        <v>"2084008878" : "cơ chế",</v>
      </c>
    </row>
    <row r="157" spans="1:6" ht="15.75" customHeight="1">
      <c r="A157" s="12">
        <v>2084008879</v>
      </c>
      <c r="B157" s="12" t="s">
        <v>5413</v>
      </c>
      <c r="C157" s="12" t="s">
        <v>5414</v>
      </c>
      <c r="D157" s="5" t="str">
        <f ca="1">IFERROR(__xludf.DUMMYFUNCTION("GOOGLETRANSLATE(B157,""ja"",""vi"")"),"bảo trì")</f>
        <v>bảo trì</v>
      </c>
      <c r="E157" s="4" t="str">
        <f ca="1">IFERROR(__xludf.DUMMYFUNCTION("GOOGLETRANSLATE(C157,""ja"",""vi"")"),"Đấu giá&gt; cuốn sách, tạp chí&gt; sở thích, thể thao, sử dụng thực tế&gt; xe máy&gt; bảo trì")</f>
        <v>Đấu giá&gt; cuốn sách, tạp chí&gt; sở thích, thể thao, sử dụng thực tế&gt; xe máy&gt; bảo trì</v>
      </c>
      <c r="F157" t="str">
        <f t="shared" ca="1" si="2"/>
        <v>"2084008879" : "bảo trì",</v>
      </c>
    </row>
    <row r="158" spans="1:6" ht="15.75" customHeight="1">
      <c r="A158" s="12">
        <v>2084008105</v>
      </c>
      <c r="B158" s="12" t="s">
        <v>1586</v>
      </c>
      <c r="C158" s="12" t="s">
        <v>5415</v>
      </c>
      <c r="D158" s="5" t="str">
        <f ca="1">IFERROR(__xludf.DUMMYFUNCTION("GOOGLETRANSLATE(B158,""ja"",""vi"")"),"tạp chí")</f>
        <v>tạp chí</v>
      </c>
      <c r="E158" s="4" t="str">
        <f ca="1">IFERROR(__xludf.DUMMYFUNCTION("GOOGLETRANSLATE(C158,""ja"",""vi"")"),"Đấu giá&gt; cuốn sách, tạp chí&gt; sở thích, thể thao, sử dụng thực tế&gt; xe máy&gt; Tạp chí")</f>
        <v>Đấu giá&gt; cuốn sách, tạp chí&gt; sở thích, thể thao, sử dụng thực tế&gt; xe máy&gt; Tạp chí</v>
      </c>
      <c r="F158" t="str">
        <f t="shared" ca="1" si="2"/>
        <v>"2084008105" : "tạp chí",</v>
      </c>
    </row>
    <row r="159" spans="1:6" ht="15.75" customHeight="1">
      <c r="A159" s="12">
        <v>2084008880</v>
      </c>
      <c r="B159" s="12" t="s">
        <v>5416</v>
      </c>
      <c r="C159" s="12" t="s">
        <v>5417</v>
      </c>
      <c r="D159" s="5" t="str">
        <f ca="1">IFERROR(__xludf.DUMMYFUNCTION("GOOGLETRANSLATE(B159,""ja"",""vi"")"),"Bằng lái xe")</f>
        <v>Bằng lái xe</v>
      </c>
      <c r="E159" s="4" t="str">
        <f ca="1">IFERROR(__xludf.DUMMYFUNCTION("GOOGLETRANSLATE(C159,""ja"",""vi"")"),"Đấu giá&gt; cuốn sách, tạp chí&gt; sở thích, thể thao, sử dụng thực tế&gt; xe máy&gt; mua lại giấy phép")</f>
        <v>Đấu giá&gt; cuốn sách, tạp chí&gt; sở thích, thể thao, sử dụng thực tế&gt; xe máy&gt; mua lại giấy phép</v>
      </c>
      <c r="F159" t="str">
        <f t="shared" ca="1" si="2"/>
        <v>"2084008880" : "Bằng lái xe",</v>
      </c>
    </row>
    <row r="160" spans="1:6" ht="15.75" customHeight="1">
      <c r="A160" s="12">
        <v>2084046940</v>
      </c>
      <c r="B160" s="12" t="s">
        <v>5418</v>
      </c>
      <c r="C160" s="12" t="s">
        <v>5419</v>
      </c>
      <c r="D160" s="5" t="str">
        <f ca="1">IFERROR(__xludf.DUMMYFUNCTION("GOOGLETRANSLATE(B160,""ja"",""vi"")"),"Pachinko, pachislot")</f>
        <v>Pachinko, pachislot</v>
      </c>
      <c r="E160" s="4" t="str">
        <f ca="1">IFERROR(__xludf.DUMMYFUNCTION("GOOGLETRANSLATE(C160,""ja"",""vi"")"),"Đấu giá&gt; cuốn sách, tạp chí&gt; sở thích, thể thao, sử dụng thực tế&gt; cờ bạc&gt; pachinko, pachislot")</f>
        <v>Đấu giá&gt; cuốn sách, tạp chí&gt; sở thích, thể thao, sử dụng thực tế&gt; cờ bạc&gt; pachinko, pachislot</v>
      </c>
      <c r="F160" t="str">
        <f t="shared" ca="1" si="2"/>
        <v>"2084046940" : "Pachinko, pachislot",</v>
      </c>
    </row>
    <row r="161" spans="1:6" ht="15.75" customHeight="1">
      <c r="A161" s="12">
        <v>2084046939</v>
      </c>
      <c r="B161" s="12" t="s">
        <v>5420</v>
      </c>
      <c r="C161" s="12" t="s">
        <v>5421</v>
      </c>
      <c r="D161" s="5" t="str">
        <f ca="1">IFERROR(__xludf.DUMMYFUNCTION("GOOGLETRANSLATE(B161,""ja"",""vi"")"),"horseracing")</f>
        <v>horseracing</v>
      </c>
      <c r="E161" s="4" t="str">
        <f ca="1">IFERROR(__xludf.DUMMYFUNCTION("GOOGLETRANSLATE(C161,""ja"",""vi"")"),"Đấu giá&gt; cuốn sách, tạp chí&gt; sở thích, thể thao, sử dụng thực tế&gt; cờ bạc&gt; đua ngựa")</f>
        <v>Đấu giá&gt; cuốn sách, tạp chí&gt; sở thích, thể thao, sử dụng thực tế&gt; cờ bạc&gt; đua ngựa</v>
      </c>
      <c r="F161" t="str">
        <f t="shared" ca="1" si="2"/>
        <v>"2084046939" : "horseracing",</v>
      </c>
    </row>
    <row r="162" spans="1:6" ht="15.75" customHeight="1">
      <c r="A162" s="12">
        <v>2084046941</v>
      </c>
      <c r="B162" s="12" t="s">
        <v>46</v>
      </c>
      <c r="C162" s="12" t="s">
        <v>5422</v>
      </c>
      <c r="D162" s="5" t="str">
        <f ca="1">IFERROR(__xludf.DUMMYFUNCTION("GOOGLETRANSLATE(B162,""ja"",""vi"")"),"nếu không thì")</f>
        <v>nếu không thì</v>
      </c>
      <c r="E162" s="4" t="str">
        <f ca="1">IFERROR(__xludf.DUMMYFUNCTION("GOOGLETRANSLATE(C162,""ja"",""vi"")"),"Đấu giá&gt; cuốn sách, tạp chí&gt; sở thích, thể thao, sử dụng thực tế&gt; cờ bạc&gt; Khác")</f>
        <v>Đấu giá&gt; cuốn sách, tạp chí&gt; sở thích, thể thao, sử dụng thực tế&gt; cờ bạc&gt; Khác</v>
      </c>
      <c r="F162" t="str">
        <f t="shared" ca="1" si="2"/>
        <v>"2084046941" : "nếu không thì",</v>
      </c>
    </row>
    <row r="163" spans="1:6" ht="15.75" customHeight="1">
      <c r="A163" s="12">
        <v>2084008862</v>
      </c>
      <c r="B163" s="12" t="s">
        <v>1254</v>
      </c>
      <c r="C163" s="12" t="s">
        <v>5423</v>
      </c>
      <c r="D163" s="5" t="str">
        <f ca="1">IFERROR(__xludf.DUMMYFUNCTION("GOOGLETRANSLATE(B163,""ja"",""vi"")"),"golf")</f>
        <v>golf</v>
      </c>
      <c r="E163" s="4" t="str">
        <f ca="1">IFERROR(__xludf.DUMMYFUNCTION("GOOGLETRANSLATE(C163,""ja"",""vi"")"),"Đấu giá&gt; cuốn sách, tạp chí&gt; sở thích, thể thao, sử dụng thực tế&gt; Thể thao&gt; Golf")</f>
        <v>Đấu giá&gt; cuốn sách, tạp chí&gt; sở thích, thể thao, sử dụng thực tế&gt; Thể thao&gt; Golf</v>
      </c>
      <c r="F163" t="str">
        <f t="shared" ca="1" si="2"/>
        <v>"2084008862" : "golf",</v>
      </c>
    </row>
    <row r="164" spans="1:6" ht="15.75" customHeight="1">
      <c r="A164" s="12">
        <v>2084008975</v>
      </c>
      <c r="B164" s="12" t="s">
        <v>1262</v>
      </c>
      <c r="C164" s="12" t="s">
        <v>5425</v>
      </c>
      <c r="D164" s="5" t="str">
        <f ca="1">IFERROR(__xludf.DUMMYFUNCTION("GOOGLETRANSLATE(B164,""ja"",""vi"")"),"bóng đá")</f>
        <v>bóng đá</v>
      </c>
      <c r="E164" s="4" t="str">
        <f ca="1">IFERROR(__xludf.DUMMYFUNCTION("GOOGLETRANSLATE(C164,""ja"",""vi"")"),"Đấu giá&gt; cuốn sách, tạp chí&gt; sở thích, thể thao, sử dụng thực tế&gt; Thể thao&gt; Bóng đá")</f>
        <v>Đấu giá&gt; cuốn sách, tạp chí&gt; sở thích, thể thao, sử dụng thực tế&gt; Thể thao&gt; Bóng đá</v>
      </c>
      <c r="F164" t="str">
        <f t="shared" ca="1" si="2"/>
        <v>"2084008975" : "bóng đá",</v>
      </c>
    </row>
    <row r="165" spans="1:6" ht="15.75" customHeight="1">
      <c r="A165" s="12">
        <v>2084008864</v>
      </c>
      <c r="B165" s="12" t="s">
        <v>35</v>
      </c>
      <c r="C165" s="12" t="s">
        <v>5428</v>
      </c>
      <c r="D165" s="5" t="str">
        <f ca="1">IFERROR(__xludf.DUMMYFUNCTION("GOOGLETRANSLATE(B165,""ja"",""vi"")"),"Trượt tuyết, trượt tuyết")</f>
        <v>Trượt tuyết, trượt tuyết</v>
      </c>
      <c r="E165" s="4" t="str">
        <f ca="1">IFERROR(__xludf.DUMMYFUNCTION("GOOGLETRANSLATE(C165,""ja"",""vi"")"),"Đấu giá&gt; cuốn sách, tạp chí&gt; sở thích, thể thao, sử dụng thực tế&gt; Thể thao&gt; Trượt tuyết, trượt tuyết")</f>
        <v>Đấu giá&gt; cuốn sách, tạp chí&gt; sở thích, thể thao, sử dụng thực tế&gt; Thể thao&gt; Trượt tuyết, trượt tuyết</v>
      </c>
      <c r="F165" t="str">
        <f t="shared" ca="1" si="2"/>
        <v>"2084008864" : "Trượt tuyết, trượt tuyết",</v>
      </c>
    </row>
    <row r="166" spans="1:6" ht="15.75" customHeight="1">
      <c r="A166" s="12">
        <v>2084046183</v>
      </c>
      <c r="B166" s="12" t="s">
        <v>1276</v>
      </c>
      <c r="C166" s="12" t="s">
        <v>5431</v>
      </c>
      <c r="D166" s="5" t="str">
        <f ca="1">IFERROR(__xludf.DUMMYFUNCTION("GOOGLETRANSLATE(B166,""ja"",""vi"")"),"quần vợt")</f>
        <v>quần vợt</v>
      </c>
      <c r="E166" s="4" t="str">
        <f ca="1">IFERROR(__xludf.DUMMYFUNCTION("GOOGLETRANSLATE(C166,""ja"",""vi"")"),"Đấu giá&gt; cuốn sách, tạp chí&gt; sở thích, thể thao, sử dụng thực tế&gt; Thể thao&gt; Tennis")</f>
        <v>Đấu giá&gt; cuốn sách, tạp chí&gt; sở thích, thể thao, sử dụng thực tế&gt; Thể thao&gt; Tennis</v>
      </c>
      <c r="F166" t="str">
        <f t="shared" ca="1" si="2"/>
        <v>"2084046183" : "quần vợt",</v>
      </c>
    </row>
    <row r="167" spans="1:6" ht="15.75" customHeight="1">
      <c r="A167" s="12">
        <v>2084047215</v>
      </c>
      <c r="B167" s="12" t="s">
        <v>1288</v>
      </c>
      <c r="C167" s="12" t="s">
        <v>5433</v>
      </c>
      <c r="D167" s="5" t="str">
        <f ca="1">IFERROR(__xludf.DUMMYFUNCTION("GOOGLETRANSLATE(B167,""ja"",""vi"")"),"Bóng rổ")</f>
        <v>Bóng rổ</v>
      </c>
      <c r="E167" s="4" t="str">
        <f ca="1">IFERROR(__xludf.DUMMYFUNCTION("GOOGLETRANSLATE(C167,""ja"",""vi"")"),"Đấu giá&gt; cuốn sách, tạp chí&gt; sở thích, thể thao, sử dụng thực tế&gt; Thể thao&gt; Bóng rổ")</f>
        <v>Đấu giá&gt; cuốn sách, tạp chí&gt; sở thích, thể thao, sử dụng thực tế&gt; Thể thao&gt; Bóng rổ</v>
      </c>
      <c r="F167" t="str">
        <f t="shared" ca="1" si="2"/>
        <v>"2084047215" : "Bóng rổ",</v>
      </c>
    </row>
    <row r="168" spans="1:6" ht="15.75" customHeight="1">
      <c r="A168" s="12">
        <v>2084046182</v>
      </c>
      <c r="B168" s="12" t="s">
        <v>1294</v>
      </c>
      <c r="C168" s="12" t="s">
        <v>5436</v>
      </c>
      <c r="D168" s="5" t="str">
        <f ca="1">IFERROR(__xludf.DUMMYFUNCTION("GOOGLETRANSLATE(B168,""ja"",""vi"")"),"bóng chuyền")</f>
        <v>bóng chuyền</v>
      </c>
      <c r="E168" s="4" t="str">
        <f ca="1">IFERROR(__xludf.DUMMYFUNCTION("GOOGLETRANSLATE(C168,""ja"",""vi"")"),"Đấu giá&gt; cuốn sách, tạp chí&gt; sở thích, thể thao, sử dụng thực tế&gt; Thể thao&gt; Bóng chuyền")</f>
        <v>Đấu giá&gt; cuốn sách, tạp chí&gt; sở thích, thể thao, sử dụng thực tế&gt; Thể thao&gt; Bóng chuyền</v>
      </c>
      <c r="F168" t="str">
        <f t="shared" ca="1" si="2"/>
        <v>"2084046182" : "bóng chuyền",</v>
      </c>
    </row>
    <row r="169" spans="1:6" ht="15.75" customHeight="1">
      <c r="A169" s="12">
        <v>2084008867</v>
      </c>
      <c r="B169" s="12" t="s">
        <v>1232</v>
      </c>
      <c r="C169" s="12" t="s">
        <v>5439</v>
      </c>
      <c r="D169" s="5" t="str">
        <f ca="1">IFERROR(__xludf.DUMMYFUNCTION("GOOGLETRANSLATE(B169,""ja"",""vi"")"),"Ballet, múa")</f>
        <v>Ballet, múa</v>
      </c>
      <c r="E169" s="4" t="str">
        <f ca="1">IFERROR(__xludf.DUMMYFUNCTION("GOOGLETRANSLATE(C169,""ja"",""vi"")"),"Đấu giá&gt; cuốn sách, tạp chí&gt; sở thích, thể thao, sử dụng thực tế&gt; Thể thao&gt; Ballet, múa")</f>
        <v>Đấu giá&gt; cuốn sách, tạp chí&gt; sở thích, thể thao, sử dụng thực tế&gt; Thể thao&gt; Ballet, múa</v>
      </c>
      <c r="F169" t="str">
        <f t="shared" ca="1" si="2"/>
        <v>"2084008867" : "Ballet, múa",</v>
      </c>
    </row>
    <row r="170" spans="1:6" ht="15.75" customHeight="1">
      <c r="A170" s="12">
        <v>2084008865</v>
      </c>
      <c r="B170" s="12" t="s">
        <v>5442</v>
      </c>
      <c r="C170" s="12" t="s">
        <v>5443</v>
      </c>
      <c r="D170" s="5" t="str">
        <f ca="1">IFERROR(__xludf.DUMMYFUNCTION("GOOGLETRANSLATE(B170,""ja"",""vi"")"),"Marine Sports")</f>
        <v>Marine Sports</v>
      </c>
      <c r="E170" s="4" t="str">
        <f ca="1">IFERROR(__xludf.DUMMYFUNCTION("GOOGLETRANSLATE(C170,""ja"",""vi"")"),"Đấu giá&gt; cuốn sách, tạp chí&gt; sở thích, thể thao, sử dụng thực tế&gt; Thể thao&gt; Thể thao Marine")</f>
        <v>Đấu giá&gt; cuốn sách, tạp chí&gt; sở thích, thể thao, sử dụng thực tế&gt; Thể thao&gt; Thể thao Marine</v>
      </c>
      <c r="F170" t="str">
        <f t="shared" ca="1" si="2"/>
        <v>"2084008865" : "Marine Sports",</v>
      </c>
    </row>
    <row r="171" spans="1:6" ht="15.75" customHeight="1">
      <c r="A171" s="12">
        <v>2084008866</v>
      </c>
      <c r="B171" s="12" t="s">
        <v>1311</v>
      </c>
      <c r="C171" s="12" t="s">
        <v>5446</v>
      </c>
      <c r="D171" s="5" t="str">
        <f ca="1">IFERROR(__xludf.DUMMYFUNCTION("GOOGLETRANSLATE(B171,""ja"",""vi"")"),"Võ thuật, Wrestling")</f>
        <v>Võ thuật, Wrestling</v>
      </c>
      <c r="E171" s="4" t="str">
        <f ca="1">IFERROR(__xludf.DUMMYFUNCTION("GOOGLETRANSLATE(C171,""ja"",""vi"")"),"Đấu giá&gt; cuốn sách, tạp chí&gt; sở thích, thể thao, sử dụng thực tế&gt; Thể thao&gt; Võ thuật, Wrestling")</f>
        <v>Đấu giá&gt; cuốn sách, tạp chí&gt; sở thích, thể thao, sử dụng thực tế&gt; Thể thao&gt; Võ thuật, Wrestling</v>
      </c>
      <c r="F171" t="str">
        <f t="shared" ca="1" si="2"/>
        <v>"2084008866" : "Võ thuật, Wrestling",</v>
      </c>
    </row>
    <row r="172" spans="1:6" ht="15.75" customHeight="1">
      <c r="A172" s="12">
        <v>2084008083</v>
      </c>
      <c r="B172" s="12" t="s">
        <v>1586</v>
      </c>
      <c r="C172" s="12" t="s">
        <v>5449</v>
      </c>
      <c r="D172" s="5" t="str">
        <f ca="1">IFERROR(__xludf.DUMMYFUNCTION("GOOGLETRANSLATE(B172,""ja"",""vi"")"),"tạp chí")</f>
        <v>tạp chí</v>
      </c>
      <c r="E172" s="4" t="str">
        <f ca="1">IFERROR(__xludf.DUMMYFUNCTION("GOOGLETRANSLATE(C172,""ja"",""vi"")"),"Đấu giá&gt; cuốn sách, tạp chí&gt; sở thích, thể thao, sử dụng thực tế&gt; Thể thao&gt; Tạp chí")</f>
        <v>Đấu giá&gt; cuốn sách, tạp chí&gt; sở thích, thể thao, sử dụng thực tế&gt; Thể thao&gt; Tạp chí</v>
      </c>
      <c r="F172" t="str">
        <f t="shared" ca="1" si="2"/>
        <v>"2084008083" : "tạp chí",</v>
      </c>
    </row>
    <row r="173" spans="1:6" ht="15.75" customHeight="1">
      <c r="A173" s="12">
        <v>2084047997</v>
      </c>
      <c r="B173" s="12" t="s">
        <v>5450</v>
      </c>
      <c r="C173" s="12" t="s">
        <v>5452</v>
      </c>
      <c r="D173" s="5" t="str">
        <f ca="1">IFERROR(__xludf.DUMMYFUNCTION("GOOGLETRANSLATE(B173,""ja"",""vi"")"),"Xe đạp, xe đạp")</f>
        <v>Xe đạp, xe đạp</v>
      </c>
      <c r="E173" s="4" t="str">
        <f ca="1">IFERROR(__xludf.DUMMYFUNCTION("GOOGLETRANSLATE(C173,""ja"",""vi"")"),"Đấu giá&gt; cuốn sách, tạp chí&gt; sở thích, thể thao, sử dụng thực tế&gt; Thể thao&gt; xe đạp, xe đạp")</f>
        <v>Đấu giá&gt; cuốn sách, tạp chí&gt; sở thích, thể thao, sử dụng thực tế&gt; Thể thao&gt; xe đạp, xe đạp</v>
      </c>
      <c r="F173" t="str">
        <f t="shared" ca="1" si="2"/>
        <v>"2084047997" : "Xe đạp, xe đạp",</v>
      </c>
    </row>
    <row r="174" spans="1:6" ht="15.75" customHeight="1">
      <c r="A174" s="12">
        <v>2084008863</v>
      </c>
      <c r="B174" s="12" t="s">
        <v>1319</v>
      </c>
      <c r="C174" s="12" t="s">
        <v>5453</v>
      </c>
      <c r="D174" s="5" t="str">
        <f ca="1">IFERROR(__xludf.DUMMYFUNCTION("GOOGLETRANSLATE(B174,""ja"",""vi"")"),"Bóng chày")</f>
        <v>Bóng chày</v>
      </c>
      <c r="E174" s="4" t="str">
        <f ca="1">IFERROR(__xludf.DUMMYFUNCTION("GOOGLETRANSLATE(C174,""ja"",""vi"")"),"Đấu giá&gt; cuốn sách, tạp chí&gt; sở thích, thể thao, sử dụng thực tế&gt; Thể thao&gt; Bóng chày")</f>
        <v>Đấu giá&gt; cuốn sách, tạp chí&gt; sở thích, thể thao, sử dụng thực tế&gt; Thể thao&gt; Bóng chày</v>
      </c>
      <c r="F174" t="str">
        <f t="shared" ca="1" si="2"/>
        <v>"2084008863" : "Bóng chày",</v>
      </c>
    </row>
    <row r="175" spans="1:6" ht="15.75" customHeight="1">
      <c r="A175" s="12">
        <v>2084008868</v>
      </c>
      <c r="B175" s="12" t="s">
        <v>46</v>
      </c>
      <c r="C175" s="12" t="s">
        <v>5454</v>
      </c>
      <c r="D175" s="5" t="str">
        <f ca="1">IFERROR(__xludf.DUMMYFUNCTION("GOOGLETRANSLATE(B175,""ja"",""vi"")"),"nếu không thì")</f>
        <v>nếu không thì</v>
      </c>
      <c r="E175" s="4" t="str">
        <f ca="1">IFERROR(__xludf.DUMMYFUNCTION("GOOGLETRANSLATE(C175,""ja"",""vi"")"),"Đấu giá&gt; cuốn sách, tạp chí&gt; sở thích, thể thao, sử dụng thực tế&gt; Thể thao&gt; Khác")</f>
        <v>Đấu giá&gt; cuốn sách, tạp chí&gt; sở thích, thể thao, sử dụng thực tế&gt; Thể thao&gt; Khác</v>
      </c>
      <c r="F175" t="str">
        <f t="shared" ca="1" si="2"/>
        <v>"2084008868" : "nếu không thì",</v>
      </c>
    </row>
    <row r="176" spans="1:6" ht="15.75" customHeight="1">
      <c r="A176" s="12">
        <v>2084008887</v>
      </c>
      <c r="B176" s="12" t="s">
        <v>5455</v>
      </c>
      <c r="C176" s="12" t="s">
        <v>5456</v>
      </c>
      <c r="D176" s="5" t="str">
        <f ca="1">IFERROR(__xludf.DUMMYFUNCTION("GOOGLETRANSLATE(B176,""ja"",""vi"")"),"cá cảnh")</f>
        <v>cá cảnh</v>
      </c>
      <c r="E176" s="4" t="str">
        <f ca="1">IFERROR(__xludf.DUMMYFUNCTION("GOOGLETRANSLATE(C176,""ja"",""vi"")"),"Đấu giá&gt; cuốn sách, tạp chí&gt; sở thích, thể thao, sử dụng thực tế&gt; vật nuôi, động vật&gt; cá cảnh")</f>
        <v>Đấu giá&gt; cuốn sách, tạp chí&gt; sở thích, thể thao, sử dụng thực tế&gt; vật nuôi, động vật&gt; cá cảnh</v>
      </c>
      <c r="F176" t="str">
        <f t="shared" ca="1" si="2"/>
        <v>"2084008887" : "cá cảnh",</v>
      </c>
    </row>
    <row r="177" spans="1:6" ht="15.75" customHeight="1">
      <c r="A177" s="12">
        <v>2084008885</v>
      </c>
      <c r="B177" s="12" t="s">
        <v>5457</v>
      </c>
      <c r="C177" s="12" t="s">
        <v>5458</v>
      </c>
      <c r="D177" s="5" t="str">
        <f ca="1">IFERROR(__xludf.DUMMYFUNCTION("GOOGLETRANSLATE(B177,""ja"",""vi"")"),"chó")</f>
        <v>chó</v>
      </c>
      <c r="E177" s="4" t="str">
        <f ca="1">IFERROR(__xludf.DUMMYFUNCTION("GOOGLETRANSLATE(C177,""ja"",""vi"")"),"Đấu giá&gt; cuốn sách, tạp chí&gt; sở thích, thể thao, sử dụng thực tế&gt; vật nuôi, động vật&gt; chó")</f>
        <v>Đấu giá&gt; cuốn sách, tạp chí&gt; sở thích, thể thao, sử dụng thực tế&gt; vật nuôi, động vật&gt; chó</v>
      </c>
      <c r="F177" t="str">
        <f t="shared" ca="1" si="2"/>
        <v>"2084008885" : "chó",</v>
      </c>
    </row>
    <row r="178" spans="1:6" ht="15.75" customHeight="1">
      <c r="A178" s="12">
        <v>2084008890</v>
      </c>
      <c r="B178" s="12" t="s">
        <v>5460</v>
      </c>
      <c r="C178" s="12" t="s">
        <v>5461</v>
      </c>
      <c r="D178" s="5" t="str">
        <f ca="1">IFERROR(__xludf.DUMMYFUNCTION("GOOGLETRANSLATE(B178,""ja"",""vi"")"),"côn trùng")</f>
        <v>côn trùng</v>
      </c>
      <c r="E178" s="4" t="str">
        <f ca="1">IFERROR(__xludf.DUMMYFUNCTION("GOOGLETRANSLATE(C178,""ja"",""vi"")"),"Đấu giá&gt; cuốn sách, tạp chí&gt; sở thích, thể thao, sử dụng thực tế&gt; vật nuôi, động vật&gt; côn trùng")</f>
        <v>Đấu giá&gt; cuốn sách, tạp chí&gt; sở thích, thể thao, sử dụng thực tế&gt; vật nuôi, động vật&gt; côn trùng</v>
      </c>
      <c r="F178" t="str">
        <f t="shared" ca="1" si="2"/>
        <v>"2084008890" : "côn trùng",</v>
      </c>
    </row>
    <row r="179" spans="1:6" ht="15.75" customHeight="1">
      <c r="A179" s="12">
        <v>2084008095</v>
      </c>
      <c r="B179" s="12" t="s">
        <v>1586</v>
      </c>
      <c r="C179" s="12" t="s">
        <v>5463</v>
      </c>
      <c r="D179" s="5" t="str">
        <f ca="1">IFERROR(__xludf.DUMMYFUNCTION("GOOGLETRANSLATE(B179,""ja"",""vi"")"),"tạp chí")</f>
        <v>tạp chí</v>
      </c>
      <c r="E179" s="4" t="str">
        <f ca="1">IFERROR(__xludf.DUMMYFUNCTION("GOOGLETRANSLATE(C179,""ja"",""vi"")"),"Đấu giá&gt; cuốn sách, tạp chí&gt; sở thích, thể thao, sử dụng thực tế&gt; vật nuôi, động vật&gt; Tạp chí")</f>
        <v>Đấu giá&gt; cuốn sách, tạp chí&gt; sở thích, thể thao, sử dụng thực tế&gt; vật nuôi, động vật&gt; Tạp chí</v>
      </c>
      <c r="F179" t="str">
        <f t="shared" ca="1" si="2"/>
        <v>"2084008095" : "tạp chí",</v>
      </c>
    </row>
    <row r="180" spans="1:6" ht="15.75" customHeight="1">
      <c r="A180" s="12">
        <v>2084008888</v>
      </c>
      <c r="B180" s="12" t="s">
        <v>5464</v>
      </c>
      <c r="C180" s="12" t="s">
        <v>5466</v>
      </c>
      <c r="D180" s="5" t="str">
        <f ca="1">IFERROR(__xludf.DUMMYFUNCTION("GOOGLETRANSLATE(B180,""ja"",""vi"")"),"con chim nhỏ")</f>
        <v>con chim nhỏ</v>
      </c>
      <c r="E180" s="4" t="str">
        <f ca="1">IFERROR(__xludf.DUMMYFUNCTION("GOOGLETRANSLATE(C180,""ja"",""vi"")"),"Đấu giá&gt; cuốn sách, tạp chí&gt; sở thích, thể thao, sử dụng thực tế&gt; vật nuôi, động vật&gt; Chim")</f>
        <v>Đấu giá&gt; cuốn sách, tạp chí&gt; sở thích, thể thao, sử dụng thực tế&gt; vật nuôi, động vật&gt; Chim</v>
      </c>
      <c r="F180" t="str">
        <f t="shared" ca="1" si="2"/>
        <v>"2084008888" : "con chim nhỏ",</v>
      </c>
    </row>
    <row r="181" spans="1:6" ht="15.75" customHeight="1">
      <c r="A181" s="12">
        <v>2084008889</v>
      </c>
      <c r="B181" s="12" t="s">
        <v>5468</v>
      </c>
      <c r="C181" s="12" t="s">
        <v>5469</v>
      </c>
      <c r="D181" s="5" t="str">
        <f ca="1">IFERROR(__xludf.DUMMYFUNCTION("GOOGLETRANSLATE(B181,""ja"",""vi"")"),"động vật nhỏ")</f>
        <v>động vật nhỏ</v>
      </c>
      <c r="E181" s="4" t="str">
        <f ca="1">IFERROR(__xludf.DUMMYFUNCTION("GOOGLETRANSLATE(C181,""ja"",""vi"")"),"Đấu giá&gt; cuốn sách, tạp chí&gt; sở thích, thể thao, sử dụng thực tế&gt; vật nuôi, động vật&gt; động vật nhỏ")</f>
        <v>Đấu giá&gt; cuốn sách, tạp chí&gt; sở thích, thể thao, sử dụng thực tế&gt; vật nuôi, động vật&gt; động vật nhỏ</v>
      </c>
      <c r="F181" t="str">
        <f t="shared" ca="1" si="2"/>
        <v>"2084008889" : "động vật nhỏ",</v>
      </c>
    </row>
    <row r="182" spans="1:6" ht="15.75" customHeight="1">
      <c r="A182" s="12">
        <v>2084008886</v>
      </c>
      <c r="B182" s="12" t="s">
        <v>5471</v>
      </c>
      <c r="C182" s="12" t="s">
        <v>5473</v>
      </c>
      <c r="D182" s="5" t="str">
        <f ca="1">IFERROR(__xludf.DUMMYFUNCTION("GOOGLETRANSLATE(B182,""ja"",""vi"")"),"con mèo")</f>
        <v>con mèo</v>
      </c>
      <c r="E182" s="4" t="str">
        <f ca="1">IFERROR(__xludf.DUMMYFUNCTION("GOOGLETRANSLATE(C182,""ja"",""vi"")"),"Đấu giá&gt; cuốn sách, tạp chí&gt; sở thích, thể thao, sử dụng thực tế&gt; vật nuôi, động vật&gt; mèo")</f>
        <v>Đấu giá&gt; cuốn sách, tạp chí&gt; sở thích, thể thao, sử dụng thực tế&gt; vật nuôi, động vật&gt; mèo</v>
      </c>
      <c r="F182" t="str">
        <f t="shared" ca="1" si="2"/>
        <v>"2084008886" : "con mèo",</v>
      </c>
    </row>
    <row r="183" spans="1:6" ht="15.75" customHeight="1">
      <c r="A183" s="12">
        <v>2084047552</v>
      </c>
      <c r="B183" s="12" t="s">
        <v>5474</v>
      </c>
      <c r="C183" s="12" t="s">
        <v>5476</v>
      </c>
      <c r="D183" s="5" t="str">
        <f ca="1">IFERROR(__xludf.DUMMYFUNCTION("GOOGLETRANSLATE(B183,""ja"",""vi"")"),"Bò sát, động vật lưỡng cư")</f>
        <v>Bò sát, động vật lưỡng cư</v>
      </c>
      <c r="E183" s="4" t="str">
        <f ca="1">IFERROR(__xludf.DUMMYFUNCTION("GOOGLETRANSLATE(C183,""ja"",""vi"")"),"Đấu giá&gt; cuốn sách, tạp chí&gt; sở thích, thể thao, sử dụng thực tế&gt; vật nuôi, động vật&gt; bò sát, động vật lưỡng cư")</f>
        <v>Đấu giá&gt; cuốn sách, tạp chí&gt; sở thích, thể thao, sử dụng thực tế&gt; vật nuôi, động vật&gt; bò sát, động vật lưỡng cư</v>
      </c>
      <c r="F183" t="str">
        <f t="shared" ca="1" si="2"/>
        <v>"2084047552" : "Bò sát, động vật lưỡng cư",</v>
      </c>
    </row>
    <row r="184" spans="1:6" ht="15.75" customHeight="1">
      <c r="A184" s="12">
        <v>2084008891</v>
      </c>
      <c r="B184" s="12" t="s">
        <v>46</v>
      </c>
      <c r="C184" s="12" t="s">
        <v>5478</v>
      </c>
      <c r="D184" s="5" t="str">
        <f ca="1">IFERROR(__xludf.DUMMYFUNCTION("GOOGLETRANSLATE(B184,""ja"",""vi"")"),"nếu không thì")</f>
        <v>nếu không thì</v>
      </c>
      <c r="E184" s="4" t="str">
        <f ca="1">IFERROR(__xludf.DUMMYFUNCTION("GOOGLETRANSLATE(C184,""ja"",""vi"")"),"Đấu giá&gt; cuốn sách, tạp chí&gt; sở thích, thể thao, sử dụng thực tế&gt; vật nuôi, động vật&gt; Khác")</f>
        <v>Đấu giá&gt; cuốn sách, tạp chí&gt; sở thích, thể thao, sử dụng thực tế&gt; vật nuôi, động vật&gt; Khác</v>
      </c>
      <c r="F184" t="str">
        <f t="shared" ca="1" si="2"/>
        <v>"2084008891" : "nếu không thì",</v>
      </c>
    </row>
    <row r="185" spans="1:6" ht="15.75" customHeight="1">
      <c r="A185" s="12">
        <v>2084243568</v>
      </c>
      <c r="B185" s="12" t="s">
        <v>5480</v>
      </c>
      <c r="C185" s="12" t="s">
        <v>5482</v>
      </c>
      <c r="D185" s="5" t="str">
        <f ca="1">IFERROR(__xludf.DUMMYFUNCTION("GOOGLETRANSLATE(B185,""ja"",""vi"")"),"Go")</f>
        <v>Go</v>
      </c>
      <c r="E185" s="4" t="str">
        <f ca="1">IFERROR(__xludf.DUMMYFUNCTION("GOOGLETRANSLATE(C185,""ja"",""vi"")"),"Đấu giá&gt; cuốn sách, tạp chí&gt; sở thích, thể thao, sử dụng thực tế&gt; Go, Shogi&gt; Go")</f>
        <v>Đấu giá&gt; cuốn sách, tạp chí&gt; sở thích, thể thao, sử dụng thực tế&gt; Go, Shogi&gt; Go</v>
      </c>
      <c r="F185" t="str">
        <f t="shared" ca="1" si="2"/>
        <v>"2084243568" : "Go",</v>
      </c>
    </row>
    <row r="186" spans="1:6" ht="15.75" customHeight="1">
      <c r="A186" s="12">
        <v>2084243569</v>
      </c>
      <c r="B186" s="12" t="s">
        <v>5485</v>
      </c>
      <c r="C186" s="12" t="s">
        <v>5486</v>
      </c>
      <c r="D186" s="5" t="str">
        <f ca="1">IFERROR(__xludf.DUMMYFUNCTION("GOOGLETRANSLATE(B186,""ja"",""vi"")"),"cờ Nhật Bản")</f>
        <v>cờ Nhật Bản</v>
      </c>
      <c r="E186" s="4" t="str">
        <f ca="1">IFERROR(__xludf.DUMMYFUNCTION("GOOGLETRANSLATE(C186,""ja"",""vi"")"),"Đấu giá&gt; cuốn sách, tạp chí&gt; sở thích, thể thao, sử dụng thực tế&gt; Go, Shogi&gt; Shogi")</f>
        <v>Đấu giá&gt; cuốn sách, tạp chí&gt; sở thích, thể thao, sử dụng thực tế&gt; Go, Shogi&gt; Shogi</v>
      </c>
      <c r="F186" t="str">
        <f t="shared" ca="1" si="2"/>
        <v>"2084243569" : "cờ Nhật Bản",</v>
      </c>
    </row>
    <row r="187" spans="1:6" ht="15.75" customHeight="1">
      <c r="A187" s="12">
        <v>2084047774</v>
      </c>
      <c r="B187" s="12" t="s">
        <v>5489</v>
      </c>
      <c r="C187" s="12" t="s">
        <v>5491</v>
      </c>
      <c r="D187" s="5" t="str">
        <f ca="1">IFERROR(__xludf.DUMMYFUNCTION("GOOGLETRANSLATE(B187,""ja"",""vi"")"),"nghề làm vườn")</f>
        <v>nghề làm vườn</v>
      </c>
      <c r="E187" s="4" t="str">
        <f ca="1">IFERROR(__xludf.DUMMYFUNCTION("GOOGLETRANSLATE(C187,""ja"",""vi"")"),"Đấu giá&gt; cuốn sách, tạp chí&gt; nhà, sinh hoạt, chăm sóc trẻ&gt; hoa, làm vườn&gt; Làm vườn")</f>
        <v>Đấu giá&gt; cuốn sách, tạp chí&gt; nhà, sinh hoạt, chăm sóc trẻ&gt; hoa, làm vườn&gt; Làm vườn</v>
      </c>
      <c r="F187" t="str">
        <f t="shared" ca="1" si="2"/>
        <v>"2084047774" : "nghề làm vườn",</v>
      </c>
    </row>
    <row r="188" spans="1:6" ht="15.75" customHeight="1">
      <c r="A188" s="12">
        <v>2084047775</v>
      </c>
      <c r="B188" s="12" t="s">
        <v>5493</v>
      </c>
      <c r="C188" s="12" t="s">
        <v>5495</v>
      </c>
      <c r="D188" s="5" t="str">
        <f ca="1">IFERROR(__xludf.DUMMYFUNCTION("GOOGLETRANSLATE(B188,""ja"",""vi"")"),"Flower Arrangement")</f>
        <v>Flower Arrangement</v>
      </c>
      <c r="E188" s="4" t="str">
        <f ca="1">IFERROR(__xludf.DUMMYFUNCTION("GOOGLETRANSLATE(C188,""ja"",""vi"")"),"Đấu giá&gt; cuốn sách, tạp chí&gt; nhà, sinh hoạt, chăm sóc trẻ&gt; hoa, làm vườn&gt; cắm hoa")</f>
        <v>Đấu giá&gt; cuốn sách, tạp chí&gt; nhà, sinh hoạt, chăm sóc trẻ&gt; hoa, làm vườn&gt; cắm hoa</v>
      </c>
      <c r="F188" t="str">
        <f t="shared" ca="1" si="2"/>
        <v>"2084047775" : "Flower Arrangement",</v>
      </c>
    </row>
    <row r="189" spans="1:6" ht="15.75" customHeight="1">
      <c r="A189" s="12">
        <v>2084047776</v>
      </c>
      <c r="B189" s="12" t="s">
        <v>5497</v>
      </c>
      <c r="C189" s="12" t="s">
        <v>5498</v>
      </c>
      <c r="D189" s="5" t="str">
        <f ca="1">IFERROR(__xludf.DUMMYFUNCTION("GOOGLETRANSLATE(B189,""ja"",""vi"")"),"nhà vườn")</f>
        <v>nhà vườn</v>
      </c>
      <c r="E189" s="4" t="str">
        <f ca="1">IFERROR(__xludf.DUMMYFUNCTION("GOOGLETRANSLATE(C189,""ja"",""vi"")"),"Đấu giá&gt; cuốn sách, tạp chí&gt; nhà, sinh hoạt, chăm sóc trẻ&gt; hoa, làm vườn&gt; vườn nhà")</f>
        <v>Đấu giá&gt; cuốn sách, tạp chí&gt; nhà, sinh hoạt, chăm sóc trẻ&gt; hoa, làm vườn&gt; vườn nhà</v>
      </c>
      <c r="F189" t="str">
        <f t="shared" ca="1" si="2"/>
        <v>"2084047776" : "nhà vườn",</v>
      </c>
    </row>
    <row r="190" spans="1:6" ht="15.75" customHeight="1">
      <c r="A190" s="12">
        <v>2084008127</v>
      </c>
      <c r="B190" s="12" t="s">
        <v>1586</v>
      </c>
      <c r="C190" s="12" t="s">
        <v>5501</v>
      </c>
      <c r="D190" s="5" t="str">
        <f ca="1">IFERROR(__xludf.DUMMYFUNCTION("GOOGLETRANSLATE(B190,""ja"",""vi"")"),"tạp chí")</f>
        <v>tạp chí</v>
      </c>
      <c r="E190" s="4" t="str">
        <f ca="1">IFERROR(__xludf.DUMMYFUNCTION("GOOGLETRANSLATE(C190,""ja"",""vi"")"),"Đấu giá&gt; cuốn sách, tạp chí&gt; nhà, sinh hoạt, chăm sóc trẻ&gt; hoa, làm vườn&gt; Tạp chí")</f>
        <v>Đấu giá&gt; cuốn sách, tạp chí&gt; nhà, sinh hoạt, chăm sóc trẻ&gt; hoa, làm vườn&gt; Tạp chí</v>
      </c>
      <c r="F190" t="str">
        <f t="shared" ca="1" si="2"/>
        <v>"2084008127" : "tạp chí",</v>
      </c>
    </row>
    <row r="191" spans="1:6" ht="15.75" customHeight="1">
      <c r="A191" s="12">
        <v>2084047777</v>
      </c>
      <c r="B191" s="12" t="s">
        <v>5504</v>
      </c>
      <c r="C191" s="12" t="s">
        <v>5505</v>
      </c>
      <c r="D191" s="5" t="str">
        <f ca="1">IFERROR(__xludf.DUMMYFUNCTION("GOOGLETRANSLATE(B191,""ja"",""vi"")"),"Bonsai")</f>
        <v>Bonsai</v>
      </c>
      <c r="E191" s="4" t="str">
        <f ca="1">IFERROR(__xludf.DUMMYFUNCTION("GOOGLETRANSLATE(C191,""ja"",""vi"")"),"Đấu giá&gt; cuốn sách, tạp chí&gt; nhà, sinh hoạt, chăm sóc trẻ&gt; hoa, làm vườn&gt; cây cảnh")</f>
        <v>Đấu giá&gt; cuốn sách, tạp chí&gt; nhà, sinh hoạt, chăm sóc trẻ&gt; hoa, làm vườn&gt; cây cảnh</v>
      </c>
      <c r="F191" t="str">
        <f t="shared" ca="1" si="2"/>
        <v>"2084047777" : "Bonsai",</v>
      </c>
    </row>
    <row r="192" spans="1:6" ht="15.75" customHeight="1">
      <c r="A192" s="12">
        <v>2084047778</v>
      </c>
      <c r="B192" s="12" t="s">
        <v>5508</v>
      </c>
      <c r="C192" s="12" t="s">
        <v>5509</v>
      </c>
      <c r="D192" s="5" t="str">
        <f ca="1">IFERROR(__xludf.DUMMYFUNCTION("GOOGLETRANSLATE(B192,""ja"",""vi"")"),"cỏ dại, cây")</f>
        <v>cỏ dại, cây</v>
      </c>
      <c r="E192" s="4" t="str">
        <f ca="1">IFERROR(__xludf.DUMMYFUNCTION("GOOGLETRANSLATE(C192,""ja"",""vi"")"),"Đấu giá&gt; cuốn sách, tạp chí&gt; nhà, sinh hoạt, chăm sóc trẻ&gt; hoa, làm vườn&gt; cỏ hoang dã, nhà máy")</f>
        <v>Đấu giá&gt; cuốn sách, tạp chí&gt; nhà, sinh hoạt, chăm sóc trẻ&gt; hoa, làm vườn&gt; cỏ hoang dã, nhà máy</v>
      </c>
      <c r="F192" t="str">
        <f t="shared" ca="1" si="2"/>
        <v>"2084047778" : "cỏ dại, cây",</v>
      </c>
    </row>
    <row r="193" spans="1:6" ht="15.75" customHeight="1">
      <c r="A193" s="12">
        <v>2084023871</v>
      </c>
      <c r="B193" s="12" t="s">
        <v>5512</v>
      </c>
      <c r="C193" s="12" t="s">
        <v>5513</v>
      </c>
      <c r="D193" s="5" t="str">
        <f ca="1">IFERROR(__xludf.DUMMYFUNCTION("GOOGLETRANSLATE(B193,""ja"",""vi"")"),"nói chung máy bay")</f>
        <v>nói chung máy bay</v>
      </c>
      <c r="E193" s="4" t="str">
        <f ca="1">IFERROR(__xludf.DUMMYFUNCTION("GOOGLETRANSLATE(C193,""ja"",""vi"")"),"Đấu giá&gt; cuốn sách, tạp chí&gt; sở thích, thể thao, sử dụng thực tế&gt; Máy bay&gt; chung máy bay")</f>
        <v>Đấu giá&gt; cuốn sách, tạp chí&gt; sở thích, thể thao, sử dụng thực tế&gt; Máy bay&gt; chung máy bay</v>
      </c>
      <c r="F193" t="str">
        <f t="shared" ca="1" si="2"/>
        <v>"2084023871" : "nói chung máy bay",</v>
      </c>
    </row>
    <row r="194" spans="1:6" ht="15.75" customHeight="1">
      <c r="A194" s="12">
        <v>2084008117</v>
      </c>
      <c r="B194" s="12" t="s">
        <v>1586</v>
      </c>
      <c r="C194" s="12" t="s">
        <v>5516</v>
      </c>
      <c r="D194" s="5" t="str">
        <f ca="1">IFERROR(__xludf.DUMMYFUNCTION("GOOGLETRANSLATE(B194,""ja"",""vi"")"),"tạp chí")</f>
        <v>tạp chí</v>
      </c>
      <c r="E194" s="4" t="str">
        <f ca="1">IFERROR(__xludf.DUMMYFUNCTION("GOOGLETRANSLATE(C194,""ja"",""vi"")"),"Đấu giá&gt; cuốn sách, tạp chí&gt; sở thích, thể thao, sử dụng thực tế&gt; Máy bay&gt; Tạp chí")</f>
        <v>Đấu giá&gt; cuốn sách, tạp chí&gt; sở thích, thể thao, sử dụng thực tế&gt; Máy bay&gt; Tạp chí</v>
      </c>
      <c r="F194" t="str">
        <f t="shared" ref="F194:F257" ca="1" si="3">CONCATENATE(CHAR(34)&amp;"",A194,""&amp;CHAR(34)," : ", CHAR(34)&amp;"",D194,""&amp;CHAR(34),",")</f>
        <v>"2084008117" : "tạp chí",</v>
      </c>
    </row>
    <row r="195" spans="1:6" ht="15.75" customHeight="1">
      <c r="A195" s="12">
        <v>2084008872</v>
      </c>
      <c r="B195" s="12" t="s">
        <v>5518</v>
      </c>
      <c r="C195" s="12" t="s">
        <v>5519</v>
      </c>
      <c r="D195" s="5" t="str">
        <f ca="1">IFERROR(__xludf.DUMMYFUNCTION("GOOGLETRANSLATE(B195,""ja"",""vi"")"),"xe chung")</f>
        <v>xe chung</v>
      </c>
      <c r="E195" s="4" t="str">
        <f ca="1">IFERROR(__xludf.DUMMYFUNCTION("GOOGLETRANSLATE(C195,""ja"",""vi"")"),"Đấu giá&gt; cuốn sách, tạp chí&gt; sở thích, thể thao, sử dụng thực tế&gt; ô tô&gt; chung ô tô")</f>
        <v>Đấu giá&gt; cuốn sách, tạp chí&gt; sở thích, thể thao, sử dụng thực tế&gt; ô tô&gt; chung ô tô</v>
      </c>
      <c r="F195" t="str">
        <f t="shared" ca="1" si="3"/>
        <v>"2084008872" : "xe chung",</v>
      </c>
    </row>
    <row r="196" spans="1:6" ht="15.75" customHeight="1">
      <c r="A196" s="12">
        <v>2084008873</v>
      </c>
      <c r="B196" s="12" t="s">
        <v>5409</v>
      </c>
      <c r="C196" s="12" t="s">
        <v>5522</v>
      </c>
      <c r="D196" s="5" t="str">
        <f ca="1">IFERROR(__xludf.DUMMYFUNCTION("GOOGLETRANSLATE(B196,""ja"",""vi"")"),"cơ chế")</f>
        <v>cơ chế</v>
      </c>
      <c r="E196" s="4" t="str">
        <f ca="1">IFERROR(__xludf.DUMMYFUNCTION("GOOGLETRANSLATE(C196,""ja"",""vi"")"),"Đấu giá&gt; cuốn sách, tạp chí&gt; sở thích, thể thao, sử dụng thực tế&gt; ô tô&gt; cơ chế")</f>
        <v>Đấu giá&gt; cuốn sách, tạp chí&gt; sở thích, thể thao, sử dụng thực tế&gt; ô tô&gt; cơ chế</v>
      </c>
      <c r="F196" t="str">
        <f t="shared" ca="1" si="3"/>
        <v>"2084008873" : "cơ chế",</v>
      </c>
    </row>
    <row r="197" spans="1:6" ht="15.75" customHeight="1">
      <c r="A197" s="12">
        <v>2084008874</v>
      </c>
      <c r="B197" s="12" t="s">
        <v>5413</v>
      </c>
      <c r="C197" s="12" t="s">
        <v>5524</v>
      </c>
      <c r="D197" s="5" t="str">
        <f ca="1">IFERROR(__xludf.DUMMYFUNCTION("GOOGLETRANSLATE(B197,""ja"",""vi"")"),"bảo trì")</f>
        <v>bảo trì</v>
      </c>
      <c r="E197" s="4" t="str">
        <f ca="1">IFERROR(__xludf.DUMMYFUNCTION("GOOGLETRANSLATE(C197,""ja"",""vi"")"),"Đấu giá&gt; cuốn sách, tạp chí&gt; sở thích, thể thao, sử dụng thực tế&gt; ô tô&gt; bảo trì")</f>
        <v>Đấu giá&gt; cuốn sách, tạp chí&gt; sở thích, thể thao, sử dụng thực tế&gt; ô tô&gt; bảo trì</v>
      </c>
      <c r="F197" t="str">
        <f t="shared" ca="1" si="3"/>
        <v>"2084008874" : "bảo trì",</v>
      </c>
    </row>
    <row r="198" spans="1:6" ht="15.75" customHeight="1">
      <c r="A198" s="12">
        <v>2084008099</v>
      </c>
      <c r="B198" s="12" t="s">
        <v>1586</v>
      </c>
      <c r="C198" s="12" t="s">
        <v>5526</v>
      </c>
      <c r="D198" s="5" t="str">
        <f ca="1">IFERROR(__xludf.DUMMYFUNCTION("GOOGLETRANSLATE(B198,""ja"",""vi"")"),"tạp chí")</f>
        <v>tạp chí</v>
      </c>
      <c r="E198" s="4" t="str">
        <f ca="1">IFERROR(__xludf.DUMMYFUNCTION("GOOGLETRANSLATE(C198,""ja"",""vi"")"),"Đấu giá&gt; cuốn sách, tạp chí&gt; sở thích, thể thao, sử dụng thực tế&gt; ô tô&gt; tạp chí")</f>
        <v>Đấu giá&gt; cuốn sách, tạp chí&gt; sở thích, thể thao, sử dụng thực tế&gt; ô tô&gt; tạp chí</v>
      </c>
      <c r="F198" t="str">
        <f t="shared" ca="1" si="3"/>
        <v>"2084008099" : "tạp chí",</v>
      </c>
    </row>
    <row r="199" spans="1:6" ht="15.75" customHeight="1">
      <c r="A199" s="12">
        <v>2084008875</v>
      </c>
      <c r="B199" s="12" t="s">
        <v>5416</v>
      </c>
      <c r="C199" s="12" t="s">
        <v>5529</v>
      </c>
      <c r="D199" s="5" t="str">
        <f ca="1">IFERROR(__xludf.DUMMYFUNCTION("GOOGLETRANSLATE(B199,""ja"",""vi"")"),"Bằng lái xe")</f>
        <v>Bằng lái xe</v>
      </c>
      <c r="E199" s="4" t="str">
        <f ca="1">IFERROR(__xludf.DUMMYFUNCTION("GOOGLETRANSLATE(C199,""ja"",""vi"")"),"Đấu giá&gt; cuốn sách, tạp chí&gt; sở thích, thể thao, sử dụng thực tế&gt; ô tô&gt; mua lại giấy phép")</f>
        <v>Đấu giá&gt; cuốn sách, tạp chí&gt; sở thích, thể thao, sử dụng thực tế&gt; ô tô&gt; mua lại giấy phép</v>
      </c>
      <c r="F199" t="str">
        <f t="shared" ca="1" si="3"/>
        <v>"2084008875" : "Bằng lái xe",</v>
      </c>
    </row>
    <row r="200" spans="1:6" ht="15.75" customHeight="1">
      <c r="A200" s="12">
        <v>2084008905</v>
      </c>
      <c r="B200" s="12" t="s">
        <v>5530</v>
      </c>
      <c r="C200" s="12" t="s">
        <v>5531</v>
      </c>
      <c r="D200" s="5" t="str">
        <f ca="1">IFERROR(__xludf.DUMMYFUNCTION("GOOGLETRANSLATE(B200,""ja"",""vi"")"),"Tarot")</f>
        <v>Tarot</v>
      </c>
      <c r="E200" s="4" t="str">
        <f ca="1">IFERROR(__xludf.DUMMYFUNCTION("GOOGLETRANSLATE(C200,""ja"",""vi"")"),"Đấu giá&gt; cuốn sách, tạp chí&gt; sở thích, thể thao, sử dụng thực tế&gt; bói toán&gt; tarot")</f>
        <v>Đấu giá&gt; cuốn sách, tạp chí&gt; sở thích, thể thao, sử dụng thực tế&gt; bói toán&gt; tarot</v>
      </c>
      <c r="F200" t="str">
        <f t="shared" ca="1" si="3"/>
        <v>"2084008905" : "Tarot",</v>
      </c>
    </row>
    <row r="201" spans="1:6" ht="15.75" customHeight="1">
      <c r="A201" s="12">
        <v>2084008900</v>
      </c>
      <c r="B201" s="12" t="s">
        <v>5533</v>
      </c>
      <c r="C201" s="12" t="s">
        <v>5534</v>
      </c>
      <c r="D201" s="5" t="str">
        <f ca="1">IFERROR(__xludf.DUMMYFUNCTION("GOOGLETRANSLATE(B201,""ja"",""vi"")"),"Nghiên cứu về bói toán")</f>
        <v>Nghiên cứu về bói toán</v>
      </c>
      <c r="E201" s="4" t="str">
        <f ca="1">IFERROR(__xludf.DUMMYFUNCTION("GOOGLETRANSLATE(C201,""ja"",""vi"")"),"Đấu giá&gt; cuốn sách, tạp chí&gt; sở thích, thể thao, sử dụng thực tế&gt; bói toán&gt; nghiên cứu về bói toán")</f>
        <v>Đấu giá&gt; cuốn sách, tạp chí&gt; sở thích, thể thao, sử dụng thực tế&gt; bói toán&gt; nghiên cứu về bói toán</v>
      </c>
      <c r="F201" t="str">
        <f t="shared" ca="1" si="3"/>
        <v>"2084008900" : "Nghiên cứu về bói toán",</v>
      </c>
    </row>
    <row r="202" spans="1:6" ht="15.75" customHeight="1">
      <c r="A202" s="12">
        <v>2084008901</v>
      </c>
      <c r="B202" s="12" t="s">
        <v>5537</v>
      </c>
      <c r="C202" s="12" t="s">
        <v>5538</v>
      </c>
      <c r="D202" s="5" t="str">
        <f ca="1">IFERROR(__xludf.DUMMYFUNCTION("GOOGLETRANSLATE(B202,""ja"",""vi"")"),"Nhóm máu")</f>
        <v>Nhóm máu</v>
      </c>
      <c r="E202" s="4" t="str">
        <f ca="1">IFERROR(__xludf.DUMMYFUNCTION("GOOGLETRANSLATE(C202,""ja"",""vi"")"),"Đấu giá&gt; cuốn sách, tạp chí&gt; sở thích, thể thao, sử dụng thực tế&gt; bói toán&gt; nhóm máu")</f>
        <v>Đấu giá&gt; cuốn sách, tạp chí&gt; sở thích, thể thao, sử dụng thực tế&gt; bói toán&gt; nhóm máu</v>
      </c>
      <c r="F202" t="str">
        <f t="shared" ca="1" si="3"/>
        <v>"2084008901" : "Nhóm máu",</v>
      </c>
    </row>
    <row r="203" spans="1:6" ht="15.75" customHeight="1">
      <c r="A203" s="12">
        <v>2084008097</v>
      </c>
      <c r="B203" s="12" t="s">
        <v>1586</v>
      </c>
      <c r="C203" s="12" t="s">
        <v>5540</v>
      </c>
      <c r="D203" s="5" t="str">
        <f ca="1">IFERROR(__xludf.DUMMYFUNCTION("GOOGLETRANSLATE(B203,""ja"",""vi"")"),"tạp chí")</f>
        <v>tạp chí</v>
      </c>
      <c r="E203" s="4" t="str">
        <f ca="1">IFERROR(__xludf.DUMMYFUNCTION("GOOGLETRANSLATE(C203,""ja"",""vi"")"),"Đấu giá&gt; cuốn sách, tạp chí&gt; sở thích, thể thao, sử dụng thực tế&gt; bói toán&gt; Tạp chí")</f>
        <v>Đấu giá&gt; cuốn sách, tạp chí&gt; sở thích, thể thao, sử dụng thực tế&gt; bói toán&gt; Tạp chí</v>
      </c>
      <c r="F203" t="str">
        <f t="shared" ca="1" si="3"/>
        <v>"2084008097" : "tạp chí",</v>
      </c>
    </row>
    <row r="204" spans="1:6" ht="15.75" customHeight="1">
      <c r="A204" s="12">
        <v>2084008902</v>
      </c>
      <c r="B204" s="12" t="s">
        <v>5541</v>
      </c>
      <c r="C204" s="12" t="s">
        <v>5543</v>
      </c>
      <c r="D204" s="5" t="str">
        <f ca="1">IFERROR(__xludf.DUMMYFUNCTION("GOOGLETRANSLATE(B204,""ja"",""vi"")"),"Bốn trụ cột của số phận")</f>
        <v>Bốn trụ cột của số phận</v>
      </c>
      <c r="E204" s="4" t="str">
        <f ca="1">IFERROR(__xludf.DUMMYFUNCTION("GOOGLETRANSLATE(C204,""ja"",""vi"")"),"Đấu giá&gt; cuốn sách, tạp chí&gt; sở thích, thể thao, sử dụng thực tế&gt; bói toán&gt; bốn trụ cột của số phận")</f>
        <v>Đấu giá&gt; cuốn sách, tạp chí&gt; sở thích, thể thao, sử dụng thực tế&gt; bói toán&gt; bốn trụ cột của số phận</v>
      </c>
      <c r="F204" t="str">
        <f t="shared" ca="1" si="3"/>
        <v>"2084008902" : "Bốn trụ cột của số phận",</v>
      </c>
    </row>
    <row r="205" spans="1:6" ht="15.75" customHeight="1">
      <c r="A205" s="12">
        <v>2084008908</v>
      </c>
      <c r="B205" s="12" t="s">
        <v>5546</v>
      </c>
      <c r="C205" s="12" t="s">
        <v>5547</v>
      </c>
      <c r="D205" s="5" t="str">
        <f ca="1">IFERROR(__xludf.DUMMYFUNCTION("GOOGLETRANSLATE(B205,""ja"",""vi"")"),"xem chỉ tay")</f>
        <v>xem chỉ tay</v>
      </c>
      <c r="E205" s="4" t="str">
        <f ca="1">IFERROR(__xludf.DUMMYFUNCTION("GOOGLETRANSLATE(C205,""ja"",""vi"")"),"Đấu giá&gt; cuốn sách, tạp chí&gt; sở thích, thể thao, sử dụng thực tế&gt; bói toán&gt; cọ")</f>
        <v>Đấu giá&gt; cuốn sách, tạp chí&gt; sở thích, thể thao, sử dụng thực tế&gt; bói toán&gt; cọ</v>
      </c>
      <c r="F205" t="str">
        <f t="shared" ca="1" si="3"/>
        <v>"2084008908" : "xem chỉ tay",</v>
      </c>
    </row>
    <row r="206" spans="1:6" ht="15.75" customHeight="1">
      <c r="A206" s="12">
        <v>2084008903</v>
      </c>
      <c r="B206" s="12" t="s">
        <v>5550</v>
      </c>
      <c r="C206" s="12" t="s">
        <v>5551</v>
      </c>
      <c r="D206" s="5" t="str">
        <f ca="1">IFERROR(__xludf.DUMMYFUNCTION("GOOGLETRANSLATE(B206,""ja"",""vi"")"),"Đầu tiên và tên cuối cùng phán quyết")</f>
        <v>Đầu tiên và tên cuối cùng phán quyết</v>
      </c>
      <c r="E206" s="4" t="str">
        <f ca="1">IFERROR(__xludf.DUMMYFUNCTION("GOOGLETRANSLATE(C206,""ja"",""vi"")"),"Đấu giá&gt; cuốn sách, tạp chí&gt; sở thích, thể thao, sử dụng thực tế&gt; bói toán&gt; đầu tiên và tên cuối cùng phán quyết")</f>
        <v>Đấu giá&gt; cuốn sách, tạp chí&gt; sở thích, thể thao, sử dụng thực tế&gt; bói toán&gt; đầu tiên và tên cuối cùng phán quyết</v>
      </c>
      <c r="F206" t="str">
        <f t="shared" ca="1" si="3"/>
        <v>"2084008903" : "Đầu tiên và tên cuối cùng phán quyết",</v>
      </c>
    </row>
    <row r="207" spans="1:6" ht="15.75" customHeight="1">
      <c r="A207" s="12">
        <v>2084008904</v>
      </c>
      <c r="B207" s="12" t="s">
        <v>5554</v>
      </c>
      <c r="C207" s="12" t="s">
        <v>5555</v>
      </c>
      <c r="D207" s="5" t="str">
        <f ca="1">IFERROR(__xludf.DUMMYFUNCTION("GOOGLETRANSLATE(B207,""ja"",""vi"")"),"Chiêm tinh, tử vi")</f>
        <v>Chiêm tinh, tử vi</v>
      </c>
      <c r="E207" s="4" t="str">
        <f ca="1">IFERROR(__xludf.DUMMYFUNCTION("GOOGLETRANSLATE(C207,""ja"",""vi"")"),"Đấu giá&gt; cuốn sách, tạp chí&gt; sở thích, thể thao, sử dụng thực tế&gt; bói toán&gt; chiêm tinh, tử vi")</f>
        <v>Đấu giá&gt; cuốn sách, tạp chí&gt; sở thích, thể thao, sử dụng thực tế&gt; bói toán&gt; chiêm tinh, tử vi</v>
      </c>
      <c r="F207" t="str">
        <f t="shared" ca="1" si="3"/>
        <v>"2084008904" : "Chiêm tinh, tử vi",</v>
      </c>
    </row>
    <row r="208" spans="1:6" ht="15.75" customHeight="1">
      <c r="A208" s="12">
        <v>2084008906</v>
      </c>
      <c r="B208" s="12" t="s">
        <v>5559</v>
      </c>
      <c r="C208" s="12" t="s">
        <v>5561</v>
      </c>
      <c r="D208" s="5" t="str">
        <f ca="1">IFERROR(__xludf.DUMMYFUNCTION("GOOGLETRANSLATE(B208,""ja"",""vi"")"),"Phong thủy")</f>
        <v>Phong thủy</v>
      </c>
      <c r="E208" s="4" t="str">
        <f ca="1">IFERROR(__xludf.DUMMYFUNCTION("GOOGLETRANSLATE(C208,""ja"",""vi"")"),"Đấu giá&gt; cuốn sách, tạp chí&gt; sở thích, thể thao, sử dụng thực tế&gt; bói toán&gt; phong thủy")</f>
        <v>Đấu giá&gt; cuốn sách, tạp chí&gt; sở thích, thể thao, sử dụng thực tế&gt; bói toán&gt; phong thủy</v>
      </c>
      <c r="F208" t="str">
        <f t="shared" ca="1" si="3"/>
        <v>"2084008906" : "Phong thủy",</v>
      </c>
    </row>
    <row r="209" spans="1:6" ht="15.75" customHeight="1">
      <c r="A209" s="12">
        <v>2084008907</v>
      </c>
      <c r="B209" s="12" t="s">
        <v>5563</v>
      </c>
      <c r="C209" s="12" t="s">
        <v>5566</v>
      </c>
      <c r="D209" s="5" t="str">
        <f ca="1">IFERROR(__xludf.DUMMYFUNCTION("GOOGLETRANSLATE(B209,""ja"",""vi"")"),"Giấc mơ bói toán, thẻ bói")</f>
        <v>Giấc mơ bói toán, thẻ bói</v>
      </c>
      <c r="E209" s="4" t="str">
        <f ca="1">IFERROR(__xludf.DUMMYFUNCTION("GOOGLETRANSLATE(C209,""ja"",""vi"")"),"Đấu giá&gt; cuốn sách, tạp chí&gt; sở thích, thể thao, sử dụng thực tế&gt; bói toán&gt; mơ bói toán, thẻ bói")</f>
        <v>Đấu giá&gt; cuốn sách, tạp chí&gt; sở thích, thể thao, sử dụng thực tế&gt; bói toán&gt; mơ bói toán, thẻ bói</v>
      </c>
      <c r="F209" t="str">
        <f t="shared" ca="1" si="3"/>
        <v>"2084008907" : "Giấc mơ bói toán, thẻ bói",</v>
      </c>
    </row>
    <row r="210" spans="1:6" ht="15.75" customHeight="1">
      <c r="A210" s="12">
        <v>2084008909</v>
      </c>
      <c r="B210" s="12" t="s">
        <v>46</v>
      </c>
      <c r="C210" s="12" t="s">
        <v>5570</v>
      </c>
      <c r="D210" s="5" t="str">
        <f ca="1">IFERROR(__xludf.DUMMYFUNCTION("GOOGLETRANSLATE(B210,""ja"",""vi"")"),"nếu không thì")</f>
        <v>nếu không thì</v>
      </c>
      <c r="E210" s="4" t="str">
        <f ca="1">IFERROR(__xludf.DUMMYFUNCTION("GOOGLETRANSLATE(C210,""ja"",""vi"")"),"Đấu giá&gt; cuốn sách, tạp chí&gt; sở thích, thể thao, sử dụng thực tế&gt; bói toán&gt; Khác")</f>
        <v>Đấu giá&gt; cuốn sách, tạp chí&gt; sở thích, thể thao, sử dụng thực tế&gt; bói toán&gt; Khác</v>
      </c>
      <c r="F210" t="str">
        <f t="shared" ca="1" si="3"/>
        <v>"2084008909" : "nếu không thì",</v>
      </c>
    </row>
    <row r="211" spans="1:6" ht="15.75" customHeight="1">
      <c r="A211" s="12">
        <v>2084008987</v>
      </c>
      <c r="B211" s="12" t="s">
        <v>2241</v>
      </c>
      <c r="C211" s="12" t="s">
        <v>5576</v>
      </c>
      <c r="D211" s="5" t="str">
        <f ca="1">IFERROR(__xludf.DUMMYFUNCTION("GOOGLETRANSLATE(B211,""ja"",""vi"")"),"chung")</f>
        <v>chung</v>
      </c>
      <c r="E211" s="4" t="str">
        <f ca="1">IFERROR(__xludf.DUMMYFUNCTION("GOOGLETRANSLATE(C211,""ja"",""vi"")"),"Đấu giá&gt; cuốn sách, tạp chí&gt; sở thích, thể thao, sử dụng thực tế&gt; câu cá, câu cá&gt; General")</f>
        <v>Đấu giá&gt; cuốn sách, tạp chí&gt; sở thích, thể thao, sử dụng thực tế&gt; câu cá, câu cá&gt; General</v>
      </c>
      <c r="F211" t="str">
        <f t="shared" ca="1" si="3"/>
        <v>"2084008987" : "chung",</v>
      </c>
    </row>
    <row r="212" spans="1:6" ht="15.75" customHeight="1">
      <c r="A212" s="12">
        <v>2084008093</v>
      </c>
      <c r="B212" s="12" t="s">
        <v>1586</v>
      </c>
      <c r="C212" s="12" t="s">
        <v>5581</v>
      </c>
      <c r="D212" s="5" t="str">
        <f ca="1">IFERROR(__xludf.DUMMYFUNCTION("GOOGLETRANSLATE(B212,""ja"",""vi"")"),"tạp chí")</f>
        <v>tạp chí</v>
      </c>
      <c r="E212" s="4" t="str">
        <f ca="1">IFERROR(__xludf.DUMMYFUNCTION("GOOGLETRANSLATE(C212,""ja"",""vi"")"),"Đấu giá&gt; cuốn sách, tạp chí&gt; sở thích, thể thao, sử dụng thực tế&gt; câu cá, câu cá&gt; Tạp chí")</f>
        <v>Đấu giá&gt; cuốn sách, tạp chí&gt; sở thích, thể thao, sử dụng thực tế&gt; câu cá, câu cá&gt; Tạp chí</v>
      </c>
      <c r="F212" t="str">
        <f t="shared" ca="1" si="3"/>
        <v>"2084008093" : "tạp chí",</v>
      </c>
    </row>
    <row r="213" spans="1:6" ht="15.75" customHeight="1">
      <c r="A213" s="12">
        <v>2084023874</v>
      </c>
      <c r="B213" s="12" t="s">
        <v>5585</v>
      </c>
      <c r="C213" s="12" t="s">
        <v>5587</v>
      </c>
      <c r="D213" s="5" t="str">
        <f ca="1">IFERROR(__xludf.DUMMYFUNCTION("GOOGLETRANSLATE(B213,""ja"",""vi"")"),"Railway chung")</f>
        <v>Railway chung</v>
      </c>
      <c r="E213" s="4" t="str">
        <f ca="1">IFERROR(__xludf.DUMMYFUNCTION("GOOGLETRANSLATE(C213,""ja"",""vi"")"),"Đấu giá&gt; cuốn sách, tạp chí&gt; sở thích, thể thao, sử dụng thực tế&gt; đường sắt&gt; chung đường sắt")</f>
        <v>Đấu giá&gt; cuốn sách, tạp chí&gt; sở thích, thể thao, sử dụng thực tế&gt; đường sắt&gt; chung đường sắt</v>
      </c>
      <c r="F213" t="str">
        <f t="shared" ca="1" si="3"/>
        <v>"2084023874" : "Railway chung",</v>
      </c>
    </row>
    <row r="214" spans="1:6" ht="15.75" customHeight="1">
      <c r="A214" s="12">
        <v>2084008110</v>
      </c>
      <c r="B214" s="12" t="s">
        <v>1586</v>
      </c>
      <c r="C214" s="12" t="s">
        <v>5592</v>
      </c>
      <c r="D214" s="5" t="str">
        <f ca="1">IFERROR(__xludf.DUMMYFUNCTION("GOOGLETRANSLATE(B214,""ja"",""vi"")"),"tạp chí")</f>
        <v>tạp chí</v>
      </c>
      <c r="E214" s="4" t="str">
        <f ca="1">IFERROR(__xludf.DUMMYFUNCTION("GOOGLETRANSLATE(C214,""ja"",""vi"")"),"Đấu giá&gt; cuốn sách, tạp chí&gt; sở thích, thể thao, sử dụng thực tế&gt; đường sắt&gt; Tạp chí")</f>
        <v>Đấu giá&gt; cuốn sách, tạp chí&gt; sở thích, thể thao, sử dụng thực tế&gt; đường sắt&gt; Tạp chí</v>
      </c>
      <c r="F214" t="str">
        <f t="shared" ca="1" si="3"/>
        <v>"2084008110" : "tạp chí",</v>
      </c>
    </row>
    <row r="215" spans="1:6" ht="15.75" customHeight="1">
      <c r="A215" s="12">
        <v>2084008914</v>
      </c>
      <c r="B215" s="12" t="s">
        <v>5381</v>
      </c>
      <c r="C215" s="12" t="s">
        <v>5382</v>
      </c>
      <c r="D215" s="5" t="str">
        <f ca="1">IFERROR(__xludf.DUMMYFUNCTION("GOOGLETRANSLATE(B215,""ja"",""vi"")"),"giải trí Hướng dẫn")</f>
        <v>giải trí Hướng dẫn</v>
      </c>
      <c r="E215" s="4" t="str">
        <f ca="1">IFERROR(__xludf.DUMMYFUNCTION("GOOGLETRANSLATE(C215,""ja"",""vi"")"),"Đấu giá&gt; cuốn sách, tạp chí&gt; sở thích, thể thao, sử dụng thực tế&gt; Du lịch, giải trí dẫn&gt; Giải trí Hướng dẫn")</f>
        <v>Đấu giá&gt; cuốn sách, tạp chí&gt; sở thích, thể thao, sử dụng thực tế&gt; Du lịch, giải trí dẫn&gt; Giải trí Hướng dẫn</v>
      </c>
      <c r="F215" t="str">
        <f t="shared" ca="1" si="3"/>
        <v>"2084008914" : "giải trí Hướng dẫn",</v>
      </c>
    </row>
    <row r="216" spans="1:6" ht="15.75" customHeight="1">
      <c r="A216" s="12">
        <v>2084008913</v>
      </c>
      <c r="B216" s="12" t="s">
        <v>5384</v>
      </c>
      <c r="C216" s="12" t="s">
        <v>5386</v>
      </c>
      <c r="D216" s="5" t="str">
        <f ca="1">IFERROR(__xludf.DUMMYFUNCTION("GOOGLETRANSLATE(B216,""ja"",""vi"")"),"hướng dẫn nhà hàng")</f>
        <v>hướng dẫn nhà hàng</v>
      </c>
      <c r="E216" s="4" t="str">
        <f ca="1">IFERROR(__xludf.DUMMYFUNCTION("GOOGLETRANSLATE(C216,""ja"",""vi"")"),"Đấu giá&gt; cuốn sách, tạp chí&gt; sở thích, thể thao, sử dụng thực tế&gt; Du lịch, giải trí dẫn&gt; nhà hàng hướng dẫn")</f>
        <v>Đấu giá&gt; cuốn sách, tạp chí&gt; sở thích, thể thao, sử dụng thực tế&gt; Du lịch, giải trí dẫn&gt; nhà hàng hướng dẫn</v>
      </c>
      <c r="F216" t="str">
        <f t="shared" ca="1" si="3"/>
        <v>"2084008913" : "hướng dẫn nhà hàng",</v>
      </c>
    </row>
    <row r="217" spans="1:6" ht="15.75" customHeight="1">
      <c r="A217" s="12">
        <v>2084008915</v>
      </c>
      <c r="B217" s="12" t="s">
        <v>5262</v>
      </c>
      <c r="C217" s="12" t="s">
        <v>5387</v>
      </c>
      <c r="D217" s="5" t="str">
        <f ca="1">IFERROR(__xludf.DUMMYFUNCTION("GOOGLETRANSLATE(B217,""ja"",""vi"")"),"Travel viết, tiểu luận du lịch")</f>
        <v>Travel viết, tiểu luận du lịch</v>
      </c>
      <c r="E217" s="4" t="str">
        <f ca="1">IFERROR(__xludf.DUMMYFUNCTION("GOOGLETRANSLATE(C217,""ja"",""vi"")"),"Đấu giá&gt; cuốn sách, tạp chí&gt; sở thích, thể thao, sử dụng thực tế&gt; Du lịch, giải trí dẫn&gt; Du lịch văn, tiểu luận du lịch")</f>
        <v>Đấu giá&gt; cuốn sách, tạp chí&gt; sở thích, thể thao, sử dụng thực tế&gt; Du lịch, giải trí dẫn&gt; Du lịch văn, tiểu luận du lịch</v>
      </c>
      <c r="F217" t="str">
        <f t="shared" ca="1" si="3"/>
        <v>"2084008915" : "Travel viết, tiểu luận du lịch",</v>
      </c>
    </row>
    <row r="218" spans="1:6" ht="15.75" customHeight="1">
      <c r="A218" s="12">
        <v>2084008912</v>
      </c>
      <c r="B218" s="12" t="s">
        <v>5388</v>
      </c>
      <c r="C218" s="12" t="s">
        <v>5389</v>
      </c>
      <c r="D218" s="5" t="str">
        <f ca="1">IFERROR(__xludf.DUMMYFUNCTION("GOOGLETRANSLATE(B218,""ja"",""vi"")"),"Chỗ ở, hướng dẫn khách sạn")</f>
        <v>Chỗ ở, hướng dẫn khách sạn</v>
      </c>
      <c r="E218" s="4" t="str">
        <f ca="1">IFERROR(__xludf.DUMMYFUNCTION("GOOGLETRANSLATE(C218,""ja"",""vi"")"),"Đấu giá&gt; cuốn sách, tạp chí&gt; sở thích, thể thao, sử dụng thực tế&gt; Du lịch, giải trí dẫn&gt; chỗ ở, khách sạn hướng dẫn")</f>
        <v>Đấu giá&gt; cuốn sách, tạp chí&gt; sở thích, thể thao, sử dụng thực tế&gt; Du lịch, giải trí dẫn&gt; chỗ ở, khách sạn hướng dẫn</v>
      </c>
      <c r="F218" t="str">
        <f t="shared" ca="1" si="3"/>
        <v>"2084008912" : "Chỗ ở, hướng dẫn khách sạn",</v>
      </c>
    </row>
    <row r="219" spans="1:6" ht="15.75" customHeight="1">
      <c r="A219" s="12">
        <v>21740</v>
      </c>
      <c r="B219" s="12" t="s">
        <v>5390</v>
      </c>
      <c r="C219" s="12" t="s">
        <v>5391</v>
      </c>
      <c r="D219" s="5" t="str">
        <f ca="1">IFERROR(__xludf.DUMMYFUNCTION("GOOGLETRANSLATE(B219,""ja"",""vi"")"),"bản đồ")</f>
        <v>bản đồ</v>
      </c>
      <c r="E219" s="4" t="str">
        <f ca="1">IFERROR(__xludf.DUMMYFUNCTION("GOOGLETRANSLATE(C219,""ja"",""vi"")"),"Đấu giá&gt; cuốn sách, tạp chí&gt; sở thích, thể thao, sử dụng thực tế&gt; Du lịch, giải trí dẫn&gt; bản đồ")</f>
        <v>Đấu giá&gt; cuốn sách, tạp chí&gt; sở thích, thể thao, sử dụng thực tế&gt; Du lịch, giải trí dẫn&gt; bản đồ</v>
      </c>
      <c r="F219" t="str">
        <f t="shared" ca="1" si="3"/>
        <v>"21740" : "bản đồ",</v>
      </c>
    </row>
    <row r="220" spans="1:6" ht="15.75" customHeight="1">
      <c r="A220" s="12">
        <v>2084008911</v>
      </c>
      <c r="B220" s="12" t="s">
        <v>5392</v>
      </c>
      <c r="C220" s="12" t="s">
        <v>5393</v>
      </c>
      <c r="D220" s="5" t="str">
        <f ca="1">IFERROR(__xludf.DUMMYFUNCTION("GOOGLETRANSLATE(B220,""ja"",""vi"")"),"Hướng dẫn du lịch")</f>
        <v>Hướng dẫn du lịch</v>
      </c>
      <c r="E220" s="4" t="str">
        <f ca="1">IFERROR(__xludf.DUMMYFUNCTION("GOOGLETRANSLATE(C220,""ja"",""vi"")"),"Đấu giá&gt; cuốn sách, tạp chí&gt; sở thích, thể thao, sử dụng thực tế&gt; Du lịch, giải trí dẫn&gt; Hướng dẫn du lịch")</f>
        <v>Đấu giá&gt; cuốn sách, tạp chí&gt; sở thích, thể thao, sử dụng thực tế&gt; Du lịch, giải trí dẫn&gt; Hướng dẫn du lịch</v>
      </c>
      <c r="F220" t="str">
        <f t="shared" ca="1" si="3"/>
        <v>"2084008911" : "Hướng dẫn du lịch",</v>
      </c>
    </row>
    <row r="221" spans="1:6" ht="15.75" customHeight="1">
      <c r="A221" s="12">
        <v>2084009001</v>
      </c>
      <c r="B221" s="12" t="s">
        <v>5624</v>
      </c>
      <c r="C221" s="12" t="s">
        <v>5626</v>
      </c>
      <c r="D221" s="5" t="str">
        <f ca="1">IFERROR(__xludf.DUMMYFUNCTION("GOOGLETRANSLATE(B221,""ja"",""vi"")"),"Family Medicine chung")</f>
        <v>Family Medicine chung</v>
      </c>
      <c r="E221" s="4" t="str">
        <f ca="1">IFERROR(__xludf.DUMMYFUNCTION("GOOGLETRANSLATE(C221,""ja"",""vi"")"),"Đấu giá&gt; cuốn sách, tạp chí&gt; sức khỏe và y&gt; y học gia đình&gt; Gia đình đa khoa")</f>
        <v>Đấu giá&gt; cuốn sách, tạp chí&gt; sức khỏe và y&gt; y học gia đình&gt; Gia đình đa khoa</v>
      </c>
      <c r="F221" t="str">
        <f t="shared" ca="1" si="3"/>
        <v>"2084009001" : "Family Medicine chung",</v>
      </c>
    </row>
    <row r="222" spans="1:6" ht="15.75" customHeight="1">
      <c r="A222" s="12">
        <v>2084009004</v>
      </c>
      <c r="B222" s="12" t="s">
        <v>5630</v>
      </c>
      <c r="C222" s="12" t="s">
        <v>5632</v>
      </c>
      <c r="D222" s="5" t="str">
        <f ca="1">IFERROR(__xludf.DUMMYFUNCTION("GOOGLETRANSLATE(B222,""ja"",""vi"")"),"Y học, kiểm tra")</f>
        <v>Y học, kiểm tra</v>
      </c>
      <c r="E222" s="4" t="str">
        <f ca="1">IFERROR(__xludf.DUMMYFUNCTION("GOOGLETRANSLATE(C222,""ja"",""vi"")"),"Đấu giá&gt; cuốn sách, tạp chí&gt; sức khỏe và y&gt; y học gia đình&gt; y học, kiểm tra")</f>
        <v>Đấu giá&gt; cuốn sách, tạp chí&gt; sức khỏe và y&gt; y học gia đình&gt; y học, kiểm tra</v>
      </c>
      <c r="F222" t="str">
        <f t="shared" ca="1" si="3"/>
        <v>"2084009004" : "Y học, kiểm tra",</v>
      </c>
    </row>
    <row r="223" spans="1:6" ht="15.75" customHeight="1">
      <c r="A223" s="12">
        <v>2084009002</v>
      </c>
      <c r="B223" s="12" t="s">
        <v>5634</v>
      </c>
      <c r="C223" s="12" t="s">
        <v>5636</v>
      </c>
      <c r="D223" s="5" t="str">
        <f ca="1">IFERROR(__xludf.DUMMYFUNCTION("GOOGLETRANSLATE(B223,""ja"",""vi"")"),"Dị ứng, dị ứng")</f>
        <v>Dị ứng, dị ứng</v>
      </c>
      <c r="E223" s="4" t="str">
        <f ca="1">IFERROR(__xludf.DUMMYFUNCTION("GOOGLETRANSLATE(C223,""ja"",""vi"")"),"Đấu giá&gt; cuốn sách, tạp chí&gt; sức khỏe và y&gt; y học gia đình&gt; dị ứng, dị ứng")</f>
        <v>Đấu giá&gt; cuốn sách, tạp chí&gt; sức khỏe và y&gt; y học gia đình&gt; dị ứng, dị ứng</v>
      </c>
      <c r="F223" t="str">
        <f t="shared" ca="1" si="3"/>
        <v>"2084009002" : "Dị ứng, dị ứng",</v>
      </c>
    </row>
    <row r="224" spans="1:6" ht="15.75" customHeight="1">
      <c r="A224" s="12">
        <v>2084009003</v>
      </c>
      <c r="B224" s="12" t="s">
        <v>5638</v>
      </c>
      <c r="C224" s="12" t="s">
        <v>5639</v>
      </c>
      <c r="D224" s="5" t="str">
        <f ca="1">IFERROR(__xludf.DUMMYFUNCTION("GOOGLETRANSLATE(B224,""ja"",""vi"")"),"Chế độ ăn uống")</f>
        <v>Chế độ ăn uống</v>
      </c>
      <c r="E224" s="4" t="str">
        <f ca="1">IFERROR(__xludf.DUMMYFUNCTION("GOOGLETRANSLATE(C224,""ja"",""vi"")"),"Đấu giá&gt; cuốn sách, tạp chí&gt; sức khỏe và y&gt; y học gia đình&gt; chế độ ăn uống")</f>
        <v>Đấu giá&gt; cuốn sách, tạp chí&gt; sức khỏe và y&gt; y học gia đình&gt; chế độ ăn uống</v>
      </c>
      <c r="F224" t="str">
        <f t="shared" ca="1" si="3"/>
        <v>"2084009003" : "Chế độ ăn uống",</v>
      </c>
    </row>
    <row r="225" spans="1:6" ht="15.75" customHeight="1">
      <c r="A225" s="12">
        <v>2084047774</v>
      </c>
      <c r="B225" s="12" t="s">
        <v>5489</v>
      </c>
      <c r="C225" s="12" t="s">
        <v>5491</v>
      </c>
      <c r="D225" s="5" t="str">
        <f ca="1">IFERROR(__xludf.DUMMYFUNCTION("GOOGLETRANSLATE(B225,""ja"",""vi"")"),"nghề làm vườn")</f>
        <v>nghề làm vườn</v>
      </c>
      <c r="E225" s="4" t="str">
        <f ca="1">IFERROR(__xludf.DUMMYFUNCTION("GOOGLETRANSLATE(C225,""ja"",""vi"")"),"Đấu giá&gt; cuốn sách, tạp chí&gt; nhà, sinh hoạt, chăm sóc trẻ&gt; hoa, làm vườn&gt; Làm vườn")</f>
        <v>Đấu giá&gt; cuốn sách, tạp chí&gt; nhà, sinh hoạt, chăm sóc trẻ&gt; hoa, làm vườn&gt; Làm vườn</v>
      </c>
      <c r="F225" t="str">
        <f t="shared" ca="1" si="3"/>
        <v>"2084047774" : "nghề làm vườn",</v>
      </c>
    </row>
    <row r="226" spans="1:6" ht="15.75" customHeight="1">
      <c r="A226" s="12">
        <v>2084047775</v>
      </c>
      <c r="B226" s="12" t="s">
        <v>5493</v>
      </c>
      <c r="C226" s="12" t="s">
        <v>5495</v>
      </c>
      <c r="D226" s="5" t="str">
        <f ca="1">IFERROR(__xludf.DUMMYFUNCTION("GOOGLETRANSLATE(B226,""ja"",""vi"")"),"Flower Arrangement")</f>
        <v>Flower Arrangement</v>
      </c>
      <c r="E226" s="4" t="str">
        <f ca="1">IFERROR(__xludf.DUMMYFUNCTION("GOOGLETRANSLATE(C226,""ja"",""vi"")"),"Đấu giá&gt; cuốn sách, tạp chí&gt; nhà, sinh hoạt, chăm sóc trẻ&gt; hoa, làm vườn&gt; cắm hoa")</f>
        <v>Đấu giá&gt; cuốn sách, tạp chí&gt; nhà, sinh hoạt, chăm sóc trẻ&gt; hoa, làm vườn&gt; cắm hoa</v>
      </c>
      <c r="F226" t="str">
        <f t="shared" ca="1" si="3"/>
        <v>"2084047775" : "Flower Arrangement",</v>
      </c>
    </row>
    <row r="227" spans="1:6" ht="15.75" customHeight="1">
      <c r="A227" s="12">
        <v>2084047776</v>
      </c>
      <c r="B227" s="12" t="s">
        <v>5497</v>
      </c>
      <c r="C227" s="12" t="s">
        <v>5498</v>
      </c>
      <c r="D227" s="5" t="str">
        <f ca="1">IFERROR(__xludf.DUMMYFUNCTION("GOOGLETRANSLATE(B227,""ja"",""vi"")"),"nhà vườn")</f>
        <v>nhà vườn</v>
      </c>
      <c r="E227" s="4" t="str">
        <f ca="1">IFERROR(__xludf.DUMMYFUNCTION("GOOGLETRANSLATE(C227,""ja"",""vi"")"),"Đấu giá&gt; cuốn sách, tạp chí&gt; nhà, sinh hoạt, chăm sóc trẻ&gt; hoa, làm vườn&gt; vườn nhà")</f>
        <v>Đấu giá&gt; cuốn sách, tạp chí&gt; nhà, sinh hoạt, chăm sóc trẻ&gt; hoa, làm vườn&gt; vườn nhà</v>
      </c>
      <c r="F227" t="str">
        <f t="shared" ca="1" si="3"/>
        <v>"2084047776" : "nhà vườn",</v>
      </c>
    </row>
    <row r="228" spans="1:6" ht="15.75" customHeight="1">
      <c r="A228" s="12">
        <v>2084008127</v>
      </c>
      <c r="B228" s="12" t="s">
        <v>1586</v>
      </c>
      <c r="C228" s="12" t="s">
        <v>5501</v>
      </c>
      <c r="D228" s="5" t="str">
        <f ca="1">IFERROR(__xludf.DUMMYFUNCTION("GOOGLETRANSLATE(B228,""ja"",""vi"")"),"tạp chí")</f>
        <v>tạp chí</v>
      </c>
      <c r="E228" s="4" t="str">
        <f ca="1">IFERROR(__xludf.DUMMYFUNCTION("GOOGLETRANSLATE(C228,""ja"",""vi"")"),"Đấu giá&gt; cuốn sách, tạp chí&gt; nhà, sinh hoạt, chăm sóc trẻ&gt; hoa, làm vườn&gt; Tạp chí")</f>
        <v>Đấu giá&gt; cuốn sách, tạp chí&gt; nhà, sinh hoạt, chăm sóc trẻ&gt; hoa, làm vườn&gt; Tạp chí</v>
      </c>
      <c r="F228" t="str">
        <f t="shared" ca="1" si="3"/>
        <v>"2084008127" : "tạp chí",</v>
      </c>
    </row>
    <row r="229" spans="1:6" ht="15.75" customHeight="1">
      <c r="A229" s="12">
        <v>2084047777</v>
      </c>
      <c r="B229" s="12" t="s">
        <v>5504</v>
      </c>
      <c r="C229" s="12" t="s">
        <v>5505</v>
      </c>
      <c r="D229" s="5" t="str">
        <f ca="1">IFERROR(__xludf.DUMMYFUNCTION("GOOGLETRANSLATE(B229,""ja"",""vi"")"),"Bonsai")</f>
        <v>Bonsai</v>
      </c>
      <c r="E229" s="4" t="str">
        <f ca="1">IFERROR(__xludf.DUMMYFUNCTION("GOOGLETRANSLATE(C229,""ja"",""vi"")"),"Đấu giá&gt; cuốn sách, tạp chí&gt; nhà, sinh hoạt, chăm sóc trẻ&gt; hoa, làm vườn&gt; cây cảnh")</f>
        <v>Đấu giá&gt; cuốn sách, tạp chí&gt; nhà, sinh hoạt, chăm sóc trẻ&gt; hoa, làm vườn&gt; cây cảnh</v>
      </c>
      <c r="F229" t="str">
        <f t="shared" ca="1" si="3"/>
        <v>"2084047777" : "Bonsai",</v>
      </c>
    </row>
    <row r="230" spans="1:6" ht="15.75" customHeight="1">
      <c r="A230" s="12">
        <v>2084047778</v>
      </c>
      <c r="B230" s="12" t="s">
        <v>5508</v>
      </c>
      <c r="C230" s="12" t="s">
        <v>5509</v>
      </c>
      <c r="D230" s="5" t="str">
        <f ca="1">IFERROR(__xludf.DUMMYFUNCTION("GOOGLETRANSLATE(B230,""ja"",""vi"")"),"cỏ dại, cây")</f>
        <v>cỏ dại, cây</v>
      </c>
      <c r="E230" s="4" t="str">
        <f ca="1">IFERROR(__xludf.DUMMYFUNCTION("GOOGLETRANSLATE(C230,""ja"",""vi"")"),"Đấu giá&gt; cuốn sách, tạp chí&gt; nhà, sinh hoạt, chăm sóc trẻ&gt; hoa, làm vườn&gt; cỏ hoang dã, nhà máy")</f>
        <v>Đấu giá&gt; cuốn sách, tạp chí&gt; nhà, sinh hoạt, chăm sóc trẻ&gt; hoa, làm vườn&gt; cỏ hoang dã, nhà máy</v>
      </c>
      <c r="F230" t="str">
        <f t="shared" ca="1" si="3"/>
        <v>"2084047778" : "cỏ dại, cây",</v>
      </c>
    </row>
    <row r="231" spans="1:6" ht="15.75" customHeight="1">
      <c r="A231" s="12">
        <v>2084009006</v>
      </c>
      <c r="B231" s="12" t="s">
        <v>5657</v>
      </c>
      <c r="C231" s="12" t="s">
        <v>5658</v>
      </c>
      <c r="D231" s="5" t="str">
        <f ca="1">IFERROR(__xludf.DUMMYFUNCTION("GOOGLETRANSLATE(B231,""ja"",""vi"")"),"Massage, Shiatsu")</f>
        <v>Massage, Shiatsu</v>
      </c>
      <c r="E231" s="4" t="str">
        <f ca="1">IFERROR(__xludf.DUMMYFUNCTION("GOOGLETRANSLATE(C231,""ja"",""vi"")"),"Đấu giá&gt; cuốn sách, tạp chí&gt; sức khỏe và y học&gt; vệ sinh&gt; massage, shiatsu")</f>
        <v>Đấu giá&gt; cuốn sách, tạp chí&gt; sức khỏe và y học&gt; vệ sinh&gt; massage, shiatsu</v>
      </c>
      <c r="F231" t="str">
        <f t="shared" ca="1" si="3"/>
        <v>"2084009006" : "Massage, Shiatsu",</v>
      </c>
    </row>
    <row r="232" spans="1:6" ht="15.75" customHeight="1">
      <c r="A232" s="12">
        <v>2084009007</v>
      </c>
      <c r="B232" s="12" t="s">
        <v>5661</v>
      </c>
      <c r="C232" s="12" t="s">
        <v>5662</v>
      </c>
      <c r="D232" s="5" t="str">
        <f ca="1">IFERROR(__xludf.DUMMYFUNCTION("GOOGLETRANSLATE(B232,""ja"",""vi"")"),"Khí công, yoga")</f>
        <v>Khí công, yoga</v>
      </c>
      <c r="E232" s="4" t="str">
        <f ca="1">IFERROR(__xludf.DUMMYFUNCTION("GOOGLETRANSLATE(C232,""ja"",""vi"")"),"Đấu giá&gt; cuốn sách, tạp chí&gt; sức khỏe và y học&gt; vệ sinh&gt; khí công, yoga")</f>
        <v>Đấu giá&gt; cuốn sách, tạp chí&gt; sức khỏe và y học&gt; vệ sinh&gt; khí công, yoga</v>
      </c>
      <c r="F232" t="str">
        <f t="shared" ca="1" si="3"/>
        <v>"2084009007" : "Khí công, yoga",</v>
      </c>
    </row>
    <row r="233" spans="1:6" ht="15.75" customHeight="1">
      <c r="A233" s="12">
        <v>2084009008</v>
      </c>
      <c r="B233" s="12" t="s">
        <v>5665</v>
      </c>
      <c r="C233" s="12" t="s">
        <v>5666</v>
      </c>
      <c r="D233" s="5" t="str">
        <f ca="1">IFERROR(__xludf.DUMMYFUNCTION("GOOGLETRANSLATE(B233,""ja"",""vi"")"),"biện pháp dân gian")</f>
        <v>biện pháp dân gian</v>
      </c>
      <c r="E233" s="4" t="str">
        <f ca="1">IFERROR(__xludf.DUMMYFUNCTION("GOOGLETRANSLATE(C233,""ja"",""vi"")"),"Đấu giá&gt; cuốn sách, tạp chí&gt; sức khỏe và y học&gt; vệ sinh&gt; biện pháp dân gian")</f>
        <v>Đấu giá&gt; cuốn sách, tạp chí&gt; sức khỏe và y học&gt; vệ sinh&gt; biện pháp dân gian</v>
      </c>
      <c r="F233" t="str">
        <f t="shared" ca="1" si="3"/>
        <v>"2084009008" : "biện pháp dân gian",</v>
      </c>
    </row>
    <row r="234" spans="1:6" ht="15.75" customHeight="1">
      <c r="A234" s="12">
        <v>2084008125</v>
      </c>
      <c r="B234" s="12" t="s">
        <v>5062</v>
      </c>
      <c r="C234" s="12" t="s">
        <v>5063</v>
      </c>
      <c r="D234" s="5" t="str">
        <f ca="1">IFERROR(__xludf.DUMMYFUNCTION("GOOGLETRANSLATE(B234,""ja"",""vi"")"),"Nội thất, xây dựng nhà")</f>
        <v>Nội thất, xây dựng nhà</v>
      </c>
      <c r="E234" s="4" t="str">
        <f ca="1">IFERROR(__xludf.DUMMYFUNCTION("GOOGLETRANSLATE(C234,""ja"",""vi"")"),"Đấu giá&gt; cuốn sách, tạp chí&gt; Tạp chí&gt; nhà, sinh hoạt, chăm sóc trẻ&gt; nội thất, xây dựng nhà")</f>
        <v>Đấu giá&gt; cuốn sách, tạp chí&gt; Tạp chí&gt; nhà, sinh hoạt, chăm sóc trẻ&gt; nội thất, xây dựng nhà</v>
      </c>
      <c r="F234" t="str">
        <f t="shared" ca="1" si="3"/>
        <v>"2084008125" : "Nội thất, xây dựng nhà",</v>
      </c>
    </row>
    <row r="235" spans="1:6" ht="15.75" customHeight="1">
      <c r="A235" s="12">
        <v>2084008095</v>
      </c>
      <c r="B235" s="12" t="s">
        <v>5043</v>
      </c>
      <c r="C235" s="12" t="s">
        <v>5067</v>
      </c>
      <c r="D235" s="5" t="str">
        <f ca="1">IFERROR(__xludf.DUMMYFUNCTION("GOOGLETRANSLATE(B235,""ja"",""vi"")"),"Vật nuôi, động vật")</f>
        <v>Vật nuôi, động vật</v>
      </c>
      <c r="E235" s="4" t="str">
        <f ca="1">IFERROR(__xludf.DUMMYFUNCTION("GOOGLETRANSLATE(C235,""ja"",""vi"")"),"Đấu giá&gt; cuốn sách, tạp chí&gt; Tạp chí&gt; nhà, sinh hoạt, chăm sóc trẻ&gt; vật nuôi, động vật")</f>
        <v>Đấu giá&gt; cuốn sách, tạp chí&gt; Tạp chí&gt; nhà, sinh hoạt, chăm sóc trẻ&gt; vật nuôi, động vật</v>
      </c>
      <c r="F235" t="str">
        <f t="shared" ca="1" si="3"/>
        <v>"2084008095" : "Vật nuôi, động vật",</v>
      </c>
    </row>
    <row r="236" spans="1:6" ht="15.75" customHeight="1">
      <c r="A236" s="12">
        <v>2084008127</v>
      </c>
      <c r="B236" s="12" t="s">
        <v>5045</v>
      </c>
      <c r="C236" s="12" t="s">
        <v>5070</v>
      </c>
      <c r="D236" s="5" t="str">
        <f ca="1">IFERROR(__xludf.DUMMYFUNCTION("GOOGLETRANSLATE(B236,""ja"",""vi"")"),"Vườn, làm vườn")</f>
        <v>Vườn, làm vườn</v>
      </c>
      <c r="E236" s="4" t="str">
        <f ca="1">IFERROR(__xludf.DUMMYFUNCTION("GOOGLETRANSLATE(C236,""ja"",""vi"")"),"Đấu giá&gt; cuốn sách, tạp chí&gt; Tạp chí&gt; nhà, sinh hoạt, chăm sóc trẻ&gt; làm vườn, làm vườn")</f>
        <v>Đấu giá&gt; cuốn sách, tạp chí&gt; Tạp chí&gt; nhà, sinh hoạt, chăm sóc trẻ&gt; làm vườn, làm vườn</v>
      </c>
      <c r="F236" t="str">
        <f t="shared" ca="1" si="3"/>
        <v>"2084008127" : "Vườn, làm vườn",</v>
      </c>
    </row>
    <row r="237" spans="1:6" ht="15.75" customHeight="1">
      <c r="A237" s="12">
        <v>2084008128</v>
      </c>
      <c r="B237" s="12" t="s">
        <v>5074</v>
      </c>
      <c r="C237" s="12" t="s">
        <v>5075</v>
      </c>
      <c r="D237" s="5" t="str">
        <f ca="1">IFERROR(__xludf.DUMMYFUNCTION("GOOGLETRANSLATE(B237,""ja"",""vi"")"),"Hôn nhân, dẫn cưới")</f>
        <v>Hôn nhân, dẫn cưới</v>
      </c>
      <c r="E237" s="4" t="str">
        <f ca="1">IFERROR(__xludf.DUMMYFUNCTION("GOOGLETRANSLATE(C237,""ja"",""vi"")"),"Đấu giá&gt; cuốn sách, tạp chí&gt; Tạp chí&gt; nhà, sinh hoạt, chăm sóc trẻ&gt; hôn nhân, dẫn cưới")</f>
        <v>Đấu giá&gt; cuốn sách, tạp chí&gt; Tạp chí&gt; nhà, sinh hoạt, chăm sóc trẻ&gt; hôn nhân, dẫn cưới</v>
      </c>
      <c r="F237" t="str">
        <f t="shared" ca="1" si="3"/>
        <v>"2084008128" : "Hôn nhân, dẫn cưới",</v>
      </c>
    </row>
    <row r="238" spans="1:6" ht="15.75" customHeight="1">
      <c r="A238" s="12">
        <v>2084008126</v>
      </c>
      <c r="B238" s="12" t="s">
        <v>5077</v>
      </c>
      <c r="C238" s="12" t="s">
        <v>5078</v>
      </c>
      <c r="D238" s="5" t="str">
        <f ca="1">IFERROR(__xludf.DUMMYFUNCTION("GOOGLETRANSLATE(B238,""ja"",""vi"")"),"tạp chí sức khỏe")</f>
        <v>tạp chí sức khỏe</v>
      </c>
      <c r="E238" s="4" t="str">
        <f ca="1">IFERROR(__xludf.DUMMYFUNCTION("GOOGLETRANSLATE(C238,""ja"",""vi"")"),"Đấu giá&gt; cuốn sách, tạp chí&gt; Tạp chí&gt; nhà, chăm sóc trẻ em sống&gt; tạp chí Sức khỏe")</f>
        <v>Đấu giá&gt; cuốn sách, tạp chí&gt; Tạp chí&gt; nhà, chăm sóc trẻ em sống&gt; tạp chí Sức khỏe</v>
      </c>
      <c r="F238" t="str">
        <f t="shared" ca="1" si="3"/>
        <v>"2084008126" : "tạp chí sức khỏe",</v>
      </c>
    </row>
    <row r="239" spans="1:6" ht="15.75" customHeight="1">
      <c r="A239" s="12">
        <v>2084008129</v>
      </c>
      <c r="B239" s="12" t="s">
        <v>5081</v>
      </c>
      <c r="C239" s="12" t="s">
        <v>5083</v>
      </c>
      <c r="D239" s="5" t="str">
        <f ca="1">IFERROR(__xludf.DUMMYFUNCTION("GOOGLETRANSLATE(B239,""ja"",""vi"")"),"Sinh, chăm sóc trẻ em")</f>
        <v>Sinh, chăm sóc trẻ em</v>
      </c>
      <c r="E239" s="4" t="str">
        <f ca="1">IFERROR(__xludf.DUMMYFUNCTION("GOOGLETRANSLATE(C239,""ja"",""vi"")"),"Đấu giá&gt; cuốn sách, tạp chí&gt; Tạp chí&gt; nhà, sinh hoạt, chăm sóc trẻ&gt; sinh con, chăm sóc trẻ em")</f>
        <v>Đấu giá&gt; cuốn sách, tạp chí&gt; Tạp chí&gt; nhà, sinh hoạt, chăm sóc trẻ&gt; sinh con, chăm sóc trẻ em</v>
      </c>
      <c r="F239" t="str">
        <f t="shared" ca="1" si="3"/>
        <v>"2084008129" : "Sinh, chăm sóc trẻ em",</v>
      </c>
    </row>
    <row r="240" spans="1:6" ht="15.75" customHeight="1">
      <c r="A240" s="12">
        <v>2084008124</v>
      </c>
      <c r="B240" s="12" t="s">
        <v>5085</v>
      </c>
      <c r="C240" s="12" t="s">
        <v>5086</v>
      </c>
      <c r="D240" s="5" t="str">
        <f ca="1">IFERROR(__xludf.DUMMYFUNCTION("GOOGLETRANSLATE(B240,""ja"",""vi"")"),"Cuộc sống, tạp chí nấu ăn")</f>
        <v>Cuộc sống, tạp chí nấu ăn</v>
      </c>
      <c r="E240" s="4" t="str">
        <f ca="1">IFERROR(__xludf.DUMMYFUNCTION("GOOGLETRANSLATE(C240,""ja"",""vi"")"),"Đấu giá&gt; cuốn sách, tạp chí&gt; Tạp chí&gt; nhà, sinh hoạt, chăm sóc trẻ&gt; cuộc sống, tạp chí nấu ăn")</f>
        <v>Đấu giá&gt; cuốn sách, tạp chí&gt; Tạp chí&gt; nhà, sinh hoạt, chăm sóc trẻ&gt; cuộc sống, tạp chí nấu ăn</v>
      </c>
      <c r="F240" t="str">
        <f t="shared" ca="1" si="3"/>
        <v>"2084008124" : "Cuộc sống, tạp chí nấu ăn",</v>
      </c>
    </row>
    <row r="241" spans="1:6" ht="15.75" customHeight="1">
      <c r="A241" s="12">
        <v>2084008097</v>
      </c>
      <c r="B241" s="12" t="s">
        <v>5049</v>
      </c>
      <c r="C241" s="12" t="s">
        <v>5089</v>
      </c>
      <c r="D241" s="5" t="str">
        <f ca="1">IFERROR(__xludf.DUMMYFUNCTION("GOOGLETRANSLATE(B241,""ja"",""vi"")"),"Bói toán")</f>
        <v>Bói toán</v>
      </c>
      <c r="E241" s="4" t="str">
        <f ca="1">IFERROR(__xludf.DUMMYFUNCTION("GOOGLETRANSLATE(C241,""ja"",""vi"")"),"Đấu giá&gt; cuốn sách, tạp chí&gt; Tạp chí&gt; nhà, sinh hoạt, chăm sóc trẻ&gt; bói toán")</f>
        <v>Đấu giá&gt; cuốn sách, tạp chí&gt; Tạp chí&gt; nhà, sinh hoạt, chăm sóc trẻ&gt; bói toán</v>
      </c>
      <c r="F241" t="str">
        <f t="shared" ca="1" si="3"/>
        <v>"2084008097" : "Bói toán",</v>
      </c>
    </row>
    <row r="242" spans="1:6" ht="15.75" customHeight="1">
      <c r="A242" s="12">
        <v>2084008936</v>
      </c>
      <c r="B242" s="12" t="s">
        <v>5680</v>
      </c>
      <c r="C242" s="12" t="s">
        <v>5681</v>
      </c>
      <c r="D242" s="5" t="str">
        <f ca="1">IFERROR(__xludf.DUMMYFUNCTION("GOOGLETRANSLATE(B242,""ja"",""vi"")"),"obento")</f>
        <v>obento</v>
      </c>
      <c r="E242" s="4" t="str">
        <f ca="1">IFERROR(__xludf.DUMMYFUNCTION("GOOGLETRANSLATE(C242,""ja"",""vi"")"),"Đấu giá&gt; cuốn sách, tạp chí&gt; nhà, sinh hoạt, chăm sóc trẻ em&gt; nấu ăn, công thức nấu ăn&gt; obento")</f>
        <v>Đấu giá&gt; cuốn sách, tạp chí&gt; nhà, sinh hoạt, chăm sóc trẻ em&gt; nấu ăn, công thức nấu ăn&gt; obento</v>
      </c>
      <c r="F242" t="str">
        <f t="shared" ca="1" si="3"/>
        <v>"2084008936" : "obento",</v>
      </c>
    </row>
    <row r="243" spans="1:6" ht="15.75" customHeight="1">
      <c r="A243" s="12">
        <v>2084008941</v>
      </c>
      <c r="B243" s="12" t="s">
        <v>5682</v>
      </c>
      <c r="C243" s="12" t="s">
        <v>5684</v>
      </c>
      <c r="D243" s="5" t="str">
        <f ca="1">IFERROR(__xludf.DUMMYFUNCTION("GOOGLETRANSLATE(B243,""ja"",""vi"")"),"làm kẹo")</f>
        <v>làm kẹo</v>
      </c>
      <c r="E243" s="4" t="str">
        <f ca="1">IFERROR(__xludf.DUMMYFUNCTION("GOOGLETRANSLATE(C243,""ja"",""vi"")"),"Đấu giá&gt; cuốn sách, tạp chí&gt; nhà, sinh hoạt, chăm sóc trẻ em&gt; nấu ăn, công thức nấu ăn&gt; làm kẹo")</f>
        <v>Đấu giá&gt; cuốn sách, tạp chí&gt; nhà, sinh hoạt, chăm sóc trẻ em&gt; nấu ăn, công thức nấu ăn&gt; làm kẹo</v>
      </c>
      <c r="F243" t="str">
        <f t="shared" ca="1" si="3"/>
        <v>"2084008941" : "làm kẹo",</v>
      </c>
    </row>
    <row r="244" spans="1:6" ht="15.75" customHeight="1">
      <c r="A244" s="12">
        <v>2084045181</v>
      </c>
      <c r="B244" s="12" t="s">
        <v>5688</v>
      </c>
      <c r="C244" s="12" t="s">
        <v>5689</v>
      </c>
      <c r="D244" s="5" t="str">
        <f ca="1">IFERROR(__xludf.DUMMYFUNCTION("GOOGLETRANSLATE(B244,""ja"",""vi"")"),"món ăn Ý")</f>
        <v>món ăn Ý</v>
      </c>
      <c r="E244" s="4" t="str">
        <f ca="1">IFERROR(__xludf.DUMMYFUNCTION("GOOGLETRANSLATE(C244,""ja"",""vi"")"),"Đấu giá&gt; cuốn sách, tạp chí&gt; nhà, sinh hoạt, chăm sóc trẻ em&gt; nấu ăn, công thức nấu ăn&gt; món ăn Ý")</f>
        <v>Đấu giá&gt; cuốn sách, tạp chí&gt; nhà, sinh hoạt, chăm sóc trẻ em&gt; nấu ăn, công thức nấu ăn&gt; món ăn Ý</v>
      </c>
      <c r="F244" t="str">
        <f t="shared" ca="1" si="3"/>
        <v>"2084045181" : "món ăn Ý",</v>
      </c>
    </row>
    <row r="245" spans="1:6" ht="15.75" customHeight="1">
      <c r="A245" s="12">
        <v>2084045183</v>
      </c>
      <c r="B245" s="12" t="s">
        <v>5692</v>
      </c>
      <c r="C245" s="12" t="s">
        <v>5693</v>
      </c>
      <c r="D245" s="5" t="str">
        <f ca="1">IFERROR(__xludf.DUMMYFUNCTION("GOOGLETRANSLATE(B245,""ja"",""vi"")"),"món ăn dân tộc")</f>
        <v>món ăn dân tộc</v>
      </c>
      <c r="E245" s="4" t="str">
        <f ca="1">IFERROR(__xludf.DUMMYFUNCTION("GOOGLETRANSLATE(C245,""ja"",""vi"")"),"Đấu giá&gt; cuốn sách, tạp chí&gt; nhà, sinh hoạt, chăm sóc trẻ em&gt; nấu ăn, công thức nấu ăn&gt; thực phẩm dân tộc")</f>
        <v>Đấu giá&gt; cuốn sách, tạp chí&gt; nhà, sinh hoạt, chăm sóc trẻ em&gt; nấu ăn, công thức nấu ăn&gt; thực phẩm dân tộc</v>
      </c>
      <c r="F245" t="str">
        <f t="shared" ca="1" si="3"/>
        <v>"2084045183" : "món ăn dân tộc",</v>
      </c>
    </row>
    <row r="246" spans="1:6" ht="15.75" customHeight="1">
      <c r="A246" s="12">
        <v>2084008942</v>
      </c>
      <c r="B246" s="12" t="s">
        <v>5696</v>
      </c>
      <c r="C246" s="12" t="s">
        <v>5697</v>
      </c>
      <c r="D246" s="5" t="str">
        <f ca="1">IFERROR(__xludf.DUMMYFUNCTION("GOOGLETRANSLATE(B246,""ja"",""vi"")"),"bánh mì làm")</f>
        <v>bánh mì làm</v>
      </c>
      <c r="E246" s="4" t="str">
        <f ca="1">IFERROR(__xludf.DUMMYFUNCTION("GOOGLETRANSLATE(C246,""ja"",""vi"")"),"Đấu giá&gt; cuốn sách, tạp chí&gt; nhà, sinh hoạt, chăm sóc trẻ em&gt; nấu ăn, công thức nấu ăn&gt; làm bánh mì")</f>
        <v>Đấu giá&gt; cuốn sách, tạp chí&gt; nhà, sinh hoạt, chăm sóc trẻ em&gt; nấu ăn, công thức nấu ăn&gt; làm bánh mì</v>
      </c>
      <c r="F246" t="str">
        <f t="shared" ca="1" si="3"/>
        <v>"2084008942" : "bánh mì làm",</v>
      </c>
    </row>
    <row r="247" spans="1:6" ht="15.75" customHeight="1">
      <c r="A247" s="12">
        <v>2084045182</v>
      </c>
      <c r="B247" s="12" t="s">
        <v>5700</v>
      </c>
      <c r="C247" s="12" t="s">
        <v>5701</v>
      </c>
      <c r="D247" s="5" t="str">
        <f ca="1">IFERROR(__xludf.DUMMYFUNCTION("GOOGLETRANSLATE(B247,""ja"",""vi"")"),"các món ăn Pháp")</f>
        <v>các món ăn Pháp</v>
      </c>
      <c r="E247" s="4" t="str">
        <f ca="1">IFERROR(__xludf.DUMMYFUNCTION("GOOGLETRANSLATE(C247,""ja"",""vi"")"),"Đấu giá&gt; cuốn sách, tạp chí&gt; nhà, sinh hoạt, chăm sóc trẻ em&gt; nấu ăn, công thức nấu ăn&gt; món ăn Pháp")</f>
        <v>Đấu giá&gt; cuốn sách, tạp chí&gt; nhà, sinh hoạt, chăm sóc trẻ em&gt; nấu ăn, công thức nấu ăn&gt; món ăn Pháp</v>
      </c>
      <c r="F247" t="str">
        <f t="shared" ca="1" si="3"/>
        <v>"2084045182" : "các món ăn Pháp",</v>
      </c>
    </row>
    <row r="248" spans="1:6" ht="15.75" customHeight="1">
      <c r="A248" s="12">
        <v>2084008913</v>
      </c>
      <c r="B248" s="12" t="s">
        <v>5384</v>
      </c>
      <c r="C248" s="12" t="s">
        <v>5702</v>
      </c>
      <c r="D248" s="5" t="str">
        <f ca="1">IFERROR(__xludf.DUMMYFUNCTION("GOOGLETRANSLATE(B248,""ja"",""vi"")"),"hướng dẫn nhà hàng")</f>
        <v>hướng dẫn nhà hàng</v>
      </c>
      <c r="E248" s="4" t="str">
        <f ca="1">IFERROR(__xludf.DUMMYFUNCTION("GOOGLETRANSLATE(C248,""ja"",""vi"")"),"Đấu giá&gt; cuốn sách, tạp chí&gt; nhà, sinh hoạt, chăm sóc trẻ em&gt; nấu ăn, công thức nấu ăn&gt; Nhà hàng hướng dẫn")</f>
        <v>Đấu giá&gt; cuốn sách, tạp chí&gt; nhà, sinh hoạt, chăm sóc trẻ em&gt; nấu ăn, công thức nấu ăn&gt; Nhà hàng hướng dẫn</v>
      </c>
      <c r="F248" t="str">
        <f t="shared" ca="1" si="3"/>
        <v>"2084008913" : "hướng dẫn nhà hàng",</v>
      </c>
    </row>
    <row r="249" spans="1:6" ht="15.75" customHeight="1">
      <c r="A249" s="12">
        <v>2084008937</v>
      </c>
      <c r="B249" s="12" t="s">
        <v>5704</v>
      </c>
      <c r="C249" s="12" t="s">
        <v>5705</v>
      </c>
      <c r="D249" s="5" t="str">
        <f ca="1">IFERROR(__xludf.DUMMYFUNCTION("GOOGLETRANSLATE(B249,""ja"",""vi"")"),"nhà nấu ăn")</f>
        <v>nhà nấu ăn</v>
      </c>
      <c r="E249" s="4" t="str">
        <f ca="1">IFERROR(__xludf.DUMMYFUNCTION("GOOGLETRANSLATE(C249,""ja"",""vi"")"),"Đấu giá&gt; cuốn sách, tạp chí&gt; nhà, sinh hoạt, chăm sóc trẻ em&gt; nấu ăn, công thức nấu ăn&gt; nấu ăn tại nhà")</f>
        <v>Đấu giá&gt; cuốn sách, tạp chí&gt; nhà, sinh hoạt, chăm sóc trẻ em&gt; nấu ăn, công thức nấu ăn&gt; nấu ăn tại nhà</v>
      </c>
      <c r="F249" t="str">
        <f t="shared" ca="1" si="3"/>
        <v>"2084008937" : "nhà nấu ăn",</v>
      </c>
    </row>
    <row r="250" spans="1:6" ht="15.75" customHeight="1">
      <c r="A250" s="12">
        <v>2084008124</v>
      </c>
      <c r="B250" s="12" t="s">
        <v>1586</v>
      </c>
      <c r="C250" s="12" t="s">
        <v>5707</v>
      </c>
      <c r="D250" s="5" t="str">
        <f ca="1">IFERROR(__xludf.DUMMYFUNCTION("GOOGLETRANSLATE(B250,""ja"",""vi"")"),"tạp chí")</f>
        <v>tạp chí</v>
      </c>
      <c r="E250" s="4" t="str">
        <f ca="1">IFERROR(__xludf.DUMMYFUNCTION("GOOGLETRANSLATE(C250,""ja"",""vi"")"),"Đấu giá&gt; cuốn sách, tạp chí&gt; nhà, sinh hoạt, chăm sóc trẻ em&gt; nấu ăn, công thức nấu ăn&gt; Tạp chí")</f>
        <v>Đấu giá&gt; cuốn sách, tạp chí&gt; nhà, sinh hoạt, chăm sóc trẻ em&gt; nấu ăn, công thức nấu ăn&gt; Tạp chí</v>
      </c>
      <c r="F250" t="str">
        <f t="shared" ca="1" si="3"/>
        <v>"2084008124" : "tạp chí",</v>
      </c>
    </row>
    <row r="251" spans="1:6" ht="15.75" customHeight="1">
      <c r="A251" s="12">
        <v>2084008945</v>
      </c>
      <c r="B251" s="12" t="s">
        <v>5710</v>
      </c>
      <c r="C251" s="12" t="s">
        <v>5711</v>
      </c>
      <c r="D251" s="5" t="str">
        <f ca="1">IFERROR(__xludf.DUMMYFUNCTION("GOOGLETRANSLATE(B251,""ja"",""vi"")"),"Rượu, đồ uống")</f>
        <v>Rượu, đồ uống</v>
      </c>
      <c r="E251" s="4" t="str">
        <f ca="1">IFERROR(__xludf.DUMMYFUNCTION("GOOGLETRANSLATE(C251,""ja"",""vi"")"),"Đấu giá&gt; cuốn sách, tạp chí&gt; nhà, sinh hoạt, chăm sóc trẻ em&gt; nấu ăn, công thức nấu ăn&gt; sake, thức uống")</f>
        <v>Đấu giá&gt; cuốn sách, tạp chí&gt; nhà, sinh hoạt, chăm sóc trẻ em&gt; nấu ăn, công thức nấu ăn&gt; sake, thức uống</v>
      </c>
      <c r="F251" t="str">
        <f t="shared" ca="1" si="3"/>
        <v>"2084008945" : "Rượu, đồ uống",</v>
      </c>
    </row>
    <row r="252" spans="1:6" ht="15.75" customHeight="1">
      <c r="A252" s="12">
        <v>2084008940</v>
      </c>
      <c r="B252" s="12" t="s">
        <v>5713</v>
      </c>
      <c r="C252" s="12" t="s">
        <v>5714</v>
      </c>
      <c r="D252" s="5" t="str">
        <f ca="1">IFERROR(__xludf.DUMMYFUNCTION("GOOGLETRANSLATE(B252,""ja"",""vi"")"),"món ăn Trung Quốc")</f>
        <v>món ăn Trung Quốc</v>
      </c>
      <c r="E252" s="4" t="str">
        <f ca="1">IFERROR(__xludf.DUMMYFUNCTION("GOOGLETRANSLATE(C252,""ja"",""vi"")"),"Đấu giá&gt; cuốn sách, tạp chí&gt; nhà, sinh hoạt, chăm sóc trẻ em&gt; nấu ăn, công thức nấu ăn&gt; Trung Quốc")</f>
        <v>Đấu giá&gt; cuốn sách, tạp chí&gt; nhà, sinh hoạt, chăm sóc trẻ em&gt; nấu ăn, công thức nấu ăn&gt; Trung Quốc</v>
      </c>
      <c r="F252" t="str">
        <f t="shared" ca="1" si="3"/>
        <v>"2084008940" : "món ăn Trung Quốc",</v>
      </c>
    </row>
    <row r="253" spans="1:6" ht="15.75" customHeight="1">
      <c r="A253" s="12">
        <v>2084008938</v>
      </c>
      <c r="B253" s="12" t="s">
        <v>5716</v>
      </c>
      <c r="C253" s="12" t="s">
        <v>5717</v>
      </c>
      <c r="D253" s="5" t="str">
        <f ca="1">IFERROR(__xludf.DUMMYFUNCTION("GOOGLETRANSLATE(B253,""ja"",""vi"")"),"Tây")</f>
        <v>Tây</v>
      </c>
      <c r="E253" s="4" t="str">
        <f ca="1">IFERROR(__xludf.DUMMYFUNCTION("GOOGLETRANSLATE(C253,""ja"",""vi"")"),"Đấu giá&gt; cuốn sách, tạp chí&gt; nhà, sinh hoạt, chăm sóc trẻ em&gt; nấu ăn, công thức nấu ăn&gt; Tây")</f>
        <v>Đấu giá&gt; cuốn sách, tạp chí&gt; nhà, sinh hoạt, chăm sóc trẻ em&gt; nấu ăn, công thức nấu ăn&gt; Tây</v>
      </c>
      <c r="F253" t="str">
        <f t="shared" ca="1" si="3"/>
        <v>"2084008938" : "Tây",</v>
      </c>
    </row>
    <row r="254" spans="1:6" ht="15.75" customHeight="1">
      <c r="A254" s="12">
        <v>2084008943</v>
      </c>
      <c r="B254" s="12" t="s">
        <v>5266</v>
      </c>
      <c r="C254" s="12" t="s">
        <v>5719</v>
      </c>
      <c r="D254" s="5" t="str">
        <f ca="1">IFERROR(__xludf.DUMMYFUNCTION("GOOGLETRANSLATE(B254,""ja"",""vi"")"),"tiểu luận nấu ăn")</f>
        <v>tiểu luận nấu ăn</v>
      </c>
      <c r="E254" s="4" t="str">
        <f ca="1">IFERROR(__xludf.DUMMYFUNCTION("GOOGLETRANSLATE(C254,""ja"",""vi"")"),"Đấu giá&gt; cuốn sách, tạp chí&gt; nhà, sinh hoạt, chăm sóc trẻ em&gt; nấu ăn, công thức nấu ăn&gt; tiểu luận nấu ăn")</f>
        <v>Đấu giá&gt; cuốn sách, tạp chí&gt; nhà, sinh hoạt, chăm sóc trẻ em&gt; nấu ăn, công thức nấu ăn&gt; tiểu luận nấu ăn</v>
      </c>
      <c r="F254" t="str">
        <f t="shared" ca="1" si="3"/>
        <v>"2084008943" : "tiểu luận nấu ăn",</v>
      </c>
    </row>
    <row r="255" spans="1:6" ht="15.75" customHeight="1">
      <c r="A255" s="12">
        <v>2084008939</v>
      </c>
      <c r="B255" s="12" t="s">
        <v>5721</v>
      </c>
      <c r="C255" s="12" t="s">
        <v>5722</v>
      </c>
      <c r="D255" s="5" t="str">
        <f ca="1">IFERROR(__xludf.DUMMYFUNCTION("GOOGLETRANSLATE(B255,""ja"",""vi"")"),"Nhật Bản")</f>
        <v>Nhật Bản</v>
      </c>
      <c r="E255" s="4" t="str">
        <f ca="1">IFERROR(__xludf.DUMMYFUNCTION("GOOGLETRANSLATE(C255,""ja"",""vi"")"),"Đấu giá&gt; cuốn sách, tạp chí&gt; nhà, sinh hoạt, chăm sóc trẻ em&gt; nấu ăn, công thức nấu ăn&gt; Nhật Bản")</f>
        <v>Đấu giá&gt; cuốn sách, tạp chí&gt; nhà, sinh hoạt, chăm sóc trẻ em&gt; nấu ăn, công thức nấu ăn&gt; Nhật Bản</v>
      </c>
      <c r="F255" t="str">
        <f t="shared" ca="1" si="3"/>
        <v>"2084008939" : "Nhật Bản",</v>
      </c>
    </row>
    <row r="256" spans="1:6" ht="15.75" customHeight="1">
      <c r="A256" s="12">
        <v>2084008555</v>
      </c>
      <c r="B256" s="12" t="s">
        <v>934</v>
      </c>
      <c r="C256" s="12" t="s">
        <v>5319</v>
      </c>
      <c r="D256" s="5" t="str">
        <f ca="1">IFERROR(__xludf.DUMMYFUNCTION("GOOGLETRANSLATE(B256,""ja"",""vi"")"),"Tiểu luận")</f>
        <v>Tiểu luận</v>
      </c>
      <c r="E256" s="4" t="str">
        <f ca="1">IFERROR(__xludf.DUMMYFUNCTION("GOOGLETRANSLATE(C256,""ja"",""vi"")"),"Đấu giá&gt; cuốn sách, tạp chí&gt; không hư cấu, giáo dục&gt; tình yêu, hôn nhân&gt; tiểu luận")</f>
        <v>Đấu giá&gt; cuốn sách, tạp chí&gt; không hư cấu, giáo dục&gt; tình yêu, hôn nhân&gt; tiểu luận</v>
      </c>
      <c r="F256" t="str">
        <f t="shared" ca="1" si="3"/>
        <v>"2084008555" : "Tiểu luận",</v>
      </c>
    </row>
    <row r="257" spans="1:6" ht="15.75" customHeight="1">
      <c r="A257" s="12">
        <v>2084034057</v>
      </c>
      <c r="B257" s="12" t="s">
        <v>5320</v>
      </c>
      <c r="C257" s="12" t="s">
        <v>5323</v>
      </c>
      <c r="D257" s="5" t="str">
        <f ca="1">IFERROR(__xludf.DUMMYFUNCTION("GOOGLETRANSLATE(B257,""ja"",""vi"")"),"Lãng mạn, tiểu thuyết lãng mạn")</f>
        <v>Lãng mạn, tiểu thuyết lãng mạn</v>
      </c>
      <c r="E257" s="4" t="str">
        <f ca="1">IFERROR(__xludf.DUMMYFUNCTION("GOOGLETRANSLATE(C257,""ja"",""vi"")"),"Đấu giá&gt; cuốn sách, tạp chí&gt; không hư cấu, giáo dục&gt; tình yêu, hôn nhân&gt; lãng mạn, tiểu thuyết lãng mạn")</f>
        <v>Đấu giá&gt; cuốn sách, tạp chí&gt; không hư cấu, giáo dục&gt; tình yêu, hôn nhân&gt; lãng mạn, tiểu thuyết lãng mạn</v>
      </c>
      <c r="F257" t="str">
        <f t="shared" ca="1" si="3"/>
        <v>"2084034057" : "Lãng mạn, tiểu thuyết lãng mạn",</v>
      </c>
    </row>
    <row r="258" spans="1:6" ht="15.75" customHeight="1">
      <c r="A258" s="12">
        <v>2084008558</v>
      </c>
      <c r="B258" s="12" t="s">
        <v>5327</v>
      </c>
      <c r="C258" s="12" t="s">
        <v>5328</v>
      </c>
      <c r="D258" s="5" t="str">
        <f ca="1">IFERROR(__xludf.DUMMYFUNCTION("GOOGLETRANSLATE(B258,""ja"",""vi"")"),"Gia đình, Yomeshuto vấn đề")</f>
        <v>Gia đình, Yomeshuto vấn đề</v>
      </c>
      <c r="E258" s="4" t="str">
        <f ca="1">IFERROR(__xludf.DUMMYFUNCTION("GOOGLETRANSLATE(C258,""ja"",""vi"")"),"Đấu giá&gt; cuốn sách, tạp chí&gt; không hư cấu, giáo dục&gt; tình yêu, hôn nhân&gt; gia đình, vấn đề Yomeshuto")</f>
        <v>Đấu giá&gt; cuốn sách, tạp chí&gt; không hư cấu, giáo dục&gt; tình yêu, hôn nhân&gt; gia đình, vấn đề Yomeshuto</v>
      </c>
      <c r="F258" t="str">
        <f t="shared" ref="F258:F321" ca="1" si="4">CONCATENATE(CHAR(34)&amp;"",A258,""&amp;CHAR(34)," : ", CHAR(34)&amp;"",D258,""&amp;CHAR(34),",")</f>
        <v>"2084008558" : "Gia đình, Yomeshuto vấn đề",</v>
      </c>
    </row>
    <row r="259" spans="1:6" ht="15.75" customHeight="1">
      <c r="A259" s="12">
        <v>2084048027</v>
      </c>
      <c r="B259" s="12" t="s">
        <v>5332</v>
      </c>
      <c r="C259" s="12" t="s">
        <v>5333</v>
      </c>
      <c r="D259" s="5" t="str">
        <f ca="1">IFERROR(__xludf.DUMMYFUNCTION("GOOGLETRANSLATE(B259,""ja"",""vi"")"),"hôn nhân")</f>
        <v>hôn nhân</v>
      </c>
      <c r="E259" s="4" t="str">
        <f ca="1">IFERROR(__xludf.DUMMYFUNCTION("GOOGLETRANSLATE(C259,""ja"",""vi"")"),"Đấu giá&gt; cuốn sách, tạp chí&gt; không hư cấu, giáo dục&gt; tình yêu, hôn nhân&gt; Hôn nhân")</f>
        <v>Đấu giá&gt; cuốn sách, tạp chí&gt; không hư cấu, giáo dục&gt; tình yêu, hôn nhân&gt; Hôn nhân</v>
      </c>
      <c r="F259" t="str">
        <f t="shared" ca="1" si="4"/>
        <v>"2084048027" : "hôn nhân",</v>
      </c>
    </row>
    <row r="260" spans="1:6" ht="15.75" customHeight="1">
      <c r="A260" s="12">
        <v>2084008557</v>
      </c>
      <c r="B260" s="12" t="s">
        <v>5338</v>
      </c>
      <c r="C260" s="12" t="s">
        <v>5339</v>
      </c>
      <c r="D260" s="5" t="str">
        <f ca="1">IFERROR(__xludf.DUMMYFUNCTION("GOOGLETRANSLATE(B260,""ja"",""vi"")"),"Cách sống của phụ nữ")</f>
        <v>Cách sống của phụ nữ</v>
      </c>
      <c r="E260" s="4" t="str">
        <f ca="1">IFERROR(__xludf.DUMMYFUNCTION("GOOGLETRANSLATE(C260,""ja"",""vi"")"),"Đấu giá&gt; cuốn sách, tạp chí&gt; không hư cấu, giáo dục&gt; tình yêu, hôn nhân&gt; cách sống của phụ nữ")</f>
        <v>Đấu giá&gt; cuốn sách, tạp chí&gt; không hư cấu, giáo dục&gt; tình yêu, hôn nhân&gt; cách sống của phụ nữ</v>
      </c>
      <c r="F260" t="str">
        <f t="shared" ca="1" si="4"/>
        <v>"2084008557" : "Cách sống của phụ nữ",</v>
      </c>
    </row>
    <row r="261" spans="1:6" ht="15.75" customHeight="1">
      <c r="A261" s="12">
        <v>2084008556</v>
      </c>
      <c r="B261" s="12" t="s">
        <v>5342</v>
      </c>
      <c r="C261" s="12" t="s">
        <v>5343</v>
      </c>
      <c r="D261" s="5" t="str">
        <f ca="1">IFERROR(__xludf.DUMMYFUNCTION("GOOGLETRANSLATE(B261,""ja"",""vi"")"),"tình yêu tâm lý")</f>
        <v>tình yêu tâm lý</v>
      </c>
      <c r="E261" s="4" t="str">
        <f ca="1">IFERROR(__xludf.DUMMYFUNCTION("GOOGLETRANSLATE(C261,""ja"",""vi"")"),"Đấu giá&gt; cuốn sách, tạp chí&gt; không hư cấu, giáo dục&gt; tình yêu, hôn nhân&gt; tình yêu Tâm lý")</f>
        <v>Đấu giá&gt; cuốn sách, tạp chí&gt; không hư cấu, giáo dục&gt; tình yêu, hôn nhân&gt; tình yêu Tâm lý</v>
      </c>
      <c r="F261" t="str">
        <f t="shared" ca="1" si="4"/>
        <v>"2084008556" : "tình yêu tâm lý",</v>
      </c>
    </row>
    <row r="262" spans="1:6" ht="15.75" customHeight="1">
      <c r="A262" s="12">
        <v>2084008955</v>
      </c>
      <c r="B262" s="12" t="s">
        <v>5731</v>
      </c>
      <c r="C262" s="12" t="s">
        <v>5733</v>
      </c>
      <c r="D262" s="5" t="str">
        <f ca="1">IFERROR(__xludf.DUMMYFUNCTION("GOOGLETRANSLATE(B262,""ja"",""vi"")"),"thủ công")</f>
        <v>thủ công</v>
      </c>
      <c r="E262" s="4" t="str">
        <f ca="1">IFERROR(__xludf.DUMMYFUNCTION("GOOGLETRANSLATE(C262,""ja"",""vi"")"),"Đấu giá&gt; cuốn sách, tạp chí&gt; nhà, sinh hoạt, chăm sóc trẻ&gt; sum may mặc, thủ công mỹ nghệ&gt; Thủ công mỹ nghệ")</f>
        <v>Đấu giá&gt; cuốn sách, tạp chí&gt; nhà, sinh hoạt, chăm sóc trẻ&gt; sum may mặc, thủ công mỹ nghệ&gt; Thủ công mỹ nghệ</v>
      </c>
      <c r="F262" t="str">
        <f t="shared" ca="1" si="4"/>
        <v>"2084008955" : "thủ công",</v>
      </c>
    </row>
    <row r="263" spans="1:6" ht="15.75" customHeight="1">
      <c r="A263" s="12">
        <v>2084008954</v>
      </c>
      <c r="B263" s="12" t="s">
        <v>5735</v>
      </c>
      <c r="C263" s="12" t="s">
        <v>5736</v>
      </c>
      <c r="D263" s="5" t="str">
        <f ca="1">IFERROR(__xludf.DUMMYFUNCTION("GOOGLETRANSLATE(B263,""ja"",""vi"")"),"đan")</f>
        <v>đan</v>
      </c>
      <c r="E263" s="4" t="str">
        <f ca="1">IFERROR(__xludf.DUMMYFUNCTION("GOOGLETRANSLATE(C263,""ja"",""vi"")"),"Đấu giá&gt; cuốn sách, tạp chí&gt; nhà, sinh hoạt, chăm sóc trẻ&gt; sum may mặc, thủ công mỹ nghệ&gt; đan")</f>
        <v>Đấu giá&gt; cuốn sách, tạp chí&gt; nhà, sinh hoạt, chăm sóc trẻ&gt; sum may mặc, thủ công mỹ nghệ&gt; đan</v>
      </c>
      <c r="F263" t="str">
        <f t="shared" ca="1" si="4"/>
        <v>"2084008954" : "đan",</v>
      </c>
    </row>
    <row r="264" spans="1:6" ht="15.75" customHeight="1">
      <c r="A264" s="12">
        <v>2084008952</v>
      </c>
      <c r="B264" s="12" t="s">
        <v>5738</v>
      </c>
      <c r="C264" s="12" t="s">
        <v>5739</v>
      </c>
      <c r="D264" s="5" t="str">
        <f ca="1">IFERROR(__xludf.DUMMYFUNCTION("GOOGLETRANSLATE(B264,""ja"",""vi"")"),"ăn mặc lên")</f>
        <v>ăn mặc lên</v>
      </c>
      <c r="E264" s="4" t="str">
        <f ca="1">IFERROR(__xludf.DUMMYFUNCTION("GOOGLETRANSLATE(C264,""ja"",""vi"")"),"Đấu giá&gt; cuốn sách, tạp chí&gt; nhà, sinh hoạt, chăm sóc trẻ&gt; sum may mặc, thủ công mỹ nghệ&gt; may mặc")</f>
        <v>Đấu giá&gt; cuốn sách, tạp chí&gt; nhà, sinh hoạt, chăm sóc trẻ&gt; sum may mặc, thủ công mỹ nghệ&gt; may mặc</v>
      </c>
      <c r="F264" t="str">
        <f t="shared" ca="1" si="4"/>
        <v>"2084008952" : "ăn mặc lên",</v>
      </c>
    </row>
    <row r="265" spans="1:6" ht="15.75" customHeight="1">
      <c r="A265" s="12">
        <v>2084008953</v>
      </c>
      <c r="B265" s="12" t="s">
        <v>5741</v>
      </c>
      <c r="C265" s="12" t="s">
        <v>5742</v>
      </c>
      <c r="D265" s="5" t="str">
        <f ca="1">IFERROR(__xludf.DUMMYFUNCTION("GOOGLETRANSLATE(B265,""ja"",""vi"")"),"ăn mặc lên")</f>
        <v>ăn mặc lên</v>
      </c>
      <c r="E265" s="4" t="str">
        <f ca="1">IFERROR(__xludf.DUMMYFUNCTION("GOOGLETRANSLATE(C265,""ja"",""vi"")"),"Đấu giá&gt; cuốn sách, tạp chí&gt; nhà, sinh hoạt, chăm sóc trẻ&gt; sum may mặc, thủ công mỹ nghệ&gt; may mặc")</f>
        <v>Đấu giá&gt; cuốn sách, tạp chí&gt; nhà, sinh hoạt, chăm sóc trẻ&gt; sum may mặc, thủ công mỹ nghệ&gt; may mặc</v>
      </c>
      <c r="F265" t="str">
        <f t="shared" ca="1" si="4"/>
        <v>"2084008953" : "ăn mặc lên",</v>
      </c>
    </row>
    <row r="266" spans="1:6" ht="15.75" customHeight="1">
      <c r="A266" s="12">
        <v>2084008956</v>
      </c>
      <c r="B266" s="12" t="s">
        <v>46</v>
      </c>
      <c r="C266" s="12" t="s">
        <v>5745</v>
      </c>
      <c r="D266" s="5" t="str">
        <f ca="1">IFERROR(__xludf.DUMMYFUNCTION("GOOGLETRANSLATE(B266,""ja"",""vi"")"),"nếu không thì")</f>
        <v>nếu không thì</v>
      </c>
      <c r="E266" s="4" t="str">
        <f ca="1">IFERROR(__xludf.DUMMYFUNCTION("GOOGLETRANSLATE(C266,""ja"",""vi"")"),"Đấu giá&gt; cuốn sách, tạp chí&gt; nhà, sinh hoạt, chăm sóc trẻ&gt; sum may mặc, thủ công mỹ nghệ&gt; Khác")</f>
        <v>Đấu giá&gt; cuốn sách, tạp chí&gt; nhà, sinh hoạt, chăm sóc trẻ&gt; sum may mặc, thủ công mỹ nghệ&gt; Khác</v>
      </c>
      <c r="F266" t="str">
        <f t="shared" ca="1" si="4"/>
        <v>"2084008956" : "nếu không thì",</v>
      </c>
    </row>
    <row r="267" spans="1:6" ht="15.75" customHeight="1">
      <c r="A267" s="12">
        <v>2084050527</v>
      </c>
      <c r="B267" s="12" t="s">
        <v>5749</v>
      </c>
      <c r="C267" s="12" t="s">
        <v>5751</v>
      </c>
      <c r="D267" s="5" t="str">
        <f ca="1">IFERROR(__xludf.DUMMYFUNCTION("GOOGLETRANSLATE(B267,""ja"",""vi"")"),"từ điển điện tử")</f>
        <v>từ điển điện tử</v>
      </c>
      <c r="E267" s="4" t="str">
        <f ca="1">IFERROR(__xludf.DUMMYFUNCTION("GOOGLETRANSLATE(C267,""ja"",""vi"")"),"Đấu giá&gt; cuốn sách, tạp chí&gt; nghiên cứu, giáo dục&gt; tham khảo, từ điển&gt; Từ điển điện tử")</f>
        <v>Đấu giá&gt; cuốn sách, tạp chí&gt; nghiên cứu, giáo dục&gt; tham khảo, từ điển&gt; Từ điển điện tử</v>
      </c>
      <c r="F267" t="str">
        <f t="shared" ca="1" si="4"/>
        <v>"2084050527" : "từ điển điện tử",</v>
      </c>
    </row>
    <row r="268" spans="1:6" ht="15.75" customHeight="1">
      <c r="A268" s="12">
        <v>21716</v>
      </c>
      <c r="B268" s="12" t="s">
        <v>5754</v>
      </c>
      <c r="C268" s="12" t="s">
        <v>5755</v>
      </c>
      <c r="D268" s="5" t="str">
        <f ca="1">IFERROR(__xludf.DUMMYFUNCTION("GOOGLETRANSLATE(B268,""ja"",""vi"")"),"Bách khoa toàn thư")</f>
        <v>Bách khoa toàn thư</v>
      </c>
      <c r="E268" s="4" t="str">
        <f ca="1">IFERROR(__xludf.DUMMYFUNCTION("GOOGLETRANSLATE(C268,""ja"",""vi"")"),"Đấu giá&gt; cuốn sách, tạp chí&gt; nghiên cứu, giáo dục&gt; tham khảo, từ điển&gt; bách khoa toàn thư")</f>
        <v>Đấu giá&gt; cuốn sách, tạp chí&gt; nghiên cứu, giáo dục&gt; tham khảo, từ điển&gt; bách khoa toàn thư</v>
      </c>
      <c r="F268" t="str">
        <f t="shared" ca="1" si="4"/>
        <v>"21716" : "Bách khoa toàn thư",</v>
      </c>
    </row>
    <row r="269" spans="1:6" ht="15.75" customHeight="1">
      <c r="A269" s="12">
        <v>2084008613</v>
      </c>
      <c r="B269" s="12" t="s">
        <v>5760</v>
      </c>
      <c r="C269" s="12" t="s">
        <v>5762</v>
      </c>
      <c r="D269" s="5" t="str">
        <f ca="1">IFERROR(__xludf.DUMMYFUNCTION("GOOGLETRANSLATE(B269,""ja"",""vi"")"),"Nhật Bản")</f>
        <v>Nhật Bản</v>
      </c>
      <c r="E269" s="4" t="str">
        <f ca="1">IFERROR(__xludf.DUMMYFUNCTION("GOOGLETRANSLATE(C269,""ja"",""vi"")"),"Đấu giá&gt; cuốn sách, tạp chí&gt; nghiên cứu, giáo dục&gt; tham khảo, từ điển&gt; Nhật Bản")</f>
        <v>Đấu giá&gt; cuốn sách, tạp chí&gt; nghiên cứu, giáo dục&gt; tham khảo, từ điển&gt; Nhật Bản</v>
      </c>
      <c r="F269" t="str">
        <f t="shared" ca="1" si="4"/>
        <v>"2084008613" : "Nhật Bản",</v>
      </c>
    </row>
    <row r="270" spans="1:6" ht="15.75" customHeight="1">
      <c r="A270" s="12">
        <v>2084008640</v>
      </c>
      <c r="B270" s="12" t="s">
        <v>5767</v>
      </c>
      <c r="C270" s="12" t="s">
        <v>5768</v>
      </c>
      <c r="D270" s="5" t="str">
        <f ca="1">IFERROR(__xludf.DUMMYFUNCTION("GOOGLETRANSLATE(B270,""ja"",""vi"")"),"từ nước ngoài, từ mới")</f>
        <v>từ nước ngoài, từ mới</v>
      </c>
      <c r="E270" s="4" t="str">
        <f ca="1">IFERROR(__xludf.DUMMYFUNCTION("GOOGLETRANSLATE(C270,""ja"",""vi"")"),"Đấu giá&gt; cuốn sách, tạp chí&gt; nghiên cứu, giáo dục&gt; tham khảo, từ điển&gt; từ nước ngoài, từ mới")</f>
        <v>Đấu giá&gt; cuốn sách, tạp chí&gt; nghiên cứu, giáo dục&gt; tham khảo, từ điển&gt; từ nước ngoài, từ mới</v>
      </c>
      <c r="F270" t="str">
        <f t="shared" ca="1" si="4"/>
        <v>"2084008640" : "từ nước ngoài, từ mới",</v>
      </c>
    </row>
    <row r="271" spans="1:6" ht="15.75" customHeight="1">
      <c r="A271" s="12">
        <v>2084008586</v>
      </c>
      <c r="B271" s="12" t="s">
        <v>5773</v>
      </c>
      <c r="C271" s="12" t="s">
        <v>5774</v>
      </c>
      <c r="D271" s="5" t="str">
        <f ca="1">IFERROR(__xludf.DUMMYFUNCTION("GOOGLETRANSLATE(B271,""ja"",""vi"")"),"Anh")</f>
        <v>Anh</v>
      </c>
      <c r="E271" s="4" t="str">
        <f ca="1">IFERROR(__xludf.DUMMYFUNCTION("GOOGLETRANSLATE(C271,""ja"",""vi"")"),"Đấu giá&gt; cuốn sách, tạp chí&gt; nghiên cứu, giáo dục&gt; tham khảo, từ điển&gt; Tiếng Anh")</f>
        <v>Đấu giá&gt; cuốn sách, tạp chí&gt; nghiên cứu, giáo dục&gt; tham khảo, từ điển&gt; Tiếng Anh</v>
      </c>
      <c r="F271" t="str">
        <f t="shared" ca="1" si="4"/>
        <v>"2084008586" : "Anh",</v>
      </c>
    </row>
    <row r="272" spans="1:6" ht="15.75" customHeight="1">
      <c r="A272" s="12">
        <v>2084008600</v>
      </c>
      <c r="B272" s="12" t="s">
        <v>5778</v>
      </c>
      <c r="C272" s="12" t="s">
        <v>5780</v>
      </c>
      <c r="D272" s="5" t="str">
        <f ca="1">IFERROR(__xludf.DUMMYFUNCTION("GOOGLETRANSLATE(B272,""ja"",""vi"")"),"Ý")</f>
        <v>Ý</v>
      </c>
      <c r="E272" s="4" t="str">
        <f ca="1">IFERROR(__xludf.DUMMYFUNCTION("GOOGLETRANSLATE(C272,""ja"",""vi"")"),"Đấu giá&gt; cuốn sách, tạp chí&gt; nghiên cứu, giáo dục&gt; tham khảo, từ điển&gt; Ý")</f>
        <v>Đấu giá&gt; cuốn sách, tạp chí&gt; nghiên cứu, giáo dục&gt; tham khảo, từ điển&gt; Ý</v>
      </c>
      <c r="F272" t="str">
        <f t="shared" ca="1" si="4"/>
        <v>"2084008600" : "Ý",</v>
      </c>
    </row>
    <row r="273" spans="1:6" ht="15.75" customHeight="1">
      <c r="A273" s="12">
        <v>2084008603</v>
      </c>
      <c r="B273" s="12" t="s">
        <v>5782</v>
      </c>
      <c r="C273" s="12" t="s">
        <v>5784</v>
      </c>
      <c r="D273" s="5" t="str">
        <f ca="1">IFERROR(__xludf.DUMMYFUNCTION("GOOGLETRANSLATE(B273,""ja"",""vi"")"),"Tây Ban Nha")</f>
        <v>Tây Ban Nha</v>
      </c>
      <c r="E273" s="4" t="str">
        <f ca="1">IFERROR(__xludf.DUMMYFUNCTION("GOOGLETRANSLATE(C273,""ja"",""vi"")"),"Đấu giá&gt; cuốn sách, tạp chí&gt; nghiên cứu, giáo dục&gt; tham khảo, từ điển&gt; Tây Ban Nha")</f>
        <v>Đấu giá&gt; cuốn sách, tạp chí&gt; nghiên cứu, giáo dục&gt; tham khảo, từ điển&gt; Tây Ban Nha</v>
      </c>
      <c r="F273" t="str">
        <f t="shared" ca="1" si="4"/>
        <v>"2084008603" : "Tây Ban Nha",</v>
      </c>
    </row>
    <row r="274" spans="1:6" ht="15.75" customHeight="1">
      <c r="A274" s="12">
        <v>2084008597</v>
      </c>
      <c r="B274" s="12" t="s">
        <v>5788</v>
      </c>
      <c r="C274" s="12" t="s">
        <v>5790</v>
      </c>
      <c r="D274" s="5" t="str">
        <f ca="1">IFERROR(__xludf.DUMMYFUNCTION("GOOGLETRANSLATE(B274,""ja"",""vi"")"),"người Đức")</f>
        <v>người Đức</v>
      </c>
      <c r="E274" s="4" t="str">
        <f ca="1">IFERROR(__xludf.DUMMYFUNCTION("GOOGLETRANSLATE(C274,""ja"",""vi"")"),"Đấu giá&gt; cuốn sách, tạp chí&gt; nghiên cứu, giáo dục&gt; tham khảo, từ điển&gt; Đức")</f>
        <v>Đấu giá&gt; cuốn sách, tạp chí&gt; nghiên cứu, giáo dục&gt; tham khảo, từ điển&gt; Đức</v>
      </c>
      <c r="F274" t="str">
        <f t="shared" ca="1" si="4"/>
        <v>"2084008597" : "người Đức",</v>
      </c>
    </row>
    <row r="275" spans="1:6" ht="15.75" customHeight="1">
      <c r="A275" s="12">
        <v>2084008609</v>
      </c>
      <c r="B275" s="12" t="s">
        <v>5794</v>
      </c>
      <c r="C275" s="12" t="s">
        <v>5795</v>
      </c>
      <c r="D275" s="5" t="str">
        <f ca="1">IFERROR(__xludf.DUMMYFUNCTION("GOOGLETRANSLATE(B275,""ja"",""vi"")"),"Hangul")</f>
        <v>Hangul</v>
      </c>
      <c r="E275" s="4" t="str">
        <f ca="1">IFERROR(__xludf.DUMMYFUNCTION("GOOGLETRANSLATE(C275,""ja"",""vi"")"),"Đấu giá&gt; cuốn sách, tạp chí&gt; nghiên cứu, giáo dục&gt; tham khảo, từ điển&gt; Hangul")</f>
        <v>Đấu giá&gt; cuốn sách, tạp chí&gt; nghiên cứu, giáo dục&gt; tham khảo, từ điển&gt; Hangul</v>
      </c>
      <c r="F275" t="str">
        <f t="shared" ca="1" si="4"/>
        <v>"2084008609" : "Hangul",</v>
      </c>
    </row>
    <row r="276" spans="1:6" ht="15.75" customHeight="1">
      <c r="A276" s="12">
        <v>2084008594</v>
      </c>
      <c r="B276" s="12" t="s">
        <v>5799</v>
      </c>
      <c r="C276" s="12" t="s">
        <v>5800</v>
      </c>
      <c r="D276" s="5" t="str">
        <f ca="1">IFERROR(__xludf.DUMMYFUNCTION("GOOGLETRANSLATE(B276,""ja"",""vi"")"),"người Pháp")</f>
        <v>người Pháp</v>
      </c>
      <c r="E276" s="4" t="str">
        <f ca="1">IFERROR(__xludf.DUMMYFUNCTION("GOOGLETRANSLATE(C276,""ja"",""vi"")"),"Đấu giá&gt; cuốn sách, tạp chí&gt; nghiên cứu, giáo dục&gt; tham khảo, từ điển&gt; Pháp")</f>
        <v>Đấu giá&gt; cuốn sách, tạp chí&gt; nghiên cứu, giáo dục&gt; tham khảo, từ điển&gt; Pháp</v>
      </c>
      <c r="F276" t="str">
        <f t="shared" ca="1" si="4"/>
        <v>"2084008594" : "người Pháp",</v>
      </c>
    </row>
    <row r="277" spans="1:6" ht="15.75" customHeight="1">
      <c r="A277" s="12">
        <v>2084008639</v>
      </c>
      <c r="B277" s="12" t="s">
        <v>5804</v>
      </c>
      <c r="C277" s="12" t="s">
        <v>5805</v>
      </c>
      <c r="D277" s="5" t="str">
        <f ca="1">IFERROR(__xludf.DUMMYFUNCTION("GOOGLETRANSLATE(B277,""ja"",""vi"")"),"Tác giả, tên địa danh")</f>
        <v>Tác giả, tên địa danh</v>
      </c>
      <c r="E277" s="4" t="str">
        <f ca="1">IFERROR(__xludf.DUMMYFUNCTION("GOOGLETRANSLATE(C277,""ja"",""vi"")"),"Đấu giá&gt; cuốn sách, tạp chí&gt; nghiên cứu, giáo dục&gt; tham khảo, từ điển&gt; tên của người đó, tên địa danh")</f>
        <v>Đấu giá&gt; cuốn sách, tạp chí&gt; nghiên cứu, giáo dục&gt; tham khảo, từ điển&gt; tên của người đó, tên địa danh</v>
      </c>
      <c r="F277" t="str">
        <f t="shared" ca="1" si="4"/>
        <v>"2084008639" : "Tác giả, tên địa danh",</v>
      </c>
    </row>
    <row r="278" spans="1:6" ht="15.75" customHeight="1">
      <c r="A278" s="12">
        <v>2084008606</v>
      </c>
      <c r="B278" s="12" t="s">
        <v>5808</v>
      </c>
      <c r="C278" s="12" t="s">
        <v>5809</v>
      </c>
      <c r="D278" s="5" t="str">
        <f ca="1">IFERROR(__xludf.DUMMYFUNCTION("GOOGLETRANSLATE(B278,""ja"",""vi"")"),"Trung Quốc")</f>
        <v>Trung Quốc</v>
      </c>
      <c r="E278" s="4" t="str">
        <f ca="1">IFERROR(__xludf.DUMMYFUNCTION("GOOGLETRANSLATE(C278,""ja"",""vi"")"),"Đấu giá&gt; cuốn sách, tạp chí&gt; nghiên cứu, giáo dục&gt; tham khảo, từ điển&gt; Trung Quốc")</f>
        <v>Đấu giá&gt; cuốn sách, tạp chí&gt; nghiên cứu, giáo dục&gt; tham khảo, từ điển&gt; Trung Quốc</v>
      </c>
      <c r="F278" t="str">
        <f t="shared" ca="1" si="4"/>
        <v>"2084008606" : "Trung Quốc",</v>
      </c>
    </row>
    <row r="279" spans="1:6" ht="15.75" customHeight="1">
      <c r="A279" s="12">
        <v>2084023537</v>
      </c>
      <c r="B279" s="12" t="s">
        <v>5812</v>
      </c>
      <c r="C279" s="12" t="s">
        <v>5813</v>
      </c>
      <c r="D279" s="5" t="str">
        <f ca="1">IFERROR(__xludf.DUMMYFUNCTION("GOOGLETRANSLATE(B279,""ja"",""vi"")"),"phần mềm từ điển (Macintosh)")</f>
        <v>phần mềm từ điển (Macintosh)</v>
      </c>
      <c r="E279" s="4" t="str">
        <f ca="1">IFERROR(__xludf.DUMMYFUNCTION("GOOGLETRANSLATE(C279,""ja"",""vi"")"),"Đấu giá&gt; cuốn sách, tạp chí&gt; nghiên cứu, giáo dục&gt; tham khảo, từ điển&gt; Từ điển phần mềm (Macintosh)")</f>
        <v>Đấu giá&gt; cuốn sách, tạp chí&gt; nghiên cứu, giáo dục&gt; tham khảo, từ điển&gt; Từ điển phần mềm (Macintosh)</v>
      </c>
      <c r="F279" t="str">
        <f t="shared" ca="1" si="4"/>
        <v>"2084023537" : "phần mềm từ điển (Macintosh)",</v>
      </c>
    </row>
    <row r="280" spans="1:6" ht="15.75" customHeight="1">
      <c r="A280" s="12">
        <v>2084022786</v>
      </c>
      <c r="B280" s="12" t="s">
        <v>5816</v>
      </c>
      <c r="C280" s="12" t="s">
        <v>5817</v>
      </c>
      <c r="D280" s="5" t="str">
        <f ca="1">IFERROR(__xludf.DUMMYFUNCTION("GOOGLETRANSLATE(B280,""ja"",""vi"")"),"phần mềm từ điển (Windows)")</f>
        <v>phần mềm từ điển (Windows)</v>
      </c>
      <c r="E280" s="4" t="str">
        <f ca="1">IFERROR(__xludf.DUMMYFUNCTION("GOOGLETRANSLATE(C280,""ja"",""vi"")"),"Đấu giá&gt; cuốn sách, tạp chí&gt; nghiên cứu, giáo dục&gt; tham khảo, từ điển&gt; Từ điển phần mềm (Windows)")</f>
        <v>Đấu giá&gt; cuốn sách, tạp chí&gt; nghiên cứu, giáo dục&gt; tham khảo, từ điển&gt; Từ điển phần mềm (Windows)</v>
      </c>
      <c r="F280" t="str">
        <f t="shared" ca="1" si="4"/>
        <v>"2084022786" : "phần mềm từ điển (Windows)",</v>
      </c>
    </row>
    <row r="281" spans="1:6" ht="15.75" customHeight="1">
      <c r="A281" s="12">
        <v>2084008641</v>
      </c>
      <c r="B281" s="12" t="s">
        <v>46</v>
      </c>
      <c r="C281" s="12" t="s">
        <v>5820</v>
      </c>
      <c r="D281" s="5" t="str">
        <f ca="1">IFERROR(__xludf.DUMMYFUNCTION("GOOGLETRANSLATE(B281,""ja"",""vi"")"),"nếu không thì")</f>
        <v>nếu không thì</v>
      </c>
      <c r="E281" s="4" t="str">
        <f ca="1">IFERROR(__xludf.DUMMYFUNCTION("GOOGLETRANSLATE(C281,""ja"",""vi"")"),"Đấu giá&gt; cuốn sách, tạp chí&gt; nghiên cứu, giáo dục&gt; tham khảo, từ điển&gt; Khác")</f>
        <v>Đấu giá&gt; cuốn sách, tạp chí&gt; nghiên cứu, giáo dục&gt; tham khảo, từ điển&gt; Khác</v>
      </c>
      <c r="F281" t="str">
        <f t="shared" ca="1" si="4"/>
        <v>"2084008641" : "nếu không thì",</v>
      </c>
    </row>
    <row r="282" spans="1:6" ht="15.75" customHeight="1">
      <c r="A282" s="12">
        <v>2084008619</v>
      </c>
      <c r="B282" s="12" t="s">
        <v>5823</v>
      </c>
      <c r="C282" s="12" t="s">
        <v>5825</v>
      </c>
      <c r="D282" s="5" t="str">
        <f ca="1">IFERROR(__xludf.DUMMYFUNCTION("GOOGLETRANSLATE(B282,""ja"",""vi"")"),"giáo dục mầm non")</f>
        <v>giáo dục mầm non</v>
      </c>
      <c r="E282" s="4" t="str">
        <f ca="1">IFERROR(__xludf.DUMMYFUNCTION("GOOGLETRANSLATE(C282,""ja"",""vi"")"),"Đấu giá&gt; cuốn sách, tạp chí&gt; nghiên cứu, giáo dục&gt; sách nghiên cứu&gt; giáo dục mầm non")</f>
        <v>Đấu giá&gt; cuốn sách, tạp chí&gt; nghiên cứu, giáo dục&gt; sách nghiên cứu&gt; giáo dục mầm non</v>
      </c>
      <c r="F282" t="str">
        <f t="shared" ca="1" si="4"/>
        <v>"2084008619" : "giáo dục mầm non",</v>
      </c>
    </row>
    <row r="283" spans="1:6" ht="15.75" customHeight="1">
      <c r="A283" s="12">
        <v>2084008620</v>
      </c>
      <c r="B283" s="12" t="s">
        <v>5828</v>
      </c>
      <c r="C283" s="12" t="s">
        <v>5829</v>
      </c>
      <c r="D283" s="5" t="str">
        <f ca="1">IFERROR(__xludf.DUMMYFUNCTION("GOOGLETRANSLATE(B283,""ja"",""vi"")"),"Học sinh tiểu học")</f>
        <v>Học sinh tiểu học</v>
      </c>
      <c r="E283" s="4" t="str">
        <f ca="1">IFERROR(__xludf.DUMMYFUNCTION("GOOGLETRANSLATE(C283,""ja"",""vi"")"),"Đấu giá&gt; cuốn sách, tạp chí&gt; nghiên cứu, giáo dục&gt; sách nghiên cứu&gt; trường tiểu học")</f>
        <v>Đấu giá&gt; cuốn sách, tạp chí&gt; nghiên cứu, giáo dục&gt; sách nghiên cứu&gt; trường tiểu học</v>
      </c>
      <c r="F283" t="str">
        <f t="shared" ca="1" si="4"/>
        <v>"2084008620" : "Học sinh tiểu học",</v>
      </c>
    </row>
    <row r="284" spans="1:6" ht="15.75" customHeight="1">
      <c r="A284" s="12">
        <v>2084008624</v>
      </c>
      <c r="B284" s="12" t="s">
        <v>5833</v>
      </c>
      <c r="C284" s="12" t="s">
        <v>5834</v>
      </c>
      <c r="D284" s="5" t="str">
        <f ca="1">IFERROR(__xludf.DUMMYFUNCTION("GOOGLETRANSLATE(B284,""ja"",""vi"")"),"học sinh trung học cơ sở")</f>
        <v>học sinh trung học cơ sở</v>
      </c>
      <c r="E284" s="4" t="str">
        <f ca="1">IFERROR(__xludf.DUMMYFUNCTION("GOOGLETRANSLATE(C284,""ja"",""vi"")"),"Đấu giá&gt; cuốn sách, tạp chí&gt; nghiên cứu, giáo dục&gt; sách nghiên cứu&gt; học sinh trung học cơ sở")</f>
        <v>Đấu giá&gt; cuốn sách, tạp chí&gt; nghiên cứu, giáo dục&gt; sách nghiên cứu&gt; học sinh trung học cơ sở</v>
      </c>
      <c r="F284" t="str">
        <f t="shared" ca="1" si="4"/>
        <v>"2084008624" : "học sinh trung học cơ sở",</v>
      </c>
    </row>
    <row r="285" spans="1:6" ht="15.75" customHeight="1">
      <c r="A285" s="12">
        <v>2084008628</v>
      </c>
      <c r="B285" s="12" t="s">
        <v>5838</v>
      </c>
      <c r="C285" s="12" t="s">
        <v>5839</v>
      </c>
      <c r="D285" s="5" t="str">
        <f ca="1">IFERROR(__xludf.DUMMYFUNCTION("GOOGLETRANSLATE(B285,""ja"",""vi"")"),"Học sinh trung học")</f>
        <v>Học sinh trung học</v>
      </c>
      <c r="E285" s="4" t="str">
        <f ca="1">IFERROR(__xludf.DUMMYFUNCTION("GOOGLETRANSLATE(C285,""ja"",""vi"")"),"Đấu giá&gt; cuốn sách, tạp chí&gt; nghiên cứu, giáo dục&gt; sách nghiên cứu&gt; học sinh trung học")</f>
        <v>Đấu giá&gt; cuốn sách, tạp chí&gt; nghiên cứu, giáo dục&gt; sách nghiên cứu&gt; học sinh trung học</v>
      </c>
      <c r="F285" t="str">
        <f t="shared" ca="1" si="4"/>
        <v>"2084008628" : "Học sinh trung học",</v>
      </c>
    </row>
    <row r="286" spans="1:6" ht="15.75" customHeight="1">
      <c r="A286" s="12">
        <v>2084008575</v>
      </c>
      <c r="B286" s="12" t="s">
        <v>5844</v>
      </c>
      <c r="C286" s="12" t="s">
        <v>5845</v>
      </c>
      <c r="D286" s="5" t="str">
        <f ca="1">IFERROR(__xludf.DUMMYFUNCTION("GOOGLETRANSLATE(B286,""ja"",""vi"")"),"trường tiểu học")</f>
        <v>trường tiểu học</v>
      </c>
      <c r="E286" s="4" t="str">
        <f ca="1">IFERROR(__xludf.DUMMYFUNCTION("GOOGLETRANSLATE(C286,""ja"",""vi"")"),"Đấu giá&gt; cuốn sách, tạp chí&gt; nghiên cứu, giáo dục&gt; sách giáo khoa&gt; Trường tiểu học")</f>
        <v>Đấu giá&gt; cuốn sách, tạp chí&gt; nghiên cứu, giáo dục&gt; sách giáo khoa&gt; Trường tiểu học</v>
      </c>
      <c r="F286" t="str">
        <f t="shared" ca="1" si="4"/>
        <v>"2084008575" : "trường tiểu học",</v>
      </c>
    </row>
    <row r="287" spans="1:6" ht="15.75" customHeight="1">
      <c r="A287" s="12">
        <v>2084008576</v>
      </c>
      <c r="B287" s="12" t="s">
        <v>5849</v>
      </c>
      <c r="C287" s="12" t="s">
        <v>5850</v>
      </c>
      <c r="D287" s="5" t="str">
        <f ca="1">IFERROR(__xludf.DUMMYFUNCTION("GOOGLETRANSLATE(B287,""ja"",""vi"")"),"Trung học cơ sở")</f>
        <v>Trung học cơ sở</v>
      </c>
      <c r="E287" s="4" t="str">
        <f ca="1">IFERROR(__xludf.DUMMYFUNCTION("GOOGLETRANSLATE(C287,""ja"",""vi"")"),"Đấu giá&gt; cuốn sách, tạp chí&gt; nghiên cứu, giáo dục&gt; sách giáo khoa&gt; trung học cơ sở")</f>
        <v>Đấu giá&gt; cuốn sách, tạp chí&gt; nghiên cứu, giáo dục&gt; sách giáo khoa&gt; trung học cơ sở</v>
      </c>
      <c r="F287" t="str">
        <f t="shared" ca="1" si="4"/>
        <v>"2084008576" : "Trung học cơ sở",</v>
      </c>
    </row>
    <row r="288" spans="1:6" ht="15.75" customHeight="1">
      <c r="A288" s="12">
        <v>2084008577</v>
      </c>
      <c r="B288" s="12" t="s">
        <v>5854</v>
      </c>
      <c r="C288" s="12" t="s">
        <v>5855</v>
      </c>
      <c r="D288" s="5" t="str">
        <f ca="1">IFERROR(__xludf.DUMMYFUNCTION("GOOGLETRANSLATE(B288,""ja"",""vi"")"),"trường trung học")</f>
        <v>trường trung học</v>
      </c>
      <c r="E288" s="4" t="str">
        <f ca="1">IFERROR(__xludf.DUMMYFUNCTION("GOOGLETRANSLATE(C288,""ja"",""vi"")"),"Đấu giá&gt; cuốn sách, tạp chí&gt; nghiên cứu, giáo dục&gt; sách giáo khoa&gt; High School")</f>
        <v>Đấu giá&gt; cuốn sách, tạp chí&gt; nghiên cứu, giáo dục&gt; sách giáo khoa&gt; High School</v>
      </c>
      <c r="F288" t="str">
        <f t="shared" ca="1" si="4"/>
        <v>"2084008577" : "trường trung học",</v>
      </c>
    </row>
    <row r="289" spans="1:6" ht="15.75" customHeight="1">
      <c r="A289" s="12">
        <v>2084243506</v>
      </c>
      <c r="B289" s="12" t="s">
        <v>5859</v>
      </c>
      <c r="C289" s="12" t="s">
        <v>5860</v>
      </c>
      <c r="D289" s="5" t="str">
        <f ca="1">IFERROR(__xludf.DUMMYFUNCTION("GOOGLETRANSLATE(B289,""ja"",""vi"")"),"trường đại học")</f>
        <v>trường đại học</v>
      </c>
      <c r="E289" s="4" t="str">
        <f ca="1">IFERROR(__xludf.DUMMYFUNCTION("GOOGLETRANSLATE(C289,""ja"",""vi"")"),"Đấu giá&gt; cuốn sách, tạp chí&gt; nghiên cứu, giáo dục&gt; Sách giáo khoa&gt; Đại học")</f>
        <v>Đấu giá&gt; cuốn sách, tạp chí&gt; nghiên cứu, giáo dục&gt; Sách giáo khoa&gt; Đại học</v>
      </c>
      <c r="F289" t="str">
        <f t="shared" ca="1" si="4"/>
        <v>"2084243506" : "trường đại học",</v>
      </c>
    </row>
    <row r="290" spans="1:6" ht="15.75" customHeight="1">
      <c r="A290" s="12">
        <v>2084008610</v>
      </c>
      <c r="B290" s="12" t="s">
        <v>5864</v>
      </c>
      <c r="C290" s="12" t="s">
        <v>5865</v>
      </c>
      <c r="D290" s="5" t="str">
        <f ca="1">IFERROR(__xludf.DUMMYFUNCTION("GOOGLETRANSLATE(B290,""ja"",""vi"")"),"kiểm tra ngôn ngữ")</f>
        <v>kiểm tra ngôn ngữ</v>
      </c>
      <c r="E290" s="4" t="str">
        <f ca="1">IFERROR(__xludf.DUMMYFUNCTION("GOOGLETRANSLATE(C290,""ja"",""vi"")"),"Đấu giá&gt; cuốn sách, tạp chí&gt; nghiên cứu, giáo dục&gt; Ngôn ngữ&gt; kiểm tra ngôn ngữ")</f>
        <v>Đấu giá&gt; cuốn sách, tạp chí&gt; nghiên cứu, giáo dục&gt; Ngôn ngữ&gt; kiểm tra ngôn ngữ</v>
      </c>
      <c r="F290" t="str">
        <f t="shared" ca="1" si="4"/>
        <v>"2084008610" : "kiểm tra ngôn ngữ",</v>
      </c>
    </row>
    <row r="291" spans="1:6" ht="15.75" customHeight="1">
      <c r="A291" s="12">
        <v>2084008598</v>
      </c>
      <c r="B291" s="12" t="s">
        <v>5778</v>
      </c>
      <c r="C291" s="12" t="s">
        <v>5869</v>
      </c>
      <c r="D291" s="5" t="str">
        <f ca="1">IFERROR(__xludf.DUMMYFUNCTION("GOOGLETRANSLATE(B291,""ja"",""vi"")"),"Ý")</f>
        <v>Ý</v>
      </c>
      <c r="E291" s="4" t="str">
        <f ca="1">IFERROR(__xludf.DUMMYFUNCTION("GOOGLETRANSLATE(C291,""ja"",""vi"")"),"Đấu giá&gt; cuốn sách, tạp chí&gt; nghiên cứu, giáo dục&gt; Ngôn ngữ&gt; Ý")</f>
        <v>Đấu giá&gt; cuốn sách, tạp chí&gt; nghiên cứu, giáo dục&gt; Ngôn ngữ&gt; Ý</v>
      </c>
      <c r="F291" t="str">
        <f t="shared" ca="1" si="4"/>
        <v>"2084008598" : "Ý",</v>
      </c>
    </row>
    <row r="292" spans="1:6" ht="15.75" customHeight="1">
      <c r="A292" s="12">
        <v>2084008601</v>
      </c>
      <c r="B292" s="12" t="s">
        <v>5782</v>
      </c>
      <c r="C292" s="12" t="s">
        <v>5876</v>
      </c>
      <c r="D292" s="5" t="str">
        <f ca="1">IFERROR(__xludf.DUMMYFUNCTION("GOOGLETRANSLATE(B292,""ja"",""vi"")"),"Tây Ban Nha")</f>
        <v>Tây Ban Nha</v>
      </c>
      <c r="E292" s="4" t="str">
        <f ca="1">IFERROR(__xludf.DUMMYFUNCTION("GOOGLETRANSLATE(C292,""ja"",""vi"")"),"Đấu giá&gt; cuốn sách, tạp chí&gt; nghiên cứu, giáo dục&gt; Ngôn ngữ&gt; Tây Ban Nha")</f>
        <v>Đấu giá&gt; cuốn sách, tạp chí&gt; nghiên cứu, giáo dục&gt; Ngôn ngữ&gt; Tây Ban Nha</v>
      </c>
      <c r="F292" t="str">
        <f t="shared" ca="1" si="4"/>
        <v>"2084008601" : "Tây Ban Nha",</v>
      </c>
    </row>
    <row r="293" spans="1:6" ht="15.75" customHeight="1">
      <c r="A293" s="12">
        <v>2084008595</v>
      </c>
      <c r="B293" s="12" t="s">
        <v>5788</v>
      </c>
      <c r="C293" s="12" t="s">
        <v>5880</v>
      </c>
      <c r="D293" s="5" t="str">
        <f ca="1">IFERROR(__xludf.DUMMYFUNCTION("GOOGLETRANSLATE(B293,""ja"",""vi"")"),"người Đức")</f>
        <v>người Đức</v>
      </c>
      <c r="E293" s="4" t="str">
        <f ca="1">IFERROR(__xludf.DUMMYFUNCTION("GOOGLETRANSLATE(C293,""ja"",""vi"")"),"Đấu giá&gt; cuốn sách, tạp chí&gt; nghiên cứu, giáo dục&gt; Ngôn ngữ&gt; Đức")</f>
        <v>Đấu giá&gt; cuốn sách, tạp chí&gt; nghiên cứu, giáo dục&gt; Ngôn ngữ&gt; Đức</v>
      </c>
      <c r="F293" t="str">
        <f t="shared" ca="1" si="4"/>
        <v>"2084008595" : "người Đức",</v>
      </c>
    </row>
    <row r="294" spans="1:6" ht="15.75" customHeight="1">
      <c r="A294" s="12">
        <v>2084008607</v>
      </c>
      <c r="B294" s="12" t="s">
        <v>5794</v>
      </c>
      <c r="C294" s="12" t="s">
        <v>5884</v>
      </c>
      <c r="D294" s="5" t="str">
        <f ca="1">IFERROR(__xludf.DUMMYFUNCTION("GOOGLETRANSLATE(B294,""ja"",""vi"")"),"Hangul")</f>
        <v>Hangul</v>
      </c>
      <c r="E294" s="4" t="str">
        <f ca="1">IFERROR(__xludf.DUMMYFUNCTION("GOOGLETRANSLATE(C294,""ja"",""vi"")"),"Đấu giá&gt; cuốn sách, tạp chí&gt; nghiên cứu, giáo dục&gt; Ngôn ngữ&gt; Hangul")</f>
        <v>Đấu giá&gt; cuốn sách, tạp chí&gt; nghiên cứu, giáo dục&gt; Ngôn ngữ&gt; Hangul</v>
      </c>
      <c r="F294" t="str">
        <f t="shared" ca="1" si="4"/>
        <v>"2084008607" : "Hangul",</v>
      </c>
    </row>
    <row r="295" spans="1:6" ht="15.75" customHeight="1">
      <c r="A295" s="12">
        <v>2084008592</v>
      </c>
      <c r="B295" s="12" t="s">
        <v>5799</v>
      </c>
      <c r="C295" s="12" t="s">
        <v>5889</v>
      </c>
      <c r="D295" s="5" t="str">
        <f ca="1">IFERROR(__xludf.DUMMYFUNCTION("GOOGLETRANSLATE(B295,""ja"",""vi"")"),"người Pháp")</f>
        <v>người Pháp</v>
      </c>
      <c r="E295" s="4" t="str">
        <f ca="1">IFERROR(__xludf.DUMMYFUNCTION("GOOGLETRANSLATE(C295,""ja"",""vi"")"),"Đấu giá&gt; cuốn sách, tạp chí&gt; nghiên cứu, giáo dục&gt; Ngôn ngữ&gt; Pháp")</f>
        <v>Đấu giá&gt; cuốn sách, tạp chí&gt; nghiên cứu, giáo dục&gt; Ngôn ngữ&gt; Pháp</v>
      </c>
      <c r="F295" t="str">
        <f t="shared" ca="1" si="4"/>
        <v>"2084008592" : "người Pháp",</v>
      </c>
    </row>
    <row r="296" spans="1:6" ht="15.75" customHeight="1">
      <c r="A296" s="12">
        <v>2084008579</v>
      </c>
      <c r="B296" s="12" t="s">
        <v>5773</v>
      </c>
      <c r="C296" s="12" t="s">
        <v>5893</v>
      </c>
      <c r="D296" s="5" t="str">
        <f ca="1">IFERROR(__xludf.DUMMYFUNCTION("GOOGLETRANSLATE(B296,""ja"",""vi"")"),"Anh")</f>
        <v>Anh</v>
      </c>
      <c r="E296" s="4" t="str">
        <f ca="1">IFERROR(__xludf.DUMMYFUNCTION("GOOGLETRANSLATE(C296,""ja"",""vi"")"),"Đấu giá&gt; cuốn sách, tạp chí&gt; nghiên cứu, giáo dục&gt; Ngôn ngữ&gt; Tiếng Anh")</f>
        <v>Đấu giá&gt; cuốn sách, tạp chí&gt; nghiên cứu, giáo dục&gt; Ngôn ngữ&gt; Tiếng Anh</v>
      </c>
      <c r="F296" t="str">
        <f t="shared" ca="1" si="4"/>
        <v>"2084008579" : "Anh",</v>
      </c>
    </row>
    <row r="297" spans="1:6" ht="15.75" customHeight="1">
      <c r="A297" s="12">
        <v>2084008604</v>
      </c>
      <c r="B297" s="12" t="s">
        <v>5808</v>
      </c>
      <c r="C297" s="12" t="s">
        <v>5897</v>
      </c>
      <c r="D297" s="5" t="str">
        <f ca="1">IFERROR(__xludf.DUMMYFUNCTION("GOOGLETRANSLATE(B297,""ja"",""vi"")"),"Trung Quốc")</f>
        <v>Trung Quốc</v>
      </c>
      <c r="E297" s="4" t="str">
        <f ca="1">IFERROR(__xludf.DUMMYFUNCTION("GOOGLETRANSLATE(C297,""ja"",""vi"")"),"Đấu giá&gt; cuốn sách, tạp chí&gt; nghiên cứu, giáo dục&gt; ngôn ngữ&gt; Trung Quốc")</f>
        <v>Đấu giá&gt; cuốn sách, tạp chí&gt; nghiên cứu, giáo dục&gt; ngôn ngữ&gt; Trung Quốc</v>
      </c>
      <c r="F297" t="str">
        <f t="shared" ca="1" si="4"/>
        <v>"2084008604" : "Trung Quốc",</v>
      </c>
    </row>
    <row r="298" spans="1:6" ht="15.75" customHeight="1">
      <c r="A298" s="12">
        <v>2084008611</v>
      </c>
      <c r="B298" s="12" t="s">
        <v>5760</v>
      </c>
      <c r="C298" s="12" t="s">
        <v>5901</v>
      </c>
      <c r="D298" s="5" t="str">
        <f ca="1">IFERROR(__xludf.DUMMYFUNCTION("GOOGLETRANSLATE(B298,""ja"",""vi"")"),"Nhật Bản")</f>
        <v>Nhật Bản</v>
      </c>
      <c r="E298" s="4" t="str">
        <f ca="1">IFERROR(__xludf.DUMMYFUNCTION("GOOGLETRANSLATE(C298,""ja"",""vi"")"),"Đấu giá&gt; cuốn sách, tạp chí&gt; nghiên cứu, giáo dục&gt; Ngôn ngữ&gt; Nhật Bản")</f>
        <v>Đấu giá&gt; cuốn sách, tạp chí&gt; nghiên cứu, giáo dục&gt; Ngôn ngữ&gt; Nhật Bản</v>
      </c>
      <c r="F298" t="str">
        <f t="shared" ca="1" si="4"/>
        <v>"2084008611" : "Nhật Bản",</v>
      </c>
    </row>
    <row r="299" spans="1:6" ht="15.75" customHeight="1">
      <c r="A299" s="12">
        <v>2084050527</v>
      </c>
      <c r="B299" s="12" t="s">
        <v>5749</v>
      </c>
      <c r="C299" s="12" t="s">
        <v>5905</v>
      </c>
      <c r="D299" s="5" t="str">
        <f ca="1">IFERROR(__xludf.DUMMYFUNCTION("GOOGLETRANSLATE(B299,""ja"",""vi"")"),"từ điển điện tử")</f>
        <v>từ điển điện tử</v>
      </c>
      <c r="E299" s="4" t="str">
        <f ca="1">IFERROR(__xludf.DUMMYFUNCTION("GOOGLETRANSLATE(C299,""ja"",""vi"")"),"Đấu giá&gt; cuốn sách, tạp chí&gt; nghiên cứu, giáo dục&gt; Ngôn ngữ&gt; Từ điển điện tử")</f>
        <v>Đấu giá&gt; cuốn sách, tạp chí&gt; nghiên cứu, giáo dục&gt; Ngôn ngữ&gt; Từ điển điện tử</v>
      </c>
      <c r="F299" t="str">
        <f t="shared" ca="1" si="4"/>
        <v>"2084050527" : "từ điển điện tử",</v>
      </c>
    </row>
    <row r="300" spans="1:6" ht="15.75" customHeight="1">
      <c r="A300" s="12">
        <v>2084008617</v>
      </c>
      <c r="B300" s="12" t="s">
        <v>46</v>
      </c>
      <c r="C300" s="12" t="s">
        <v>5908</v>
      </c>
      <c r="D300" s="5" t="str">
        <f ca="1">IFERROR(__xludf.DUMMYFUNCTION("GOOGLETRANSLATE(B300,""ja"",""vi"")"),"nếu không thì")</f>
        <v>nếu không thì</v>
      </c>
      <c r="E300" s="4" t="str">
        <f ca="1">IFERROR(__xludf.DUMMYFUNCTION("GOOGLETRANSLATE(C300,""ja"",""vi"")"),"Đấu giá&gt; cuốn sách, tạp chí&gt; nghiên cứu, giáo dục&gt; Ngôn ngữ&gt; Khác")</f>
        <v>Đấu giá&gt; cuốn sách, tạp chí&gt; nghiên cứu, giáo dục&gt; Ngôn ngữ&gt; Khác</v>
      </c>
      <c r="F300" t="str">
        <f t="shared" ca="1" si="4"/>
        <v>"2084008617" : "nếu không thì",</v>
      </c>
    </row>
    <row r="301" spans="1:6" ht="15.75" customHeight="1">
      <c r="A301" s="12">
        <v>2084049566</v>
      </c>
      <c r="B301" s="12" t="s">
        <v>5844</v>
      </c>
      <c r="C301" s="12" t="s">
        <v>5910</v>
      </c>
      <c r="D301" s="5" t="str">
        <f ca="1">IFERROR(__xludf.DUMMYFUNCTION("GOOGLETRANSLATE(B301,""ja"",""vi"")"),"trường tiểu học")</f>
        <v>trường tiểu học</v>
      </c>
      <c r="E301" s="4" t="str">
        <f ca="1">IFERROR(__xludf.DUMMYFUNCTION("GOOGLETRANSLATE(C301,""ja"",""vi"")"),"Đấu giá&gt; cuốn sách, tạp chí&gt; nghiên cứu, giáo dục&gt; Bộ sưu tập của các vấn đề&gt; Trường tiểu học")</f>
        <v>Đấu giá&gt; cuốn sách, tạp chí&gt; nghiên cứu, giáo dục&gt; Bộ sưu tập của các vấn đề&gt; Trường tiểu học</v>
      </c>
      <c r="F301" t="str">
        <f t="shared" ca="1" si="4"/>
        <v>"2084049566" : "trường tiểu học",</v>
      </c>
    </row>
    <row r="302" spans="1:6" ht="15.75" customHeight="1">
      <c r="A302" s="12">
        <v>2084049567</v>
      </c>
      <c r="B302" s="12" t="s">
        <v>5849</v>
      </c>
      <c r="C302" s="12" t="s">
        <v>5911</v>
      </c>
      <c r="D302" s="5" t="str">
        <f ca="1">IFERROR(__xludf.DUMMYFUNCTION("GOOGLETRANSLATE(B302,""ja"",""vi"")"),"Trung học cơ sở")</f>
        <v>Trung học cơ sở</v>
      </c>
      <c r="E302" s="4" t="str">
        <f ca="1">IFERROR(__xludf.DUMMYFUNCTION("GOOGLETRANSLATE(C302,""ja"",""vi"")"),"Đấu giá&gt; cuốn sách, tạp chí&gt; nghiên cứu, giáo dục&gt; vấn đề Bộ sưu tập&gt; Junior High School")</f>
        <v>Đấu giá&gt; cuốn sách, tạp chí&gt; nghiên cứu, giáo dục&gt; vấn đề Bộ sưu tập&gt; Junior High School</v>
      </c>
      <c r="F302" t="str">
        <f t="shared" ca="1" si="4"/>
        <v>"2084049567" : "Trung học cơ sở",</v>
      </c>
    </row>
    <row r="303" spans="1:6" ht="15.75" customHeight="1">
      <c r="A303" s="12">
        <v>2084049568</v>
      </c>
      <c r="B303" s="12" t="s">
        <v>5854</v>
      </c>
      <c r="C303" s="12" t="s">
        <v>5913</v>
      </c>
      <c r="D303" s="5" t="str">
        <f ca="1">IFERROR(__xludf.DUMMYFUNCTION("GOOGLETRANSLATE(B303,""ja"",""vi"")"),"trường trung học")</f>
        <v>trường trung học</v>
      </c>
      <c r="E303" s="4" t="str">
        <f ca="1">IFERROR(__xludf.DUMMYFUNCTION("GOOGLETRANSLATE(C303,""ja"",""vi"")"),"Đấu giá&gt; cuốn sách, tạp chí&gt; nghiên cứu, giáo dục&gt; vấn đề Bộ sưu tập&gt; High School")</f>
        <v>Đấu giá&gt; cuốn sách, tạp chí&gt; nghiên cứu, giáo dục&gt; vấn đề Bộ sưu tập&gt; High School</v>
      </c>
      <c r="F303" t="str">
        <f t="shared" ca="1" si="4"/>
        <v>"2084049568" : "trường trung học",</v>
      </c>
    </row>
    <row r="304" spans="1:6" ht="15.75" customHeight="1">
      <c r="A304" s="12">
        <v>2084039586</v>
      </c>
      <c r="B304" s="12" t="s">
        <v>5915</v>
      </c>
      <c r="C304" s="12" t="s">
        <v>5916</v>
      </c>
      <c r="D304" s="5" t="str">
        <f ca="1">IFERROR(__xludf.DUMMYFUNCTION("GOOGLETRANSLATE(B304,""ja"",""vi"")"),"Đại học Một bộ sưu tập vấn đề, Akahon")</f>
        <v>Đại học Một bộ sưu tập vấn đề, Akahon</v>
      </c>
      <c r="E304" s="4" t="str">
        <f ca="1">IFERROR(__xludf.DUMMYFUNCTION("GOOGLETRANSLATE(C304,""ja"",""vi"")"),"Đấu giá&gt; cuốn sách, tạp chí&gt; nghiên cứu, giáo dục&gt; Bộ sưu tập của các vấn đề&gt; University of một bộ sưu tập của các vấn đề, Akahon")</f>
        <v>Đấu giá&gt; cuốn sách, tạp chí&gt; nghiên cứu, giáo dục&gt; Bộ sưu tập của các vấn đề&gt; University of một bộ sưu tập của các vấn đề, Akahon</v>
      </c>
      <c r="F304" t="str">
        <f t="shared" ca="1" si="4"/>
        <v>"2084039586" : "Đại học Một bộ sưu tập vấn đề, Akahon",</v>
      </c>
    </row>
    <row r="305" spans="1:6" ht="15.75" customHeight="1">
      <c r="A305" s="12">
        <v>2084059811</v>
      </c>
      <c r="B305" s="12" t="s">
        <v>46</v>
      </c>
      <c r="C305" s="12" t="s">
        <v>5920</v>
      </c>
      <c r="D305" s="5" t="str">
        <f ca="1">IFERROR(__xludf.DUMMYFUNCTION("GOOGLETRANSLATE(B305,""ja"",""vi"")"),"nếu không thì")</f>
        <v>nếu không thì</v>
      </c>
      <c r="E305" s="4" t="str">
        <f ca="1">IFERROR(__xludf.DUMMYFUNCTION("GOOGLETRANSLATE(C305,""ja"",""vi"")"),"Đấu giá&gt; cuốn sách, tạp chí&gt; nghiên cứu, giáo dục&gt; vấn đề Bộ sưu tập&gt; Khác")</f>
        <v>Đấu giá&gt; cuốn sách, tạp chí&gt; nghiên cứu, giáo dục&gt; vấn đề Bộ sưu tập&gt; Khác</v>
      </c>
      <c r="F305" t="str">
        <f t="shared" ca="1" si="4"/>
        <v>"2084059811" : "nếu không thì",</v>
      </c>
    </row>
    <row r="306" spans="1:6" ht="15.75" customHeight="1">
      <c r="A306" s="12">
        <v>2084009013</v>
      </c>
      <c r="B306" s="12" t="s">
        <v>5923</v>
      </c>
      <c r="C306" s="12" t="s">
        <v>5925</v>
      </c>
      <c r="D306" s="5" t="str">
        <f ca="1">IFERROR(__xludf.DUMMYFUNCTION("GOOGLETRANSLATE(B306,""ja"",""vi"")"),"hóa học")</f>
        <v>hóa học</v>
      </c>
      <c r="E306" s="4" t="str">
        <f ca="1">IFERROR(__xludf.DUMMYFUNCTION("GOOGLETRANSLATE(C306,""ja"",""vi"")"),"Đấu giá&gt; cuốn sách, tạp chí&gt; khoa học tự nhiên và công nghệ&gt; hóa học")</f>
        <v>Đấu giá&gt; cuốn sách, tạp chí&gt; khoa học tự nhiên và công nghệ&gt; hóa học</v>
      </c>
      <c r="F306" t="str">
        <f t="shared" ca="1" si="4"/>
        <v>"2084009013" : "hóa học",</v>
      </c>
    </row>
    <row r="307" spans="1:6" ht="15.75" customHeight="1">
      <c r="A307" s="12">
        <v>2084009012</v>
      </c>
      <c r="B307" s="12" t="s">
        <v>5667</v>
      </c>
      <c r="C307" s="12" t="s">
        <v>5928</v>
      </c>
      <c r="D307" s="5" t="str">
        <f ca="1">IFERROR(__xludf.DUMMYFUNCTION("GOOGLETRANSLATE(B307,""ja"",""vi"")"),"khoa học")</f>
        <v>khoa học</v>
      </c>
      <c r="E307" s="4" t="str">
        <f ca="1">IFERROR(__xludf.DUMMYFUNCTION("GOOGLETRANSLATE(C307,""ja"",""vi"")"),"Đấu giá&gt; cuốn sách, tạp chí&gt; khoa học tự nhiên và công nghệ&gt; Khoa học")</f>
        <v>Đấu giá&gt; cuốn sách, tạp chí&gt; khoa học tự nhiên và công nghệ&gt; Khoa học</v>
      </c>
      <c r="F307" t="str">
        <f t="shared" ca="1" si="4"/>
        <v>"2084009012" : "khoa học",</v>
      </c>
    </row>
    <row r="308" spans="1:6" ht="15.75" customHeight="1">
      <c r="A308" s="12">
        <v>2084009014</v>
      </c>
      <c r="B308" s="12" t="s">
        <v>5931</v>
      </c>
      <c r="C308" s="12" t="s">
        <v>5933</v>
      </c>
      <c r="D308" s="5" t="str">
        <f ca="1">IFERROR(__xludf.DUMMYFUNCTION("GOOGLETRANSLATE(B308,""ja"",""vi"")"),"môi trường")</f>
        <v>môi trường</v>
      </c>
      <c r="E308" s="4" t="str">
        <f ca="1">IFERROR(__xludf.DUMMYFUNCTION("GOOGLETRANSLATE(C308,""ja"",""vi"")"),"Đấu giá&gt; cuốn sách, tạp chí&gt; khoa học tự nhiên và công nghệ&gt; Môi trường")</f>
        <v>Đấu giá&gt; cuốn sách, tạp chí&gt; khoa học tự nhiên và công nghệ&gt; Môi trường</v>
      </c>
      <c r="F308" t="str">
        <f t="shared" ca="1" si="4"/>
        <v>"2084009014" : "môi trường",</v>
      </c>
    </row>
    <row r="309" spans="1:6" ht="15.75" customHeight="1">
      <c r="A309" s="12">
        <v>2084009021</v>
      </c>
      <c r="B309" s="12" t="s">
        <v>5936</v>
      </c>
      <c r="C309" s="12" t="s">
        <v>5938</v>
      </c>
      <c r="D309" s="5" t="str">
        <f ca="1">IFERROR(__xludf.DUMMYFUNCTION("GOOGLETRANSLATE(B309,""ja"",""vi"")"),"kỹ thuật")</f>
        <v>kỹ thuật</v>
      </c>
      <c r="E309" s="4" t="str">
        <f ca="1">IFERROR(__xludf.DUMMYFUNCTION("GOOGLETRANSLATE(C309,""ja"",""vi"")"),"Đấu giá&gt; cuốn sách, tạp chí&gt; khoa học tự nhiên và công nghệ&gt; kỹ thuật")</f>
        <v>Đấu giá&gt; cuốn sách, tạp chí&gt; khoa học tự nhiên và công nghệ&gt; kỹ thuật</v>
      </c>
      <c r="F309" t="str">
        <f t="shared" ca="1" si="4"/>
        <v>"2084009021" : "kỹ thuật",</v>
      </c>
    </row>
    <row r="310" spans="1:6" ht="15.75" customHeight="1">
      <c r="A310" s="12">
        <v>2084008153</v>
      </c>
      <c r="B310" s="12" t="s">
        <v>1586</v>
      </c>
      <c r="C310" s="12" t="s">
        <v>5941</v>
      </c>
      <c r="D310" s="5" t="str">
        <f ca="1">IFERROR(__xludf.DUMMYFUNCTION("GOOGLETRANSLATE(B310,""ja"",""vi"")"),"tạp chí")</f>
        <v>tạp chí</v>
      </c>
      <c r="E310" s="4" t="str">
        <f ca="1">IFERROR(__xludf.DUMMYFUNCTION("GOOGLETRANSLATE(C310,""ja"",""vi"")"),"Đấu giá&gt; cuốn sách, tạp chí&gt; khoa học tự nhiên và công nghệ&gt; Tạp chí")</f>
        <v>Đấu giá&gt; cuốn sách, tạp chí&gt; khoa học tự nhiên và công nghệ&gt; Tạp chí</v>
      </c>
      <c r="F310" t="str">
        <f t="shared" ca="1" si="4"/>
        <v>"2084008153" : "tạp chí",</v>
      </c>
    </row>
    <row r="311" spans="1:6" ht="15.75" customHeight="1">
      <c r="A311" s="12">
        <v>2084009015</v>
      </c>
      <c r="B311" s="12" t="s">
        <v>5946</v>
      </c>
      <c r="C311" s="12" t="s">
        <v>5947</v>
      </c>
      <c r="D311" s="5" t="str">
        <f ca="1">IFERROR(__xludf.DUMMYFUNCTION("GOOGLETRANSLATE(B311,""ja"",""vi"")"),"toán học")</f>
        <v>toán học</v>
      </c>
      <c r="E311" s="4" t="str">
        <f ca="1">IFERROR(__xludf.DUMMYFUNCTION("GOOGLETRANSLATE(C311,""ja"",""vi"")"),"Đấu giá&gt; cuốn sách, tạp chí&gt; khoa học tự nhiên và công nghệ&gt; Toán học")</f>
        <v>Đấu giá&gt; cuốn sách, tạp chí&gt; khoa học tự nhiên và công nghệ&gt; Toán học</v>
      </c>
      <c r="F311" t="str">
        <f t="shared" ca="1" si="4"/>
        <v>"2084009015" : "toán học",</v>
      </c>
    </row>
    <row r="312" spans="1:6" ht="15.75" customHeight="1">
      <c r="A312" s="12">
        <v>2084009016</v>
      </c>
      <c r="B312" s="12" t="s">
        <v>5952</v>
      </c>
      <c r="C312" s="12" t="s">
        <v>5953</v>
      </c>
      <c r="D312" s="5" t="str">
        <f ca="1">IFERROR(__xludf.DUMMYFUNCTION("GOOGLETRANSLATE(B312,""ja"",""vi"")"),"sinh học")</f>
        <v>sinh học</v>
      </c>
      <c r="E312" s="4" t="str">
        <f ca="1">IFERROR(__xludf.DUMMYFUNCTION("GOOGLETRANSLATE(C312,""ja"",""vi"")"),"Đấu giá&gt; cuốn sách, tạp chí&gt; khoa học tự nhiên và công nghệ&gt; sinh học")</f>
        <v>Đấu giá&gt; cuốn sách, tạp chí&gt; khoa học tự nhiên và công nghệ&gt; sinh học</v>
      </c>
      <c r="F312" t="str">
        <f t="shared" ca="1" si="4"/>
        <v>"2084009016" : "sinh học",</v>
      </c>
    </row>
    <row r="313" spans="1:6" ht="15.75" customHeight="1">
      <c r="A313" s="12">
        <v>2084009017</v>
      </c>
      <c r="B313" s="12" t="s">
        <v>5957</v>
      </c>
      <c r="C313" s="12" t="s">
        <v>5960</v>
      </c>
      <c r="D313" s="5" t="str">
        <f ca="1">IFERROR(__xludf.DUMMYFUNCTION("GOOGLETRANSLATE(B313,""ja"",""vi"")"),"Khoa học Trái đất")</f>
        <v>Khoa học Trái đất</v>
      </c>
      <c r="E313" s="4" t="str">
        <f ca="1">IFERROR(__xludf.DUMMYFUNCTION("GOOGLETRANSLATE(C313,""ja"",""vi"")"),"Đấu giá&gt; cuốn sách, tạp chí&gt; khoa học tự nhiên và công nghệ&gt; Khoa học Trái đất")</f>
        <v>Đấu giá&gt; cuốn sách, tạp chí&gt; khoa học tự nhiên và công nghệ&gt; Khoa học Trái đất</v>
      </c>
      <c r="F313" t="str">
        <f t="shared" ca="1" si="4"/>
        <v>"2084009017" : "Khoa học Trái đất",</v>
      </c>
    </row>
    <row r="314" spans="1:6" ht="15.75" customHeight="1">
      <c r="A314" s="12">
        <v>2084009018</v>
      </c>
      <c r="B314" s="12" t="s">
        <v>5962</v>
      </c>
      <c r="C314" s="12" t="s">
        <v>5963</v>
      </c>
      <c r="D314" s="5" t="str">
        <f ca="1">IFERROR(__xludf.DUMMYFUNCTION("GOOGLETRANSLATE(B314,""ja"",""vi"")"),"Thiên văn học, vũ trụ")</f>
        <v>Thiên văn học, vũ trụ</v>
      </c>
      <c r="E314" s="4" t="str">
        <f ca="1">IFERROR(__xludf.DUMMYFUNCTION("GOOGLETRANSLATE(C314,""ja"",""vi"")"),"Đấu giá&gt; cuốn sách, tạp chí&gt; khoa học tự nhiên và công nghệ&gt; Thiên văn học, vũ trụ")</f>
        <v>Đấu giá&gt; cuốn sách, tạp chí&gt; khoa học tự nhiên và công nghệ&gt; Thiên văn học, vũ trụ</v>
      </c>
      <c r="F314" t="str">
        <f t="shared" ca="1" si="4"/>
        <v>"2084009018" : "Thiên văn học, vũ trụ",</v>
      </c>
    </row>
    <row r="315" spans="1:6" ht="15.75" customHeight="1">
      <c r="A315" s="12">
        <v>2084009019</v>
      </c>
      <c r="B315" s="12" t="s">
        <v>5967</v>
      </c>
      <c r="C315" s="12" t="s">
        <v>5968</v>
      </c>
      <c r="D315" s="5" t="str">
        <f ca="1">IFERROR(__xludf.DUMMYFUNCTION("GOOGLETRANSLATE(B315,""ja"",""vi"")"),"nông nghiệp")</f>
        <v>nông nghiệp</v>
      </c>
      <c r="E315" s="4" t="str">
        <f ca="1">IFERROR(__xludf.DUMMYFUNCTION("GOOGLETRANSLATE(C315,""ja"",""vi"")"),"Đấu giá&gt; cuốn sách, tạp chí&gt; khoa học tự nhiên và công nghệ&gt; Nông nghiệp")</f>
        <v>Đấu giá&gt; cuốn sách, tạp chí&gt; khoa học tự nhiên và công nghệ&gt; Nông nghiệp</v>
      </c>
      <c r="F315" t="str">
        <f t="shared" ca="1" si="4"/>
        <v>"2084009019" : "nông nghiệp",</v>
      </c>
    </row>
    <row r="316" spans="1:6" ht="15.75" customHeight="1">
      <c r="A316" s="12">
        <v>2084009020</v>
      </c>
      <c r="B316" s="12" t="s">
        <v>5971</v>
      </c>
      <c r="C316" s="12" t="s">
        <v>5972</v>
      </c>
      <c r="D316" s="5" t="str">
        <f ca="1">IFERROR(__xludf.DUMMYFUNCTION("GOOGLETRANSLATE(B316,""ja"",""vi"")"),"vật lý")</f>
        <v>vật lý</v>
      </c>
      <c r="E316" s="4" t="str">
        <f ca="1">IFERROR(__xludf.DUMMYFUNCTION("GOOGLETRANSLATE(C316,""ja"",""vi"")"),"Đấu giá&gt; cuốn sách, tạp chí&gt; khoa học tự nhiên và công nghệ&gt; Vật lý")</f>
        <v>Đấu giá&gt; cuốn sách, tạp chí&gt; khoa học tự nhiên và công nghệ&gt; Vật lý</v>
      </c>
      <c r="F316" t="str">
        <f t="shared" ca="1" si="4"/>
        <v>"2084009020" : "vật lý",</v>
      </c>
    </row>
    <row r="317" spans="1:6" ht="15.75" customHeight="1">
      <c r="A317" s="12">
        <v>21720</v>
      </c>
      <c r="B317" s="12" t="s">
        <v>5003</v>
      </c>
      <c r="C317" s="12" t="s">
        <v>5977</v>
      </c>
      <c r="D317" s="5" t="str">
        <f ca="1">IFERROR(__xludf.DUMMYFUNCTION("GOOGLETRANSLATE(B317,""ja"",""vi"")"),"nghiên cứu ngôn ngữ")</f>
        <v>nghiên cứu ngôn ngữ</v>
      </c>
      <c r="E317" s="4" t="str">
        <f ca="1">IFERROR(__xludf.DUMMYFUNCTION("GOOGLETRANSLATE(C317,""ja"",""vi"")"),"Đấu giá&gt; cuốn sách, tạp chí&gt; nhân văn, xã hội&gt; Ngôn ngữ")</f>
        <v>Đấu giá&gt; cuốn sách, tạp chí&gt; nhân văn, xã hội&gt; Ngôn ngữ</v>
      </c>
      <c r="F317" t="str">
        <f t="shared" ca="1" si="4"/>
        <v>"21720" : "nghiên cứu ngôn ngữ",</v>
      </c>
    </row>
    <row r="318" spans="1:6" ht="15.75" customHeight="1">
      <c r="A318" s="12">
        <v>21808</v>
      </c>
      <c r="B318" s="12" t="s">
        <v>5980</v>
      </c>
      <c r="C318" s="12" t="s">
        <v>5982</v>
      </c>
      <c r="D318" s="5" t="str">
        <f ca="1">IFERROR(__xludf.DUMMYFUNCTION("GOOGLETRANSLATE(B318,""ja"",""vi"")"),"tôn giáo")</f>
        <v>tôn giáo</v>
      </c>
      <c r="E318" s="4" t="str">
        <f ca="1">IFERROR(__xludf.DUMMYFUNCTION("GOOGLETRANSLATE(C318,""ja"",""vi"")"),"Đấu giá&gt; cuốn sách, tạp chí&gt; nhân văn, xã hội&gt; tôn giáo")</f>
        <v>Đấu giá&gt; cuốn sách, tạp chí&gt; nhân văn, xã hội&gt; tôn giáo</v>
      </c>
      <c r="F318" t="str">
        <f t="shared" ca="1" si="4"/>
        <v>"21808" : "tôn giáo",</v>
      </c>
    </row>
    <row r="319" spans="1:6" ht="15.75" customHeight="1">
      <c r="A319" s="12">
        <v>2084008566</v>
      </c>
      <c r="B319" s="12" t="s">
        <v>5986</v>
      </c>
      <c r="C319" s="12" t="s">
        <v>5988</v>
      </c>
      <c r="D319" s="5" t="str">
        <f ca="1">IFERROR(__xludf.DUMMYFUNCTION("GOOGLETRANSLATE(B319,""ja"",""vi"")"),"tâm lý học")</f>
        <v>tâm lý học</v>
      </c>
      <c r="E319" s="4" t="str">
        <f ca="1">IFERROR(__xludf.DUMMYFUNCTION("GOOGLETRANSLATE(C319,""ja"",""vi"")"),"Đấu giá&gt; cuốn sách, tạp chí&gt; nhân văn, xã hội&gt; Tâm lý học")</f>
        <v>Đấu giá&gt; cuốn sách, tạp chí&gt; nhân văn, xã hội&gt; Tâm lý học</v>
      </c>
      <c r="F319" t="str">
        <f t="shared" ca="1" si="4"/>
        <v>"2084008566" : "tâm lý học",</v>
      </c>
    </row>
    <row r="320" spans="1:6" ht="15.75" customHeight="1">
      <c r="A320" s="12">
        <v>2084008570</v>
      </c>
      <c r="B320" s="12" t="s">
        <v>5991</v>
      </c>
      <c r="C320" s="12" t="s">
        <v>5993</v>
      </c>
      <c r="D320" s="5" t="str">
        <f ca="1">IFERROR(__xludf.DUMMYFUNCTION("GOOGLETRANSLATE(B320,""ja"",""vi"")"),"Thư viện, Bảo tàng")</f>
        <v>Thư viện, Bảo tàng</v>
      </c>
      <c r="E320" s="4" t="str">
        <f ca="1">IFERROR(__xludf.DUMMYFUNCTION("GOOGLETRANSLATE(C320,""ja"",""vi"")"),"Đấu giá&gt; cuốn sách, tạp chí&gt; nhân văn, xã hội&gt; Thư viện, Bảo tàng")</f>
        <v>Đấu giá&gt; cuốn sách, tạp chí&gt; nhân văn, xã hội&gt; Thư viện, Bảo tàng</v>
      </c>
      <c r="F320" t="str">
        <f t="shared" ca="1" si="4"/>
        <v>"2084008570" : "Thư viện, Bảo tàng",</v>
      </c>
    </row>
    <row r="321" spans="1:6" ht="15.75" customHeight="1">
      <c r="A321" s="12">
        <v>2084008567</v>
      </c>
      <c r="B321" s="12" t="s">
        <v>5995</v>
      </c>
      <c r="C321" s="12" t="s">
        <v>5998</v>
      </c>
      <c r="D321" s="5" t="str">
        <f ca="1">IFERROR(__xludf.DUMMYFUNCTION("GOOGLETRANSLATE(B321,""ja"",""vi"")"),"Triết học, tư tưởng")</f>
        <v>Triết học, tư tưởng</v>
      </c>
      <c r="E321" s="4" t="str">
        <f ca="1">IFERROR(__xludf.DUMMYFUNCTION("GOOGLETRANSLATE(C321,""ja"",""vi"")"),"Đấu giá&gt; cuốn sách, tạp chí&gt; nhân văn, xã hội&gt; triết học, tư tưởng")</f>
        <v>Đấu giá&gt; cuốn sách, tạp chí&gt; nhân văn, xã hội&gt; triết học, tư tưởng</v>
      </c>
      <c r="F321" t="str">
        <f t="shared" ca="1" si="4"/>
        <v>"2084008567" : "Triết học, tư tưởng",</v>
      </c>
    </row>
    <row r="322" spans="1:6" ht="15.75" customHeight="1">
      <c r="A322" s="12">
        <v>2084008754</v>
      </c>
      <c r="B322" s="12" t="s">
        <v>6003</v>
      </c>
      <c r="C322" s="12" t="s">
        <v>6005</v>
      </c>
      <c r="D322" s="5" t="str">
        <f ca="1">IFERROR(__xludf.DUMMYFUNCTION("GOOGLETRANSLATE(B322,""ja"",""vi"")"),"Quản trị kinh doanh")</f>
        <v>Quản trị kinh doanh</v>
      </c>
      <c r="E322" s="4" t="str">
        <f ca="1">IFERROR(__xludf.DUMMYFUNCTION("GOOGLETRANSLATE(C322,""ja"",""vi"")"),"Đấu giá&gt; cuốn sách, tạp chí&gt; nhân văn, xã hội&gt; Quản Trị Kinh Doanh")</f>
        <v>Đấu giá&gt; cuốn sách, tạp chí&gt; nhân văn, xã hội&gt; Quản Trị Kinh Doanh</v>
      </c>
      <c r="F322" t="str">
        <f t="shared" ref="F322:F385" ca="1" si="5">CONCATENATE(CHAR(34)&amp;"",A322,""&amp;CHAR(34)," : ", CHAR(34)&amp;"",D322,""&amp;CHAR(34),",")</f>
        <v>"2084008754" : "Quản trị kinh doanh",</v>
      </c>
    </row>
    <row r="323" spans="1:6" ht="15.75" customHeight="1">
      <c r="A323" s="12">
        <v>2084008753</v>
      </c>
      <c r="B323" s="12" t="s">
        <v>6008</v>
      </c>
      <c r="C323" s="12" t="s">
        <v>6010</v>
      </c>
      <c r="D323" s="5" t="str">
        <f ca="1">IFERROR(__xludf.DUMMYFUNCTION("GOOGLETRANSLATE(B323,""ja"",""vi"")"),"kinh tế học")</f>
        <v>kinh tế học</v>
      </c>
      <c r="E323" s="4" t="str">
        <f ca="1">IFERROR(__xludf.DUMMYFUNCTION("GOOGLETRANSLATE(C323,""ja"",""vi"")"),"Đấu giá&gt; cuốn sách, tạp chí&gt; nhân văn, xã hội&gt; Kinh tế")</f>
        <v>Đấu giá&gt; cuốn sách, tạp chí&gt; nhân văn, xã hội&gt; Kinh tế</v>
      </c>
      <c r="F323" t="str">
        <f t="shared" ca="1" si="5"/>
        <v>"2084008753" : "kinh tế học",</v>
      </c>
    </row>
    <row r="324" spans="1:6" ht="15.75" customHeight="1">
      <c r="A324" s="12">
        <v>2084047378</v>
      </c>
      <c r="B324" s="12" t="s">
        <v>6012</v>
      </c>
      <c r="C324" s="12" t="s">
        <v>6014</v>
      </c>
      <c r="D324" s="5" t="str">
        <f ca="1">IFERROR(__xludf.DUMMYFUNCTION("GOOGLETRANSLATE(B324,""ja"",""vi"")"),"xã hội học")</f>
        <v>xã hội học</v>
      </c>
      <c r="E324" s="4" t="str">
        <f ca="1">IFERROR(__xludf.DUMMYFUNCTION("GOOGLETRANSLATE(C324,""ja"",""vi"")"),"Đấu giá&gt; cuốn sách, tạp chí&gt; nhân văn, xã hội&gt; Xã hội học")</f>
        <v>Đấu giá&gt; cuốn sách, tạp chí&gt; nhân văn, xã hội&gt; Xã hội học</v>
      </c>
      <c r="F324" t="str">
        <f t="shared" ca="1" si="5"/>
        <v>"2084047378" : "xã hội học",</v>
      </c>
    </row>
    <row r="325" spans="1:6" ht="15.75" customHeight="1">
      <c r="A325" s="12">
        <v>2084008572</v>
      </c>
      <c r="B325" s="12" t="s">
        <v>6018</v>
      </c>
      <c r="C325" s="12" t="s">
        <v>6019</v>
      </c>
      <c r="D325" s="5" t="str">
        <f ca="1">IFERROR(__xludf.DUMMYFUNCTION("GOOGLETRANSLATE(B325,""ja"",""vi"")"),"vấn đề xã hội")</f>
        <v>vấn đề xã hội</v>
      </c>
      <c r="E325" s="4" t="str">
        <f ca="1">IFERROR(__xludf.DUMMYFUNCTION("GOOGLETRANSLATE(C325,""ja"",""vi"")"),"Đấu giá&gt; cuốn sách, tạp chí&gt; nhân văn, xã hội&gt; vấn đề xã hội")</f>
        <v>Đấu giá&gt; cuốn sách, tạp chí&gt; nhân văn, xã hội&gt; vấn đề xã hội</v>
      </c>
      <c r="F325" t="str">
        <f t="shared" ca="1" si="5"/>
        <v>"2084008572" : "vấn đề xã hội",</v>
      </c>
    </row>
    <row r="326" spans="1:6" ht="15.75" customHeight="1">
      <c r="A326" s="12">
        <v>2084047377</v>
      </c>
      <c r="B326" s="12" t="s">
        <v>6024</v>
      </c>
      <c r="C326" s="12" t="s">
        <v>6027</v>
      </c>
      <c r="D326" s="5" t="str">
        <f ca="1">IFERROR(__xludf.DUMMYFUNCTION("GOOGLETRANSLATE(B326,""ja"",""vi"")"),"chánh sách khoa học")</f>
        <v>chánh sách khoa học</v>
      </c>
      <c r="E326" s="4" t="str">
        <f ca="1">IFERROR(__xludf.DUMMYFUNCTION("GOOGLETRANSLATE(C326,""ja"",""vi"")"),"Đấu giá&gt; cuốn sách, tạp chí&gt; nhân văn, xã hội&gt; Chính trị")</f>
        <v>Đấu giá&gt; cuốn sách, tạp chí&gt; nhân văn, xã hội&gt; Chính trị</v>
      </c>
      <c r="F326" t="str">
        <f t="shared" ca="1" si="5"/>
        <v>"2084047377" : "chánh sách khoa học",</v>
      </c>
    </row>
    <row r="327" spans="1:6" ht="15.75" customHeight="1">
      <c r="A327" s="12">
        <v>2084008568</v>
      </c>
      <c r="B327" s="12" t="s">
        <v>6032</v>
      </c>
      <c r="C327" s="12" t="s">
        <v>6033</v>
      </c>
      <c r="D327" s="5" t="str">
        <f ca="1">IFERROR(__xludf.DUMMYFUNCTION("GOOGLETRANSLATE(B327,""ja"",""vi"")"),"Địa lý")</f>
        <v>Địa lý</v>
      </c>
      <c r="E327" s="4" t="str">
        <f ca="1">IFERROR(__xludf.DUMMYFUNCTION("GOOGLETRANSLATE(C327,""ja"",""vi"")"),"Đấu giá&gt; cuốn sách, tạp chí&gt; nhân văn, xã hội&gt; Địa lý")</f>
        <v>Đấu giá&gt; cuốn sách, tạp chí&gt; nhân văn, xã hội&gt; Địa lý</v>
      </c>
      <c r="F327" t="str">
        <f t="shared" ca="1" si="5"/>
        <v>"2084008568" : "Địa lý",</v>
      </c>
    </row>
    <row r="328" spans="1:6" ht="15.75" customHeight="1">
      <c r="A328" s="12">
        <v>2084008571</v>
      </c>
      <c r="B328" s="12" t="s">
        <v>6038</v>
      </c>
      <c r="C328" s="12" t="s">
        <v>6040</v>
      </c>
      <c r="D328" s="5" t="str">
        <f ca="1">IFERROR(__xludf.DUMMYFUNCTION("GOOGLETRANSLATE(B328,""ja"",""vi"")"),"phúc lợi")</f>
        <v>phúc lợi</v>
      </c>
      <c r="E328" s="4" t="str">
        <f ca="1">IFERROR(__xludf.DUMMYFUNCTION("GOOGLETRANSLATE(C328,""ja"",""vi"")"),"Đấu giá&gt; cuốn sách, tạp chí&gt; nhân văn, xã hội&gt; phúc lợi")</f>
        <v>Đấu giá&gt; cuốn sách, tạp chí&gt; nhân văn, xã hội&gt; phúc lợi</v>
      </c>
      <c r="F328" t="str">
        <f t="shared" ca="1" si="5"/>
        <v>"2084008571" : "phúc lợi",</v>
      </c>
    </row>
    <row r="329" spans="1:6" ht="15.75" customHeight="1">
      <c r="A329" s="12">
        <v>2084008573</v>
      </c>
      <c r="B329" s="12" t="s">
        <v>6044</v>
      </c>
      <c r="C329" s="12" t="s">
        <v>6046</v>
      </c>
      <c r="D329" s="5" t="str">
        <f ca="1">IFERROR(__xludf.DUMMYFUNCTION("GOOGLETRANSLATE(B329,""ja"",""vi"")"),"Văn hóa, dân gian")</f>
        <v>Văn hóa, dân gian</v>
      </c>
      <c r="E329" s="4" t="str">
        <f ca="1">IFERROR(__xludf.DUMMYFUNCTION("GOOGLETRANSLATE(C329,""ja"",""vi"")"),"Đấu giá&gt; cuốn sách, tạp chí&gt; nhân văn, xã hội&gt; văn hóa, dân gian")</f>
        <v>Đấu giá&gt; cuốn sách, tạp chí&gt; nhân văn, xã hội&gt; văn hóa, dân gian</v>
      </c>
      <c r="F329" t="str">
        <f t="shared" ca="1" si="5"/>
        <v>"2084008573" : "Văn hóa, dân gian",</v>
      </c>
    </row>
    <row r="330" spans="1:6" ht="15.75" customHeight="1">
      <c r="A330" s="12">
        <v>2084008752</v>
      </c>
      <c r="B330" s="12" t="s">
        <v>6049</v>
      </c>
      <c r="C330" s="12" t="s">
        <v>6052</v>
      </c>
      <c r="D330" s="5" t="str">
        <f ca="1">IFERROR(__xludf.DUMMYFUNCTION("GOOGLETRANSLATE(B330,""ja"",""vi"")"),"pháp luật")</f>
        <v>pháp luật</v>
      </c>
      <c r="E330" s="4" t="str">
        <f ca="1">IFERROR(__xludf.DUMMYFUNCTION("GOOGLETRANSLATE(C330,""ja"",""vi"")"),"Đấu giá&gt; cuốn sách, tạp chí&gt; nhân văn, xã hội&gt; pháp luật")</f>
        <v>Đấu giá&gt; cuốn sách, tạp chí&gt; nhân văn, xã hội&gt; pháp luật</v>
      </c>
      <c r="F330" t="str">
        <f t="shared" ca="1" si="5"/>
        <v>"2084008752" : "pháp luật",</v>
      </c>
    </row>
    <row r="331" spans="1:6" ht="15.75" customHeight="1">
      <c r="A331" s="12">
        <v>2084008569</v>
      </c>
      <c r="B331" s="12" t="s">
        <v>5097</v>
      </c>
      <c r="C331" s="12" t="s">
        <v>6056</v>
      </c>
      <c r="D331" s="5" t="str">
        <f ca="1">IFERROR(__xludf.DUMMYFUNCTION("GOOGLETRANSLATE(B331,""ja"",""vi"")"),"lịch sử")</f>
        <v>lịch sử</v>
      </c>
      <c r="E331" s="4" t="str">
        <f ca="1">IFERROR(__xludf.DUMMYFUNCTION("GOOGLETRANSLATE(C331,""ja"",""vi"")"),"Đấu giá&gt; cuốn sách, tạp chí&gt; nhân văn, xã hội&gt; Lịch sử")</f>
        <v>Đấu giá&gt; cuốn sách, tạp chí&gt; nhân văn, xã hội&gt; Lịch sử</v>
      </c>
      <c r="F331" t="str">
        <f t="shared" ca="1" si="5"/>
        <v>"2084008569" : "lịch sử",</v>
      </c>
    </row>
    <row r="332" spans="1:6" ht="15.75" customHeight="1">
      <c r="A332" s="12">
        <v>2084008643</v>
      </c>
      <c r="B332" s="12" t="s">
        <v>6061</v>
      </c>
      <c r="C332" s="12" t="s">
        <v>6062</v>
      </c>
      <c r="D332" s="5" t="str">
        <f ca="1">IFERROR(__xludf.DUMMYFUNCTION("GOOGLETRANSLATE(B332,""ja"",""vi"")"),"Bức tranh chung cuốn sách")</f>
        <v>Bức tranh chung cuốn sách</v>
      </c>
      <c r="E332" s="4" t="str">
        <f ca="1">IFERROR(__xludf.DUMMYFUNCTION("GOOGLETRANSLATE(C332,""ja"",""vi"")"),"Đấu giá&gt; Sách, tạp chí&gt; sách thiếu nhi, sách ảnh&gt; sách ảnh&gt; chung cuốn truyện tranh")</f>
        <v>Đấu giá&gt; Sách, tạp chí&gt; sách thiếu nhi, sách ảnh&gt; sách ảnh&gt; chung cuốn truyện tranh</v>
      </c>
      <c r="F332" t="str">
        <f t="shared" ca="1" si="5"/>
        <v>"2084008643" : "Bức tranh chung cuốn sách",</v>
      </c>
    </row>
    <row r="333" spans="1:6" ht="15.75" customHeight="1">
      <c r="A333" s="12">
        <v>2084008644</v>
      </c>
      <c r="B333" s="12" t="s">
        <v>6065</v>
      </c>
      <c r="C333" s="12" t="s">
        <v>6067</v>
      </c>
      <c r="D333" s="5" t="str">
        <f ca="1">IFERROR(__xludf.DUMMYFUNCTION("GOOGLETRANSLATE(B333,""ja"",""vi"")"),"sách ảnh bé")</f>
        <v>sách ảnh bé</v>
      </c>
      <c r="E333" s="4" t="str">
        <f ca="1">IFERROR(__xludf.DUMMYFUNCTION("GOOGLETRANSLATE(C333,""ja"",""vi"")"),"Đấu giá&gt; Sách, tạp chí&gt; sách thiếu nhi, sách ảnh&gt; sách ảnh&gt; sách ảnh bé")</f>
        <v>Đấu giá&gt; Sách, tạp chí&gt; sách thiếu nhi, sách ảnh&gt; sách ảnh&gt; sách ảnh bé</v>
      </c>
      <c r="F333" t="str">
        <f t="shared" ca="1" si="5"/>
        <v>"2084008644" : "sách ảnh bé",</v>
      </c>
    </row>
    <row r="334" spans="1:6" ht="15.75" customHeight="1">
      <c r="A334" s="12">
        <v>2084008645</v>
      </c>
      <c r="B334" s="12" t="s">
        <v>6070</v>
      </c>
      <c r="C334" s="12" t="s">
        <v>6071</v>
      </c>
      <c r="D334" s="5" t="str">
        <f ca="1">IFERROR(__xludf.DUMMYFUNCTION("GOOGLETRANSLATE(B334,""ja"",""vi"")"),"3 và 4 tuổi cho một cuốn truyện tranh")</f>
        <v>3 và 4 tuổi cho một cuốn truyện tranh</v>
      </c>
      <c r="E334" s="4" t="str">
        <f ca="1">IFERROR(__xludf.DUMMYFUNCTION("GOOGLETRANSLATE(C334,""ja"",""vi"")"),"Đấu giá&gt; Sách, tạp chí&gt; sách thiếu nhi, sách ảnh&gt; hình ảnh cuốn sách&gt; cho cuốn sách ảnh 3 và 4 tuổi")</f>
        <v>Đấu giá&gt; Sách, tạp chí&gt; sách thiếu nhi, sách ảnh&gt; hình ảnh cuốn sách&gt; cho cuốn sách ảnh 3 và 4 tuổi</v>
      </c>
      <c r="F334" t="str">
        <f t="shared" ca="1" si="5"/>
        <v>"2084008645" : "3 và 4 tuổi cho một cuốn truyện tranh",</v>
      </c>
    </row>
    <row r="335" spans="1:6" ht="15.75" customHeight="1">
      <c r="A335" s="12">
        <v>2084008648</v>
      </c>
      <c r="B335" s="12" t="s">
        <v>6075</v>
      </c>
      <c r="C335" s="12" t="s">
        <v>6076</v>
      </c>
      <c r="D335" s="5" t="str">
        <f ca="1">IFERROR(__xludf.DUMMYFUNCTION("GOOGLETRANSLATE(B335,""ja"",""vi"")"),"cuốn truyện tranh dành cho người lớn")</f>
        <v>cuốn truyện tranh dành cho người lớn</v>
      </c>
      <c r="E335" s="4" t="str">
        <f ca="1">IFERROR(__xludf.DUMMYFUNCTION("GOOGLETRANSLATE(C335,""ja"",""vi"")"),"Đấu giá&gt; Sách, tạp chí&gt; sách thiếu nhi, sách ảnh&gt; sách ảnh&gt; cuốn truyện tranh dành cho người lớn")</f>
        <v>Đấu giá&gt; Sách, tạp chí&gt; sách thiếu nhi, sách ảnh&gt; sách ảnh&gt; cuốn truyện tranh dành cho người lớn</v>
      </c>
      <c r="F335" t="str">
        <f t="shared" ca="1" si="5"/>
        <v>"2084008648" : "cuốn truyện tranh dành cho người lớn",</v>
      </c>
    </row>
    <row r="336" spans="1:6" ht="15.75" customHeight="1">
      <c r="A336" s="12">
        <v>2084008646</v>
      </c>
      <c r="B336" s="12" t="s">
        <v>6080</v>
      </c>
      <c r="C336" s="12" t="s">
        <v>6081</v>
      </c>
      <c r="D336" s="5" t="str">
        <f ca="1">IFERROR(__xludf.DUMMYFUNCTION("GOOGLETRANSLATE(B336,""ja"",""vi"")"),"sách ảnh mánh lới quảng cáo")</f>
        <v>sách ảnh mánh lới quảng cáo</v>
      </c>
      <c r="E336" s="4" t="str">
        <f ca="1">IFERROR(__xludf.DUMMYFUNCTION("GOOGLETRANSLATE(C336,""ja"",""vi"")"),"Đấu giá&gt; Sách, tạp chí&gt; sách thiếu nhi, sách ảnh&gt; sách ảnh&gt; cuốn sách mánh lới quảng cáo hình ảnh")</f>
        <v>Đấu giá&gt; Sách, tạp chí&gt; sách thiếu nhi, sách ảnh&gt; sách ảnh&gt; cuốn sách mánh lới quảng cáo hình ảnh</v>
      </c>
      <c r="F336" t="str">
        <f t="shared" ca="1" si="5"/>
        <v>"2084008646" : "sách ảnh mánh lới quảng cáo",</v>
      </c>
    </row>
    <row r="337" spans="1:6" ht="15.75" customHeight="1">
      <c r="A337" s="12">
        <v>2084048888</v>
      </c>
      <c r="B337" s="12" t="s">
        <v>6084</v>
      </c>
      <c r="C337" s="12" t="s">
        <v>6086</v>
      </c>
      <c r="D337" s="5" t="str">
        <f ca="1">IFERROR(__xludf.DUMMYFUNCTION("GOOGLETRANSLATE(B337,""ja"",""vi"")"),"Kamishibai, Coloring")</f>
        <v>Kamishibai, Coloring</v>
      </c>
      <c r="E337" s="4" t="str">
        <f ca="1">IFERROR(__xludf.DUMMYFUNCTION("GOOGLETRANSLATE(C337,""ja"",""vi"")"),"Đấu giá&gt; Sách, tạp chí&gt; sách thiếu nhi, sách ảnh&gt; sách ảnh&gt; hình ảnh hiển thị tầng, Coloring")</f>
        <v>Đấu giá&gt; Sách, tạp chí&gt; sách thiếu nhi, sách ảnh&gt; sách ảnh&gt; hình ảnh hiển thị tầng, Coloring</v>
      </c>
      <c r="F337" t="str">
        <f t="shared" ca="1" si="5"/>
        <v>"2084048888" : "Kamishibai, Coloring",</v>
      </c>
    </row>
    <row r="338" spans="1:6" ht="15.75" customHeight="1">
      <c r="A338" s="12">
        <v>2084008647</v>
      </c>
      <c r="B338" s="12" t="s">
        <v>6088</v>
      </c>
      <c r="C338" s="12" t="s">
        <v>6090</v>
      </c>
      <c r="D338" s="5" t="str">
        <f ca="1">IFERROR(__xludf.DUMMYFUNCTION("GOOGLETRANSLATE(B338,""ja"",""vi"")"),"cuốn truyện tranh giáo dục, học tập cuốn sách")</f>
        <v>cuốn truyện tranh giáo dục, học tập cuốn sách</v>
      </c>
      <c r="E338" s="4" t="str">
        <f ca="1">IFERROR(__xludf.DUMMYFUNCTION("GOOGLETRANSLATE(C338,""ja"",""vi"")"),"Đấu giá&gt; Sách, tạp chí&gt; sách thiếu nhi, sách ảnh&gt; sách ảnh&gt; đào tạo cuốn truyện tranh trí tuệ, nghiên cứu hình ảnh cuốn sách")</f>
        <v>Đấu giá&gt; Sách, tạp chí&gt; sách thiếu nhi, sách ảnh&gt; sách ảnh&gt; đào tạo cuốn truyện tranh trí tuệ, nghiên cứu hình ảnh cuốn sách</v>
      </c>
      <c r="F338" t="str">
        <f t="shared" ca="1" si="5"/>
        <v>"2084008647" : "cuốn truyện tranh giáo dục, học tập cuốn sách",</v>
      </c>
    </row>
    <row r="339" spans="1:6" ht="15.75" customHeight="1">
      <c r="A339" s="12">
        <v>2084008649</v>
      </c>
      <c r="B339" s="12" t="s">
        <v>6093</v>
      </c>
      <c r="C339" s="12" t="s">
        <v>6094</v>
      </c>
      <c r="D339" s="5" t="str">
        <f ca="1">IFERROR(__xludf.DUMMYFUNCTION("GOOGLETRANSLATE(B339,""ja"",""vi"")"),"Sách, ngoại ngữ cuốn truyện tranh")</f>
        <v>Sách, ngoại ngữ cuốn truyện tranh</v>
      </c>
      <c r="E339" s="4" t="str">
        <f ca="1">IFERROR(__xludf.DUMMYFUNCTION("GOOGLETRANSLATE(C339,""ja"",""vi"")"),"Đấu giá&gt; Sách, tạp chí&gt; sách thiếu nhi, sách ảnh&gt; sách ảnh&gt; Sách, ngoại ngữ cuốn truyện tranh")</f>
        <v>Đấu giá&gt; Sách, tạp chí&gt; sách thiếu nhi, sách ảnh&gt; sách ảnh&gt; Sách, ngoại ngữ cuốn truyện tranh</v>
      </c>
      <c r="F339" t="str">
        <f t="shared" ca="1" si="5"/>
        <v>"2084008649" : "Sách, ngoại ngữ cuốn truyện tranh",</v>
      </c>
    </row>
    <row r="340" spans="1:6" ht="15.75" customHeight="1">
      <c r="A340" s="12">
        <v>2084008655</v>
      </c>
      <c r="B340" s="12" t="s">
        <v>6098</v>
      </c>
      <c r="C340" s="12" t="s">
        <v>6100</v>
      </c>
      <c r="D340" s="5" t="str">
        <f ca="1">IFERROR(__xludf.DUMMYFUNCTION("GOOGLETRANSLATE(B340,""ja"",""vi"")"),"Đọc sách chung tài liệu")</f>
        <v>Đọc sách chung tài liệu</v>
      </c>
      <c r="E340" s="4" t="str">
        <f ca="1">IFERROR(__xludf.DUMMYFUNCTION("GOOGLETRANSLATE(C340,""ja"",""vi"")"),"Đấu giá&gt; Sách, tạp chí&gt; sách thiếu nhi, sách ảnh&gt; văn học thiếu nhi, đọc tài liệu&gt; đọc chung tài liệu")</f>
        <v>Đấu giá&gt; Sách, tạp chí&gt; sách thiếu nhi, sách ảnh&gt; văn học thiếu nhi, đọc tài liệu&gt; đọc chung tài liệu</v>
      </c>
      <c r="F340" t="str">
        <f t="shared" ca="1" si="5"/>
        <v>"2084008655" : "Đọc sách chung tài liệu",</v>
      </c>
    </row>
    <row r="341" spans="1:6" ht="15.75" customHeight="1">
      <c r="A341" s="12">
        <v>2084008659</v>
      </c>
      <c r="B341" s="12" t="s">
        <v>6102</v>
      </c>
      <c r="C341" s="12" t="s">
        <v>6104</v>
      </c>
      <c r="D341" s="5" t="str">
        <f ca="1">IFERROR(__xludf.DUMMYFUNCTION("GOOGLETRANSLATE(B341,""ja"",""vi"")"),"Ma câu chuyện, câu chuyện ma")</f>
        <v>Ma câu chuyện, câu chuyện ma</v>
      </c>
      <c r="E341" s="4" t="str">
        <f ca="1">IFERROR(__xludf.DUMMYFUNCTION("GOOGLETRANSLATE(C341,""ja"",""vi"")"),"Đấu giá&gt; Sách, tạp chí&gt; sách thiếu nhi, sách ảnh&gt; văn học thiếu nhi, đọc tài liệu&gt; câu chuyện ma quái, câu chuyện ma")</f>
        <v>Đấu giá&gt; Sách, tạp chí&gt; sách thiếu nhi, sách ảnh&gt; văn học thiếu nhi, đọc tài liệu&gt; câu chuyện ma quái, câu chuyện ma</v>
      </c>
      <c r="F341" t="str">
        <f t="shared" ca="1" si="5"/>
        <v>"2084008659" : "Ma câu chuyện, câu chuyện ma",</v>
      </c>
    </row>
    <row r="342" spans="1:6" ht="15.75" customHeight="1">
      <c r="A342" s="12">
        <v>2084008660</v>
      </c>
      <c r="B342" s="12" t="s">
        <v>6107</v>
      </c>
      <c r="C342" s="12" t="s">
        <v>6109</v>
      </c>
      <c r="D342" s="5" t="str">
        <f ca="1">IFERROR(__xludf.DUMMYFUNCTION("GOOGLETRANSLATE(B342,""ja"",""vi"")"),"Học đọc tài liệu")</f>
        <v>Học đọc tài liệu</v>
      </c>
      <c r="E342" s="4" t="str">
        <f ca="1">IFERROR(__xludf.DUMMYFUNCTION("GOOGLETRANSLATE(C342,""ja"",""vi"")"),"Đấu giá&gt; Sách, tạp chí&gt; sách thiếu nhi, sách ảnh&gt; văn học thiếu nhi, đọc tài liệu&gt; tài liệu học tập đọc")</f>
        <v>Đấu giá&gt; Sách, tạp chí&gt; sách thiếu nhi, sách ảnh&gt; văn học thiếu nhi, đọc tài liệu&gt; tài liệu học tập đọc</v>
      </c>
      <c r="F342" t="str">
        <f t="shared" ca="1" si="5"/>
        <v>"2084008660" : "Học đọc tài liệu",</v>
      </c>
    </row>
    <row r="343" spans="1:6" ht="15.75" customHeight="1">
      <c r="A343" s="12">
        <v>2084008658</v>
      </c>
      <c r="B343" s="12" t="s">
        <v>6111</v>
      </c>
      <c r="C343" s="12" t="s">
        <v>6113</v>
      </c>
      <c r="D343" s="5" t="str">
        <f ca="1">IFERROR(__xludf.DUMMYFUNCTION("GOOGLETRANSLATE(B343,""ja"",""vi"")"),"câu chuyện dân gian, câu chuyện dân gian")</f>
        <v>câu chuyện dân gian, câu chuyện dân gian</v>
      </c>
      <c r="E343" s="4" t="str">
        <f ca="1">IFERROR(__xludf.DUMMYFUNCTION("GOOGLETRANSLATE(C343,""ja"",""vi"")"),"Đấu giá&gt; Sách, tạp chí&gt; sách thiếu nhi, sách ảnh&gt; văn học thiếu nhi, đọc tài liệu&gt; câu chuyện dân gian, câu chuyện dân gian")</f>
        <v>Đấu giá&gt; Sách, tạp chí&gt; sách thiếu nhi, sách ảnh&gt; văn học thiếu nhi, đọc tài liệu&gt; câu chuyện dân gian, câu chuyện dân gian</v>
      </c>
      <c r="F343" t="str">
        <f t="shared" ca="1" si="5"/>
        <v>"2084008658" : "câu chuyện dân gian, câu chuyện dân gian",</v>
      </c>
    </row>
    <row r="344" spans="1:6" ht="15.75" customHeight="1">
      <c r="A344" s="12">
        <v>2084008657</v>
      </c>
      <c r="B344" s="12" t="s">
        <v>6115</v>
      </c>
      <c r="C344" s="12" t="s">
        <v>6117</v>
      </c>
      <c r="D344" s="5" t="str">
        <f ca="1">IFERROR(__xludf.DUMMYFUNCTION("GOOGLETRANSLATE(B344,""ja"",""vi"")"),"Tiểu sử, tuyệt vời Den")</f>
        <v>Tiểu sử, tuyệt vời Den</v>
      </c>
      <c r="E344" s="4" t="str">
        <f ca="1">IFERROR(__xludf.DUMMYFUNCTION("GOOGLETRANSLATE(C344,""ja"",""vi"")"),"Đấu giá&gt; Sách, tạp chí&gt; sách thiếu nhi, sách ảnh&gt; văn học thiếu nhi, đọc tài liệu&gt; tiểu sử, Den lớn")</f>
        <v>Đấu giá&gt; Sách, tạp chí&gt; sách thiếu nhi, sách ảnh&gt; văn học thiếu nhi, đọc tài liệu&gt; tiểu sử, Den lớn</v>
      </c>
      <c r="F344" t="str">
        <f t="shared" ca="1" si="5"/>
        <v>"2084008657" : "Tiểu sử, tuyệt vời Den",</v>
      </c>
    </row>
    <row r="345" spans="1:6" ht="15.75" customHeight="1">
      <c r="A345" s="12">
        <v>2084008656</v>
      </c>
      <c r="B345" s="12" t="s">
        <v>6120</v>
      </c>
      <c r="C345" s="12" t="s">
        <v>6121</v>
      </c>
      <c r="D345" s="5" t="str">
        <f ca="1">IFERROR(__xludf.DUMMYFUNCTION("GOOGLETRANSLATE(B345,""ja"",""vi"")"),"kiệt tác")</f>
        <v>kiệt tác</v>
      </c>
      <c r="E345" s="4" t="str">
        <f ca="1">IFERROR(__xludf.DUMMYFUNCTION("GOOGLETRANSLATE(C345,""ja"",""vi"")"),"Đấu giá&gt; Sách, tạp chí&gt; sách thiếu nhi, sách ảnh&gt; văn học thiếu nhi, đọc tài liệu&gt; cổ điển")</f>
        <v>Đấu giá&gt; Sách, tạp chí&gt; sách thiếu nhi, sách ảnh&gt; văn học thiếu nhi, đọc tài liệu&gt; cổ điển</v>
      </c>
      <c r="F345" t="str">
        <f t="shared" ca="1" si="5"/>
        <v>"2084008656" : "kiệt tác",</v>
      </c>
    </row>
    <row r="346" spans="1:6" ht="15.75" customHeight="1">
      <c r="A346" s="12">
        <v>2084258172</v>
      </c>
      <c r="B346" s="12" t="s">
        <v>3306</v>
      </c>
      <c r="C346" s="12" t="s">
        <v>3307</v>
      </c>
      <c r="D346" s="5" t="str">
        <f ca="1">IFERROR(__xludf.DUMMYFUNCTION("GOOGLETRANSLATE(B346,""ja"",""vi"")"),"windows 7")</f>
        <v>windows 7</v>
      </c>
      <c r="E346" s="4" t="str">
        <f ca="1">IFERROR(__xludf.DUMMYFUNCTION("GOOGLETRANSLATE(C346,""ja"",""vi"")"),"Đấu giá&gt; cuốn sách, tạp chí&gt; máy tính và internet&gt; OS&gt; Windows 7")</f>
        <v>Đấu giá&gt; cuốn sách, tạp chí&gt; máy tính và internet&gt; OS&gt; Windows 7</v>
      </c>
      <c r="F346" t="str">
        <f t="shared" ca="1" si="5"/>
        <v>"2084258172" : "windows 7",</v>
      </c>
    </row>
    <row r="347" spans="1:6" ht="15.75" customHeight="1">
      <c r="A347" s="12">
        <v>2084258171</v>
      </c>
      <c r="B347" s="12" t="s">
        <v>3311</v>
      </c>
      <c r="C347" s="12" t="s">
        <v>3312</v>
      </c>
      <c r="D347" s="5" t="str">
        <f ca="1">IFERROR(__xludf.DUMMYFUNCTION("GOOGLETRANSLATE(B347,""ja"",""vi"")"),"windows Vista")</f>
        <v>windows Vista</v>
      </c>
      <c r="E347" s="4" t="str">
        <f ca="1">IFERROR(__xludf.DUMMYFUNCTION("GOOGLETRANSLATE(C347,""ja"",""vi"")"),"Đấu giá&gt; cuốn sách, tạp chí&gt; máy tính và internet&gt; OS&gt; Windows Vista")</f>
        <v>Đấu giá&gt; cuốn sách, tạp chí&gt; máy tính và internet&gt; OS&gt; Windows Vista</v>
      </c>
      <c r="F347" t="str">
        <f t="shared" ca="1" si="5"/>
        <v>"2084258171" : "windows Vista",</v>
      </c>
    </row>
    <row r="348" spans="1:6" ht="15.75" customHeight="1">
      <c r="A348" s="12">
        <v>2084047509</v>
      </c>
      <c r="B348" s="12" t="s">
        <v>3315</v>
      </c>
      <c r="C348" s="12" t="s">
        <v>3316</v>
      </c>
      <c r="D348" s="5" t="str">
        <f ca="1">IFERROR(__xludf.DUMMYFUNCTION("GOOGLETRANSLATE(B348,""ja"",""vi"")"),"WindowsXP")</f>
        <v>WindowsXP</v>
      </c>
      <c r="E348" s="4" t="str">
        <f ca="1">IFERROR(__xludf.DUMMYFUNCTION("GOOGLETRANSLATE(C348,""ja"",""vi"")"),"Đấu giá&gt; cuốn sách, tạp chí&gt; máy tính và internet&gt; OS&gt; WindowsXP")</f>
        <v>Đấu giá&gt; cuốn sách, tạp chí&gt; máy tính và internet&gt; OS&gt; WindowsXP</v>
      </c>
      <c r="F348" t="str">
        <f t="shared" ca="1" si="5"/>
        <v>"2084047509" : "WindowsXP",</v>
      </c>
    </row>
    <row r="349" spans="1:6" ht="15.75" customHeight="1">
      <c r="A349" s="12">
        <v>2084008815</v>
      </c>
      <c r="B349" s="12" t="s">
        <v>3320</v>
      </c>
      <c r="C349" s="12" t="s">
        <v>3321</v>
      </c>
      <c r="D349" s="5" t="str">
        <f ca="1">IFERROR(__xludf.DUMMYFUNCTION("GOOGLETRANSLATE(B349,""ja"",""vi"")"),"Windows NT / 2000")</f>
        <v>Windows NT / 2000</v>
      </c>
      <c r="E349" s="4" t="str">
        <f ca="1">IFERROR(__xludf.DUMMYFUNCTION("GOOGLETRANSLATE(C349,""ja"",""vi"")"),"Đấu giá&gt; cuốn sách, tạp chí&gt; máy tính và internet&gt; OS&gt; Windows NT / 2000")</f>
        <v>Đấu giá&gt; cuốn sách, tạp chí&gt; máy tính và internet&gt; OS&gt; Windows NT / 2000</v>
      </c>
      <c r="F349" t="str">
        <f t="shared" ca="1" si="5"/>
        <v>"2084008815" : "Windows NT / 2000",</v>
      </c>
    </row>
    <row r="350" spans="1:6" ht="15.75" customHeight="1">
      <c r="A350" s="12">
        <v>2084048351</v>
      </c>
      <c r="B350" s="12" t="s">
        <v>3323</v>
      </c>
      <c r="C350" s="12" t="s">
        <v>3325</v>
      </c>
      <c r="D350" s="5" t="str">
        <f ca="1">IFERROR(__xludf.DUMMYFUNCTION("GOOGLETRANSLATE(B350,""ja"",""vi"")"),"windows Me")</f>
        <v>windows Me</v>
      </c>
      <c r="E350" s="4" t="str">
        <f ca="1">IFERROR(__xludf.DUMMYFUNCTION("GOOGLETRANSLATE(C350,""ja"",""vi"")"),"Đấu giá&gt; cuốn sách, tạp chí&gt; máy tính và internet&gt; OS&gt; Windows Me")</f>
        <v>Đấu giá&gt; cuốn sách, tạp chí&gt; máy tính và internet&gt; OS&gt; Windows Me</v>
      </c>
      <c r="F350" t="str">
        <f t="shared" ca="1" si="5"/>
        <v>"2084048351" : "windows Me",</v>
      </c>
    </row>
    <row r="351" spans="1:6" ht="15.75" customHeight="1">
      <c r="A351" s="12">
        <v>2084008814</v>
      </c>
      <c r="B351" s="12" t="s">
        <v>3329</v>
      </c>
      <c r="C351" s="12" t="s">
        <v>3331</v>
      </c>
      <c r="D351" s="5" t="str">
        <f ca="1">IFERROR(__xludf.DUMMYFUNCTION("GOOGLETRANSLATE(B351,""ja"",""vi"")"),"Windows95 / 98 / CE")</f>
        <v>Windows95 / 98 / CE</v>
      </c>
      <c r="E351" s="4" t="str">
        <f ca="1">IFERROR(__xludf.DUMMYFUNCTION("GOOGLETRANSLATE(C351,""ja"",""vi"")"),"Đấu giá&gt; cuốn sách, tạp chí&gt; máy tính và internet&gt; OS&gt; Windows95 / 98 / CE")</f>
        <v>Đấu giá&gt; cuốn sách, tạp chí&gt; máy tính và internet&gt; OS&gt; Windows95 / 98 / CE</v>
      </c>
      <c r="F351" t="str">
        <f t="shared" ca="1" si="5"/>
        <v>"2084008814" : "Windows95 / 98 / CE",</v>
      </c>
    </row>
    <row r="352" spans="1:6" ht="15.75" customHeight="1">
      <c r="A352" s="12">
        <v>2084008810</v>
      </c>
      <c r="B352" s="12" t="s">
        <v>3332</v>
      </c>
      <c r="C352" s="12" t="s">
        <v>3336</v>
      </c>
      <c r="D352" s="5" t="str">
        <f ca="1">IFERROR(__xludf.DUMMYFUNCTION("GOOGLETRANSLATE(B352,""ja"",""vi"")"),"MS-DOS")</f>
        <v>MS-DOS</v>
      </c>
      <c r="E352" s="4" t="str">
        <f ca="1">IFERROR(__xludf.DUMMYFUNCTION("GOOGLETRANSLATE(C352,""ja"",""vi"")"),"Đấu giá&gt; cuốn sách, tạp chí&gt; máy tính và internet&gt; OS&gt; MS-DOS")</f>
        <v>Đấu giá&gt; cuốn sách, tạp chí&gt; máy tính và internet&gt; OS&gt; MS-DOS</v>
      </c>
      <c r="F352" t="str">
        <f t="shared" ca="1" si="5"/>
        <v>"2084008810" : "MS-DOS",</v>
      </c>
    </row>
    <row r="353" spans="1:6" ht="15.75" customHeight="1">
      <c r="A353" s="12">
        <v>2084008811</v>
      </c>
      <c r="B353" s="12" t="s">
        <v>3339</v>
      </c>
      <c r="C353" s="12" t="s">
        <v>3340</v>
      </c>
      <c r="D353" s="5" t="str">
        <f ca="1">IFERROR(__xludf.DUMMYFUNCTION("GOOGLETRANSLATE(B353,""ja"",""vi"")"),"OS / 2")</f>
        <v>OS / 2</v>
      </c>
      <c r="E353" s="4" t="str">
        <f ca="1">IFERROR(__xludf.DUMMYFUNCTION("GOOGLETRANSLATE(C353,""ja"",""vi"")"),"Đấu giá&gt; cuốn sách, tạp chí&gt; máy tính và internet&gt; OS&gt; OS / 2")</f>
        <v>Đấu giá&gt; cuốn sách, tạp chí&gt; máy tính và internet&gt; OS&gt; OS / 2</v>
      </c>
      <c r="F353" t="str">
        <f t="shared" ca="1" si="5"/>
        <v>"2084008811" : "OS / 2",</v>
      </c>
    </row>
    <row r="354" spans="1:6" ht="15.75" customHeight="1">
      <c r="A354" s="12">
        <v>2084008813</v>
      </c>
      <c r="B354" s="12" t="s">
        <v>3346</v>
      </c>
      <c r="C354" s="12" t="s">
        <v>3347</v>
      </c>
      <c r="D354" s="5" t="str">
        <f ca="1">IFERROR(__xludf.DUMMYFUNCTION("GOOGLETRANSLATE(B354,""ja"",""vi"")"),"PC-UNIX, Linux, BSD")</f>
        <v>PC-UNIX, Linux, BSD</v>
      </c>
      <c r="E354" s="4" t="str">
        <f ca="1">IFERROR(__xludf.DUMMYFUNCTION("GOOGLETRANSLATE(C354,""ja"",""vi"")"),"Đấu giá&gt; cuốn sách, tạp chí&gt; máy tính và internet&gt; OS&gt; PC-UNIX, Linux, BSD")</f>
        <v>Đấu giá&gt; cuốn sách, tạp chí&gt; máy tính và internet&gt; OS&gt; PC-UNIX, Linux, BSD</v>
      </c>
      <c r="F354" t="str">
        <f t="shared" ca="1" si="5"/>
        <v>"2084008813" : "PC-UNIX, Linux, BSD",</v>
      </c>
    </row>
    <row r="355" spans="1:6" ht="15.75" customHeight="1">
      <c r="A355" s="12">
        <v>2084008812</v>
      </c>
      <c r="B355" s="12" t="s">
        <v>3352</v>
      </c>
      <c r="C355" s="12" t="s">
        <v>3353</v>
      </c>
      <c r="D355" s="5" t="str">
        <f ca="1">IFERROR(__xludf.DUMMYFUNCTION("GOOGLETRANSLATE(B355,""ja"",""vi"")"),"UNIX")</f>
        <v>UNIX</v>
      </c>
      <c r="E355" s="4" t="str">
        <f ca="1">IFERROR(__xludf.DUMMYFUNCTION("GOOGLETRANSLATE(C355,""ja"",""vi"")"),"Đấu giá&gt; cuốn sách, tạp chí&gt; máy tính và internet&gt; OS&gt; UNIX")</f>
        <v>Đấu giá&gt; cuốn sách, tạp chí&gt; máy tính và internet&gt; OS&gt; UNIX</v>
      </c>
      <c r="F355" t="str">
        <f t="shared" ca="1" si="5"/>
        <v>"2084008812" : "UNIX",</v>
      </c>
    </row>
    <row r="356" spans="1:6" ht="15.75" customHeight="1">
      <c r="A356" s="12">
        <v>2084008816</v>
      </c>
      <c r="B356" s="12" t="s">
        <v>46</v>
      </c>
      <c r="C356" s="12" t="s">
        <v>3357</v>
      </c>
      <c r="D356" s="5" t="str">
        <f ca="1">IFERROR(__xludf.DUMMYFUNCTION("GOOGLETRANSLATE(B356,""ja"",""vi"")"),"nếu không thì")</f>
        <v>nếu không thì</v>
      </c>
      <c r="E356" s="4" t="str">
        <f ca="1">IFERROR(__xludf.DUMMYFUNCTION("GOOGLETRANSLATE(C356,""ja"",""vi"")"),"Đấu giá&gt; cuốn sách, tạp chí&gt; máy tính và internet&gt; OS&gt; Khác")</f>
        <v>Đấu giá&gt; cuốn sách, tạp chí&gt; máy tính và internet&gt; OS&gt; Khác</v>
      </c>
      <c r="F356" t="str">
        <f t="shared" ca="1" si="5"/>
        <v>"2084008816" : "nếu không thì",</v>
      </c>
    </row>
    <row r="357" spans="1:6" ht="15.75" customHeight="1">
      <c r="A357" s="12">
        <v>2084008827</v>
      </c>
      <c r="B357" s="12" t="s">
        <v>3360</v>
      </c>
      <c r="C357" s="12" t="s">
        <v>3361</v>
      </c>
      <c r="D357" s="5" t="str">
        <f ca="1">IFERROR(__xludf.DUMMYFUNCTION("GOOGLETRANSLATE(B357,""ja"",""vi"")"),"Cơ sở dữ liệu")</f>
        <v>Cơ sở dữ liệu</v>
      </c>
      <c r="E357" s="4" t="str">
        <f ca="1">IFERROR(__xludf.DUMMYFUNCTION("GOOGLETRANSLATE(C357,""ja"",""vi"")"),"Đấu giá&gt; cuốn sách, tạp chí&gt; máy tính và internet&gt; Ứng dụng&gt; cơ sở dữ liệu")</f>
        <v>Đấu giá&gt; cuốn sách, tạp chí&gt; máy tính và internet&gt; Ứng dụng&gt; cơ sở dữ liệu</v>
      </c>
      <c r="F357" t="str">
        <f t="shared" ca="1" si="5"/>
        <v>"2084008827" : "Cơ sở dữ liệu",</v>
      </c>
    </row>
    <row r="358" spans="1:6" ht="15.75" customHeight="1">
      <c r="A358" s="12">
        <v>2084008843</v>
      </c>
      <c r="B358" s="12" t="s">
        <v>3366</v>
      </c>
      <c r="C358" s="12" t="s">
        <v>3367</v>
      </c>
      <c r="D358" s="5" t="str">
        <f ca="1">IFERROR(__xludf.DUMMYFUNCTION("GOOGLETRANSLATE(B358,""ja"",""vi"")"),"bảng tính")</f>
        <v>bảng tính</v>
      </c>
      <c r="E358" s="4" t="str">
        <f ca="1">IFERROR(__xludf.DUMMYFUNCTION("GOOGLETRANSLATE(C358,""ja"",""vi"")"),"Đấu giá&gt; cuốn sách, tạp chí&gt; máy tính và internet&gt; Ứng dụng&gt; Spreadsheet")</f>
        <v>Đấu giá&gt; cuốn sách, tạp chí&gt; máy tính và internet&gt; Ứng dụng&gt; Spreadsheet</v>
      </c>
      <c r="F358" t="str">
        <f t="shared" ca="1" si="5"/>
        <v>"2084008843" : "bảng tính",</v>
      </c>
    </row>
    <row r="359" spans="1:6" ht="15.75" customHeight="1">
      <c r="A359" s="12">
        <v>2084008842</v>
      </c>
      <c r="B359" s="12" t="s">
        <v>3370</v>
      </c>
      <c r="C359" s="12" t="s">
        <v>3371</v>
      </c>
      <c r="D359" s="5" t="str">
        <f ca="1">IFERROR(__xludf.DUMMYFUNCTION("GOOGLETRANSLATE(B359,""ja"",""vi"")"),"xử lý văn bản")</f>
        <v>xử lý văn bản</v>
      </c>
      <c r="E359" s="4" t="str">
        <f ca="1">IFERROR(__xludf.DUMMYFUNCTION("GOOGLETRANSLATE(C359,""ja"",""vi"")"),"Đấu giá&gt; cuốn sách, tạp chí&gt; máy tính và Internet&gt; Ứng dụng&gt; Word Processor")</f>
        <v>Đấu giá&gt; cuốn sách, tạp chí&gt; máy tính và Internet&gt; Ứng dụng&gt; Word Processor</v>
      </c>
      <c r="F359" t="str">
        <f t="shared" ca="1" si="5"/>
        <v>"2084008842" : "xử lý văn bản",</v>
      </c>
    </row>
    <row r="360" spans="1:6" ht="15.75" customHeight="1">
      <c r="A360" s="12">
        <v>2084008838</v>
      </c>
      <c r="B360" s="12" t="s">
        <v>3374</v>
      </c>
      <c r="C360" s="12" t="s">
        <v>3379</v>
      </c>
      <c r="D360" s="5" t="str">
        <f ca="1">IFERROR(__xludf.DUMMYFUNCTION("GOOGLETRANSLATE(B360,""ja"",""vi"")"),"Trình bày")</f>
        <v>Trình bày</v>
      </c>
      <c r="E360" s="4" t="str">
        <f ca="1">IFERROR(__xludf.DUMMYFUNCTION("GOOGLETRANSLATE(C360,""ja"",""vi"")"),"Đấu giá&gt; cuốn sách, tạp chí&gt; máy tính và internet&gt; Ứng dụng&gt; Presentation")</f>
        <v>Đấu giá&gt; cuốn sách, tạp chí&gt; máy tính và internet&gt; Ứng dụng&gt; Presentation</v>
      </c>
      <c r="F360" t="str">
        <f t="shared" ca="1" si="5"/>
        <v>"2084008838" : "Trình bày",</v>
      </c>
    </row>
    <row r="361" spans="1:6" ht="15.75" customHeight="1">
      <c r="A361" s="12">
        <v>2084008829</v>
      </c>
      <c r="B361" s="12" t="s">
        <v>3383</v>
      </c>
      <c r="C361" s="12" t="s">
        <v>3385</v>
      </c>
      <c r="D361" s="5" t="str">
        <f ca="1">IFERROR(__xludf.DUMMYFUNCTION("GOOGLETRANSLATE(B361,""ja"",""vi"")"),"ảnh chỉnh sửa")</f>
        <v>ảnh chỉnh sửa</v>
      </c>
      <c r="E361" s="4" t="str">
        <f ca="1">IFERROR(__xludf.DUMMYFUNCTION("GOOGLETRANSLATE(C361,""ja"",""vi"")"),"Đấu giá&gt; cuốn sách, tạp chí&gt; máy tính và internet&gt; Ứng dụng&gt; Hình ảnh chỉnh sửa")</f>
        <v>Đấu giá&gt; cuốn sách, tạp chí&gt; máy tính và internet&gt; Ứng dụng&gt; Hình ảnh chỉnh sửa</v>
      </c>
      <c r="F361" t="str">
        <f t="shared" ca="1" si="5"/>
        <v>"2084008829" : "ảnh chỉnh sửa",</v>
      </c>
    </row>
    <row r="362" spans="1:6" ht="15.75" customHeight="1">
      <c r="A362" s="12">
        <v>2084008830</v>
      </c>
      <c r="B362" s="12" t="s">
        <v>3392</v>
      </c>
      <c r="C362" s="12" t="s">
        <v>3393</v>
      </c>
      <c r="D362" s="5" t="str">
        <f ca="1">IFERROR(__xludf.DUMMYFUNCTION("GOOGLETRANSLATE(B362,""ja"",""vi"")"),"Sơn, vẽ")</f>
        <v>Sơn, vẽ</v>
      </c>
      <c r="E362" s="4" t="str">
        <f ca="1">IFERROR(__xludf.DUMMYFUNCTION("GOOGLETRANSLATE(C362,""ja"",""vi"")"),"Đấu giá&gt; cuốn sách, tạp chí&gt; máy tính và internet&gt; Ứng dụng&gt; sơn, vẽ")</f>
        <v>Đấu giá&gt; cuốn sách, tạp chí&gt; máy tính và internet&gt; Ứng dụng&gt; sơn, vẽ</v>
      </c>
      <c r="F362" t="str">
        <f t="shared" ca="1" si="5"/>
        <v>"2084008830" : "Sơn, vẽ",</v>
      </c>
    </row>
    <row r="363" spans="1:6" ht="15.75" customHeight="1">
      <c r="A363" s="12">
        <v>2084008841</v>
      </c>
      <c r="B363" s="12" t="s">
        <v>3399</v>
      </c>
      <c r="C363" s="12" t="s">
        <v>3402</v>
      </c>
      <c r="D363" s="5" t="str">
        <f ca="1">IFERROR(__xludf.DUMMYFUNCTION("GOOGLETRANSLATE(B363,""ja"",""vi"")"),"CAD")</f>
        <v>CAD</v>
      </c>
      <c r="E363" s="4" t="str">
        <f ca="1">IFERROR(__xludf.DUMMYFUNCTION("GOOGLETRANSLATE(C363,""ja"",""vi"")"),"Đấu giá&gt; cuốn sách, tạp chí&gt; máy tính và internet&gt; Ứng dụng&gt; CAD")</f>
        <v>Đấu giá&gt; cuốn sách, tạp chí&gt; máy tính và internet&gt; Ứng dụng&gt; CAD</v>
      </c>
      <c r="F363" t="str">
        <f t="shared" ca="1" si="5"/>
        <v>"2084008841" : "CAD",</v>
      </c>
    </row>
    <row r="364" spans="1:6" ht="15.75" customHeight="1">
      <c r="A364" s="12">
        <v>2084008834</v>
      </c>
      <c r="B364" s="12" t="s">
        <v>3407</v>
      </c>
      <c r="C364" s="12" t="s">
        <v>3409</v>
      </c>
      <c r="D364" s="5" t="str">
        <f ca="1">IFERROR(__xludf.DUMMYFUNCTION("GOOGLETRANSLATE(B364,""ja"",""vi"")"),"DTP, phông chữ")</f>
        <v>DTP, phông chữ</v>
      </c>
      <c r="E364" s="4" t="str">
        <f ca="1">IFERROR(__xludf.DUMMYFUNCTION("GOOGLETRANSLATE(C364,""ja"",""vi"")"),"Đấu giá&gt; cuốn sách, tạp chí&gt; máy tính và internet&gt; Ứng dụng&gt; DTP, phông chữ")</f>
        <v>Đấu giá&gt; cuốn sách, tạp chí&gt; máy tính và internet&gt; Ứng dụng&gt; DTP, phông chữ</v>
      </c>
      <c r="F364" t="str">
        <f t="shared" ca="1" si="5"/>
        <v>"2084008834" : "DTP, phông chữ",</v>
      </c>
    </row>
    <row r="365" spans="1:6" ht="15.75" customHeight="1">
      <c r="A365" s="12">
        <v>2084008837</v>
      </c>
      <c r="B365" s="12" t="s">
        <v>3413</v>
      </c>
      <c r="C365" s="12" t="s">
        <v>3415</v>
      </c>
      <c r="D365" s="5" t="str">
        <f ca="1">IFERROR(__xludf.DUMMYFUNCTION("GOOGLETRANSLATE(B365,""ja"",""vi"")"),"Tex")</f>
        <v>Tex</v>
      </c>
      <c r="E365" s="4" t="str">
        <f ca="1">IFERROR(__xludf.DUMMYFUNCTION("GOOGLETRANSLATE(C365,""ja"",""vi"")"),"Đấu giá&gt; cuốn sách, tạp chí&gt; máy tính và internet&gt; Ứng dụng&gt; Tex")</f>
        <v>Đấu giá&gt; cuốn sách, tạp chí&gt; máy tính và internet&gt; Ứng dụng&gt; Tex</v>
      </c>
      <c r="F365" t="str">
        <f t="shared" ca="1" si="5"/>
        <v>"2084008837" : "Tex",</v>
      </c>
    </row>
    <row r="366" spans="1:6" ht="15.75" customHeight="1">
      <c r="A366" s="12">
        <v>2084008828</v>
      </c>
      <c r="B366" s="12" t="s">
        <v>3421</v>
      </c>
      <c r="C366" s="12" t="s">
        <v>3422</v>
      </c>
      <c r="D366" s="5" t="str">
        <f ca="1">IFERROR(__xludf.DUMMYFUNCTION("GOOGLETRANSLATE(B366,""ja"",""vi"")"),"Biên tập viên")</f>
        <v>Biên tập viên</v>
      </c>
      <c r="E366" s="4" t="str">
        <f ca="1">IFERROR(__xludf.DUMMYFUNCTION("GOOGLETRANSLATE(C366,""ja"",""vi"")"),"Đấu giá&gt; cuốn sách, tạp chí&gt; máy tính và internet&gt; Ứng dụng&gt; Biên tập viên")</f>
        <v>Đấu giá&gt; cuốn sách, tạp chí&gt; máy tính và internet&gt; Ứng dụng&gt; Biên tập viên</v>
      </c>
      <c r="F366" t="str">
        <f t="shared" ca="1" si="5"/>
        <v>"2084008828" : "Biên tập viên",</v>
      </c>
    </row>
    <row r="367" spans="1:6" ht="15.75" customHeight="1">
      <c r="A367" s="12">
        <v>2084008836</v>
      </c>
      <c r="B367" s="12" t="s">
        <v>3427</v>
      </c>
      <c r="C367" s="12" t="s">
        <v>3428</v>
      </c>
      <c r="D367" s="5" t="str">
        <f ca="1">IFERROR(__xludf.DUMMYFUNCTION("GOOGLETRANSLATE(B367,""ja"",""vi"")"),"phần mềm trực tuyến")</f>
        <v>phần mềm trực tuyến</v>
      </c>
      <c r="E367" s="4" t="str">
        <f ca="1">IFERROR(__xludf.DUMMYFUNCTION("GOOGLETRANSLATE(C367,""ja"",""vi"")"),"Đấu giá&gt; cuốn sách, tạp chí&gt; máy tính và internet&gt; Ứng dụng&gt; Phần mềm trực tuyến")</f>
        <v>Đấu giá&gt; cuốn sách, tạp chí&gt; máy tính và internet&gt; Ứng dụng&gt; Phần mềm trực tuyến</v>
      </c>
      <c r="F367" t="str">
        <f t="shared" ca="1" si="5"/>
        <v>"2084008836" : "phần mềm trực tuyến",</v>
      </c>
    </row>
    <row r="368" spans="1:6" ht="15.75" customHeight="1">
      <c r="A368" s="12">
        <v>2084008840</v>
      </c>
      <c r="B368" s="12" t="s">
        <v>3435</v>
      </c>
      <c r="C368" s="12" t="s">
        <v>3438</v>
      </c>
      <c r="D368" s="5" t="str">
        <f ca="1">IFERROR(__xludf.DUMMYFUNCTION("GOOGLETRANSLATE(B368,""ja"",""vi"")"),"tiêu đề đa phương tiện")</f>
        <v>tiêu đề đa phương tiện</v>
      </c>
      <c r="E368" s="4" t="str">
        <f ca="1">IFERROR(__xludf.DUMMYFUNCTION("GOOGLETRANSLATE(C368,""ja"",""vi"")"),"Đấu giá&gt; cuốn sách, tạp chí&gt; máy tính và internet&gt; Ứng dụng&gt; title Multimedia")</f>
        <v>Đấu giá&gt; cuốn sách, tạp chí&gt; máy tính và internet&gt; Ứng dụng&gt; title Multimedia</v>
      </c>
      <c r="F368" t="str">
        <f t="shared" ca="1" si="5"/>
        <v>"2084008840" : "tiêu đề đa phương tiện",</v>
      </c>
    </row>
    <row r="369" spans="1:6" ht="15.75" customHeight="1">
      <c r="A369" s="12">
        <v>2084008833</v>
      </c>
      <c r="B369" s="12" t="s">
        <v>3443</v>
      </c>
      <c r="C369" s="12" t="s">
        <v>3446</v>
      </c>
      <c r="D369" s="5" t="str">
        <f ca="1">IFERROR(__xludf.DUMMYFUNCTION("GOOGLETRANSLATE(B369,""ja"",""vi"")"),"hữu dụng")</f>
        <v>hữu dụng</v>
      </c>
      <c r="E369" s="4" t="str">
        <f ca="1">IFERROR(__xludf.DUMMYFUNCTION("GOOGLETRANSLATE(C369,""ja"",""vi"")"),"Đấu giá&gt; cuốn sách, tạp chí&gt; máy tính và internet&gt; Application&gt; Utilities")</f>
        <v>Đấu giá&gt; cuốn sách, tạp chí&gt; máy tính và internet&gt; Application&gt; Utilities</v>
      </c>
      <c r="F369" t="str">
        <f t="shared" ca="1" si="5"/>
        <v>"2084008833" : "hữu dụng",</v>
      </c>
    </row>
    <row r="370" spans="1:6" ht="15.75" customHeight="1">
      <c r="A370" s="12">
        <v>2084008831</v>
      </c>
      <c r="B370" s="12" t="s">
        <v>3449</v>
      </c>
      <c r="C370" s="12" t="s">
        <v>3451</v>
      </c>
      <c r="D370" s="5" t="str">
        <f ca="1">IFERROR(__xludf.DUMMYFUNCTION("GOOGLETRANSLATE(B370,""ja"",""vi"")"),"Rendering")</f>
        <v>Rendering</v>
      </c>
      <c r="E370" s="4" t="str">
        <f ca="1">IFERROR(__xludf.DUMMYFUNCTION("GOOGLETRANSLATE(C370,""ja"",""vi"")"),"Đấu giá&gt; cuốn sách, tạp chí&gt; máy tính và internet&gt; Ứng dụng&gt; Rendering")</f>
        <v>Đấu giá&gt; cuốn sách, tạp chí&gt; máy tính và internet&gt; Ứng dụng&gt; Rendering</v>
      </c>
      <c r="F370" t="str">
        <f t="shared" ca="1" si="5"/>
        <v>"2084008831" : "Rendering",</v>
      </c>
    </row>
    <row r="371" spans="1:6" ht="15.75" customHeight="1">
      <c r="A371" s="12">
        <v>2084008835</v>
      </c>
      <c r="B371" s="12" t="s">
        <v>3453</v>
      </c>
      <c r="C371" s="12" t="s">
        <v>3455</v>
      </c>
      <c r="D371" s="5" t="str">
        <f ca="1">IFERROR(__xludf.DUMMYFUNCTION("GOOGLETRANSLATE(B371,""ja"",""vi"")"),"chỉnh sửa âm nhạc, DTM")</f>
        <v>chỉnh sửa âm nhạc, DTM</v>
      </c>
      <c r="E371" s="4" t="str">
        <f ca="1">IFERROR(__xludf.DUMMYFUNCTION("GOOGLETRANSLATE(C371,""ja"",""vi"")"),"Đấu giá&gt; cuốn sách, tạp chí&gt; máy tính và internet&gt; Ứng dụng&gt; nhạc chỉnh sửa, DTM")</f>
        <v>Đấu giá&gt; cuốn sách, tạp chí&gt; máy tính và internet&gt; Ứng dụng&gt; nhạc chỉnh sửa, DTM</v>
      </c>
      <c r="F371" t="str">
        <f t="shared" ca="1" si="5"/>
        <v>"2084008835" : "chỉnh sửa âm nhạc, DTM",</v>
      </c>
    </row>
    <row r="372" spans="1:6" ht="15.75" customHeight="1">
      <c r="A372" s="12">
        <v>2084008839</v>
      </c>
      <c r="B372" s="12" t="s">
        <v>3458</v>
      </c>
      <c r="C372" s="12" t="s">
        <v>3459</v>
      </c>
      <c r="D372" s="5" t="str">
        <f ca="1">IFERROR(__xludf.DUMMYFUNCTION("GOOGLETRANSLATE(B372,""ja"",""vi"")"),"Quản lý thông tin, PIM")</f>
        <v>Quản lý thông tin, PIM</v>
      </c>
      <c r="E372" s="4" t="str">
        <f ca="1">IFERROR(__xludf.DUMMYFUNCTION("GOOGLETRANSLATE(C372,""ja"",""vi"")"),"Đấu giá&gt; cuốn sách, tạp chí&gt; máy tính và internet&gt; Ứng dụng&gt; Quản lý thông tin, PIM")</f>
        <v>Đấu giá&gt; cuốn sách, tạp chí&gt; máy tính và internet&gt; Ứng dụng&gt; Quản lý thông tin, PIM</v>
      </c>
      <c r="F372" t="str">
        <f t="shared" ca="1" si="5"/>
        <v>"2084008839" : "Quản lý thông tin, PIM",</v>
      </c>
    </row>
    <row r="373" spans="1:6" ht="15.75" customHeight="1">
      <c r="A373" s="12">
        <v>2084008832</v>
      </c>
      <c r="B373" s="12" t="s">
        <v>3463</v>
      </c>
      <c r="C373" s="12" t="s">
        <v>3464</v>
      </c>
      <c r="D373" s="5" t="str">
        <f ca="1">IFERROR(__xludf.DUMMYFUNCTION("GOOGLETRANSLATE(B373,""ja"",""vi"")"),"phần mềm tích hợp")</f>
        <v>phần mềm tích hợp</v>
      </c>
      <c r="E373" s="4" t="str">
        <f ca="1">IFERROR(__xludf.DUMMYFUNCTION("GOOGLETRANSLATE(C373,""ja"",""vi"")"),"Đấu giá&gt; cuốn sách, tạp chí&gt; máy tính và internet&gt; Ứng dụng&gt; Phần mềm tích hợp")</f>
        <v>Đấu giá&gt; cuốn sách, tạp chí&gt; máy tính và internet&gt; Ứng dụng&gt; Phần mềm tích hợp</v>
      </c>
      <c r="F373" t="str">
        <f t="shared" ca="1" si="5"/>
        <v>"2084008832" : "phần mềm tích hợp",</v>
      </c>
    </row>
    <row r="374" spans="1:6" ht="15.75" customHeight="1">
      <c r="A374" s="12">
        <v>2084008844</v>
      </c>
      <c r="B374" s="12" t="s">
        <v>46</v>
      </c>
      <c r="C374" s="12" t="s">
        <v>3467</v>
      </c>
      <c r="D374" s="5" t="str">
        <f ca="1">IFERROR(__xludf.DUMMYFUNCTION("GOOGLETRANSLATE(B374,""ja"",""vi"")"),"nếu không thì")</f>
        <v>nếu không thì</v>
      </c>
      <c r="E374" s="4" t="str">
        <f ca="1">IFERROR(__xludf.DUMMYFUNCTION("GOOGLETRANSLATE(C374,""ja"",""vi"")"),"Đấu giá&gt; cuốn sách, tạp chí&gt; máy tính và internet&gt; Ứng dụng&gt; Khác")</f>
        <v>Đấu giá&gt; cuốn sách, tạp chí&gt; máy tính và internet&gt; Ứng dụng&gt; Khác</v>
      </c>
      <c r="F374" t="str">
        <f t="shared" ca="1" si="5"/>
        <v>"2084008844" : "nếu không thì",</v>
      </c>
    </row>
    <row r="375" spans="1:6" ht="15.75" customHeight="1">
      <c r="A375" s="12">
        <v>2084008850</v>
      </c>
      <c r="B375" s="12" t="s">
        <v>3471</v>
      </c>
      <c r="C375" s="12" t="s">
        <v>3472</v>
      </c>
      <c r="D375" s="5" t="str">
        <f ca="1">IFERROR(__xludf.DUMMYFUNCTION("GOOGLETRANSLATE(B375,""ja"",""vi"")"),"DB phần mềm nhóm")</f>
        <v>DB phần mềm nhóm</v>
      </c>
      <c r="E375" s="4" t="str">
        <f ca="1">IFERROR(__xludf.DUMMYFUNCTION("GOOGLETRANSLATE(C375,""ja"",""vi"")"),"Đấu giá&gt; cuốn sách, tạp chí&gt; máy tính và internet&gt; Internet, thông tin liên lạc&gt; DB phần mềm nhóm")</f>
        <v>Đấu giá&gt; cuốn sách, tạp chí&gt; máy tính và internet&gt; Internet, thông tin liên lạc&gt; DB phần mềm nhóm</v>
      </c>
      <c r="F375" t="str">
        <f t="shared" ca="1" si="5"/>
        <v>"2084008850" : "DB phần mềm nhóm",</v>
      </c>
    </row>
    <row r="376" spans="1:6" ht="15.75" customHeight="1">
      <c r="A376" s="12">
        <v>2084008853</v>
      </c>
      <c r="B376" s="12" t="s">
        <v>3476</v>
      </c>
      <c r="C376" s="12" t="s">
        <v>3477</v>
      </c>
      <c r="D376" s="5" t="str">
        <f ca="1">IFERROR(__xludf.DUMMYFUNCTION("GOOGLETRANSLATE(B376,""ja"",""vi"")"),"JAVA")</f>
        <v>JAVA</v>
      </c>
      <c r="E376" s="4" t="str">
        <f ca="1">IFERROR(__xludf.DUMMYFUNCTION("GOOGLETRANSLATE(C376,""ja"",""vi"")"),"Đấu giá&gt; cuốn sách, tạp chí&gt; máy tính và internet&gt; Internet, thông tin liên lạc&gt; JAVA")</f>
        <v>Đấu giá&gt; cuốn sách, tạp chí&gt; máy tính và internet&gt; Internet, thông tin liên lạc&gt; JAVA</v>
      </c>
      <c r="F376" t="str">
        <f t="shared" ca="1" si="5"/>
        <v>"2084008853" : "JAVA",</v>
      </c>
    </row>
    <row r="377" spans="1:6" ht="15.75" customHeight="1">
      <c r="A377" s="12">
        <v>2084008854</v>
      </c>
      <c r="B377" s="12" t="s">
        <v>3480</v>
      </c>
      <c r="C377" s="12" t="s">
        <v>3482</v>
      </c>
      <c r="D377" s="5" t="str">
        <f ca="1">IFERROR(__xludf.DUMMYFUNCTION("GOOGLETRANSLATE(B377,""ja"",""vi"")"),"máy chủ Internet")</f>
        <v>máy chủ Internet</v>
      </c>
      <c r="E377" s="4" t="str">
        <f ca="1">IFERROR(__xludf.DUMMYFUNCTION("GOOGLETRANSLATE(C377,""ja"",""vi"")"),"Đấu giá&gt; cuốn sách, tạp chí&gt; máy tính và internet&gt; Internet, truyền thông&gt; Máy chủ Internet")</f>
        <v>Đấu giá&gt; cuốn sách, tạp chí&gt; máy tính và internet&gt; Internet, truyền thông&gt; Máy chủ Internet</v>
      </c>
      <c r="F377" t="str">
        <f t="shared" ca="1" si="5"/>
        <v>"2084008854" : "máy chủ Internet",</v>
      </c>
    </row>
    <row r="378" spans="1:6" ht="15.75" customHeight="1">
      <c r="A378" s="12">
        <v>2084008847</v>
      </c>
      <c r="B378" s="12" t="s">
        <v>3486</v>
      </c>
      <c r="C378" s="12" t="s">
        <v>3487</v>
      </c>
      <c r="D378" s="5" t="str">
        <f ca="1">IFERROR(__xludf.DUMMYFUNCTION("GOOGLETRANSLATE(B378,""ja"",""vi"")"),"hệ thống mạng")</f>
        <v>hệ thống mạng</v>
      </c>
      <c r="E378" s="4" t="str">
        <f ca="1">IFERROR(__xludf.DUMMYFUNCTION("GOOGLETRANSLATE(C378,""ja"",""vi"")"),"Đấu giá&gt; cuốn sách, tạp chí&gt; máy tính và internet&gt; Internet, truyền thông&gt; Hệ thống mạng")</f>
        <v>Đấu giá&gt; cuốn sách, tạp chí&gt; máy tính và internet&gt; Internet, truyền thông&gt; Hệ thống mạng</v>
      </c>
      <c r="F378" t="str">
        <f t="shared" ca="1" si="5"/>
        <v>"2084008847" : "hệ thống mạng",</v>
      </c>
    </row>
    <row r="379" spans="1:6" ht="15.75" customHeight="1">
      <c r="A379" s="12">
        <v>2084008848</v>
      </c>
      <c r="B379" s="12" t="s">
        <v>3490</v>
      </c>
      <c r="C379" s="12" t="s">
        <v>3493</v>
      </c>
      <c r="D379" s="5" t="str">
        <f ca="1">IFERROR(__xludf.DUMMYFUNCTION("GOOGLETRANSLATE(B379,""ja"",""vi"")"),"giao tiếp máy tính cá nhân, phần mềm giao tiếp")</f>
        <v>giao tiếp máy tính cá nhân, phần mềm giao tiếp</v>
      </c>
      <c r="E379" s="4" t="str">
        <f ca="1">IFERROR(__xludf.DUMMYFUNCTION("GOOGLETRANSLATE(C379,""ja"",""vi"")"),"Đấu giá&gt; cuốn sách, tạp chí&gt; máy tính và internet&gt; internet, truyền&gt; truyền thông máy tính cá nhân, phần mềm giao tiếp")</f>
        <v>Đấu giá&gt; cuốn sách, tạp chí&gt; máy tính và internet&gt; internet, truyền&gt; truyền thông máy tính cá nhân, phần mềm giao tiếp</v>
      </c>
      <c r="F379" t="str">
        <f t="shared" ca="1" si="5"/>
        <v>"2084008848" : "giao tiếp máy tính cá nhân, phần mềm giao tiếp",</v>
      </c>
    </row>
    <row r="380" spans="1:6" ht="15.75" customHeight="1">
      <c r="A380" s="12">
        <v>2084008851</v>
      </c>
      <c r="B380" s="12" t="s">
        <v>3496</v>
      </c>
      <c r="C380" s="12" t="s">
        <v>3499</v>
      </c>
      <c r="D380" s="5" t="str">
        <f ca="1">IFERROR(__xludf.DUMMYFUNCTION("GOOGLETRANSLATE(B380,""ja"",""vi"")"),"Browser, bưu phẩm")</f>
        <v>Browser, bưu phẩm</v>
      </c>
      <c r="E380" s="4" t="str">
        <f ca="1">IFERROR(__xludf.DUMMYFUNCTION("GOOGLETRANSLATE(C380,""ja"",""vi"")"),"Đấu giá&gt; cuốn sách, tạp chí&gt; máy tính và internet&gt; Internet, thông tin liên lạc&gt; trình duyệt, bưu phẩm")</f>
        <v>Đấu giá&gt; cuốn sách, tạp chí&gt; máy tính và internet&gt; Internet, thông tin liên lạc&gt; trình duyệt, bưu phẩm</v>
      </c>
      <c r="F380" t="str">
        <f t="shared" ca="1" si="5"/>
        <v>"2084008851" : "Browser, bưu phẩm",</v>
      </c>
    </row>
    <row r="381" spans="1:6" ht="15.75" customHeight="1">
      <c r="A381" s="12">
        <v>2084008849</v>
      </c>
      <c r="B381" s="12" t="s">
        <v>3503</v>
      </c>
      <c r="C381" s="12" t="s">
        <v>3506</v>
      </c>
      <c r="D381" s="5" t="str">
        <f ca="1">IFERROR(__xludf.DUMMYFUNCTION("GOOGLETRANSLATE(B381,""ja"",""vi"")"),"Nghị định thư")</f>
        <v>Nghị định thư</v>
      </c>
      <c r="E381" s="4" t="str">
        <f ca="1">IFERROR(__xludf.DUMMYFUNCTION("GOOGLETRANSLATE(C381,""ja"",""vi"")"),"Đấu giá&gt; cuốn sách, tạp chí&gt; máy tính và internet&gt; Internet, thông tin liên lạc&gt; giao thức")</f>
        <v>Đấu giá&gt; cuốn sách, tạp chí&gt; máy tính và internet&gt; Internet, thông tin liên lạc&gt; giao thức</v>
      </c>
      <c r="F381" t="str">
        <f t="shared" ca="1" si="5"/>
        <v>"2084008849" : "Nghị định thư",</v>
      </c>
    </row>
    <row r="382" spans="1:6" ht="15.75" customHeight="1">
      <c r="A382" s="12">
        <v>2084008855</v>
      </c>
      <c r="B382" s="12" t="s">
        <v>3509</v>
      </c>
      <c r="C382" s="12" t="s">
        <v>3510</v>
      </c>
      <c r="D382" s="5" t="str">
        <f ca="1">IFERROR(__xludf.DUMMYFUNCTION("GOOGLETRANSLATE(B382,""ja"",""vi"")"),"Trang chủ Hướng dẫn")</f>
        <v>Trang chủ Hướng dẫn</v>
      </c>
      <c r="E382" s="4" t="str">
        <f ca="1">IFERROR(__xludf.DUMMYFUNCTION("GOOGLETRANSLATE(C382,""ja"",""vi"")"),"Đấu giá&gt; cuốn sách, tạp chí&gt; máy tính và internet&gt; Internet, thông tin liên lạc&gt; trang chủ hướng dẫn")</f>
        <v>Đấu giá&gt; cuốn sách, tạp chí&gt; máy tính và internet&gt; Internet, thông tin liên lạc&gt; trang chủ hướng dẫn</v>
      </c>
      <c r="F382" t="str">
        <f t="shared" ca="1" si="5"/>
        <v>"2084008855" : "Trang chủ Hướng dẫn",</v>
      </c>
    </row>
    <row r="383" spans="1:6" ht="15.75" customHeight="1">
      <c r="A383" s="12">
        <v>2084008852</v>
      </c>
      <c r="B383" s="12" t="s">
        <v>3516</v>
      </c>
      <c r="C383" s="12" t="s">
        <v>3517</v>
      </c>
      <c r="D383" s="5" t="str">
        <f ca="1">IFERROR(__xludf.DUMMYFUNCTION("GOOGLETRANSLATE(B383,""ja"",""vi"")"),"tạo trang web")</f>
        <v>tạo trang web</v>
      </c>
      <c r="E383" s="4" t="str">
        <f ca="1">IFERROR(__xludf.DUMMYFUNCTION("GOOGLETRANSLATE(C383,""ja"",""vi"")"),"Đấu giá&gt; cuốn sách, tạp chí&gt; máy tính và internet&gt; Internet, thông tin liên lạc&gt; tạo trang chủ")</f>
        <v>Đấu giá&gt; cuốn sách, tạp chí&gt; máy tính và internet&gt; Internet, thông tin liên lạc&gt; tạo trang chủ</v>
      </c>
      <c r="F383" t="str">
        <f t="shared" ca="1" si="5"/>
        <v>"2084008852" : "tạo trang web",</v>
      </c>
    </row>
    <row r="384" spans="1:6" ht="15.75" customHeight="1">
      <c r="A384" s="12">
        <v>2084008846</v>
      </c>
      <c r="B384" s="12" t="s">
        <v>3522</v>
      </c>
      <c r="C384" s="12" t="s">
        <v>3523</v>
      </c>
      <c r="D384" s="5" t="str">
        <f ca="1">IFERROR(__xludf.DUMMYFUNCTION("GOOGLETRANSLATE(B384,""ja"",""vi"")"),"Bắt đầu")</f>
        <v>Bắt đầu</v>
      </c>
      <c r="E384" s="4" t="str">
        <f ca="1">IFERROR(__xludf.DUMMYFUNCTION("GOOGLETRANSLATE(C384,""ja"",""vi"")"),"Đấu giá&gt; cuốn sách, tạp chí&gt; máy tính và internet&gt; Internet, thông tin liên lạc&gt; Primer")</f>
        <v>Đấu giá&gt; cuốn sách, tạp chí&gt; máy tính và internet&gt; Internet, thông tin liên lạc&gt; Primer</v>
      </c>
      <c r="F384" t="str">
        <f t="shared" ca="1" si="5"/>
        <v>"2084008846" : "Bắt đầu",</v>
      </c>
    </row>
    <row r="385" spans="1:6" ht="15.75" customHeight="1">
      <c r="A385" s="12">
        <v>2084008859</v>
      </c>
      <c r="B385" s="12" t="s">
        <v>3525</v>
      </c>
      <c r="C385" s="12" t="s">
        <v>3527</v>
      </c>
      <c r="D385" s="5" t="str">
        <f ca="1">IFERROR(__xludf.DUMMYFUNCTION("GOOGLETRANSLATE(B385,""ja"",""vi"")"),"MCP, mous")</f>
        <v>MCP, mous</v>
      </c>
      <c r="E385" s="4" t="str">
        <f ca="1">IFERROR(__xludf.DUMMYFUNCTION("GOOGLETRANSLATE(C385,""ja"",""vi"")"),"Đấu giá&gt; cuốn sách, tạp chí&gt; máy tính và internet&gt; máy tính đủ điều kiện kiểm tra&gt; MCP, mous")</f>
        <v>Đấu giá&gt; cuốn sách, tạp chí&gt; máy tính và internet&gt; máy tính đủ điều kiện kiểm tra&gt; MCP, mous</v>
      </c>
      <c r="F385" t="str">
        <f t="shared" ca="1" si="5"/>
        <v>"2084008859" : "MCP, mous",</v>
      </c>
    </row>
    <row r="386" spans="1:6" ht="15.75" customHeight="1">
      <c r="A386" s="12">
        <v>2084008857</v>
      </c>
      <c r="B386" s="12" t="s">
        <v>3532</v>
      </c>
      <c r="C386" s="12" t="s">
        <v>3533</v>
      </c>
      <c r="D386" s="5" t="str">
        <f ca="1">IFERROR(__xludf.DUMMYFUNCTION("GOOGLETRANSLATE(B386,""ja"",""vi"")"),"Quản trị hệ thống")</f>
        <v>Quản trị hệ thống</v>
      </c>
      <c r="E386" s="4" t="str">
        <f ca="1">IFERROR(__xludf.DUMMYFUNCTION("GOOGLETRANSLATE(C386,""ja"",""vi"")"),"Đấu giá&gt; cuốn sách, tạp chí&gt; máy tính và internet&gt; đủ điều kiện kiểm tra máy tính&gt; System Administrator")</f>
        <v>Đấu giá&gt; cuốn sách, tạp chí&gt; máy tính và internet&gt; đủ điều kiện kiểm tra máy tính&gt; System Administrator</v>
      </c>
      <c r="F386" t="str">
        <f t="shared" ref="F386:F449" ca="1" si="6">CONCATENATE(CHAR(34)&amp;"",A386,""&amp;CHAR(34)," : ", CHAR(34)&amp;"",D386,""&amp;CHAR(34),",")</f>
        <v>"2084008857" : "Quản trị hệ thống",</v>
      </c>
    </row>
    <row r="387" spans="1:6" ht="15.75" customHeight="1">
      <c r="A387" s="12">
        <v>2084008858</v>
      </c>
      <c r="B387" s="12" t="s">
        <v>3539</v>
      </c>
      <c r="C387" s="12" t="s">
        <v>3540</v>
      </c>
      <c r="D387" s="5" t="str">
        <f ca="1">IFERROR(__xludf.DUMMYFUNCTION("GOOGLETRANSLATE(B387,""ja"",""vi"")"),"Công nghệ thông tin Kỹ sư kiểm tra")</f>
        <v>Công nghệ thông tin Kỹ sư kiểm tra</v>
      </c>
      <c r="E387" s="4" t="str">
        <f ca="1">IFERROR(__xludf.DUMMYFUNCTION("GOOGLETRANSLATE(C387,""ja"",""vi"")"),"Đấu giá&gt; cuốn sách, tạp chí&gt; máy tính và internet&gt; đủ điều kiện kiểm tra máy tính&gt; Công nghệ thông tin Kỹ sư kiểm tra")</f>
        <v>Đấu giá&gt; cuốn sách, tạp chí&gt; máy tính và internet&gt; đủ điều kiện kiểm tra máy tính&gt; Công nghệ thông tin Kỹ sư kiểm tra</v>
      </c>
      <c r="F387" t="str">
        <f t="shared" ca="1" si="6"/>
        <v>"2084008858" : "Công nghệ thông tin Kỹ sư kiểm tra",</v>
      </c>
    </row>
    <row r="388" spans="1:6" ht="15.75" customHeight="1">
      <c r="A388" s="12">
        <v>2084008860</v>
      </c>
      <c r="B388" s="12" t="s">
        <v>46</v>
      </c>
      <c r="C388" s="12" t="s">
        <v>3545</v>
      </c>
      <c r="D388" s="5" t="str">
        <f ca="1">IFERROR(__xludf.DUMMYFUNCTION("GOOGLETRANSLATE(B388,""ja"",""vi"")"),"nếu không thì")</f>
        <v>nếu không thì</v>
      </c>
      <c r="E388" s="4" t="str">
        <f ca="1">IFERROR(__xludf.DUMMYFUNCTION("GOOGLETRANSLATE(C388,""ja"",""vi"")"),"Đấu giá&gt; cuốn sách, tạp chí&gt; máy tính và internet&gt; máy tính đủ điều kiện kiểm tra&gt; Khác")</f>
        <v>Đấu giá&gt; cuốn sách, tạp chí&gt; máy tính và internet&gt; máy tính đủ điều kiện kiểm tra&gt; Khác</v>
      </c>
      <c r="F388" t="str">
        <f t="shared" ca="1" si="6"/>
        <v>"2084008860" : "nếu không thì",</v>
      </c>
    </row>
    <row r="389" spans="1:6" ht="15.75" customHeight="1">
      <c r="A389" s="12">
        <v>2084048459</v>
      </c>
      <c r="B389" s="12" t="s">
        <v>3548</v>
      </c>
      <c r="C389" s="12" t="s">
        <v>3551</v>
      </c>
      <c r="D389" s="5" t="str">
        <f ca="1">IFERROR(__xludf.DUMMYFUNCTION("GOOGLETRANSLATE(B389,""ja"",""vi"")"),"3D")</f>
        <v>3D</v>
      </c>
      <c r="E389" s="4" t="str">
        <f ca="1">IFERROR(__xludf.DUMMYFUNCTION("GOOGLETRANSLATE(C389,""ja"",""vi"")"),"Đấu giá&gt; cuốn sách, tạp chí&gt; máy tính và internet&gt; Digital Tạo&gt; 3D")</f>
        <v>Đấu giá&gt; cuốn sách, tạp chí&gt; máy tính và internet&gt; Digital Tạo&gt; 3D</v>
      </c>
      <c r="F389" t="str">
        <f t="shared" ca="1" si="6"/>
        <v>"2084048459" : "3D",</v>
      </c>
    </row>
    <row r="390" spans="1:6" ht="15.75" customHeight="1">
      <c r="A390" s="12">
        <v>2084048460</v>
      </c>
      <c r="B390" s="12" t="s">
        <v>3399</v>
      </c>
      <c r="C390" s="12" t="s">
        <v>3557</v>
      </c>
      <c r="D390" s="5" t="str">
        <f ca="1">IFERROR(__xludf.DUMMYFUNCTION("GOOGLETRANSLATE(B390,""ja"",""vi"")"),"CAD")</f>
        <v>CAD</v>
      </c>
      <c r="E390" s="4" t="str">
        <f ca="1">IFERROR(__xludf.DUMMYFUNCTION("GOOGLETRANSLATE(C390,""ja"",""vi"")"),"Đấu giá&gt; cuốn sách, tạp chí&gt; máy tính và internet&gt; Digital Tạo&gt; CAD")</f>
        <v>Đấu giá&gt; cuốn sách, tạp chí&gt; máy tính và internet&gt; Digital Tạo&gt; CAD</v>
      </c>
      <c r="F390" t="str">
        <f t="shared" ca="1" si="6"/>
        <v>"2084048460" : "CAD",</v>
      </c>
    </row>
    <row r="391" spans="1:6" ht="15.75" customHeight="1">
      <c r="A391" s="12">
        <v>2084048461</v>
      </c>
      <c r="B391" s="12" t="s">
        <v>3407</v>
      </c>
      <c r="C391" s="12" t="s">
        <v>3563</v>
      </c>
      <c r="D391" s="5" t="str">
        <f ca="1">IFERROR(__xludf.DUMMYFUNCTION("GOOGLETRANSLATE(B391,""ja"",""vi"")"),"DTP, phông chữ")</f>
        <v>DTP, phông chữ</v>
      </c>
      <c r="E391" s="4" t="str">
        <f ca="1">IFERROR(__xludf.DUMMYFUNCTION("GOOGLETRANSLATE(C391,""ja"",""vi"")"),"Đấu giá&gt; cuốn sách, tạp chí&gt; máy tính và internet&gt; Digital Tạo&gt; DTP, phông chữ")</f>
        <v>Đấu giá&gt; cuốn sách, tạp chí&gt; máy tính và internet&gt; Digital Tạo&gt; DTP, phông chữ</v>
      </c>
      <c r="F391" t="str">
        <f t="shared" ca="1" si="6"/>
        <v>"2084048461" : "DTP, phông chữ",</v>
      </c>
    </row>
    <row r="392" spans="1:6" ht="15.75" customHeight="1">
      <c r="A392" s="12">
        <v>2084048463</v>
      </c>
      <c r="B392" s="12" t="s">
        <v>3566</v>
      </c>
      <c r="C392" s="12" t="s">
        <v>3569</v>
      </c>
      <c r="D392" s="5" t="str">
        <f ca="1">IFERROR(__xludf.DUMMYFUNCTION("GOOGLETRANSLATE(B392,""ja"",""vi"")"),"DTV, video kỹ thuật số")</f>
        <v>DTV, video kỹ thuật số</v>
      </c>
      <c r="E392" s="4" t="str">
        <f ca="1">IFERROR(__xludf.DUMMYFUNCTION("GOOGLETRANSLATE(C392,""ja"",""vi"")"),"Đấu giá&gt; cuốn sách, tạp chí&gt; máy tính và internet&gt; Digital Tạo&gt; DTV, video kỹ thuật số")</f>
        <v>Đấu giá&gt; cuốn sách, tạp chí&gt; máy tính và internet&gt; Digital Tạo&gt; DTV, video kỹ thuật số</v>
      </c>
      <c r="F392" t="str">
        <f t="shared" ca="1" si="6"/>
        <v>"2084048463" : "DTV, video kỹ thuật số",</v>
      </c>
    </row>
    <row r="393" spans="1:6" ht="15.75" customHeight="1">
      <c r="A393" s="12">
        <v>2084048457</v>
      </c>
      <c r="B393" s="12" t="s">
        <v>3383</v>
      </c>
      <c r="C393" s="12" t="s">
        <v>3574</v>
      </c>
      <c r="D393" s="5" t="str">
        <f ca="1">IFERROR(__xludf.DUMMYFUNCTION("GOOGLETRANSLATE(B393,""ja"",""vi"")"),"ảnh chỉnh sửa")</f>
        <v>ảnh chỉnh sửa</v>
      </c>
      <c r="E393" s="4" t="str">
        <f ca="1">IFERROR(__xludf.DUMMYFUNCTION("GOOGLETRANSLATE(C393,""ja"",""vi"")"),"Đấu giá&gt; cuốn sách, tạp chí&gt; máy tính và internet&gt; Digital Tạo&gt; Ảnh chỉnh sửa")</f>
        <v>Đấu giá&gt; cuốn sách, tạp chí&gt; máy tính và internet&gt; Digital Tạo&gt; Ảnh chỉnh sửa</v>
      </c>
      <c r="F393" t="str">
        <f t="shared" ca="1" si="6"/>
        <v>"2084048457" : "ảnh chỉnh sửa",</v>
      </c>
    </row>
    <row r="394" spans="1:6" ht="15.75" customHeight="1">
      <c r="A394" s="12">
        <v>2084048458</v>
      </c>
      <c r="B394" s="12" t="s">
        <v>3392</v>
      </c>
      <c r="C394" s="12" t="s">
        <v>3578</v>
      </c>
      <c r="D394" s="5" t="str">
        <f ca="1">IFERROR(__xludf.DUMMYFUNCTION("GOOGLETRANSLATE(B394,""ja"",""vi"")"),"Sơn, vẽ")</f>
        <v>Sơn, vẽ</v>
      </c>
      <c r="E394" s="4" t="str">
        <f ca="1">IFERROR(__xludf.DUMMYFUNCTION("GOOGLETRANSLATE(C394,""ja"",""vi"")"),"Đấu giá&gt; cuốn sách, tạp chí&gt; máy tính và internet&gt; Tạo Digital&gt; sơn, vẽ")</f>
        <v>Đấu giá&gt; cuốn sách, tạp chí&gt; máy tính và internet&gt; Tạo Digital&gt; sơn, vẽ</v>
      </c>
      <c r="F394" t="str">
        <f t="shared" ca="1" si="6"/>
        <v>"2084048458" : "Sơn, vẽ",</v>
      </c>
    </row>
    <row r="395" spans="1:6" ht="15.75" customHeight="1">
      <c r="A395" s="12">
        <v>2084048462</v>
      </c>
      <c r="B395" s="12" t="s">
        <v>3453</v>
      </c>
      <c r="C395" s="12" t="s">
        <v>3581</v>
      </c>
      <c r="D395" s="5" t="str">
        <f ca="1">IFERROR(__xludf.DUMMYFUNCTION("GOOGLETRANSLATE(B395,""ja"",""vi"")"),"chỉnh sửa âm nhạc, DTM")</f>
        <v>chỉnh sửa âm nhạc, DTM</v>
      </c>
      <c r="E395" s="4" t="str">
        <f ca="1">IFERROR(__xludf.DUMMYFUNCTION("GOOGLETRANSLATE(C395,""ja"",""vi"")"),"Đấu giá&gt; cuốn sách, tạp chí&gt; máy tính và internet&gt; Digital Tạo&gt; nhạc chỉnh sửa, DTM")</f>
        <v>Đấu giá&gt; cuốn sách, tạp chí&gt; máy tính và internet&gt; Digital Tạo&gt; nhạc chỉnh sửa, DTM</v>
      </c>
      <c r="F395" t="str">
        <f t="shared" ca="1" si="6"/>
        <v>"2084048462" : "chỉnh sửa âm nhạc, DTM",</v>
      </c>
    </row>
    <row r="396" spans="1:6" ht="15.75" customHeight="1">
      <c r="A396" s="12">
        <v>2084048464</v>
      </c>
      <c r="B396" s="12" t="s">
        <v>46</v>
      </c>
      <c r="C396" s="12" t="s">
        <v>3584</v>
      </c>
      <c r="D396" s="5" t="str">
        <f ca="1">IFERROR(__xludf.DUMMYFUNCTION("GOOGLETRANSLATE(B396,""ja"",""vi"")"),"nếu không thì")</f>
        <v>nếu không thì</v>
      </c>
      <c r="E396" s="4" t="str">
        <f ca="1">IFERROR(__xludf.DUMMYFUNCTION("GOOGLETRANSLATE(C396,""ja"",""vi"")"),"Đấu giá&gt; cuốn sách, tạp chí&gt; máy tính và internet&gt; Digital Tạo&gt; Khác")</f>
        <v>Đấu giá&gt; cuốn sách, tạp chí&gt; máy tính và internet&gt; Digital Tạo&gt; Khác</v>
      </c>
      <c r="F396" t="str">
        <f t="shared" ca="1" si="6"/>
        <v>"2084048464" : "nếu không thì",</v>
      </c>
    </row>
    <row r="397" spans="1:6" ht="15.75" customHeight="1">
      <c r="A397" s="12">
        <v>2084008807</v>
      </c>
      <c r="B397" s="12" t="s">
        <v>3197</v>
      </c>
      <c r="C397" s="12" t="s">
        <v>3588</v>
      </c>
      <c r="D397" s="5" t="str">
        <f ca="1">IFERROR(__xludf.DUMMYFUNCTION("GOOGLETRANSLATE(B397,""ja"",""vi"")"),"CPU")</f>
        <v>CPU</v>
      </c>
      <c r="E397" s="4" t="str">
        <f ca="1">IFERROR(__xludf.DUMMYFUNCTION("GOOGLETRANSLATE(C397,""ja"",""vi"")"),"Đấu giá&gt; cuốn sách, tạp chí&gt; máy tính và internet&gt; phần cứng&gt; CPU")</f>
        <v>Đấu giá&gt; cuốn sách, tạp chí&gt; máy tính và internet&gt; phần cứng&gt; CPU</v>
      </c>
      <c r="F397" t="str">
        <f t="shared" ca="1" si="6"/>
        <v>"2084008807" : "CPU",</v>
      </c>
    </row>
    <row r="398" spans="1:6" ht="15.75" customHeight="1">
      <c r="A398" s="12">
        <v>2084258235</v>
      </c>
      <c r="B398" s="12" t="s">
        <v>3591</v>
      </c>
      <c r="C398" s="12" t="s">
        <v>3593</v>
      </c>
      <c r="D398" s="5" t="str">
        <f ca="1">IFERROR(__xludf.DUMMYFUNCTION("GOOGLETRANSLATE(B398,""ja"",""vi"")"),"iPhone")</f>
        <v>iPhone</v>
      </c>
      <c r="E398" s="4" t="str">
        <f ca="1">IFERROR(__xludf.DUMMYFUNCTION("GOOGLETRANSLATE(C398,""ja"",""vi"")"),"Đấu giá&gt; cuốn sách, tạp chí&gt; máy tính và internet&gt; phần cứng&gt; iPhone")</f>
        <v>Đấu giá&gt; cuốn sách, tạp chí&gt; máy tính và internet&gt; phần cứng&gt; iPhone</v>
      </c>
      <c r="F398" t="str">
        <f t="shared" ca="1" si="6"/>
        <v>"2084258235" : "iPhone",</v>
      </c>
    </row>
    <row r="399" spans="1:6" ht="15.75" customHeight="1">
      <c r="A399" s="12">
        <v>2084008808</v>
      </c>
      <c r="B399" s="12" t="s">
        <v>3596</v>
      </c>
      <c r="C399" s="12" t="s">
        <v>3598</v>
      </c>
      <c r="D399" s="5" t="str">
        <f ca="1">IFERROR(__xludf.DUMMYFUNCTION("GOOGLETRANSLATE(B399,""ja"",""vi"")"),"i-mode, điện thoại di động")</f>
        <v>i-mode, điện thoại di động</v>
      </c>
      <c r="E399" s="4" t="str">
        <f ca="1">IFERROR(__xludf.DUMMYFUNCTION("GOOGLETRANSLATE(C399,""ja"",""vi"")"),"Đấu giá&gt; cuốn sách, tạp chí&gt; máy tính và internet&gt; phần cứng&gt; i-mode, điện thoại di động")</f>
        <v>Đấu giá&gt; cuốn sách, tạp chí&gt; máy tính và internet&gt; phần cứng&gt; i-mode, điện thoại di động</v>
      </c>
      <c r="F399" t="str">
        <f t="shared" ca="1" si="6"/>
        <v>"2084008808" : "i-mode, điện thoại di động",</v>
      </c>
    </row>
    <row r="400" spans="1:6" ht="15.75" customHeight="1">
      <c r="A400" s="12">
        <v>2084008806</v>
      </c>
      <c r="B400" s="12" t="s">
        <v>3601</v>
      </c>
      <c r="C400" s="12" t="s">
        <v>3602</v>
      </c>
      <c r="D400" s="5" t="str">
        <f ca="1">IFERROR(__xludf.DUMMYFUNCTION("GOOGLETRANSLATE(B400,""ja"",""vi"")"),"máy ảnh kỹ thuật số, xử lý ảnh")</f>
        <v>máy ảnh kỹ thuật số, xử lý ảnh</v>
      </c>
      <c r="E400" s="4" t="str">
        <f ca="1">IFERROR(__xludf.DUMMYFUNCTION("GOOGLETRANSLATE(C400,""ja"",""vi"")"),"Đấu giá&gt; cuốn sách, tạp chí&gt; máy tính và internet&gt; phần cứng&gt; máy ảnh kỹ thuật số, xử lý ảnh")</f>
        <v>Đấu giá&gt; cuốn sách, tạp chí&gt; máy tính và internet&gt; phần cứng&gt; máy ảnh kỹ thuật số, xử lý ảnh</v>
      </c>
      <c r="F400" t="str">
        <f t="shared" ca="1" si="6"/>
        <v>"2084008806" : "máy ảnh kỹ thuật số, xử lý ảnh",</v>
      </c>
    </row>
    <row r="401" spans="1:6" ht="15.75" customHeight="1">
      <c r="A401" s="12">
        <v>2084008803</v>
      </c>
      <c r="B401" s="12" t="s">
        <v>3609</v>
      </c>
      <c r="C401" s="12" t="s">
        <v>3611</v>
      </c>
      <c r="D401" s="5" t="str">
        <f ca="1">IFERROR(__xludf.DUMMYFUNCTION("GOOGLETRANSLATE(B401,""ja"",""vi"")"),"PC")</f>
        <v>PC</v>
      </c>
      <c r="E401" s="4" t="str">
        <f ca="1">IFERROR(__xludf.DUMMYFUNCTION("GOOGLETRANSLATE(C401,""ja"",""vi"")"),"Đấu giá&gt; cuốn sách, tạp chí&gt; máy tính và internet&gt; phần cứng&gt; PC")</f>
        <v>Đấu giá&gt; cuốn sách, tạp chí&gt; máy tính và internet&gt; phần cứng&gt; PC</v>
      </c>
      <c r="F401" t="str">
        <f t="shared" ca="1" si="6"/>
        <v>"2084008803" : "PC",</v>
      </c>
    </row>
    <row r="402" spans="1:6" ht="15.75" customHeight="1">
      <c r="A402" s="12">
        <v>2084008805</v>
      </c>
      <c r="B402" s="12" t="s">
        <v>3617</v>
      </c>
      <c r="C402" s="12" t="s">
        <v>3619</v>
      </c>
      <c r="D402" s="5" t="str">
        <f ca="1">IFERROR(__xludf.DUMMYFUNCTION("GOOGLETRANSLATE(B402,""ja"",""vi"")"),"thiết bị di động")</f>
        <v>thiết bị di động</v>
      </c>
      <c r="E402" s="4" t="str">
        <f ca="1">IFERROR(__xludf.DUMMYFUNCTION("GOOGLETRANSLATE(C402,""ja"",""vi"")"),"Đấu giá&gt; cuốn sách, tạp chí&gt; máy tính và internet&gt; phần cứng&gt; Thiết bị di động")</f>
        <v>Đấu giá&gt; cuốn sách, tạp chí&gt; máy tính và internet&gt; phần cứng&gt; Thiết bị di động</v>
      </c>
      <c r="F402" t="str">
        <f t="shared" ca="1" si="6"/>
        <v>"2084008805" : "thiết bị di động",</v>
      </c>
    </row>
    <row r="403" spans="1:6" ht="15.75" customHeight="1">
      <c r="A403" s="12">
        <v>2084008804</v>
      </c>
      <c r="B403" s="12" t="s">
        <v>3625</v>
      </c>
      <c r="C403" s="12" t="s">
        <v>3626</v>
      </c>
      <c r="D403" s="5" t="str">
        <f ca="1">IFERROR(__xludf.DUMMYFUNCTION("GOOGLETRANSLATE(B403,""ja"",""vi"")"),"Thiết bị ngoại vi, thiết bị lưu trữ")</f>
        <v>Thiết bị ngoại vi, thiết bị lưu trữ</v>
      </c>
      <c r="E403" s="4" t="str">
        <f ca="1">IFERROR(__xludf.DUMMYFUNCTION("GOOGLETRANSLATE(C403,""ja"",""vi"")"),"Đấu giá&gt; cuốn sách, tạp chí&gt; máy tính và internet&gt; phần cứng&gt; thiết bị ngoại vi, thiết bị lưu trữ")</f>
        <v>Đấu giá&gt; cuốn sách, tạp chí&gt; máy tính và internet&gt; phần cứng&gt; thiết bị ngoại vi, thiết bị lưu trữ</v>
      </c>
      <c r="F403" t="str">
        <f t="shared" ca="1" si="6"/>
        <v>"2084008804" : "Thiết bị ngoại vi, thiết bị lưu trữ",</v>
      </c>
    </row>
    <row r="404" spans="1:6" ht="15.75" customHeight="1">
      <c r="A404" s="12">
        <v>2084008820</v>
      </c>
      <c r="B404" s="12" t="s">
        <v>3632</v>
      </c>
      <c r="C404" s="12" t="s">
        <v>3634</v>
      </c>
      <c r="D404" s="5" t="str">
        <f ca="1">IFERROR(__xludf.DUMMYFUNCTION("GOOGLETRANSLATE(B404,""ja"",""vi"")"),"căn bản")</f>
        <v>căn bản</v>
      </c>
      <c r="E404" s="4" t="str">
        <f ca="1">IFERROR(__xludf.DUMMYFUNCTION("GOOGLETRANSLATE(C404,""ja"",""vi"")"),"Đấu giá&gt; cuốn sách, tạp chí&gt; máy tính và internet&gt; Ngôn ngữ&gt; Basic")</f>
        <v>Đấu giá&gt; cuốn sách, tạp chí&gt; máy tính và internet&gt; Ngôn ngữ&gt; Basic</v>
      </c>
      <c r="F404" t="str">
        <f t="shared" ca="1" si="6"/>
        <v>"2084008820" : "căn bản",</v>
      </c>
    </row>
    <row r="405" spans="1:6" ht="15.75" customHeight="1">
      <c r="A405" s="12">
        <v>2084008818</v>
      </c>
      <c r="B405" s="12" t="s">
        <v>3639</v>
      </c>
      <c r="C405" s="12" t="s">
        <v>3641</v>
      </c>
      <c r="D405" s="5" t="str">
        <f ca="1">IFERROR(__xludf.DUMMYFUNCTION("GOOGLETRANSLATE(B405,""ja"",""vi"")"),"C / C ++")</f>
        <v>C / C ++</v>
      </c>
      <c r="E405" s="4" t="str">
        <f ca="1">IFERROR(__xludf.DUMMYFUNCTION("GOOGLETRANSLATE(C405,""ja"",""vi"")"),"Đấu giá&gt; cuốn sách, tạp chí&gt; máy tính và internet&gt; Ngôn ngữ&gt; C / C ++")</f>
        <v>Đấu giá&gt; cuốn sách, tạp chí&gt; máy tính và internet&gt; Ngôn ngữ&gt; C / C ++</v>
      </c>
      <c r="F405" t="str">
        <f t="shared" ca="1" si="6"/>
        <v>"2084008818" : "C / C ++",</v>
      </c>
    </row>
    <row r="406" spans="1:6" ht="15.75" customHeight="1">
      <c r="A406" s="12">
        <v>2084008978</v>
      </c>
      <c r="B406" s="12" t="s">
        <v>3645</v>
      </c>
      <c r="C406" s="12" t="s">
        <v>3647</v>
      </c>
      <c r="D406" s="5" t="str">
        <f ca="1">IFERROR(__xludf.DUMMYFUNCTION("GOOGLETRANSLATE(B406,""ja"",""vi"")"),"COBOL")</f>
        <v>COBOL</v>
      </c>
      <c r="E406" s="4" t="str">
        <f ca="1">IFERROR(__xludf.DUMMYFUNCTION("GOOGLETRANSLATE(C406,""ja"",""vi"")"),"Đấu giá&gt; cuốn sách, tạp chí&gt; máy tính và internet&gt; Ngôn ngữ&gt; COBOL")</f>
        <v>Đấu giá&gt; cuốn sách, tạp chí&gt; máy tính và internet&gt; Ngôn ngữ&gt; COBOL</v>
      </c>
      <c r="F406" t="str">
        <f t="shared" ca="1" si="6"/>
        <v>"2084008978" : "COBOL",</v>
      </c>
    </row>
    <row r="407" spans="1:6" ht="15.75" customHeight="1">
      <c r="A407" s="12">
        <v>2084008824</v>
      </c>
      <c r="B407" s="12" t="s">
        <v>3652</v>
      </c>
      <c r="C407" s="12" t="s">
        <v>3653</v>
      </c>
      <c r="D407" s="5" t="str">
        <f ca="1">IFERROR(__xludf.DUMMYFUNCTION("GOOGLETRANSLATE(B407,""ja"",""vi"")"),"Delphi")</f>
        <v>Delphi</v>
      </c>
      <c r="E407" s="4" t="str">
        <f ca="1">IFERROR(__xludf.DUMMYFUNCTION("GOOGLETRANSLATE(C407,""ja"",""vi"")"),"Đấu giá&gt; cuốn sách, tạp chí&gt; máy tính và internet&gt; Ngôn ngữ&gt; Delphi")</f>
        <v>Đấu giá&gt; cuốn sách, tạp chí&gt; máy tính và internet&gt; Ngôn ngữ&gt; Delphi</v>
      </c>
      <c r="F407" t="str">
        <f t="shared" ca="1" si="6"/>
        <v>"2084008824" : "Delphi",</v>
      </c>
    </row>
    <row r="408" spans="1:6" ht="15.75" customHeight="1">
      <c r="A408" s="12">
        <v>2084008822</v>
      </c>
      <c r="B408" s="12" t="s">
        <v>3658</v>
      </c>
      <c r="C408" s="12" t="s">
        <v>3659</v>
      </c>
      <c r="D408" s="5" t="str">
        <f ca="1">IFERROR(__xludf.DUMMYFUNCTION("GOOGLETRANSLATE(B408,""ja"",""vi"")"),"FORTRAN")</f>
        <v>FORTRAN</v>
      </c>
      <c r="E408" s="4" t="str">
        <f ca="1">IFERROR(__xludf.DUMMYFUNCTION("GOOGLETRANSLATE(C408,""ja"",""vi"")"),"Đấu giá&gt; cuốn sách, tạp chí&gt; máy tính và internet&gt; Ngôn ngữ&gt; FORTRAN")</f>
        <v>Đấu giá&gt; cuốn sách, tạp chí&gt; máy tính và internet&gt; Ngôn ngữ&gt; FORTRAN</v>
      </c>
      <c r="F408" t="str">
        <f t="shared" ca="1" si="6"/>
        <v>"2084008822" : "FORTRAN",</v>
      </c>
    </row>
    <row r="409" spans="1:6" ht="15.75" customHeight="1">
      <c r="A409" s="12">
        <v>2084008853</v>
      </c>
      <c r="B409" s="12" t="s">
        <v>3476</v>
      </c>
      <c r="C409" s="12" t="s">
        <v>3664</v>
      </c>
      <c r="D409" s="5" t="str">
        <f ca="1">IFERROR(__xludf.DUMMYFUNCTION("GOOGLETRANSLATE(B409,""ja"",""vi"")"),"JAVA")</f>
        <v>JAVA</v>
      </c>
      <c r="E409" s="4" t="str">
        <f ca="1">IFERROR(__xludf.DUMMYFUNCTION("GOOGLETRANSLATE(C409,""ja"",""vi"")"),"Đấu giá&gt; cuốn sách, tạp chí&gt; máy tính và internet&gt; Ngôn ngữ&gt; JAVA")</f>
        <v>Đấu giá&gt; cuốn sách, tạp chí&gt; máy tính và internet&gt; Ngôn ngữ&gt; JAVA</v>
      </c>
      <c r="F409" t="str">
        <f t="shared" ca="1" si="6"/>
        <v>"2084008853" : "JAVA",</v>
      </c>
    </row>
    <row r="410" spans="1:6" ht="15.75" customHeight="1">
      <c r="A410" s="12">
        <v>2084008821</v>
      </c>
      <c r="B410" s="12" t="s">
        <v>3670</v>
      </c>
      <c r="C410" s="12" t="s">
        <v>3671</v>
      </c>
      <c r="D410" s="5" t="str">
        <f ca="1">IFERROR(__xludf.DUMMYFUNCTION("GOOGLETRANSLATE(B410,""ja"",""vi"")"),"visual Basic")</f>
        <v>visual Basic</v>
      </c>
      <c r="E410" s="4" t="str">
        <f ca="1">IFERROR(__xludf.DUMMYFUNCTION("GOOGLETRANSLATE(C410,""ja"",""vi"")"),"Đấu giá&gt; cuốn sách, tạp chí&gt; máy tính và internet&gt; Ngôn ngữ&gt; Visual Basic")</f>
        <v>Đấu giá&gt; cuốn sách, tạp chí&gt; máy tính và internet&gt; Ngôn ngữ&gt; Visual Basic</v>
      </c>
      <c r="F410" t="str">
        <f t="shared" ca="1" si="6"/>
        <v>"2084008821" : "visual Basic",</v>
      </c>
    </row>
    <row r="411" spans="1:6" ht="15.75" customHeight="1">
      <c r="A411" s="12">
        <v>2084008819</v>
      </c>
      <c r="B411" s="12" t="s">
        <v>3677</v>
      </c>
      <c r="C411" s="12" t="s">
        <v>3678</v>
      </c>
      <c r="D411" s="5" t="str">
        <f ca="1">IFERROR(__xludf.DUMMYFUNCTION("GOOGLETRANSLATE(B411,""ja"",""vi"")"),"visual C ++")</f>
        <v>visual C ++</v>
      </c>
      <c r="E411" s="4" t="str">
        <f ca="1">IFERROR(__xludf.DUMMYFUNCTION("GOOGLETRANSLATE(C411,""ja"",""vi"")"),"Đấu giá&gt; cuốn sách, tạp chí&gt; máy tính và internet&gt; Ngôn ngữ&gt; visual C ++")</f>
        <v>Đấu giá&gt; cuốn sách, tạp chí&gt; máy tính và internet&gt; Ngôn ngữ&gt; visual C ++</v>
      </c>
      <c r="F411" t="str">
        <f t="shared" ca="1" si="6"/>
        <v>"2084008819" : "visual C ++",</v>
      </c>
    </row>
    <row r="412" spans="1:6" ht="15.75" customHeight="1">
      <c r="A412" s="12">
        <v>2084008823</v>
      </c>
      <c r="B412" s="12" t="s">
        <v>3683</v>
      </c>
      <c r="C412" s="12" t="s">
        <v>3684</v>
      </c>
      <c r="D412" s="5" t="str">
        <f ca="1">IFERROR(__xludf.DUMMYFUNCTION("GOOGLETRANSLATE(B412,""ja"",""vi"")"),"assembler")</f>
        <v>assembler</v>
      </c>
      <c r="E412" s="4" t="str">
        <f ca="1">IFERROR(__xludf.DUMMYFUNCTION("GOOGLETRANSLATE(C412,""ja"",""vi"")"),"Đấu giá&gt; cuốn sách, tạp chí&gt; máy tính và internet&gt; Ngôn ngữ&gt; lắp ráp")</f>
        <v>Đấu giá&gt; cuốn sách, tạp chí&gt; máy tính và internet&gt; Ngôn ngữ&gt; lắp ráp</v>
      </c>
      <c r="F412" t="str">
        <f t="shared" ca="1" si="6"/>
        <v>"2084008823" : "assembler",</v>
      </c>
    </row>
    <row r="413" spans="1:6" ht="15.75" customHeight="1">
      <c r="A413" s="12">
        <v>2084008825</v>
      </c>
      <c r="B413" s="12" t="s">
        <v>46</v>
      </c>
      <c r="C413" s="12" t="s">
        <v>3691</v>
      </c>
      <c r="D413" s="5" t="str">
        <f ca="1">IFERROR(__xludf.DUMMYFUNCTION("GOOGLETRANSLATE(B413,""ja"",""vi"")"),"nếu không thì")</f>
        <v>nếu không thì</v>
      </c>
      <c r="E413" s="4" t="str">
        <f ca="1">IFERROR(__xludf.DUMMYFUNCTION("GOOGLETRANSLATE(C413,""ja"",""vi"")"),"Đấu giá&gt; cuốn sách, tạp chí&gt; máy tính và internet&gt; Ngôn ngữ&gt; Khác")</f>
        <v>Đấu giá&gt; cuốn sách, tạp chí&gt; máy tính và internet&gt; Ngôn ngữ&gt; Khác</v>
      </c>
      <c r="F413" t="str">
        <f t="shared" ca="1" si="6"/>
        <v>"2084008825" : "nếu không thì",</v>
      </c>
    </row>
    <row r="414" spans="1:6" ht="15.75" customHeight="1">
      <c r="A414" s="12">
        <v>2084008024</v>
      </c>
      <c r="B414" s="12" t="s">
        <v>3696</v>
      </c>
      <c r="C414" s="12" t="s">
        <v>3698</v>
      </c>
      <c r="D414" s="5" t="str">
        <f ca="1">IFERROR(__xludf.DUMMYFUNCTION("GOOGLETRANSLATE(B414,""ja"",""vi"")"),"PC chung")</f>
        <v>PC chung</v>
      </c>
      <c r="E414" s="4" t="str">
        <f ca="1">IFERROR(__xludf.DUMMYFUNCTION("GOOGLETRANSLATE(C414,""ja"",""vi"")"),"Đấu giá&gt; cuốn sách, tạp chí&gt; Tạp chí&gt; máy tính và internet&gt; chung máy tính cá nhân")</f>
        <v>Đấu giá&gt; cuốn sách, tạp chí&gt; Tạp chí&gt; máy tính và internet&gt; chung máy tính cá nhân</v>
      </c>
      <c r="F414" t="str">
        <f t="shared" ca="1" si="6"/>
        <v>"2084008024" : "PC chung",</v>
      </c>
    </row>
    <row r="415" spans="1:6" ht="15.75" customHeight="1">
      <c r="A415" s="12">
        <v>2084008026</v>
      </c>
      <c r="B415" s="12" t="s">
        <v>3703</v>
      </c>
      <c r="C415" s="12" t="s">
        <v>3705</v>
      </c>
      <c r="D415" s="5" t="str">
        <f ca="1">IFERROR(__xludf.DUMMYFUNCTION("GOOGLETRANSLATE(B415,""ja"",""vi"")"),"tạp chí Mac")</f>
        <v>tạp chí Mac</v>
      </c>
      <c r="E415" s="4" t="str">
        <f ca="1">IFERROR(__xludf.DUMMYFUNCTION("GOOGLETRANSLATE(C415,""ja"",""vi"")"),"Đấu giá&gt; cuốn sách, tạp chí&gt; Tạp chí&gt; máy tính và internet&gt; Mac tạp chí liên quan")</f>
        <v>Đấu giá&gt; cuốn sách, tạp chí&gt; Tạp chí&gt; máy tính và internet&gt; Mac tạp chí liên quan</v>
      </c>
      <c r="F415" t="str">
        <f t="shared" ca="1" si="6"/>
        <v>"2084008026" : "tạp chí Mac",</v>
      </c>
    </row>
    <row r="416" spans="1:6" ht="15.75" customHeight="1">
      <c r="A416" s="12">
        <v>2084008027</v>
      </c>
      <c r="B416" s="12" t="s">
        <v>3709</v>
      </c>
      <c r="C416" s="12" t="s">
        <v>3712</v>
      </c>
      <c r="D416" s="5" t="str">
        <f ca="1">IFERROR(__xludf.DUMMYFUNCTION("GOOGLETRANSLATE(B416,""ja"",""vi"")"),"tạp chí có liên quan của Windows")</f>
        <v>tạp chí có liên quan của Windows</v>
      </c>
      <c r="E416" s="4" t="str">
        <f ca="1">IFERROR(__xludf.DUMMYFUNCTION("GOOGLETRANSLATE(C416,""ja"",""vi"")"),"Đấu giá&gt; cuốn sách, tạp chí&gt; Tạp chí&gt; máy tính và internet&gt; tạp chí có liên quan của Windows")</f>
        <v>Đấu giá&gt; cuốn sách, tạp chí&gt; Tạp chí&gt; máy tính và internet&gt; tạp chí có liên quan của Windows</v>
      </c>
      <c r="F416" t="str">
        <f t="shared" ca="1" si="6"/>
        <v>"2084008027" : "tạp chí có liên quan của Windows",</v>
      </c>
    </row>
    <row r="417" spans="1:6" ht="15.75" customHeight="1">
      <c r="A417" s="12">
        <v>2084008028</v>
      </c>
      <c r="B417" s="12" t="s">
        <v>3715</v>
      </c>
      <c r="C417" s="12" t="s">
        <v>3718</v>
      </c>
      <c r="D417" s="5" t="str">
        <f ca="1">IFERROR(__xludf.DUMMYFUNCTION("GOOGLETRANSLATE(B417,""ja"",""vi"")"),"Internet, truyền thông")</f>
        <v>Internet, truyền thông</v>
      </c>
      <c r="E417" s="4" t="str">
        <f ca="1">IFERROR(__xludf.DUMMYFUNCTION("GOOGLETRANSLATE(C417,""ja"",""vi"")"),"Đấu giá&gt; cuốn sách, tạp chí&gt; Tạp chí&gt; máy tính và internet&gt; Internet, thông tin liên lạc")</f>
        <v>Đấu giá&gt; cuốn sách, tạp chí&gt; Tạp chí&gt; máy tính và internet&gt; Internet, thông tin liên lạc</v>
      </c>
      <c r="F417" t="str">
        <f t="shared" ca="1" si="6"/>
        <v>"2084008028" : "Internet, truyền thông",</v>
      </c>
    </row>
    <row r="418" spans="1:6" ht="15.75" customHeight="1">
      <c r="A418" s="12">
        <v>2084008029</v>
      </c>
      <c r="B418" s="12" t="s">
        <v>3722</v>
      </c>
      <c r="C418" s="12" t="s">
        <v>3724</v>
      </c>
      <c r="D418" s="5" t="str">
        <f ca="1">IFERROR(__xludf.DUMMYFUNCTION("GOOGLETRANSLATE(B418,""ja"",""vi"")"),"nhạc máy tính, DTM")</f>
        <v>nhạc máy tính, DTM</v>
      </c>
      <c r="E418" s="4" t="str">
        <f ca="1">IFERROR(__xludf.DUMMYFUNCTION("GOOGLETRANSLATE(C418,""ja"",""vi"")"),"Đấu giá&gt; cuốn sách, tạp chí&gt; Tạp chí&gt; máy tính và internet&gt; nhạc máy tính, DTM")</f>
        <v>Đấu giá&gt; cuốn sách, tạp chí&gt; Tạp chí&gt; máy tính và internet&gt; nhạc máy tính, DTM</v>
      </c>
      <c r="F418" t="str">
        <f t="shared" ca="1" si="6"/>
        <v>"2084008029" : "nhạc máy tính, DTM",</v>
      </c>
    </row>
    <row r="419" spans="1:6" ht="15.75" customHeight="1">
      <c r="A419" s="12">
        <v>2084008025</v>
      </c>
      <c r="B419" s="12" t="s">
        <v>3728</v>
      </c>
      <c r="C419" s="12" t="s">
        <v>3730</v>
      </c>
      <c r="D419" s="5" t="str">
        <f ca="1">IFERROR(__xludf.DUMMYFUNCTION("GOOGLETRANSLATE(B419,""ja"",""vi"")"),"PC Games")</f>
        <v>PC Games</v>
      </c>
      <c r="E419" s="4" t="str">
        <f ca="1">IFERROR(__xludf.DUMMYFUNCTION("GOOGLETRANSLATE(C419,""ja"",""vi"")"),"Đấu giá&gt; cuốn sách, tạp chí&gt; Tạp chí&gt; máy tính và internet&gt; trò chơi máy tính cá nhân")</f>
        <v>Đấu giá&gt; cuốn sách, tạp chí&gt; Tạp chí&gt; máy tính và internet&gt; trò chơi máy tính cá nhân</v>
      </c>
      <c r="F419" t="str">
        <f t="shared" ca="1" si="6"/>
        <v>"2084008025" : "PC Games",</v>
      </c>
    </row>
    <row r="420" spans="1:6" ht="15.75" customHeight="1">
      <c r="A420" s="12">
        <v>2084009022</v>
      </c>
      <c r="B420" s="12" t="s">
        <v>6274</v>
      </c>
      <c r="C420" s="12" t="s">
        <v>6275</v>
      </c>
      <c r="D420" s="5" t="str">
        <f ca="1">IFERROR(__xludf.DUMMYFUNCTION("GOOGLETRANSLATE(B420,""ja"",""vi"")"),"nói chung kỹ thuật")</f>
        <v>nói chung kỹ thuật</v>
      </c>
      <c r="E420" s="4" t="str">
        <f ca="1">IFERROR(__xludf.DUMMYFUNCTION("GOOGLETRANSLATE(C420,""ja"",""vi"")"),"Đấu giá&gt; cuốn sách, tạp chí&gt; khoa học tự nhiên và công nghệ&gt; Kỹ thuật&gt; nói chung kỹ thuật")</f>
        <v>Đấu giá&gt; cuốn sách, tạp chí&gt; khoa học tự nhiên và công nghệ&gt; Kỹ thuật&gt; nói chung kỹ thuật</v>
      </c>
      <c r="F420" t="str">
        <f t="shared" ca="1" si="6"/>
        <v>"2084009022" : "nói chung kỹ thuật",</v>
      </c>
    </row>
    <row r="421" spans="1:6" ht="15.75" customHeight="1">
      <c r="A421" s="12">
        <v>2084009024</v>
      </c>
      <c r="B421" s="12" t="s">
        <v>6276</v>
      </c>
      <c r="C421" s="12" t="s">
        <v>6277</v>
      </c>
      <c r="D421" s="5" t="str">
        <f ca="1">IFERROR(__xludf.DUMMYFUNCTION("GOOGLETRANSLATE(B421,""ja"",""vi"")"),"công nghiệp hóa chất")</f>
        <v>công nghiệp hóa chất</v>
      </c>
      <c r="E421" s="4" t="str">
        <f ca="1">IFERROR(__xludf.DUMMYFUNCTION("GOOGLETRANSLATE(C421,""ja"",""vi"")"),"Đấu giá&gt; cuốn sách, tạp chí&gt; khoa học tự nhiên và công nghệ&gt; Kỹ thuật&gt; công nghiệp hóa chất")</f>
        <v>Đấu giá&gt; cuốn sách, tạp chí&gt; khoa học tự nhiên và công nghệ&gt; Kỹ thuật&gt; công nghiệp hóa chất</v>
      </c>
      <c r="F421" t="str">
        <f t="shared" ca="1" si="6"/>
        <v>"2084009024" : "công nghiệp hóa chất",</v>
      </c>
    </row>
    <row r="422" spans="1:6" ht="15.75" customHeight="1">
      <c r="A422" s="12">
        <v>2084009023</v>
      </c>
      <c r="B422" s="12" t="s">
        <v>6278</v>
      </c>
      <c r="C422" s="12" t="s">
        <v>6279</v>
      </c>
      <c r="D422" s="5" t="str">
        <f ca="1">IFERROR(__xludf.DUMMYFUNCTION("GOOGLETRANSLATE(B422,""ja"",""vi"")"),"Kỹ thuật Hàng hải")</f>
        <v>Kỹ thuật Hàng hải</v>
      </c>
      <c r="E422" s="4" t="str">
        <f ca="1">IFERROR(__xludf.DUMMYFUNCTION("GOOGLETRANSLATE(C422,""ja"",""vi"")"),"Đấu giá&gt; cuốn sách, tạp chí&gt; khoa học tự nhiên và công nghệ&gt; Kỹ thuật&gt; Cơ Khí Hàng Hải")</f>
        <v>Đấu giá&gt; cuốn sách, tạp chí&gt; khoa học tự nhiên và công nghệ&gt; Kỹ thuật&gt; Cơ Khí Hàng Hải</v>
      </c>
      <c r="F422" t="str">
        <f t="shared" ca="1" si="6"/>
        <v>"2084009023" : "Kỹ thuật Hàng hải",</v>
      </c>
    </row>
    <row r="423" spans="1:6" ht="15.75" customHeight="1">
      <c r="A423" s="12">
        <v>2084009025</v>
      </c>
      <c r="B423" s="12" t="s">
        <v>6280</v>
      </c>
      <c r="C423" s="12" t="s">
        <v>6281</v>
      </c>
      <c r="D423" s="5" t="str">
        <f ca="1">IFERROR(__xludf.DUMMYFUNCTION("GOOGLETRANSLATE(B423,""ja"",""vi"")"),"Cơ khí")</f>
        <v>Cơ khí</v>
      </c>
      <c r="E423" s="4" t="str">
        <f ca="1">IFERROR(__xludf.DUMMYFUNCTION("GOOGLETRANSLATE(C423,""ja"",""vi"")"),"Đấu giá&gt; cuốn sách, tạp chí&gt; khoa học tự nhiên và công nghệ&gt; Kỹ thuật&gt; Cơ khí")</f>
        <v>Đấu giá&gt; cuốn sách, tạp chí&gt; khoa học tự nhiên và công nghệ&gt; Kỹ thuật&gt; Cơ khí</v>
      </c>
      <c r="F423" t="str">
        <f t="shared" ca="1" si="6"/>
        <v>"2084009025" : "Cơ khí",</v>
      </c>
    </row>
    <row r="424" spans="1:6" ht="15.75" customHeight="1">
      <c r="A424" s="12">
        <v>2084009026</v>
      </c>
      <c r="B424" s="12" t="s">
        <v>6282</v>
      </c>
      <c r="C424" s="12" t="s">
        <v>6283</v>
      </c>
      <c r="D424" s="5" t="str">
        <f ca="1">IFERROR(__xludf.DUMMYFUNCTION("GOOGLETRANSLATE(B424,""ja"",""vi"")"),"kim loại kỹ thuật")</f>
        <v>kim loại kỹ thuật</v>
      </c>
      <c r="E424" s="4" t="str">
        <f ca="1">IFERROR(__xludf.DUMMYFUNCTION("GOOGLETRANSLATE(C424,""ja"",""vi"")"),"Đấu giá&gt; cuốn sách, tạp chí&gt; khoa học tự nhiên và công nghệ&gt; Kỹ thuật&gt; kỹ thuật kim loại")</f>
        <v>Đấu giá&gt; cuốn sách, tạp chí&gt; khoa học tự nhiên và công nghệ&gt; Kỹ thuật&gt; kỹ thuật kim loại</v>
      </c>
      <c r="F424" t="str">
        <f t="shared" ca="1" si="6"/>
        <v>"2084009026" : "kim loại kỹ thuật",</v>
      </c>
    </row>
    <row r="425" spans="1:6" ht="15.75" customHeight="1">
      <c r="A425" s="12">
        <v>2084009027</v>
      </c>
      <c r="B425" s="12" t="s">
        <v>6284</v>
      </c>
      <c r="C425" s="12" t="s">
        <v>6285</v>
      </c>
      <c r="D425" s="5" t="str">
        <f ca="1">IFERROR(__xludf.DUMMYFUNCTION("GOOGLETRANSLATE(B425,""ja"",""vi"")"),"Xây Dựng Kiến trúc")</f>
        <v>Xây Dựng Kiến trúc</v>
      </c>
      <c r="E425" s="4" t="str">
        <f ca="1">IFERROR(__xludf.DUMMYFUNCTION("GOOGLETRANSLATE(C425,""ja"",""vi"")"),"Đấu giá&gt; cuốn sách, tạp chí&gt; khoa học tự nhiên và công nghệ&gt; Kỹ thuật&gt; Xây Dựng Kiến Trúc")</f>
        <v>Đấu giá&gt; cuốn sách, tạp chí&gt; khoa học tự nhiên và công nghệ&gt; Kỹ thuật&gt; Xây Dựng Kiến Trúc</v>
      </c>
      <c r="F425" t="str">
        <f t="shared" ca="1" si="6"/>
        <v>"2084009027" : "Xây Dựng Kiến trúc",</v>
      </c>
    </row>
    <row r="426" spans="1:6" ht="15.75" customHeight="1">
      <c r="A426" s="12">
        <v>2084050474</v>
      </c>
      <c r="B426" s="12" t="s">
        <v>6286</v>
      </c>
      <c r="C426" s="12" t="s">
        <v>6287</v>
      </c>
      <c r="D426" s="5" t="str">
        <f ca="1">IFERROR(__xludf.DUMMYFUNCTION("GOOGLETRANSLATE(B426,""ja"",""vi"")"),"khoa học máy tính")</f>
        <v>khoa học máy tính</v>
      </c>
      <c r="E426" s="4" t="str">
        <f ca="1">IFERROR(__xludf.DUMMYFUNCTION("GOOGLETRANSLATE(C426,""ja"",""vi"")"),"Đấu giá&gt; cuốn sách, tạp chí&gt; khoa học tự nhiên và công nghệ&gt; Kỹ thuật&gt; Thông tin Kỹ thuật")</f>
        <v>Đấu giá&gt; cuốn sách, tạp chí&gt; khoa học tự nhiên và công nghệ&gt; Kỹ thuật&gt; Thông tin Kỹ thuật</v>
      </c>
      <c r="F426" t="str">
        <f t="shared" ca="1" si="6"/>
        <v>"2084050474" : "khoa học máy tính",</v>
      </c>
    </row>
    <row r="427" spans="1:6" ht="15.75" customHeight="1">
      <c r="A427" s="12">
        <v>2084009028</v>
      </c>
      <c r="B427" s="12" t="s">
        <v>6288</v>
      </c>
      <c r="C427" s="12" t="s">
        <v>6289</v>
      </c>
      <c r="D427" s="5" t="str">
        <f ca="1">IFERROR(__xludf.DUMMYFUNCTION("GOOGLETRANSLATE(B427,""ja"",""vi"")"),"Điện và Điện tử")</f>
        <v>Điện và Điện tử</v>
      </c>
      <c r="E427" s="4" t="str">
        <f ca="1">IFERROR(__xludf.DUMMYFUNCTION("GOOGLETRANSLATE(C427,""ja"",""vi"")"),"Đấu giá&gt; cuốn sách, tạp chí&gt; khoa học tự nhiên và công nghệ&gt; Kỹ thuật&gt; Điện và Điện tử")</f>
        <v>Đấu giá&gt; cuốn sách, tạp chí&gt; khoa học tự nhiên và công nghệ&gt; Kỹ thuật&gt; Điện và Điện tử</v>
      </c>
      <c r="F427" t="str">
        <f t="shared" ca="1" si="6"/>
        <v>"2084009028" : "Điện và Điện tử",</v>
      </c>
    </row>
    <row r="428" spans="1:6" ht="15.75" customHeight="1">
      <c r="A428" s="12">
        <v>2084009029</v>
      </c>
      <c r="B428" s="12" t="s">
        <v>6290</v>
      </c>
      <c r="C428" s="12" t="s">
        <v>6292</v>
      </c>
      <c r="D428" s="5" t="str">
        <f ca="1">IFERROR(__xludf.DUMMYFUNCTION("GOOGLETRANSLATE(B428,""ja"",""vi"")"),"Xây dựng Hà Nội")</f>
        <v>Xây dựng Hà Nội</v>
      </c>
      <c r="E428" s="4" t="str">
        <f ca="1">IFERROR(__xludf.DUMMYFUNCTION("GOOGLETRANSLATE(C428,""ja"",""vi"")"),"Đấu giá&gt; cuốn sách, tạp chí&gt; khoa học tự nhiên và công nghệ&gt; Kỹ thuật&gt; Xây dựng")</f>
        <v>Đấu giá&gt; cuốn sách, tạp chí&gt; khoa học tự nhiên và công nghệ&gt; Kỹ thuật&gt; Xây dựng</v>
      </c>
      <c r="F428" t="str">
        <f t="shared" ca="1" si="6"/>
        <v>"2084009029" : "Xây dựng Hà Nội",</v>
      </c>
    </row>
    <row r="429" spans="1:6" ht="15.75" customHeight="1">
      <c r="A429" s="12">
        <v>2084008991</v>
      </c>
      <c r="B429" s="12" t="s">
        <v>6293</v>
      </c>
      <c r="C429" s="12" t="s">
        <v>6294</v>
      </c>
      <c r="D429" s="5" t="str">
        <f ca="1">IFERROR(__xludf.DUMMYFUNCTION("GOOGLETRANSLATE(B429,""ja"",""vi"")"),"đa khoa")</f>
        <v>đa khoa</v>
      </c>
      <c r="E429" s="4" t="str">
        <f ca="1">IFERROR(__xludf.DUMMYFUNCTION("GOOGLETRANSLATE(C429,""ja"",""vi"")"),"Đấu giá&gt; cuốn sách, tạp chí&gt; sức khỏe và y&gt; y&gt; đa khoa")</f>
        <v>Đấu giá&gt; cuốn sách, tạp chí&gt; sức khỏe và y&gt; y&gt; đa khoa</v>
      </c>
      <c r="F429" t="str">
        <f t="shared" ca="1" si="6"/>
        <v>"2084008991" : "đa khoa",</v>
      </c>
    </row>
    <row r="430" spans="1:6" ht="15.75" customHeight="1">
      <c r="A430" s="12">
        <v>2084008977</v>
      </c>
      <c r="B430" s="12" t="s">
        <v>6295</v>
      </c>
      <c r="C430" s="12" t="s">
        <v>6296</v>
      </c>
      <c r="D430" s="5" t="str">
        <f ca="1">IFERROR(__xludf.DUMMYFUNCTION("GOOGLETRANSLATE(B430,""ja"",""vi"")"),"trình độ chuyên môn y tế liên quan đến")</f>
        <v>trình độ chuyên môn y tế liên quan đến</v>
      </c>
      <c r="E430" s="4" t="str">
        <f ca="1">IFERROR(__xludf.DUMMYFUNCTION("GOOGLETRANSLATE(C430,""ja"",""vi"")"),"Đấu giá&gt; cuốn sách, tạp chí&gt; sức khỏe và y&gt; y&gt; trình độ chuyên môn y tế liên quan đến")</f>
        <v>Đấu giá&gt; cuốn sách, tạp chí&gt; sức khỏe và y&gt; y&gt; trình độ chuyên môn y tế liên quan đến</v>
      </c>
      <c r="F430" t="str">
        <f t="shared" ca="1" si="6"/>
        <v>"2084008977" : "trình độ chuyên môn y tế liên quan đến",</v>
      </c>
    </row>
    <row r="431" spans="1:6" ht="15.75" customHeight="1">
      <c r="A431" s="12">
        <v>2084008992</v>
      </c>
      <c r="B431" s="12" t="s">
        <v>6297</v>
      </c>
      <c r="C431" s="12" t="s">
        <v>6298</v>
      </c>
      <c r="D431" s="5" t="str">
        <f ca="1">IFERROR(__xludf.DUMMYFUNCTION("GOOGLETRANSLATE(B431,""ja"",""vi"")"),"nha khoa")</f>
        <v>nha khoa</v>
      </c>
      <c r="E431" s="4" t="str">
        <f ca="1">IFERROR(__xludf.DUMMYFUNCTION("GOOGLETRANSLATE(C431,""ja"",""vi"")"),"Đấu giá&gt; cuốn sách, tạp chí&gt; sức khỏe và y&gt; y&gt; nha khoa")</f>
        <v>Đấu giá&gt; cuốn sách, tạp chí&gt; sức khỏe và y&gt; y&gt; nha khoa</v>
      </c>
      <c r="F431" t="str">
        <f t="shared" ca="1" si="6"/>
        <v>"2084008992" : "nha khoa",</v>
      </c>
    </row>
    <row r="432" spans="1:6" ht="15.75" customHeight="1">
      <c r="A432" s="12">
        <v>2084008993</v>
      </c>
      <c r="B432" s="12" t="s">
        <v>6299</v>
      </c>
      <c r="C432" s="12" t="s">
        <v>6300</v>
      </c>
      <c r="D432" s="5" t="str">
        <f ca="1">IFERROR(__xludf.DUMMYFUNCTION("GOOGLETRANSLATE(B432,""ja"",""vi"")"),"tinh thần bịnh học")</f>
        <v>tinh thần bịnh học</v>
      </c>
      <c r="E432" s="4" t="str">
        <f ca="1">IFERROR(__xludf.DUMMYFUNCTION("GOOGLETRANSLATE(C432,""ja"",""vi"")"),"Đấu giá&gt; cuốn sách, tạp chí&gt; sức khỏe và y&gt; y&gt; tâm thần")</f>
        <v>Đấu giá&gt; cuốn sách, tạp chí&gt; sức khỏe và y&gt; y&gt; tâm thần</v>
      </c>
      <c r="F432" t="str">
        <f t="shared" ca="1" si="6"/>
        <v>"2084008993" : "tinh thần bịnh học",</v>
      </c>
    </row>
    <row r="433" spans="1:6" ht="15.75" customHeight="1">
      <c r="A433" s="12">
        <v>2084008994</v>
      </c>
      <c r="B433" s="12" t="s">
        <v>6301</v>
      </c>
      <c r="C433" s="12" t="s">
        <v>6302</v>
      </c>
      <c r="D433" s="5" t="str">
        <f ca="1">IFERROR(__xludf.DUMMYFUNCTION("GOOGLETRANSLATE(B433,""ja"",""vi"")"),"Đông y")</f>
        <v>Đông y</v>
      </c>
      <c r="E433" s="4" t="str">
        <f ca="1">IFERROR(__xludf.DUMMYFUNCTION("GOOGLETRANSLATE(C433,""ja"",""vi"")"),"Đấu giá&gt; cuốn sách, tạp chí&gt; sức khỏe và y&gt; y&gt; Đông y")</f>
        <v>Đấu giá&gt; cuốn sách, tạp chí&gt; sức khỏe và y&gt; y&gt; Đông y</v>
      </c>
      <c r="F433" t="str">
        <f t="shared" ca="1" si="6"/>
        <v>"2084008994" : "Đông y",</v>
      </c>
    </row>
    <row r="434" spans="1:6" ht="15.75" customHeight="1">
      <c r="A434" s="12">
        <v>2084008995</v>
      </c>
      <c r="B434" s="12" t="s">
        <v>6303</v>
      </c>
      <c r="C434" s="12" t="s">
        <v>6304</v>
      </c>
      <c r="D434" s="5" t="str">
        <f ca="1">IFERROR(__xludf.DUMMYFUNCTION("GOOGLETRANSLATE(B434,""ja"",""vi"")"),"Y tế, Giáo dục thể chất")</f>
        <v>Y tế, Giáo dục thể chất</v>
      </c>
      <c r="E434" s="4" t="str">
        <f ca="1">IFERROR(__xludf.DUMMYFUNCTION("GOOGLETRANSLATE(C434,""ja"",""vi"")"),"Đấu giá&gt; cuốn sách, tạp chí&gt; sức khỏe và y học&gt; Y học&gt; Y tế, Giáo dục thể chất")</f>
        <v>Đấu giá&gt; cuốn sách, tạp chí&gt; sức khỏe và y học&gt; Y học&gt; Y tế, Giáo dục thể chất</v>
      </c>
      <c r="F434" t="str">
        <f t="shared" ca="1" si="6"/>
        <v>"2084008995" : "Y tế, Giáo dục thể chất",</v>
      </c>
    </row>
    <row r="435" spans="1:6" ht="15.75" customHeight="1">
      <c r="A435" s="12">
        <v>2084008996</v>
      </c>
      <c r="B435" s="12" t="s">
        <v>6305</v>
      </c>
      <c r="C435" s="12" t="s">
        <v>6306</v>
      </c>
      <c r="D435" s="5" t="str">
        <f ca="1">IFERROR(__xludf.DUMMYFUNCTION("GOOGLETRANSLATE(B435,""ja"",""vi"")"),"Y học lâm sàng")</f>
        <v>Y học lâm sàng</v>
      </c>
      <c r="E435" s="4" t="str">
        <f ca="1">IFERROR(__xludf.DUMMYFUNCTION("GOOGLETRANSLATE(C435,""ja"",""vi"")"),"Đấu giá&gt; cuốn sách, tạp chí&gt; sức khỏe và y học&gt; Y học&gt; Y học lâm sàng")</f>
        <v>Đấu giá&gt; cuốn sách, tạp chí&gt; sức khỏe và y học&gt; Y học&gt; Y học lâm sàng</v>
      </c>
      <c r="F435" t="str">
        <f t="shared" ca="1" si="6"/>
        <v>"2084008996" : "Y học lâm sàng",</v>
      </c>
    </row>
    <row r="436" spans="1:6" ht="15.75" customHeight="1">
      <c r="A436" s="12">
        <v>2084009001</v>
      </c>
      <c r="B436" s="12" t="s">
        <v>5624</v>
      </c>
      <c r="C436" s="12" t="s">
        <v>5626</v>
      </c>
      <c r="D436" s="5" t="str">
        <f ca="1">IFERROR(__xludf.DUMMYFUNCTION("GOOGLETRANSLATE(B436,""ja"",""vi"")"),"Family Medicine chung")</f>
        <v>Family Medicine chung</v>
      </c>
      <c r="E436" s="4" t="str">
        <f ca="1">IFERROR(__xludf.DUMMYFUNCTION("GOOGLETRANSLATE(C436,""ja"",""vi"")"),"Đấu giá&gt; cuốn sách, tạp chí&gt; sức khỏe và y&gt; y học gia đình&gt; Gia đình đa khoa")</f>
        <v>Đấu giá&gt; cuốn sách, tạp chí&gt; sức khỏe và y&gt; y học gia đình&gt; Gia đình đa khoa</v>
      </c>
      <c r="F436" t="str">
        <f t="shared" ca="1" si="6"/>
        <v>"2084009001" : "Family Medicine chung",</v>
      </c>
    </row>
    <row r="437" spans="1:6" ht="15.75" customHeight="1">
      <c r="A437" s="12">
        <v>2084009004</v>
      </c>
      <c r="B437" s="12" t="s">
        <v>5630</v>
      </c>
      <c r="C437" s="12" t="s">
        <v>5632</v>
      </c>
      <c r="D437" s="5" t="str">
        <f ca="1">IFERROR(__xludf.DUMMYFUNCTION("GOOGLETRANSLATE(B437,""ja"",""vi"")"),"Y học, kiểm tra")</f>
        <v>Y học, kiểm tra</v>
      </c>
      <c r="E437" s="4" t="str">
        <f ca="1">IFERROR(__xludf.DUMMYFUNCTION("GOOGLETRANSLATE(C437,""ja"",""vi"")"),"Đấu giá&gt; cuốn sách, tạp chí&gt; sức khỏe và y&gt; y học gia đình&gt; y học, kiểm tra")</f>
        <v>Đấu giá&gt; cuốn sách, tạp chí&gt; sức khỏe và y&gt; y học gia đình&gt; y học, kiểm tra</v>
      </c>
      <c r="F437" t="str">
        <f t="shared" ca="1" si="6"/>
        <v>"2084009004" : "Y học, kiểm tra",</v>
      </c>
    </row>
    <row r="438" spans="1:6" ht="15.75" customHeight="1">
      <c r="A438" s="12">
        <v>2084009002</v>
      </c>
      <c r="B438" s="12" t="s">
        <v>5634</v>
      </c>
      <c r="C438" s="12" t="s">
        <v>5636</v>
      </c>
      <c r="D438" s="5" t="str">
        <f ca="1">IFERROR(__xludf.DUMMYFUNCTION("GOOGLETRANSLATE(B438,""ja"",""vi"")"),"Dị ứng, dị ứng")</f>
        <v>Dị ứng, dị ứng</v>
      </c>
      <c r="E438" s="4" t="str">
        <f ca="1">IFERROR(__xludf.DUMMYFUNCTION("GOOGLETRANSLATE(C438,""ja"",""vi"")"),"Đấu giá&gt; cuốn sách, tạp chí&gt; sức khỏe và y&gt; y học gia đình&gt; dị ứng, dị ứng")</f>
        <v>Đấu giá&gt; cuốn sách, tạp chí&gt; sức khỏe và y&gt; y học gia đình&gt; dị ứng, dị ứng</v>
      </c>
      <c r="F438" t="str">
        <f t="shared" ca="1" si="6"/>
        <v>"2084009002" : "Dị ứng, dị ứng",</v>
      </c>
    </row>
    <row r="439" spans="1:6" ht="15.75" customHeight="1">
      <c r="A439" s="12">
        <v>2084009003</v>
      </c>
      <c r="B439" s="12" t="s">
        <v>5638</v>
      </c>
      <c r="C439" s="12" t="s">
        <v>5639</v>
      </c>
      <c r="D439" s="5" t="str">
        <f ca="1">IFERROR(__xludf.DUMMYFUNCTION("GOOGLETRANSLATE(B439,""ja"",""vi"")"),"Chế độ ăn uống")</f>
        <v>Chế độ ăn uống</v>
      </c>
      <c r="E439" s="4" t="str">
        <f ca="1">IFERROR(__xludf.DUMMYFUNCTION("GOOGLETRANSLATE(C439,""ja"",""vi"")"),"Đấu giá&gt; cuốn sách, tạp chí&gt; sức khỏe và y&gt; y học gia đình&gt; chế độ ăn uống")</f>
        <v>Đấu giá&gt; cuốn sách, tạp chí&gt; sức khỏe và y&gt; y học gia đình&gt; chế độ ăn uống</v>
      </c>
      <c r="F439" t="str">
        <f t="shared" ca="1" si="6"/>
        <v>"2084009003" : "Chế độ ăn uống",</v>
      </c>
    </row>
    <row r="440" spans="1:6" ht="15.75" customHeight="1">
      <c r="A440" s="12">
        <v>2084009006</v>
      </c>
      <c r="B440" s="12" t="s">
        <v>5657</v>
      </c>
      <c r="C440" s="12" t="s">
        <v>5658</v>
      </c>
      <c r="D440" s="5" t="str">
        <f ca="1">IFERROR(__xludf.DUMMYFUNCTION("GOOGLETRANSLATE(B440,""ja"",""vi"")"),"Massage, Shiatsu")</f>
        <v>Massage, Shiatsu</v>
      </c>
      <c r="E440" s="4" t="str">
        <f ca="1">IFERROR(__xludf.DUMMYFUNCTION("GOOGLETRANSLATE(C440,""ja"",""vi"")"),"Đấu giá&gt; cuốn sách, tạp chí&gt; sức khỏe và y học&gt; vệ sinh&gt; massage, shiatsu")</f>
        <v>Đấu giá&gt; cuốn sách, tạp chí&gt; sức khỏe và y học&gt; vệ sinh&gt; massage, shiatsu</v>
      </c>
      <c r="F440" t="str">
        <f t="shared" ca="1" si="6"/>
        <v>"2084009006" : "Massage, Shiatsu",</v>
      </c>
    </row>
    <row r="441" spans="1:6" ht="15.75" customHeight="1">
      <c r="A441" s="12">
        <v>2084009007</v>
      </c>
      <c r="B441" s="12" t="s">
        <v>5661</v>
      </c>
      <c r="C441" s="12" t="s">
        <v>5662</v>
      </c>
      <c r="D441" s="5" t="str">
        <f ca="1">IFERROR(__xludf.DUMMYFUNCTION("GOOGLETRANSLATE(B441,""ja"",""vi"")"),"Khí công, yoga")</f>
        <v>Khí công, yoga</v>
      </c>
      <c r="E441" s="4" t="str">
        <f ca="1">IFERROR(__xludf.DUMMYFUNCTION("GOOGLETRANSLATE(C441,""ja"",""vi"")"),"Đấu giá&gt; cuốn sách, tạp chí&gt; sức khỏe và y học&gt; vệ sinh&gt; khí công, yoga")</f>
        <v>Đấu giá&gt; cuốn sách, tạp chí&gt; sức khỏe và y học&gt; vệ sinh&gt; khí công, yoga</v>
      </c>
      <c r="F441" t="str">
        <f t="shared" ca="1" si="6"/>
        <v>"2084009007" : "Khí công, yoga",</v>
      </c>
    </row>
    <row r="442" spans="1:6" ht="15.75" customHeight="1">
      <c r="A442" s="12">
        <v>2084009008</v>
      </c>
      <c r="B442" s="12" t="s">
        <v>5665</v>
      </c>
      <c r="C442" s="12" t="s">
        <v>5666</v>
      </c>
      <c r="D442" s="5" t="str">
        <f ca="1">IFERROR(__xludf.DUMMYFUNCTION("GOOGLETRANSLATE(B442,""ja"",""vi"")"),"biện pháp dân gian")</f>
        <v>biện pháp dân gian</v>
      </c>
      <c r="E442" s="4" t="str">
        <f ca="1">IFERROR(__xludf.DUMMYFUNCTION("GOOGLETRANSLATE(C442,""ja"",""vi"")"),"Đấu giá&gt; cuốn sách, tạp chí&gt; sức khỏe và y học&gt; vệ sinh&gt; biện pháp dân gian")</f>
        <v>Đấu giá&gt; cuốn sách, tạp chí&gt; sức khỏe và y học&gt; vệ sinh&gt; biện pháp dân gian</v>
      </c>
      <c r="F442" t="str">
        <f t="shared" ca="1" si="6"/>
        <v>"2084009008" : "biện pháp dân gian",</v>
      </c>
    </row>
    <row r="443" spans="1:6" ht="15.75" customHeight="1">
      <c r="A443" s="12">
        <v>2084009105</v>
      </c>
      <c r="B443" s="12" t="s">
        <v>6307</v>
      </c>
      <c r="C443" s="12" t="s">
        <v>6308</v>
      </c>
      <c r="D443" s="5" t="str">
        <f ca="1">IFERROR(__xludf.DUMMYFUNCTION("GOOGLETRANSLATE(B443,""ja"",""vi"")"),"Anime nghiên cứu, lý thuyết làm việc")</f>
        <v>Anime nghiên cứu, lý thuyết làm việc</v>
      </c>
      <c r="E443" s="4" t="str">
        <f ca="1">IFERROR(__xludf.DUMMYFUNCTION("GOOGLETRANSLATE(C443,""ja"",""vi"")"),"Đấu giá&gt; cuốn sách, tạp chí&gt; nghệ thuật, vui chơi giải trí&gt; hoạt hình&gt; phim hoạt hình nghiên cứu, lý thuyết làm việc")</f>
        <v>Đấu giá&gt; cuốn sách, tạp chí&gt; nghệ thuật, vui chơi giải trí&gt; hoạt hình&gt; phim hoạt hình nghiên cứu, lý thuyết làm việc</v>
      </c>
      <c r="F443" t="str">
        <f t="shared" ca="1" si="6"/>
        <v>"2084009105" : "Anime nghiên cứu, lý thuyết làm việc",</v>
      </c>
    </row>
    <row r="444" spans="1:6" ht="15.75" customHeight="1">
      <c r="A444" s="12">
        <v>2084047768</v>
      </c>
      <c r="B444" s="12" t="s">
        <v>6309</v>
      </c>
      <c r="C444" s="12" t="s">
        <v>6310</v>
      </c>
      <c r="D444" s="5" t="str">
        <f ca="1">IFERROR(__xludf.DUMMYFUNCTION("GOOGLETRANSLATE(B444,""ja"",""vi"")"),"Novelizations")</f>
        <v>Novelizations</v>
      </c>
      <c r="E444" s="4" t="str">
        <f ca="1">IFERROR(__xludf.DUMMYFUNCTION("GOOGLETRANSLATE(C444,""ja"",""vi"")"),"Đấu giá&gt; cuốn sách, tạp chí&gt; nghệ thuật, vui chơi giải trí&gt; hoạt hình&gt; novelizations")</f>
        <v>Đấu giá&gt; cuốn sách, tạp chí&gt; nghệ thuật, vui chơi giải trí&gt; hoạt hình&gt; novelizations</v>
      </c>
      <c r="F444" t="str">
        <f t="shared" ca="1" si="6"/>
        <v>"2084047768" : "Novelizations",</v>
      </c>
    </row>
    <row r="445" spans="1:6" ht="15.75" customHeight="1">
      <c r="A445" s="12">
        <v>2084009107</v>
      </c>
      <c r="B445" s="12" t="s">
        <v>6311</v>
      </c>
      <c r="C445" s="12" t="s">
        <v>6312</v>
      </c>
      <c r="D445" s="5" t="str">
        <f ca="1">IFERROR(__xludf.DUMMYFUNCTION("GOOGLETRANSLATE(B445,""ja"",""vi"")"),"Original, Cels")</f>
        <v>Original, Cels</v>
      </c>
      <c r="E445" s="4" t="str">
        <f ca="1">IFERROR(__xludf.DUMMYFUNCTION("GOOGLETRANSLATE(C445,""ja"",""vi"")"),"Đấu giá&gt; cuốn sách, tạp chí&gt; nghệ thuật, vui chơi giải trí&gt; hoạt hình&gt; hình ảnh gốc, Cels")</f>
        <v>Đấu giá&gt; cuốn sách, tạp chí&gt; nghệ thuật, vui chơi giải trí&gt; hoạt hình&gt; hình ảnh gốc, Cels</v>
      </c>
      <c r="F445" t="str">
        <f t="shared" ca="1" si="6"/>
        <v>"2084009107" : "Original, Cels",</v>
      </c>
    </row>
    <row r="446" spans="1:6" ht="15.75" customHeight="1">
      <c r="A446" s="12">
        <v>2084008068</v>
      </c>
      <c r="B446" s="12" t="s">
        <v>1586</v>
      </c>
      <c r="C446" s="12" t="s">
        <v>6313</v>
      </c>
      <c r="D446" s="5" t="str">
        <f ca="1">IFERROR(__xludf.DUMMYFUNCTION("GOOGLETRANSLATE(B446,""ja"",""vi"")"),"tạp chí")</f>
        <v>tạp chí</v>
      </c>
      <c r="E446" s="4" t="str">
        <f ca="1">IFERROR(__xludf.DUMMYFUNCTION("GOOGLETRANSLATE(C446,""ja"",""vi"")"),"Đấu giá&gt; cuốn sách, tạp chí&gt; nghệ thuật, vui chơi giải trí&gt; hoạt hình&gt; Tạp chí")</f>
        <v>Đấu giá&gt; cuốn sách, tạp chí&gt; nghệ thuật, vui chơi giải trí&gt; hoạt hình&gt; Tạp chí</v>
      </c>
      <c r="F446" t="str">
        <f t="shared" ca="1" si="6"/>
        <v>"2084008068" : "tạp chí",</v>
      </c>
    </row>
    <row r="447" spans="1:6" ht="15.75" customHeight="1">
      <c r="A447" s="12">
        <v>2084009106</v>
      </c>
      <c r="B447" s="12" t="s">
        <v>3972</v>
      </c>
      <c r="C447" s="12" t="s">
        <v>6314</v>
      </c>
      <c r="D447" s="5" t="str">
        <f ca="1">IFERROR(__xludf.DUMMYFUNCTION("GOOGLETRANSLATE(B447,""ja"",""vi"")"),"diễn viên Đài phát thanh")</f>
        <v>diễn viên Đài phát thanh</v>
      </c>
      <c r="E447" s="4" t="str">
        <f ca="1">IFERROR(__xludf.DUMMYFUNCTION("GOOGLETRANSLATE(C447,""ja"",""vi"")"),"Đấu giá&gt; cuốn sách, tạp chí&gt; nghệ thuật, vui chơi giải trí&gt; hoạt hình&gt; Diễn viên lồng tiếng")</f>
        <v>Đấu giá&gt; cuốn sách, tạp chí&gt; nghệ thuật, vui chơi giải trí&gt; hoạt hình&gt; Diễn viên lồng tiếng</v>
      </c>
      <c r="F447" t="str">
        <f t="shared" ca="1" si="6"/>
        <v>"2084009106" : "diễn viên Đài phát thanh",</v>
      </c>
    </row>
    <row r="448" spans="1:6" ht="15.75" customHeight="1">
      <c r="A448" s="12">
        <v>2084009076</v>
      </c>
      <c r="B448" s="12" t="s">
        <v>5053</v>
      </c>
      <c r="C448" s="12" t="s">
        <v>5055</v>
      </c>
      <c r="D448" s="5" t="str">
        <f ca="1">IFERROR(__xludf.DUMMYFUNCTION("GOOGLETRANSLATE(B448,""ja"",""vi"")"),"trò chơi Cels")</f>
        <v>trò chơi Cels</v>
      </c>
      <c r="E448" s="4" t="str">
        <f ca="1">IFERROR(__xludf.DUMMYFUNCTION("GOOGLETRANSLATE(C448,""ja"",""vi"")"),"Đấu giá&gt; cuốn sách, tạp chí&gt; nghệ thuật, vui chơi giải trí&gt; chụp trò chơi book&gt; trò chơi Cels")</f>
        <v>Đấu giá&gt; cuốn sách, tạp chí&gt; nghệ thuật, vui chơi giải trí&gt; chụp trò chơi book&gt; trò chơi Cels</v>
      </c>
      <c r="F448" t="str">
        <f t="shared" ca="1" si="6"/>
        <v>"2084009076" : "trò chơi Cels",</v>
      </c>
    </row>
    <row r="449" spans="1:6" ht="15.75" customHeight="1">
      <c r="A449" s="12">
        <v>2084009068</v>
      </c>
      <c r="B449" s="12" t="s">
        <v>5056</v>
      </c>
      <c r="C449" s="12" t="s">
        <v>5058</v>
      </c>
      <c r="D449" s="5" t="str">
        <f ca="1">IFERROR(__xludf.DUMMYFUNCTION("GOOGLETRANSLATE(B449,""ja"",""vi"")"),"hoạt động")</f>
        <v>hoạt động</v>
      </c>
      <c r="E449" s="4" t="str">
        <f ca="1">IFERROR(__xludf.DUMMYFUNCTION("GOOGLETRANSLATE(C449,""ja"",""vi"")"),"Đấu giá&gt; cuốn sách, tạp chí&gt; nghệ thuật, vui chơi giải trí&gt; chụp trò chơi book&gt; hành động")</f>
        <v>Đấu giá&gt; cuốn sách, tạp chí&gt; nghệ thuật, vui chơi giải trí&gt; chụp trò chơi book&gt; hành động</v>
      </c>
      <c r="F449" t="str">
        <f t="shared" ca="1" si="6"/>
        <v>"2084009068" : "hoạt động",</v>
      </c>
    </row>
    <row r="450" spans="1:6" ht="15.75" customHeight="1">
      <c r="A450" s="12">
        <v>2084009069</v>
      </c>
      <c r="B450" s="12" t="s">
        <v>5060</v>
      </c>
      <c r="C450" s="12" t="s">
        <v>5061</v>
      </c>
      <c r="D450" s="5" t="str">
        <f ca="1">IFERROR(__xludf.DUMMYFUNCTION("GOOGLETRANSLATE(B450,""ja"",""vi"")"),"phiêu lưu")</f>
        <v>phiêu lưu</v>
      </c>
      <c r="E450" s="4" t="str">
        <f ca="1">IFERROR(__xludf.DUMMYFUNCTION("GOOGLETRANSLATE(C450,""ja"",""vi"")"),"Đấu giá&gt; cuốn sách, tạp chí&gt; nghệ thuật, vui chơi giải trí&gt; chụp trò chơi cuốn sách&gt; Adventure")</f>
        <v>Đấu giá&gt; cuốn sách, tạp chí&gt; nghệ thuật, vui chơi giải trí&gt; chụp trò chơi cuốn sách&gt; Adventure</v>
      </c>
      <c r="F450" t="str">
        <f t="shared" ref="F450:F513" ca="1" si="7">CONCATENATE(CHAR(34)&amp;"",A450,""&amp;CHAR(34)," : ", CHAR(34)&amp;"",D450,""&amp;CHAR(34),",")</f>
        <v>"2084009069" : "phiêu lưu",</v>
      </c>
    </row>
    <row r="451" spans="1:6" ht="15.75" customHeight="1">
      <c r="A451" s="12">
        <v>2084009070</v>
      </c>
      <c r="B451" s="12" t="s">
        <v>5064</v>
      </c>
      <c r="C451" s="12" t="s">
        <v>5065</v>
      </c>
      <c r="D451" s="5" t="str">
        <f ca="1">IFERROR(__xludf.DUMMYFUNCTION("GOOGLETRANSLATE(B451,""ja"",""vi"")"),"Card, bảng")</f>
        <v>Card, bảng</v>
      </c>
      <c r="E451" s="4" t="str">
        <f ca="1">IFERROR(__xludf.DUMMYFUNCTION("GOOGLETRANSLATE(C451,""ja"",""vi"")"),"Đấu giá&gt; cuốn sách, tạp chí&gt; nghệ thuật, vui chơi giải trí&gt; chụp trò chơi book&gt; thẻ, bảng")</f>
        <v>Đấu giá&gt; cuốn sách, tạp chí&gt; nghệ thuật, vui chơi giải trí&gt; chụp trò chơi book&gt; thẻ, bảng</v>
      </c>
      <c r="F451" t="str">
        <f t="shared" ca="1" si="7"/>
        <v>"2084009070" : "Card, bảng",</v>
      </c>
    </row>
    <row r="452" spans="1:6" ht="15.75" customHeight="1">
      <c r="A452" s="12">
        <v>2084009071</v>
      </c>
      <c r="B452" s="12" t="s">
        <v>5066</v>
      </c>
      <c r="C452" s="12" t="s">
        <v>5068</v>
      </c>
      <c r="D452" s="5" t="str">
        <f ca="1">IFERROR(__xludf.DUMMYFUNCTION("GOOGLETRANSLATE(B452,""ja"",""vi"")"),"đố")</f>
        <v>đố</v>
      </c>
      <c r="E452" s="4" t="str">
        <f ca="1">IFERROR(__xludf.DUMMYFUNCTION("GOOGLETRANSLATE(C452,""ja"",""vi"")"),"Đấu giá&gt; cuốn sách, tạp chí&gt; nghệ thuật, vui chơi giải trí&gt; chụp trò chơi book&gt; đố")</f>
        <v>Đấu giá&gt; cuốn sách, tạp chí&gt; nghệ thuật, vui chơi giải trí&gt; chụp trò chơi book&gt; đố</v>
      </c>
      <c r="F452" t="str">
        <f t="shared" ca="1" si="7"/>
        <v>"2084009071" : "đố",</v>
      </c>
    </row>
    <row r="453" spans="1:6" ht="15.75" customHeight="1">
      <c r="A453" s="12">
        <v>2084047654</v>
      </c>
      <c r="B453" s="12" t="s">
        <v>5069</v>
      </c>
      <c r="C453" s="12" t="s">
        <v>5071</v>
      </c>
      <c r="D453" s="5" t="str">
        <f ca="1">IFERROR(__xludf.DUMMYFUNCTION("GOOGLETRANSLATE(B453,""ja"",""vi"")"),"tạp chí game")</f>
        <v>tạp chí game</v>
      </c>
      <c r="E453" s="4" t="str">
        <f ca="1">IFERROR(__xludf.DUMMYFUNCTION("GOOGLETRANSLATE(C453,""ja"",""vi"")"),"Đấu giá&gt; cuốn sách, tạp chí&gt; nghệ thuật, vui chơi giải trí&gt; chụp trò chơi book&gt; tạp chí trò chơi")</f>
        <v>Đấu giá&gt; cuốn sách, tạp chí&gt; nghệ thuật, vui chơi giải trí&gt; chụp trò chơi book&gt; tạp chí trò chơi</v>
      </c>
      <c r="F453" t="str">
        <f t="shared" ca="1" si="7"/>
        <v>"2084047654" : "tạp chí game",</v>
      </c>
    </row>
    <row r="454" spans="1:6" ht="15.75" customHeight="1">
      <c r="A454" s="12">
        <v>2084009072</v>
      </c>
      <c r="B454" s="12" t="s">
        <v>5072</v>
      </c>
      <c r="C454" s="12" t="s">
        <v>5073</v>
      </c>
      <c r="D454" s="5" t="str">
        <f ca="1">IFERROR(__xludf.DUMMYFUNCTION("GOOGLETRANSLATE(B454,""ja"",""vi"")"),"mô phỏng")</f>
        <v>mô phỏng</v>
      </c>
      <c r="E454" s="4" t="str">
        <f ca="1">IFERROR(__xludf.DUMMYFUNCTION("GOOGLETRANSLATE(C454,""ja"",""vi"")"),"Đấu giá&gt; cuốn sách, tạp chí&gt; nghệ thuật, vui chơi giải trí&gt; chụp trò chơi book&gt; mô phỏng")</f>
        <v>Đấu giá&gt; cuốn sách, tạp chí&gt; nghệ thuật, vui chơi giải trí&gt; chụp trò chơi book&gt; mô phỏng</v>
      </c>
      <c r="F454" t="str">
        <f t="shared" ca="1" si="7"/>
        <v>"2084009072" : "mô phỏng",</v>
      </c>
    </row>
    <row r="455" spans="1:6" ht="15.75" customHeight="1">
      <c r="A455" s="12">
        <v>2084009075</v>
      </c>
      <c r="B455" s="12" t="s">
        <v>4458</v>
      </c>
      <c r="C455" s="12" t="s">
        <v>5076</v>
      </c>
      <c r="D455" s="5" t="str">
        <f ca="1">IFERROR(__xludf.DUMMYFUNCTION("GOOGLETRANSLATE(B455,""ja"",""vi"")"),"thể thao")</f>
        <v>thể thao</v>
      </c>
      <c r="E455" s="4" t="str">
        <f ca="1">IFERROR(__xludf.DUMMYFUNCTION("GOOGLETRANSLATE(C455,""ja"",""vi"")"),"Đấu giá&gt; cuốn sách, tạp chí&gt; nghệ thuật, vui chơi giải trí&gt; trò chơi chụp cuốn sách&gt; Thể Thao")</f>
        <v>Đấu giá&gt; cuốn sách, tạp chí&gt; nghệ thuật, vui chơi giải trí&gt; trò chơi chụp cuốn sách&gt; Thể Thao</v>
      </c>
      <c r="F455" t="str">
        <f t="shared" ca="1" si="7"/>
        <v>"2084009075" : "thể thao",</v>
      </c>
    </row>
    <row r="456" spans="1:6" ht="15.75" customHeight="1">
      <c r="A456" s="12">
        <v>2084009073</v>
      </c>
      <c r="B456" s="12" t="s">
        <v>5079</v>
      </c>
      <c r="C456" s="12" t="s">
        <v>5080</v>
      </c>
      <c r="D456" s="5" t="str">
        <f ca="1">IFERROR(__xludf.DUMMYFUNCTION("GOOGLETRANSLATE(B456,""ja"",""vi"")"),"Puzzle, mê cung")</f>
        <v>Puzzle, mê cung</v>
      </c>
      <c r="E456" s="4" t="str">
        <f ca="1">IFERROR(__xludf.DUMMYFUNCTION("GOOGLETRANSLATE(C456,""ja"",""vi"")"),"Đấu giá&gt; cuốn sách, tạp chí&gt; nghệ thuật, vui chơi giải trí&gt; chụp trò chơi book&gt; câu đố, mê cung")</f>
        <v>Đấu giá&gt; cuốn sách, tạp chí&gt; nghệ thuật, vui chơi giải trí&gt; chụp trò chơi book&gt; câu đố, mê cung</v>
      </c>
      <c r="F456" t="str">
        <f t="shared" ca="1" si="7"/>
        <v>"2084009073" : "Puzzle, mê cung",</v>
      </c>
    </row>
    <row r="457" spans="1:6" ht="15.75" customHeight="1">
      <c r="A457" s="12">
        <v>2084047652</v>
      </c>
      <c r="B457" s="12" t="s">
        <v>5082</v>
      </c>
      <c r="C457" s="12" t="s">
        <v>5084</v>
      </c>
      <c r="D457" s="5" t="str">
        <f ca="1">IFERROR(__xludf.DUMMYFUNCTION("GOOGLETRANSLATE(B457,""ja"",""vi"")"),"cuộc đua")</f>
        <v>cuộc đua</v>
      </c>
      <c r="E457" s="4" t="str">
        <f ca="1">IFERROR(__xludf.DUMMYFUNCTION("GOOGLETRANSLATE(C457,""ja"",""vi"")"),"Đấu giá&gt; cuốn sách, tạp chí&gt; nghệ thuật, vui chơi giải trí&gt; chụp trò chơi book&gt; đua")</f>
        <v>Đấu giá&gt; cuốn sách, tạp chí&gt; nghệ thuật, vui chơi giải trí&gt; chụp trò chơi book&gt; đua</v>
      </c>
      <c r="F457" t="str">
        <f t="shared" ca="1" si="7"/>
        <v>"2084047652" : "cuộc đua",</v>
      </c>
    </row>
    <row r="458" spans="1:6" ht="15.75" customHeight="1">
      <c r="A458" s="12">
        <v>2084009074</v>
      </c>
      <c r="B458" s="12" t="s">
        <v>5087</v>
      </c>
      <c r="C458" s="12" t="s">
        <v>5088</v>
      </c>
      <c r="D458" s="5" t="str">
        <f ca="1">IFERROR(__xludf.DUMMYFUNCTION("GOOGLETRANSLATE(B458,""ja"",""vi"")"),"Nhập vai")</f>
        <v>Nhập vai</v>
      </c>
      <c r="E458" s="4" t="str">
        <f ca="1">IFERROR(__xludf.DUMMYFUNCTION("GOOGLETRANSLATE(C458,""ja"",""vi"")"),"Đấu giá&gt; cuốn sách, tạp chí&gt; nghệ thuật, vui chơi giải trí&gt; cuốn sách chụp trò chơi&gt; nhập vai")</f>
        <v>Đấu giá&gt; cuốn sách, tạp chí&gt; nghệ thuật, vui chơi giải trí&gt; cuốn sách chụp trò chơi&gt; nhập vai</v>
      </c>
      <c r="F458" t="str">
        <f t="shared" ca="1" si="7"/>
        <v>"2084009074" : "Nhập vai",</v>
      </c>
    </row>
    <row r="459" spans="1:6" ht="15.75" customHeight="1">
      <c r="A459" s="12">
        <v>2084047651</v>
      </c>
      <c r="B459" s="12" t="s">
        <v>46</v>
      </c>
      <c r="C459" s="12" t="s">
        <v>5090</v>
      </c>
      <c r="D459" s="5" t="str">
        <f ca="1">IFERROR(__xludf.DUMMYFUNCTION("GOOGLETRANSLATE(B459,""ja"",""vi"")"),"nếu không thì")</f>
        <v>nếu không thì</v>
      </c>
      <c r="E459" s="4" t="str">
        <f ca="1">IFERROR(__xludf.DUMMYFUNCTION("GOOGLETRANSLATE(C459,""ja"",""vi"")"),"Đấu giá&gt; cuốn sách, tạp chí&gt; nghệ thuật, vui chơi giải trí&gt; chụp trò chơi book&gt; Khác")</f>
        <v>Đấu giá&gt; cuốn sách, tạp chí&gt; nghệ thuật, vui chơi giải trí&gt; chụp trò chơi book&gt; Khác</v>
      </c>
      <c r="F459" t="str">
        <f t="shared" ca="1" si="7"/>
        <v>"2084047651" : "nếu không thì",</v>
      </c>
    </row>
    <row r="460" spans="1:6" ht="15.75" customHeight="1">
      <c r="A460" s="12">
        <v>2084036980</v>
      </c>
      <c r="B460" s="12" t="s">
        <v>6318</v>
      </c>
      <c r="C460" s="12" t="s">
        <v>6319</v>
      </c>
      <c r="D460" s="5" t="str">
        <f ca="1">IFERROR(__xludf.DUMMYFUNCTION("GOOGLETRANSLATE(B460,""ja"",""vi"")"),"Ballet, nhảy nói chung")</f>
        <v>Ballet, nhảy nói chung</v>
      </c>
      <c r="E460" s="4" t="str">
        <f ca="1">IFERROR(__xludf.DUMMYFUNCTION("GOOGLETRANSLATE(C460,""ja"",""vi"")"),"Đấu giá&gt; Sách, tạp chí&gt; Nghệ thuật &amp; giải trí&gt; Ballet, Khiêu vũ&gt; Ballet, múa chung")</f>
        <v>Đấu giá&gt; Sách, tạp chí&gt; Nghệ thuật &amp; giải trí&gt; Ballet, Khiêu vũ&gt; Ballet, múa chung</v>
      </c>
      <c r="F460" t="str">
        <f t="shared" ca="1" si="7"/>
        <v>"2084036980" : "Ballet, nhảy nói chung",</v>
      </c>
    </row>
    <row r="461" spans="1:6" ht="15.75" customHeight="1">
      <c r="A461" s="12">
        <v>2084008090</v>
      </c>
      <c r="B461" s="12" t="s">
        <v>1586</v>
      </c>
      <c r="C461" s="12" t="s">
        <v>6320</v>
      </c>
      <c r="D461" s="5" t="str">
        <f ca="1">IFERROR(__xludf.DUMMYFUNCTION("GOOGLETRANSLATE(B461,""ja"",""vi"")"),"tạp chí")</f>
        <v>tạp chí</v>
      </c>
      <c r="E461" s="4" t="str">
        <f ca="1">IFERROR(__xludf.DUMMYFUNCTION("GOOGLETRANSLATE(C461,""ja"",""vi"")"),"Đấu giá&gt; Sách, tạp chí&gt; Nghệ thuật &amp; giải trí&gt; ballet, khiêu vũ&gt; Tạp chí")</f>
        <v>Đấu giá&gt; Sách, tạp chí&gt; Nghệ thuật &amp; giải trí&gt; ballet, khiêu vũ&gt; Tạp chí</v>
      </c>
      <c r="F461" t="str">
        <f t="shared" ca="1" si="7"/>
        <v>"2084008090" : "tạp chí",</v>
      </c>
    </row>
    <row r="462" spans="1:6" ht="15.75" customHeight="1">
      <c r="A462" s="12">
        <v>2084009038</v>
      </c>
      <c r="B462" s="12" t="s">
        <v>6321</v>
      </c>
      <c r="C462" s="12" t="s">
        <v>6322</v>
      </c>
      <c r="D462" s="5" t="str">
        <f ca="1">IFERROR(__xludf.DUMMYFUNCTION("GOOGLETRANSLATE(B462,""ja"",""vi"")"),"Talent này")</f>
        <v>Talent này</v>
      </c>
      <c r="E462" s="4" t="str">
        <f ca="1">IFERROR(__xludf.DUMMYFUNCTION("GOOGLETRANSLATE(C462,""ja"",""vi"")"),"Đấu giá&gt; Sách, tạp chí&gt; Nghệ thuật &amp; giải trí&gt; Phim ảnh, truyền hình&gt; cuốn sách tài năng")</f>
        <v>Đấu giá&gt; Sách, tạp chí&gt; Nghệ thuật &amp; giải trí&gt; Phim ảnh, truyền hình&gt; cuốn sách tài năng</v>
      </c>
      <c r="F462" t="str">
        <f t="shared" ca="1" si="7"/>
        <v>"2084009038" : "Talent này",</v>
      </c>
    </row>
    <row r="463" spans="1:6" ht="15.75" customHeight="1">
      <c r="A463" s="12">
        <v>2084009037</v>
      </c>
      <c r="B463" s="12" t="s">
        <v>5746</v>
      </c>
      <c r="C463" s="12" t="s">
        <v>6323</v>
      </c>
      <c r="D463" s="5" t="str">
        <f ca="1">IFERROR(__xludf.DUMMYFUNCTION("GOOGLETRANSLATE(B463,""ja"",""vi"")"),"TV")</f>
        <v>TV</v>
      </c>
      <c r="E463" s="4" t="str">
        <f ca="1">IFERROR(__xludf.DUMMYFUNCTION("GOOGLETRANSLATE(C463,""ja"",""vi"")"),"Đấu giá&gt; Sách, tạp chí&gt; Nghệ thuật &amp; giải trí&gt; Movies, TV&gt; TV")</f>
        <v>Đấu giá&gt; Sách, tạp chí&gt; Nghệ thuật &amp; giải trí&gt; Movies, TV&gt; TV</v>
      </c>
      <c r="F463" t="str">
        <f t="shared" ca="1" si="7"/>
        <v>"2084009037" : "TV",</v>
      </c>
    </row>
    <row r="464" spans="1:6" ht="15.75" customHeight="1">
      <c r="A464" s="12">
        <v>2084048233</v>
      </c>
      <c r="B464" s="12" t="s">
        <v>5506</v>
      </c>
      <c r="C464" s="12" t="s">
        <v>6324</v>
      </c>
      <c r="D464" s="5" t="str">
        <f ca="1">IFERROR(__xludf.DUMMYFUNCTION("GOOGLETRANSLATE(B464,""ja"",""vi"")"),"radio")</f>
        <v>radio</v>
      </c>
      <c r="E464" s="4" t="str">
        <f ca="1">IFERROR(__xludf.DUMMYFUNCTION("GOOGLETRANSLATE(C464,""ja"",""vi"")"),"Đấu giá&gt; Sách, tạp chí&gt; Nghệ thuật &amp; giải trí&gt; Phim ảnh, truyền hình&gt; Radio")</f>
        <v>Đấu giá&gt; Sách, tạp chí&gt; Nghệ thuật &amp; giải trí&gt; Phim ảnh, truyền hình&gt; Radio</v>
      </c>
      <c r="F464" t="str">
        <f t="shared" ca="1" si="7"/>
        <v>"2084048233" : "radio",</v>
      </c>
    </row>
    <row r="465" spans="1:6" ht="15.75" customHeight="1">
      <c r="A465" s="12">
        <v>2084009042</v>
      </c>
      <c r="B465" s="12" t="s">
        <v>4481</v>
      </c>
      <c r="C465" s="12" t="s">
        <v>6325</v>
      </c>
      <c r="D465" s="5" t="str">
        <f ca="1">IFERROR(__xludf.DUMMYFUNCTION("GOOGLETRANSLATE(B465,""ja"",""vi"")"),"phim")</f>
        <v>phim</v>
      </c>
      <c r="E465" s="4" t="str">
        <f ca="1">IFERROR(__xludf.DUMMYFUNCTION("GOOGLETRANSLATE(C465,""ja"",""vi"")"),"Đấu giá&gt; Sách, tạp chí&gt; Nghệ thuật &amp; giải trí&gt; Phim ảnh, truyền hình&gt; Phim")</f>
        <v>Đấu giá&gt; Sách, tạp chí&gt; Nghệ thuật &amp; giải trí&gt; Phim ảnh, truyền hình&gt; Phim</v>
      </c>
      <c r="F465" t="str">
        <f t="shared" ca="1" si="7"/>
        <v>"2084009042" : "phim",</v>
      </c>
    </row>
    <row r="466" spans="1:6" ht="15.75" customHeight="1">
      <c r="A466" s="12">
        <v>2084009049</v>
      </c>
      <c r="B466" s="12" t="s">
        <v>6326</v>
      </c>
      <c r="C466" s="12" t="s">
        <v>6327</v>
      </c>
      <c r="D466" s="5" t="str">
        <f ca="1">IFERROR(__xludf.DUMMYFUNCTION("GOOGLETRANSLATE(B466,""ja"",""vi"")"),"Nhà hát chung")</f>
        <v>Nhà hát chung</v>
      </c>
      <c r="E466" s="4" t="str">
        <f ca="1">IFERROR(__xludf.DUMMYFUNCTION("GOOGLETRANSLATE(C466,""ja"",""vi"")"),"Đấu giá&gt; Sách, tạp chí&gt; Nghệ thuật &amp; giải trí&gt; Nhà hát&gt; chung sân khấu")</f>
        <v>Đấu giá&gt; Sách, tạp chí&gt; Nghệ thuật &amp; giải trí&gt; Nhà hát&gt; chung sân khấu</v>
      </c>
      <c r="F466" t="str">
        <f t="shared" ca="1" si="7"/>
        <v>"2084009049" : "Nhà hát chung",</v>
      </c>
    </row>
    <row r="467" spans="1:6" ht="15.75" customHeight="1">
      <c r="A467" s="12">
        <v>2084049727</v>
      </c>
      <c r="B467" s="12" t="s">
        <v>6328</v>
      </c>
      <c r="C467" s="12" t="s">
        <v>6329</v>
      </c>
      <c r="D467" s="5" t="str">
        <f ca="1">IFERROR(__xludf.DUMMYFUNCTION("GOOGLETRANSLATE(B467,""ja"",""vi"")"),"Kịch bản, kịch")</f>
        <v>Kịch bản, kịch</v>
      </c>
      <c r="E467" s="4" t="str">
        <f ca="1">IFERROR(__xludf.DUMMYFUNCTION("GOOGLETRANSLATE(C467,""ja"",""vi"")"),"Đấu giá&gt; Sách, tạp chí&gt; Nghệ thuật &amp; giải trí&gt; Nhà hát&gt; kịch bản, kịch")</f>
        <v>Đấu giá&gt; Sách, tạp chí&gt; Nghệ thuật &amp; giải trí&gt; Nhà hát&gt; kịch bản, kịch</v>
      </c>
      <c r="F467" t="str">
        <f t="shared" ca="1" si="7"/>
        <v>"2084049727" : "Kịch bản, kịch",</v>
      </c>
    </row>
    <row r="468" spans="1:6" ht="15.75" customHeight="1">
      <c r="A468" s="12">
        <v>2084009051</v>
      </c>
      <c r="B468" s="12" t="s">
        <v>1207</v>
      </c>
      <c r="C468" s="12" t="s">
        <v>6330</v>
      </c>
      <c r="D468" s="5" t="str">
        <f ca="1">IFERROR(__xludf.DUMMYFUNCTION("GOOGLETRANSLATE(B468,""ja"",""vi"")"),"nhạc")</f>
        <v>nhạc</v>
      </c>
      <c r="E468" s="4" t="str">
        <f ca="1">IFERROR(__xludf.DUMMYFUNCTION("GOOGLETRANSLATE(C468,""ja"",""vi"")"),"Đấu giá&gt; Sách, tạp chí&gt; Nghệ thuật &amp; giải trí&gt; Nhà hát&gt; Nhạc")</f>
        <v>Đấu giá&gt; Sách, tạp chí&gt; Nghệ thuật &amp; giải trí&gt; Nhà hát&gt; Nhạc</v>
      </c>
      <c r="F468" t="str">
        <f t="shared" ca="1" si="7"/>
        <v>"2084009051" : "nhạc",</v>
      </c>
    </row>
    <row r="469" spans="1:6" ht="15.75" customHeight="1">
      <c r="A469" s="12">
        <v>2084009050</v>
      </c>
      <c r="B469" s="12" t="s">
        <v>6331</v>
      </c>
      <c r="C469" s="12" t="s">
        <v>6332</v>
      </c>
      <c r="D469" s="5" t="str">
        <f ca="1">IFERROR(__xludf.DUMMYFUNCTION("GOOGLETRANSLATE(B469,""ja"",""vi"")"),"Kabuki")</f>
        <v>Kabuki</v>
      </c>
      <c r="E469" s="4" t="str">
        <f ca="1">IFERROR(__xludf.DUMMYFUNCTION("GOOGLETRANSLATE(C469,""ja"",""vi"")"),"Đấu giá&gt; Sách, tạp chí&gt; Nghệ thuật &amp; giải trí&gt; Nhà hát&gt; Kabuki")</f>
        <v>Đấu giá&gt; Sách, tạp chí&gt; Nghệ thuật &amp; giải trí&gt; Nhà hát&gt; Kabuki</v>
      </c>
      <c r="F469" t="str">
        <f t="shared" ca="1" si="7"/>
        <v>"2084009050" : "Kabuki",</v>
      </c>
    </row>
    <row r="470" spans="1:6" ht="15.75" customHeight="1">
      <c r="A470" s="12">
        <v>2084008070</v>
      </c>
      <c r="B470" s="12" t="s">
        <v>1586</v>
      </c>
      <c r="C470" s="12" t="s">
        <v>6333</v>
      </c>
      <c r="D470" s="5" t="str">
        <f ca="1">IFERROR(__xludf.DUMMYFUNCTION("GOOGLETRANSLATE(B470,""ja"",""vi"")"),"tạp chí")</f>
        <v>tạp chí</v>
      </c>
      <c r="E470" s="4" t="str">
        <f ca="1">IFERROR(__xludf.DUMMYFUNCTION("GOOGLETRANSLATE(C470,""ja"",""vi"")"),"Đấu giá&gt; Sách, tạp chí&gt; Nghệ thuật &amp; giải trí&gt; Nhà hát&gt; Tạp chí")</f>
        <v>Đấu giá&gt; Sách, tạp chí&gt; Nghệ thuật &amp; giải trí&gt; Nhà hát&gt; Tạp chí</v>
      </c>
      <c r="F470" t="str">
        <f t="shared" ca="1" si="7"/>
        <v>"2084008070" : "tạp chí",</v>
      </c>
    </row>
    <row r="471" spans="1:6" ht="15.75" customHeight="1">
      <c r="A471" s="12">
        <v>2084049729</v>
      </c>
      <c r="B471" s="12" t="s">
        <v>6334</v>
      </c>
      <c r="C471" s="12" t="s">
        <v>6335</v>
      </c>
      <c r="D471" s="5" t="str">
        <f ca="1">IFERROR(__xludf.DUMMYFUNCTION("GOOGLETRANSLATE(B471,""ja"",""vi"")"),"Trẻ em, sân khấu sinh viên")</f>
        <v>Trẻ em, sân khấu sinh viên</v>
      </c>
      <c r="E471" s="4" t="str">
        <f ca="1">IFERROR(__xludf.DUMMYFUNCTION("GOOGLETRANSLATE(C471,""ja"",""vi"")"),"Đấu giá&gt; Sách, tạp chí&gt; Nghệ thuật &amp; giải trí&gt; Nhà hát&gt; trẻ em, nhà hát sinh viên")</f>
        <v>Đấu giá&gt; Sách, tạp chí&gt; Nghệ thuật &amp; giải trí&gt; Nhà hát&gt; trẻ em, nhà hát sinh viên</v>
      </c>
      <c r="F471" t="str">
        <f t="shared" ca="1" si="7"/>
        <v>"2084049729" : "Trẻ em, sân khấu sinh viên",</v>
      </c>
    </row>
    <row r="472" spans="1:6" ht="15.75" customHeight="1">
      <c r="A472" s="12">
        <v>2084049726</v>
      </c>
      <c r="B472" s="12" t="s">
        <v>6336</v>
      </c>
      <c r="C472" s="12" t="s">
        <v>6337</v>
      </c>
      <c r="D472" s="5" t="str">
        <f ca="1">IFERROR(__xludf.DUMMYFUNCTION("GOOGLETRANSLATE(B472,""ja"",""vi"")"),"Noh, Kyogen")</f>
        <v>Noh, Kyogen</v>
      </c>
      <c r="E472" s="4" t="str">
        <f ca="1">IFERROR(__xludf.DUMMYFUNCTION("GOOGLETRANSLATE(C472,""ja"",""vi"")"),"Đấu giá&gt; Sách, tạp chí&gt; Nghệ thuật &amp; giải trí&gt; Nhà hát&gt; Noh, Kyogen")</f>
        <v>Đấu giá&gt; Sách, tạp chí&gt; Nghệ thuật &amp; giải trí&gt; Nhà hát&gt; Noh, Kyogen</v>
      </c>
      <c r="F472" t="str">
        <f t="shared" ca="1" si="7"/>
        <v>"2084049726" : "Noh, Kyogen",</v>
      </c>
    </row>
    <row r="473" spans="1:6" ht="15.75" customHeight="1">
      <c r="A473" s="12">
        <v>2084049728</v>
      </c>
      <c r="B473" s="12" t="s">
        <v>6338</v>
      </c>
      <c r="C473" s="12" t="s">
        <v>6339</v>
      </c>
      <c r="D473" s="5" t="str">
        <f ca="1">IFERROR(__xludf.DUMMYFUNCTION("GOOGLETRANSLATE(B473,""ja"",""vi"")"),"Khiêu vũ, khiêu vũ")</f>
        <v>Khiêu vũ, khiêu vũ</v>
      </c>
      <c r="E473" s="4" t="str">
        <f ca="1">IFERROR(__xludf.DUMMYFUNCTION("GOOGLETRANSLATE(C473,""ja"",""vi"")"),"Đấu giá&gt; Sách, tạp chí&gt; Nghệ thuật &amp; giải trí&gt; Nhà hát&gt; Khiêu vũ, múa")</f>
        <v>Đấu giá&gt; Sách, tạp chí&gt; Nghệ thuật &amp; giải trí&gt; Nhà hát&gt; Khiêu vũ, múa</v>
      </c>
      <c r="F473" t="str">
        <f t="shared" ca="1" si="7"/>
        <v>"2084049728" : "Khiêu vũ, khiêu vũ",</v>
      </c>
    </row>
    <row r="474" spans="1:6" ht="15.75" customHeight="1">
      <c r="A474" s="12">
        <v>2084009052</v>
      </c>
      <c r="B474" s="12" t="s">
        <v>6340</v>
      </c>
      <c r="C474" s="12" t="s">
        <v>6341</v>
      </c>
      <c r="D474" s="5" t="str">
        <f ca="1">IFERROR(__xludf.DUMMYFUNCTION("GOOGLETRANSLATE(B474,""ja"",""vi"")"),"Takarazuka")</f>
        <v>Takarazuka</v>
      </c>
      <c r="E474" s="4" t="str">
        <f ca="1">IFERROR(__xludf.DUMMYFUNCTION("GOOGLETRANSLATE(C474,""ja"",""vi"")"),"Đấu giá&gt; Sách, tạp chí&gt; Nghệ thuật &amp; giải trí&gt; Nhà hát&gt; Takarazuka")</f>
        <v>Đấu giá&gt; Sách, tạp chí&gt; Nghệ thuật &amp; giải trí&gt; Nhà hát&gt; Takarazuka</v>
      </c>
      <c r="F474" t="str">
        <f t="shared" ca="1" si="7"/>
        <v>"2084009052" : "Takarazuka",</v>
      </c>
    </row>
    <row r="475" spans="1:6" ht="15.75" customHeight="1">
      <c r="A475" s="12">
        <v>2084009079</v>
      </c>
      <c r="B475" s="12" t="s">
        <v>6342</v>
      </c>
      <c r="C475" s="12" t="s">
        <v>6343</v>
      </c>
      <c r="D475" s="5" t="str">
        <f ca="1">IFERROR(__xludf.DUMMYFUNCTION("GOOGLETRANSLATE(B475,""ja"",""vi"")"),"Nhà phê bình âm nhạc")</f>
        <v>Nhà phê bình âm nhạc</v>
      </c>
      <c r="E475" s="4" t="str">
        <f ca="1">IFERROR(__xludf.DUMMYFUNCTION("GOOGLETRANSLATE(C475,""ja"",""vi"")"),"Đấu giá&gt; cuốn sách, tạp chí&gt; nghệ thuật, vui chơi giải trí&gt; âm nhạc, điểm số âm nhạc&gt; phê bình âm nhạc")</f>
        <v>Đấu giá&gt; cuốn sách, tạp chí&gt; nghệ thuật, vui chơi giải trí&gt; âm nhạc, điểm số âm nhạc&gt; phê bình âm nhạc</v>
      </c>
      <c r="F475" t="str">
        <f t="shared" ca="1" si="7"/>
        <v>"2084009079" : "Nhà phê bình âm nhạc",</v>
      </c>
    </row>
    <row r="476" spans="1:6" ht="15.75" customHeight="1">
      <c r="A476" s="12">
        <v>2084009086</v>
      </c>
      <c r="B476" s="12" t="s">
        <v>6344</v>
      </c>
      <c r="C476" s="12" t="s">
        <v>6345</v>
      </c>
      <c r="D476" s="5" t="str">
        <f ca="1">IFERROR(__xludf.DUMMYFUNCTION("GOOGLETRANSLATE(B476,""ja"",""vi"")"),"số điểm")</f>
        <v>số điểm</v>
      </c>
      <c r="E476" s="4" t="str">
        <f ca="1">IFERROR(__xludf.DUMMYFUNCTION("GOOGLETRANSLATE(C476,""ja"",""vi"")"),"Đấu giá&gt; cuốn sách, tạp chí&gt; nghệ thuật, vui chơi giải trí&gt; âm nhạc, điểm số âm nhạc&gt; điểm âm nhạc")</f>
        <v>Đấu giá&gt; cuốn sách, tạp chí&gt; nghệ thuật, vui chơi giải trí&gt; âm nhạc, điểm số âm nhạc&gt; điểm âm nhạc</v>
      </c>
      <c r="F476" t="str">
        <f t="shared" ca="1" si="7"/>
        <v>"2084009086" : "số điểm",</v>
      </c>
    </row>
    <row r="477" spans="1:6" ht="15.75" customHeight="1">
      <c r="A477" s="12">
        <v>2084009077</v>
      </c>
      <c r="B477" s="12" t="s">
        <v>6346</v>
      </c>
      <c r="C477" s="12" t="s">
        <v>6347</v>
      </c>
      <c r="D477" s="5" t="str">
        <f ca="1">IFERROR(__xludf.DUMMYFUNCTION("GOOGLETRANSLATE(B477,""ja"",""vi"")"),"Giáo dục âm nhạc, hướng dẫn")</f>
        <v>Giáo dục âm nhạc, hướng dẫn</v>
      </c>
      <c r="E477" s="4" t="str">
        <f ca="1">IFERROR(__xludf.DUMMYFUNCTION("GOOGLETRANSLATE(C477,""ja"",""vi"")"),"Đấu giá&gt; cuốn sách, tạp chí&gt; nghệ thuật, vui chơi giải trí&gt; âm nhạc, điểm số âm nhạc&gt; giáo dục âm nhạc, hướng dẫn")</f>
        <v>Đấu giá&gt; cuốn sách, tạp chí&gt; nghệ thuật, vui chơi giải trí&gt; âm nhạc, điểm số âm nhạc&gt; giáo dục âm nhạc, hướng dẫn</v>
      </c>
      <c r="F477" t="str">
        <f t="shared" ca="1" si="7"/>
        <v>"2084009077" : "Giáo dục âm nhạc, hướng dẫn",</v>
      </c>
    </row>
    <row r="478" spans="1:6" ht="15.75" customHeight="1">
      <c r="A478" s="12">
        <v>2084009078</v>
      </c>
      <c r="B478" s="12" t="s">
        <v>6348</v>
      </c>
      <c r="C478" s="12" t="s">
        <v>6349</v>
      </c>
      <c r="D478" s="5" t="str">
        <f ca="1">IFERROR(__xludf.DUMMYFUNCTION("GOOGLETRANSLATE(B478,""ja"",""vi"")"),"Karaoke, cuốn sách bài hát")</f>
        <v>Karaoke, cuốn sách bài hát</v>
      </c>
      <c r="E478" s="4" t="str">
        <f ca="1">IFERROR(__xludf.DUMMYFUNCTION("GOOGLETRANSLATE(C478,""ja"",""vi"")"),"Đấu giá&gt; cuốn sách, tạp chí&gt; nghệ thuật, vui chơi giải trí&gt; âm nhạc, điểm số âm nhạc&gt; karaoke, bài hát cuốn sách")</f>
        <v>Đấu giá&gt; cuốn sách, tạp chí&gt; nghệ thuật, vui chơi giải trí&gt; âm nhạc, điểm số âm nhạc&gt; karaoke, bài hát cuốn sách</v>
      </c>
      <c r="F478" t="str">
        <f t="shared" ca="1" si="7"/>
        <v>"2084009078" : "Karaoke, cuốn sách bài hát",</v>
      </c>
    </row>
    <row r="479" spans="1:6" ht="15.75" customHeight="1">
      <c r="A479" s="12">
        <v>2084009110</v>
      </c>
      <c r="B479" s="12" t="s">
        <v>6350</v>
      </c>
      <c r="C479" s="12" t="s">
        <v>6351</v>
      </c>
      <c r="D479" s="5" t="str">
        <f ca="1">IFERROR(__xludf.DUMMYFUNCTION("GOOGLETRANSLATE(B479,""ja"",""vi"")"),"nhạc sĩ này")</f>
        <v>nhạc sĩ này</v>
      </c>
      <c r="E479" s="4" t="str">
        <f ca="1">IFERROR(__xludf.DUMMYFUNCTION("GOOGLETRANSLATE(C479,""ja"",""vi"")"),"Đấu giá&gt; cuốn sách, tạp chí&gt; nghệ thuật, vui chơi giải trí&gt; âm nhạc, điểm số âm nhạc&gt; nhạc sĩ cuốn sách")</f>
        <v>Đấu giá&gt; cuốn sách, tạp chí&gt; nghệ thuật, vui chơi giải trí&gt; âm nhạc, điểm số âm nhạc&gt; nhạc sĩ cuốn sách</v>
      </c>
      <c r="F479" t="str">
        <f t="shared" ca="1" si="7"/>
        <v>"2084009110" : "nhạc sĩ này",</v>
      </c>
    </row>
    <row r="480" spans="1:6" ht="15.75" customHeight="1">
      <c r="A480" s="12">
        <v>21936</v>
      </c>
      <c r="B480" s="12" t="s">
        <v>1586</v>
      </c>
      <c r="C480" s="12" t="s">
        <v>6352</v>
      </c>
      <c r="D480" s="5" t="str">
        <f ca="1">IFERROR(__xludf.DUMMYFUNCTION("GOOGLETRANSLATE(B480,""ja"",""vi"")"),"tạp chí")</f>
        <v>tạp chí</v>
      </c>
      <c r="E480" s="4" t="str">
        <f ca="1">IFERROR(__xludf.DUMMYFUNCTION("GOOGLETRANSLATE(C480,""ja"",""vi"")"),"Đấu giá&gt; cuốn sách, tạp chí&gt; nghệ thuật, vui chơi giải trí&gt; âm nhạc, điểm số âm nhạc&gt; Tạp chí")</f>
        <v>Đấu giá&gt; cuốn sách, tạp chí&gt; nghệ thuật, vui chơi giải trí&gt; âm nhạc, điểm số âm nhạc&gt; Tạp chí</v>
      </c>
      <c r="F480" t="str">
        <f t="shared" ca="1" si="7"/>
        <v>"21936" : "tạp chí",</v>
      </c>
    </row>
    <row r="481" spans="1:6" ht="15.75" customHeight="1">
      <c r="A481" s="12">
        <v>2084008892</v>
      </c>
      <c r="B481" s="12" t="s">
        <v>6353</v>
      </c>
      <c r="C481" s="12" t="s">
        <v>6354</v>
      </c>
      <c r="D481" s="5" t="str">
        <f ca="1">IFERROR(__xludf.DUMMYFUNCTION("GOOGLETRANSLATE(B481,""ja"",""vi"")"),"Minh hoạ, cắt")</f>
        <v>Minh hoạ, cắt</v>
      </c>
      <c r="E481" s="4" t="str">
        <f ca="1">IFERROR(__xludf.DUMMYFUNCTION("GOOGLETRANSLATE(C481,""ja"",""vi"")"),"Đấu giá&gt; Sách, tạp chí&gt; Nghệ thuật &amp; giải trí&gt; Tranh&gt; minh họa, cắt")</f>
        <v>Đấu giá&gt; Sách, tạp chí&gt; Nghệ thuật &amp; giải trí&gt; Tranh&gt; minh họa, cắt</v>
      </c>
      <c r="F481" t="str">
        <f t="shared" ca="1" si="7"/>
        <v>"2084008892" : "Minh hoạ, cắt",</v>
      </c>
    </row>
    <row r="482" spans="1:6" ht="15.75" customHeight="1">
      <c r="A482" s="12">
        <v>2084009056</v>
      </c>
      <c r="B482" s="12" t="s">
        <v>6355</v>
      </c>
      <c r="C482" s="12" t="s">
        <v>6356</v>
      </c>
      <c r="D482" s="5" t="str">
        <f ca="1">IFERROR(__xludf.DUMMYFUNCTION("GOOGLETRANSLATE(B482,""ja"",""vi"")"),"Nghệ thuật, Công trình")</f>
        <v>Nghệ thuật, Công trình</v>
      </c>
      <c r="E482" s="4" t="str">
        <f ca="1">IFERROR(__xludf.DUMMYFUNCTION("GOOGLETRANSLATE(C482,""ja"",""vi"")"),"Đấu giá&gt; Sách, tạp chí&gt; Nghệ thuật &amp; giải trí&gt; Painting&gt; Nghệ thuật, Công trình")</f>
        <v>Đấu giá&gt; Sách, tạp chí&gt; Nghệ thuật &amp; giải trí&gt; Painting&gt; Nghệ thuật, Công trình</v>
      </c>
      <c r="F482" t="str">
        <f t="shared" ca="1" si="7"/>
        <v>"2084009056" : "Nghệ thuật, Công trình",</v>
      </c>
    </row>
    <row r="483" spans="1:6" ht="15.75" customHeight="1">
      <c r="A483" s="12">
        <v>2084009057</v>
      </c>
      <c r="B483" s="12" t="s">
        <v>6357</v>
      </c>
      <c r="C483" s="12" t="s">
        <v>6358</v>
      </c>
      <c r="D483" s="5" t="str">
        <f ca="1">IFERROR(__xludf.DUMMYFUNCTION("GOOGLETRANSLATE(B483,""ja"",""vi"")"),"Bình luận, phê bình")</f>
        <v>Bình luận, phê bình</v>
      </c>
      <c r="E483" s="4" t="str">
        <f ca="1">IFERROR(__xludf.DUMMYFUNCTION("GOOGLETRANSLATE(C483,""ja"",""vi"")"),"Đấu giá&gt; Sách, tạp chí&gt; Nghệ thuật &amp; giải trí&gt; Tranh&gt; bình luận, phê bình")</f>
        <v>Đấu giá&gt; Sách, tạp chí&gt; Nghệ thuật &amp; giải trí&gt; Tranh&gt; bình luận, phê bình</v>
      </c>
      <c r="F483" t="str">
        <f t="shared" ca="1" si="7"/>
        <v>"2084009057" : "Bình luận, phê bình",</v>
      </c>
    </row>
    <row r="484" spans="1:6" ht="15.75" customHeight="1">
      <c r="A484" s="12">
        <v>2084009055</v>
      </c>
      <c r="B484" s="12" t="s">
        <v>5400</v>
      </c>
      <c r="C484" s="12" t="s">
        <v>6359</v>
      </c>
      <c r="D484" s="5" t="str">
        <f ca="1">IFERROR(__xludf.DUMMYFUNCTION("GOOGLETRANSLATE(B484,""ja"",""vi"")"),"kỹ thuật tay")</f>
        <v>kỹ thuật tay</v>
      </c>
      <c r="E484" s="4" t="str">
        <f ca="1">IFERROR(__xludf.DUMMYFUNCTION("GOOGLETRANSLATE(C484,""ja"",""vi"")"),"Đấu giá&gt; Sách, tạp chí&gt; Nghệ thuật &amp; giải trí&gt; Tranh&gt; Kỹ thuật thủ công")</f>
        <v>Đấu giá&gt; Sách, tạp chí&gt; Nghệ thuật &amp; giải trí&gt; Tranh&gt; Kỹ thuật thủ công</v>
      </c>
      <c r="F484" t="str">
        <f t="shared" ca="1" si="7"/>
        <v>"2084009055" : "kỹ thuật tay",</v>
      </c>
    </row>
    <row r="485" spans="1:6" ht="15.75" customHeight="1">
      <c r="A485" s="12">
        <v>2084228290</v>
      </c>
      <c r="B485" s="12" t="s">
        <v>6357</v>
      </c>
      <c r="C485" s="12" t="s">
        <v>6360</v>
      </c>
      <c r="D485" s="5" t="str">
        <f ca="1">IFERROR(__xludf.DUMMYFUNCTION("GOOGLETRANSLATE(B485,""ja"",""vi"")"),"Bình luận, phê bình")</f>
        <v>Bình luận, phê bình</v>
      </c>
      <c r="E485" s="4" t="str">
        <f ca="1">IFERROR(__xludf.DUMMYFUNCTION("GOOGLETRANSLATE(C485,""ja"",""vi"")"),"Đấu giá&gt; Sách, tạp chí&gt; Nghệ thuật &amp; giải trí&gt; Thủ công mỹ nghệ&gt; bình luận, phê bình")</f>
        <v>Đấu giá&gt; Sách, tạp chí&gt; Nghệ thuật &amp; giải trí&gt; Thủ công mỹ nghệ&gt; bình luận, phê bình</v>
      </c>
      <c r="F485" t="str">
        <f t="shared" ca="1" si="7"/>
        <v>"2084228290" : "Bình luận, phê bình",</v>
      </c>
    </row>
    <row r="486" spans="1:6" ht="15.75" customHeight="1">
      <c r="A486" s="12">
        <v>2084228286</v>
      </c>
      <c r="B486" s="12" t="s">
        <v>5400</v>
      </c>
      <c r="C486" s="12" t="s">
        <v>6361</v>
      </c>
      <c r="D486" s="5" t="str">
        <f ca="1">IFERROR(__xludf.DUMMYFUNCTION("GOOGLETRANSLATE(B486,""ja"",""vi"")"),"kỹ thuật tay")</f>
        <v>kỹ thuật tay</v>
      </c>
      <c r="E486" s="4" t="str">
        <f ca="1">IFERROR(__xludf.DUMMYFUNCTION("GOOGLETRANSLATE(C486,""ja"",""vi"")"),"Đấu giá&gt; Sách, tạp chí&gt; Nghệ thuật &amp; giải trí&gt; Thủ công mỹ nghệ&gt; Kỹ thuật thủ công")</f>
        <v>Đấu giá&gt; Sách, tạp chí&gt; Nghệ thuật &amp; giải trí&gt; Thủ công mỹ nghệ&gt; Kỹ thuật thủ công</v>
      </c>
      <c r="F486" t="str">
        <f t="shared" ca="1" si="7"/>
        <v>"2084228286" : "kỹ thuật tay",</v>
      </c>
    </row>
    <row r="487" spans="1:6" ht="15.75" customHeight="1">
      <c r="A487" s="12">
        <v>2084213392</v>
      </c>
      <c r="B487" s="12" t="s">
        <v>6364</v>
      </c>
      <c r="C487" s="12" t="s">
        <v>6366</v>
      </c>
      <c r="D487" s="5" t="str">
        <f ca="1">IFERROR(__xludf.DUMMYFUNCTION("GOOGLETRANSLATE(B487,""ja"",""vi"")"),"công trình")</f>
        <v>công trình</v>
      </c>
      <c r="E487" s="4" t="str">
        <f ca="1">IFERROR(__xludf.DUMMYFUNCTION("GOOGLETRANSLATE(C487,""ja"",""vi"")"),"Đấu giá&gt; Sách, tạp chí&gt; Nghệ thuật &amp; giải trí&gt; Thủ công mỹ nghệ&gt; Công trình")</f>
        <v>Đấu giá&gt; Sách, tạp chí&gt; Nghệ thuật &amp; giải trí&gt; Thủ công mỹ nghệ&gt; Công trình</v>
      </c>
      <c r="F487" t="str">
        <f t="shared" ca="1" si="7"/>
        <v>"2084213392" : "công trình",</v>
      </c>
    </row>
    <row r="488" spans="1:6" ht="15.75" customHeight="1">
      <c r="A488" s="12">
        <v>2084213391</v>
      </c>
      <c r="B488" s="12" t="s">
        <v>6370</v>
      </c>
      <c r="C488" s="12" t="s">
        <v>6373</v>
      </c>
      <c r="D488" s="5" t="str">
        <f ca="1">IFERROR(__xludf.DUMMYFUNCTION("GOOGLETRANSLATE(B488,""ja"",""vi"")"),"mục lục")</f>
        <v>mục lục</v>
      </c>
      <c r="E488" s="4" t="str">
        <f ca="1">IFERROR(__xludf.DUMMYFUNCTION("GOOGLETRANSLATE(C488,""ja"",""vi"")"),"Đấu giá&gt; Sách, tạp chí&gt; Nghệ thuật &amp; giải trí&gt; Thủ công mỹ nghệ&gt; Catalogue")</f>
        <v>Đấu giá&gt; Sách, tạp chí&gt; Nghệ thuật &amp; giải trí&gt; Thủ công mỹ nghệ&gt; Catalogue</v>
      </c>
      <c r="F488" t="str">
        <f t="shared" ca="1" si="7"/>
        <v>"2084213391" : "mục lục",</v>
      </c>
    </row>
    <row r="489" spans="1:6" ht="15.75" customHeight="1">
      <c r="A489" s="12">
        <v>2084213393</v>
      </c>
      <c r="B489" s="12" t="s">
        <v>6377</v>
      </c>
      <c r="C489" s="12" t="s">
        <v>6379</v>
      </c>
      <c r="D489" s="5" t="str">
        <f ca="1">IFERROR(__xludf.DUMMYFUNCTION("GOOGLETRANSLATE(B489,""ja"",""vi"")"),"Hoàn thành công trình, danh mục Raisonné")</f>
        <v>Hoàn thành công trình, danh mục Raisonné</v>
      </c>
      <c r="E489" s="4" t="str">
        <f ca="1">IFERROR(__xludf.DUMMYFUNCTION("GOOGLETRANSLATE(C489,""ja"",""vi"")"),"Đấu giá&gt; Sách, tạp chí&gt; Nghệ thuật &amp; giải trí&gt; Thủ công mỹ nghệ&gt; Hoàn thành công trình, danh mục Raisonné")</f>
        <v>Đấu giá&gt; Sách, tạp chí&gt; Nghệ thuật &amp; giải trí&gt; Thủ công mỹ nghệ&gt; Hoàn thành công trình, danh mục Raisonné</v>
      </c>
      <c r="F489" t="str">
        <f t="shared" ca="1" si="7"/>
        <v>"2084213393" : "Hoàn thành công trình, danh mục Raisonné",</v>
      </c>
    </row>
    <row r="490" spans="1:6" ht="15.75" customHeight="1">
      <c r="A490" s="12">
        <v>2084213394</v>
      </c>
      <c r="B490" s="12" t="s">
        <v>46</v>
      </c>
      <c r="C490" s="12" t="s">
        <v>6384</v>
      </c>
      <c r="D490" s="5" t="str">
        <f ca="1">IFERROR(__xludf.DUMMYFUNCTION("GOOGLETRANSLATE(B490,""ja"",""vi"")"),"nếu không thì")</f>
        <v>nếu không thì</v>
      </c>
      <c r="E490" s="4" t="str">
        <f ca="1">IFERROR(__xludf.DUMMYFUNCTION("GOOGLETRANSLATE(C490,""ja"",""vi"")"),"Đấu giá&gt; Sách, tạp chí&gt; Nghệ thuật &amp; giải trí&gt; Thủ công mỹ nghệ&gt; Khác")</f>
        <v>Đấu giá&gt; Sách, tạp chí&gt; Nghệ thuật &amp; giải trí&gt; Thủ công mỹ nghệ&gt; Khác</v>
      </c>
      <c r="F490" t="str">
        <f t="shared" ca="1" si="7"/>
        <v>"2084213394" : "nếu không thì",</v>
      </c>
    </row>
    <row r="491" spans="1:6" ht="15.75" customHeight="1">
      <c r="A491" s="12">
        <v>2084024930</v>
      </c>
      <c r="B491" s="12" t="s">
        <v>6389</v>
      </c>
      <c r="C491" s="12" t="s">
        <v>6391</v>
      </c>
      <c r="D491" s="5" t="str">
        <f ca="1">IFERROR(__xludf.DUMMYFUNCTION("GOOGLETRANSLATE(B491,""ja"",""vi"")"),"tài năng nữ")</f>
        <v>tài năng nữ</v>
      </c>
      <c r="E491" s="4" t="str">
        <f ca="1">IFERROR(__xludf.DUMMYFUNCTION("GOOGLETRANSLATE(C491,""ja"",""vi"")"),"Đấu giá&gt; Sách, tạp chí&gt; Nghệ thuật &amp; giải trí&gt; Hình ảnh&gt; tài năng nữ")</f>
        <v>Đấu giá&gt; Sách, tạp chí&gt; Nghệ thuật &amp; giải trí&gt; Hình ảnh&gt; tài năng nữ</v>
      </c>
      <c r="F491" t="str">
        <f t="shared" ca="1" si="7"/>
        <v>"2084024930" : "tài năng nữ",</v>
      </c>
    </row>
    <row r="492" spans="1:6" ht="15.75" customHeight="1">
      <c r="A492" s="12">
        <v>2084033795</v>
      </c>
      <c r="B492" s="12" t="s">
        <v>6396</v>
      </c>
      <c r="C492" s="12" t="s">
        <v>6398</v>
      </c>
      <c r="D492" s="5" t="str">
        <f ca="1">IFERROR(__xludf.DUMMYFUNCTION("GOOGLETRANSLATE(B492,""ja"",""vi"")"),"Nam Talent")</f>
        <v>Nam Talent</v>
      </c>
      <c r="E492" s="4" t="str">
        <f ca="1">IFERROR(__xludf.DUMMYFUNCTION("GOOGLETRANSLATE(C492,""ja"",""vi"")"),"Đấu giá&gt; Sách, tạp chí&gt; Nghệ thuật &amp; giải trí&gt; Hình ảnh&gt; Nam Talent")</f>
        <v>Đấu giá&gt; Sách, tạp chí&gt; Nghệ thuật &amp; giải trí&gt; Hình ảnh&gt; Nam Talent</v>
      </c>
      <c r="F492" t="str">
        <f t="shared" ca="1" si="7"/>
        <v>"2084033795" : "Nam Talent",</v>
      </c>
    </row>
    <row r="493" spans="1:6" ht="15.75" customHeight="1">
      <c r="A493" s="12">
        <v>2084048350</v>
      </c>
      <c r="B493" s="12" t="s">
        <v>4882</v>
      </c>
      <c r="C493" s="12" t="s">
        <v>6403</v>
      </c>
      <c r="D493" s="5" t="str">
        <f ca="1">IFERROR(__xludf.DUMMYFUNCTION("GOOGLETRANSLATE(B493,""ja"",""vi"")"),"Nghệ thuật Nhiếp ảnh")</f>
        <v>Nghệ thuật Nhiếp ảnh</v>
      </c>
      <c r="E493" s="4" t="str">
        <f ca="1">IFERROR(__xludf.DUMMYFUNCTION("GOOGLETRANSLATE(C493,""ja"",""vi"")"),"Đấu giá&gt; Sách, tạp chí&gt; Nghệ thuật &amp; giải trí&gt; Hình ảnh&gt; Nghệ thuật Nhiếp ảnh")</f>
        <v>Đấu giá&gt; Sách, tạp chí&gt; Nghệ thuật &amp; giải trí&gt; Hình ảnh&gt; Nghệ thuật Nhiếp ảnh</v>
      </c>
      <c r="F493" t="str">
        <f t="shared" ca="1" si="7"/>
        <v>"2084048350" : "Nghệ thuật Nhiếp ảnh",</v>
      </c>
    </row>
    <row r="494" spans="1:6" ht="15.75" customHeight="1">
      <c r="A494" s="12">
        <v>2084047653</v>
      </c>
      <c r="B494" s="12" t="s">
        <v>6408</v>
      </c>
      <c r="C494" s="12" t="s">
        <v>6410</v>
      </c>
      <c r="D494" s="5" t="str">
        <f ca="1">IFERROR(__xludf.DUMMYFUNCTION("GOOGLETRANSLATE(B494,""ja"",""vi"")"),"vận động viên")</f>
        <v>vận động viên</v>
      </c>
      <c r="E494" s="4" t="str">
        <f ca="1">IFERROR(__xludf.DUMMYFUNCTION("GOOGLETRANSLATE(C494,""ja"",""vi"")"),"Đấu giá&gt; Sách, tạp chí&gt; Nghệ thuật &amp; giải trí&gt; Hình ảnh&gt; vận động viên")</f>
        <v>Đấu giá&gt; Sách, tạp chí&gt; Nghệ thuật &amp; giải trí&gt; Hình ảnh&gt; vận động viên</v>
      </c>
      <c r="F494" t="str">
        <f t="shared" ca="1" si="7"/>
        <v>"2084047653" : "vận động viên",</v>
      </c>
    </row>
    <row r="495" spans="1:6" ht="15.75" customHeight="1">
      <c r="A495" s="12">
        <v>2084006194</v>
      </c>
      <c r="B495" s="12" t="s">
        <v>6414</v>
      </c>
      <c r="C495" s="12" t="s">
        <v>6416</v>
      </c>
      <c r="D495" s="5" t="str">
        <f ca="1">IFERROR(__xludf.DUMMYFUNCTION("GOOGLETRANSLATE(B495,""ja"",""vi"")"),"Tài liệu")</f>
        <v>Tài liệu</v>
      </c>
      <c r="E495" s="4" t="str">
        <f ca="1">IFERROR(__xludf.DUMMYFUNCTION("GOOGLETRANSLATE(C495,""ja"",""vi"")"),"Đấu giá&gt; Sách, tạp chí&gt; Nghệ thuật &amp; giải trí&gt; Hình ảnh&gt; Document")</f>
        <v>Đấu giá&gt; Sách, tạp chí&gt; Nghệ thuật &amp; giải trí&gt; Hình ảnh&gt; Document</v>
      </c>
      <c r="F495" t="str">
        <f t="shared" ca="1" si="7"/>
        <v>"2084006194" : "Tài liệu",</v>
      </c>
    </row>
    <row r="496" spans="1:6" ht="15.75" customHeight="1">
      <c r="A496" s="12">
        <v>2084006192</v>
      </c>
      <c r="B496" s="12" t="s">
        <v>4471</v>
      </c>
      <c r="C496" s="12" t="s">
        <v>6422</v>
      </c>
      <c r="D496" s="5" t="str">
        <f ca="1">IFERROR(__xludf.DUMMYFUNCTION("GOOGLETRANSLATE(B496,""ja"",""vi"")"),"nhạc sĩ")</f>
        <v>nhạc sĩ</v>
      </c>
      <c r="E496" s="4" t="str">
        <f ca="1">IFERROR(__xludf.DUMMYFUNCTION("GOOGLETRANSLATE(C496,""ja"",""vi"")"),"Đấu giá&gt; Sách, tạp chí&gt; Nghệ thuật &amp; giải trí&gt; Hình ảnh&gt; nhạc sĩ")</f>
        <v>Đấu giá&gt; Sách, tạp chí&gt; Nghệ thuật &amp; giải trí&gt; Hình ảnh&gt; nhạc sĩ</v>
      </c>
      <c r="F496" t="str">
        <f t="shared" ca="1" si="7"/>
        <v>"2084006192" : "nhạc sĩ",</v>
      </c>
    </row>
    <row r="497" spans="1:6" ht="15.75" customHeight="1">
      <c r="A497" s="12">
        <v>2084006193</v>
      </c>
      <c r="B497" s="12" t="s">
        <v>6425</v>
      </c>
      <c r="C497" s="12" t="s">
        <v>6426</v>
      </c>
      <c r="D497" s="5" t="str">
        <f ca="1">IFERROR(__xludf.DUMMYFUNCTION("GOOGLETRANSLATE(B497,""ja"",""vi"")"),"Thiên nhiên, phong cảnh")</f>
        <v>Thiên nhiên, phong cảnh</v>
      </c>
      <c r="E497" s="4" t="str">
        <f ca="1">IFERROR(__xludf.DUMMYFUNCTION("GOOGLETRANSLATE(C497,""ja"",""vi"")"),"Đấu giá&gt; Sách, tạp chí&gt; Nghệ thuật &amp; giải trí&gt; Hình ảnh&gt; Thiên nhiên, phong cảnh")</f>
        <v>Đấu giá&gt; Sách, tạp chí&gt; Nghệ thuật &amp; giải trí&gt; Hình ảnh&gt; Thiên nhiên, phong cảnh</v>
      </c>
      <c r="F497" t="str">
        <f t="shared" ca="1" si="7"/>
        <v>"2084006193" : "Thiên nhiên, phong cảnh",</v>
      </c>
    </row>
    <row r="498" spans="1:6" ht="15.75" customHeight="1">
      <c r="A498" s="12">
        <v>2084006195</v>
      </c>
      <c r="B498" s="12" t="s">
        <v>6430</v>
      </c>
      <c r="C498" s="12" t="s">
        <v>6432</v>
      </c>
      <c r="D498" s="5" t="str">
        <f ca="1">IFERROR(__xludf.DUMMYFUNCTION("GOOGLETRANSLATE(B498,""ja"",""vi"")"),"tĩnh vật")</f>
        <v>tĩnh vật</v>
      </c>
      <c r="E498" s="4" t="str">
        <f ca="1">IFERROR(__xludf.DUMMYFUNCTION("GOOGLETRANSLATE(C498,""ja"",""vi"")"),"Đấu giá&gt; Sách, tạp chí&gt; Nghệ thuật &amp; giải trí&gt; Hình ảnh&gt; Still Life")</f>
        <v>Đấu giá&gt; Sách, tạp chí&gt; Nghệ thuật &amp; giải trí&gt; Hình ảnh&gt; Still Life</v>
      </c>
      <c r="F498" t="str">
        <f t="shared" ca="1" si="7"/>
        <v>"2084006195" : "tĩnh vật",</v>
      </c>
    </row>
    <row r="499" spans="1:6" ht="15.75" customHeight="1">
      <c r="A499" s="12">
        <v>2084049932</v>
      </c>
      <c r="B499" s="12" t="s">
        <v>4207</v>
      </c>
      <c r="C499" s="12" t="s">
        <v>6435</v>
      </c>
      <c r="D499" s="5" t="str">
        <f ca="1">IFERROR(__xludf.DUMMYFUNCTION("GOOGLETRANSLATE(B499,""ja"",""vi"")"),"chữa lành")</f>
        <v>chữa lành</v>
      </c>
      <c r="E499" s="4" t="str">
        <f ca="1">IFERROR(__xludf.DUMMYFUNCTION("GOOGLETRANSLATE(C499,""ja"",""vi"")"),"Đấu giá&gt; Sách, tạp chí&gt; Nghệ thuật &amp; giải trí&gt; tinh thần thế giới&gt; Healing")</f>
        <v>Đấu giá&gt; Sách, tạp chí&gt; Nghệ thuật &amp; giải trí&gt; tinh thần thế giới&gt; Healing</v>
      </c>
      <c r="F499" t="str">
        <f t="shared" ca="1" si="7"/>
        <v>"2084049932" : "chữa lành",</v>
      </c>
    </row>
    <row r="500" spans="1:6" ht="15.75" customHeight="1">
      <c r="A500" s="12">
        <v>2084049931</v>
      </c>
      <c r="B500" s="12" t="s">
        <v>6439</v>
      </c>
      <c r="C500" s="12" t="s">
        <v>6441</v>
      </c>
      <c r="D500" s="5" t="str">
        <f ca="1">IFERROR(__xludf.DUMMYFUNCTION("GOOGLETRANSLATE(B500,""ja"",""vi"")"),"Quan điểm của cuộc sống và cái chết")</f>
        <v>Quan điểm của cuộc sống và cái chết</v>
      </c>
      <c r="E500" s="4" t="str">
        <f ca="1">IFERROR(__xludf.DUMMYFUNCTION("GOOGLETRANSLATE(C500,""ja"",""vi"")"),"Đấu giá&gt; Sách, tạp chí&gt; Nghệ thuật &amp; giải trí&gt; Tâm linh&gt; quan điểm về cuộc sống và cái chết")</f>
        <v>Đấu giá&gt; Sách, tạp chí&gt; Nghệ thuật &amp; giải trí&gt; Tâm linh&gt; quan điểm về cuộc sống và cái chết</v>
      </c>
      <c r="F500" t="str">
        <f t="shared" ca="1" si="7"/>
        <v>"2084049931" : "Quan điểm của cuộc sống và cái chết",</v>
      </c>
    </row>
    <row r="501" spans="1:6" ht="15.75" customHeight="1">
      <c r="A501" s="12">
        <v>2084049930</v>
      </c>
      <c r="B501" s="12" t="s">
        <v>6443</v>
      </c>
      <c r="C501" s="12" t="s">
        <v>6444</v>
      </c>
      <c r="D501" s="5" t="str">
        <f ca="1">IFERROR(__xludf.DUMMYFUNCTION("GOOGLETRANSLATE(B501,""ja"",""vi"")"),"Tinh thần thế giới nói chung")</f>
        <v>Tinh thần thế giới nói chung</v>
      </c>
      <c r="E501" s="4" t="str">
        <f ca="1">IFERROR(__xludf.DUMMYFUNCTION("GOOGLETRANSLATE(C501,""ja"",""vi"")"),"Đấu giá&gt; Sách, tạp chí&gt; Nghệ thuật &amp; giải trí&gt; Tâm linh&gt; tinh thần thế giới nói chung")</f>
        <v>Đấu giá&gt; Sách, tạp chí&gt; Nghệ thuật &amp; giải trí&gt; Tâm linh&gt; tinh thần thế giới nói chung</v>
      </c>
      <c r="F501" t="str">
        <f t="shared" ca="1" si="7"/>
        <v>"2084049930" : "Tinh thần thế giới nói chung",</v>
      </c>
    </row>
    <row r="502" spans="1:6" ht="15.75" customHeight="1">
      <c r="A502" s="12">
        <v>2084009061</v>
      </c>
      <c r="B502" s="12" t="s">
        <v>6357</v>
      </c>
      <c r="C502" s="12" t="s">
        <v>6448</v>
      </c>
      <c r="D502" s="5" t="str">
        <f ca="1">IFERROR(__xludf.DUMMYFUNCTION("GOOGLETRANSLATE(B502,""ja"",""vi"")"),"Bình luận, phê bình")</f>
        <v>Bình luận, phê bình</v>
      </c>
      <c r="E502" s="4" t="str">
        <f ca="1">IFERROR(__xludf.DUMMYFUNCTION("GOOGLETRANSLATE(C502,""ja"",""vi"")"),"Đấu giá&gt; Sách, tạp chí&gt; Nghệ thuật &amp; giải trí&gt; in, điêu khắc&gt; bình luận, phê bình")</f>
        <v>Đấu giá&gt; Sách, tạp chí&gt; Nghệ thuật &amp; giải trí&gt; in, điêu khắc&gt; bình luận, phê bình</v>
      </c>
      <c r="F502" t="str">
        <f t="shared" ca="1" si="7"/>
        <v>"2084009061" : "Bình luận, phê bình",</v>
      </c>
    </row>
    <row r="503" spans="1:6" ht="15.75" customHeight="1">
      <c r="A503" s="12">
        <v>2084009059</v>
      </c>
      <c r="B503" s="12" t="s">
        <v>5400</v>
      </c>
      <c r="C503" s="12" t="s">
        <v>6452</v>
      </c>
      <c r="D503" s="5" t="str">
        <f ca="1">IFERROR(__xludf.DUMMYFUNCTION("GOOGLETRANSLATE(B503,""ja"",""vi"")"),"kỹ thuật tay")</f>
        <v>kỹ thuật tay</v>
      </c>
      <c r="E503" s="4" t="str">
        <f ca="1">IFERROR(__xludf.DUMMYFUNCTION("GOOGLETRANSLATE(C503,""ja"",""vi"")"),"Đấu giá&gt; Sách, tạp chí&gt; Nghệ thuật &amp; giải trí&gt; in, điêu khắc&gt; Kỹ thuật thủ công")</f>
        <v>Đấu giá&gt; Sách, tạp chí&gt; Nghệ thuật &amp; giải trí&gt; in, điêu khắc&gt; Kỹ thuật thủ công</v>
      </c>
      <c r="F503" t="str">
        <f t="shared" ca="1" si="7"/>
        <v>"2084009059" : "kỹ thuật tay",</v>
      </c>
    </row>
    <row r="504" spans="1:6" ht="15.75" customHeight="1">
      <c r="A504" s="12">
        <v>2084009060</v>
      </c>
      <c r="B504" s="12" t="s">
        <v>6364</v>
      </c>
      <c r="C504" s="12" t="s">
        <v>6457</v>
      </c>
      <c r="D504" s="5" t="str">
        <f ca="1">IFERROR(__xludf.DUMMYFUNCTION("GOOGLETRANSLATE(B504,""ja"",""vi"")"),"công trình")</f>
        <v>công trình</v>
      </c>
      <c r="E504" s="4" t="str">
        <f ca="1">IFERROR(__xludf.DUMMYFUNCTION("GOOGLETRANSLATE(C504,""ja"",""vi"")"),"Đấu giá&gt; Sách, tạp chí&gt; Nghệ thuật &amp; giải trí&gt; in, điêu khắc&gt; Công trình")</f>
        <v>Đấu giá&gt; Sách, tạp chí&gt; Nghệ thuật &amp; giải trí&gt; in, điêu khắc&gt; Công trình</v>
      </c>
      <c r="F504" t="str">
        <f t="shared" ca="1" si="7"/>
        <v>"2084009060" : "công trình",</v>
      </c>
    </row>
    <row r="505" spans="1:6" ht="15.75" customHeight="1">
      <c r="A505" s="12">
        <v>2084008761</v>
      </c>
      <c r="B505" s="12" t="s">
        <v>6460</v>
      </c>
      <c r="C505" s="12" t="s">
        <v>6461</v>
      </c>
      <c r="D505" s="5" t="str">
        <f ca="1">IFERROR(__xludf.DUMMYFUNCTION("GOOGLETRANSLATE(B505,""ja"",""vi"")"),"giáo dục kinh doanh")</f>
        <v>giáo dục kinh doanh</v>
      </c>
      <c r="E505" s="4" t="str">
        <f ca="1">IFERROR(__xludf.DUMMYFUNCTION("GOOGLETRANSLATE(C505,""ja"",""vi"")"),"Đấu giá&gt; cuốn sách, tạp chí&gt; kinh doanh, kinh tế&gt; kinh doanh&gt; kinh doanh giáo dục")</f>
        <v>Đấu giá&gt; cuốn sách, tạp chí&gt; kinh doanh, kinh tế&gt; kinh doanh&gt; kinh doanh giáo dục</v>
      </c>
      <c r="F505" t="str">
        <f t="shared" ca="1" si="7"/>
        <v>"2084008761" : "giáo dục kinh doanh",</v>
      </c>
    </row>
    <row r="506" spans="1:6" ht="15.75" customHeight="1">
      <c r="A506" s="12">
        <v>2084008762</v>
      </c>
      <c r="B506" s="12" t="s">
        <v>6463</v>
      </c>
      <c r="C506" s="12" t="s">
        <v>6464</v>
      </c>
      <c r="D506" s="5" t="str">
        <f ca="1">IFERROR(__xludf.DUMMYFUNCTION("GOOGLETRANSLATE(B506,""ja"",""vi"")"),"Kế hoạch tiền")</f>
        <v>Kế hoạch tiền</v>
      </c>
      <c r="E506" s="4" t="str">
        <f ca="1">IFERROR(__xludf.DUMMYFUNCTION("GOOGLETRANSLATE(C506,""ja"",""vi"")"),"Đấu giá&gt; cuốn sách, tạp chí&gt; kinh doanh, kinh tế&gt; kinh doanh&gt; kế hoạch tiền")</f>
        <v>Đấu giá&gt; cuốn sách, tạp chí&gt; kinh doanh, kinh tế&gt; kinh doanh&gt; kế hoạch tiền</v>
      </c>
      <c r="F506" t="str">
        <f t="shared" ca="1" si="7"/>
        <v>"2084008762" : "Kế hoạch tiền",</v>
      </c>
    </row>
    <row r="507" spans="1:6" ht="15.75" customHeight="1">
      <c r="A507" s="12">
        <v>2084008757</v>
      </c>
      <c r="B507" s="12" t="s">
        <v>6468</v>
      </c>
      <c r="C507" s="12" t="s">
        <v>6470</v>
      </c>
      <c r="D507" s="5" t="str">
        <f ca="1">IFERROR(__xludf.DUMMYFUNCTION("GOOGLETRANSLATE(B507,""ja"",""vi"")"),"các vấn đề pháp lý của công ty")</f>
        <v>các vấn đề pháp lý của công ty</v>
      </c>
      <c r="E507" s="4" t="str">
        <f ca="1">IFERROR(__xludf.DUMMYFUNCTION("GOOGLETRANSLATE(C507,""ja"",""vi"")"),"Đấu giá&gt; cuốn sách, tạp chí&gt; kinh doanh, kinh tế&gt; Kinh doanh&gt; Luật doanh nghiệp")</f>
        <v>Đấu giá&gt; cuốn sách, tạp chí&gt; kinh doanh, kinh tế&gt; Kinh doanh&gt; Luật doanh nghiệp</v>
      </c>
      <c r="F507" t="str">
        <f t="shared" ca="1" si="7"/>
        <v>"2084008757" : "các vấn đề pháp lý của công ty",</v>
      </c>
    </row>
    <row r="508" spans="1:6" ht="15.75" customHeight="1">
      <c r="A508" s="12">
        <v>2084008754</v>
      </c>
      <c r="B508" s="12" t="s">
        <v>6003</v>
      </c>
      <c r="C508" s="12" t="s">
        <v>6474</v>
      </c>
      <c r="D508" s="5" t="str">
        <f ca="1">IFERROR(__xludf.DUMMYFUNCTION("GOOGLETRANSLATE(B508,""ja"",""vi"")"),"Quản trị kinh doanh")</f>
        <v>Quản trị kinh doanh</v>
      </c>
      <c r="E508" s="4" t="str">
        <f ca="1">IFERROR(__xludf.DUMMYFUNCTION("GOOGLETRANSLATE(C508,""ja"",""vi"")"),"Đấu giá&gt; cuốn sách, tạp chí&gt; kinh doanh, kinh tế&gt; Kinh doanh&gt; Quản trị kinh doanh")</f>
        <v>Đấu giá&gt; cuốn sách, tạp chí&gt; kinh doanh, kinh tế&gt; Kinh doanh&gt; Quản trị kinh doanh</v>
      </c>
      <c r="F508" t="str">
        <f t="shared" ca="1" si="7"/>
        <v>"2084008754" : "Quản trị kinh doanh",</v>
      </c>
    </row>
    <row r="509" spans="1:6" ht="15.75" customHeight="1">
      <c r="A509" s="12">
        <v>2084008758</v>
      </c>
      <c r="B509" s="12" t="s">
        <v>6478</v>
      </c>
      <c r="C509" s="12" t="s">
        <v>6479</v>
      </c>
      <c r="D509" s="5" t="str">
        <f ca="1">IFERROR(__xludf.DUMMYFUNCTION("GOOGLETRANSLATE(B509,""ja"",""vi"")"),"Quảng cáo, bán hàng")</f>
        <v>Quảng cáo, bán hàng</v>
      </c>
      <c r="E509" s="4" t="str">
        <f ca="1">IFERROR(__xludf.DUMMYFUNCTION("GOOGLETRANSLATE(C509,""ja"",""vi"")"),"Đấu giá&gt; cuốn sách, tạp chí&gt; kinh doanh, kinh tế&gt; Kinh doanh&gt; Quảng cáo, Bán hàng")</f>
        <v>Đấu giá&gt; cuốn sách, tạp chí&gt; kinh doanh, kinh tế&gt; Kinh doanh&gt; Quảng cáo, Bán hàng</v>
      </c>
      <c r="F509" t="str">
        <f t="shared" ca="1" si="7"/>
        <v>"2084008758" : "Quảng cáo, bán hàng",</v>
      </c>
    </row>
    <row r="510" spans="1:6" ht="15.75" customHeight="1">
      <c r="A510" s="12">
        <v>2084047379</v>
      </c>
      <c r="B510" s="12" t="s">
        <v>6482</v>
      </c>
      <c r="C510" s="12" t="s">
        <v>6484</v>
      </c>
      <c r="D510" s="5" t="str">
        <f ca="1">IFERROR(__xludf.DUMMYFUNCTION("GOOGLETRANSLATE(B510,""ja"",""vi"")"),"Tài chính, Kế toán")</f>
        <v>Tài chính, Kế toán</v>
      </c>
      <c r="E510" s="4" t="str">
        <f ca="1">IFERROR(__xludf.DUMMYFUNCTION("GOOGLETRANSLATE(C510,""ja"",""vi"")"),"Đấu giá&gt; cuốn sách, tạp chí&gt; kinh doanh, kinh tế&gt; Kinh doanh&gt; Tài chính, Kế toán")</f>
        <v>Đấu giá&gt; cuốn sách, tạp chí&gt; kinh doanh, kinh tế&gt; Kinh doanh&gt; Tài chính, Kế toán</v>
      </c>
      <c r="F510" t="str">
        <f t="shared" ca="1" si="7"/>
        <v>"2084047379" : "Tài chính, Kế toán",</v>
      </c>
    </row>
    <row r="511" spans="1:6" ht="15.75" customHeight="1">
      <c r="A511" s="12">
        <v>2084008759</v>
      </c>
      <c r="B511" s="12" t="s">
        <v>6487</v>
      </c>
      <c r="C511" s="12" t="s">
        <v>6488</v>
      </c>
      <c r="D511" s="5" t="str">
        <f ca="1">IFERROR(__xludf.DUMMYFUNCTION("GOOGLETRANSLATE(B511,""ja"",""vi"")"),"Công nghệ làm việc")</f>
        <v>Công nghệ làm việc</v>
      </c>
      <c r="E511" s="4" t="str">
        <f ca="1">IFERROR(__xludf.DUMMYFUNCTION("GOOGLETRANSLATE(C511,""ja"",""vi"")"),"Đấu giá&gt; cuốn sách, tạp chí&gt; kinh doanh, kinh tế&gt; kinh doanh&gt; tác phẩm nghệ thuật")</f>
        <v>Đấu giá&gt; cuốn sách, tạp chí&gt; kinh doanh, kinh tế&gt; kinh doanh&gt; tác phẩm nghệ thuật</v>
      </c>
      <c r="F511" t="str">
        <f t="shared" ca="1" si="7"/>
        <v>"2084008759" : "Công nghệ làm việc",</v>
      </c>
    </row>
    <row r="512" spans="1:6" ht="15.75" customHeight="1">
      <c r="A512" s="12">
        <v>2084008760</v>
      </c>
      <c r="B512" s="12" t="s">
        <v>6492</v>
      </c>
      <c r="C512" s="12" t="s">
        <v>6493</v>
      </c>
      <c r="D512" s="5" t="str">
        <f ca="1">IFERROR(__xludf.DUMMYFUNCTION("GOOGLETRANSLATE(B512,""ja"",""vi"")"),"Tự phát triển")</f>
        <v>Tự phát triển</v>
      </c>
      <c r="E512" s="4" t="str">
        <f ca="1">IFERROR(__xludf.DUMMYFUNCTION("GOOGLETRANSLATE(C512,""ja"",""vi"")"),"Đấu giá&gt; cuốn sách, tạp chí&gt; kinh doanh, kinh tế&gt; Kinh doanh&gt; tự phát triển")</f>
        <v>Đấu giá&gt; cuốn sách, tạp chí&gt; kinh doanh, kinh tế&gt; Kinh doanh&gt; tự phát triển</v>
      </c>
      <c r="F512" t="str">
        <f t="shared" ca="1" si="7"/>
        <v>"2084008760" : "Tự phát triển",</v>
      </c>
    </row>
    <row r="513" spans="1:6" ht="15.75" customHeight="1">
      <c r="A513" s="12">
        <v>2084008756</v>
      </c>
      <c r="B513" s="12" t="s">
        <v>6496</v>
      </c>
      <c r="C513" s="12" t="s">
        <v>6498</v>
      </c>
      <c r="D513" s="5" t="str">
        <f ca="1">IFERROR(__xludf.DUMMYFUNCTION("GOOGLETRANSLATE(B513,""ja"",""vi"")"),"Độc lập, khai mạc")</f>
        <v>Độc lập, khai mạc</v>
      </c>
      <c r="E513" s="4" t="str">
        <f ca="1">IFERROR(__xludf.DUMMYFUNCTION("GOOGLETRANSLATE(C513,""ja"",""vi"")"),"Đấu giá&gt; cuốn sách, tạp chí&gt; kinh doanh, kinh tế&gt; kinh doanh&gt; độc lập, khai mạc")</f>
        <v>Đấu giá&gt; cuốn sách, tạp chí&gt; kinh doanh, kinh tế&gt; kinh doanh&gt; độc lập, khai mạc</v>
      </c>
      <c r="F513" t="str">
        <f t="shared" ca="1" si="7"/>
        <v>"2084008756" : "Độc lập, khai mạc",</v>
      </c>
    </row>
    <row r="514" spans="1:6" ht="15.75" customHeight="1">
      <c r="A514" s="12">
        <v>2084008763</v>
      </c>
      <c r="B514" s="12" t="s">
        <v>6502</v>
      </c>
      <c r="C514" s="12" t="s">
        <v>6504</v>
      </c>
      <c r="D514" s="5" t="str">
        <f ca="1">IFERROR(__xludf.DUMMYFUNCTION("GOOGLETRANSLATE(B514,""ja"",""vi"")"),"phân phát")</f>
        <v>phân phát</v>
      </c>
      <c r="E514" s="4" t="str">
        <f ca="1">IFERROR(__xludf.DUMMYFUNCTION("GOOGLETRANSLATE(C514,""ja"",""vi"")"),"Đấu giá&gt; cuốn sách, tạp chí&gt; kinh doanh, kinh tế&gt; Kinh doanh&gt; Phân phối")</f>
        <v>Đấu giá&gt; cuốn sách, tạp chí&gt; kinh doanh, kinh tế&gt; Kinh doanh&gt; Phân phối</v>
      </c>
      <c r="F514" t="str">
        <f t="shared" ref="F514:F577" ca="1" si="8">CONCATENATE(CHAR(34)&amp;"",A514,""&amp;CHAR(34)," : ", CHAR(34)&amp;"",D514,""&amp;CHAR(34),",")</f>
        <v>"2084008763" : "phân phát",</v>
      </c>
    </row>
    <row r="515" spans="1:6" ht="15.75" customHeight="1">
      <c r="A515" s="12">
        <v>2084048450</v>
      </c>
      <c r="B515" s="12" t="s">
        <v>6507</v>
      </c>
      <c r="C515" s="12" t="s">
        <v>6509</v>
      </c>
      <c r="D515" s="5" t="str">
        <f ca="1">IFERROR(__xludf.DUMMYFUNCTION("GOOGLETRANSLATE(B515,""ja"",""vi"")"),"điều phối nội thất")</f>
        <v>điều phối nội thất</v>
      </c>
      <c r="E515" s="4" t="str">
        <f ca="1">IFERROR(__xludf.DUMMYFUNCTION("GOOGLETRANSLATE(C515,""ja"",""vi"")"),"Đấu giá&gt; cuốn sách, tạp chí&gt; kinh doanh, kinh tế&gt; kiểm tra đủ điều kiện&gt; phối nội thất")</f>
        <v>Đấu giá&gt; cuốn sách, tạp chí&gt; kinh doanh, kinh tế&gt; kiểm tra đủ điều kiện&gt; phối nội thất</v>
      </c>
      <c r="F515" t="str">
        <f t="shared" ca="1" si="8"/>
        <v>"2084048450" : "điều phối nội thất",</v>
      </c>
    </row>
    <row r="516" spans="1:6" ht="15.75" customHeight="1">
      <c r="A516" s="12">
        <v>2084050524</v>
      </c>
      <c r="B516" s="12" t="s">
        <v>6512</v>
      </c>
      <c r="C516" s="12" t="s">
        <v>6513</v>
      </c>
      <c r="D516" s="5" t="str">
        <f ca="1">IFERROR(__xludf.DUMMYFUNCTION("GOOGLETRANSLATE(B516,""ja"",""vi"")"),"điều phối màu sắc, kiểm tra màu sắc")</f>
        <v>điều phối màu sắc, kiểm tra màu sắc</v>
      </c>
      <c r="E516" s="4" t="str">
        <f ca="1">IFERROR(__xludf.DUMMYFUNCTION("GOOGLETRANSLATE(C516,""ja"",""vi"")"),"Đấu giá&gt; cuốn sách, tạp chí&gt; kinh doanh, kinh tế&gt; kiểm tra đủ điều kiện&gt; phối màu sắc, kiểm tra màu sắc")</f>
        <v>Đấu giá&gt; cuốn sách, tạp chí&gt; kinh doanh, kinh tế&gt; kiểm tra đủ điều kiện&gt; phối màu sắc, kiểm tra màu sắc</v>
      </c>
      <c r="F516" t="str">
        <f t="shared" ca="1" si="8"/>
        <v>"2084050524" : "điều phối màu sắc, kiểm tra màu sắc",</v>
      </c>
    </row>
    <row r="517" spans="1:6" ht="15.75" customHeight="1">
      <c r="A517" s="12">
        <v>2084008856</v>
      </c>
      <c r="B517" s="12" t="s">
        <v>5434</v>
      </c>
      <c r="C517" s="12" t="s">
        <v>6518</v>
      </c>
      <c r="D517" s="5" t="str">
        <f ca="1">IFERROR(__xludf.DUMMYFUNCTION("GOOGLETRANSLATE(B517,""ja"",""vi"")"),"kiểm tra trình độ máy tính")</f>
        <v>kiểm tra trình độ máy tính</v>
      </c>
      <c r="E517" s="4" t="str">
        <f ca="1">IFERROR(__xludf.DUMMYFUNCTION("GOOGLETRANSLATE(C517,""ja"",""vi"")"),"Đấu giá&gt; cuốn sách, tạp chí&gt; kinh doanh, kinh tế&gt; kiểm tra đủ điều kiện&gt; kiểm tra máy tính đủ điều kiện")</f>
        <v>Đấu giá&gt; cuốn sách, tạp chí&gt; kinh doanh, kinh tế&gt; kiểm tra đủ điều kiện&gt; kiểm tra máy tính đủ điều kiện</v>
      </c>
      <c r="F517" t="str">
        <f t="shared" ca="1" si="8"/>
        <v>"2084008856" : "kiểm tra trình độ máy tính",</v>
      </c>
    </row>
    <row r="518" spans="1:6" ht="15.75" customHeight="1">
      <c r="A518" s="12">
        <v>2084008792</v>
      </c>
      <c r="B518" s="12" t="s">
        <v>6521</v>
      </c>
      <c r="C518" s="12" t="s">
        <v>6522</v>
      </c>
      <c r="D518" s="5" t="str">
        <f ca="1">IFERROR(__xludf.DUMMYFUNCTION("GOOGLETRANSLATE(B518,""ja"",""vi"")"),"kiểm tra tiếp viên")</f>
        <v>kiểm tra tiếp viên</v>
      </c>
      <c r="E518" s="4" t="str">
        <f ca="1">IFERROR(__xludf.DUMMYFUNCTION("GOOGLETRANSLATE(C518,""ja"",""vi"")"),"Đấu giá&gt; cuốn sách, tạp chí&gt; kinh doanh, kinh tế&gt; kiểm tra đủ điều kiện&gt; kiểm tra tiếp viên")</f>
        <v>Đấu giá&gt; cuốn sách, tạp chí&gt; kinh doanh, kinh tế&gt; kiểm tra đủ điều kiện&gt; kiểm tra tiếp viên</v>
      </c>
      <c r="F518" t="str">
        <f t="shared" ca="1" si="8"/>
        <v>"2084008792" : "kiểm tra tiếp viên",</v>
      </c>
    </row>
    <row r="519" spans="1:6" ht="15.75" customHeight="1">
      <c r="A519" s="12">
        <v>2084008772</v>
      </c>
      <c r="B519" s="12" t="s">
        <v>6525</v>
      </c>
      <c r="C519" s="12" t="s">
        <v>6527</v>
      </c>
      <c r="D519" s="5" t="str">
        <f ca="1">IFERROR(__xludf.DUMMYFUNCTION("GOOGLETRANSLATE(B519,""ja"",""vi"")"),"Lời bài kiểm tra xử lý")</f>
        <v>Lời bài kiểm tra xử lý</v>
      </c>
      <c r="E519" s="4" t="str">
        <f ca="1">IFERROR(__xludf.DUMMYFUNCTION("GOOGLETRANSLATE(C519,""ja"",""vi"")"),"Đấu giá&gt; cuốn sách, tạp chí&gt; kinh doanh, kinh tế&gt; kiểm tra đủ điều kiện&gt; kiểm tra xử lý văn bản")</f>
        <v>Đấu giá&gt; cuốn sách, tạp chí&gt; kinh doanh, kinh tế&gt; kiểm tra đủ điều kiện&gt; kiểm tra xử lý văn bản</v>
      </c>
      <c r="F519" t="str">
        <f t="shared" ca="1" si="8"/>
        <v>"2084008772" : "Lời bài kiểm tra xử lý",</v>
      </c>
    </row>
    <row r="520" spans="1:6" ht="15.75" customHeight="1">
      <c r="A520" s="12">
        <v>2084008977</v>
      </c>
      <c r="B520" s="12" t="s">
        <v>6295</v>
      </c>
      <c r="C520" s="12" t="s">
        <v>6532</v>
      </c>
      <c r="D520" s="5" t="str">
        <f ca="1">IFERROR(__xludf.DUMMYFUNCTION("GOOGLETRANSLATE(B520,""ja"",""vi"")"),"trình độ chuyên môn y tế liên quan đến")</f>
        <v>trình độ chuyên môn y tế liên quan đến</v>
      </c>
      <c r="E520" s="4" t="str">
        <f ca="1">IFERROR(__xludf.DUMMYFUNCTION("GOOGLETRANSLATE(C520,""ja"",""vi"")"),"Đấu giá&gt; cuốn sách, tạp chí&gt; kinh doanh, kinh tế&gt; kiểm tra đủ điều kiện&gt; trình độ chuyên môn y tế liên quan đến")</f>
        <v>Đấu giá&gt; cuốn sách, tạp chí&gt; kinh doanh, kinh tế&gt; kiểm tra đủ điều kiện&gt; trình độ chuyên môn y tế liên quan đến</v>
      </c>
      <c r="F520" t="str">
        <f t="shared" ca="1" si="8"/>
        <v>"2084008977" : "trình độ chuyên môn y tế liên quan đến",</v>
      </c>
    </row>
    <row r="521" spans="1:6" ht="15.75" customHeight="1">
      <c r="A521" s="12">
        <v>2084051215</v>
      </c>
      <c r="B521" s="12" t="s">
        <v>6535</v>
      </c>
      <c r="C521" s="12" t="s">
        <v>6537</v>
      </c>
      <c r="D521" s="5" t="str">
        <f ca="1">IFERROR(__xludf.DUMMYFUNCTION("GOOGLETRANSLATE(B521,""ja"",""vi"")"),"kiểm tra kanji")</f>
        <v>kiểm tra kanji</v>
      </c>
      <c r="E521" s="4" t="str">
        <f ca="1">IFERROR(__xludf.DUMMYFUNCTION("GOOGLETRANSLATE(C521,""ja"",""vi"")"),"Đấu giá&gt; cuốn sách, tạp chí&gt; kinh doanh, kinh tế&gt; kiểm tra đủ điều kiện&gt; kiểm tra Kanji")</f>
        <v>Đấu giá&gt; cuốn sách, tạp chí&gt; kinh doanh, kinh tế&gt; kiểm tra đủ điều kiện&gt; kiểm tra Kanji</v>
      </c>
      <c r="F521" t="str">
        <f t="shared" ca="1" si="8"/>
        <v>"2084051215" : "kiểm tra kanji",</v>
      </c>
    </row>
    <row r="522" spans="1:6" ht="15.75" customHeight="1">
      <c r="A522" s="12">
        <v>2084008773</v>
      </c>
      <c r="B522" s="12" t="s">
        <v>6540</v>
      </c>
      <c r="C522" s="12" t="s">
        <v>6542</v>
      </c>
      <c r="D522" s="5" t="str">
        <f ca="1">IFERROR(__xludf.DUMMYFUNCTION("GOOGLETRANSLATE(B522,""ja"",""vi"")"),"Chứng nhận kiểm tra liệu quản lý nguy hiểm")</f>
        <v>Chứng nhận kiểm tra liệu quản lý nguy hiểm</v>
      </c>
      <c r="E522" s="4" t="str">
        <f ca="1">IFERROR(__xludf.DUMMYFUNCTION("GOOGLETRANSLATE(C522,""ja"",""vi"")"),"Đấu giá&gt; cuốn sách, tạp chí&gt; kinh doanh, kinh tế&gt; kiểm tra đủ điều kiện&gt; Chứng nhận kiểm tra liệu quản lý nguy hiểm")</f>
        <v>Đấu giá&gt; cuốn sách, tạp chí&gt; kinh doanh, kinh tế&gt; kiểm tra đủ điều kiện&gt; Chứng nhận kiểm tra liệu quản lý nguy hiểm</v>
      </c>
      <c r="F522" t="str">
        <f t="shared" ca="1" si="8"/>
        <v>"2084008773" : "Chứng nhận kiểm tra liệu quản lý nguy hiểm",</v>
      </c>
    </row>
    <row r="523" spans="1:6" ht="15.75" customHeight="1">
      <c r="A523" s="12">
        <v>2084008778</v>
      </c>
      <c r="B523" s="12" t="s">
        <v>6544</v>
      </c>
      <c r="C523" s="12" t="s">
        <v>6546</v>
      </c>
      <c r="D523" s="5" t="str">
        <f ca="1">IFERROR(__xludf.DUMMYFUNCTION("GOOGLETRANSLATE(B523,""ja"",""vi"")"),"kiểm tra giáo viên")</f>
        <v>kiểm tra giáo viên</v>
      </c>
      <c r="E523" s="4" t="str">
        <f ca="1">IFERROR(__xludf.DUMMYFUNCTION("GOOGLETRANSLATE(C523,""ja"",""vi"")"),"Đấu giá&gt; cuốn sách, tạp chí&gt; kinh doanh, kinh tế&gt; kiểm tra đủ điều kiện&gt; kiểm tra giáo viên")</f>
        <v>Đấu giá&gt; cuốn sách, tạp chí&gt; kinh doanh, kinh tế&gt; kiểm tra đủ điều kiện&gt; kiểm tra giáo viên</v>
      </c>
      <c r="F523" t="str">
        <f t="shared" ca="1" si="8"/>
        <v>"2084008778" : "kiểm tra giáo viên",</v>
      </c>
    </row>
    <row r="524" spans="1:6" ht="15.75" customHeight="1">
      <c r="A524" s="12">
        <v>2084048849</v>
      </c>
      <c r="B524" s="12" t="s">
        <v>6549</v>
      </c>
      <c r="C524" s="12" t="s">
        <v>6551</v>
      </c>
      <c r="D524" s="5" t="str">
        <f ca="1">IFERROR(__xludf.DUMMYFUNCTION("GOOGLETRANSLATE(B524,""ja"",""vi"")"),"trình độ chuyên môn tài chính")</f>
        <v>trình độ chuyên môn tài chính</v>
      </c>
      <c r="E524" s="4" t="str">
        <f ca="1">IFERROR(__xludf.DUMMYFUNCTION("GOOGLETRANSLATE(C524,""ja"",""vi"")"),"Đấu giá&gt; cuốn sách, tạp chí&gt; kinh doanh, kinh tế&gt; kiểm tra đủ điều kiện&gt; trình độ chuyên môn tài chính")</f>
        <v>Đấu giá&gt; cuốn sách, tạp chí&gt; kinh doanh, kinh tế&gt; kiểm tra đủ điều kiện&gt; trình độ chuyên môn tài chính</v>
      </c>
      <c r="F524" t="str">
        <f t="shared" ca="1" si="8"/>
        <v>"2084048849" : "trình độ chuyên môn tài chính",</v>
      </c>
    </row>
    <row r="525" spans="1:6" ht="15.75" customHeight="1">
      <c r="A525" s="12">
        <v>2084008789</v>
      </c>
      <c r="B525" s="12" t="s">
        <v>6555</v>
      </c>
      <c r="C525" s="12" t="s">
        <v>6556</v>
      </c>
      <c r="D525" s="5" t="str">
        <f ca="1">IFERROR(__xludf.DUMMYFUNCTION("GOOGLETRANSLATE(B525,""ja"",""vi"")"),"kiểm tra nhân viên cảnh sát")</f>
        <v>kiểm tra nhân viên cảnh sát</v>
      </c>
      <c r="E525" s="4" t="str">
        <f ca="1">IFERROR(__xludf.DUMMYFUNCTION("GOOGLETRANSLATE(C525,""ja"",""vi"")"),"Đấu giá&gt; cuốn sách, tạp chí&gt; kinh doanh, kinh tế&gt; kiểm tra đủ điều kiện&gt; kiểm tra nhân viên cảnh sát")</f>
        <v>Đấu giá&gt; cuốn sách, tạp chí&gt; kinh doanh, kinh tế&gt; kiểm tra đủ điều kiện&gt; kiểm tra nhân viên cảnh sát</v>
      </c>
      <c r="F525" t="str">
        <f t="shared" ca="1" si="8"/>
        <v>"2084008789" : "kiểm tra nhân viên cảnh sát",</v>
      </c>
    </row>
    <row r="526" spans="1:6" ht="15.75" customHeight="1">
      <c r="A526" s="12">
        <v>2084008610</v>
      </c>
      <c r="B526" s="12" t="s">
        <v>5864</v>
      </c>
      <c r="C526" s="12" t="s">
        <v>6558</v>
      </c>
      <c r="D526" s="5" t="str">
        <f ca="1">IFERROR(__xludf.DUMMYFUNCTION("GOOGLETRANSLATE(B526,""ja"",""vi"")"),"kiểm tra ngôn ngữ")</f>
        <v>kiểm tra ngôn ngữ</v>
      </c>
      <c r="E526" s="4" t="str">
        <f ca="1">IFERROR(__xludf.DUMMYFUNCTION("GOOGLETRANSLATE(C526,""ja"",""vi"")"),"Đấu giá&gt; cuốn sách, tạp chí&gt; kinh doanh, kinh tế&gt; kiểm tra đủ điều kiện&gt; kiểm tra ngôn ngữ")</f>
        <v>Đấu giá&gt; cuốn sách, tạp chí&gt; kinh doanh, kinh tế&gt; kiểm tra đủ điều kiện&gt; kiểm tra ngôn ngữ</v>
      </c>
      <c r="F526" t="str">
        <f t="shared" ca="1" si="8"/>
        <v>"2084008610" : "kiểm tra ngôn ngữ",</v>
      </c>
    </row>
    <row r="527" spans="1:6" ht="15.75" customHeight="1">
      <c r="A527" s="12">
        <v>2084054105</v>
      </c>
      <c r="B527" s="12" t="s">
        <v>6561</v>
      </c>
      <c r="C527" s="12" t="s">
        <v>6563</v>
      </c>
      <c r="D527" s="5" t="str">
        <f ca="1">IFERROR(__xludf.DUMMYFUNCTION("GOOGLETRANSLATE(B527,""ja"",""vi"")"),"Toán viên hành nghề")</f>
        <v>Toán viên hành nghề</v>
      </c>
      <c r="E527" s="4" t="str">
        <f ca="1">IFERROR(__xludf.DUMMYFUNCTION("GOOGLETRANSLATE(C527,""ja"",""vi"")"),"Đấu giá&gt; cuốn sách, tạp chí&gt; kinh doanh, kinh tế&gt; kiểm tra đủ điều kiện&gt; chứng nhận kế toán công")</f>
        <v>Đấu giá&gt; cuốn sách, tạp chí&gt; kinh doanh, kinh tế&gt; kiểm tra đủ điều kiện&gt; chứng nhận kế toán công</v>
      </c>
      <c r="F527" t="str">
        <f t="shared" ca="1" si="8"/>
        <v>"2084054105" : "Toán viên hành nghề",</v>
      </c>
    </row>
    <row r="528" spans="1:6" ht="15.75" customHeight="1">
      <c r="A528" s="12">
        <v>2084008790</v>
      </c>
      <c r="B528" s="12" t="s">
        <v>6566</v>
      </c>
      <c r="C528" s="12" t="s">
        <v>6568</v>
      </c>
      <c r="D528" s="5" t="str">
        <f ca="1">IFERROR(__xludf.DUMMYFUNCTION("GOOGLETRANSLATE(B528,""ja"",""vi"")"),"thi công chức")</f>
        <v>thi công chức</v>
      </c>
      <c r="E528" s="4" t="str">
        <f ca="1">IFERROR(__xludf.DUMMYFUNCTION("GOOGLETRANSLATE(C528,""ja"",""vi"")"),"Đấu giá&gt; cuốn sách, tạp chí&gt; kinh doanh, kinh tế&gt; kiểm tra đủ điều kiện&gt; thi công chức")</f>
        <v>Đấu giá&gt; cuốn sách, tạp chí&gt; kinh doanh, kinh tế&gt; kiểm tra đủ điều kiện&gt; thi công chức</v>
      </c>
      <c r="F528" t="str">
        <f t="shared" ca="1" si="8"/>
        <v>"2084008790" : "thi công chức",</v>
      </c>
    </row>
    <row r="529" spans="1:6" ht="15.75" customHeight="1">
      <c r="A529" s="12">
        <v>2084047391</v>
      </c>
      <c r="B529" s="12" t="s">
        <v>6572</v>
      </c>
      <c r="C529" s="12" t="s">
        <v>6573</v>
      </c>
      <c r="D529" s="5" t="str">
        <f ca="1">IFERROR(__xludf.DUMMYFUNCTION("GOOGLETRANSLATE(B529,""ja"",""vi"")"),"trình độ chuyên môn tư pháp")</f>
        <v>trình độ chuyên môn tư pháp</v>
      </c>
      <c r="E529" s="4" t="str">
        <f ca="1">IFERROR(__xludf.DUMMYFUNCTION("GOOGLETRANSLATE(C529,""ja"",""vi"")"),"Đấu giá&gt; cuốn sách, tạp chí&gt; kinh doanh, kinh tế&gt; kiểm tra đủ điều kiện&gt; trình độ tư pháp")</f>
        <v>Đấu giá&gt; cuốn sách, tạp chí&gt; kinh doanh, kinh tế&gt; kiểm tra đủ điều kiện&gt; trình độ tư pháp</v>
      </c>
      <c r="F529" t="str">
        <f t="shared" ca="1" si="8"/>
        <v>"2084047391" : "trình độ chuyên môn tư pháp",</v>
      </c>
    </row>
    <row r="530" spans="1:6" ht="15.75" customHeight="1">
      <c r="A530" s="12">
        <v>2084008776</v>
      </c>
      <c r="B530" s="12" t="s">
        <v>6577</v>
      </c>
      <c r="C530" s="12" t="s">
        <v>6579</v>
      </c>
      <c r="D530" s="5" t="str">
        <f ca="1">IFERROR(__xludf.DUMMYFUNCTION("GOOGLETRANSLATE(B530,""ja"",""vi"")"),"hướng dẫn Qualification")</f>
        <v>hướng dẫn Qualification</v>
      </c>
      <c r="E530" s="4" t="str">
        <f ca="1">IFERROR(__xludf.DUMMYFUNCTION("GOOGLETRANSLATE(C530,""ja"",""vi"")"),"Đấu giá&gt; cuốn sách, tạp chí&gt; kinh doanh, kinh tế&gt; kiểm tra đủ điều kiện&gt; hướng dẫn trình độ chuyên môn")</f>
        <v>Đấu giá&gt; cuốn sách, tạp chí&gt; kinh doanh, kinh tế&gt; kiểm tra đủ điều kiện&gt; hướng dẫn trình độ chuyên môn</v>
      </c>
      <c r="F530" t="str">
        <f t="shared" ca="1" si="8"/>
        <v>"2084008776" : "hướng dẫn Qualification",</v>
      </c>
    </row>
    <row r="531" spans="1:6" ht="15.75" customHeight="1">
      <c r="A531" s="12">
        <v>2084008875</v>
      </c>
      <c r="B531" s="12" t="s">
        <v>6583</v>
      </c>
      <c r="C531" s="12" t="s">
        <v>6584</v>
      </c>
      <c r="D531" s="5" t="str">
        <f ca="1">IFERROR(__xludf.DUMMYFUNCTION("GOOGLETRANSLATE(B531,""ja"",""vi"")"),"Bằng lái xe")</f>
        <v>Bằng lái xe</v>
      </c>
      <c r="E531" s="4" t="str">
        <f ca="1">IFERROR(__xludf.DUMMYFUNCTION("GOOGLETRANSLATE(C531,""ja"",""vi"")"),"Đấu giá&gt; cuốn sách, tạp chí&gt; kinh doanh, kinh tế&gt; kiểm tra đủ điều kiện&gt; bằng lái xe")</f>
        <v>Đấu giá&gt; cuốn sách, tạp chí&gt; kinh doanh, kinh tế&gt; kiểm tra đủ điều kiện&gt; bằng lái xe</v>
      </c>
      <c r="F531" t="str">
        <f t="shared" ca="1" si="8"/>
        <v>"2084008875" : "Bằng lái xe",</v>
      </c>
    </row>
    <row r="532" spans="1:6" ht="15.75" customHeight="1">
      <c r="A532" s="12">
        <v>2084048030</v>
      </c>
      <c r="B532" s="12" t="s">
        <v>6587</v>
      </c>
      <c r="C532" s="12" t="s">
        <v>6589</v>
      </c>
      <c r="D532" s="5" t="str">
        <f ca="1">IFERROR(__xludf.DUMMYFUNCTION("GOOGLETRANSLATE(B532,""ja"",""vi"")"),"tư vấn lao động bảo hiểm xã hội")</f>
        <v>tư vấn lao động bảo hiểm xã hội</v>
      </c>
      <c r="E532" s="4" t="str">
        <f ca="1">IFERROR(__xludf.DUMMYFUNCTION("GOOGLETRANSLATE(C532,""ja"",""vi"")"),"Đấu giá&gt; cuốn sách, tạp chí&gt; kinh doanh, kinh tế&gt; kiểm tra đủ điều kiện&gt; Tư vấn lao động bảo hiểm xã hội")</f>
        <v>Đấu giá&gt; cuốn sách, tạp chí&gt; kinh doanh, kinh tế&gt; kiểm tra đủ điều kiện&gt; Tư vấn lao động bảo hiểm xã hội</v>
      </c>
      <c r="F532" t="str">
        <f t="shared" ca="1" si="8"/>
        <v>"2084048030" : "tư vấn lao động bảo hiểm xã hội",</v>
      </c>
    </row>
    <row r="533" spans="1:6" ht="15.75" customHeight="1">
      <c r="A533" s="12">
        <v>2084008791</v>
      </c>
      <c r="B533" s="12" t="s">
        <v>6591</v>
      </c>
      <c r="C533" s="12" t="s">
        <v>6593</v>
      </c>
      <c r="D533" s="5" t="str">
        <f ca="1">IFERROR(__xludf.DUMMYFUNCTION("GOOGLETRANSLATE(B533,""ja"",""vi"")"),"kiểm tra mối quan hệ lửa")</f>
        <v>kiểm tra mối quan hệ lửa</v>
      </c>
      <c r="E533" s="4" t="str">
        <f ca="1">IFERROR(__xludf.DUMMYFUNCTION("GOOGLETRANSLATE(C533,""ja"",""vi"")"),"Đấu giá&gt; cuốn sách, tạp chí&gt; kinh doanh, kinh tế&gt; kiểm tra đủ điều kiện&gt; kiểm tra mối quan hệ Lửa")</f>
        <v>Đấu giá&gt; cuốn sách, tạp chí&gt; kinh doanh, kinh tế&gt; kiểm tra đủ điều kiện&gt; kiểm tra mối quan hệ Lửa</v>
      </c>
      <c r="F533" t="str">
        <f t="shared" ca="1" si="8"/>
        <v>"2084008791" : "kiểm tra mối quan hệ lửa",</v>
      </c>
    </row>
    <row r="534" spans="1:6" ht="15.75" customHeight="1">
      <c r="A534" s="12">
        <v>2084047402</v>
      </c>
      <c r="B534" s="12" t="s">
        <v>6596</v>
      </c>
      <c r="C534" s="12" t="s">
        <v>6598</v>
      </c>
      <c r="D534" s="5" t="str">
        <f ca="1">IFERROR(__xludf.DUMMYFUNCTION("GOOGLETRANSLATE(B534,""ja"",""vi"")"),"trình độ chuyên môn về thuế liên quan")</f>
        <v>trình độ chuyên môn về thuế liên quan</v>
      </c>
      <c r="E534" s="4" t="str">
        <f ca="1">IFERROR(__xludf.DUMMYFUNCTION("GOOGLETRANSLATE(C534,""ja"",""vi"")"),"Đấu giá&gt; cuốn sách, tạp chí&gt; kinh doanh, kinh tế&gt; kiểm tra đủ điều kiện&gt; trình độ chuyên môn liên quan đến thuế")</f>
        <v>Đấu giá&gt; cuốn sách, tạp chí&gt; kinh doanh, kinh tế&gt; kiểm tra đủ điều kiện&gt; trình độ chuyên môn liên quan đến thuế</v>
      </c>
      <c r="F534" t="str">
        <f t="shared" ca="1" si="8"/>
        <v>"2084047402" : "trình độ chuyên môn về thuế liên quan",</v>
      </c>
    </row>
    <row r="535" spans="1:6" ht="15.75" customHeight="1">
      <c r="A535" s="12">
        <v>2084008771</v>
      </c>
      <c r="B535" s="12" t="s">
        <v>6600</v>
      </c>
      <c r="C535" s="12" t="s">
        <v>6602</v>
      </c>
      <c r="D535" s="5" t="str">
        <f ca="1">IFERROR(__xludf.DUMMYFUNCTION("GOOGLETRANSLATE(B535,""ja"",""vi"")"),"TakuKen")</f>
        <v>TakuKen</v>
      </c>
      <c r="E535" s="4" t="str">
        <f ca="1">IFERROR(__xludf.DUMMYFUNCTION("GOOGLETRANSLATE(C535,""ja"",""vi"")"),"Đấu giá&gt; cuốn sách, tạp chí&gt; kinh doanh, kinh tế&gt; đủ điều kiện kiểm tra&gt; TakuKen")</f>
        <v>Đấu giá&gt; cuốn sách, tạp chí&gt; kinh doanh, kinh tế&gt; đủ điều kiện kiểm tra&gt; TakuKen</v>
      </c>
      <c r="F535" t="str">
        <f t="shared" ca="1" si="8"/>
        <v>"2084008771" : "TakuKen",</v>
      </c>
    </row>
    <row r="536" spans="1:6" ht="15.75" customHeight="1">
      <c r="A536" s="12">
        <v>2084048031</v>
      </c>
      <c r="B536" s="12" t="s">
        <v>6605</v>
      </c>
      <c r="C536" s="12" t="s">
        <v>6606</v>
      </c>
      <c r="D536" s="5" t="str">
        <f ca="1">IFERROR(__xludf.DUMMYFUNCTION("GOOGLETRANSLATE(B536,""ja"",""vi"")"),"tư vấn doanh nghiệp vừa và nhỏ")</f>
        <v>tư vấn doanh nghiệp vừa và nhỏ</v>
      </c>
      <c r="E536" s="4" t="str">
        <f ca="1">IFERROR(__xludf.DUMMYFUNCTION("GOOGLETRANSLATE(C536,""ja"",""vi"")"),"Đấu giá&gt; cuốn sách, tạp chí&gt; kinh doanh, kinh tế&gt; kiểm tra đủ điều kiện&gt; tư vấn doanh nghiệp nhỏ")</f>
        <v>Đấu giá&gt; cuốn sách, tạp chí&gt; kinh doanh, kinh tế&gt; kiểm tra đủ điều kiện&gt; tư vấn doanh nghiệp nhỏ</v>
      </c>
      <c r="F536" t="str">
        <f t="shared" ca="1" si="8"/>
        <v>"2084048031" : "tư vấn doanh nghiệp vừa và nhỏ",</v>
      </c>
    </row>
    <row r="537" spans="1:6" ht="15.75" customHeight="1">
      <c r="A537" s="12">
        <v>2084008774</v>
      </c>
      <c r="B537" s="12" t="s">
        <v>6611</v>
      </c>
      <c r="C537" s="12" t="s">
        <v>6613</v>
      </c>
      <c r="D537" s="5" t="str">
        <f ca="1">IFERROR(__xludf.DUMMYFUNCTION("GOOGLETRANSLATE(B537,""ja"",""vi"")"),"kiểm tra bếp")</f>
        <v>kiểm tra bếp</v>
      </c>
      <c r="E537" s="4" t="str">
        <f ca="1">IFERROR(__xludf.DUMMYFUNCTION("GOOGLETRANSLATE(C537,""ja"",""vi"")"),"Đấu giá&gt; cuốn sách, tạp chí&gt; kinh doanh, kinh tế&gt; kiểm tra đủ điều kiện&gt; thử nghiệm đầu bếp")</f>
        <v>Đấu giá&gt; cuốn sách, tạp chí&gt; kinh doanh, kinh tế&gt; kiểm tra đủ điều kiện&gt; thử nghiệm đầu bếp</v>
      </c>
      <c r="F537" t="str">
        <f t="shared" ca="1" si="8"/>
        <v>"2084008774" : "kiểm tra bếp",</v>
      </c>
    </row>
    <row r="538" spans="1:6" ht="15.75" customHeight="1">
      <c r="A538" s="12">
        <v>2084048029</v>
      </c>
      <c r="B538" s="12" t="s">
        <v>6617</v>
      </c>
      <c r="C538" s="12" t="s">
        <v>6618</v>
      </c>
      <c r="D538" s="5" t="str">
        <f ca="1">IFERROR(__xludf.DUMMYFUNCTION("GOOGLETRANSLATE(B538,""ja"",""vi"")"),"trắc địa nhà đất")</f>
        <v>trắc địa nhà đất</v>
      </c>
      <c r="E538" s="4" t="str">
        <f ca="1">IFERROR(__xludf.DUMMYFUNCTION("GOOGLETRANSLATE(C538,""ja"",""vi"")"),"Đấu giá&gt; cuốn sách, tạp chí&gt; kinh doanh, kinh tế&gt; kiểm tra đủ điều kiện&gt; nhà đất trắc địa")</f>
        <v>Đấu giá&gt; cuốn sách, tạp chí&gt; kinh doanh, kinh tế&gt; kiểm tra đủ điều kiện&gt; nhà đất trắc địa</v>
      </c>
      <c r="F538" t="str">
        <f t="shared" ca="1" si="8"/>
        <v>"2084048029" : "trắc địa nhà đất",</v>
      </c>
    </row>
    <row r="539" spans="1:6" ht="15.75" customHeight="1">
      <c r="A539" s="12">
        <v>2084008769</v>
      </c>
      <c r="B539" s="12" t="s">
        <v>6621</v>
      </c>
      <c r="C539" s="12" t="s">
        <v>6623</v>
      </c>
      <c r="D539" s="5" t="str">
        <f ca="1">IFERROR(__xludf.DUMMYFUNCTION("GOOGLETRANSLATE(B539,""ja"",""vi"")"),"Tổng thư ký kiểm tra")</f>
        <v>Tổng thư ký kiểm tra</v>
      </c>
      <c r="E539" s="4" t="str">
        <f ca="1">IFERROR(__xludf.DUMMYFUNCTION("GOOGLETRANSLATE(C539,""ja"",""vi"")"),"Đấu giá&gt; cuốn sách, tạp chí&gt; kinh doanh, kinh tế&gt; kiểm tra đủ điều kiện&gt; thư ký kiểm tra")</f>
        <v>Đấu giá&gt; cuốn sách, tạp chí&gt; kinh doanh, kinh tế&gt; kiểm tra đủ điều kiện&gt; thư ký kiểm tra</v>
      </c>
      <c r="F539" t="str">
        <f t="shared" ca="1" si="8"/>
        <v>"2084008769" : "Tổng thư ký kiểm tra",</v>
      </c>
    </row>
    <row r="540" spans="1:6" ht="15.75" customHeight="1">
      <c r="A540" s="12">
        <v>2084008775</v>
      </c>
      <c r="B540" s="12" t="s">
        <v>6627</v>
      </c>
      <c r="C540" s="12" t="s">
        <v>6628</v>
      </c>
      <c r="D540" s="5" t="str">
        <f ca="1">IFERROR(__xludf.DUMMYFUNCTION("GOOGLETRANSLATE(B540,""ja"",""vi"")"),"kiểm tra Thợ làm tóc")</f>
        <v>kiểm tra Thợ làm tóc</v>
      </c>
      <c r="E540" s="4" t="str">
        <f ca="1">IFERROR(__xludf.DUMMYFUNCTION("GOOGLETRANSLATE(C540,""ja"",""vi"")"),"Đấu giá&gt; cuốn sách, tạp chí&gt; kinh doanh, kinh tế&gt; kiểm tra đủ điều kiện&gt; thử nghiệm làm đẹp")</f>
        <v>Đấu giá&gt; cuốn sách, tạp chí&gt; kinh doanh, kinh tế&gt; kiểm tra đủ điều kiện&gt; thử nghiệm làm đẹp</v>
      </c>
      <c r="F540" t="str">
        <f t="shared" ca="1" si="8"/>
        <v>"2084008775" : "kiểm tra Thợ làm tóc",</v>
      </c>
    </row>
    <row r="541" spans="1:6" ht="15.75" customHeight="1">
      <c r="A541" s="12">
        <v>2084048028</v>
      </c>
      <c r="B541" s="12" t="s">
        <v>6631</v>
      </c>
      <c r="C541" s="12" t="s">
        <v>6633</v>
      </c>
      <c r="D541" s="5" t="str">
        <f ca="1">IFERROR(__xludf.DUMMYFUNCTION("GOOGLETRANSLATE(B541,""ja"",""vi"")"),"Bất động sản Appraisers")</f>
        <v>Bất động sản Appraisers</v>
      </c>
      <c r="E541" s="4" t="str">
        <f ca="1">IFERROR(__xludf.DUMMYFUNCTION("GOOGLETRANSLATE(C541,""ja"",""vi"")"),"Đấu giá&gt; cuốn sách, tạp chí&gt; kinh doanh, kinh tế&gt; kiểm tra đủ điều kiện&gt; Bất động sản Appraisers")</f>
        <v>Đấu giá&gt; cuốn sách, tạp chí&gt; kinh doanh, kinh tế&gt; kiểm tra đủ điều kiện&gt; Bất động sản Appraisers</v>
      </c>
      <c r="F541" t="str">
        <f t="shared" ca="1" si="8"/>
        <v>"2084048028" : "Bất động sản Appraisers",</v>
      </c>
    </row>
    <row r="542" spans="1:6" ht="15.75" customHeight="1">
      <c r="A542" s="12">
        <v>2084048384</v>
      </c>
      <c r="B542" s="12" t="s">
        <v>6635</v>
      </c>
      <c r="C542" s="12" t="s">
        <v>6636</v>
      </c>
      <c r="D542" s="5" t="str">
        <f ca="1">IFERROR(__xludf.DUMMYFUNCTION("GOOGLETRANSLATE(B542,""ja"",""vi"")"),"đủ điều kiện phúc lợi")</f>
        <v>đủ điều kiện phúc lợi</v>
      </c>
      <c r="E542" s="4" t="str">
        <f ca="1">IFERROR(__xludf.DUMMYFUNCTION("GOOGLETRANSLATE(C542,""ja"",""vi"")"),"Đấu giá&gt; cuốn sách, tạp chí&gt; kinh doanh, kinh tế&gt; kiểm tra đủ điều kiện&gt; đủ điều kiện phúc lợi")</f>
        <v>Đấu giá&gt; cuốn sách, tạp chí&gt; kinh doanh, kinh tế&gt; kiểm tra đủ điều kiện&gt; đủ điều kiện phúc lợi</v>
      </c>
      <c r="F542" t="str">
        <f t="shared" ca="1" si="8"/>
        <v>"2084048384" : "đủ điều kiện phúc lợi",</v>
      </c>
    </row>
    <row r="543" spans="1:6" ht="15.75" customHeight="1">
      <c r="A543" s="12">
        <v>2084008768</v>
      </c>
      <c r="B543" s="12" t="s">
        <v>6640</v>
      </c>
      <c r="C543" s="12" t="s">
        <v>6641</v>
      </c>
      <c r="D543" s="5" t="str">
        <f ca="1">IFERROR(__xludf.DUMMYFUNCTION("GOOGLETRANSLATE(B543,""ja"",""vi"")"),"kiểm tra sổ sách kế toán")</f>
        <v>kiểm tra sổ sách kế toán</v>
      </c>
      <c r="E543" s="4" t="str">
        <f ca="1">IFERROR(__xludf.DUMMYFUNCTION("GOOGLETRANSLATE(C543,""ja"",""vi"")"),"Đấu giá&gt; cuốn sách, tạp chí&gt; kinh doanh, kinh tế&gt; kiểm tra đủ điều kiện&gt; kiểm tra sổ sách kế toán")</f>
        <v>Đấu giá&gt; cuốn sách, tạp chí&gt; kinh doanh, kinh tế&gt; kiểm tra đủ điều kiện&gt; kiểm tra sổ sách kế toán</v>
      </c>
      <c r="F543" t="str">
        <f t="shared" ca="1" si="8"/>
        <v>"2084008768" : "kiểm tra sổ sách kế toán",</v>
      </c>
    </row>
    <row r="544" spans="1:6" ht="15.75" customHeight="1">
      <c r="A544" s="12">
        <v>2084008779</v>
      </c>
      <c r="B544" s="12" t="s">
        <v>6643</v>
      </c>
      <c r="C544" s="12" t="s">
        <v>6644</v>
      </c>
      <c r="D544" s="5" t="str">
        <f ca="1">IFERROR(__xludf.DUMMYFUNCTION("GOOGLETRANSLATE(B544,""ja"",""vi"")"),"Mẫu giáo kiểm tra giáo viên mẫu giáo")</f>
        <v>Mẫu giáo kiểm tra giáo viên mẫu giáo</v>
      </c>
      <c r="E544" s="4" t="str">
        <f ca="1">IFERROR(__xludf.DUMMYFUNCTION("GOOGLETRANSLATE(C544,""ja"",""vi"")"),"Đấu giá&gt; cuốn sách, tạp chí&gt; kinh doanh, kinh tế&gt; kiểm tra đủ điều kiện&gt; kiểm tra giáo viên mẫu giáo mầm non")</f>
        <v>Đấu giá&gt; cuốn sách, tạp chí&gt; kinh doanh, kinh tế&gt; kiểm tra đủ điều kiện&gt; kiểm tra giáo viên mẫu giáo mầm non</v>
      </c>
      <c r="F544" t="str">
        <f t="shared" ca="1" si="8"/>
        <v>"2084008779" : "Mẫu giáo kiểm tra giáo viên mẫu giáo",</v>
      </c>
    </row>
    <row r="545" spans="1:6" ht="15.75" customHeight="1">
      <c r="A545" s="12">
        <v>2084008770</v>
      </c>
      <c r="B545" s="12" t="s">
        <v>6647</v>
      </c>
      <c r="C545" s="12" t="s">
        <v>6648</v>
      </c>
      <c r="D545" s="5" t="str">
        <f ca="1">IFERROR(__xludf.DUMMYFUNCTION("GOOGLETRANSLATE(B545,""ja"",""vi"")"),"Bảo vệ Travel trưởng")</f>
        <v>Bảo vệ Travel trưởng</v>
      </c>
      <c r="E545" s="4" t="str">
        <f ca="1">IFERROR(__xludf.DUMMYFUNCTION("GOOGLETRANSLATE(C545,""ja"",""vi"")"),"Đấu giá&gt; cuốn sách, tạp chí&gt; kinh doanh, kinh tế&gt; đủ điều kiện kiểm tra&gt; Bảo vệ Travel trưởng")</f>
        <v>Đấu giá&gt; cuốn sách, tạp chí&gt; kinh doanh, kinh tế&gt; đủ điều kiện kiểm tra&gt; Bảo vệ Travel trưởng</v>
      </c>
      <c r="F545" t="str">
        <f t="shared" ca="1" si="8"/>
        <v>"2084008770" : "Bảo vệ Travel trưởng",</v>
      </c>
    </row>
    <row r="546" spans="1:6" ht="15.75" customHeight="1">
      <c r="A546" s="12">
        <v>2084045576</v>
      </c>
      <c r="B546" s="12" t="s">
        <v>46</v>
      </c>
      <c r="C546" s="12" t="s">
        <v>6651</v>
      </c>
      <c r="D546" s="5" t="str">
        <f ca="1">IFERROR(__xludf.DUMMYFUNCTION("GOOGLETRANSLATE(B546,""ja"",""vi"")"),"nếu không thì")</f>
        <v>nếu không thì</v>
      </c>
      <c r="E546" s="4" t="str">
        <f ca="1">IFERROR(__xludf.DUMMYFUNCTION("GOOGLETRANSLATE(C546,""ja"",""vi"")"),"Đấu giá&gt; cuốn sách, tạp chí&gt; kinh doanh, kinh tế&gt; kiểm tra đủ điều kiện&gt; Khác")</f>
        <v>Đấu giá&gt; cuốn sách, tạp chí&gt; kinh doanh, kinh tế&gt; kiểm tra đủ điều kiện&gt; Khác</v>
      </c>
      <c r="F546" t="str">
        <f t="shared" ca="1" si="8"/>
        <v>"2084045576" : "nếu không thì",</v>
      </c>
    </row>
    <row r="547" spans="1:6" ht="15.75" customHeight="1">
      <c r="A547" s="12">
        <v>2084008786</v>
      </c>
      <c r="B547" s="12" t="s">
        <v>6654</v>
      </c>
      <c r="C547" s="12" t="s">
        <v>6655</v>
      </c>
      <c r="D547" s="5" t="str">
        <f ca="1">IFERROR(__xludf.DUMMYFUNCTION("GOOGLETRANSLATE(B547,""ja"",""vi"")"),"SPI")</f>
        <v>SPI</v>
      </c>
      <c r="E547" s="4" t="str">
        <f ca="1">IFERROR(__xludf.DUMMYFUNCTION("GOOGLETRANSLATE(C547,""ja"",""vi"")"),"Đấu giá&gt; cuốn sách, tạp chí&gt; kinh doanh, kinh tế&gt; kiểm tra việc làm&gt; SPI")</f>
        <v>Đấu giá&gt; cuốn sách, tạp chí&gt; kinh doanh, kinh tế&gt; kiểm tra việc làm&gt; SPI</v>
      </c>
      <c r="F547" t="str">
        <f t="shared" ca="1" si="8"/>
        <v>"2084008786" : "SPI",</v>
      </c>
    </row>
    <row r="548" spans="1:6" ht="15.75" customHeight="1">
      <c r="A548" s="12">
        <v>2084008792</v>
      </c>
      <c r="B548" s="12" t="s">
        <v>6658</v>
      </c>
      <c r="C548" s="12" t="s">
        <v>6660</v>
      </c>
      <c r="D548" s="5" t="str">
        <f ca="1">IFERROR(__xludf.DUMMYFUNCTION("GOOGLETRANSLATE(B548,""ja"",""vi"")"),"Chuyến bay thử nghiệm Attendant")</f>
        <v>Chuyến bay thử nghiệm Attendant</v>
      </c>
      <c r="E548" s="4" t="str">
        <f ca="1">IFERROR(__xludf.DUMMYFUNCTION("GOOGLETRANSLATE(C548,""ja"",""vi"")"),"Đấu giá&gt; cuốn sách, tạp chí&gt; kinh doanh, kinh tế&gt; kiểm tra việc làm&gt; kiểm tra Flight Attendant")</f>
        <v>Đấu giá&gt; cuốn sách, tạp chí&gt; kinh doanh, kinh tế&gt; kiểm tra việc làm&gt; kiểm tra Flight Attendant</v>
      </c>
      <c r="F548" t="str">
        <f t="shared" ca="1" si="8"/>
        <v>"2084008792" : "Chuyến bay thử nghiệm Attendant",</v>
      </c>
    </row>
    <row r="549" spans="1:6" ht="15.75" customHeight="1">
      <c r="A549" s="12">
        <v>2084008785</v>
      </c>
      <c r="B549" s="12" t="s">
        <v>6663</v>
      </c>
      <c r="C549" s="12" t="s">
        <v>6664</v>
      </c>
      <c r="D549" s="5" t="str">
        <f ca="1">IFERROR(__xludf.DUMMYFUNCTION("GOOGLETRANSLATE(B549,""ja"",""vi"")"),"cảm giác chung")</f>
        <v>cảm giác chung</v>
      </c>
      <c r="E549" s="4" t="str">
        <f ca="1">IFERROR(__xludf.DUMMYFUNCTION("GOOGLETRANSLATE(C549,""ja"",""vi"")"),"Đấu giá&gt; cuốn sách, tạp chí&gt; kinh doanh, kinh tế&gt; kiểm tra việc làm&gt; cảm giác chung")</f>
        <v>Đấu giá&gt; cuốn sách, tạp chí&gt; kinh doanh, kinh tế&gt; kiểm tra việc làm&gt; cảm giác chung</v>
      </c>
      <c r="F549" t="str">
        <f t="shared" ca="1" si="8"/>
        <v>"2084008785" : "cảm giác chung",</v>
      </c>
    </row>
    <row r="550" spans="1:6" ht="15.75" customHeight="1">
      <c r="A550" s="12">
        <v>2084008778</v>
      </c>
      <c r="B550" s="12" t="s">
        <v>6544</v>
      </c>
      <c r="C550" s="12" t="s">
        <v>6666</v>
      </c>
      <c r="D550" s="5" t="str">
        <f ca="1">IFERROR(__xludf.DUMMYFUNCTION("GOOGLETRANSLATE(B550,""ja"",""vi"")"),"kiểm tra giáo viên")</f>
        <v>kiểm tra giáo viên</v>
      </c>
      <c r="E550" s="4" t="str">
        <f ca="1">IFERROR(__xludf.DUMMYFUNCTION("GOOGLETRANSLATE(C550,""ja"",""vi"")"),"Đấu giá&gt; cuốn sách, tạp chí&gt; kinh doanh, kinh tế&gt; kiểm tra việc làm&gt; kiểm tra giáo viên")</f>
        <v>Đấu giá&gt; cuốn sách, tạp chí&gt; kinh doanh, kinh tế&gt; kiểm tra việc làm&gt; kiểm tra giáo viên</v>
      </c>
      <c r="F550" t="str">
        <f t="shared" ca="1" si="8"/>
        <v>"2084008778" : "kiểm tra giáo viên",</v>
      </c>
    </row>
    <row r="551" spans="1:6" ht="15.75" customHeight="1">
      <c r="A551" s="12">
        <v>2084008781</v>
      </c>
      <c r="B551" s="12" t="s">
        <v>6667</v>
      </c>
      <c r="C551" s="12" t="s">
        <v>6668</v>
      </c>
      <c r="D551" s="5" t="str">
        <f ca="1">IFERROR(__xludf.DUMMYFUNCTION("GOOGLETRANSLATE(B551,""ja"",""vi"")"),"hướng dẫn nghiệp")</f>
        <v>hướng dẫn nghiệp</v>
      </c>
      <c r="E551" s="4" t="str">
        <f ca="1">IFERROR(__xludf.DUMMYFUNCTION("GOOGLETRANSLATE(C551,""ja"",""vi"")"),"Đấu giá&gt; cuốn sách, tạp chí&gt; kinh doanh, kinh tế&gt; kiểm tra việc làm&gt; Hướng dẫn công nghiệp")</f>
        <v>Đấu giá&gt; cuốn sách, tạp chí&gt; kinh doanh, kinh tế&gt; kiểm tra việc làm&gt; Hướng dẫn công nghiệp</v>
      </c>
      <c r="F551" t="str">
        <f t="shared" ca="1" si="8"/>
        <v>"2084008781" : "hướng dẫn nghiệp",</v>
      </c>
    </row>
    <row r="552" spans="1:6" ht="15.75" customHeight="1">
      <c r="A552" s="12">
        <v>2084008789</v>
      </c>
      <c r="B552" s="12" t="s">
        <v>6555</v>
      </c>
      <c r="C552" s="12" t="s">
        <v>6669</v>
      </c>
      <c r="D552" s="5" t="str">
        <f ca="1">IFERROR(__xludf.DUMMYFUNCTION("GOOGLETRANSLATE(B552,""ja"",""vi"")"),"kiểm tra nhân viên cảnh sát")</f>
        <v>kiểm tra nhân viên cảnh sát</v>
      </c>
      <c r="E552" s="4" t="str">
        <f ca="1">IFERROR(__xludf.DUMMYFUNCTION("GOOGLETRANSLATE(C552,""ja"",""vi"")"),"Đấu giá&gt; cuốn sách, tạp chí&gt; kinh doanh, kinh tế&gt; kiểm tra việc làm&gt; kiểm tra nhân viên cảnh sát")</f>
        <v>Đấu giá&gt; cuốn sách, tạp chí&gt; kinh doanh, kinh tế&gt; kiểm tra việc làm&gt; kiểm tra nhân viên cảnh sát</v>
      </c>
      <c r="F552" t="str">
        <f t="shared" ca="1" si="8"/>
        <v>"2084008789" : "kiểm tra nhân viên cảnh sát",</v>
      </c>
    </row>
    <row r="553" spans="1:6" ht="15.75" customHeight="1">
      <c r="A553" s="12">
        <v>2084008790</v>
      </c>
      <c r="B553" s="12" t="s">
        <v>6566</v>
      </c>
      <c r="C553" s="12" t="s">
        <v>6670</v>
      </c>
      <c r="D553" s="5" t="str">
        <f ca="1">IFERROR(__xludf.DUMMYFUNCTION("GOOGLETRANSLATE(B553,""ja"",""vi"")"),"thi công chức")</f>
        <v>thi công chức</v>
      </c>
      <c r="E553" s="4" t="str">
        <f ca="1">IFERROR(__xludf.DUMMYFUNCTION("GOOGLETRANSLATE(C553,""ja"",""vi"")"),"Đấu giá&gt; cuốn sách, tạp chí&gt; kinh doanh, kinh tế&gt; kiểm tra việc làm&gt; thi công chức")</f>
        <v>Đấu giá&gt; cuốn sách, tạp chí&gt; kinh doanh, kinh tế&gt; kiểm tra việc làm&gt; thi công chức</v>
      </c>
      <c r="F553" t="str">
        <f t="shared" ca="1" si="8"/>
        <v>"2084008790" : "thi công chức",</v>
      </c>
    </row>
    <row r="554" spans="1:6" ht="15.75" customHeight="1">
      <c r="A554" s="12">
        <v>2084008782</v>
      </c>
      <c r="B554" s="12" t="s">
        <v>6671</v>
      </c>
      <c r="C554" s="12" t="s">
        <v>6672</v>
      </c>
      <c r="D554" s="5" t="str">
        <f ca="1">IFERROR(__xludf.DUMMYFUNCTION("GOOGLETRANSLATE(B554,""ja"",""vi"")"),"thông tin thời sự")</f>
        <v>thông tin thời sự</v>
      </c>
      <c r="E554" s="4" t="str">
        <f ca="1">IFERROR(__xludf.DUMMYFUNCTION("GOOGLETRANSLATE(C554,""ja"",""vi"")"),"Đấu giá&gt; cuốn sách, tạp chí&gt; kinh doanh, kinh tế&gt; kiểm tra việc làm&gt; Sự kiện hiện tại thông tin")</f>
        <v>Đấu giá&gt; cuốn sách, tạp chí&gt; kinh doanh, kinh tế&gt; kiểm tra việc làm&gt; Sự kiện hiện tại thông tin</v>
      </c>
      <c r="F554" t="str">
        <f t="shared" ca="1" si="8"/>
        <v>"2084008782" : "thông tin thời sự",</v>
      </c>
    </row>
    <row r="555" spans="1:6" ht="15.75" customHeight="1">
      <c r="A555" s="12">
        <v>2084008780</v>
      </c>
      <c r="B555" s="12" t="s">
        <v>6673</v>
      </c>
      <c r="C555" s="12" t="s">
        <v>6674</v>
      </c>
      <c r="D555" s="5" t="str">
        <f ca="1">IFERROR(__xludf.DUMMYFUNCTION("GOOGLETRANSLATE(B555,""ja"",""vi"")"),"Hướng dẫn nghiệp")</f>
        <v>Hướng dẫn nghiệp</v>
      </c>
      <c r="E555" s="4" t="str">
        <f ca="1">IFERROR(__xludf.DUMMYFUNCTION("GOOGLETRANSLATE(C555,""ja"",""vi"")"),"Đấu giá&gt; cuốn sách, tạp chí&gt; kinh doanh, kinh tế&gt; kiểm tra việc làm&gt; Hướng dẫn nghiệp")</f>
        <v>Đấu giá&gt; cuốn sách, tạp chí&gt; kinh doanh, kinh tế&gt; kiểm tra việc làm&gt; Hướng dẫn nghiệp</v>
      </c>
      <c r="F555" t="str">
        <f t="shared" ca="1" si="8"/>
        <v>"2084008780" : "Hướng dẫn nghiệp",</v>
      </c>
    </row>
    <row r="556" spans="1:6" ht="15.75" customHeight="1">
      <c r="A556" s="12">
        <v>2084008783</v>
      </c>
      <c r="B556" s="12" t="s">
        <v>6675</v>
      </c>
      <c r="C556" s="12" t="s">
        <v>6676</v>
      </c>
      <c r="D556" s="5" t="str">
        <f ca="1">IFERROR(__xludf.DUMMYFUNCTION("GOOGLETRANSLATE(B556,""ja"",""vi"")"),"văn bản thử nghiệm việc làm")</f>
        <v>văn bản thử nghiệm việc làm</v>
      </c>
      <c r="E556" s="4" t="str">
        <f ca="1">IFERROR(__xludf.DUMMYFUNCTION("GOOGLETRANSLATE(C556,""ja"",""vi"")"),"Đấu giá&gt; cuốn sách, tạp chí&gt; kinh doanh, kinh tế&gt; kiểm tra việc làm&gt; văn bản thử nghiệm việc làm")</f>
        <v>Đấu giá&gt; cuốn sách, tạp chí&gt; kinh doanh, kinh tế&gt; kiểm tra việc làm&gt; văn bản thử nghiệm việc làm</v>
      </c>
      <c r="F556" t="str">
        <f t="shared" ca="1" si="8"/>
        <v>"2084008783" : "văn bản thử nghiệm việc làm",</v>
      </c>
    </row>
    <row r="557" spans="1:6" ht="15.75" customHeight="1">
      <c r="A557" s="12">
        <v>2084008784</v>
      </c>
      <c r="B557" s="12" t="s">
        <v>6677</v>
      </c>
      <c r="C557" s="12" t="s">
        <v>6678</v>
      </c>
      <c r="D557" s="5" t="str">
        <f ca="1">IFERROR(__xludf.DUMMYFUNCTION("GOOGLETRANSLATE(B557,""ja"",""vi"")"),"Tiểu luận, viết")</f>
        <v>Tiểu luận, viết</v>
      </c>
      <c r="E557" s="4" t="str">
        <f ca="1">IFERROR(__xludf.DUMMYFUNCTION("GOOGLETRANSLATE(C557,""ja"",""vi"")"),"Đấu giá&gt; cuốn sách, tạp chí&gt; kinh doanh, kinh tế&gt; kiểm tra việc làm&gt; tiểu luận, viết")</f>
        <v>Đấu giá&gt; cuốn sách, tạp chí&gt; kinh doanh, kinh tế&gt; kiểm tra việc làm&gt; tiểu luận, viết</v>
      </c>
      <c r="F557" t="str">
        <f t="shared" ca="1" si="8"/>
        <v>"2084008784" : "Tiểu luận, viết",</v>
      </c>
    </row>
    <row r="558" spans="1:6" ht="15.75" customHeight="1">
      <c r="A558" s="12">
        <v>2084008791</v>
      </c>
      <c r="B558" s="12" t="s">
        <v>6591</v>
      </c>
      <c r="C558" s="12" t="s">
        <v>6679</v>
      </c>
      <c r="D558" s="5" t="str">
        <f ca="1">IFERROR(__xludf.DUMMYFUNCTION("GOOGLETRANSLATE(B558,""ja"",""vi"")"),"kiểm tra mối quan hệ lửa")</f>
        <v>kiểm tra mối quan hệ lửa</v>
      </c>
      <c r="E558" s="4" t="str">
        <f ca="1">IFERROR(__xludf.DUMMYFUNCTION("GOOGLETRANSLATE(C558,""ja"",""vi"")"),"Đấu giá&gt; cuốn sách, tạp chí&gt; kinh doanh, kinh tế&gt; kiểm tra việc làm&gt; kiểm tra mối quan hệ Lửa")</f>
        <v>Đấu giá&gt; cuốn sách, tạp chí&gt; kinh doanh, kinh tế&gt; kiểm tra việc làm&gt; kiểm tra mối quan hệ Lửa</v>
      </c>
      <c r="F558" t="str">
        <f t="shared" ca="1" si="8"/>
        <v>"2084008791" : "kiểm tra mối quan hệ lửa",</v>
      </c>
    </row>
    <row r="559" spans="1:6" ht="15.75" customHeight="1">
      <c r="A559" s="12">
        <v>2084008756</v>
      </c>
      <c r="B559" s="12" t="s">
        <v>6496</v>
      </c>
      <c r="C559" s="12" t="s">
        <v>6680</v>
      </c>
      <c r="D559" s="5" t="str">
        <f ca="1">IFERROR(__xludf.DUMMYFUNCTION("GOOGLETRANSLATE(B559,""ja"",""vi"")"),"Độc lập, khai mạc")</f>
        <v>Độc lập, khai mạc</v>
      </c>
      <c r="E559" s="4" t="str">
        <f ca="1">IFERROR(__xludf.DUMMYFUNCTION("GOOGLETRANSLATE(C559,""ja"",""vi"")"),"Đấu giá&gt; cuốn sách, tạp chí&gt; kinh doanh, kinh tế&gt; kiểm tra việc làm&gt; độc lập, khai mạc")</f>
        <v>Đấu giá&gt; cuốn sách, tạp chí&gt; kinh doanh, kinh tế&gt; kiểm tra việc làm&gt; độc lập, khai mạc</v>
      </c>
      <c r="F559" t="str">
        <f t="shared" ca="1" si="8"/>
        <v>"2084008756" : "Độc lập, khai mạc",</v>
      </c>
    </row>
    <row r="560" spans="1:6" ht="15.75" customHeight="1">
      <c r="A560" s="12">
        <v>2084008787</v>
      </c>
      <c r="B560" s="12" t="s">
        <v>6681</v>
      </c>
      <c r="C560" s="12" t="s">
        <v>6682</v>
      </c>
      <c r="D560" s="5" t="str">
        <f ca="1">IFERROR(__xludf.DUMMYFUNCTION("GOOGLETRANSLATE(B560,""ja"",""vi"")"),"Phỏng vấn, tự PR")</f>
        <v>Phỏng vấn, tự PR</v>
      </c>
      <c r="E560" s="4" t="str">
        <f ca="1">IFERROR(__xludf.DUMMYFUNCTION("GOOGLETRANSLATE(C560,""ja"",""vi"")"),"Đấu giá&gt; cuốn sách, tạp chí&gt; kinh doanh, kinh tế&gt; kiểm tra việc làm&gt; phỏng vấn, tự PR")</f>
        <v>Đấu giá&gt; cuốn sách, tạp chí&gt; kinh doanh, kinh tế&gt; kiểm tra việc làm&gt; phỏng vấn, tự PR</v>
      </c>
      <c r="F560" t="str">
        <f t="shared" ca="1" si="8"/>
        <v>"2084008787" : "Phỏng vấn, tự PR",</v>
      </c>
    </row>
    <row r="561" spans="1:6" ht="15.75" customHeight="1">
      <c r="A561" s="12">
        <v>2084008779</v>
      </c>
      <c r="B561" s="12" t="s">
        <v>6683</v>
      </c>
      <c r="C561" s="12" t="s">
        <v>6684</v>
      </c>
      <c r="D561" s="5" t="str">
        <f ca="1">IFERROR(__xludf.DUMMYFUNCTION("GOOGLETRANSLATE(B561,""ja"",""vi"")"),"Mẫu giáo kiểm tra giáo viên mầm non")</f>
        <v>Mẫu giáo kiểm tra giáo viên mầm non</v>
      </c>
      <c r="E561" s="4" t="str">
        <f ca="1">IFERROR(__xludf.DUMMYFUNCTION("GOOGLETRANSLATE(C561,""ja"",""vi"")"),"Đấu giá&gt; cuốn sách, tạp chí&gt; kinh doanh, kinh tế&gt; kiểm tra việc làm&gt; kiểm tra giáo viên mẫu giáo mầm non")</f>
        <v>Đấu giá&gt; cuốn sách, tạp chí&gt; kinh doanh, kinh tế&gt; kiểm tra việc làm&gt; kiểm tra giáo viên mẫu giáo mầm non</v>
      </c>
      <c r="F561" t="str">
        <f t="shared" ca="1" si="8"/>
        <v>"2084008779" : "Mẫu giáo kiểm tra giáo viên mầm non",</v>
      </c>
    </row>
    <row r="562" spans="1:6" ht="15.75" customHeight="1">
      <c r="A562" s="12">
        <v>2084008788</v>
      </c>
      <c r="B562" s="12" t="s">
        <v>6685</v>
      </c>
      <c r="C562" s="12" t="s">
        <v>6686</v>
      </c>
      <c r="D562" s="5" t="str">
        <f ca="1">IFERROR(__xludf.DUMMYFUNCTION("GOOGLETRANSLATE(B562,""ja"",""vi"")"),"Làm thế nào để viết một sơ yếu lý lịch")</f>
        <v>Làm thế nào để viết một sơ yếu lý lịch</v>
      </c>
      <c r="E562" s="4" t="str">
        <f ca="1">IFERROR(__xludf.DUMMYFUNCTION("GOOGLETRANSLATE(C562,""ja"",""vi"")"),"Đấu giá&gt; cuốn sách, tạp chí&gt; kinh doanh, kinh tế&gt; Làm thế nào để viết một bài kiểm tra công việc&gt; resume")</f>
        <v>Đấu giá&gt; cuốn sách, tạp chí&gt; kinh doanh, kinh tế&gt; Làm thế nào để viết một bài kiểm tra công việc&gt; resume</v>
      </c>
      <c r="F562" t="str">
        <f t="shared" ca="1" si="8"/>
        <v>"2084008788" : "Làm thế nào để viết một sơ yếu lý lịch",</v>
      </c>
    </row>
    <row r="563" spans="1:6" ht="15.75" customHeight="1">
      <c r="A563" s="12">
        <v>2084008610</v>
      </c>
      <c r="B563" s="12" t="s">
        <v>5864</v>
      </c>
      <c r="C563" s="12" t="s">
        <v>5865</v>
      </c>
      <c r="D563" s="5" t="str">
        <f ca="1">IFERROR(__xludf.DUMMYFUNCTION("GOOGLETRANSLATE(B563,""ja"",""vi"")"),"kiểm tra ngôn ngữ")</f>
        <v>kiểm tra ngôn ngữ</v>
      </c>
      <c r="E563" s="4" t="str">
        <f ca="1">IFERROR(__xludf.DUMMYFUNCTION("GOOGLETRANSLATE(C563,""ja"",""vi"")"),"Đấu giá&gt; cuốn sách, tạp chí&gt; nghiên cứu, giáo dục&gt; Ngôn ngữ&gt; kiểm tra ngôn ngữ")</f>
        <v>Đấu giá&gt; cuốn sách, tạp chí&gt; nghiên cứu, giáo dục&gt; Ngôn ngữ&gt; kiểm tra ngôn ngữ</v>
      </c>
      <c r="F563" t="str">
        <f t="shared" ca="1" si="8"/>
        <v>"2084008610" : "kiểm tra ngôn ngữ",</v>
      </c>
    </row>
    <row r="564" spans="1:6" ht="15.75" customHeight="1">
      <c r="A564" s="12">
        <v>2084008598</v>
      </c>
      <c r="B564" s="12" t="s">
        <v>5778</v>
      </c>
      <c r="C564" s="12" t="s">
        <v>5869</v>
      </c>
      <c r="D564" s="5" t="str">
        <f ca="1">IFERROR(__xludf.DUMMYFUNCTION("GOOGLETRANSLATE(B564,""ja"",""vi"")"),"Ý")</f>
        <v>Ý</v>
      </c>
      <c r="E564" s="4" t="str">
        <f ca="1">IFERROR(__xludf.DUMMYFUNCTION("GOOGLETRANSLATE(C564,""ja"",""vi"")"),"Đấu giá&gt; cuốn sách, tạp chí&gt; nghiên cứu, giáo dục&gt; Ngôn ngữ&gt; Ý")</f>
        <v>Đấu giá&gt; cuốn sách, tạp chí&gt; nghiên cứu, giáo dục&gt; Ngôn ngữ&gt; Ý</v>
      </c>
      <c r="F564" t="str">
        <f t="shared" ca="1" si="8"/>
        <v>"2084008598" : "Ý",</v>
      </c>
    </row>
    <row r="565" spans="1:6" ht="15.75" customHeight="1">
      <c r="A565" s="12">
        <v>2084008601</v>
      </c>
      <c r="B565" s="12" t="s">
        <v>5782</v>
      </c>
      <c r="C565" s="12" t="s">
        <v>5876</v>
      </c>
      <c r="D565" s="5" t="str">
        <f ca="1">IFERROR(__xludf.DUMMYFUNCTION("GOOGLETRANSLATE(B565,""ja"",""vi"")"),"Tây Ban Nha")</f>
        <v>Tây Ban Nha</v>
      </c>
      <c r="E565" s="4" t="str">
        <f ca="1">IFERROR(__xludf.DUMMYFUNCTION("GOOGLETRANSLATE(C565,""ja"",""vi"")"),"Đấu giá&gt; cuốn sách, tạp chí&gt; nghiên cứu, giáo dục&gt; Ngôn ngữ&gt; Tây Ban Nha")</f>
        <v>Đấu giá&gt; cuốn sách, tạp chí&gt; nghiên cứu, giáo dục&gt; Ngôn ngữ&gt; Tây Ban Nha</v>
      </c>
      <c r="F565" t="str">
        <f t="shared" ca="1" si="8"/>
        <v>"2084008601" : "Tây Ban Nha",</v>
      </c>
    </row>
    <row r="566" spans="1:6" ht="15.75" customHeight="1">
      <c r="A566" s="12">
        <v>2084008595</v>
      </c>
      <c r="B566" s="12" t="s">
        <v>5788</v>
      </c>
      <c r="C566" s="12" t="s">
        <v>5880</v>
      </c>
      <c r="D566" s="5" t="str">
        <f ca="1">IFERROR(__xludf.DUMMYFUNCTION("GOOGLETRANSLATE(B566,""ja"",""vi"")"),"người Đức")</f>
        <v>người Đức</v>
      </c>
      <c r="E566" s="4" t="str">
        <f ca="1">IFERROR(__xludf.DUMMYFUNCTION("GOOGLETRANSLATE(C566,""ja"",""vi"")"),"Đấu giá&gt; cuốn sách, tạp chí&gt; nghiên cứu, giáo dục&gt; Ngôn ngữ&gt; Đức")</f>
        <v>Đấu giá&gt; cuốn sách, tạp chí&gt; nghiên cứu, giáo dục&gt; Ngôn ngữ&gt; Đức</v>
      </c>
      <c r="F566" t="str">
        <f t="shared" ca="1" si="8"/>
        <v>"2084008595" : "người Đức",</v>
      </c>
    </row>
    <row r="567" spans="1:6" ht="15.75" customHeight="1">
      <c r="A567" s="12">
        <v>2084008607</v>
      </c>
      <c r="B567" s="12" t="s">
        <v>5794</v>
      </c>
      <c r="C567" s="12" t="s">
        <v>5884</v>
      </c>
      <c r="D567" s="5" t="str">
        <f ca="1">IFERROR(__xludf.DUMMYFUNCTION("GOOGLETRANSLATE(B567,""ja"",""vi"")"),"Hangul")</f>
        <v>Hangul</v>
      </c>
      <c r="E567" s="4" t="str">
        <f ca="1">IFERROR(__xludf.DUMMYFUNCTION("GOOGLETRANSLATE(C567,""ja"",""vi"")"),"Đấu giá&gt; cuốn sách, tạp chí&gt; nghiên cứu, giáo dục&gt; Ngôn ngữ&gt; Hangul")</f>
        <v>Đấu giá&gt; cuốn sách, tạp chí&gt; nghiên cứu, giáo dục&gt; Ngôn ngữ&gt; Hangul</v>
      </c>
      <c r="F567" t="str">
        <f t="shared" ca="1" si="8"/>
        <v>"2084008607" : "Hangul",</v>
      </c>
    </row>
    <row r="568" spans="1:6" ht="15.75" customHeight="1">
      <c r="A568" s="12">
        <v>2084008592</v>
      </c>
      <c r="B568" s="12" t="s">
        <v>5799</v>
      </c>
      <c r="C568" s="12" t="s">
        <v>5889</v>
      </c>
      <c r="D568" s="5" t="str">
        <f ca="1">IFERROR(__xludf.DUMMYFUNCTION("GOOGLETRANSLATE(B568,""ja"",""vi"")"),"người Pháp")</f>
        <v>người Pháp</v>
      </c>
      <c r="E568" s="4" t="str">
        <f ca="1">IFERROR(__xludf.DUMMYFUNCTION("GOOGLETRANSLATE(C568,""ja"",""vi"")"),"Đấu giá&gt; cuốn sách, tạp chí&gt; nghiên cứu, giáo dục&gt; Ngôn ngữ&gt; Pháp")</f>
        <v>Đấu giá&gt; cuốn sách, tạp chí&gt; nghiên cứu, giáo dục&gt; Ngôn ngữ&gt; Pháp</v>
      </c>
      <c r="F568" t="str">
        <f t="shared" ca="1" si="8"/>
        <v>"2084008592" : "người Pháp",</v>
      </c>
    </row>
    <row r="569" spans="1:6" ht="15.75" customHeight="1">
      <c r="A569" s="12">
        <v>2084008579</v>
      </c>
      <c r="B569" s="12" t="s">
        <v>5773</v>
      </c>
      <c r="C569" s="12" t="s">
        <v>5893</v>
      </c>
      <c r="D569" s="5" t="str">
        <f ca="1">IFERROR(__xludf.DUMMYFUNCTION("GOOGLETRANSLATE(B569,""ja"",""vi"")"),"Anh")</f>
        <v>Anh</v>
      </c>
      <c r="E569" s="4" t="str">
        <f ca="1">IFERROR(__xludf.DUMMYFUNCTION("GOOGLETRANSLATE(C569,""ja"",""vi"")"),"Đấu giá&gt; cuốn sách, tạp chí&gt; nghiên cứu, giáo dục&gt; Ngôn ngữ&gt; Tiếng Anh")</f>
        <v>Đấu giá&gt; cuốn sách, tạp chí&gt; nghiên cứu, giáo dục&gt; Ngôn ngữ&gt; Tiếng Anh</v>
      </c>
      <c r="F569" t="str">
        <f t="shared" ca="1" si="8"/>
        <v>"2084008579" : "Anh",</v>
      </c>
    </row>
    <row r="570" spans="1:6" ht="15.75" customHeight="1">
      <c r="A570" s="12">
        <v>2084008604</v>
      </c>
      <c r="B570" s="12" t="s">
        <v>5808</v>
      </c>
      <c r="C570" s="12" t="s">
        <v>5897</v>
      </c>
      <c r="D570" s="5" t="str">
        <f ca="1">IFERROR(__xludf.DUMMYFUNCTION("GOOGLETRANSLATE(B570,""ja"",""vi"")"),"Trung Quốc")</f>
        <v>Trung Quốc</v>
      </c>
      <c r="E570" s="4" t="str">
        <f ca="1">IFERROR(__xludf.DUMMYFUNCTION("GOOGLETRANSLATE(C570,""ja"",""vi"")"),"Đấu giá&gt; cuốn sách, tạp chí&gt; nghiên cứu, giáo dục&gt; ngôn ngữ&gt; Trung Quốc")</f>
        <v>Đấu giá&gt; cuốn sách, tạp chí&gt; nghiên cứu, giáo dục&gt; ngôn ngữ&gt; Trung Quốc</v>
      </c>
      <c r="F570" t="str">
        <f t="shared" ca="1" si="8"/>
        <v>"2084008604" : "Trung Quốc",</v>
      </c>
    </row>
    <row r="571" spans="1:6" ht="15.75" customHeight="1">
      <c r="A571" s="12">
        <v>2084008611</v>
      </c>
      <c r="B571" s="12" t="s">
        <v>5760</v>
      </c>
      <c r="C571" s="12" t="s">
        <v>5901</v>
      </c>
      <c r="D571" s="5" t="str">
        <f ca="1">IFERROR(__xludf.DUMMYFUNCTION("GOOGLETRANSLATE(B571,""ja"",""vi"")"),"Nhật Bản")</f>
        <v>Nhật Bản</v>
      </c>
      <c r="E571" s="4" t="str">
        <f ca="1">IFERROR(__xludf.DUMMYFUNCTION("GOOGLETRANSLATE(C571,""ja"",""vi"")"),"Đấu giá&gt; cuốn sách, tạp chí&gt; nghiên cứu, giáo dục&gt; Ngôn ngữ&gt; Nhật Bản")</f>
        <v>Đấu giá&gt; cuốn sách, tạp chí&gt; nghiên cứu, giáo dục&gt; Ngôn ngữ&gt; Nhật Bản</v>
      </c>
      <c r="F571" t="str">
        <f t="shared" ca="1" si="8"/>
        <v>"2084008611" : "Nhật Bản",</v>
      </c>
    </row>
    <row r="572" spans="1:6" ht="15.75" customHeight="1">
      <c r="A572" s="12">
        <v>2084050527</v>
      </c>
      <c r="B572" s="12" t="s">
        <v>5749</v>
      </c>
      <c r="C572" s="12" t="s">
        <v>5905</v>
      </c>
      <c r="D572" s="5" t="str">
        <f ca="1">IFERROR(__xludf.DUMMYFUNCTION("GOOGLETRANSLATE(B572,""ja"",""vi"")"),"từ điển điện tử")</f>
        <v>từ điển điện tử</v>
      </c>
      <c r="E572" s="4" t="str">
        <f ca="1">IFERROR(__xludf.DUMMYFUNCTION("GOOGLETRANSLATE(C572,""ja"",""vi"")"),"Đấu giá&gt; cuốn sách, tạp chí&gt; nghiên cứu, giáo dục&gt; Ngôn ngữ&gt; Từ điển điện tử")</f>
        <v>Đấu giá&gt; cuốn sách, tạp chí&gt; nghiên cứu, giáo dục&gt; Ngôn ngữ&gt; Từ điển điện tử</v>
      </c>
      <c r="F572" t="str">
        <f t="shared" ca="1" si="8"/>
        <v>"2084050527" : "từ điển điện tử",</v>
      </c>
    </row>
    <row r="573" spans="1:6" ht="15.75" customHeight="1">
      <c r="A573" s="12">
        <v>2084008617</v>
      </c>
      <c r="B573" s="12" t="s">
        <v>46</v>
      </c>
      <c r="C573" s="12" t="s">
        <v>5908</v>
      </c>
      <c r="D573" s="5" t="str">
        <f ca="1">IFERROR(__xludf.DUMMYFUNCTION("GOOGLETRANSLATE(B573,""ja"",""vi"")"),"nếu không thì")</f>
        <v>nếu không thì</v>
      </c>
      <c r="E573" s="4" t="str">
        <f ca="1">IFERROR(__xludf.DUMMYFUNCTION("GOOGLETRANSLATE(C573,""ja"",""vi"")"),"Đấu giá&gt; cuốn sách, tạp chí&gt; nghiên cứu, giáo dục&gt; Ngôn ngữ&gt; Khác")</f>
        <v>Đấu giá&gt; cuốn sách, tạp chí&gt; nghiên cứu, giáo dục&gt; Ngôn ngữ&gt; Khác</v>
      </c>
      <c r="F573" t="str">
        <f t="shared" ca="1" si="8"/>
        <v>"2084008617" : "nếu không thì",</v>
      </c>
    </row>
    <row r="574" spans="1:6" ht="15.75" customHeight="1">
      <c r="A574" s="12">
        <v>2084258859</v>
      </c>
      <c r="B574" s="12" t="s">
        <v>6687</v>
      </c>
      <c r="C574" s="12" t="s">
        <v>6688</v>
      </c>
      <c r="D574" s="5" t="str">
        <f ca="1">IFERROR(__xludf.DUMMYFUNCTION("GOOGLETRANSLATE(B574,""ja"",""vi"")"),"Nghiên cứu tôn giáo")</f>
        <v>Nghiên cứu tôn giáo</v>
      </c>
      <c r="E574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74" t="str">
        <f t="shared" ca="1" si="8"/>
        <v>"2084258859" : "Nghiên cứu tôn giáo",</v>
      </c>
    </row>
    <row r="575" spans="1:6" ht="15.75" customHeight="1">
      <c r="A575" s="12">
        <v>2084258855</v>
      </c>
      <c r="B575" s="12" t="s">
        <v>6689</v>
      </c>
      <c r="C575" s="12" t="s">
        <v>6690</v>
      </c>
      <c r="D575" s="5" t="str">
        <f ca="1">IFERROR(__xludf.DUMMYFUNCTION("GOOGLETRANSLATE(B575,""ja"",""vi"")"),"Shinto")</f>
        <v>Shinto</v>
      </c>
      <c r="E575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75" t="str">
        <f t="shared" ca="1" si="8"/>
        <v>"2084258855" : "Shinto",</v>
      </c>
    </row>
    <row r="576" spans="1:6" ht="15.75" customHeight="1">
      <c r="A576" s="12">
        <v>2084258856</v>
      </c>
      <c r="B576" s="12" t="s">
        <v>6691</v>
      </c>
      <c r="C576" s="12" t="s">
        <v>6692</v>
      </c>
      <c r="D576" s="5" t="str">
        <f ca="1">IFERROR(__xludf.DUMMYFUNCTION("GOOGLETRANSLATE(B576,""ja"",""vi"")"),"Phật giáo")</f>
        <v>Phật giáo</v>
      </c>
      <c r="E576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76" t="str">
        <f t="shared" ca="1" si="8"/>
        <v>"2084258856" : "Phật giáo",</v>
      </c>
    </row>
    <row r="577" spans="1:6" ht="15.75" customHeight="1">
      <c r="A577" s="12">
        <v>2084258857</v>
      </c>
      <c r="B577" s="12" t="s">
        <v>4219</v>
      </c>
      <c r="C577" s="12" t="s">
        <v>6693</v>
      </c>
      <c r="D577" s="5" t="str">
        <f ca="1">IFERROR(__xludf.DUMMYFUNCTION("GOOGLETRANSLATE(B577,""ja"",""vi"")"),"Cơ đốc giáo")</f>
        <v>Cơ đốc giáo</v>
      </c>
      <c r="E577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77" t="str">
        <f t="shared" ca="1" si="8"/>
        <v>"2084258857" : "Cơ đốc giáo",</v>
      </c>
    </row>
    <row r="578" spans="1:6" ht="15.75" customHeight="1">
      <c r="A578" s="12">
        <v>2084258858</v>
      </c>
      <c r="B578" s="12" t="s">
        <v>6694</v>
      </c>
      <c r="C578" s="12" t="s">
        <v>6695</v>
      </c>
      <c r="D578" s="5" t="str">
        <f ca="1">IFERROR(__xludf.DUMMYFUNCTION("GOOGLETRANSLATE(B578,""ja"",""vi"")"),"Hồi giáo")</f>
        <v>Hồi giáo</v>
      </c>
      <c r="E578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78" t="str">
        <f t="shared" ref="F578:F595" ca="1" si="9">CONCATENATE(CHAR(34)&amp;"",A578,""&amp;CHAR(34)," : ", CHAR(34)&amp;"",D578,""&amp;CHAR(34),",")</f>
        <v>"2084258858" : "Hồi giáo",</v>
      </c>
    </row>
    <row r="579" spans="1:6" ht="15.75" customHeight="1">
      <c r="A579" s="12">
        <v>2084258860</v>
      </c>
      <c r="B579" s="12" t="s">
        <v>46</v>
      </c>
      <c r="C579" s="12" t="s">
        <v>6696</v>
      </c>
      <c r="D579" s="5" t="str">
        <f ca="1">IFERROR(__xludf.DUMMYFUNCTION("GOOGLETRANSLATE(B579,""ja"",""vi"")"),"nếu không thì")</f>
        <v>nếu không thì</v>
      </c>
      <c r="E579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79" t="str">
        <f t="shared" ca="1" si="9"/>
        <v>"2084258860" : "nếu không thì",</v>
      </c>
    </row>
    <row r="580" spans="1:6" ht="15.75" customHeight="1">
      <c r="A580" s="12">
        <v>2084008138</v>
      </c>
      <c r="B580" s="12" t="s">
        <v>1586</v>
      </c>
      <c r="C580" s="12" t="s">
        <v>6697</v>
      </c>
      <c r="D580" s="5" t="str">
        <f ca="1">IFERROR(__xludf.DUMMYFUNCTION("GOOGLETRANSLATE(B580,""ja"",""vi"")"),"tạp chí")</f>
        <v>tạp chí</v>
      </c>
      <c r="E580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0" t="str">
        <f t="shared" ca="1" si="9"/>
        <v>"2084008138" : "tạp chí",</v>
      </c>
    </row>
    <row r="581" spans="1:6" ht="15.75" customHeight="1">
      <c r="A581" s="12">
        <v>2084008533</v>
      </c>
      <c r="B581" s="12" t="s">
        <v>6699</v>
      </c>
      <c r="C581" s="12" t="s">
        <v>6701</v>
      </c>
      <c r="D581" s="5" t="str">
        <f ca="1">IFERROR(__xludf.DUMMYFUNCTION("GOOGLETRANSLATE(B581,""ja"",""vi"")"),"tiểu thuyết thời đại, tiểu thuyết lịch sử")</f>
        <v>tiểu thuyết thời đại, tiểu thuyết lịch sử</v>
      </c>
      <c r="E581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1" t="str">
        <f t="shared" ca="1" si="9"/>
        <v>"2084008533" : "tiểu thuyết thời đại, tiểu thuyết lịch sử",</v>
      </c>
    </row>
    <row r="582" spans="1:6" ht="15.75" customHeight="1">
      <c r="A582" s="12">
        <v>2084045186</v>
      </c>
      <c r="B582" s="12" t="s">
        <v>6703</v>
      </c>
      <c r="C582" s="12" t="s">
        <v>6705</v>
      </c>
      <c r="D582" s="5" t="str">
        <f ca="1">IFERROR(__xludf.DUMMYFUNCTION("GOOGLETRANSLATE(B582,""ja"",""vi"")"),"lịch sử thế giới")</f>
        <v>lịch sử thế giới</v>
      </c>
      <c r="E582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2" t="str">
        <f t="shared" ca="1" si="9"/>
        <v>"2084045186" : "lịch sử thế giới",</v>
      </c>
    </row>
    <row r="583" spans="1:6" ht="15.75" customHeight="1">
      <c r="A583" s="12">
        <v>2084045185</v>
      </c>
      <c r="B583" s="12" t="s">
        <v>6706</v>
      </c>
      <c r="C583" s="12" t="s">
        <v>6709</v>
      </c>
      <c r="D583" s="5" t="str">
        <f ca="1">IFERROR(__xludf.DUMMYFUNCTION("GOOGLETRANSLATE(B583,""ja"",""vi"")"),"Lịch sử của Nhật Bản")</f>
        <v>Lịch sử của Nhật Bản</v>
      </c>
      <c r="E583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3" t="str">
        <f t="shared" ca="1" si="9"/>
        <v>"2084045185" : "Lịch sử của Nhật Bản",</v>
      </c>
    </row>
    <row r="584" spans="1:6" ht="15.75" customHeight="1">
      <c r="A584" s="12">
        <v>2084045184</v>
      </c>
      <c r="B584" s="12" t="s">
        <v>6711</v>
      </c>
      <c r="C584" s="12" t="s">
        <v>6713</v>
      </c>
      <c r="D584" s="5" t="str">
        <f ca="1">IFERROR(__xludf.DUMMYFUNCTION("GOOGLETRANSLATE(B584,""ja"",""vi"")"),"chung lịch sử")</f>
        <v>chung lịch sử</v>
      </c>
      <c r="E584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4" t="str">
        <f t="shared" ca="1" si="9"/>
        <v>"2084045184" : "chung lịch sử",</v>
      </c>
    </row>
    <row r="585" spans="1:6" ht="15.75" customHeight="1">
      <c r="A585" s="12">
        <v>2084040020</v>
      </c>
      <c r="B585" s="12" t="s">
        <v>554</v>
      </c>
      <c r="C585" s="12" t="s">
        <v>6716</v>
      </c>
      <c r="D585" s="5" t="str">
        <f ca="1">IFERROR(__xludf.DUMMYFUNCTION("GOOGLETRANSLATE(B585,""ja"",""vi"")"),"hàng nitơ")</f>
        <v>hàng nitơ</v>
      </c>
      <c r="E585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5" t="str">
        <f t="shared" ca="1" si="9"/>
        <v>"2084040020" : "hàng nitơ",</v>
      </c>
    </row>
    <row r="586" spans="1:6" ht="15.75" customHeight="1">
      <c r="A586" s="12">
        <v>2084040079</v>
      </c>
      <c r="B586" s="12" t="s">
        <v>562</v>
      </c>
      <c r="C586" s="12" t="s">
        <v>6719</v>
      </c>
      <c r="D586" s="5" t="str">
        <f ca="1">IFERROR(__xludf.DUMMYFUNCTION("GOOGLETRANSLATE(B586,""ja"",""vi"")"),"hoặc hàng")</f>
        <v>hoặc hàng</v>
      </c>
      <c r="E586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6" t="str">
        <f t="shared" ca="1" si="9"/>
        <v>"2084040079" : "hoặc hàng",</v>
      </c>
    </row>
    <row r="587" spans="1:6" ht="15.75" customHeight="1">
      <c r="A587" s="12">
        <v>2084040135</v>
      </c>
      <c r="B587" s="12" t="s">
        <v>570</v>
      </c>
      <c r="C587" s="12" t="s">
        <v>6722</v>
      </c>
      <c r="D587" s="5" t="str">
        <f ca="1">IFERROR(__xludf.DUMMYFUNCTION("GOOGLETRANSLATE(B587,""ja"",""vi"")"),"Các chữ s")</f>
        <v>Các chữ s</v>
      </c>
      <c r="E587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7" t="str">
        <f t="shared" ca="1" si="9"/>
        <v>"2084040135" : "Các chữ s",</v>
      </c>
    </row>
    <row r="588" spans="1:6" ht="15.75" customHeight="1">
      <c r="A588" s="12">
        <v>2084040177</v>
      </c>
      <c r="B588" s="12" t="s">
        <v>578</v>
      </c>
      <c r="C588" s="12" t="s">
        <v>6725</v>
      </c>
      <c r="D588" s="5" t="str">
        <f ca="1">IFERROR(__xludf.DUMMYFUNCTION("GOOGLETRANSLATE(B588,""ja"",""vi"")"),"Tagyo")</f>
        <v>Tagyo</v>
      </c>
      <c r="E588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8" t="str">
        <f t="shared" ca="1" si="9"/>
        <v>"2084040177" : "Tagyo",</v>
      </c>
    </row>
    <row r="589" spans="1:6" ht="15.75" customHeight="1">
      <c r="A589" s="12">
        <v>2084040207</v>
      </c>
      <c r="B589" s="12" t="s">
        <v>587</v>
      </c>
      <c r="C589" s="12" t="s">
        <v>6729</v>
      </c>
      <c r="D589" s="5" t="str">
        <f ca="1">IFERROR(__xludf.DUMMYFUNCTION("GOOGLETRANSLATE(B589,""ja"",""vi"")"),"Một dòng")</f>
        <v>Một dòng</v>
      </c>
      <c r="E589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89" t="str">
        <f t="shared" ca="1" si="9"/>
        <v>"2084040207" : "Một dòng",</v>
      </c>
    </row>
    <row r="590" spans="1:6" ht="15.75" customHeight="1">
      <c r="A590" s="12">
        <v>2084040259</v>
      </c>
      <c r="B590" s="12" t="s">
        <v>592</v>
      </c>
      <c r="C590" s="12" t="s">
        <v>6733</v>
      </c>
      <c r="D590" s="5" t="str">
        <f ca="1">IFERROR(__xludf.DUMMYFUNCTION("GOOGLETRANSLATE(B590,""ja"",""vi"")"),"hàng")</f>
        <v>hàng</v>
      </c>
      <c r="E590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90" t="str">
        <f t="shared" ca="1" si="9"/>
        <v>"2084040259" : "hàng",</v>
      </c>
    </row>
    <row r="591" spans="1:6" ht="15.75" customHeight="1">
      <c r="A591" s="12">
        <v>2084040304</v>
      </c>
      <c r="B591" s="12" t="s">
        <v>600</v>
      </c>
      <c r="C591" s="12" t="s">
        <v>6736</v>
      </c>
      <c r="D591" s="5" t="str">
        <f ca="1">IFERROR(__xludf.DUMMYFUNCTION("GOOGLETRANSLATE(B591,""ja"",""vi"")"),"hoặc dòng")</f>
        <v>hoặc dòng</v>
      </c>
      <c r="E591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91" t="str">
        <f t="shared" ca="1" si="9"/>
        <v>"2084040304" : "hoặc dòng",</v>
      </c>
    </row>
    <row r="592" spans="1:6" ht="15.75" customHeight="1">
      <c r="A592" s="12">
        <v>2084040328</v>
      </c>
      <c r="B592" s="12" t="s">
        <v>608</v>
      </c>
      <c r="C592" s="12" t="s">
        <v>6738</v>
      </c>
      <c r="D592" s="5" t="str">
        <f ca="1">IFERROR(__xludf.DUMMYFUNCTION("GOOGLETRANSLATE(B592,""ja"",""vi"")"),"hoặc hàng")</f>
        <v>hoặc hàng</v>
      </c>
      <c r="E592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92" t="str">
        <f t="shared" ca="1" si="9"/>
        <v>"2084040328" : "hoặc hàng",</v>
      </c>
    </row>
    <row r="593" spans="1:6" ht="15.75" customHeight="1">
      <c r="A593" s="12">
        <v>2084040339</v>
      </c>
      <c r="B593" s="12" t="s">
        <v>689</v>
      </c>
      <c r="C593" s="12" t="s">
        <v>6741</v>
      </c>
      <c r="D593" s="5" t="str">
        <f ca="1">IFERROR(__xludf.DUMMYFUNCTION("GOOGLETRANSLATE(B593,""ja"",""vi"")"),"Racovian")</f>
        <v>Racovian</v>
      </c>
      <c r="E593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93" t="str">
        <f t="shared" ca="1" si="9"/>
        <v>"2084040339" : "Racovian",</v>
      </c>
    </row>
    <row r="594" spans="1:6" ht="15.75" customHeight="1">
      <c r="A594" s="12">
        <v>2084040354</v>
      </c>
      <c r="B594" s="12" t="s">
        <v>696</v>
      </c>
      <c r="C594" s="12" t="s">
        <v>6745</v>
      </c>
      <c r="D594" s="5" t="str">
        <f ca="1">IFERROR(__xludf.DUMMYFUNCTION("GOOGLETRANSLATE(B594,""ja"",""vi"")"),"tôi hàng")</f>
        <v>tôi hàng</v>
      </c>
      <c r="E594" s="4" t="str">
        <f ca="1">IFERROR(__xludf.DUMMYFUNCTION("GOOGLETRANSLATE(C574,""ja"",""vi"")"),"Đấu giá&gt; cuốn sách, tạp chí&gt; nhân văn, xã hội&gt; Tôn giáo&gt; Tôn giáo học")</f>
        <v>Đấu giá&gt; cuốn sách, tạp chí&gt; nhân văn, xã hội&gt; Tôn giáo&gt; Tôn giáo học</v>
      </c>
      <c r="F594" t="str">
        <f t="shared" ca="1" si="9"/>
        <v>"2084040354" : "tôi hàng",</v>
      </c>
    </row>
    <row r="595" spans="1:6" ht="15.75" customHeight="1">
      <c r="F595" t="str">
        <f t="shared" si="9"/>
        <v>"" : "",</v>
      </c>
    </row>
    <row r="596" spans="1:6" ht="15.75" customHeight="1"/>
    <row r="597" spans="1:6" ht="15.75" customHeight="1"/>
    <row r="598" spans="1:6" ht="15.75" customHeight="1"/>
    <row r="599" spans="1:6" ht="15.75" customHeight="1"/>
    <row r="600" spans="1:6" ht="15.75" customHeight="1"/>
    <row r="601" spans="1:6" ht="15.75" customHeight="1"/>
    <row r="602" spans="1:6" ht="15.75" customHeight="1"/>
    <row r="603" spans="1:6" ht="15.75" customHeight="1"/>
    <row r="604" spans="1:6" ht="15.75" customHeight="1"/>
    <row r="605" spans="1:6" ht="15.75" customHeight="1"/>
    <row r="606" spans="1:6" ht="15.75" customHeight="1"/>
    <row r="607" spans="1:6" ht="15.75" customHeight="1"/>
    <row r="608" spans="1:6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>
      <selection activeCell="F1" sqref="F1"/>
    </sheetView>
  </sheetViews>
  <sheetFormatPr defaultColWidth="12.59765625" defaultRowHeight="15" customHeight="1"/>
  <cols>
    <col min="1" max="1" width="10" customWidth="1"/>
    <col min="2" max="2" width="12.8984375" customWidth="1"/>
    <col min="3" max="3" width="19.5" customWidth="1"/>
    <col min="4" max="4" width="12.296875" customWidth="1"/>
    <col min="5" max="5" width="42.796875" customWidth="1"/>
    <col min="6" max="26" width="7.59765625" customWidth="1"/>
  </cols>
  <sheetData>
    <row r="1" spans="1:6" ht="31.8">
      <c r="A1" s="12">
        <v>21976</v>
      </c>
      <c r="B1" s="12" t="s">
        <v>5544</v>
      </c>
      <c r="C1" s="12" t="s">
        <v>5545</v>
      </c>
      <c r="D1" s="5" t="str">
        <f ca="1">IFERROR(__xludf.DUMMYFUNCTION("GOOGLETRANSLATE(B1,""ja"",""vi"")"),"Anime")</f>
        <v>Anime</v>
      </c>
      <c r="E1" s="4" t="str">
        <f ca="1">IFERROR(__xludf.DUMMYFUNCTION("GOOGLETRANSLATE(C1,""ja"",""vi"")"),"Đấu giá&gt; phim, video&gt; DVD&gt; phim&gt; Anime")</f>
        <v>Đấu giá&gt; phim, video&gt; DVD&gt; phim&gt; Anime</v>
      </c>
      <c r="F1" t="str">
        <f ca="1">CONCATENATE(CHAR(34)&amp;"",A1,""&amp;CHAR(34)," : ", CHAR(34)&amp;"",D1,""&amp;CHAR(34),",")</f>
        <v>"21976" : "Anime",</v>
      </c>
    </row>
    <row r="2" spans="1:6" ht="31.8">
      <c r="A2" s="12">
        <v>2084048569</v>
      </c>
      <c r="B2" s="12" t="s">
        <v>3908</v>
      </c>
      <c r="C2" s="12" t="s">
        <v>5553</v>
      </c>
      <c r="D2" s="5" t="str">
        <f ca="1">IFERROR(__xludf.DUMMYFUNCTION("GOOGLETRANSLATE(B2,""ja"",""vi"")"),"Nhật Bản phim")</f>
        <v>Nhật Bản phim</v>
      </c>
      <c r="E2" s="4" t="str">
        <f ca="1">IFERROR(__xludf.DUMMYFUNCTION("GOOGLETRANSLATE(C2,""ja"",""vi"")"),"Đấu giá&gt; phim, video&gt; DVD&gt; phim&gt; phim Nhật Bản")</f>
        <v>Đấu giá&gt; phim, video&gt; DVD&gt; phim&gt; phim Nhật Bản</v>
      </c>
      <c r="F2" t="str">
        <f t="shared" ref="F2:F65" ca="1" si="0">CONCATENATE(CHAR(34)&amp;"",A2,""&amp;CHAR(34)," : ", CHAR(34)&amp;"",D2,""&amp;CHAR(34),",")</f>
        <v>"2084048569" : "Nhật Bản phim",</v>
      </c>
    </row>
    <row r="3" spans="1:6" ht="31.8">
      <c r="A3" s="12">
        <v>2084044647</v>
      </c>
      <c r="B3" s="12" t="s">
        <v>3902</v>
      </c>
      <c r="C3" s="12" t="s">
        <v>5557</v>
      </c>
      <c r="D3" s="5" t="str">
        <f ca="1">IFERROR(__xludf.DUMMYFUNCTION("GOOGLETRANSLATE(B3,""ja"",""vi"")"),"hiệu ứng đặc biệt")</f>
        <v>hiệu ứng đặc biệt</v>
      </c>
      <c r="E3" s="4" t="str">
        <f ca="1">IFERROR(__xludf.DUMMYFUNCTION("GOOGLETRANSLATE(C3,""ja"",""vi"")"),"Đấu giá&gt; phim, video&gt; DVD&gt; phim&gt; hiệu ứng đặc biệt")</f>
        <v>Đấu giá&gt; phim, video&gt; DVD&gt; phim&gt; hiệu ứng đặc biệt</v>
      </c>
      <c r="F3" t="str">
        <f t="shared" ca="1" si="0"/>
        <v>"2084044647" : "hiệu ứng đặc biệt",</v>
      </c>
    </row>
    <row r="4" spans="1:6" ht="31.8">
      <c r="A4" s="12">
        <v>2084044644</v>
      </c>
      <c r="B4" s="12" t="s">
        <v>3835</v>
      </c>
      <c r="C4" s="12" t="s">
        <v>5564</v>
      </c>
      <c r="D4" s="5" t="str">
        <f ca="1">IFERROR(__xludf.DUMMYFUNCTION("GOOGLETRANSLATE(B4,""ja"",""vi"")"),"SF, Viễn tưởng")</f>
        <v>SF, Viễn tưởng</v>
      </c>
      <c r="E4" s="4" t="str">
        <f ca="1">IFERROR(__xludf.DUMMYFUNCTION("GOOGLETRANSLATE(C4,""ja"",""vi"")"),"Đấu giá&gt; phim, video&gt; DVD&gt; phim&gt; SF, Viễn tưởng")</f>
        <v>Đấu giá&gt; phim, video&gt; DVD&gt; phim&gt; SF, Viễn tưởng</v>
      </c>
      <c r="F4" t="str">
        <f t="shared" ca="1" si="0"/>
        <v>"2084044644" : "SF, Viễn tưởng",</v>
      </c>
    </row>
    <row r="5" spans="1:6" ht="52.2">
      <c r="A5" s="12">
        <v>21972</v>
      </c>
      <c r="B5" s="12" t="s">
        <v>3842</v>
      </c>
      <c r="C5" s="12" t="s">
        <v>5569</v>
      </c>
      <c r="D5" s="5" t="str">
        <f ca="1">IFERROR(__xludf.DUMMYFUNCTION("GOOGLETRANSLATE(B5,""ja"",""vi"")"),"Hành động, phiêu lưu")</f>
        <v>Hành động, phiêu lưu</v>
      </c>
      <c r="E5" s="4" t="str">
        <f ca="1">IFERROR(__xludf.DUMMYFUNCTION("GOOGLETRANSLATE(C5,""ja"",""vi"")"),"Đấu giá&gt; phim, video&gt; DVD&gt; phim&gt; hành động, phiêu lưu")</f>
        <v>Đấu giá&gt; phim, video&gt; DVD&gt; phim&gt; hành động, phiêu lưu</v>
      </c>
      <c r="F5" t="str">
        <f t="shared" ca="1" si="0"/>
        <v>"21972" : "Hành động, phiêu lưu",</v>
      </c>
    </row>
    <row r="6" spans="1:6" ht="31.8">
      <c r="A6" s="12">
        <v>21988</v>
      </c>
      <c r="B6" s="12" t="s">
        <v>3855</v>
      </c>
      <c r="C6" s="12" t="s">
        <v>5574</v>
      </c>
      <c r="D6" s="5" t="str">
        <f ca="1">IFERROR(__xludf.DUMMYFUNCTION("GOOGLETRANSLATE(B6,""ja"",""vi"")"),"hài kịch")</f>
        <v>hài kịch</v>
      </c>
      <c r="E6" s="4" t="str">
        <f ca="1">IFERROR(__xludf.DUMMYFUNCTION("GOOGLETRANSLATE(C6,""ja"",""vi"")"),"Đấu giá&gt; phim, video&gt; DVD&gt; phim&gt; Comedy")</f>
        <v>Đấu giá&gt; phim, video&gt; DVD&gt; phim&gt; Comedy</v>
      </c>
      <c r="F6" t="str">
        <f t="shared" ca="1" si="0"/>
        <v>"21988" : "hài kịch",</v>
      </c>
    </row>
    <row r="7" spans="1:6" ht="31.8">
      <c r="A7" s="12">
        <v>22008</v>
      </c>
      <c r="B7" s="12" t="s">
        <v>5577</v>
      </c>
      <c r="C7" s="12" t="s">
        <v>5578</v>
      </c>
      <c r="D7" s="5" t="str">
        <f ca="1">IFERROR(__xludf.DUMMYFUNCTION("GOOGLETRANSLATE(B7,""ja"",""vi"")"),"im lặng")</f>
        <v>im lặng</v>
      </c>
      <c r="E7" s="4" t="str">
        <f ca="1">IFERROR(__xludf.DUMMYFUNCTION("GOOGLETRANSLATE(C7,""ja"",""vi"")"),"Đấu giá&gt; phim, video&gt; DVD&gt; phim&gt; im lặng")</f>
        <v>Đấu giá&gt; phim, video&gt; DVD&gt; phim&gt; im lặng</v>
      </c>
      <c r="F7" t="str">
        <f t="shared" ca="1" si="0"/>
        <v>"22008" : "im lặng",</v>
      </c>
    </row>
    <row r="8" spans="1:6" ht="31.8">
      <c r="A8" s="12">
        <v>2084044642</v>
      </c>
      <c r="B8" s="12" t="s">
        <v>3864</v>
      </c>
      <c r="C8" s="12" t="s">
        <v>5582</v>
      </c>
      <c r="D8" s="5" t="str">
        <f ca="1">IFERROR(__xludf.DUMMYFUNCTION("GOOGLETRANSLATE(B8,""ja"",""vi"")"),"Hồi hộp")</f>
        <v>Hồi hộp</v>
      </c>
      <c r="E8" s="4" t="str">
        <f ca="1">IFERROR(__xludf.DUMMYFUNCTION("GOOGLETRANSLATE(C8,""ja"",""vi"")"),"Đấu giá&gt; phim, video&gt; DVD&gt; phim&gt; hồi hộp")</f>
        <v>Đấu giá&gt; phim, video&gt; DVD&gt; phim&gt; hồi hộp</v>
      </c>
      <c r="F8" t="str">
        <f t="shared" ca="1" si="0"/>
        <v>"2084044642" : "Hồi hộp",</v>
      </c>
    </row>
    <row r="9" spans="1:6" ht="31.8">
      <c r="A9" s="12">
        <v>2084048267</v>
      </c>
      <c r="B9" s="12" t="s">
        <v>2828</v>
      </c>
      <c r="C9" s="12" t="s">
        <v>5586</v>
      </c>
      <c r="D9" s="5" t="str">
        <f ca="1">IFERROR(__xludf.DUMMYFUNCTION("GOOGLETRANSLATE(B9,""ja"",""vi"")"),"Disney")</f>
        <v>Disney</v>
      </c>
      <c r="E9" s="4" t="str">
        <f ca="1">IFERROR(__xludf.DUMMYFUNCTION("GOOGLETRANSLATE(C9,""ja"",""vi"")"),"Đấu giá&gt; phim, video&gt; DVD&gt; phim&gt; Disney")</f>
        <v>Đấu giá&gt; phim, video&gt; DVD&gt; phim&gt; Disney</v>
      </c>
      <c r="F9" t="str">
        <f t="shared" ca="1" si="0"/>
        <v>"2084048267" : "Disney",</v>
      </c>
    </row>
    <row r="10" spans="1:6" ht="31.8">
      <c r="A10" s="12">
        <v>21992</v>
      </c>
      <c r="B10" s="12" t="s">
        <v>5590</v>
      </c>
      <c r="C10" s="12" t="s">
        <v>5591</v>
      </c>
      <c r="D10" s="5" t="str">
        <f ca="1">IFERROR(__xludf.DUMMYFUNCTION("GOOGLETRANSLATE(B10,""ja"",""vi"")"),"Phim tài liệu")</f>
        <v>Phim tài liệu</v>
      </c>
      <c r="E10" s="4" t="str">
        <f ca="1">IFERROR(__xludf.DUMMYFUNCTION("GOOGLETRANSLATE(C10,""ja"",""vi"")"),"Đấu giá&gt; phim, video&gt; DVD&gt; phim&gt; phim tài liệu")</f>
        <v>Đấu giá&gt; phim, video&gt; DVD&gt; phim&gt; phim tài liệu</v>
      </c>
      <c r="F10" t="str">
        <f t="shared" ca="1" si="0"/>
        <v>"21992" : "Phim tài liệu",</v>
      </c>
    </row>
    <row r="11" spans="1:6" ht="31.8">
      <c r="A11" s="12">
        <v>21996</v>
      </c>
      <c r="B11" s="12" t="s">
        <v>3870</v>
      </c>
      <c r="C11" s="12" t="s">
        <v>5595</v>
      </c>
      <c r="D11" s="5" t="str">
        <f ca="1">IFERROR(__xludf.DUMMYFUNCTION("GOOGLETRANSLATE(B11,""ja"",""vi"")"),"kịch")</f>
        <v>kịch</v>
      </c>
      <c r="E11" s="4" t="str">
        <f ca="1">IFERROR(__xludf.DUMMYFUNCTION("GOOGLETRANSLATE(C11,""ja"",""vi"")"),"Đấu giá&gt; phim, video&gt; DVD&gt; phim&gt; phim")</f>
        <v>Đấu giá&gt; phim, video&gt; DVD&gt; phim&gt; phim</v>
      </c>
      <c r="F11" t="str">
        <f t="shared" ca="1" si="0"/>
        <v>"21996" : "kịch",</v>
      </c>
    </row>
    <row r="12" spans="1:6" ht="31.8">
      <c r="A12" s="12">
        <v>21984</v>
      </c>
      <c r="B12" s="12" t="s">
        <v>5598</v>
      </c>
      <c r="C12" s="12" t="s">
        <v>5599</v>
      </c>
      <c r="D12" s="5" t="str">
        <f ca="1">IFERROR(__xludf.DUMMYFUNCTION("GOOGLETRANSLATE(B12,""ja"",""vi"")"),"Hollywood cổ điển")</f>
        <v>Hollywood cổ điển</v>
      </c>
      <c r="E12" s="4" t="str">
        <f ca="1">IFERROR(__xludf.DUMMYFUNCTION("GOOGLETRANSLATE(C12,""ja"",""vi"")"),"Đấu giá&gt; phim, video&gt; DVD&gt; phim&gt; Hollywood cổ điển")</f>
        <v>Đấu giá&gt; phim, video&gt; DVD&gt; phim&gt; Hollywood cổ điển</v>
      </c>
      <c r="F12" t="str">
        <f t="shared" ca="1" si="0"/>
        <v>"21984" : "Hollywood cổ điển",</v>
      </c>
    </row>
    <row r="13" spans="1:6" ht="31.8">
      <c r="A13" s="12">
        <v>2084044643</v>
      </c>
      <c r="B13" s="12" t="s">
        <v>3876</v>
      </c>
      <c r="C13" s="12" t="s">
        <v>5602</v>
      </c>
      <c r="D13" s="5" t="str">
        <f ca="1">IFERROR(__xludf.DUMMYFUNCTION("GOOGLETRANSLATE(B13,""ja"",""vi"")"),"rùng rợn")</f>
        <v>rùng rợn</v>
      </c>
      <c r="E13" s="4" t="str">
        <f ca="1">IFERROR(__xludf.DUMMYFUNCTION("GOOGLETRANSLATE(C13,""ja"",""vi"")"),"Đấu giá&gt; phim, video&gt; DVD&gt; phim&gt; Horror")</f>
        <v>Đấu giá&gt; phim, video&gt; DVD&gt; phim&gt; Horror</v>
      </c>
      <c r="F13" t="str">
        <f t="shared" ca="1" si="0"/>
        <v>"2084044643" : "rùng rợn",</v>
      </c>
    </row>
    <row r="14" spans="1:6" ht="31.8">
      <c r="A14" s="12">
        <v>22004</v>
      </c>
      <c r="B14" s="12" t="s">
        <v>1207</v>
      </c>
      <c r="C14" s="12" t="s">
        <v>5605</v>
      </c>
      <c r="D14" s="5" t="str">
        <f ca="1">IFERROR(__xludf.DUMMYFUNCTION("GOOGLETRANSLATE(B14,""ja"",""vi"")"),"nhạc")</f>
        <v>nhạc</v>
      </c>
      <c r="E14" s="4" t="str">
        <f ca="1">IFERROR(__xludf.DUMMYFUNCTION("GOOGLETRANSLATE(C14,""ja"",""vi"")"),"Đấu giá&gt; phim, video&gt; DVD&gt; phim&gt; Nhạc")</f>
        <v>Đấu giá&gt; phim, video&gt; DVD&gt; phim&gt; Nhạc</v>
      </c>
      <c r="F14" t="str">
        <f t="shared" ca="1" si="0"/>
        <v>"22004" : "nhạc",</v>
      </c>
    </row>
    <row r="15" spans="1:6" ht="31.8">
      <c r="A15" s="12">
        <v>2084226895</v>
      </c>
      <c r="B15" s="12" t="s">
        <v>5608</v>
      </c>
      <c r="C15" s="12" t="s">
        <v>5609</v>
      </c>
      <c r="D15" s="5" t="str">
        <f ca="1">IFERROR(__xludf.DUMMYFUNCTION("GOOGLETRANSLATE(B15,""ja"",""vi"")"),"Phim Châu Âu")</f>
        <v>Phim Châu Âu</v>
      </c>
      <c r="E15" s="4" t="str">
        <f ca="1">IFERROR(__xludf.DUMMYFUNCTION("GOOGLETRANSLATE(C15,""ja"",""vi"")"),"Đấu giá&gt; phim, video&gt; DVD&gt; phim&gt; Phim Châu Âu")</f>
        <v>Đấu giá&gt; phim, video&gt; DVD&gt; phim&gt; Phim Châu Âu</v>
      </c>
      <c r="F15" t="str">
        <f t="shared" ca="1" si="0"/>
        <v>"2084226895" : "Phim Châu Âu",</v>
      </c>
    </row>
    <row r="16" spans="1:6" ht="31.8">
      <c r="A16" s="12">
        <v>2084214352</v>
      </c>
      <c r="B16" s="12" t="s">
        <v>5611</v>
      </c>
      <c r="C16" s="12" t="s">
        <v>5613</v>
      </c>
      <c r="D16" s="5" t="str">
        <f ca="1">IFERROR(__xludf.DUMMYFUNCTION("GOOGLETRANSLATE(B16,""ja"",""vi"")"),"phim Hàn Quốc")</f>
        <v>phim Hàn Quốc</v>
      </c>
      <c r="E16" s="4" t="str">
        <f ca="1">IFERROR(__xludf.DUMMYFUNCTION("GOOGLETRANSLATE(C16,""ja"",""vi"")"),"Đấu giá&gt; phim, video&gt; DVD&gt; phim&gt; phim Hàn Quốc")</f>
        <v>Đấu giá&gt; phim, video&gt; DVD&gt; phim&gt; phim Hàn Quốc</v>
      </c>
      <c r="F16" t="str">
        <f t="shared" ca="1" si="0"/>
        <v>"2084214352" : "phim Hàn Quốc",</v>
      </c>
    </row>
    <row r="17" spans="1:6" ht="31.8">
      <c r="A17" s="12">
        <v>2084048570</v>
      </c>
      <c r="B17" s="12" t="s">
        <v>5614</v>
      </c>
      <c r="C17" s="12" t="s">
        <v>5617</v>
      </c>
      <c r="D17" s="5" t="str">
        <f ca="1">IFERROR(__xludf.DUMMYFUNCTION("GOOGLETRANSLATE(B17,""ja"",""vi"")"),"phim Hồng Kông")</f>
        <v>phim Hồng Kông</v>
      </c>
      <c r="E17" s="4" t="str">
        <f ca="1">IFERROR(__xludf.DUMMYFUNCTION("GOOGLETRANSLATE(C17,""ja"",""vi"")"),"Đấu giá&gt; phim, video&gt; DVD&gt; phim&gt; phim Hồng Kông")</f>
        <v>Đấu giá&gt; phim, video&gt; DVD&gt; phim&gt; phim Hồng Kông</v>
      </c>
      <c r="F17" t="str">
        <f t="shared" ca="1" si="0"/>
        <v>"2084048570" : "phim Hồng Kông",</v>
      </c>
    </row>
    <row r="18" spans="1:6" ht="31.8">
      <c r="A18" s="12">
        <v>21980</v>
      </c>
      <c r="B18" s="12" t="s">
        <v>5008</v>
      </c>
      <c r="C18" s="12" t="s">
        <v>5620</v>
      </c>
      <c r="D18" s="5" t="str">
        <f ca="1">IFERROR(__xludf.DUMMYFUNCTION("GOOGLETRANSLATE(B18,""ja"",""vi"")"),"Đối với trẻ em")</f>
        <v>Đối với trẻ em</v>
      </c>
      <c r="E18" s="4" t="str">
        <f ca="1">IFERROR(__xludf.DUMMYFUNCTION("GOOGLETRANSLATE(C18,""ja"",""vi"")"),"Đấu giá&gt; phim, video&gt; DVD&gt; phim&gt; trẻ em")</f>
        <v>Đấu giá&gt; phim, video&gt; DVD&gt; phim&gt; trẻ em</v>
      </c>
      <c r="F18" t="str">
        <f t="shared" ca="1" si="0"/>
        <v>"21980" : "Đối với trẻ em",</v>
      </c>
    </row>
    <row r="19" spans="1:6" ht="31.8">
      <c r="A19" s="12">
        <v>2084044645</v>
      </c>
      <c r="B19" s="12" t="s">
        <v>3888</v>
      </c>
      <c r="C19" s="12" t="s">
        <v>5623</v>
      </c>
      <c r="D19" s="5" t="str">
        <f ca="1">IFERROR(__xludf.DUMMYFUNCTION("GOOGLETRANSLATE(B19,""ja"",""vi"")"),"chơi lịch sử")</f>
        <v>chơi lịch sử</v>
      </c>
      <c r="E19" s="4" t="str">
        <f ca="1">IFERROR(__xludf.DUMMYFUNCTION("GOOGLETRANSLATE(C19,""ja"",""vi"")"),"Đấu giá&gt; phim, video&gt; DVD&gt; phim&gt; phim trang phục")</f>
        <v>Đấu giá&gt; phim, video&gt; DVD&gt; phim&gt; phim trang phục</v>
      </c>
      <c r="F19" t="str">
        <f t="shared" ca="1" si="0"/>
        <v>"2084044645" : "chơi lịch sử",</v>
      </c>
    </row>
    <row r="20" spans="1:6" ht="31.8">
      <c r="A20" s="12">
        <v>22012</v>
      </c>
      <c r="B20" s="12" t="s">
        <v>3893</v>
      </c>
      <c r="C20" s="12" t="s">
        <v>5628</v>
      </c>
      <c r="D20" s="5" t="str">
        <f ca="1">IFERROR(__xludf.DUMMYFUNCTION("GOOGLETRANSLATE(B20,""ja"",""vi"")"),"Tây")</f>
        <v>Tây</v>
      </c>
      <c r="E20" s="4" t="str">
        <f ca="1">IFERROR(__xludf.DUMMYFUNCTION("GOOGLETRANSLATE(C20,""ja"",""vi"")"),"Đấu giá&gt; phim, video&gt; DVD&gt; phim&gt; cao bồi miền Tây")</f>
        <v>Đấu giá&gt; phim, video&gt; DVD&gt; phim&gt; cao bồi miền Tây</v>
      </c>
      <c r="F20" t="str">
        <f t="shared" ca="1" si="0"/>
        <v>"22012" : "Tây",</v>
      </c>
    </row>
    <row r="21" spans="1:6" ht="15.75" customHeight="1">
      <c r="A21" s="12">
        <v>2084044646</v>
      </c>
      <c r="B21" s="12" t="s">
        <v>3899</v>
      </c>
      <c r="C21" s="12" t="s">
        <v>5633</v>
      </c>
      <c r="D21" s="5" t="str">
        <f ca="1">IFERROR(__xludf.DUMMYFUNCTION("GOOGLETRANSLATE(B21,""ja"",""vi"")"),"chiến tranh")</f>
        <v>chiến tranh</v>
      </c>
      <c r="E21" s="4" t="str">
        <f ca="1">IFERROR(__xludf.DUMMYFUNCTION("GOOGLETRANSLATE(C21,""ja"",""vi"")"),"Đấu giá&gt; phim, video&gt; DVD&gt; phim&gt; chiến tranh")</f>
        <v>Đấu giá&gt; phim, video&gt; DVD&gt; phim&gt; chiến tranh</v>
      </c>
      <c r="F21" t="str">
        <f t="shared" ca="1" si="0"/>
        <v>"2084044646" : "chiến tranh",</v>
      </c>
    </row>
    <row r="22" spans="1:6" ht="15.75" customHeight="1">
      <c r="A22" s="16">
        <v>2084046973</v>
      </c>
      <c r="B22" s="16" t="s">
        <v>46</v>
      </c>
      <c r="C22" s="16" t="s">
        <v>5637</v>
      </c>
      <c r="D22" s="5" t="str">
        <f ca="1">IFERROR(__xludf.DUMMYFUNCTION("GOOGLETRANSLATE(B22,""ja"",""vi"")"),"nếu không thì")</f>
        <v>nếu không thì</v>
      </c>
      <c r="E22" s="4" t="str">
        <f ca="1">IFERROR(__xludf.DUMMYFUNCTION("GOOGLETRANSLATE(C22,""ja"",""vi"")"),"Đấu giá&gt; phim, video&gt; DVD&gt; phim&gt; Khác")</f>
        <v>Đấu giá&gt; phim, video&gt; DVD&gt; phim&gt; Khác</v>
      </c>
      <c r="F22" t="str">
        <f t="shared" ca="1" si="0"/>
        <v>"2084046973" : "nếu không thì",</v>
      </c>
    </row>
    <row r="23" spans="1:6" ht="15.75" customHeight="1">
      <c r="A23" s="14">
        <v>2084057188</v>
      </c>
      <c r="B23" s="14" t="s">
        <v>5641</v>
      </c>
      <c r="C23" s="14" t="s">
        <v>5643</v>
      </c>
      <c r="D23" s="5" t="str">
        <f ca="1">IFERROR(__xludf.DUMMYFUNCTION("GOOGLETRANSLATE(B23,""ja"",""vi"")"),"sơn mài Nhật")</f>
        <v>sơn mài Nhật</v>
      </c>
      <c r="E23" s="4" t="str">
        <f ca="1">IFERROR(__xludf.DUMMYFUNCTION("GOOGLETRANSLATE(C23,""ja"",""vi"")"),"Đấu giá&gt; phim, video&gt; DVD&gt; Anime&gt; Nhật Bản")</f>
        <v>Đấu giá&gt; phim, video&gt; DVD&gt; Anime&gt; Nhật Bản</v>
      </c>
      <c r="F23" t="str">
        <f t="shared" ca="1" si="0"/>
        <v>"2084057188" : "sơn mài Nhật",</v>
      </c>
    </row>
    <row r="24" spans="1:6" ht="15.75" customHeight="1">
      <c r="A24" s="14">
        <v>2084057189</v>
      </c>
      <c r="B24" s="14" t="s">
        <v>5644</v>
      </c>
      <c r="C24" s="14" t="s">
        <v>5646</v>
      </c>
      <c r="D24" s="5" t="str">
        <f ca="1">IFERROR(__xludf.DUMMYFUNCTION("GOOGLETRANSLATE(B24,""ja"",""vi"")"),"nước ngoài")</f>
        <v>nước ngoài</v>
      </c>
      <c r="E24" s="4" t="str">
        <f ca="1">IFERROR(__xludf.DUMMYFUNCTION("GOOGLETRANSLATE(C24,""ja"",""vi"")"),"Đấu giá&gt; phim, video&gt; DVD&gt; Anime&gt; Overseas")</f>
        <v>Đấu giá&gt; phim, video&gt; DVD&gt; Anime&gt; Overseas</v>
      </c>
      <c r="F24" t="str">
        <f t="shared" ca="1" si="0"/>
        <v>"2084057189" : "nước ngoài",</v>
      </c>
    </row>
    <row r="25" spans="1:6" ht="15.75" customHeight="1">
      <c r="A25" s="14">
        <v>2084214618</v>
      </c>
      <c r="B25" s="14" t="s">
        <v>5644</v>
      </c>
      <c r="C25" s="14" t="s">
        <v>5648</v>
      </c>
      <c r="D25" s="5" t="str">
        <f ca="1">IFERROR(__xludf.DUMMYFUNCTION("GOOGLETRANSLATE(B25,""ja"",""vi"")"),"nước ngoài")</f>
        <v>nước ngoài</v>
      </c>
      <c r="E25" s="4" t="str">
        <f ca="1">IFERROR(__xludf.DUMMYFUNCTION("GOOGLETRANSLATE(C25,""ja"",""vi"")"),"Đấu giá&gt; phim, video&gt; DVD&gt; TV drama&gt; ở nước ngoài")</f>
        <v>Đấu giá&gt; phim, video&gt; DVD&gt; TV drama&gt; ở nước ngoài</v>
      </c>
      <c r="F25" t="str">
        <f t="shared" ca="1" si="0"/>
        <v>"2084214618" : "nước ngoài",</v>
      </c>
    </row>
    <row r="26" spans="1:6" ht="15.75" customHeight="1">
      <c r="A26" s="14">
        <v>2084214619</v>
      </c>
      <c r="B26" s="14" t="s">
        <v>5641</v>
      </c>
      <c r="C26" s="14" t="s">
        <v>5650</v>
      </c>
      <c r="D26" s="5" t="str">
        <f ca="1">IFERROR(__xludf.DUMMYFUNCTION("GOOGLETRANSLATE(B26,""ja"",""vi"")"),"sơn mài Nhật")</f>
        <v>sơn mài Nhật</v>
      </c>
      <c r="E26" s="4" t="str">
        <f ca="1">IFERROR(__xludf.DUMMYFUNCTION("GOOGLETRANSLATE(C26,""ja"",""vi"")"),"Đấu giá&gt; phim, video&gt; DVD&gt; bộ phim truyền hình&gt; Nhật Bản")</f>
        <v>Đấu giá&gt; phim, video&gt; DVD&gt; bộ phim truyền hình&gt; Nhật Bản</v>
      </c>
      <c r="F26" t="str">
        <f t="shared" ca="1" si="0"/>
        <v>"2084214619" : "sơn mài Nhật",</v>
      </c>
    </row>
    <row r="27" spans="1:6" ht="15.75" customHeight="1">
      <c r="A27" s="14">
        <v>2084057161</v>
      </c>
      <c r="B27" s="14" t="s">
        <v>5651</v>
      </c>
      <c r="C27" s="14" t="s">
        <v>5652</v>
      </c>
      <c r="D27" s="5" t="str">
        <f ca="1">IFERROR(__xludf.DUMMYFUNCTION("GOOGLETRANSLATE(B27,""ja"",""vi"")"),"phụ nữ nhàn rỗi")</f>
        <v>phụ nữ nhàn rỗi</v>
      </c>
      <c r="E27" s="4" t="str">
        <f ca="1">IFERROR(__xludf.DUMMYFUNCTION("GOOGLETRANSLATE(C27,""ja"",""vi"")"),"Đấu giá&gt; phim, video&gt; DVD&gt; thần tượng&gt; người phụ nữ thần tượng")</f>
        <v>Đấu giá&gt; phim, video&gt; DVD&gt; thần tượng&gt; người phụ nữ thần tượng</v>
      </c>
      <c r="F27" t="str">
        <f t="shared" ca="1" si="0"/>
        <v>"2084057161" : "phụ nữ nhàn rỗi",</v>
      </c>
    </row>
    <row r="28" spans="1:6" ht="15.75" customHeight="1">
      <c r="A28" s="14">
        <v>2084057160</v>
      </c>
      <c r="B28" s="14" t="s">
        <v>5653</v>
      </c>
      <c r="C28" s="14" t="s">
        <v>5654</v>
      </c>
      <c r="D28" s="5" t="str">
        <f ca="1">IFERROR(__xludf.DUMMYFUNCTION("GOOGLETRANSLATE(B28,""ja"",""vi"")"),"thần tượng nam")</f>
        <v>thần tượng nam</v>
      </c>
      <c r="E28" s="4" t="str">
        <f ca="1">IFERROR(__xludf.DUMMYFUNCTION("GOOGLETRANSLATE(C28,""ja"",""vi"")"),"Đấu giá&gt; phim, video&gt; DVD&gt; thần tượng&gt; thần tượng nam")</f>
        <v>Đấu giá&gt; phim, video&gt; DVD&gt; thần tượng&gt; thần tượng nam</v>
      </c>
      <c r="F28" t="str">
        <f t="shared" ca="1" si="0"/>
        <v>"2084057160" : "thần tượng nam",</v>
      </c>
    </row>
    <row r="29" spans="1:6" ht="15.75" customHeight="1">
      <c r="A29" s="14">
        <v>2084047141</v>
      </c>
      <c r="B29" s="14" t="s">
        <v>5655</v>
      </c>
      <c r="C29" s="14" t="s">
        <v>5656</v>
      </c>
      <c r="D29" s="5" t="str">
        <f ca="1">IFERROR(__xludf.DUMMYFUNCTION("GOOGLETRANSLATE(B29,""ja"",""vi"")"),"nghệ thuật")</f>
        <v>nghệ thuật</v>
      </c>
      <c r="E29" s="4" t="str">
        <f ca="1">IFERROR(__xludf.DUMMYFUNCTION("GOOGLETRANSLATE(C29,""ja"",""vi"")"),"Đấu giá&gt; phim, video&gt; DVD&gt; sở thích, thực tế&gt; Nghệ thuật")</f>
        <v>Đấu giá&gt; phim, video&gt; DVD&gt; sở thích, thực tế&gt; Nghệ thuật</v>
      </c>
      <c r="F29" t="str">
        <f t="shared" ca="1" si="0"/>
        <v>"2084047141" : "nghệ thuật",</v>
      </c>
    </row>
    <row r="30" spans="1:6" ht="15.75" customHeight="1">
      <c r="A30" s="14">
        <v>2084047142</v>
      </c>
      <c r="B30" s="14" t="s">
        <v>5659</v>
      </c>
      <c r="C30" s="14" t="s">
        <v>5660</v>
      </c>
      <c r="D30" s="5" t="str">
        <f ca="1">IFERROR(__xludf.DUMMYFUNCTION("GOOGLETRANSLATE(B30,""ja"",""vi"")"),"edutainment")</f>
        <v>edutainment</v>
      </c>
      <c r="E30" s="4" t="str">
        <f ca="1">IFERROR(__xludf.DUMMYFUNCTION("GOOGLETRANSLATE(C30,""ja"",""vi"")"),"Đấu giá&gt; phim, video&gt; DVD&gt; sở thích, thực tế&gt; giáo dục giải trí")</f>
        <v>Đấu giá&gt; phim, video&gt; DVD&gt; sở thích, thực tế&gt; giáo dục giải trí</v>
      </c>
      <c r="F30" t="str">
        <f t="shared" ca="1" si="0"/>
        <v>"2084047142" : "edutainment",</v>
      </c>
    </row>
    <row r="31" spans="1:6" ht="15.75" customHeight="1">
      <c r="A31" s="14">
        <v>2084047143</v>
      </c>
      <c r="B31" s="14" t="s">
        <v>5663</v>
      </c>
      <c r="C31" s="14" t="s">
        <v>5664</v>
      </c>
      <c r="D31" s="5" t="str">
        <f ca="1">IFERROR(__xludf.DUMMYFUNCTION("GOOGLETRANSLATE(B31,""ja"",""vi"")"),"quân đội")</f>
        <v>quân đội</v>
      </c>
      <c r="E31" s="4" t="str">
        <f ca="1">IFERROR(__xludf.DUMMYFUNCTION("GOOGLETRANSLATE(C31,""ja"",""vi"")"),"Đấu giá&gt; phim, video&gt; DVD&gt; sở thích, sử dụng thực tế&gt; Quân sự")</f>
        <v>Đấu giá&gt; phim, video&gt; DVD&gt; sở thích, sử dụng thực tế&gt; Quân sự</v>
      </c>
      <c r="F31" t="str">
        <f t="shared" ca="1" si="0"/>
        <v>"2084047143" : "quân đội",</v>
      </c>
    </row>
    <row r="32" spans="1:6" ht="15.75" customHeight="1">
      <c r="A32" s="14">
        <v>2084047144</v>
      </c>
      <c r="B32" s="14" t="s">
        <v>5667</v>
      </c>
      <c r="C32" s="14" t="s">
        <v>5668</v>
      </c>
      <c r="D32" s="5" t="str">
        <f ca="1">IFERROR(__xludf.DUMMYFUNCTION("GOOGLETRANSLATE(B32,""ja"",""vi"")"),"khoa học")</f>
        <v>khoa học</v>
      </c>
      <c r="E32" s="4" t="str">
        <f ca="1">IFERROR(__xludf.DUMMYFUNCTION("GOOGLETRANSLATE(C32,""ja"",""vi"")"),"Đấu giá&gt; phim, video&gt; DVD&gt; sở thích, sử dụng thực tế&gt; khoa học")</f>
        <v>Đấu giá&gt; phim, video&gt; DVD&gt; sở thích, sử dụng thực tế&gt; khoa học</v>
      </c>
      <c r="F32" t="str">
        <f t="shared" ca="1" si="0"/>
        <v>"2084047144" : "khoa học",</v>
      </c>
    </row>
    <row r="33" spans="1:6" ht="15.75" customHeight="1">
      <c r="A33" s="14">
        <v>2084047146</v>
      </c>
      <c r="B33" s="14" t="s">
        <v>5669</v>
      </c>
      <c r="C33" s="14" t="s">
        <v>5670</v>
      </c>
      <c r="D33" s="5" t="str">
        <f ca="1">IFERROR(__xludf.DUMMYFUNCTION("GOOGLETRANSLATE(B33,""ja"",""vi"")"),"bản chất")</f>
        <v>bản chất</v>
      </c>
      <c r="E33" s="4" t="str">
        <f ca="1">IFERROR(__xludf.DUMMYFUNCTION("GOOGLETRANSLATE(C33,""ja"",""vi"")"),"Đấu giá&gt; phim, video&gt; DVD&gt; sở thích, sử dụng thực tế&gt; Nature")</f>
        <v>Đấu giá&gt; phim, video&gt; DVD&gt; sở thích, sử dụng thực tế&gt; Nature</v>
      </c>
      <c r="F33" t="str">
        <f t="shared" ca="1" si="0"/>
        <v>"2084047146" : "bản chất",</v>
      </c>
    </row>
    <row r="34" spans="1:6" ht="15.75" customHeight="1">
      <c r="A34" s="14">
        <v>2084047147</v>
      </c>
      <c r="B34" s="14" t="s">
        <v>3410</v>
      </c>
      <c r="C34" s="14" t="s">
        <v>5671</v>
      </c>
      <c r="D34" s="5" t="str">
        <f ca="1">IFERROR(__xludf.DUMMYFUNCTION("GOOGLETRANSLATE(B34,""ja"",""vi"")"),"xe cộ")</f>
        <v>xe cộ</v>
      </c>
      <c r="E34" s="4" t="str">
        <f ca="1">IFERROR(__xludf.DUMMYFUNCTION("GOOGLETRANSLATE(C34,""ja"",""vi"")"),"Đấu giá&gt; phim, video&gt; DVD&gt; sở thích, sử dụng thực tế&gt; Phương tiện đi lại")</f>
        <v>Đấu giá&gt; phim, video&gt; DVD&gt; sở thích, sử dụng thực tế&gt; Phương tiện đi lại</v>
      </c>
      <c r="F34" t="str">
        <f t="shared" ca="1" si="0"/>
        <v>"2084047147" : "xe cộ",</v>
      </c>
    </row>
    <row r="35" spans="1:6" ht="15.75" customHeight="1">
      <c r="A35" s="14">
        <v>2084047148</v>
      </c>
      <c r="B35" s="14" t="s">
        <v>4516</v>
      </c>
      <c r="C35" s="14" t="s">
        <v>5672</v>
      </c>
      <c r="D35" s="5" t="str">
        <f ca="1">IFERROR(__xludf.DUMMYFUNCTION("GOOGLETRANSLATE(B35,""ja"",""vi"")"),"động vật")</f>
        <v>động vật</v>
      </c>
      <c r="E35" s="4" t="str">
        <f ca="1">IFERROR(__xludf.DUMMYFUNCTION("GOOGLETRANSLATE(C35,""ja"",""vi"")"),"Đấu giá&gt; phim, video&gt; DVD&gt; sở thích, sử dụng thực tế&gt; động vật")</f>
        <v>Đấu giá&gt; phim, video&gt; DVD&gt; sở thích, sử dụng thực tế&gt; động vật</v>
      </c>
      <c r="F35" t="str">
        <f t="shared" ca="1" si="0"/>
        <v>"2084047148" : "động vật",</v>
      </c>
    </row>
    <row r="36" spans="1:6" ht="15.75" customHeight="1">
      <c r="A36" s="14">
        <v>2084047149</v>
      </c>
      <c r="B36" s="14" t="s">
        <v>5097</v>
      </c>
      <c r="C36" s="14" t="s">
        <v>5673</v>
      </c>
      <c r="D36" s="5" t="str">
        <f ca="1">IFERROR(__xludf.DUMMYFUNCTION("GOOGLETRANSLATE(B36,""ja"",""vi"")"),"lịch sử")</f>
        <v>lịch sử</v>
      </c>
      <c r="E36" s="4" t="str">
        <f ca="1">IFERROR(__xludf.DUMMYFUNCTION("GOOGLETRANSLATE(C36,""ja"",""vi"")"),"Đấu giá&gt; phim, video&gt; DVD&gt; sở thích, sử dụng thực tế&gt; Lịch sử")</f>
        <v>Đấu giá&gt; phim, video&gt; DVD&gt; sở thích, sử dụng thực tế&gt; Lịch sử</v>
      </c>
      <c r="F36" t="str">
        <f t="shared" ca="1" si="0"/>
        <v>"2084047149" : "lịch sử",</v>
      </c>
    </row>
    <row r="37" spans="1:6" ht="15.75" customHeight="1">
      <c r="A37" s="14">
        <v>2084047140</v>
      </c>
      <c r="B37" s="14" t="s">
        <v>46</v>
      </c>
      <c r="C37" s="14" t="s">
        <v>5674</v>
      </c>
      <c r="D37" s="5" t="str">
        <f ca="1">IFERROR(__xludf.DUMMYFUNCTION("GOOGLETRANSLATE(B37,""ja"",""vi"")"),"nếu không thì")</f>
        <v>nếu không thì</v>
      </c>
      <c r="E37" s="4" t="str">
        <f ca="1">IFERROR(__xludf.DUMMYFUNCTION("GOOGLETRANSLATE(C37,""ja"",""vi"")"),"Đấu giá&gt; phim, video&gt; DVD&gt; sở thích, sử dụng thực tế&gt; Khác")</f>
        <v>Đấu giá&gt; phim, video&gt; DVD&gt; sở thích, sử dụng thực tế&gt; Khác</v>
      </c>
      <c r="F37" t="str">
        <f t="shared" ca="1" si="0"/>
        <v>"2084047140" : "nếu không thì",</v>
      </c>
    </row>
    <row r="38" spans="1:6" ht="15.75" customHeight="1">
      <c r="A38" s="14">
        <v>2084214639</v>
      </c>
      <c r="B38" s="14" t="s">
        <v>5675</v>
      </c>
      <c r="C38" s="14" t="s">
        <v>5676</v>
      </c>
      <c r="D38" s="5" t="str">
        <f ca="1">IFERROR(__xludf.DUMMYFUNCTION("GOOGLETRANSLATE(B38,""ja"",""vi"")"),"Manzai, bộ điều khiển, bộ phim hài")</f>
        <v>Manzai, bộ điều khiển, bộ phim hài</v>
      </c>
      <c r="E38" s="4" t="str">
        <f ca="1">IFERROR(__xludf.DUMMYFUNCTION("GOOGLETRANSLATE(C38,""ja"",""vi"")"),"Đấu giá&gt; phim, video&gt; DVD&gt; Comedy, nhiều&gt; đối thoại hài hước, bộ điều khiển, bộ phim hài")</f>
        <v>Đấu giá&gt; phim, video&gt; DVD&gt; Comedy, nhiều&gt; đối thoại hài hước, bộ điều khiển, bộ phim hài</v>
      </c>
      <c r="F38" t="str">
        <f t="shared" ca="1" si="0"/>
        <v>"2084214639" : "Manzai, bộ điều khiển, bộ phim hài",</v>
      </c>
    </row>
    <row r="39" spans="1:6" ht="15.75" customHeight="1">
      <c r="A39" s="14">
        <v>2084214638</v>
      </c>
      <c r="B39" s="14" t="s">
        <v>5677</v>
      </c>
      <c r="C39" s="14" t="s">
        <v>5678</v>
      </c>
      <c r="D39" s="5" t="str">
        <f ca="1">IFERROR(__xludf.DUMMYFUNCTION("GOOGLETRANSLATE(B39,""ja"",""vi"")"),"biểu diễn nghệ thuật cổ điển")</f>
        <v>biểu diễn nghệ thuật cổ điển</v>
      </c>
      <c r="E39" s="4" t="str">
        <f ca="1">IFERROR(__xludf.DUMMYFUNCTION("GOOGLETRANSLATE(C39,""ja"",""vi"")"),"Đấu giá&gt; phim, video&gt; DVD&gt; Comedy, Variety&gt; biểu diễn nghệ thuật cổ điển")</f>
        <v>Đấu giá&gt; phim, video&gt; DVD&gt; Comedy, Variety&gt; biểu diễn nghệ thuật cổ điển</v>
      </c>
      <c r="F39" t="str">
        <f t="shared" ca="1" si="0"/>
        <v>"2084214638" : "biểu diễn nghệ thuật cổ điển",</v>
      </c>
    </row>
    <row r="40" spans="1:6" ht="15.75" customHeight="1">
      <c r="A40" s="14">
        <v>2084214640</v>
      </c>
      <c r="B40" s="14" t="s">
        <v>46</v>
      </c>
      <c r="C40" s="14" t="s">
        <v>5679</v>
      </c>
      <c r="D40" s="5" t="str">
        <f ca="1">IFERROR(__xludf.DUMMYFUNCTION("GOOGLETRANSLATE(B40,""ja"",""vi"")"),"nếu không thì")</f>
        <v>nếu không thì</v>
      </c>
      <c r="E40" s="4" t="str">
        <f ca="1">IFERROR(__xludf.DUMMYFUNCTION("GOOGLETRANSLATE(C40,""ja"",""vi"")"),"Đấu giá&gt; phim, video&gt; DVD&gt; Comedy, Variety&gt; Khác")</f>
        <v>Đấu giá&gt; phim, video&gt; DVD&gt; Comedy, Variety&gt; Khác</v>
      </c>
      <c r="F40" t="str">
        <f t="shared" ca="1" si="0"/>
        <v>"2084214640" : "nếu không thì",</v>
      </c>
    </row>
    <row r="41" spans="1:6" ht="15.75" customHeight="1">
      <c r="A41" s="14">
        <v>2084216600</v>
      </c>
      <c r="B41" s="14" t="s">
        <v>5683</v>
      </c>
      <c r="C41" s="14" t="s">
        <v>5685</v>
      </c>
      <c r="D41" s="5" t="str">
        <f ca="1">IFERROR(__xludf.DUMMYFUNCTION("GOOGLETRANSLATE(B41,""ja"",""vi"")"),"thể thao mùa đông")</f>
        <v>thể thao mùa đông</v>
      </c>
      <c r="E41" s="4" t="str">
        <f ca="1">IFERROR(__xludf.DUMMYFUNCTION("GOOGLETRANSLATE(C41,""ja"",""vi"")"),"Đấu giá&gt; phim, video&gt; DVD&gt; thể thao, giải trí&gt; Thể thao mùa đông")</f>
        <v>Đấu giá&gt; phim, video&gt; DVD&gt; thể thao, giải trí&gt; Thể thao mùa đông</v>
      </c>
      <c r="F41" t="str">
        <f t="shared" ca="1" si="0"/>
        <v>"2084216600" : "thể thao mùa đông",</v>
      </c>
    </row>
    <row r="42" spans="1:6" ht="15.75" customHeight="1">
      <c r="A42" s="14">
        <v>2084216601</v>
      </c>
      <c r="B42" s="14" t="s">
        <v>5686</v>
      </c>
      <c r="C42" s="14" t="s">
        <v>5687</v>
      </c>
      <c r="D42" s="5" t="str">
        <f ca="1">IFERROR(__xludf.DUMMYFUNCTION("GOOGLETRANSLATE(B42,""ja"",""vi"")"),"Tập thể dục, yoga")</f>
        <v>Tập thể dục, yoga</v>
      </c>
      <c r="E42" s="4" t="str">
        <f ca="1">IFERROR(__xludf.DUMMYFUNCTION("GOOGLETRANSLATE(C42,""ja"",""vi"")"),"Đấu giá&gt; phim, video&gt; DVD&gt; thể thao, giải trí&gt; tập thể dục, yoga")</f>
        <v>Đấu giá&gt; phim, video&gt; DVD&gt; thể thao, giải trí&gt; tập thể dục, yoga</v>
      </c>
      <c r="F42" t="str">
        <f t="shared" ca="1" si="0"/>
        <v>"2084216601" : "Tập thể dục, yoga",</v>
      </c>
    </row>
    <row r="43" spans="1:6" ht="15.75" customHeight="1">
      <c r="A43" s="14">
        <v>2084256903</v>
      </c>
      <c r="B43" s="14" t="s">
        <v>5690</v>
      </c>
      <c r="C43" s="14" t="s">
        <v>5691</v>
      </c>
      <c r="D43" s="5" t="str">
        <f ca="1">IFERROR(__xludf.DUMMYFUNCTION("GOOGLETRANSLATE(B43,""ja"",""vi"")"),"đua xe")</f>
        <v>đua xe</v>
      </c>
      <c r="E43" s="4" t="str">
        <f ca="1">IFERROR(__xludf.DUMMYFUNCTION("GOOGLETRANSLATE(C43,""ja"",""vi"")"),"Đấu giá&gt; phim, video&gt; DVD&gt; thể thao, giải trí&gt; đua xe")</f>
        <v>Đấu giá&gt; phim, video&gt; DVD&gt; thể thao, giải trí&gt; đua xe</v>
      </c>
      <c r="F43" t="str">
        <f t="shared" ca="1" si="0"/>
        <v>"2084256903" : "đua xe",</v>
      </c>
    </row>
    <row r="44" spans="1:6" ht="15.75" customHeight="1">
      <c r="A44" s="14">
        <v>2084214624</v>
      </c>
      <c r="B44" s="14" t="s">
        <v>5694</v>
      </c>
      <c r="C44" s="14" t="s">
        <v>5695</v>
      </c>
      <c r="D44" s="5" t="str">
        <f ca="1">IFERROR(__xludf.DUMMYFUNCTION("GOOGLETRANSLATE(B44,""ja"",""vi"")"),"võ thuật")</f>
        <v>võ thuật</v>
      </c>
      <c r="E44" s="4" t="str">
        <f ca="1">IFERROR(__xludf.DUMMYFUNCTION("GOOGLETRANSLATE(C44,""ja"",""vi"")"),"Đấu giá&gt; phim, video&gt; DVD&gt; thể thao, giải trí&gt; Võ thuật")</f>
        <v>Đấu giá&gt; phim, video&gt; DVD&gt; thể thao, giải trí&gt; Võ thuật</v>
      </c>
      <c r="F44" t="str">
        <f t="shared" ca="1" si="0"/>
        <v>"2084214624" : "võ thuật",</v>
      </c>
    </row>
    <row r="45" spans="1:6" ht="15.75" customHeight="1">
      <c r="A45" s="14">
        <v>2084214620</v>
      </c>
      <c r="B45" s="14" t="s">
        <v>5698</v>
      </c>
      <c r="C45" s="14" t="s">
        <v>5699</v>
      </c>
      <c r="D45" s="5" t="str">
        <f ca="1">IFERROR(__xludf.DUMMYFUNCTION("GOOGLETRANSLATE(B45,""ja"",""vi"")"),"bóng Games")</f>
        <v>bóng Games</v>
      </c>
      <c r="E45" s="4" t="str">
        <f ca="1">IFERROR(__xludf.DUMMYFUNCTION("GOOGLETRANSLATE(C45,""ja"",""vi"")"),"Đấu giá&gt; phim, video&gt; DVD&gt; thể thao, giải trí&gt; bóng trò chơi")</f>
        <v>Đấu giá&gt; phim, video&gt; DVD&gt; thể thao, giải trí&gt; bóng trò chơi</v>
      </c>
      <c r="F45" t="str">
        <f t="shared" ca="1" si="0"/>
        <v>"2084214620" : "bóng Games",</v>
      </c>
    </row>
    <row r="46" spans="1:6" ht="15.75" customHeight="1">
      <c r="A46" s="14">
        <v>2084256905</v>
      </c>
      <c r="B46" s="14" t="s">
        <v>5420</v>
      </c>
      <c r="C46" s="14" t="s">
        <v>5703</v>
      </c>
      <c r="D46" s="5" t="str">
        <f ca="1">IFERROR(__xludf.DUMMYFUNCTION("GOOGLETRANSLATE(B46,""ja"",""vi"")"),"horseracing")</f>
        <v>horseracing</v>
      </c>
      <c r="E46" s="4" t="str">
        <f ca="1">IFERROR(__xludf.DUMMYFUNCTION("GOOGLETRANSLATE(C46,""ja"",""vi"")"),"Đấu giá&gt; phim, video&gt; DVD&gt; thể thao, giải trí&gt; Đua ngựa")</f>
        <v>Đấu giá&gt; phim, video&gt; DVD&gt; thể thao, giải trí&gt; Đua ngựa</v>
      </c>
      <c r="F46" t="str">
        <f t="shared" ca="1" si="0"/>
        <v>"2084256905" : "horseracing",</v>
      </c>
    </row>
    <row r="47" spans="1:6" ht="15.75" customHeight="1">
      <c r="A47" s="14">
        <v>2084256904</v>
      </c>
      <c r="B47" s="14" t="s">
        <v>23</v>
      </c>
      <c r="C47" s="14" t="s">
        <v>5706</v>
      </c>
      <c r="D47" s="5" t="str">
        <f ca="1">IFERROR(__xludf.DUMMYFUNCTION("GOOGLETRANSLATE(B47,""ja"",""vi"")"),"xe đạp")</f>
        <v>xe đạp</v>
      </c>
      <c r="E47" s="4" t="str">
        <f ca="1">IFERROR(__xludf.DUMMYFUNCTION("GOOGLETRANSLATE(C47,""ja"",""vi"")"),"Đấu giá&gt; phim, video&gt; DVD&gt; thể thao, giải trí&gt; xe đạp")</f>
        <v>Đấu giá&gt; phim, video&gt; DVD&gt; thể thao, giải trí&gt; xe đạp</v>
      </c>
      <c r="F47" t="str">
        <f t="shared" ca="1" si="0"/>
        <v>"2084256904" : "xe đạp",</v>
      </c>
    </row>
    <row r="48" spans="1:6" ht="15.75" customHeight="1">
      <c r="A48" s="14">
        <v>2084216602</v>
      </c>
      <c r="B48" s="14" t="s">
        <v>5708</v>
      </c>
      <c r="C48" s="14" t="s">
        <v>5709</v>
      </c>
      <c r="D48" s="5" t="str">
        <f ca="1">IFERROR(__xludf.DUMMYFUNCTION("GOOGLETRANSLATE(B48,""ja"",""vi"")"),"đi du lịch")</f>
        <v>đi du lịch</v>
      </c>
      <c r="E48" s="4" t="str">
        <f ca="1">IFERROR(__xludf.DUMMYFUNCTION("GOOGLETRANSLATE(C48,""ja"",""vi"")"),"Đấu giá&gt; phim, video&gt; DVD&gt; thể thao, giải trí&gt; Du lịch")</f>
        <v>Đấu giá&gt; phim, video&gt; DVD&gt; thể thao, giải trí&gt; Du lịch</v>
      </c>
      <c r="F48" t="str">
        <f t="shared" ca="1" si="0"/>
        <v>"2084216602" : "đi du lịch",</v>
      </c>
    </row>
    <row r="49" spans="1:6" ht="15.75" customHeight="1">
      <c r="A49" s="14">
        <v>2084214627</v>
      </c>
      <c r="B49" s="14" t="s">
        <v>46</v>
      </c>
      <c r="C49" s="14" t="s">
        <v>5712</v>
      </c>
      <c r="D49" s="5" t="str">
        <f ca="1">IFERROR(__xludf.DUMMYFUNCTION("GOOGLETRANSLATE(B49,""ja"",""vi"")"),"nếu không thì")</f>
        <v>nếu không thì</v>
      </c>
      <c r="E49" s="4" t="str">
        <f ca="1">IFERROR(__xludf.DUMMYFUNCTION("GOOGLETRANSLATE(C49,""ja"",""vi"")"),"Đấu giá&gt; phim, video&gt; DVD&gt; thể thao, giải trí&gt; Khác")</f>
        <v>Đấu giá&gt; phim, video&gt; DVD&gt; thể thao, giải trí&gt; Khác</v>
      </c>
      <c r="F49" t="str">
        <f t="shared" ca="1" si="0"/>
        <v>"2084214627" : "nếu không thì",</v>
      </c>
    </row>
    <row r="50" spans="1:6" ht="15.75" customHeight="1">
      <c r="A50" s="14">
        <v>2084041520</v>
      </c>
      <c r="B50" s="14" t="s">
        <v>1139</v>
      </c>
      <c r="C50" s="14" t="s">
        <v>5715</v>
      </c>
      <c r="D50" s="5" t="str">
        <f ca="1">IFERROR(__xludf.DUMMYFUNCTION("GOOGLETRANSLATE(B50,""ja"",""vi"")"),"Pop Nhật Bản")</f>
        <v>Pop Nhật Bản</v>
      </c>
      <c r="E50" s="4" t="str">
        <f ca="1">IFERROR(__xludf.DUMMYFUNCTION("GOOGLETRANSLATE(C50,""ja"",""vi"")"),"Đấu giá&gt; nhạc&gt; DVD&gt; Pop Nhật Bản")</f>
        <v>Đấu giá&gt; nhạc&gt; DVD&gt; Pop Nhật Bản</v>
      </c>
      <c r="F50" t="str">
        <f t="shared" ca="1" si="0"/>
        <v>"2084041520" : "Pop Nhật Bản",</v>
      </c>
    </row>
    <row r="51" spans="1:6" ht="15.75" customHeight="1">
      <c r="A51" s="14">
        <v>2084041521</v>
      </c>
      <c r="B51" s="14" t="s">
        <v>1751</v>
      </c>
      <c r="C51" s="14" t="s">
        <v>5718</v>
      </c>
      <c r="D51" s="5" t="str">
        <f ca="1">IFERROR(__xludf.DUMMYFUNCTION("GOOGLETRANSLATE(B51,""ja"",""vi"")"),"Rock, Pop (Western)")</f>
        <v>Rock, Pop (Western)</v>
      </c>
      <c r="E51" s="4" t="str">
        <f ca="1">IFERROR(__xludf.DUMMYFUNCTION("GOOGLETRANSLATE(C51,""ja"",""vi"")"),"Đấu giá&gt; nhạc&gt; DVD&gt; Khóa, pops (Western)")</f>
        <v>Đấu giá&gt; nhạc&gt; DVD&gt; Khóa, pops (Western)</v>
      </c>
      <c r="F51" t="str">
        <f t="shared" ca="1" si="0"/>
        <v>"2084041521" : "Rock, Pop (Western)",</v>
      </c>
    </row>
    <row r="52" spans="1:6" ht="15.75" customHeight="1">
      <c r="A52" s="14">
        <v>2084048523</v>
      </c>
      <c r="B52" s="14" t="s">
        <v>1176</v>
      </c>
      <c r="C52" s="14" t="s">
        <v>5720</v>
      </c>
      <c r="D52" s="5" t="str">
        <f ca="1">IFERROR(__xludf.DUMMYFUNCTION("GOOGLETRANSLATE(B52,""ja"",""vi"")"),"nhạc jazz")</f>
        <v>nhạc jazz</v>
      </c>
      <c r="E52" s="4" t="str">
        <f ca="1">IFERROR(__xludf.DUMMYFUNCTION("GOOGLETRANSLATE(C52,""ja"",""vi"")"),"Đấu giá&gt; Âm nhạc&gt; DVD&gt; Jazz")</f>
        <v>Đấu giá&gt; Âm nhạc&gt; DVD&gt; Jazz</v>
      </c>
      <c r="F52" t="str">
        <f t="shared" ca="1" si="0"/>
        <v>"2084048523" : "nhạc jazz",</v>
      </c>
    </row>
    <row r="53" spans="1:6" ht="15.75" customHeight="1">
      <c r="A53" s="14">
        <v>2084049856</v>
      </c>
      <c r="B53" s="14" t="s">
        <v>1162</v>
      </c>
      <c r="C53" s="14" t="s">
        <v>5723</v>
      </c>
      <c r="D53" s="5" t="str">
        <f ca="1">IFERROR(__xludf.DUMMYFUNCTION("GOOGLETRANSLATE(B53,""ja"",""vi"")"),"cổ điển")</f>
        <v>cổ điển</v>
      </c>
      <c r="E53" s="4" t="str">
        <f ca="1">IFERROR(__xludf.DUMMYFUNCTION("GOOGLETRANSLATE(C53,""ja"",""vi"")"),"Đấu giá&gt; Âm nhạc&gt; DVD&gt; cổ điển")</f>
        <v>Đấu giá&gt; Âm nhạc&gt; DVD&gt; cổ điển</v>
      </c>
      <c r="F53" t="str">
        <f t="shared" ca="1" si="0"/>
        <v>"2084049856" : "cổ điển",</v>
      </c>
    </row>
    <row r="54" spans="1:6" ht="15.75" customHeight="1">
      <c r="A54" s="14">
        <v>2084041526</v>
      </c>
      <c r="B54" s="14" t="s">
        <v>46</v>
      </c>
      <c r="C54" s="14" t="s">
        <v>5724</v>
      </c>
      <c r="D54" s="5" t="str">
        <f ca="1">IFERROR(__xludf.DUMMYFUNCTION("GOOGLETRANSLATE(B54,""ja"",""vi"")"),"nếu không thì")</f>
        <v>nếu không thì</v>
      </c>
      <c r="E54" s="4" t="str">
        <f ca="1">IFERROR(__xludf.DUMMYFUNCTION("GOOGLETRANSLATE(C54,""ja"",""vi"")"),"Đấu giá&gt; Âm nhạc&gt; DVD&gt; Khác")</f>
        <v>Đấu giá&gt; Âm nhạc&gt; DVD&gt; Khác</v>
      </c>
      <c r="F54" t="str">
        <f t="shared" ca="1" si="0"/>
        <v>"2084041526" : "nếu không thì",</v>
      </c>
    </row>
    <row r="55" spans="1:6" ht="15.75" customHeight="1">
      <c r="A55" s="14">
        <v>2084045045</v>
      </c>
      <c r="B55" s="14" t="s">
        <v>3000</v>
      </c>
      <c r="C55" s="14" t="s">
        <v>5725</v>
      </c>
      <c r="D55" s="5" t="str">
        <f ca="1">IFERROR(__xludf.DUMMYFUNCTION("GOOGLETRANSLATE(B55,""ja"",""vi"")"),"Ultraman")</f>
        <v>Ultraman</v>
      </c>
      <c r="E55" s="4" t="str">
        <f ca="1">IFERROR(__xludf.DUMMYFUNCTION("GOOGLETRANSLATE(C55,""ja"",""vi"")"),"Đấu giá&gt; phim, video&gt; DVD&gt; phim&gt; hiệu ứng đặc biệt&gt; Ultraman")</f>
        <v>Đấu giá&gt; phim, video&gt; DVD&gt; phim&gt; hiệu ứng đặc biệt&gt; Ultraman</v>
      </c>
      <c r="F55" t="str">
        <f t="shared" ca="1" si="0"/>
        <v>"2084045045" : "Ultraman",</v>
      </c>
    </row>
    <row r="56" spans="1:6" ht="15.75" customHeight="1">
      <c r="A56" s="14">
        <v>2084045047</v>
      </c>
      <c r="B56" s="14" t="s">
        <v>2241</v>
      </c>
      <c r="C56" s="14" t="s">
        <v>5726</v>
      </c>
      <c r="D56" s="5" t="str">
        <f ca="1">IFERROR(__xludf.DUMMYFUNCTION("GOOGLETRANSLATE(B56,""ja"",""vi"")"),"chung")</f>
        <v>chung</v>
      </c>
      <c r="E56" s="4" t="str">
        <f ca="1">IFERROR(__xludf.DUMMYFUNCTION("GOOGLETRANSLATE(C56,""ja"",""vi"")"),"Đấu giá&gt; phim, video&gt; DVD&gt; phim&gt; hiệu ứng đặc biệt&gt; chung")</f>
        <v>Đấu giá&gt; phim, video&gt; DVD&gt; phim&gt; hiệu ứng đặc biệt&gt; chung</v>
      </c>
      <c r="F56" t="str">
        <f t="shared" ca="1" si="0"/>
        <v>"2084045047" : "chung",</v>
      </c>
    </row>
    <row r="57" spans="1:6" ht="15.75" customHeight="1">
      <c r="A57" s="14">
        <v>2084045046</v>
      </c>
      <c r="B57" s="14" t="s">
        <v>3019</v>
      </c>
      <c r="C57" s="14" t="s">
        <v>5727</v>
      </c>
      <c r="D57" s="5" t="str">
        <f ca="1">IFERROR(__xludf.DUMMYFUNCTION("GOOGLETRANSLATE(B57,""ja"",""vi"")"),"masked Rider")</f>
        <v>masked Rider</v>
      </c>
      <c r="E57" s="4" t="str">
        <f ca="1">IFERROR(__xludf.DUMMYFUNCTION("GOOGLETRANSLATE(C57,""ja"",""vi"")"),"Đấu giá&gt; phim, video&gt; DVD&gt; phim&gt; hiệu ứng đặc biệt&gt; Kamen Rider")</f>
        <v>Đấu giá&gt; phim, video&gt; DVD&gt; phim&gt; hiệu ứng đặc biệt&gt; Kamen Rider</v>
      </c>
      <c r="F57" t="str">
        <f t="shared" ca="1" si="0"/>
        <v>"2084045046" : "masked Rider",</v>
      </c>
    </row>
    <row r="58" spans="1:6" ht="15.75" customHeight="1">
      <c r="A58" s="14">
        <v>2084249073</v>
      </c>
      <c r="B58" s="14" t="s">
        <v>5728</v>
      </c>
      <c r="C58" s="14" t="s">
        <v>5729</v>
      </c>
      <c r="D58" s="5" t="str">
        <f ca="1">IFERROR(__xludf.DUMMYFUNCTION("GOOGLETRANSLATE(B58,""ja"",""vi"")"),"phim nước ngoài")</f>
        <v>phim nước ngoài</v>
      </c>
      <c r="E58" s="4" t="str">
        <f ca="1">IFERROR(__xludf.DUMMYFUNCTION("GOOGLETRANSLATE(C58,""ja"",""vi"")"),"Đấu giá&gt; phim, video&gt; Blu-Ray&gt; Điện ảnh&gt; Ngoại Films")</f>
        <v>Đấu giá&gt; phim, video&gt; Blu-Ray&gt; Điện ảnh&gt; Ngoại Films</v>
      </c>
      <c r="F58" t="str">
        <f t="shared" ca="1" si="0"/>
        <v>"2084249073" : "phim nước ngoài",</v>
      </c>
    </row>
    <row r="59" spans="1:6" ht="15.75" customHeight="1">
      <c r="A59" s="14">
        <v>2084249074</v>
      </c>
      <c r="B59" s="14" t="s">
        <v>3908</v>
      </c>
      <c r="C59" s="14" t="s">
        <v>5730</v>
      </c>
      <c r="D59" s="5" t="str">
        <f ca="1">IFERROR(__xludf.DUMMYFUNCTION("GOOGLETRANSLATE(B59,""ja"",""vi"")"),"Nhật Bản phim")</f>
        <v>Nhật Bản phim</v>
      </c>
      <c r="E59" s="4" t="str">
        <f ca="1">IFERROR(__xludf.DUMMYFUNCTION("GOOGLETRANSLATE(C59,""ja"",""vi"")"),"Đấu giá&gt; phim, video&gt; Blu-ray&gt; phim&gt; phim Nhật Bản")</f>
        <v>Đấu giá&gt; phim, video&gt; Blu-ray&gt; phim&gt; phim Nhật Bản</v>
      </c>
      <c r="F59" t="str">
        <f t="shared" ca="1" si="0"/>
        <v>"2084249074" : "Nhật Bản phim",</v>
      </c>
    </row>
    <row r="60" spans="1:6" ht="15.75" customHeight="1">
      <c r="A60" s="14">
        <v>2084249077</v>
      </c>
      <c r="B60" s="14" t="s">
        <v>5732</v>
      </c>
      <c r="C60" s="14" t="s">
        <v>5734</v>
      </c>
      <c r="D60" s="5" t="str">
        <f ca="1">IFERROR(__xludf.DUMMYFUNCTION("GOOGLETRANSLATE(B60,""ja"",""vi"")"),"nước ngoài")</f>
        <v>nước ngoài</v>
      </c>
      <c r="E60" s="4" t="str">
        <f ca="1">IFERROR(__xludf.DUMMYFUNCTION("GOOGLETRANSLATE(C60,""ja"",""vi"")"),"Đấu giá&gt; phim, video&gt; Blu-ray&gt; bộ phim truyền hình&gt; nước ngoài")</f>
        <v>Đấu giá&gt; phim, video&gt; Blu-ray&gt; bộ phim truyền hình&gt; nước ngoài</v>
      </c>
      <c r="F60" t="str">
        <f t="shared" ca="1" si="0"/>
        <v>"2084249077" : "nước ngoài",</v>
      </c>
    </row>
    <row r="61" spans="1:6" ht="15.75" customHeight="1">
      <c r="A61" s="14">
        <v>2084249076</v>
      </c>
      <c r="B61" s="14" t="s">
        <v>5641</v>
      </c>
      <c r="C61" s="14" t="s">
        <v>5737</v>
      </c>
      <c r="D61" s="5" t="str">
        <f ca="1">IFERROR(__xludf.DUMMYFUNCTION("GOOGLETRANSLATE(B61,""ja"",""vi"")"),"sơn mài Nhật")</f>
        <v>sơn mài Nhật</v>
      </c>
      <c r="E61" s="4" t="str">
        <f ca="1">IFERROR(__xludf.DUMMYFUNCTION("GOOGLETRANSLATE(C61,""ja"",""vi"")"),"Đấu giá&gt; phim, video&gt; Blu-ray&gt; bộ phim truyền hình&gt; Nhật Bản")</f>
        <v>Đấu giá&gt; phim, video&gt; Blu-ray&gt; bộ phim truyền hình&gt; Nhật Bản</v>
      </c>
      <c r="F61" t="str">
        <f t="shared" ca="1" si="0"/>
        <v>"2084249076" : "sơn mài Nhật",</v>
      </c>
    </row>
    <row r="62" spans="1:6" ht="15.75" customHeight="1">
      <c r="A62" s="14">
        <v>2084249080</v>
      </c>
      <c r="B62" s="14" t="s">
        <v>5732</v>
      </c>
      <c r="C62" s="14" t="s">
        <v>5740</v>
      </c>
      <c r="D62" s="5" t="str">
        <f ca="1">IFERROR(__xludf.DUMMYFUNCTION("GOOGLETRANSLATE(B62,""ja"",""vi"")"),"nước ngoài")</f>
        <v>nước ngoài</v>
      </c>
      <c r="E62" s="4" t="str">
        <f ca="1">IFERROR(__xludf.DUMMYFUNCTION("GOOGLETRANSLATE(C62,""ja"",""vi"")"),"Đấu giá&gt; phim, video&gt; Blu-ray&gt; Anime&gt; Ngoại")</f>
        <v>Đấu giá&gt; phim, video&gt; Blu-ray&gt; Anime&gt; Ngoại</v>
      </c>
      <c r="F62" t="str">
        <f t="shared" ca="1" si="0"/>
        <v>"2084249080" : "nước ngoài",</v>
      </c>
    </row>
    <row r="63" spans="1:6" ht="15.75" customHeight="1">
      <c r="A63" s="14">
        <v>2084249079</v>
      </c>
      <c r="B63" s="14" t="s">
        <v>5641</v>
      </c>
      <c r="C63" s="14" t="s">
        <v>5743</v>
      </c>
      <c r="D63" s="5" t="str">
        <f ca="1">IFERROR(__xludf.DUMMYFUNCTION("GOOGLETRANSLATE(B63,""ja"",""vi"")"),"sơn mài Nhật")</f>
        <v>sơn mài Nhật</v>
      </c>
      <c r="E63" s="4" t="str">
        <f ca="1">IFERROR(__xludf.DUMMYFUNCTION("GOOGLETRANSLATE(C63,""ja"",""vi"")"),"Đấu giá&gt; phim, video&gt; Blu-ray&gt; Anime&gt; Nhật Bản")</f>
        <v>Đấu giá&gt; phim, video&gt; Blu-ray&gt; Anime&gt; Nhật Bản</v>
      </c>
      <c r="F63" t="str">
        <f t="shared" ca="1" si="0"/>
        <v>"2084249079" : "sơn mài Nhật",</v>
      </c>
    </row>
    <row r="64" spans="1:6" ht="15.75" customHeight="1">
      <c r="A64" s="14">
        <v>2084249082</v>
      </c>
      <c r="B64" s="14" t="s">
        <v>5744</v>
      </c>
      <c r="C64" s="14" t="s">
        <v>5747</v>
      </c>
      <c r="D64" s="5" t="str">
        <f ca="1">IFERROR(__xludf.DUMMYFUNCTION("GOOGLETRANSLATE(B64,""ja"",""vi"")"),"J-POP")</f>
        <v>J-POP</v>
      </c>
      <c r="E64" s="4" t="str">
        <f ca="1">IFERROR(__xludf.DUMMYFUNCTION("GOOGLETRANSLATE(C64,""ja"",""vi"")"),"Đấu giá&gt; Âm nhạc&gt; Blu-ray&gt; J-POP")</f>
        <v>Đấu giá&gt; Âm nhạc&gt; Blu-ray&gt; J-POP</v>
      </c>
      <c r="F64" t="str">
        <f t="shared" ca="1" si="0"/>
        <v>"2084249082" : "J-POP",</v>
      </c>
    </row>
    <row r="65" spans="1:6" ht="15.75" customHeight="1">
      <c r="A65" s="14">
        <v>2084249083</v>
      </c>
      <c r="B65" s="14" t="s">
        <v>1154</v>
      </c>
      <c r="C65" s="14" t="s">
        <v>5750</v>
      </c>
      <c r="D65" s="5" t="str">
        <f ca="1">IFERROR(__xludf.DUMMYFUNCTION("GOOGLETRANSLATE(B65,""ja"",""vi"")"),"thế giới")</f>
        <v>thế giới</v>
      </c>
      <c r="E65" s="4" t="str">
        <f ca="1">IFERROR(__xludf.DUMMYFUNCTION("GOOGLETRANSLATE(C65,""ja"",""vi"")"),"Đấu giá&gt; Âm nhạc&gt; Blu-ray&gt; Tây")</f>
        <v>Đấu giá&gt; Âm nhạc&gt; Blu-ray&gt; Tây</v>
      </c>
      <c r="F65" t="str">
        <f t="shared" ca="1" si="0"/>
        <v>"2084249083" : "thế giới",</v>
      </c>
    </row>
    <row r="66" spans="1:6" ht="15.75" customHeight="1">
      <c r="A66" s="14">
        <v>2084249084</v>
      </c>
      <c r="B66" s="14" t="s">
        <v>1162</v>
      </c>
      <c r="C66" s="14" t="s">
        <v>5753</v>
      </c>
      <c r="D66" s="5" t="str">
        <f ca="1">IFERROR(__xludf.DUMMYFUNCTION("GOOGLETRANSLATE(B66,""ja"",""vi"")"),"cổ điển")</f>
        <v>cổ điển</v>
      </c>
      <c r="E66" s="4" t="str">
        <f ca="1">IFERROR(__xludf.DUMMYFUNCTION("GOOGLETRANSLATE(C66,""ja"",""vi"")"),"Đấu giá&gt; Âm nhạc&gt; Blu-ray&gt; cổ điển")</f>
        <v>Đấu giá&gt; Âm nhạc&gt; Blu-ray&gt; cổ điển</v>
      </c>
      <c r="F66" t="str">
        <f t="shared" ref="F66:F129" ca="1" si="1">CONCATENATE(CHAR(34)&amp;"",A66,""&amp;CHAR(34)," : ", CHAR(34)&amp;"",D66,""&amp;CHAR(34),",")</f>
        <v>"2084249084" : "cổ điển",</v>
      </c>
    </row>
    <row r="67" spans="1:6" ht="15.75" customHeight="1">
      <c r="A67" s="14">
        <v>2084249085</v>
      </c>
      <c r="B67" s="14" t="s">
        <v>1176</v>
      </c>
      <c r="C67" s="14" t="s">
        <v>5758</v>
      </c>
      <c r="D67" s="5" t="str">
        <f ca="1">IFERROR(__xludf.DUMMYFUNCTION("GOOGLETRANSLATE(B67,""ja"",""vi"")"),"nhạc jazz")</f>
        <v>nhạc jazz</v>
      </c>
      <c r="E67" s="4" t="str">
        <f ca="1">IFERROR(__xludf.DUMMYFUNCTION("GOOGLETRANSLATE(C67,""ja"",""vi"")"),"Đấu giá&gt; Âm nhạc&gt; Blu-ray&gt; Jazz")</f>
        <v>Đấu giá&gt; Âm nhạc&gt; Blu-ray&gt; Jazz</v>
      </c>
      <c r="F67" t="str">
        <f t="shared" ca="1" si="1"/>
        <v>"2084249085" : "nhạc jazz",</v>
      </c>
    </row>
    <row r="68" spans="1:6" ht="15.75" customHeight="1">
      <c r="A68" s="14">
        <v>2084249087</v>
      </c>
      <c r="B68" s="14" t="s">
        <v>1207</v>
      </c>
      <c r="C68" s="14" t="s">
        <v>5763</v>
      </c>
      <c r="D68" s="5" t="str">
        <f ca="1">IFERROR(__xludf.DUMMYFUNCTION("GOOGLETRANSLATE(B68,""ja"",""vi"")"),"nhạc")</f>
        <v>nhạc</v>
      </c>
      <c r="E68" s="4" t="str">
        <f ca="1">IFERROR(__xludf.DUMMYFUNCTION("GOOGLETRANSLATE(C68,""ja"",""vi"")"),"Đấu giá&gt; Âm nhạc&gt; Blu-ray&gt; Nhạc")</f>
        <v>Đấu giá&gt; Âm nhạc&gt; Blu-ray&gt; Nhạc</v>
      </c>
      <c r="F68" t="str">
        <f t="shared" ca="1" si="1"/>
        <v>"2084249087" : "nhạc",</v>
      </c>
    </row>
    <row r="69" spans="1:6" ht="15.75" customHeight="1">
      <c r="A69" s="14">
        <v>2084249086</v>
      </c>
      <c r="B69" s="14" t="s">
        <v>46</v>
      </c>
      <c r="C69" s="14" t="s">
        <v>5766</v>
      </c>
      <c r="D69" s="5" t="str">
        <f ca="1">IFERROR(__xludf.DUMMYFUNCTION("GOOGLETRANSLATE(B69,""ja"",""vi"")"),"nếu không thì")</f>
        <v>nếu không thì</v>
      </c>
      <c r="E69" s="4" t="str">
        <f ca="1">IFERROR(__xludf.DUMMYFUNCTION("GOOGLETRANSLATE(C69,""ja"",""vi"")"),"Đấu giá&gt; Âm nhạc&gt; Blu-ray&gt; Khác")</f>
        <v>Đấu giá&gt; Âm nhạc&gt; Blu-ray&gt; Khác</v>
      </c>
      <c r="F69" t="str">
        <f t="shared" ca="1" si="1"/>
        <v>"2084249086" : "nếu không thì",</v>
      </c>
    </row>
    <row r="70" spans="1:6" ht="15.75" customHeight="1">
      <c r="A70" s="14">
        <v>2084041536</v>
      </c>
      <c r="B70" s="14" t="s">
        <v>5771</v>
      </c>
      <c r="C70" s="14" t="s">
        <v>5772</v>
      </c>
      <c r="D70" s="5" t="str">
        <f ca="1">IFERROR(__xludf.DUMMYFUNCTION("GOOGLETRANSLATE(B70,""ja"",""vi"")"),"gia đình")</f>
        <v>gia đình</v>
      </c>
      <c r="E70" s="4" t="str">
        <f ca="1">IFERROR(__xludf.DUMMYFUNCTION("GOOGLETRANSLATE(C70,""ja"",""vi"")"),"Đấu giá&gt; phim, video&gt; VCD&gt; phim&gt; Gia đình")</f>
        <v>Đấu giá&gt; phim, video&gt; VCD&gt; phim&gt; Gia đình</v>
      </c>
      <c r="F70" t="str">
        <f t="shared" ca="1" si="1"/>
        <v>"2084041536" : "gia đình",</v>
      </c>
    </row>
    <row r="71" spans="1:6" ht="15.75" customHeight="1">
      <c r="A71" s="14">
        <v>2084041534</v>
      </c>
      <c r="B71" s="14" t="s">
        <v>5777</v>
      </c>
      <c r="C71" s="14" t="s">
        <v>5779</v>
      </c>
      <c r="D71" s="5" t="str">
        <f ca="1">IFERROR(__xludf.DUMMYFUNCTION("GOOGLETRANSLATE(B71,""ja"",""vi"")"),"love story")</f>
        <v>love story</v>
      </c>
      <c r="E71" s="4" t="str">
        <f ca="1">IFERROR(__xludf.DUMMYFUNCTION("GOOGLETRANSLATE(C71,""ja"",""vi"")"),"Đấu giá&gt; phim, video&gt; VCD&gt; Drama&gt; Love Story")</f>
        <v>Đấu giá&gt; phim, video&gt; VCD&gt; Drama&gt; Love Story</v>
      </c>
      <c r="F71" t="str">
        <f t="shared" ca="1" si="1"/>
        <v>"2084041534" : "love story",</v>
      </c>
    </row>
    <row r="72" spans="1:6" ht="15.75" customHeight="1">
      <c r="A72" s="14">
        <v>2084041535</v>
      </c>
      <c r="B72" s="14" t="s">
        <v>5785</v>
      </c>
      <c r="C72" s="14" t="s">
        <v>5786</v>
      </c>
      <c r="D72" s="5" t="str">
        <f ca="1">IFERROR(__xludf.DUMMYFUNCTION("GOOGLETRANSLATE(B72,""ja"",""vi"")"),"tuổi trẻ")</f>
        <v>tuổi trẻ</v>
      </c>
      <c r="E72" s="4" t="str">
        <f ca="1">IFERROR(__xludf.DUMMYFUNCTION("GOOGLETRANSLATE(C72,""ja"",""vi"")"),"Đấu giá&gt; phim, video&gt; VCD&gt; phim&gt; trẻ")</f>
        <v>Đấu giá&gt; phim, video&gt; VCD&gt; phim&gt; trẻ</v>
      </c>
      <c r="F72" t="str">
        <f t="shared" ca="1" si="1"/>
        <v>"2084041535" : "tuổi trẻ",</v>
      </c>
    </row>
    <row r="73" spans="1:6" ht="15.75" customHeight="1">
      <c r="A73" s="14">
        <v>2084041556</v>
      </c>
      <c r="B73" s="14" t="s">
        <v>46</v>
      </c>
      <c r="C73" s="14" t="s">
        <v>5791</v>
      </c>
      <c r="D73" s="5" t="str">
        <f ca="1">IFERROR(__xludf.DUMMYFUNCTION("GOOGLETRANSLATE(B73,""ja"",""vi"")"),"nếu không thì")</f>
        <v>nếu không thì</v>
      </c>
      <c r="E73" s="4" t="str">
        <f ca="1">IFERROR(__xludf.DUMMYFUNCTION("GOOGLETRANSLATE(C73,""ja"",""vi"")"),"Đấu giá&gt; phim, video&gt; VCD&gt; Drama&gt; Khác")</f>
        <v>Đấu giá&gt; phim, video&gt; VCD&gt; Drama&gt; Khác</v>
      </c>
      <c r="F73" t="str">
        <f t="shared" ca="1" si="1"/>
        <v>"2084041556" : "nếu không thì",</v>
      </c>
    </row>
    <row r="74" spans="1:6" ht="15.75" customHeight="1">
      <c r="A74" s="14">
        <v>2084216636</v>
      </c>
      <c r="B74" s="14" t="s">
        <v>5651</v>
      </c>
      <c r="C74" s="14" t="s">
        <v>5796</v>
      </c>
      <c r="D74" s="5" t="str">
        <f ca="1">IFERROR(__xludf.DUMMYFUNCTION("GOOGLETRANSLATE(B74,""ja"",""vi"")"),"phụ nữ nhàn rỗi")</f>
        <v>phụ nữ nhàn rỗi</v>
      </c>
      <c r="E74" s="4" t="str">
        <f ca="1">IFERROR(__xludf.DUMMYFUNCTION("GOOGLETRANSLATE(C74,""ja"",""vi"")"),"Đấu giá&gt; phim, video&gt; băng video&gt; thần tượng&gt; người phụ nữ thần tượng")</f>
        <v>Đấu giá&gt; phim, video&gt; băng video&gt; thần tượng&gt; người phụ nữ thần tượng</v>
      </c>
      <c r="F74" t="str">
        <f t="shared" ca="1" si="1"/>
        <v>"2084216636" : "phụ nữ nhàn rỗi",</v>
      </c>
    </row>
    <row r="75" spans="1:6" ht="15.75" customHeight="1">
      <c r="A75" s="14">
        <v>2084216637</v>
      </c>
      <c r="B75" s="14" t="s">
        <v>5653</v>
      </c>
      <c r="C75" s="14" t="s">
        <v>5801</v>
      </c>
      <c r="D75" s="5" t="str">
        <f ca="1">IFERROR(__xludf.DUMMYFUNCTION("GOOGLETRANSLATE(B75,""ja"",""vi"")"),"thần tượng nam")</f>
        <v>thần tượng nam</v>
      </c>
      <c r="E75" s="4" t="str">
        <f ca="1">IFERROR(__xludf.DUMMYFUNCTION("GOOGLETRANSLATE(C75,""ja"",""vi"")"),"Đấu giá&gt; phim, video&gt; băng video&gt; thần tượng&gt; thần tượng nam")</f>
        <v>Đấu giá&gt; phim, video&gt; băng video&gt; thần tượng&gt; thần tượng nam</v>
      </c>
      <c r="F75" t="str">
        <f t="shared" ca="1" si="1"/>
        <v>"2084216637" : "thần tượng nam",</v>
      </c>
    </row>
    <row r="76" spans="1:6" ht="15.75" customHeight="1">
      <c r="A76" s="14">
        <v>2084057185</v>
      </c>
      <c r="B76" s="14" t="s">
        <v>5641</v>
      </c>
      <c r="C76" s="14" t="s">
        <v>5806</v>
      </c>
      <c r="D76" s="5" t="str">
        <f ca="1">IFERROR(__xludf.DUMMYFUNCTION("GOOGLETRANSLATE(B76,""ja"",""vi"")"),"sơn mài Nhật")</f>
        <v>sơn mài Nhật</v>
      </c>
      <c r="E76" s="4" t="str">
        <f ca="1">IFERROR(__xludf.DUMMYFUNCTION("GOOGLETRANSLATE(C76,""ja"",""vi"")"),"Đấu giá&gt; phim, video&gt; băng video&gt; Anime&gt; Nhật Bản")</f>
        <v>Đấu giá&gt; phim, video&gt; băng video&gt; Anime&gt; Nhật Bản</v>
      </c>
      <c r="F76" t="str">
        <f t="shared" ca="1" si="1"/>
        <v>"2084057185" : "sơn mài Nhật",</v>
      </c>
    </row>
    <row r="77" spans="1:6" ht="15.75" customHeight="1">
      <c r="A77" s="14">
        <v>2084057186</v>
      </c>
      <c r="B77" s="14" t="s">
        <v>5644</v>
      </c>
      <c r="C77" s="14" t="s">
        <v>5810</v>
      </c>
      <c r="D77" s="5" t="str">
        <f ca="1">IFERROR(__xludf.DUMMYFUNCTION("GOOGLETRANSLATE(B77,""ja"",""vi"")"),"nước ngoài")</f>
        <v>nước ngoài</v>
      </c>
      <c r="E77" s="4" t="str">
        <f ca="1">IFERROR(__xludf.DUMMYFUNCTION("GOOGLETRANSLATE(C77,""ja"",""vi"")"),"Đấu giá&gt; phim, video&gt; băng video&gt; Anime&gt; Overseas")</f>
        <v>Đấu giá&gt; phim, video&gt; băng video&gt; Anime&gt; Overseas</v>
      </c>
      <c r="F77" t="str">
        <f t="shared" ca="1" si="1"/>
        <v>"2084057186" : "nước ngoài",</v>
      </c>
    </row>
    <row r="78" spans="1:6" ht="15.75" customHeight="1">
      <c r="A78" s="14">
        <v>2084047000</v>
      </c>
      <c r="B78" s="14" t="s">
        <v>5683</v>
      </c>
      <c r="C78" s="14" t="s">
        <v>5814</v>
      </c>
      <c r="D78" s="5" t="str">
        <f ca="1">IFERROR(__xludf.DUMMYFUNCTION("GOOGLETRANSLATE(B78,""ja"",""vi"")"),"thể thao mùa đông")</f>
        <v>thể thao mùa đông</v>
      </c>
      <c r="E78" s="4" t="str">
        <f ca="1">IFERROR(__xludf.DUMMYFUNCTION("GOOGLETRANSLATE(C78,""ja"",""vi"")"),"Đấu giá&gt; phim, video&gt; băng video&gt; thể thao, giải trí&gt; Thể thao mùa đông")</f>
        <v>Đấu giá&gt; phim, video&gt; băng video&gt; thể thao, giải trí&gt; Thể thao mùa đông</v>
      </c>
      <c r="F78" t="str">
        <f t="shared" ca="1" si="1"/>
        <v>"2084047000" : "thể thao mùa đông",</v>
      </c>
    </row>
    <row r="79" spans="1:6" ht="15.75" customHeight="1">
      <c r="A79" s="14">
        <v>2084046986</v>
      </c>
      <c r="B79" s="14" t="s">
        <v>1254</v>
      </c>
      <c r="C79" s="14" t="s">
        <v>5818</v>
      </c>
      <c r="D79" s="5" t="str">
        <f ca="1">IFERROR(__xludf.DUMMYFUNCTION("GOOGLETRANSLATE(B79,""ja"",""vi"")"),"golf")</f>
        <v>golf</v>
      </c>
      <c r="E79" s="4" t="str">
        <f ca="1">IFERROR(__xludf.DUMMYFUNCTION("GOOGLETRANSLATE(C79,""ja"",""vi"")"),"Đấu giá&gt; phim, video&gt; băng video&gt; thể thao, giải trí&gt; Golf")</f>
        <v>Đấu giá&gt; phim, video&gt; băng video&gt; thể thao, giải trí&gt; Golf</v>
      </c>
      <c r="F79" t="str">
        <f t="shared" ca="1" si="1"/>
        <v>"2084046986" : "golf",</v>
      </c>
    </row>
    <row r="80" spans="1:6" ht="15.75" customHeight="1">
      <c r="A80" s="14">
        <v>2084046990</v>
      </c>
      <c r="B80" s="14" t="s">
        <v>1262</v>
      </c>
      <c r="C80" s="14" t="s">
        <v>5821</v>
      </c>
      <c r="D80" s="5" t="str">
        <f ca="1">IFERROR(__xludf.DUMMYFUNCTION("GOOGLETRANSLATE(B80,""ja"",""vi"")"),"bóng đá")</f>
        <v>bóng đá</v>
      </c>
      <c r="E80" s="4" t="str">
        <f ca="1">IFERROR(__xludf.DUMMYFUNCTION("GOOGLETRANSLATE(C80,""ja"",""vi"")"),"Đấu giá&gt; phim, video&gt; băng video&gt; thể thao, giải trí&gt; Bóng đá")</f>
        <v>Đấu giá&gt; phim, video&gt; băng video&gt; thể thao, giải trí&gt; Bóng đá</v>
      </c>
      <c r="F80" t="str">
        <f t="shared" ca="1" si="1"/>
        <v>"2084046990" : "bóng đá",</v>
      </c>
    </row>
    <row r="81" spans="1:6" ht="15.75" customHeight="1">
      <c r="A81" s="14">
        <v>2084046841</v>
      </c>
      <c r="B81" s="14" t="s">
        <v>5826</v>
      </c>
      <c r="C81" s="14" t="s">
        <v>5827</v>
      </c>
      <c r="D81" s="5" t="str">
        <f ca="1">IFERROR(__xludf.DUMMYFUNCTION("GOOGLETRANSLATE(B81,""ja"",""vi"")"),"câu cá")</f>
        <v>câu cá</v>
      </c>
      <c r="E81" s="4" t="str">
        <f ca="1">IFERROR(__xludf.DUMMYFUNCTION("GOOGLETRANSLATE(C81,""ja"",""vi"")"),"Đấu giá&gt; phim, video&gt; băng video&gt; thể thao, giải trí&gt; câu cá")</f>
        <v>Đấu giá&gt; phim, video&gt; băng video&gt; thể thao, giải trí&gt; câu cá</v>
      </c>
      <c r="F81" t="str">
        <f t="shared" ca="1" si="1"/>
        <v>"2084046841" : "câu cá",</v>
      </c>
    </row>
    <row r="82" spans="1:6" ht="15.75" customHeight="1">
      <c r="A82" s="14">
        <v>2084046997</v>
      </c>
      <c r="B82" s="14" t="s">
        <v>5442</v>
      </c>
      <c r="C82" s="14" t="s">
        <v>5832</v>
      </c>
      <c r="D82" s="5" t="str">
        <f ca="1">IFERROR(__xludf.DUMMYFUNCTION("GOOGLETRANSLATE(B82,""ja"",""vi"")"),"Marine Sports")</f>
        <v>Marine Sports</v>
      </c>
      <c r="E82" s="4" t="str">
        <f ca="1">IFERROR(__xludf.DUMMYFUNCTION("GOOGLETRANSLATE(C82,""ja"",""vi"")"),"Đấu giá&gt; phim, video&gt; băng video&gt; thể thao, giải trí&gt; Thể thao Marine")</f>
        <v>Đấu giá&gt; phim, video&gt; băng video&gt; thể thao, giải trí&gt; Thể thao Marine</v>
      </c>
      <c r="F82" t="str">
        <f t="shared" ca="1" si="1"/>
        <v>"2084046997" : "Marine Sports",</v>
      </c>
    </row>
    <row r="83" spans="1:6" ht="15.75" customHeight="1">
      <c r="A83" s="14">
        <v>2084046287</v>
      </c>
      <c r="B83" s="14" t="s">
        <v>1311</v>
      </c>
      <c r="C83" s="14" t="s">
        <v>5837</v>
      </c>
      <c r="D83" s="5" t="str">
        <f ca="1">IFERROR(__xludf.DUMMYFUNCTION("GOOGLETRANSLATE(B83,""ja"",""vi"")"),"Võ thuật, Wrestling")</f>
        <v>Võ thuật, Wrestling</v>
      </c>
      <c r="E83" s="4" t="str">
        <f ca="1">IFERROR(__xludf.DUMMYFUNCTION("GOOGLETRANSLATE(C83,""ja"",""vi"")"),"Đấu giá&gt; phim, video&gt; băng video&gt; thể thao, giải trí&gt; Võ thuật, Wrestling")</f>
        <v>Đấu giá&gt; phim, video&gt; băng video&gt; thể thao, giải trí&gt; Võ thuật, Wrestling</v>
      </c>
      <c r="F83" t="str">
        <f t="shared" ca="1" si="1"/>
        <v>"2084046287" : "Võ thuật, Wrestling",</v>
      </c>
    </row>
    <row r="84" spans="1:6" ht="15.75" customHeight="1">
      <c r="A84" s="14">
        <v>2084048508</v>
      </c>
      <c r="B84" s="14" t="s">
        <v>5841</v>
      </c>
      <c r="C84" s="14" t="s">
        <v>5843</v>
      </c>
      <c r="D84" s="5" t="str">
        <f ca="1">IFERROR(__xludf.DUMMYFUNCTION("GOOGLETRANSLATE(B84,""ja"",""vi"")"),"xuồng máy")</f>
        <v>xuồng máy</v>
      </c>
      <c r="E84" s="4" t="str">
        <f ca="1">IFERROR(__xludf.DUMMYFUNCTION("GOOGLETRANSLATE(C84,""ja"",""vi"")"),"Đấu giá&gt; phim, video&gt; băng video&gt; thể thao, giải trí&gt; đua thuyền")</f>
        <v>Đấu giá&gt; phim, video&gt; băng video&gt; thể thao, giải trí&gt; đua thuyền</v>
      </c>
      <c r="F84" t="str">
        <f t="shared" ca="1" si="1"/>
        <v>"2084048508" : "xuồng máy",</v>
      </c>
    </row>
    <row r="85" spans="1:6" ht="15.75" customHeight="1">
      <c r="A85" s="14">
        <v>2084046993</v>
      </c>
      <c r="B85" s="14" t="s">
        <v>5420</v>
      </c>
      <c r="C85" s="14" t="s">
        <v>5848</v>
      </c>
      <c r="D85" s="5" t="str">
        <f ca="1">IFERROR(__xludf.DUMMYFUNCTION("GOOGLETRANSLATE(B85,""ja"",""vi"")"),"horseracing")</f>
        <v>horseracing</v>
      </c>
      <c r="E85" s="4" t="str">
        <f ca="1">IFERROR(__xludf.DUMMYFUNCTION("GOOGLETRANSLATE(C85,""ja"",""vi"")"),"Đấu giá&gt; phim, video&gt; băng video&gt; thể thao, giải trí&gt; Đua ngựa")</f>
        <v>Đấu giá&gt; phim, video&gt; băng video&gt; thể thao, giải trí&gt; Đua ngựa</v>
      </c>
      <c r="F85" t="str">
        <f t="shared" ca="1" si="1"/>
        <v>"2084046993" : "horseracing",</v>
      </c>
    </row>
    <row r="86" spans="1:6" ht="15.75" customHeight="1">
      <c r="A86" s="14">
        <v>2084032398</v>
      </c>
      <c r="B86" s="14" t="s">
        <v>1319</v>
      </c>
      <c r="C86" s="14" t="s">
        <v>5853</v>
      </c>
      <c r="D86" s="5" t="str">
        <f ca="1">IFERROR(__xludf.DUMMYFUNCTION("GOOGLETRANSLATE(B86,""ja"",""vi"")"),"Bóng chày")</f>
        <v>Bóng chày</v>
      </c>
      <c r="E86" s="4" t="str">
        <f ca="1">IFERROR(__xludf.DUMMYFUNCTION("GOOGLETRANSLATE(C86,""ja"",""vi"")"),"Đấu giá&gt; phim, video&gt; băng video&gt; thể thao, giải trí&gt; bóng chày")</f>
        <v>Đấu giá&gt; phim, video&gt; băng video&gt; thể thao, giải trí&gt; bóng chày</v>
      </c>
      <c r="F86" t="str">
        <f t="shared" ca="1" si="1"/>
        <v>"2084032398" : "Bóng chày",</v>
      </c>
    </row>
    <row r="87" spans="1:6" ht="15.75" customHeight="1">
      <c r="A87" s="14">
        <v>2084046995</v>
      </c>
      <c r="B87" s="14" t="s">
        <v>5708</v>
      </c>
      <c r="C87" s="14" t="s">
        <v>5858</v>
      </c>
      <c r="D87" s="5" t="str">
        <f ca="1">IFERROR(__xludf.DUMMYFUNCTION("GOOGLETRANSLATE(B87,""ja"",""vi"")"),"đi du lịch")</f>
        <v>đi du lịch</v>
      </c>
      <c r="E87" s="4" t="str">
        <f ca="1">IFERROR(__xludf.DUMMYFUNCTION("GOOGLETRANSLATE(C87,""ja"",""vi"")"),"Đấu giá&gt; phim, video&gt; băng video&gt; thể thao, giải trí&gt; Du lịch")</f>
        <v>Đấu giá&gt; phim, video&gt; băng video&gt; thể thao, giải trí&gt; Du lịch</v>
      </c>
      <c r="F87" t="str">
        <f t="shared" ca="1" si="1"/>
        <v>"2084046995" : "đi du lịch",</v>
      </c>
    </row>
    <row r="88" spans="1:6" ht="15.75" customHeight="1">
      <c r="A88" s="14">
        <v>2084046988</v>
      </c>
      <c r="B88" s="14" t="s">
        <v>46</v>
      </c>
      <c r="C88" s="14" t="s">
        <v>5863</v>
      </c>
      <c r="D88" s="5" t="str">
        <f ca="1">IFERROR(__xludf.DUMMYFUNCTION("GOOGLETRANSLATE(B88,""ja"",""vi"")"),"nếu không thì")</f>
        <v>nếu không thì</v>
      </c>
      <c r="E88" s="4" t="str">
        <f ca="1">IFERROR(__xludf.DUMMYFUNCTION("GOOGLETRANSLATE(C88,""ja"",""vi"")"),"Đấu giá&gt; phim, video&gt; băng video&gt; thể thao, giải trí&gt; Khác")</f>
        <v>Đấu giá&gt; phim, video&gt; băng video&gt; thể thao, giải trí&gt; Khác</v>
      </c>
      <c r="F88" t="str">
        <f t="shared" ca="1" si="1"/>
        <v>"2084046988" : "nếu không thì",</v>
      </c>
    </row>
    <row r="89" spans="1:6" ht="15.75" customHeight="1">
      <c r="A89" s="14">
        <v>2084047025</v>
      </c>
      <c r="B89" s="14" t="s">
        <v>5655</v>
      </c>
      <c r="C89" s="14" t="s">
        <v>5868</v>
      </c>
      <c r="D89" s="5" t="str">
        <f ca="1">IFERROR(__xludf.DUMMYFUNCTION("GOOGLETRANSLATE(B89,""ja"",""vi"")"),"nghệ thuật")</f>
        <v>nghệ thuật</v>
      </c>
      <c r="E89" s="4" t="str">
        <f ca="1">IFERROR(__xludf.DUMMYFUNCTION("GOOGLETRANSLATE(C89,""ja"",""vi"")"),"Đấu giá&gt; phim, video&gt; băng video&gt; sở thích, văn hóa&gt; Nghệ thuật")</f>
        <v>Đấu giá&gt; phim, video&gt; băng video&gt; sở thích, văn hóa&gt; Nghệ thuật</v>
      </c>
      <c r="F89" t="str">
        <f t="shared" ca="1" si="1"/>
        <v>"2084047025" : "nghệ thuật",</v>
      </c>
    </row>
    <row r="90" spans="1:6" ht="15.75" customHeight="1">
      <c r="A90" s="14">
        <v>2084047024</v>
      </c>
      <c r="B90" s="14" t="s">
        <v>5659</v>
      </c>
      <c r="C90" s="14" t="s">
        <v>5872</v>
      </c>
      <c r="D90" s="5" t="str">
        <f ca="1">IFERROR(__xludf.DUMMYFUNCTION("GOOGLETRANSLATE(B90,""ja"",""vi"")"),"edutainment")</f>
        <v>edutainment</v>
      </c>
      <c r="E90" s="4" t="str">
        <f ca="1">IFERROR(__xludf.DUMMYFUNCTION("GOOGLETRANSLATE(C90,""ja"",""vi"")"),"Đấu giá&gt; phim, video&gt; băng video&gt; sở thích, văn hóa&gt; giáo dục giải trí")</f>
        <v>Đấu giá&gt; phim, video&gt; băng video&gt; sở thích, văn hóa&gt; giáo dục giải trí</v>
      </c>
      <c r="F90" t="str">
        <f t="shared" ca="1" si="1"/>
        <v>"2084047024" : "edutainment",</v>
      </c>
    </row>
    <row r="91" spans="1:6" ht="15.75" customHeight="1">
      <c r="A91" s="14">
        <v>2084047014</v>
      </c>
      <c r="B91" s="14" t="s">
        <v>5418</v>
      </c>
      <c r="C91" s="14" t="s">
        <v>5875</v>
      </c>
      <c r="D91" s="5" t="str">
        <f ca="1">IFERROR(__xludf.DUMMYFUNCTION("GOOGLETRANSLATE(B91,""ja"",""vi"")"),"Pachinko, pachislot")</f>
        <v>Pachinko, pachislot</v>
      </c>
      <c r="E91" s="4" t="str">
        <f ca="1">IFERROR(__xludf.DUMMYFUNCTION("GOOGLETRANSLATE(C91,""ja"",""vi"")"),"Đấu giá&gt; phim, video&gt; băng video&gt; sở thích, văn hóa&gt; pachinko, pachislot")</f>
        <v>Đấu giá&gt; phim, video&gt; băng video&gt; sở thích, văn hóa&gt; pachinko, pachislot</v>
      </c>
      <c r="F91" t="str">
        <f t="shared" ca="1" si="1"/>
        <v>"2084047014" : "Pachinko, pachislot",</v>
      </c>
    </row>
    <row r="92" spans="1:6" ht="15.75" customHeight="1">
      <c r="A92" s="14">
        <v>2084047018</v>
      </c>
      <c r="B92" s="14" t="s">
        <v>5663</v>
      </c>
      <c r="C92" s="14" t="s">
        <v>5879</v>
      </c>
      <c r="D92" s="5" t="str">
        <f ca="1">IFERROR(__xludf.DUMMYFUNCTION("GOOGLETRANSLATE(B92,""ja"",""vi"")"),"quân đội")</f>
        <v>quân đội</v>
      </c>
      <c r="E92" s="4" t="str">
        <f ca="1">IFERROR(__xludf.DUMMYFUNCTION("GOOGLETRANSLATE(C92,""ja"",""vi"")"),"Đấu giá&gt; phim, video&gt; băng video&gt; sở thích, văn hóa&gt; Quân sự")</f>
        <v>Đấu giá&gt; phim, video&gt; băng video&gt; sở thích, văn hóa&gt; Quân sự</v>
      </c>
      <c r="F92" t="str">
        <f t="shared" ca="1" si="1"/>
        <v>"2084047018" : "quân đội",</v>
      </c>
    </row>
    <row r="93" spans="1:6" ht="15.75" customHeight="1">
      <c r="A93" s="14">
        <v>2084047017</v>
      </c>
      <c r="B93" s="14" t="s">
        <v>5667</v>
      </c>
      <c r="C93" s="14" t="s">
        <v>5883</v>
      </c>
      <c r="D93" s="5" t="str">
        <f ca="1">IFERROR(__xludf.DUMMYFUNCTION("GOOGLETRANSLATE(B93,""ja"",""vi"")"),"khoa học")</f>
        <v>khoa học</v>
      </c>
      <c r="E93" s="4" t="str">
        <f ca="1">IFERROR(__xludf.DUMMYFUNCTION("GOOGLETRANSLATE(C93,""ja"",""vi"")"),"Đấu giá&gt; phim, video&gt; băng video&gt; sở thích, văn hóa&gt; Khoa học")</f>
        <v>Đấu giá&gt; phim, video&gt; băng video&gt; sở thích, văn hóa&gt; Khoa học</v>
      </c>
      <c r="F93" t="str">
        <f t="shared" ca="1" si="1"/>
        <v>"2084047017" : "khoa học",</v>
      </c>
    </row>
    <row r="94" spans="1:6" ht="15.75" customHeight="1">
      <c r="A94" s="14">
        <v>2084047023</v>
      </c>
      <c r="B94" s="14" t="s">
        <v>5886</v>
      </c>
      <c r="C94" s="14" t="s">
        <v>5888</v>
      </c>
      <c r="D94" s="5" t="str">
        <f ca="1">IFERROR(__xludf.DUMMYFUNCTION("GOOGLETRANSLATE(B94,""ja"",""vi"")"),"Giải trí, phim hài")</f>
        <v>Giải trí, phim hài</v>
      </c>
      <c r="E94" s="4" t="str">
        <f ca="1">IFERROR(__xludf.DUMMYFUNCTION("GOOGLETRANSLATE(C94,""ja"",""vi"")"),"Đấu giá&gt; phim, video&gt; băng video&gt; sở thích, văn hóa&gt; Nghệ thuật biểu diễn, Comedy")</f>
        <v>Đấu giá&gt; phim, video&gt; băng video&gt; sở thích, văn hóa&gt; Nghệ thuật biểu diễn, Comedy</v>
      </c>
      <c r="F94" t="str">
        <f t="shared" ca="1" si="1"/>
        <v>"2084047023" : "Giải trí, phim hài",</v>
      </c>
    </row>
    <row r="95" spans="1:6" ht="15.75" customHeight="1">
      <c r="A95" s="14">
        <v>2084047021</v>
      </c>
      <c r="B95" s="14" t="s">
        <v>5669</v>
      </c>
      <c r="C95" s="14" t="s">
        <v>5892</v>
      </c>
      <c r="D95" s="5" t="str">
        <f ca="1">IFERROR(__xludf.DUMMYFUNCTION("GOOGLETRANSLATE(B95,""ja"",""vi"")"),"bản chất")</f>
        <v>bản chất</v>
      </c>
      <c r="E95" s="4" t="str">
        <f ca="1">IFERROR(__xludf.DUMMYFUNCTION("GOOGLETRANSLATE(C95,""ja"",""vi"")"),"Đấu giá&gt; phim, video&gt; băng video&gt; sở thích, văn hóa&gt; Nature")</f>
        <v>Đấu giá&gt; phim, video&gt; băng video&gt; sở thích, văn hóa&gt; Nature</v>
      </c>
      <c r="F95" t="str">
        <f t="shared" ca="1" si="1"/>
        <v>"2084047021" : "bản chất",</v>
      </c>
    </row>
    <row r="96" spans="1:6" ht="15.75" customHeight="1">
      <c r="A96" s="14">
        <v>2084047005</v>
      </c>
      <c r="B96" s="14" t="s">
        <v>3410</v>
      </c>
      <c r="C96" s="14" t="s">
        <v>5895</v>
      </c>
      <c r="D96" s="5" t="str">
        <f ca="1">IFERROR(__xludf.DUMMYFUNCTION("GOOGLETRANSLATE(B96,""ja"",""vi"")"),"xe cộ")</f>
        <v>xe cộ</v>
      </c>
      <c r="E96" s="4" t="str">
        <f ca="1">IFERROR(__xludf.DUMMYFUNCTION("GOOGLETRANSLATE(C96,""ja"",""vi"")"),"Đấu giá&gt; phim, video&gt; băng video&gt; sở thích, văn hóa&gt; xe")</f>
        <v>Đấu giá&gt; phim, video&gt; băng video&gt; sở thích, văn hóa&gt; xe</v>
      </c>
      <c r="F96" t="str">
        <f t="shared" ca="1" si="1"/>
        <v>"2084047005" : "xe cộ",</v>
      </c>
    </row>
    <row r="97" spans="1:6" ht="15.75" customHeight="1">
      <c r="A97" s="14">
        <v>2084047022</v>
      </c>
      <c r="B97" s="14" t="s">
        <v>4516</v>
      </c>
      <c r="C97" s="14" t="s">
        <v>5899</v>
      </c>
      <c r="D97" s="5" t="str">
        <f ca="1">IFERROR(__xludf.DUMMYFUNCTION("GOOGLETRANSLATE(B97,""ja"",""vi"")"),"động vật")</f>
        <v>động vật</v>
      </c>
      <c r="E97" s="4" t="str">
        <f ca="1">IFERROR(__xludf.DUMMYFUNCTION("GOOGLETRANSLATE(C97,""ja"",""vi"")"),"Đấu giá&gt; phim, video&gt; băng video&gt; sở thích, văn hóa&gt; động vật")</f>
        <v>Đấu giá&gt; phim, video&gt; băng video&gt; sở thích, văn hóa&gt; động vật</v>
      </c>
      <c r="F97" t="str">
        <f t="shared" ca="1" si="1"/>
        <v>"2084047022" : "động vật",</v>
      </c>
    </row>
    <row r="98" spans="1:6" ht="15.75" customHeight="1">
      <c r="A98" s="14">
        <v>2084047016</v>
      </c>
      <c r="B98" s="14" t="s">
        <v>5097</v>
      </c>
      <c r="C98" s="14" t="s">
        <v>5904</v>
      </c>
      <c r="D98" s="5" t="str">
        <f ca="1">IFERROR(__xludf.DUMMYFUNCTION("GOOGLETRANSLATE(B98,""ja"",""vi"")"),"lịch sử")</f>
        <v>lịch sử</v>
      </c>
      <c r="E98" s="4" t="str">
        <f ca="1">IFERROR(__xludf.DUMMYFUNCTION("GOOGLETRANSLATE(C98,""ja"",""vi"")"),"Đấu giá&gt; phim, video&gt; băng video&gt; sở thích, văn hóa&gt; Lịch sử")</f>
        <v>Đấu giá&gt; phim, video&gt; băng video&gt; sở thích, văn hóa&gt; Lịch sử</v>
      </c>
      <c r="F98" t="str">
        <f t="shared" ca="1" si="1"/>
        <v>"2084047016" : "lịch sử",</v>
      </c>
    </row>
    <row r="99" spans="1:6" ht="15.75" customHeight="1">
      <c r="A99" s="14">
        <v>2084047007</v>
      </c>
      <c r="B99" s="14" t="s">
        <v>46</v>
      </c>
      <c r="C99" s="14" t="s">
        <v>5906</v>
      </c>
      <c r="D99" s="5" t="str">
        <f ca="1">IFERROR(__xludf.DUMMYFUNCTION("GOOGLETRANSLATE(B99,""ja"",""vi"")"),"nếu không thì")</f>
        <v>nếu không thì</v>
      </c>
      <c r="E99" s="4" t="str">
        <f ca="1">IFERROR(__xludf.DUMMYFUNCTION("GOOGLETRANSLATE(C99,""ja"",""vi"")"),"Đấu giá&gt; phim, video&gt; băng video&gt; sở thích, văn hóa&gt; Khác")</f>
        <v>Đấu giá&gt; phim, video&gt; băng video&gt; sở thích, văn hóa&gt; Khác</v>
      </c>
      <c r="F99" t="str">
        <f t="shared" ca="1" si="1"/>
        <v>"2084047007" : "nếu không thì",</v>
      </c>
    </row>
    <row r="100" spans="1:6" ht="15.75" customHeight="1">
      <c r="A100" s="14">
        <v>2084041532</v>
      </c>
      <c r="B100" s="14" t="s">
        <v>3835</v>
      </c>
      <c r="C100" s="14" t="s">
        <v>5909</v>
      </c>
      <c r="D100" s="5" t="str">
        <f ca="1">IFERROR(__xludf.DUMMYFUNCTION("GOOGLETRANSLATE(B100,""ja"",""vi"")"),"SF, Viễn tưởng")</f>
        <v>SF, Viễn tưởng</v>
      </c>
      <c r="E100" s="4" t="str">
        <f ca="1">IFERROR(__xludf.DUMMYFUNCTION("GOOGLETRANSLATE(C100,""ja"",""vi"")"),"Đấu giá&gt; phim, video&gt; băng video&gt; phim&gt; SF, Viễn tưởng")</f>
        <v>Đấu giá&gt; phim, video&gt; băng video&gt; phim&gt; SF, Viễn tưởng</v>
      </c>
      <c r="F100" t="str">
        <f t="shared" ca="1" si="1"/>
        <v>"2084041532" : "SF, Viễn tưởng",</v>
      </c>
    </row>
    <row r="101" spans="1:6" ht="15.75" customHeight="1">
      <c r="A101" s="14">
        <v>22076</v>
      </c>
      <c r="B101" s="14" t="s">
        <v>3842</v>
      </c>
      <c r="C101" s="14" t="s">
        <v>5912</v>
      </c>
      <c r="D101" s="5" t="str">
        <f ca="1">IFERROR(__xludf.DUMMYFUNCTION("GOOGLETRANSLATE(B101,""ja"",""vi"")"),"Hành động, phiêu lưu")</f>
        <v>Hành động, phiêu lưu</v>
      </c>
      <c r="E101" s="4" t="str">
        <f ca="1">IFERROR(__xludf.DUMMYFUNCTION("GOOGLETRANSLATE(C101,""ja"",""vi"")"),"Đấu giá&gt; phim, video&gt; băng video&gt; phim&gt; hành động, phiêu lưu")</f>
        <v>Đấu giá&gt; phim, video&gt; băng video&gt; phim&gt; hành động, phiêu lưu</v>
      </c>
      <c r="F101" t="str">
        <f t="shared" ca="1" si="1"/>
        <v>"22076" : "Hành động, phiêu lưu",</v>
      </c>
    </row>
    <row r="102" spans="1:6" ht="15.75" customHeight="1">
      <c r="A102" s="14">
        <v>22080</v>
      </c>
      <c r="B102" s="14" t="s">
        <v>5544</v>
      </c>
      <c r="C102" s="14" t="s">
        <v>5914</v>
      </c>
      <c r="D102" s="5" t="str">
        <f ca="1">IFERROR(__xludf.DUMMYFUNCTION("GOOGLETRANSLATE(B102,""ja"",""vi"")"),"Anime")</f>
        <v>Anime</v>
      </c>
      <c r="E102" s="4" t="str">
        <f ca="1">IFERROR(__xludf.DUMMYFUNCTION("GOOGLETRANSLATE(C102,""ja"",""vi"")"),"Đấu giá&gt; phim, video&gt; băng video&gt; phim&gt; Anime")</f>
        <v>Đấu giá&gt; phim, video&gt; băng video&gt; phim&gt; Anime</v>
      </c>
      <c r="F102" t="str">
        <f t="shared" ca="1" si="1"/>
        <v>"22080" : "Anime",</v>
      </c>
    </row>
    <row r="103" spans="1:6" ht="15.75" customHeight="1">
      <c r="A103" s="14">
        <v>22092</v>
      </c>
      <c r="B103" s="14" t="s">
        <v>3855</v>
      </c>
      <c r="C103" s="14" t="s">
        <v>5919</v>
      </c>
      <c r="D103" s="5" t="str">
        <f ca="1">IFERROR(__xludf.DUMMYFUNCTION("GOOGLETRANSLATE(B103,""ja"",""vi"")"),"hài kịch")</f>
        <v>hài kịch</v>
      </c>
      <c r="E103" s="4" t="str">
        <f ca="1">IFERROR(__xludf.DUMMYFUNCTION("GOOGLETRANSLATE(C103,""ja"",""vi"")"),"Đấu giá&gt; phim, video&gt; băng video&gt; Điện ảnh&gt; Comedy")</f>
        <v>Đấu giá&gt; phim, video&gt; băng video&gt; Điện ảnh&gt; Comedy</v>
      </c>
      <c r="F103" t="str">
        <f t="shared" ca="1" si="1"/>
        <v>"22092" : "hài kịch",</v>
      </c>
    </row>
    <row r="104" spans="1:6" ht="15.75" customHeight="1">
      <c r="A104" s="14">
        <v>22112</v>
      </c>
      <c r="B104" s="14" t="s">
        <v>5577</v>
      </c>
      <c r="C104" s="14" t="s">
        <v>5922</v>
      </c>
      <c r="D104" s="5" t="str">
        <f ca="1">IFERROR(__xludf.DUMMYFUNCTION("GOOGLETRANSLATE(B104,""ja"",""vi"")"),"im lặng")</f>
        <v>im lặng</v>
      </c>
      <c r="E104" s="4" t="str">
        <f ca="1">IFERROR(__xludf.DUMMYFUNCTION("GOOGLETRANSLATE(C104,""ja"",""vi"")"),"Đấu giá&gt; phim, video&gt; băng video&gt; phim&gt; im lặng")</f>
        <v>Đấu giá&gt; phim, video&gt; băng video&gt; phim&gt; im lặng</v>
      </c>
      <c r="F104" t="str">
        <f t="shared" ca="1" si="1"/>
        <v>"22112" : "im lặng",</v>
      </c>
    </row>
    <row r="105" spans="1:6" ht="15.75" customHeight="1">
      <c r="A105" s="14">
        <v>2084041542</v>
      </c>
      <c r="B105" s="14" t="s">
        <v>3864</v>
      </c>
      <c r="C105" s="14" t="s">
        <v>5929</v>
      </c>
      <c r="D105" s="5" t="str">
        <f ca="1">IFERROR(__xludf.DUMMYFUNCTION("GOOGLETRANSLATE(B105,""ja"",""vi"")"),"Hồi hộp")</f>
        <v>Hồi hộp</v>
      </c>
      <c r="E105" s="4" t="str">
        <f ca="1">IFERROR(__xludf.DUMMYFUNCTION("GOOGLETRANSLATE(C105,""ja"",""vi"")"),"Đấu giá&gt; phim, video&gt; băng video&gt; phim&gt; hồi hộp")</f>
        <v>Đấu giá&gt; phim, video&gt; băng video&gt; phim&gt; hồi hộp</v>
      </c>
      <c r="F105" t="str">
        <f t="shared" ca="1" si="1"/>
        <v>"2084041542" : "Hồi hộp",</v>
      </c>
    </row>
    <row r="106" spans="1:6" ht="15.75" customHeight="1">
      <c r="A106" s="14">
        <v>22094</v>
      </c>
      <c r="B106" s="14" t="s">
        <v>2828</v>
      </c>
      <c r="C106" s="14" t="s">
        <v>5934</v>
      </c>
      <c r="D106" s="5" t="str">
        <f ca="1">IFERROR(__xludf.DUMMYFUNCTION("GOOGLETRANSLATE(B106,""ja"",""vi"")"),"Disney")</f>
        <v>Disney</v>
      </c>
      <c r="E106" s="4" t="str">
        <f ca="1">IFERROR(__xludf.DUMMYFUNCTION("GOOGLETRANSLATE(C106,""ja"",""vi"")"),"Đấu giá&gt; phim, video&gt; băng video&gt; phim&gt; Disney")</f>
        <v>Đấu giá&gt; phim, video&gt; băng video&gt; phim&gt; Disney</v>
      </c>
      <c r="F106" t="str">
        <f t="shared" ca="1" si="1"/>
        <v>"22094" : "Disney",</v>
      </c>
    </row>
    <row r="107" spans="1:6" ht="15.75" customHeight="1">
      <c r="A107" s="14">
        <v>22096</v>
      </c>
      <c r="B107" s="14" t="s">
        <v>5590</v>
      </c>
      <c r="C107" s="14" t="s">
        <v>5939</v>
      </c>
      <c r="D107" s="5" t="str">
        <f ca="1">IFERROR(__xludf.DUMMYFUNCTION("GOOGLETRANSLATE(B107,""ja"",""vi"")"),"Phim tài liệu")</f>
        <v>Phim tài liệu</v>
      </c>
      <c r="E107" s="4" t="str">
        <f ca="1">IFERROR(__xludf.DUMMYFUNCTION("GOOGLETRANSLATE(C107,""ja"",""vi"")"),"Đấu giá&gt; phim, video&gt; băng video&gt; phim&gt; phim tài liệu")</f>
        <v>Đấu giá&gt; phim, video&gt; băng video&gt; phim&gt; phim tài liệu</v>
      </c>
      <c r="F107" t="str">
        <f t="shared" ca="1" si="1"/>
        <v>"22096" : "Phim tài liệu",</v>
      </c>
    </row>
    <row r="108" spans="1:6" ht="15.75" customHeight="1">
      <c r="A108" s="14">
        <v>22100</v>
      </c>
      <c r="B108" s="14" t="s">
        <v>3870</v>
      </c>
      <c r="C108" s="14" t="s">
        <v>5942</v>
      </c>
      <c r="D108" s="5" t="str">
        <f ca="1">IFERROR(__xludf.DUMMYFUNCTION("GOOGLETRANSLATE(B108,""ja"",""vi"")"),"kịch")</f>
        <v>kịch</v>
      </c>
      <c r="E108" s="4" t="str">
        <f ca="1">IFERROR(__xludf.DUMMYFUNCTION("GOOGLETRANSLATE(C108,""ja"",""vi"")"),"Đấu giá&gt; phim, video&gt; băng video&gt; phim&gt; phim")</f>
        <v>Đấu giá&gt; phim, video&gt; băng video&gt; phim&gt; phim</v>
      </c>
      <c r="F108" t="str">
        <f t="shared" ca="1" si="1"/>
        <v>"22100" : "kịch",</v>
      </c>
    </row>
    <row r="109" spans="1:6" ht="15.75" customHeight="1">
      <c r="A109" s="14">
        <v>22088</v>
      </c>
      <c r="B109" s="14" t="s">
        <v>5598</v>
      </c>
      <c r="C109" s="14" t="s">
        <v>5945</v>
      </c>
      <c r="D109" s="5" t="str">
        <f ca="1">IFERROR(__xludf.DUMMYFUNCTION("GOOGLETRANSLATE(B109,""ja"",""vi"")"),"Hollywood cổ điển")</f>
        <v>Hollywood cổ điển</v>
      </c>
      <c r="E109" s="4" t="str">
        <f ca="1">IFERROR(__xludf.DUMMYFUNCTION("GOOGLETRANSLATE(C109,""ja"",""vi"")"),"Đấu giá&gt; phim, video&gt; băng video&gt; phim&gt; Hollywood cổ điển")</f>
        <v>Đấu giá&gt; phim, video&gt; băng video&gt; phim&gt; Hollywood cổ điển</v>
      </c>
      <c r="F109" t="str">
        <f t="shared" ca="1" si="1"/>
        <v>"22088" : "Hollywood cổ điển",</v>
      </c>
    </row>
    <row r="110" spans="1:6" ht="15.75" customHeight="1">
      <c r="A110" s="14">
        <v>2084041533</v>
      </c>
      <c r="B110" s="14" t="s">
        <v>3876</v>
      </c>
      <c r="C110" s="14" t="s">
        <v>5949</v>
      </c>
      <c r="D110" s="5" t="str">
        <f ca="1">IFERROR(__xludf.DUMMYFUNCTION("GOOGLETRANSLATE(B110,""ja"",""vi"")"),"rùng rợn")</f>
        <v>rùng rợn</v>
      </c>
      <c r="E110" s="4" t="str">
        <f ca="1">IFERROR(__xludf.DUMMYFUNCTION("GOOGLETRANSLATE(C110,""ja"",""vi"")"),"Đấu giá&gt; phim, video&gt; băng video&gt; Điện ảnh&gt; Horror")</f>
        <v>Đấu giá&gt; phim, video&gt; băng video&gt; Điện ảnh&gt; Horror</v>
      </c>
      <c r="F110" t="str">
        <f t="shared" ca="1" si="1"/>
        <v>"2084041533" : "rùng rợn",</v>
      </c>
    </row>
    <row r="111" spans="1:6" ht="15.75" customHeight="1">
      <c r="A111" s="14">
        <v>22108</v>
      </c>
      <c r="B111" s="14" t="s">
        <v>1207</v>
      </c>
      <c r="C111" s="14" t="s">
        <v>5954</v>
      </c>
      <c r="D111" s="5" t="str">
        <f ca="1">IFERROR(__xludf.DUMMYFUNCTION("GOOGLETRANSLATE(B111,""ja"",""vi"")"),"nhạc")</f>
        <v>nhạc</v>
      </c>
      <c r="E111" s="4" t="str">
        <f ca="1">IFERROR(__xludf.DUMMYFUNCTION("GOOGLETRANSLATE(C111,""ja"",""vi"")"),"Đấu giá&gt; phim, video&gt; băng video&gt; phim&gt; Nhạc")</f>
        <v>Đấu giá&gt; phim, video&gt; băng video&gt; phim&gt; Nhạc</v>
      </c>
      <c r="F111" t="str">
        <f t="shared" ca="1" si="1"/>
        <v>"22108" : "nhạc",</v>
      </c>
    </row>
    <row r="112" spans="1:6" ht="15.75" customHeight="1">
      <c r="A112" s="14">
        <v>2084048566</v>
      </c>
      <c r="B112" s="14" t="s">
        <v>5614</v>
      </c>
      <c r="C112" s="14" t="s">
        <v>5958</v>
      </c>
      <c r="D112" s="5" t="str">
        <f ca="1">IFERROR(__xludf.DUMMYFUNCTION("GOOGLETRANSLATE(B112,""ja"",""vi"")"),"phim Hồng Kông")</f>
        <v>phim Hồng Kông</v>
      </c>
      <c r="E112" s="4" t="str">
        <f ca="1">IFERROR(__xludf.DUMMYFUNCTION("GOOGLETRANSLATE(C112,""ja"",""vi"")"),"Đấu giá&gt; phim, video&gt; băng video&gt; phim&gt; phim Hồng Kông")</f>
        <v>Đấu giá&gt; phim, video&gt; băng video&gt; phim&gt; phim Hồng Kông</v>
      </c>
      <c r="F112" t="str">
        <f t="shared" ca="1" si="1"/>
        <v>"2084048566" : "phim Hồng Kông",</v>
      </c>
    </row>
    <row r="113" spans="1:6" ht="15.75" customHeight="1">
      <c r="A113" s="14">
        <v>22084</v>
      </c>
      <c r="B113" s="14" t="s">
        <v>5008</v>
      </c>
      <c r="C113" s="14" t="s">
        <v>5965</v>
      </c>
      <c r="D113" s="5" t="str">
        <f ca="1">IFERROR(__xludf.DUMMYFUNCTION("GOOGLETRANSLATE(B113,""ja"",""vi"")"),"Đối với trẻ em")</f>
        <v>Đối với trẻ em</v>
      </c>
      <c r="E113" s="4" t="str">
        <f ca="1">IFERROR(__xludf.DUMMYFUNCTION("GOOGLETRANSLATE(C113,""ja"",""vi"")"),"Đấu giá&gt; phim, video&gt; băng video&gt; phim&gt; trẻ em")</f>
        <v>Đấu giá&gt; phim, video&gt; băng video&gt; phim&gt; trẻ em</v>
      </c>
      <c r="F113" t="str">
        <f t="shared" ca="1" si="1"/>
        <v>"22084" : "Đối với trẻ em",</v>
      </c>
    </row>
    <row r="114" spans="1:6" ht="15.75" customHeight="1">
      <c r="A114" s="14">
        <v>2084041551</v>
      </c>
      <c r="B114" s="14" t="s">
        <v>3888</v>
      </c>
      <c r="C114" s="14" t="s">
        <v>5970</v>
      </c>
      <c r="D114" s="5" t="str">
        <f ca="1">IFERROR(__xludf.DUMMYFUNCTION("GOOGLETRANSLATE(B114,""ja"",""vi"")"),"chơi lịch sử")</f>
        <v>chơi lịch sử</v>
      </c>
      <c r="E114" s="4" t="str">
        <f ca="1">IFERROR(__xludf.DUMMYFUNCTION("GOOGLETRANSLATE(C114,""ja"",""vi"")"),"Đấu giá&gt; phim, video&gt; băng video&gt; phim&gt; phim trang phục")</f>
        <v>Đấu giá&gt; phim, video&gt; băng video&gt; phim&gt; phim trang phục</v>
      </c>
      <c r="F114" t="str">
        <f t="shared" ca="1" si="1"/>
        <v>"2084041551" : "chơi lịch sử",</v>
      </c>
    </row>
    <row r="115" spans="1:6" ht="15.75" customHeight="1">
      <c r="A115" s="14">
        <v>22116</v>
      </c>
      <c r="B115" s="14" t="s">
        <v>3893</v>
      </c>
      <c r="C115" s="14" t="s">
        <v>5975</v>
      </c>
      <c r="D115" s="5" t="str">
        <f ca="1">IFERROR(__xludf.DUMMYFUNCTION("GOOGLETRANSLATE(B115,""ja"",""vi"")"),"Tây")</f>
        <v>Tây</v>
      </c>
      <c r="E115" s="4" t="str">
        <f ca="1">IFERROR(__xludf.DUMMYFUNCTION("GOOGLETRANSLATE(C115,""ja"",""vi"")"),"Đấu giá&gt; phim, video&gt; băng video&gt; phim&gt; cao bồi miền Tây")</f>
        <v>Đấu giá&gt; phim, video&gt; băng video&gt; phim&gt; cao bồi miền Tây</v>
      </c>
      <c r="F115" t="str">
        <f t="shared" ca="1" si="1"/>
        <v>"22116" : "Tây",</v>
      </c>
    </row>
    <row r="116" spans="1:6" ht="15.75" customHeight="1">
      <c r="A116" s="14">
        <v>2084041543</v>
      </c>
      <c r="B116" s="14" t="s">
        <v>3899</v>
      </c>
      <c r="C116" s="14" t="s">
        <v>5979</v>
      </c>
      <c r="D116" s="5" t="str">
        <f ca="1">IFERROR(__xludf.DUMMYFUNCTION("GOOGLETRANSLATE(B116,""ja"",""vi"")"),"chiến tranh")</f>
        <v>chiến tranh</v>
      </c>
      <c r="E116" s="4" t="str">
        <f ca="1">IFERROR(__xludf.DUMMYFUNCTION("GOOGLETRANSLATE(C116,""ja"",""vi"")"),"Đấu giá&gt; phim, video&gt; băng video&gt; phim&gt; chiến tranh")</f>
        <v>Đấu giá&gt; phim, video&gt; băng video&gt; phim&gt; chiến tranh</v>
      </c>
      <c r="F116" t="str">
        <f t="shared" ca="1" si="1"/>
        <v>"2084041543" : "chiến tranh",</v>
      </c>
    </row>
    <row r="117" spans="1:6" ht="15.75" customHeight="1">
      <c r="A117" s="14">
        <v>2084041544</v>
      </c>
      <c r="B117" s="14" t="s">
        <v>3902</v>
      </c>
      <c r="C117" s="14" t="s">
        <v>5984</v>
      </c>
      <c r="D117" s="5" t="str">
        <f ca="1">IFERROR(__xludf.DUMMYFUNCTION("GOOGLETRANSLATE(B117,""ja"",""vi"")"),"hiệu ứng đặc biệt")</f>
        <v>hiệu ứng đặc biệt</v>
      </c>
      <c r="E117" s="4" t="str">
        <f ca="1">IFERROR(__xludf.DUMMYFUNCTION("GOOGLETRANSLATE(C117,""ja"",""vi"")"),"Đấu giá&gt; phim, video&gt; băng video&gt; phim&gt; hiệu ứng đặc biệt")</f>
        <v>Đấu giá&gt; phim, video&gt; băng video&gt; phim&gt; hiệu ứng đặc biệt</v>
      </c>
      <c r="F117" t="str">
        <f t="shared" ca="1" si="1"/>
        <v>"2084041544" : "hiệu ứng đặc biệt",</v>
      </c>
    </row>
    <row r="118" spans="1:6" ht="15.75" customHeight="1">
      <c r="A118" s="14">
        <v>2084047955</v>
      </c>
      <c r="B118" s="14" t="s">
        <v>3908</v>
      </c>
      <c r="C118" s="14" t="s">
        <v>5990</v>
      </c>
      <c r="D118" s="5" t="str">
        <f ca="1">IFERROR(__xludf.DUMMYFUNCTION("GOOGLETRANSLATE(B118,""ja"",""vi"")"),"Nhật Bản phim")</f>
        <v>Nhật Bản phim</v>
      </c>
      <c r="E118" s="4" t="str">
        <f ca="1">IFERROR(__xludf.DUMMYFUNCTION("GOOGLETRANSLATE(C118,""ja"",""vi"")"),"Đấu giá&gt; phim, video&gt; băng video&gt; phim&gt; phim Nhật Bản")</f>
        <v>Đấu giá&gt; phim, video&gt; băng video&gt; phim&gt; phim Nhật Bản</v>
      </c>
      <c r="F118" t="str">
        <f t="shared" ca="1" si="1"/>
        <v>"2084047955" : "Nhật Bản phim",</v>
      </c>
    </row>
    <row r="119" spans="1:6" ht="15.75" customHeight="1">
      <c r="A119" s="14">
        <v>2084046981</v>
      </c>
      <c r="B119" s="14" t="s">
        <v>46</v>
      </c>
      <c r="C119" s="14" t="s">
        <v>5997</v>
      </c>
      <c r="D119" s="5" t="str">
        <f ca="1">IFERROR(__xludf.DUMMYFUNCTION("GOOGLETRANSLATE(B119,""ja"",""vi"")"),"nếu không thì")</f>
        <v>nếu không thì</v>
      </c>
      <c r="E119" s="4" t="str">
        <f ca="1">IFERROR(__xludf.DUMMYFUNCTION("GOOGLETRANSLATE(C119,""ja"",""vi"")"),"Đấu giá&gt; phim, video&gt; băng video&gt; phim&gt; Khác")</f>
        <v>Đấu giá&gt; phim, video&gt; băng video&gt; phim&gt; Khác</v>
      </c>
      <c r="F119" t="str">
        <f t="shared" ca="1" si="1"/>
        <v>"2084046981" : "nếu không thì",</v>
      </c>
    </row>
    <row r="120" spans="1:6" ht="15.75" customHeight="1">
      <c r="A120" s="14">
        <v>2084006999</v>
      </c>
      <c r="B120" s="14" t="s">
        <v>6000</v>
      </c>
      <c r="C120" s="14" t="s">
        <v>6002</v>
      </c>
      <c r="D120" s="5" t="str">
        <f ca="1">IFERROR(__xludf.DUMMYFUNCTION("GOOGLETRANSLATE(B120,""ja"",""vi"")"),"R &amp; B, soul")</f>
        <v>R &amp; B, soul</v>
      </c>
      <c r="E120" s="4" t="str">
        <f ca="1">IFERROR(__xludf.DUMMYFUNCTION("GOOGLETRANSLATE(C120,""ja"",""vi"")"),"Đấu giá&gt; Âm nhạc&gt; Video&gt; R &amp; B, soul")</f>
        <v>Đấu giá&gt; Âm nhạc&gt; Video&gt; R &amp; B, soul</v>
      </c>
      <c r="F120" t="str">
        <f t="shared" ca="1" si="1"/>
        <v>"2084006999" : "R &amp; B, soul",</v>
      </c>
    </row>
    <row r="121" spans="1:6" ht="15.75" customHeight="1">
      <c r="A121" s="14">
        <v>2084006997</v>
      </c>
      <c r="B121" s="14" t="s">
        <v>3849</v>
      </c>
      <c r="C121" s="14" t="s">
        <v>6006</v>
      </c>
      <c r="D121" s="5" t="str">
        <f ca="1">IFERROR(__xludf.DUMMYFUNCTION("GOOGLETRANSLATE(B121,""ja"",""vi"")"),"Anime bài hát")</f>
        <v>Anime bài hát</v>
      </c>
      <c r="E121" s="4" t="str">
        <f ca="1">IFERROR(__xludf.DUMMYFUNCTION("GOOGLETRANSLATE(C121,""ja"",""vi"")"),"Đấu giá&gt; Âm nhạc&gt; Video&gt; Anime bài hát")</f>
        <v>Đấu giá&gt; Âm nhạc&gt; Video&gt; Anime bài hát</v>
      </c>
      <c r="F121" t="str">
        <f t="shared" ca="1" si="1"/>
        <v>"2084006997" : "Anime bài hát",</v>
      </c>
    </row>
    <row r="122" spans="1:6" ht="15.75" customHeight="1">
      <c r="A122" s="14">
        <v>2084007000</v>
      </c>
      <c r="B122" s="14" t="s">
        <v>1162</v>
      </c>
      <c r="C122" s="14" t="s">
        <v>6011</v>
      </c>
      <c r="D122" s="5" t="str">
        <f ca="1">IFERROR(__xludf.DUMMYFUNCTION("GOOGLETRANSLATE(B122,""ja"",""vi"")"),"cổ điển")</f>
        <v>cổ điển</v>
      </c>
      <c r="E122" s="4" t="str">
        <f ca="1">IFERROR(__xludf.DUMMYFUNCTION("GOOGLETRANSLATE(C122,""ja"",""vi"")"),"Đấu giá&gt; Âm nhạc&gt; Video&gt; cổ điển")</f>
        <v>Đấu giá&gt; Âm nhạc&gt; Video&gt; cổ điển</v>
      </c>
      <c r="F122" t="str">
        <f t="shared" ca="1" si="1"/>
        <v>"2084007000" : "cổ điển",</v>
      </c>
    </row>
    <row r="123" spans="1:6" ht="15.75" customHeight="1">
      <c r="A123" s="14">
        <v>2084006995</v>
      </c>
      <c r="B123" s="14" t="s">
        <v>6015</v>
      </c>
      <c r="C123" s="14" t="s">
        <v>6017</v>
      </c>
      <c r="D123" s="5" t="str">
        <f ca="1">IFERROR(__xludf.DUMMYFUNCTION("GOOGLETRANSLATE(B123,""ja"",""vi"")"),"Câu lạc bộ, khiêu vũ")</f>
        <v>Câu lạc bộ, khiêu vũ</v>
      </c>
      <c r="E123" s="4" t="str">
        <f ca="1">IFERROR(__xludf.DUMMYFUNCTION("GOOGLETRANSLATE(C123,""ja"",""vi"")"),"Đấu giá&gt; Âm nhạc&gt; Video&gt; Club, Dance")</f>
        <v>Đấu giá&gt; Âm nhạc&gt; Video&gt; Club, Dance</v>
      </c>
      <c r="F123" t="str">
        <f t="shared" ca="1" si="1"/>
        <v>"2084006995" : "Câu lạc bộ, khiêu vũ",</v>
      </c>
    </row>
    <row r="124" spans="1:6" ht="15.75" customHeight="1">
      <c r="A124" s="14">
        <v>2084006998</v>
      </c>
      <c r="B124" s="14" t="s">
        <v>6021</v>
      </c>
      <c r="C124" s="14" t="s">
        <v>6023</v>
      </c>
      <c r="D124" s="5" t="str">
        <f ca="1">IFERROR(__xludf.DUMMYFUNCTION("GOOGLETRANSLATE(B124,""ja"",""vi"")"),"trò chơi âm nhạc")</f>
        <v>trò chơi âm nhạc</v>
      </c>
      <c r="E124" s="4" t="str">
        <f ca="1">IFERROR(__xludf.DUMMYFUNCTION("GOOGLETRANSLATE(C124,""ja"",""vi"")"),"Đấu giá&gt; Âm nhạc&gt; Video&gt; trò chơi âm nhạc")</f>
        <v>Đấu giá&gt; Âm nhạc&gt; Video&gt; trò chơi âm nhạc</v>
      </c>
      <c r="F124" t="str">
        <f t="shared" ca="1" si="1"/>
        <v>"2084006998" : "trò chơi âm nhạc",</v>
      </c>
    </row>
    <row r="125" spans="1:6" ht="15.75" customHeight="1">
      <c r="A125" s="14">
        <v>2084007001</v>
      </c>
      <c r="B125" s="14" t="s">
        <v>1176</v>
      </c>
      <c r="C125" s="14" t="s">
        <v>6026</v>
      </c>
      <c r="D125" s="5" t="str">
        <f ca="1">IFERROR(__xludf.DUMMYFUNCTION("GOOGLETRANSLATE(B125,""ja"",""vi"")"),"nhạc jazz")</f>
        <v>nhạc jazz</v>
      </c>
      <c r="E125" s="4" t="str">
        <f ca="1">IFERROR(__xludf.DUMMYFUNCTION("GOOGLETRANSLATE(C125,""ja"",""vi"")"),"Đấu giá&gt; Âm nhạc&gt; Video&gt; Nhạc Jazz")</f>
        <v>Đấu giá&gt; Âm nhạc&gt; Video&gt; Nhạc Jazz</v>
      </c>
      <c r="F125" t="str">
        <f t="shared" ca="1" si="1"/>
        <v>"2084007001" : "nhạc jazz",</v>
      </c>
    </row>
    <row r="126" spans="1:6" ht="15.75" customHeight="1">
      <c r="A126" s="14">
        <v>2084005081</v>
      </c>
      <c r="B126" s="14" t="s">
        <v>1139</v>
      </c>
      <c r="C126" s="14" t="s">
        <v>6029</v>
      </c>
      <c r="D126" s="5" t="str">
        <f ca="1">IFERROR(__xludf.DUMMYFUNCTION("GOOGLETRANSLATE(B126,""ja"",""vi"")"),"Pop Nhật Bản")</f>
        <v>Pop Nhật Bản</v>
      </c>
      <c r="E126" s="4" t="str">
        <f ca="1">IFERROR(__xludf.DUMMYFUNCTION("GOOGLETRANSLATE(C126,""ja"",""vi"")"),"Đấu giá&gt; Âm nhạc&gt; Video&gt; Pop Nhật Bản")</f>
        <v>Đấu giá&gt; Âm nhạc&gt; Video&gt; Pop Nhật Bản</v>
      </c>
      <c r="F126" t="str">
        <f t="shared" ca="1" si="1"/>
        <v>"2084005081" : "Pop Nhật Bản",</v>
      </c>
    </row>
    <row r="127" spans="1:6" ht="15.75" customHeight="1">
      <c r="A127" s="14">
        <v>2084007002</v>
      </c>
      <c r="B127" s="14" t="s">
        <v>6034</v>
      </c>
      <c r="C127" s="14" t="s">
        <v>6035</v>
      </c>
      <c r="D127" s="5" t="str">
        <f ca="1">IFERROR(__xludf.DUMMYFUNCTION("GOOGLETRANSLATE(B127,""ja"",""vi"")"),"màu xanh")</f>
        <v>màu xanh</v>
      </c>
      <c r="E127" s="4" t="str">
        <f ca="1">IFERROR(__xludf.DUMMYFUNCTION("GOOGLETRANSLATE(C127,""ja"",""vi"")"),"Đấu giá&gt; Âm nhạc&gt; Video&gt; Blues")</f>
        <v>Đấu giá&gt; Âm nhạc&gt; Video&gt; Blues</v>
      </c>
      <c r="F127" t="str">
        <f t="shared" ca="1" si="1"/>
        <v>"2084007002" : "màu xanh",</v>
      </c>
    </row>
    <row r="128" spans="1:6" ht="15.75" customHeight="1">
      <c r="A128" s="14">
        <v>2084007003</v>
      </c>
      <c r="B128" s="14" t="s">
        <v>6039</v>
      </c>
      <c r="C128" s="14" t="s">
        <v>6041</v>
      </c>
      <c r="D128" s="5" t="str">
        <f ca="1">IFERROR(__xludf.DUMMYFUNCTION("GOOGLETRANSLATE(B128,""ja"",""vi"")"),"Rap, hip hop")</f>
        <v>Rap, hip hop</v>
      </c>
      <c r="E128" s="4" t="str">
        <f ca="1">IFERROR(__xludf.DUMMYFUNCTION("GOOGLETRANSLATE(C128,""ja"",""vi"")"),"Đấu giá&gt; Âm nhạc&gt; Video&gt; rap, hip-hop")</f>
        <v>Đấu giá&gt; Âm nhạc&gt; Video&gt; rap, hip-hop</v>
      </c>
      <c r="F128" t="str">
        <f t="shared" ca="1" si="1"/>
        <v>"2084007003" : "Rap, hip hop",</v>
      </c>
    </row>
    <row r="129" spans="1:6" ht="15.75" customHeight="1">
      <c r="A129" s="14">
        <v>22248</v>
      </c>
      <c r="B129" s="14" t="s">
        <v>1751</v>
      </c>
      <c r="C129" s="14" t="s">
        <v>6047</v>
      </c>
      <c r="D129" s="5" t="str">
        <f ca="1">IFERROR(__xludf.DUMMYFUNCTION("GOOGLETRANSLATE(B129,""ja"",""vi"")"),"Rock, Pop (Western)")</f>
        <v>Rock, Pop (Western)</v>
      </c>
      <c r="E129" s="4" t="str">
        <f ca="1">IFERROR(__xludf.DUMMYFUNCTION("GOOGLETRANSLATE(C129,""ja"",""vi"")"),"Đấu giá&gt; Âm nhạc&gt; Video&gt; Rock, Pop (Western)")</f>
        <v>Đấu giá&gt; Âm nhạc&gt; Video&gt; Rock, Pop (Western)</v>
      </c>
      <c r="F129" t="str">
        <f t="shared" ca="1" si="1"/>
        <v>"22248" : "Rock, Pop (Western)",</v>
      </c>
    </row>
    <row r="130" spans="1:6" ht="15.75" customHeight="1">
      <c r="A130" s="14">
        <v>2084007004</v>
      </c>
      <c r="B130" s="14" t="s">
        <v>6051</v>
      </c>
      <c r="C130" s="14" t="s">
        <v>6054</v>
      </c>
      <c r="D130" s="5" t="str">
        <f ca="1">IFERROR(__xludf.DUMMYFUNCTION("GOOGLETRANSLATE(B130,""ja"",""vi"")"),"Âm nhạc thế giới")</f>
        <v>Âm nhạc thế giới</v>
      </c>
      <c r="E130" s="4" t="str">
        <f ca="1">IFERROR(__xludf.DUMMYFUNCTION("GOOGLETRANSLATE(C130,""ja"",""vi"")"),"Đấu giá&gt; Âm nhạc&gt; Video&gt; Âm nhạc thế giới")</f>
        <v>Đấu giá&gt; Âm nhạc&gt; Video&gt; Âm nhạc thế giới</v>
      </c>
      <c r="F130" t="str">
        <f t="shared" ref="F130:F193" ca="1" si="2">CONCATENATE(CHAR(34)&amp;"",A130,""&amp;CHAR(34)," : ", CHAR(34)&amp;"",D130,""&amp;CHAR(34),",")</f>
        <v>"2084007004" : "Âm nhạc thế giới",</v>
      </c>
    </row>
    <row r="131" spans="1:6" ht="15.75" customHeight="1">
      <c r="A131" s="14">
        <v>2084006996</v>
      </c>
      <c r="B131" s="14" t="s">
        <v>6057</v>
      </c>
      <c r="C131" s="14" t="s">
        <v>6058</v>
      </c>
      <c r="D131" s="5" t="str">
        <f ca="1">IFERROR(__xludf.DUMMYFUNCTION("GOOGLETRANSLATE(B131,""ja"",""vi"")"),"phim âm nhạc")</f>
        <v>phim âm nhạc</v>
      </c>
      <c r="E131" s="4" t="str">
        <f ca="1">IFERROR(__xludf.DUMMYFUNCTION("GOOGLETRANSLATE(C131,""ja"",""vi"")"),"Đấu giá&gt; Âm nhạc&gt; Video&gt; Phim Âm nhạc")</f>
        <v>Đấu giá&gt; Âm nhạc&gt; Video&gt; Phim Âm nhạc</v>
      </c>
      <c r="F131" t="str">
        <f t="shared" ca="1" si="2"/>
        <v>"2084006996" : "phim âm nhạc",</v>
      </c>
    </row>
    <row r="132" spans="1:6" ht="15.75" customHeight="1">
      <c r="A132" s="14">
        <v>2084007005</v>
      </c>
      <c r="B132" s="14" t="s">
        <v>6064</v>
      </c>
      <c r="C132" s="14" t="s">
        <v>6066</v>
      </c>
      <c r="D132" s="5" t="str">
        <f ca="1">IFERROR(__xludf.DUMMYFUNCTION("GOOGLETRANSLATE(B132,""ja"",""vi"")"),"Vườn ươm vần, giáo dục")</f>
        <v>Vườn ươm vần, giáo dục</v>
      </c>
      <c r="E132" s="4" t="str">
        <f ca="1">IFERROR(__xludf.DUMMYFUNCTION("GOOGLETRANSLATE(C132,""ja"",""vi"")"),"Đấu giá&gt; Âm nhạc&gt; Video&gt; vườn ươm vần, giáo dục")</f>
        <v>Đấu giá&gt; Âm nhạc&gt; Video&gt; vườn ươm vần, giáo dục</v>
      </c>
      <c r="F132" t="str">
        <f t="shared" ca="1" si="2"/>
        <v>"2084007005" : "Vườn ươm vần, giáo dục",</v>
      </c>
    </row>
    <row r="133" spans="1:6" ht="15.75" customHeight="1">
      <c r="A133" s="14">
        <v>22256</v>
      </c>
      <c r="B133" s="14" t="s">
        <v>46</v>
      </c>
      <c r="C133" s="14" t="s">
        <v>6072</v>
      </c>
      <c r="D133" s="5" t="str">
        <f ca="1">IFERROR(__xludf.DUMMYFUNCTION("GOOGLETRANSLATE(B133,""ja"",""vi"")"),"nếu không thì")</f>
        <v>nếu không thì</v>
      </c>
      <c r="E133" s="4" t="str">
        <f ca="1">IFERROR(__xludf.DUMMYFUNCTION("GOOGLETRANSLATE(C133,""ja"",""vi"")"),"Đấu giá&gt; Âm nhạc&gt; Video&gt; Khác")</f>
        <v>Đấu giá&gt; Âm nhạc&gt; Video&gt; Khác</v>
      </c>
      <c r="F133" t="str">
        <f t="shared" ca="1" si="2"/>
        <v>"22256" : "nếu không thì",</v>
      </c>
    </row>
    <row r="134" spans="1:6" ht="15.75" customHeight="1">
      <c r="A134" s="14">
        <v>2084045048</v>
      </c>
      <c r="B134" s="14" t="s">
        <v>3000</v>
      </c>
      <c r="C134" s="14" t="s">
        <v>6077</v>
      </c>
      <c r="D134" s="5" t="str">
        <f ca="1">IFERROR(__xludf.DUMMYFUNCTION("GOOGLETRANSLATE(B134,""ja"",""vi"")"),"Ultraman")</f>
        <v>Ultraman</v>
      </c>
      <c r="E134" s="4" t="str">
        <f ca="1">IFERROR(__xludf.DUMMYFUNCTION("GOOGLETRANSLATE(C134,""ja"",""vi"")"),"Đấu giá&gt; phim, video&gt; băng video&gt; phim&gt; hiệu ứng đặc biệt&gt; Ultraman")</f>
        <v>Đấu giá&gt; phim, video&gt; băng video&gt; phim&gt; hiệu ứng đặc biệt&gt; Ultraman</v>
      </c>
      <c r="F134" t="str">
        <f t="shared" ca="1" si="2"/>
        <v>"2084045048" : "Ultraman",</v>
      </c>
    </row>
    <row r="135" spans="1:6" ht="15.75" customHeight="1">
      <c r="A135" s="14">
        <v>2084045050</v>
      </c>
      <c r="B135" s="14" t="s">
        <v>2241</v>
      </c>
      <c r="C135" s="14" t="s">
        <v>6082</v>
      </c>
      <c r="D135" s="5" t="str">
        <f ca="1">IFERROR(__xludf.DUMMYFUNCTION("GOOGLETRANSLATE(B135,""ja"",""vi"")"),"chung")</f>
        <v>chung</v>
      </c>
      <c r="E135" s="4" t="str">
        <f ca="1">IFERROR(__xludf.DUMMYFUNCTION("GOOGLETRANSLATE(C135,""ja"",""vi"")"),"Đấu giá&gt; phim, video&gt; băng video&gt; phim&gt; hiệu ứng đặc biệt&gt; chung")</f>
        <v>Đấu giá&gt; phim, video&gt; băng video&gt; phim&gt; hiệu ứng đặc biệt&gt; chung</v>
      </c>
      <c r="F135" t="str">
        <f t="shared" ca="1" si="2"/>
        <v>"2084045050" : "chung",</v>
      </c>
    </row>
    <row r="136" spans="1:6" ht="15.75" customHeight="1">
      <c r="A136" s="14">
        <v>2084045049</v>
      </c>
      <c r="B136" s="14" t="s">
        <v>3019</v>
      </c>
      <c r="C136" s="14" t="s">
        <v>6087</v>
      </c>
      <c r="D136" s="5" t="str">
        <f ca="1">IFERROR(__xludf.DUMMYFUNCTION("GOOGLETRANSLATE(B136,""ja"",""vi"")"),"masked Rider")</f>
        <v>masked Rider</v>
      </c>
      <c r="E136" s="4" t="str">
        <f ca="1">IFERROR(__xludf.DUMMYFUNCTION("GOOGLETRANSLATE(C136,""ja"",""vi"")"),"Đấu giá&gt; phim, video&gt; băng video&gt; phim&gt; hiệu ứng đặc biệt&gt; Kamen Rider")</f>
        <v>Đấu giá&gt; phim, video&gt; băng video&gt; phim&gt; hiệu ứng đặc biệt&gt; Kamen Rider</v>
      </c>
      <c r="F136" t="str">
        <f t="shared" ca="1" si="2"/>
        <v>"2084045049" : "masked Rider",</v>
      </c>
    </row>
    <row r="137" spans="1:6" ht="15.75" customHeight="1">
      <c r="A137" s="14">
        <v>2084041549</v>
      </c>
      <c r="B137" s="14" t="s">
        <v>5771</v>
      </c>
      <c r="C137" s="14" t="s">
        <v>6092</v>
      </c>
      <c r="D137" s="5" t="str">
        <f ca="1">IFERROR(__xludf.DUMMYFUNCTION("GOOGLETRANSLATE(B137,""ja"",""vi"")"),"gia đình")</f>
        <v>gia đình</v>
      </c>
      <c r="E137" s="4" t="str">
        <f ca="1">IFERROR(__xludf.DUMMYFUNCTION("GOOGLETRANSLATE(C137,""ja"",""vi"")"),"Đấu giá&gt; phim, video&gt; đĩa laze&gt; phim&gt; Gia đình")</f>
        <v>Đấu giá&gt; phim, video&gt; đĩa laze&gt; phim&gt; Gia đình</v>
      </c>
      <c r="F137" t="str">
        <f t="shared" ca="1" si="2"/>
        <v>"2084041549" : "gia đình",</v>
      </c>
    </row>
    <row r="138" spans="1:6" ht="15.75" customHeight="1">
      <c r="A138" s="14">
        <v>2084041547</v>
      </c>
      <c r="B138" s="14" t="s">
        <v>5777</v>
      </c>
      <c r="C138" s="14" t="s">
        <v>6096</v>
      </c>
      <c r="D138" s="5" t="str">
        <f ca="1">IFERROR(__xludf.DUMMYFUNCTION("GOOGLETRANSLATE(B138,""ja"",""vi"")"),"love story")</f>
        <v>love story</v>
      </c>
      <c r="E138" s="4" t="str">
        <f ca="1">IFERROR(__xludf.DUMMYFUNCTION("GOOGLETRANSLATE(C138,""ja"",""vi"")"),"Đấu giá&gt; phim, video&gt; đĩa laze&gt; phim&gt; câu chuyện tình yêu")</f>
        <v>Đấu giá&gt; phim, video&gt; đĩa laze&gt; phim&gt; câu chuyện tình yêu</v>
      </c>
      <c r="F138" t="str">
        <f t="shared" ca="1" si="2"/>
        <v>"2084041547" : "love story",</v>
      </c>
    </row>
    <row r="139" spans="1:6" ht="15.75" customHeight="1">
      <c r="A139" s="14">
        <v>2084041548</v>
      </c>
      <c r="B139" s="14" t="s">
        <v>5785</v>
      </c>
      <c r="C139" s="14" t="s">
        <v>6101</v>
      </c>
      <c r="D139" s="5" t="str">
        <f ca="1">IFERROR(__xludf.DUMMYFUNCTION("GOOGLETRANSLATE(B139,""ja"",""vi"")"),"tuổi trẻ")</f>
        <v>tuổi trẻ</v>
      </c>
      <c r="E139" s="4" t="str">
        <f ca="1">IFERROR(__xludf.DUMMYFUNCTION("GOOGLETRANSLATE(C139,""ja"",""vi"")"),"Đấu giá&gt; phim, video&gt; đĩa laze&gt; phim&gt; trẻ")</f>
        <v>Đấu giá&gt; phim, video&gt; đĩa laze&gt; phim&gt; trẻ</v>
      </c>
      <c r="F139" t="str">
        <f t="shared" ca="1" si="2"/>
        <v>"2084041548" : "tuổi trẻ",</v>
      </c>
    </row>
    <row r="140" spans="1:6" ht="15.75" customHeight="1">
      <c r="A140" s="14">
        <v>2084041550</v>
      </c>
      <c r="B140" s="14" t="s">
        <v>46</v>
      </c>
      <c r="C140" s="14" t="s">
        <v>6106</v>
      </c>
      <c r="D140" s="5" t="str">
        <f ca="1">IFERROR(__xludf.DUMMYFUNCTION("GOOGLETRANSLATE(B140,""ja"",""vi"")"),"nếu không thì")</f>
        <v>nếu không thì</v>
      </c>
      <c r="E140" s="4" t="str">
        <f ca="1">IFERROR(__xludf.DUMMYFUNCTION("GOOGLETRANSLATE(C140,""ja"",""vi"")"),"Đấu giá&gt; phim, video&gt; đĩa laze&gt; phim&gt; Khác")</f>
        <v>Đấu giá&gt; phim, video&gt; đĩa laze&gt; phim&gt; Khác</v>
      </c>
      <c r="F140" t="str">
        <f t="shared" ca="1" si="2"/>
        <v>"2084041550" : "nếu không thì",</v>
      </c>
    </row>
    <row r="141" spans="1:6" ht="15.75" customHeight="1">
      <c r="A141" s="14">
        <v>2084007016</v>
      </c>
      <c r="B141" s="14" t="s">
        <v>6000</v>
      </c>
      <c r="C141" s="14" t="s">
        <v>6112</v>
      </c>
      <c r="D141" s="5" t="str">
        <f ca="1">IFERROR(__xludf.DUMMYFUNCTION("GOOGLETRANSLATE(B141,""ja"",""vi"")"),"R &amp; B, soul")</f>
        <v>R &amp; B, soul</v>
      </c>
      <c r="E141" s="4" t="str">
        <f ca="1">IFERROR(__xludf.DUMMYFUNCTION("GOOGLETRANSLATE(C141,""ja"",""vi"")"),"Đấu giá&gt; nhạc&gt; đĩa laze&gt; R &amp; B, soul")</f>
        <v>Đấu giá&gt; nhạc&gt; đĩa laze&gt; R &amp; B, soul</v>
      </c>
      <c r="F141" t="str">
        <f t="shared" ca="1" si="2"/>
        <v>"2084007016" : "R &amp; B, soul",</v>
      </c>
    </row>
    <row r="142" spans="1:6" ht="15.75" customHeight="1">
      <c r="A142" s="14">
        <v>2084007014</v>
      </c>
      <c r="B142" s="14" t="s">
        <v>3849</v>
      </c>
      <c r="C142" s="14" t="s">
        <v>6116</v>
      </c>
      <c r="D142" s="5" t="str">
        <f ca="1">IFERROR(__xludf.DUMMYFUNCTION("GOOGLETRANSLATE(B142,""ja"",""vi"")"),"Anime bài hát")</f>
        <v>Anime bài hát</v>
      </c>
      <c r="E142" s="4" t="str">
        <f ca="1">IFERROR(__xludf.DUMMYFUNCTION("GOOGLETRANSLATE(C142,""ja"",""vi"")"),"Đấu giá&gt; nhạc&gt; đĩa laze&gt; bài hát phim hoạt hình")</f>
        <v>Đấu giá&gt; nhạc&gt; đĩa laze&gt; bài hát phim hoạt hình</v>
      </c>
      <c r="F142" t="str">
        <f t="shared" ca="1" si="2"/>
        <v>"2084007014" : "Anime bài hát",</v>
      </c>
    </row>
    <row r="143" spans="1:6" ht="15.75" customHeight="1">
      <c r="A143" s="14">
        <v>2084005538</v>
      </c>
      <c r="B143" s="14" t="s">
        <v>1162</v>
      </c>
      <c r="C143" s="14" t="s">
        <v>6122</v>
      </c>
      <c r="D143" s="5" t="str">
        <f ca="1">IFERROR(__xludf.DUMMYFUNCTION("GOOGLETRANSLATE(B143,""ja"",""vi"")"),"cổ điển")</f>
        <v>cổ điển</v>
      </c>
      <c r="E143" s="4" t="str">
        <f ca="1">IFERROR(__xludf.DUMMYFUNCTION("GOOGLETRANSLATE(C143,""ja"",""vi"")"),"Đấu giá&gt; nhạc&gt; đĩa laze&gt; cổ điển")</f>
        <v>Đấu giá&gt; nhạc&gt; đĩa laze&gt; cổ điển</v>
      </c>
      <c r="F143" t="str">
        <f t="shared" ca="1" si="2"/>
        <v>"2084005538" : "cổ điển",</v>
      </c>
    </row>
    <row r="144" spans="1:6" ht="15.75" customHeight="1">
      <c r="A144" s="14">
        <v>2084007012</v>
      </c>
      <c r="B144" s="14" t="s">
        <v>6015</v>
      </c>
      <c r="C144" s="14" t="s">
        <v>6125</v>
      </c>
      <c r="D144" s="5" t="str">
        <f ca="1">IFERROR(__xludf.DUMMYFUNCTION("GOOGLETRANSLATE(B144,""ja"",""vi"")"),"Câu lạc bộ, khiêu vũ")</f>
        <v>Câu lạc bộ, khiêu vũ</v>
      </c>
      <c r="E144" s="4" t="str">
        <f ca="1">IFERROR(__xludf.DUMMYFUNCTION("GOOGLETRANSLATE(C144,""ja"",""vi"")"),"Đấu giá&gt; nhạc&gt; đĩa laze&gt; Club, Dance")</f>
        <v>Đấu giá&gt; nhạc&gt; đĩa laze&gt; Club, Dance</v>
      </c>
      <c r="F144" t="str">
        <f t="shared" ca="1" si="2"/>
        <v>"2084007012" : "Câu lạc bộ, khiêu vũ",</v>
      </c>
    </row>
    <row r="145" spans="1:6" ht="15.75" customHeight="1">
      <c r="A145" s="14">
        <v>2084007015</v>
      </c>
      <c r="B145" s="14" t="s">
        <v>6021</v>
      </c>
      <c r="C145" s="14" t="s">
        <v>6127</v>
      </c>
      <c r="D145" s="5" t="str">
        <f ca="1">IFERROR(__xludf.DUMMYFUNCTION("GOOGLETRANSLATE(B145,""ja"",""vi"")"),"trò chơi âm nhạc")</f>
        <v>trò chơi âm nhạc</v>
      </c>
      <c r="E145" s="4" t="str">
        <f ca="1">IFERROR(__xludf.DUMMYFUNCTION("GOOGLETRANSLATE(C145,""ja"",""vi"")"),"Đấu giá&gt; nhạc&gt; đĩa laze&gt; trò chơi âm nhạc")</f>
        <v>Đấu giá&gt; nhạc&gt; đĩa laze&gt; trò chơi âm nhạc</v>
      </c>
      <c r="F145" t="str">
        <f t="shared" ca="1" si="2"/>
        <v>"2084007015" : "trò chơi âm nhạc",</v>
      </c>
    </row>
    <row r="146" spans="1:6" ht="15.75" customHeight="1">
      <c r="A146" s="14">
        <v>2084005539</v>
      </c>
      <c r="B146" s="14" t="s">
        <v>1176</v>
      </c>
      <c r="C146" s="14" t="s">
        <v>6129</v>
      </c>
      <c r="D146" s="5" t="str">
        <f ca="1">IFERROR(__xludf.DUMMYFUNCTION("GOOGLETRANSLATE(B146,""ja"",""vi"")"),"nhạc jazz")</f>
        <v>nhạc jazz</v>
      </c>
      <c r="E146" s="4" t="str">
        <f ca="1">IFERROR(__xludf.DUMMYFUNCTION("GOOGLETRANSLATE(C146,""ja"",""vi"")"),"Đấu giá&gt; nhạc&gt; đĩa laze&gt; Jazz")</f>
        <v>Đấu giá&gt; nhạc&gt; đĩa laze&gt; Jazz</v>
      </c>
      <c r="F146" t="str">
        <f t="shared" ca="1" si="2"/>
        <v>"2084005539" : "nhạc jazz",</v>
      </c>
    </row>
    <row r="147" spans="1:6" ht="15.75" customHeight="1">
      <c r="A147" s="14">
        <v>2084005540</v>
      </c>
      <c r="B147" s="14" t="s">
        <v>1139</v>
      </c>
      <c r="C147" s="14" t="s">
        <v>6132</v>
      </c>
      <c r="D147" s="5" t="str">
        <f ca="1">IFERROR(__xludf.DUMMYFUNCTION("GOOGLETRANSLATE(B147,""ja"",""vi"")"),"Pop Nhật Bản")</f>
        <v>Pop Nhật Bản</v>
      </c>
      <c r="E147" s="4" t="str">
        <f ca="1">IFERROR(__xludf.DUMMYFUNCTION("GOOGLETRANSLATE(C147,""ja"",""vi"")"),"Đấu giá&gt; nhạc&gt; đĩa laze&gt; Nhật Bản Pop")</f>
        <v>Đấu giá&gt; nhạc&gt; đĩa laze&gt; Nhật Bản Pop</v>
      </c>
      <c r="F147" t="str">
        <f t="shared" ca="1" si="2"/>
        <v>"2084005540" : "Pop Nhật Bản",</v>
      </c>
    </row>
    <row r="148" spans="1:6" ht="15.75" customHeight="1">
      <c r="A148" s="14">
        <v>2084007017</v>
      </c>
      <c r="B148" s="14" t="s">
        <v>6034</v>
      </c>
      <c r="C148" s="14" t="s">
        <v>6136</v>
      </c>
      <c r="D148" s="5" t="str">
        <f ca="1">IFERROR(__xludf.DUMMYFUNCTION("GOOGLETRANSLATE(B148,""ja"",""vi"")"),"màu xanh")</f>
        <v>màu xanh</v>
      </c>
      <c r="E148" s="4" t="str">
        <f ca="1">IFERROR(__xludf.DUMMYFUNCTION("GOOGLETRANSLATE(C148,""ja"",""vi"")"),"Đấu giá&gt; nhạc&gt; đĩa laze&gt; Blues")</f>
        <v>Đấu giá&gt; nhạc&gt; đĩa laze&gt; Blues</v>
      </c>
      <c r="F148" t="str">
        <f t="shared" ca="1" si="2"/>
        <v>"2084007017" : "màu xanh",</v>
      </c>
    </row>
    <row r="149" spans="1:6" ht="15.75" customHeight="1">
      <c r="A149" s="14">
        <v>2084007018</v>
      </c>
      <c r="B149" s="14" t="s">
        <v>6039</v>
      </c>
      <c r="C149" s="14" t="s">
        <v>6139</v>
      </c>
      <c r="D149" s="5" t="str">
        <f ca="1">IFERROR(__xludf.DUMMYFUNCTION("GOOGLETRANSLATE(B149,""ja"",""vi"")"),"Rap, hip hop")</f>
        <v>Rap, hip hop</v>
      </c>
      <c r="E149" s="4" t="str">
        <f ca="1">IFERROR(__xludf.DUMMYFUNCTION("GOOGLETRANSLATE(C149,""ja"",""vi"")"),"Đấu giá&gt; nhạc&gt; đĩa laze&gt; rap, hip-hop")</f>
        <v>Đấu giá&gt; nhạc&gt; đĩa laze&gt; rap, hip-hop</v>
      </c>
      <c r="F149" t="str">
        <f t="shared" ca="1" si="2"/>
        <v>"2084007018" : "Rap, hip hop",</v>
      </c>
    </row>
    <row r="150" spans="1:6" ht="15.75" customHeight="1">
      <c r="A150" s="14">
        <v>2084005541</v>
      </c>
      <c r="B150" s="14" t="s">
        <v>1751</v>
      </c>
      <c r="C150" s="14" t="s">
        <v>6141</v>
      </c>
      <c r="D150" s="5" t="str">
        <f ca="1">IFERROR(__xludf.DUMMYFUNCTION("GOOGLETRANSLATE(B150,""ja"",""vi"")"),"Rock, Pop (Western)")</f>
        <v>Rock, Pop (Western)</v>
      </c>
      <c r="E150" s="4" t="str">
        <f ca="1">IFERROR(__xludf.DUMMYFUNCTION("GOOGLETRANSLATE(C150,""ja"",""vi"")"),"Đấu giá&gt; nhạc&gt; đĩa laze&gt; Rock, Pop (Western)")</f>
        <v>Đấu giá&gt; nhạc&gt; đĩa laze&gt; Rock, Pop (Western)</v>
      </c>
      <c r="F150" t="str">
        <f t="shared" ca="1" si="2"/>
        <v>"2084005541" : "Rock, Pop (Western)",</v>
      </c>
    </row>
    <row r="151" spans="1:6" ht="15.75" customHeight="1">
      <c r="A151" s="14">
        <v>2084007019</v>
      </c>
      <c r="B151" s="14" t="s">
        <v>6051</v>
      </c>
      <c r="C151" s="14" t="s">
        <v>6143</v>
      </c>
      <c r="D151" s="5" t="str">
        <f ca="1">IFERROR(__xludf.DUMMYFUNCTION("GOOGLETRANSLATE(B151,""ja"",""vi"")"),"Âm nhạc thế giới")</f>
        <v>Âm nhạc thế giới</v>
      </c>
      <c r="E151" s="4" t="str">
        <f ca="1">IFERROR(__xludf.DUMMYFUNCTION("GOOGLETRANSLATE(C151,""ja"",""vi"")"),"Đấu giá&gt; nhạc&gt; đĩa laze&gt; Âm nhạc thế giới")</f>
        <v>Đấu giá&gt; nhạc&gt; đĩa laze&gt; Âm nhạc thế giới</v>
      </c>
      <c r="F151" t="str">
        <f t="shared" ca="1" si="2"/>
        <v>"2084007019" : "Âm nhạc thế giới",</v>
      </c>
    </row>
    <row r="152" spans="1:6" ht="15.75" customHeight="1">
      <c r="A152" s="14">
        <v>2084007013</v>
      </c>
      <c r="B152" s="14" t="s">
        <v>6057</v>
      </c>
      <c r="C152" s="14" t="s">
        <v>6146</v>
      </c>
      <c r="D152" s="5" t="str">
        <f ca="1">IFERROR(__xludf.DUMMYFUNCTION("GOOGLETRANSLATE(B152,""ja"",""vi"")"),"phim âm nhạc")</f>
        <v>phim âm nhạc</v>
      </c>
      <c r="E152" s="4" t="str">
        <f ca="1">IFERROR(__xludf.DUMMYFUNCTION("GOOGLETRANSLATE(C152,""ja"",""vi"")"),"Đấu giá&gt; nhạc&gt; đĩa laze&gt; Phim Âm nhạc")</f>
        <v>Đấu giá&gt; nhạc&gt; đĩa laze&gt; Phim Âm nhạc</v>
      </c>
      <c r="F152" t="str">
        <f t="shared" ca="1" si="2"/>
        <v>"2084007013" : "phim âm nhạc",</v>
      </c>
    </row>
    <row r="153" spans="1:6" ht="15.75" customHeight="1">
      <c r="A153" s="14">
        <v>2084007020</v>
      </c>
      <c r="B153" s="14" t="s">
        <v>6064</v>
      </c>
      <c r="C153" s="14" t="s">
        <v>6150</v>
      </c>
      <c r="D153" s="5" t="str">
        <f ca="1">IFERROR(__xludf.DUMMYFUNCTION("GOOGLETRANSLATE(B153,""ja"",""vi"")"),"Vườn ươm vần, giáo dục")</f>
        <v>Vườn ươm vần, giáo dục</v>
      </c>
      <c r="E153" s="4" t="str">
        <f ca="1">IFERROR(__xludf.DUMMYFUNCTION("GOOGLETRANSLATE(C153,""ja"",""vi"")"),"Đấu giá&gt; nhạc&gt; đĩa laze&gt; vườn ươm vần, giáo dục")</f>
        <v>Đấu giá&gt; nhạc&gt; đĩa laze&gt; vườn ươm vần, giáo dục</v>
      </c>
      <c r="F153" t="str">
        <f t="shared" ca="1" si="2"/>
        <v>"2084007020" : "Vườn ươm vần, giáo dục",</v>
      </c>
    </row>
    <row r="154" spans="1:6" ht="15.75" customHeight="1">
      <c r="A154" s="14">
        <v>2084005542</v>
      </c>
      <c r="B154" s="14" t="s">
        <v>46</v>
      </c>
      <c r="C154" s="14" t="s">
        <v>6153</v>
      </c>
      <c r="D154" s="5" t="str">
        <f ca="1">IFERROR(__xludf.DUMMYFUNCTION("GOOGLETRANSLATE(B154,""ja"",""vi"")"),"nếu không thì")</f>
        <v>nếu không thì</v>
      </c>
      <c r="E154" s="4" t="str">
        <f ca="1">IFERROR(__xludf.DUMMYFUNCTION("GOOGLETRANSLATE(C154,""ja"",""vi"")"),"Đấu giá&gt; nhạc&gt; đĩa laze&gt; Khác")</f>
        <v>Đấu giá&gt; nhạc&gt; đĩa laze&gt; Khác</v>
      </c>
      <c r="F154" t="str">
        <f t="shared" ca="1" si="2"/>
        <v>"2084005542" : "nếu không thì",</v>
      </c>
    </row>
    <row r="155" spans="1:6" ht="15.75" customHeight="1">
      <c r="A155" s="14">
        <v>2084045066</v>
      </c>
      <c r="B155" s="14" t="s">
        <v>3000</v>
      </c>
      <c r="C155" s="14" t="s">
        <v>6156</v>
      </c>
      <c r="D155" s="5" t="str">
        <f ca="1">IFERROR(__xludf.DUMMYFUNCTION("GOOGLETRANSLATE(B155,""ja"",""vi"")"),"Ultraman")</f>
        <v>Ultraman</v>
      </c>
      <c r="E155" s="4" t="str">
        <f ca="1">IFERROR(__xludf.DUMMYFUNCTION("GOOGLETRANSLATE(C155,""ja"",""vi"")"),"Đấu giá&gt; phim, video&gt; đĩa laze&gt; hiệu ứng đặc biệt&gt; Ultraman")</f>
        <v>Đấu giá&gt; phim, video&gt; đĩa laze&gt; hiệu ứng đặc biệt&gt; Ultraman</v>
      </c>
      <c r="F155" t="str">
        <f t="shared" ca="1" si="2"/>
        <v>"2084045066" : "Ultraman",</v>
      </c>
    </row>
    <row r="156" spans="1:6" ht="15.75" customHeight="1">
      <c r="A156" s="14">
        <v>2084045067</v>
      </c>
      <c r="B156" s="14" t="s">
        <v>2241</v>
      </c>
      <c r="C156" s="14" t="s">
        <v>6159</v>
      </c>
      <c r="D156" s="5" t="str">
        <f ca="1">IFERROR(__xludf.DUMMYFUNCTION("GOOGLETRANSLATE(B156,""ja"",""vi"")"),"chung")</f>
        <v>chung</v>
      </c>
      <c r="E156" s="4" t="str">
        <f ca="1">IFERROR(__xludf.DUMMYFUNCTION("GOOGLETRANSLATE(C156,""ja"",""vi"")"),"Đấu giá&gt; phim, video&gt; đĩa laze&gt; hiệu ứng đặc biệt&gt; chung")</f>
        <v>Đấu giá&gt; phim, video&gt; đĩa laze&gt; hiệu ứng đặc biệt&gt; chung</v>
      </c>
      <c r="F156" t="str">
        <f t="shared" ca="1" si="2"/>
        <v>"2084045067" : "chung",</v>
      </c>
    </row>
    <row r="157" spans="1:6" ht="15.75" customHeight="1">
      <c r="A157" s="14">
        <v>2084045068</v>
      </c>
      <c r="B157" s="14" t="s">
        <v>3019</v>
      </c>
      <c r="C157" s="14" t="s">
        <v>6163</v>
      </c>
      <c r="D157" s="5" t="str">
        <f ca="1">IFERROR(__xludf.DUMMYFUNCTION("GOOGLETRANSLATE(B157,""ja"",""vi"")"),"masked Rider")</f>
        <v>masked Rider</v>
      </c>
      <c r="E157" s="4" t="str">
        <f ca="1">IFERROR(__xludf.DUMMYFUNCTION("GOOGLETRANSLATE(C157,""ja"",""vi"")"),"Đấu giá&gt; phim, video&gt; đĩa laze&gt; hiệu ứng đặc biệt&gt; Kamen Rider")</f>
        <v>Đấu giá&gt; phim, video&gt; đĩa laze&gt; hiệu ứng đặc biệt&gt; Kamen Rider</v>
      </c>
      <c r="F157" t="str">
        <f t="shared" ca="1" si="2"/>
        <v>"2084045068" : "masked Rider",</v>
      </c>
    </row>
    <row r="158" spans="1:6" ht="15.75" customHeight="1">
      <c r="A158" s="14">
        <v>2084041494</v>
      </c>
      <c r="B158" s="14" t="s">
        <v>3835</v>
      </c>
      <c r="C158" s="14" t="s">
        <v>3837</v>
      </c>
      <c r="D158" s="5" t="str">
        <f ca="1">IFERROR(__xludf.DUMMYFUNCTION("GOOGLETRANSLATE(B158,""ja"",""vi"")"),"SF, Viễn tưởng")</f>
        <v>SF, Viễn tưởng</v>
      </c>
      <c r="E158" s="4" t="str">
        <f ca="1">IFERROR(__xludf.DUMMYFUNCTION("GOOGLETRANSLATE(C158,""ja"",""vi"")"),"Đấu giá&gt; Âm nhạc&gt; CD&gt; phim âm nhạc&gt; SF, Viễn tưởng")</f>
        <v>Đấu giá&gt; Âm nhạc&gt; CD&gt; phim âm nhạc&gt; SF, Viễn tưởng</v>
      </c>
      <c r="F158" t="str">
        <f t="shared" ca="1" si="2"/>
        <v>"2084041494" : "SF, Viễn tưởng",</v>
      </c>
    </row>
    <row r="159" spans="1:6" ht="15.75" customHeight="1">
      <c r="A159" s="14">
        <v>2084041496</v>
      </c>
      <c r="B159" s="14" t="s">
        <v>3842</v>
      </c>
      <c r="C159" s="14" t="s">
        <v>3844</v>
      </c>
      <c r="D159" s="5" t="str">
        <f ca="1">IFERROR(__xludf.DUMMYFUNCTION("GOOGLETRANSLATE(B159,""ja"",""vi"")"),"Hành động, phiêu lưu")</f>
        <v>Hành động, phiêu lưu</v>
      </c>
      <c r="E159" s="4" t="str">
        <f ca="1">IFERROR(__xludf.DUMMYFUNCTION("GOOGLETRANSLATE(C159,""ja"",""vi"")"),"Đấu giá&gt; Âm nhạc&gt; CD&gt; phim âm nhạc&gt; Hành động, phiêu lưu")</f>
        <v>Đấu giá&gt; Âm nhạc&gt; CD&gt; phim âm nhạc&gt; Hành động, phiêu lưu</v>
      </c>
      <c r="F159" t="str">
        <f t="shared" ca="1" si="2"/>
        <v>"2084041496" : "Hành động, phiêu lưu",</v>
      </c>
    </row>
    <row r="160" spans="1:6" ht="15.75" customHeight="1">
      <c r="A160" s="14">
        <v>2084005149</v>
      </c>
      <c r="B160" s="14" t="s">
        <v>3849</v>
      </c>
      <c r="C160" s="14" t="s">
        <v>3852</v>
      </c>
      <c r="D160" s="5" t="str">
        <f ca="1">IFERROR(__xludf.DUMMYFUNCTION("GOOGLETRANSLATE(B160,""ja"",""vi"")"),"Anime bài hát")</f>
        <v>Anime bài hát</v>
      </c>
      <c r="E160" s="4" t="str">
        <f ca="1">IFERROR(__xludf.DUMMYFUNCTION("GOOGLETRANSLATE(C160,""ja"",""vi"")"),"Đấu giá&gt; Âm nhạc&gt; CD&gt; nhạc phim&gt; bài hát phim hoạt hình")</f>
        <v>Đấu giá&gt; Âm nhạc&gt; CD&gt; nhạc phim&gt; bài hát phim hoạt hình</v>
      </c>
      <c r="F160" t="str">
        <f t="shared" ca="1" si="2"/>
        <v>"2084005149" : "Anime bài hát",</v>
      </c>
    </row>
    <row r="161" spans="1:6" ht="15.75" customHeight="1">
      <c r="A161" s="14">
        <v>2084041497</v>
      </c>
      <c r="B161" s="14" t="s">
        <v>3855</v>
      </c>
      <c r="C161" s="14" t="s">
        <v>3859</v>
      </c>
      <c r="D161" s="5" t="str">
        <f ca="1">IFERROR(__xludf.DUMMYFUNCTION("GOOGLETRANSLATE(B161,""ja"",""vi"")"),"hài kịch")</f>
        <v>hài kịch</v>
      </c>
      <c r="E161" s="4" t="str">
        <f ca="1">IFERROR(__xludf.DUMMYFUNCTION("GOOGLETRANSLATE(C161,""ja"",""vi"")"),"Đấu giá&gt; Âm nhạc&gt; CD&gt; phim âm nhạc&gt; Comedy")</f>
        <v>Đấu giá&gt; Âm nhạc&gt; CD&gt; phim âm nhạc&gt; Comedy</v>
      </c>
      <c r="F161" t="str">
        <f t="shared" ca="1" si="2"/>
        <v>"2084041497" : "hài kịch",</v>
      </c>
    </row>
    <row r="162" spans="1:6" ht="15.75" customHeight="1">
      <c r="A162" s="14">
        <v>2084041503</v>
      </c>
      <c r="B162" s="14" t="s">
        <v>3864</v>
      </c>
      <c r="C162" s="14" t="s">
        <v>3865</v>
      </c>
      <c r="D162" s="5" t="str">
        <f ca="1">IFERROR(__xludf.DUMMYFUNCTION("GOOGLETRANSLATE(B162,""ja"",""vi"")"),"Hồi hộp")</f>
        <v>Hồi hộp</v>
      </c>
      <c r="E162" s="4" t="str">
        <f ca="1">IFERROR(__xludf.DUMMYFUNCTION("GOOGLETRANSLATE(C162,""ja"",""vi"")"),"Đấu giá&gt; Âm nhạc&gt; CD&gt; nhạc phim&gt; Hồi hộp")</f>
        <v>Đấu giá&gt; Âm nhạc&gt; CD&gt; nhạc phim&gt; Hồi hộp</v>
      </c>
      <c r="F162" t="str">
        <f t="shared" ca="1" si="2"/>
        <v>"2084041503" : "Hồi hộp",</v>
      </c>
    </row>
    <row r="163" spans="1:6" ht="15.75" customHeight="1">
      <c r="A163" s="14">
        <v>2084041499</v>
      </c>
      <c r="B163" s="14" t="s">
        <v>3870</v>
      </c>
      <c r="C163" s="14" t="s">
        <v>3872</v>
      </c>
      <c r="D163" s="5" t="str">
        <f ca="1">IFERROR(__xludf.DUMMYFUNCTION("GOOGLETRANSLATE(B163,""ja"",""vi"")"),"kịch")</f>
        <v>kịch</v>
      </c>
      <c r="E163" s="4" t="str">
        <f ca="1">IFERROR(__xludf.DUMMYFUNCTION("GOOGLETRANSLATE(C163,""ja"",""vi"")"),"Đấu giá&gt; Âm nhạc&gt; CD&gt; nhạc phim&gt; Drama")</f>
        <v>Đấu giá&gt; Âm nhạc&gt; CD&gt; nhạc phim&gt; Drama</v>
      </c>
      <c r="F163" t="str">
        <f t="shared" ca="1" si="2"/>
        <v>"2084041499" : "kịch",</v>
      </c>
    </row>
    <row r="164" spans="1:6" ht="15.75" customHeight="1">
      <c r="A164" s="14">
        <v>2084041500</v>
      </c>
      <c r="B164" s="14" t="s">
        <v>3876</v>
      </c>
      <c r="C164" s="14" t="s">
        <v>3877</v>
      </c>
      <c r="D164" s="5" t="str">
        <f ca="1">IFERROR(__xludf.DUMMYFUNCTION("GOOGLETRANSLATE(B164,""ja"",""vi"")"),"rùng rợn")</f>
        <v>rùng rợn</v>
      </c>
      <c r="E164" s="4" t="str">
        <f ca="1">IFERROR(__xludf.DUMMYFUNCTION("GOOGLETRANSLATE(C164,""ja"",""vi"")"),"Đấu giá&gt; Âm nhạc&gt; CD&gt; nhạc phim&gt; Horror")</f>
        <v>Đấu giá&gt; Âm nhạc&gt; CD&gt; nhạc phim&gt; Horror</v>
      </c>
      <c r="F164" t="str">
        <f t="shared" ca="1" si="2"/>
        <v>"2084041500" : "rùng rợn",</v>
      </c>
    </row>
    <row r="165" spans="1:6" ht="15.75" customHeight="1">
      <c r="A165" s="14">
        <v>2084041498</v>
      </c>
      <c r="B165" s="14" t="s">
        <v>1207</v>
      </c>
      <c r="C165" s="14" t="s">
        <v>3883</v>
      </c>
      <c r="D165" s="5" t="str">
        <f ca="1">IFERROR(__xludf.DUMMYFUNCTION("GOOGLETRANSLATE(B165,""ja"",""vi"")"),"nhạc")</f>
        <v>nhạc</v>
      </c>
      <c r="E165" s="4" t="str">
        <f ca="1">IFERROR(__xludf.DUMMYFUNCTION("GOOGLETRANSLATE(C165,""ja"",""vi"")"),"Đấu giá&gt; Âm nhạc&gt; CD&gt; nhạc phim&gt; Nhạc")</f>
        <v>Đấu giá&gt; Âm nhạc&gt; CD&gt; nhạc phim&gt; Nhạc</v>
      </c>
      <c r="F165" t="str">
        <f t="shared" ca="1" si="2"/>
        <v>"2084041498" : "nhạc",</v>
      </c>
    </row>
    <row r="166" spans="1:6" ht="15.75" customHeight="1">
      <c r="A166" s="14">
        <v>2084041517</v>
      </c>
      <c r="B166" s="14" t="s">
        <v>3888</v>
      </c>
      <c r="C166" s="14" t="s">
        <v>3889</v>
      </c>
      <c r="D166" s="5" t="str">
        <f ca="1">IFERROR(__xludf.DUMMYFUNCTION("GOOGLETRANSLATE(B166,""ja"",""vi"")"),"chơi lịch sử")</f>
        <v>chơi lịch sử</v>
      </c>
      <c r="E166" s="4" t="str">
        <f ca="1">IFERROR(__xludf.DUMMYFUNCTION("GOOGLETRANSLATE(C166,""ja"",""vi"")"),"Đấu giá&gt; Âm nhạc&gt; CD&gt; nhạc phim&gt; phim kỷ nguyên")</f>
        <v>Đấu giá&gt; Âm nhạc&gt; CD&gt; nhạc phim&gt; phim kỷ nguyên</v>
      </c>
      <c r="F166" t="str">
        <f t="shared" ca="1" si="2"/>
        <v>"2084041517" : "chơi lịch sử",</v>
      </c>
    </row>
    <row r="167" spans="1:6" ht="15.75" customHeight="1">
      <c r="A167" s="14">
        <v>2084041501</v>
      </c>
      <c r="B167" s="14" t="s">
        <v>3893</v>
      </c>
      <c r="C167" s="14" t="s">
        <v>3895</v>
      </c>
      <c r="D167" s="5" t="str">
        <f ca="1">IFERROR(__xludf.DUMMYFUNCTION("GOOGLETRANSLATE(B167,""ja"",""vi"")"),"Tây")</f>
        <v>Tây</v>
      </c>
      <c r="E167" s="4" t="str">
        <f ca="1">IFERROR(__xludf.DUMMYFUNCTION("GOOGLETRANSLATE(C167,""ja"",""vi"")"),"Đấu giá&gt; Âm nhạc&gt; CD&gt; nhạc phim&gt; cao bồi miền Tây")</f>
        <v>Đấu giá&gt; Âm nhạc&gt; CD&gt; nhạc phim&gt; cao bồi miền Tây</v>
      </c>
      <c r="F167" t="str">
        <f t="shared" ca="1" si="2"/>
        <v>"2084041501" : "Tây",</v>
      </c>
    </row>
    <row r="168" spans="1:6" ht="15.75" customHeight="1">
      <c r="A168" s="14">
        <v>2084041516</v>
      </c>
      <c r="B168" s="14" t="s">
        <v>3899</v>
      </c>
      <c r="C168" s="14" t="s">
        <v>3901</v>
      </c>
      <c r="D168" s="5" t="str">
        <f ca="1">IFERROR(__xludf.DUMMYFUNCTION("GOOGLETRANSLATE(B168,""ja"",""vi"")"),"chiến tranh")</f>
        <v>chiến tranh</v>
      </c>
      <c r="E168" s="4" t="str">
        <f ca="1">IFERROR(__xludf.DUMMYFUNCTION("GOOGLETRANSLATE(C168,""ja"",""vi"")"),"Đấu giá&gt; Âm nhạc&gt; CD&gt; phim âm nhạc&gt; Chiến tranh")</f>
        <v>Đấu giá&gt; Âm nhạc&gt; CD&gt; phim âm nhạc&gt; Chiến tranh</v>
      </c>
      <c r="F168" t="str">
        <f t="shared" ca="1" si="2"/>
        <v>"2084041516" : "chiến tranh",</v>
      </c>
    </row>
    <row r="169" spans="1:6" ht="15.75" customHeight="1">
      <c r="A169" s="14">
        <v>2084047460</v>
      </c>
      <c r="B169" s="14" t="s">
        <v>3902</v>
      </c>
      <c r="C169" s="14" t="s">
        <v>3904</v>
      </c>
      <c r="D169" s="5" t="str">
        <f ca="1">IFERROR(__xludf.DUMMYFUNCTION("GOOGLETRANSLATE(B169,""ja"",""vi"")"),"hiệu ứng đặc biệt")</f>
        <v>hiệu ứng đặc biệt</v>
      </c>
      <c r="E169" s="4" t="str">
        <f ca="1">IFERROR(__xludf.DUMMYFUNCTION("GOOGLETRANSLATE(C169,""ja"",""vi"")"),"Đấu giá&gt; Âm nhạc&gt; CD&gt; nhạc phim&gt; hiệu ứng đặc biệt")</f>
        <v>Đấu giá&gt; Âm nhạc&gt; CD&gt; nhạc phim&gt; hiệu ứng đặc biệt</v>
      </c>
      <c r="F169" t="str">
        <f t="shared" ca="1" si="2"/>
        <v>"2084047460" : "hiệu ứng đặc biệt",</v>
      </c>
    </row>
    <row r="170" spans="1:6" ht="15.75" customHeight="1">
      <c r="A170" s="14">
        <v>2084047960</v>
      </c>
      <c r="B170" s="14" t="s">
        <v>3908</v>
      </c>
      <c r="C170" s="14" t="s">
        <v>3909</v>
      </c>
      <c r="D170" s="5" t="str">
        <f ca="1">IFERROR(__xludf.DUMMYFUNCTION("GOOGLETRANSLATE(B170,""ja"",""vi"")"),"Nhật Bản phim")</f>
        <v>Nhật Bản phim</v>
      </c>
      <c r="E170" s="4" t="str">
        <f ca="1">IFERROR(__xludf.DUMMYFUNCTION("GOOGLETRANSLATE(C170,""ja"",""vi"")"),"Đấu giá&gt; Âm nhạc&gt; CD&gt; nhạc phim&gt; Nhật Bản phim")</f>
        <v>Đấu giá&gt; Âm nhạc&gt; CD&gt; nhạc phim&gt; Nhật Bản phim</v>
      </c>
      <c r="F170" t="str">
        <f t="shared" ca="1" si="2"/>
        <v>"2084047960" : "Nhật Bản phim",</v>
      </c>
    </row>
    <row r="171" spans="1:6" ht="15.75" customHeight="1">
      <c r="A171" s="14">
        <v>2084041495</v>
      </c>
      <c r="B171" s="14" t="s">
        <v>46</v>
      </c>
      <c r="C171" s="14" t="s">
        <v>3914</v>
      </c>
      <c r="D171" s="5" t="str">
        <f ca="1">IFERROR(__xludf.DUMMYFUNCTION("GOOGLETRANSLATE(B171,""ja"",""vi"")"),"nếu không thì")</f>
        <v>nếu không thì</v>
      </c>
      <c r="E171" s="4" t="str">
        <f ca="1">IFERROR(__xludf.DUMMYFUNCTION("GOOGLETRANSLATE(C171,""ja"",""vi"")"),"Đấu giá&gt; Âm nhạc&gt; CD&gt; nhạc phim&gt; Khác")</f>
        <v>Đấu giá&gt; Âm nhạc&gt; CD&gt; nhạc phim&gt; Khác</v>
      </c>
      <c r="F171" t="str">
        <f t="shared" ca="1" si="2"/>
        <v>"2084041495" : "nếu không thì",</v>
      </c>
    </row>
    <row r="172" spans="1:6" ht="15.75" customHeight="1">
      <c r="A172" s="14">
        <v>2084041504</v>
      </c>
      <c r="B172" s="14" t="s">
        <v>3835</v>
      </c>
      <c r="C172" s="14" t="s">
        <v>4387</v>
      </c>
      <c r="D172" s="5" t="str">
        <f ca="1">IFERROR(__xludf.DUMMYFUNCTION("GOOGLETRANSLATE(B172,""ja"",""vi"")"),"SF, Viễn tưởng")</f>
        <v>SF, Viễn tưởng</v>
      </c>
      <c r="E172" s="4" t="str">
        <f ca="1">IFERROR(__xludf.DUMMYFUNCTION("GOOGLETRANSLATE(C172,""ja"",""vi"")"),"Đấu giá&gt; nhạc&gt; kỷ lục&gt; Phim Âm nhạc&gt; SF, Viễn tưởng")</f>
        <v>Đấu giá&gt; nhạc&gt; kỷ lục&gt; Phim Âm nhạc&gt; SF, Viễn tưởng</v>
      </c>
      <c r="F172" t="str">
        <f t="shared" ca="1" si="2"/>
        <v>"2084041504" : "SF, Viễn tưởng",</v>
      </c>
    </row>
    <row r="173" spans="1:6" ht="15.75" customHeight="1">
      <c r="A173" s="14">
        <v>2084041506</v>
      </c>
      <c r="B173" s="14" t="s">
        <v>3842</v>
      </c>
      <c r="C173" s="14" t="s">
        <v>4391</v>
      </c>
      <c r="D173" s="5" t="str">
        <f ca="1">IFERROR(__xludf.DUMMYFUNCTION("GOOGLETRANSLATE(B173,""ja"",""vi"")"),"Hành động, phiêu lưu")</f>
        <v>Hành động, phiêu lưu</v>
      </c>
      <c r="E173" s="4" t="str">
        <f ca="1">IFERROR(__xludf.DUMMYFUNCTION("GOOGLETRANSLATE(C173,""ja"",""vi"")"),"Đấu giá&gt; nhạc&gt; kỷ lục&gt; Phim Âm nhạc&gt; Hành động, phiêu lưu")</f>
        <v>Đấu giá&gt; nhạc&gt; kỷ lục&gt; Phim Âm nhạc&gt; Hành động, phiêu lưu</v>
      </c>
      <c r="F173" t="str">
        <f t="shared" ca="1" si="2"/>
        <v>"2084041506" : "Hành động, phiêu lưu",</v>
      </c>
    </row>
    <row r="174" spans="1:6" ht="15.75" customHeight="1">
      <c r="A174" s="14">
        <v>2084007037</v>
      </c>
      <c r="B174" s="14" t="s">
        <v>3849</v>
      </c>
      <c r="C174" s="14" t="s">
        <v>4395</v>
      </c>
      <c r="D174" s="5" t="str">
        <f ca="1">IFERROR(__xludf.DUMMYFUNCTION("GOOGLETRANSLATE(B174,""ja"",""vi"")"),"Anime bài hát")</f>
        <v>Anime bài hát</v>
      </c>
      <c r="E174" s="4" t="str">
        <f ca="1">IFERROR(__xludf.DUMMYFUNCTION("GOOGLETRANSLATE(C174,""ja"",""vi"")"),"Đấu giá&gt; nhạc&gt; kỷ lục&gt; Phim Âm nhạc&gt; phim hoạt hình bài hát")</f>
        <v>Đấu giá&gt; nhạc&gt; kỷ lục&gt; Phim Âm nhạc&gt; phim hoạt hình bài hát</v>
      </c>
      <c r="F174" t="str">
        <f t="shared" ca="1" si="2"/>
        <v>"2084007037" : "Anime bài hát",</v>
      </c>
    </row>
    <row r="175" spans="1:6" ht="15.75" customHeight="1">
      <c r="A175" s="14">
        <v>2084041507</v>
      </c>
      <c r="B175" s="14" t="s">
        <v>3855</v>
      </c>
      <c r="C175" s="14" t="s">
        <v>4399</v>
      </c>
      <c r="D175" s="5" t="str">
        <f ca="1">IFERROR(__xludf.DUMMYFUNCTION("GOOGLETRANSLATE(B175,""ja"",""vi"")"),"hài kịch")</f>
        <v>hài kịch</v>
      </c>
      <c r="E175" s="4" t="str">
        <f ca="1">IFERROR(__xludf.DUMMYFUNCTION("GOOGLETRANSLATE(C175,""ja"",""vi"")"),"Đấu giá&gt; nhạc&gt; kỷ lục&gt; Phim Âm nhạc&gt; Comedy")</f>
        <v>Đấu giá&gt; nhạc&gt; kỷ lục&gt; Phim Âm nhạc&gt; Comedy</v>
      </c>
      <c r="F175" t="str">
        <f t="shared" ca="1" si="2"/>
        <v>"2084041507" : "hài kịch",</v>
      </c>
    </row>
    <row r="176" spans="1:6" ht="15.75" customHeight="1">
      <c r="A176" s="14">
        <v>2084041508</v>
      </c>
      <c r="B176" s="14" t="s">
        <v>3864</v>
      </c>
      <c r="C176" s="14" t="s">
        <v>4402</v>
      </c>
      <c r="D176" s="5" t="str">
        <f ca="1">IFERROR(__xludf.DUMMYFUNCTION("GOOGLETRANSLATE(B176,""ja"",""vi"")"),"Hồi hộp")</f>
        <v>Hồi hộp</v>
      </c>
      <c r="E176" s="4" t="str">
        <f ca="1">IFERROR(__xludf.DUMMYFUNCTION("GOOGLETRANSLATE(C176,""ja"",""vi"")"),"Đấu giá&gt; nhạc&gt; kỷ lục&gt; Phim Âm nhạc&gt; Hồi hộp")</f>
        <v>Đấu giá&gt; nhạc&gt; kỷ lục&gt; Phim Âm nhạc&gt; Hồi hộp</v>
      </c>
      <c r="F176" t="str">
        <f t="shared" ca="1" si="2"/>
        <v>"2084041508" : "Hồi hộp",</v>
      </c>
    </row>
    <row r="177" spans="1:6" ht="15.75" customHeight="1">
      <c r="A177" s="14">
        <v>2084041510</v>
      </c>
      <c r="B177" s="14" t="s">
        <v>3870</v>
      </c>
      <c r="C177" s="14" t="s">
        <v>4407</v>
      </c>
      <c r="D177" s="5" t="str">
        <f ca="1">IFERROR(__xludf.DUMMYFUNCTION("GOOGLETRANSLATE(B177,""ja"",""vi"")"),"kịch")</f>
        <v>kịch</v>
      </c>
      <c r="E177" s="4" t="str">
        <f ca="1">IFERROR(__xludf.DUMMYFUNCTION("GOOGLETRANSLATE(C177,""ja"",""vi"")"),"Đấu giá&gt; nhạc&gt; kỷ lục&gt; Phim Âm nhạc&gt; Drama")</f>
        <v>Đấu giá&gt; nhạc&gt; kỷ lục&gt; Phim Âm nhạc&gt; Drama</v>
      </c>
      <c r="F177" t="str">
        <f t="shared" ca="1" si="2"/>
        <v>"2084041510" : "kịch",</v>
      </c>
    </row>
    <row r="178" spans="1:6" ht="15.75" customHeight="1">
      <c r="A178" s="14">
        <v>2084041511</v>
      </c>
      <c r="B178" s="14" t="s">
        <v>3876</v>
      </c>
      <c r="C178" s="14" t="s">
        <v>4409</v>
      </c>
      <c r="D178" s="5" t="str">
        <f ca="1">IFERROR(__xludf.DUMMYFUNCTION("GOOGLETRANSLATE(B178,""ja"",""vi"")"),"rùng rợn")</f>
        <v>rùng rợn</v>
      </c>
      <c r="E178" s="4" t="str">
        <f ca="1">IFERROR(__xludf.DUMMYFUNCTION("GOOGLETRANSLATE(C178,""ja"",""vi"")"),"Đấu giá&gt; nhạc&gt; kỷ lục&gt; Phim Âm nhạc&gt; Horror")</f>
        <v>Đấu giá&gt; nhạc&gt; kỷ lục&gt; Phim Âm nhạc&gt; Horror</v>
      </c>
      <c r="F178" t="str">
        <f t="shared" ca="1" si="2"/>
        <v>"2084041511" : "rùng rợn",</v>
      </c>
    </row>
    <row r="179" spans="1:6" ht="15.75" customHeight="1">
      <c r="A179" s="14">
        <v>2084041509</v>
      </c>
      <c r="B179" s="14" t="s">
        <v>1207</v>
      </c>
      <c r="C179" s="14" t="s">
        <v>4413</v>
      </c>
      <c r="D179" s="5" t="str">
        <f ca="1">IFERROR(__xludf.DUMMYFUNCTION("GOOGLETRANSLATE(B179,""ja"",""vi"")"),"nhạc")</f>
        <v>nhạc</v>
      </c>
      <c r="E179" s="4" t="str">
        <f ca="1">IFERROR(__xludf.DUMMYFUNCTION("GOOGLETRANSLATE(C179,""ja"",""vi"")"),"Đấu giá&gt; nhạc&gt; kỷ lục&gt; Phim Âm nhạc&gt; Nhạc")</f>
        <v>Đấu giá&gt; nhạc&gt; kỷ lục&gt; Phim Âm nhạc&gt; Nhạc</v>
      </c>
      <c r="F179" t="str">
        <f t="shared" ca="1" si="2"/>
        <v>"2084041509" : "nhạc",</v>
      </c>
    </row>
    <row r="180" spans="1:6" ht="15.75" customHeight="1">
      <c r="A180" s="14">
        <v>2084041515</v>
      </c>
      <c r="B180" s="14" t="s">
        <v>3888</v>
      </c>
      <c r="C180" s="14" t="s">
        <v>4419</v>
      </c>
      <c r="D180" s="5" t="str">
        <f ca="1">IFERROR(__xludf.DUMMYFUNCTION("GOOGLETRANSLATE(B180,""ja"",""vi"")"),"chơi lịch sử")</f>
        <v>chơi lịch sử</v>
      </c>
      <c r="E180" s="4" t="str">
        <f ca="1">IFERROR(__xludf.DUMMYFUNCTION("GOOGLETRANSLATE(C180,""ja"",""vi"")"),"Đấu giá&gt; nhạc&gt; kỷ lục&gt; Phim Âm nhạc&gt; phim kỷ nguyên")</f>
        <v>Đấu giá&gt; nhạc&gt; kỷ lục&gt; Phim Âm nhạc&gt; phim kỷ nguyên</v>
      </c>
      <c r="F180" t="str">
        <f t="shared" ca="1" si="2"/>
        <v>"2084041515" : "chơi lịch sử",</v>
      </c>
    </row>
    <row r="181" spans="1:6" ht="15.75" customHeight="1">
      <c r="A181" s="14">
        <v>2084041512</v>
      </c>
      <c r="B181" s="14" t="s">
        <v>3893</v>
      </c>
      <c r="C181" s="14" t="s">
        <v>4424</v>
      </c>
      <c r="D181" s="5" t="str">
        <f ca="1">IFERROR(__xludf.DUMMYFUNCTION("GOOGLETRANSLATE(B181,""ja"",""vi"")"),"Tây")</f>
        <v>Tây</v>
      </c>
      <c r="E181" s="4" t="str">
        <f ca="1">IFERROR(__xludf.DUMMYFUNCTION("GOOGLETRANSLATE(C181,""ja"",""vi"")"),"Đấu giá&gt; nhạc&gt; kỷ lục&gt; Phim Âm nhạc&gt; cao bồi miền Tây")</f>
        <v>Đấu giá&gt; nhạc&gt; kỷ lục&gt; Phim Âm nhạc&gt; cao bồi miền Tây</v>
      </c>
      <c r="F181" t="str">
        <f t="shared" ca="1" si="2"/>
        <v>"2084041512" : "Tây",</v>
      </c>
    </row>
    <row r="182" spans="1:6" ht="15.75" customHeight="1">
      <c r="A182" s="14">
        <v>2084041514</v>
      </c>
      <c r="B182" s="14" t="s">
        <v>3899</v>
      </c>
      <c r="C182" s="14" t="s">
        <v>4426</v>
      </c>
      <c r="D182" s="5" t="str">
        <f ca="1">IFERROR(__xludf.DUMMYFUNCTION("GOOGLETRANSLATE(B182,""ja"",""vi"")"),"chiến tranh")</f>
        <v>chiến tranh</v>
      </c>
      <c r="E182" s="4" t="str">
        <f ca="1">IFERROR(__xludf.DUMMYFUNCTION("GOOGLETRANSLATE(C182,""ja"",""vi"")"),"Đấu giá&gt; nhạc&gt; kỷ lục&gt; Phim Âm nhạc&gt; Chiến tranh")</f>
        <v>Đấu giá&gt; nhạc&gt; kỷ lục&gt; Phim Âm nhạc&gt; Chiến tranh</v>
      </c>
      <c r="F182" t="str">
        <f t="shared" ca="1" si="2"/>
        <v>"2084041514" : "chiến tranh",</v>
      </c>
    </row>
    <row r="183" spans="1:6" ht="15.75" customHeight="1">
      <c r="A183" s="14">
        <v>2084041505</v>
      </c>
      <c r="B183" s="14" t="s">
        <v>46</v>
      </c>
      <c r="C183" s="14" t="s">
        <v>4430</v>
      </c>
      <c r="D183" s="5" t="str">
        <f ca="1">IFERROR(__xludf.DUMMYFUNCTION("GOOGLETRANSLATE(B183,""ja"",""vi"")"),"nếu không thì")</f>
        <v>nếu không thì</v>
      </c>
      <c r="E183" s="4" t="str">
        <f ca="1">IFERROR(__xludf.DUMMYFUNCTION("GOOGLETRANSLATE(C183,""ja"",""vi"")"),"Đấu giá&gt; nhạc&gt; kỷ lục&gt; Phim Âm nhạc&gt; Khác")</f>
        <v>Đấu giá&gt; nhạc&gt; kỷ lục&gt; Phim Âm nhạc&gt; Khác</v>
      </c>
      <c r="F183" t="str">
        <f t="shared" ca="1" si="2"/>
        <v>"2084041505" : "nếu không thì",</v>
      </c>
    </row>
    <row r="184" spans="1:6" ht="15.75" customHeight="1">
      <c r="A184" s="14">
        <v>2084039827</v>
      </c>
      <c r="B184" s="14" t="s">
        <v>3835</v>
      </c>
      <c r="C184" s="14" t="s">
        <v>6204</v>
      </c>
      <c r="D184" s="5" t="str">
        <f ca="1">IFERROR(__xludf.DUMMYFUNCTION("GOOGLETRANSLATE(B184,""ja"",""vi"")"),"SF, Viễn tưởng")</f>
        <v>SF, Viễn tưởng</v>
      </c>
      <c r="E184" s="4" t="str">
        <f ca="1">IFERROR(__xludf.DUMMYFUNCTION("GOOGLETRANSLATE(C184,""ja"",""vi"")"),"Đấu giá&gt; cổ, bộ sưu tập&gt; in vấn đề&gt; tờ rơi&gt; phim&gt; SF, Viễn tưởng")</f>
        <v>Đấu giá&gt; cổ, bộ sưu tập&gt; in vấn đề&gt; tờ rơi&gt; phim&gt; SF, Viễn tưởng</v>
      </c>
      <c r="F184" t="str">
        <f t="shared" ca="1" si="2"/>
        <v>"2084039827" : "SF, Viễn tưởng",</v>
      </c>
    </row>
    <row r="185" spans="1:6" ht="15.75" customHeight="1">
      <c r="A185" s="14">
        <v>2084039829</v>
      </c>
      <c r="B185" s="14" t="s">
        <v>3842</v>
      </c>
      <c r="C185" s="14" t="s">
        <v>6206</v>
      </c>
      <c r="D185" s="5" t="str">
        <f ca="1">IFERROR(__xludf.DUMMYFUNCTION("GOOGLETRANSLATE(B185,""ja"",""vi"")"),"Hành động, phiêu lưu")</f>
        <v>Hành động, phiêu lưu</v>
      </c>
      <c r="E185" s="4" t="str">
        <f ca="1">IFERROR(__xludf.DUMMYFUNCTION("GOOGLETRANSLATE(C185,""ja"",""vi"")"),"Đấu giá&gt; cổ, bộ sưu tập&gt; in vấn đề&gt; tờ rơi&gt; phim&gt; hành động, phiêu lưu")</f>
        <v>Đấu giá&gt; cổ, bộ sưu tập&gt; in vấn đề&gt; tờ rơi&gt; phim&gt; hành động, phiêu lưu</v>
      </c>
      <c r="F185" t="str">
        <f t="shared" ca="1" si="2"/>
        <v>"2084039829" : "Hành động, phiêu lưu",</v>
      </c>
    </row>
    <row r="186" spans="1:6" ht="15.75" customHeight="1">
      <c r="A186" s="14">
        <v>2084039830</v>
      </c>
      <c r="B186" s="14" t="s">
        <v>3855</v>
      </c>
      <c r="C186" s="14" t="s">
        <v>6208</v>
      </c>
      <c r="D186" s="5" t="str">
        <f ca="1">IFERROR(__xludf.DUMMYFUNCTION("GOOGLETRANSLATE(B186,""ja"",""vi"")"),"hài kịch")</f>
        <v>hài kịch</v>
      </c>
      <c r="E186" s="4" t="str">
        <f ca="1">IFERROR(__xludf.DUMMYFUNCTION("GOOGLETRANSLATE(C186,""ja"",""vi"")"),"Đấu giá&gt; cổ, bộ sưu tập&gt; vấn đề in&gt; tờ rơi&gt; Điện ảnh&gt; Comedy")</f>
        <v>Đấu giá&gt; cổ, bộ sưu tập&gt; vấn đề in&gt; tờ rơi&gt; Điện ảnh&gt; Comedy</v>
      </c>
      <c r="F186" t="str">
        <f t="shared" ca="1" si="2"/>
        <v>"2084039830" : "hài kịch",</v>
      </c>
    </row>
    <row r="187" spans="1:6" ht="15.75" customHeight="1">
      <c r="A187" s="14">
        <v>2084039832</v>
      </c>
      <c r="B187" s="14" t="s">
        <v>5590</v>
      </c>
      <c r="C187" s="14" t="s">
        <v>6210</v>
      </c>
      <c r="D187" s="5" t="str">
        <f ca="1">IFERROR(__xludf.DUMMYFUNCTION("GOOGLETRANSLATE(B187,""ja"",""vi"")"),"Phim tài liệu")</f>
        <v>Phim tài liệu</v>
      </c>
      <c r="E187" s="4" t="str">
        <f ca="1">IFERROR(__xludf.DUMMYFUNCTION("GOOGLETRANSLATE(C187,""ja"",""vi"")"),"Đấu giá&gt; cổ, bộ sưu tập&gt; in vấn đề&gt; tờ rơi&gt; phim&gt; phim tài liệu")</f>
        <v>Đấu giá&gt; cổ, bộ sưu tập&gt; in vấn đề&gt; tờ rơi&gt; phim&gt; phim tài liệu</v>
      </c>
      <c r="F187" t="str">
        <f t="shared" ca="1" si="2"/>
        <v>"2084039832" : "Phim tài liệu",</v>
      </c>
    </row>
    <row r="188" spans="1:6" ht="15.75" customHeight="1">
      <c r="A188" s="14">
        <v>2084039833</v>
      </c>
      <c r="B188" s="14" t="s">
        <v>6212</v>
      </c>
      <c r="C188" s="14" t="s">
        <v>6213</v>
      </c>
      <c r="D188" s="5" t="str">
        <f ca="1">IFERROR(__xludf.DUMMYFUNCTION("GOOGLETRANSLATE(B188,""ja"",""vi"")"),"Kinh dị, hồi hộp")</f>
        <v>Kinh dị, hồi hộp</v>
      </c>
      <c r="E188" s="4" t="str">
        <f ca="1">IFERROR(__xludf.DUMMYFUNCTION("GOOGLETRANSLATE(C188,""ja"",""vi"")"),"Đấu giá&gt; cổ, bộ sưu tập&gt; in vấn đề&gt; tờ rơi&gt; phim&gt; kinh dị, hồi hộp")</f>
        <v>Đấu giá&gt; cổ, bộ sưu tập&gt; in vấn đề&gt; tờ rơi&gt; phim&gt; kinh dị, hồi hộp</v>
      </c>
      <c r="F188" t="str">
        <f t="shared" ca="1" si="2"/>
        <v>"2084039833" : "Kinh dị, hồi hộp",</v>
      </c>
    </row>
    <row r="189" spans="1:6" ht="15.75" customHeight="1">
      <c r="A189" s="14">
        <v>2084039831</v>
      </c>
      <c r="B189" s="14" t="s">
        <v>1207</v>
      </c>
      <c r="C189" s="14" t="s">
        <v>6215</v>
      </c>
      <c r="D189" s="5" t="str">
        <f ca="1">IFERROR(__xludf.DUMMYFUNCTION("GOOGLETRANSLATE(B189,""ja"",""vi"")"),"nhạc")</f>
        <v>nhạc</v>
      </c>
      <c r="E189" s="4" t="str">
        <f ca="1">IFERROR(__xludf.DUMMYFUNCTION("GOOGLETRANSLATE(C189,""ja"",""vi"")"),"Đấu giá&gt; cổ, bộ sưu tập&gt; in vấn đề&gt; tờ rơi&gt; phim&gt; Nhạc")</f>
        <v>Đấu giá&gt; cổ, bộ sưu tập&gt; in vấn đề&gt; tờ rơi&gt; phim&gt; Nhạc</v>
      </c>
      <c r="F189" t="str">
        <f t="shared" ca="1" si="2"/>
        <v>"2084039831" : "nhạc",</v>
      </c>
    </row>
    <row r="190" spans="1:6" ht="15.75" customHeight="1">
      <c r="A190" s="14">
        <v>2084039828</v>
      </c>
      <c r="B190" s="14" t="s">
        <v>46</v>
      </c>
      <c r="C190" s="14" t="s">
        <v>6217</v>
      </c>
      <c r="D190" s="5" t="str">
        <f ca="1">IFERROR(__xludf.DUMMYFUNCTION("GOOGLETRANSLATE(B190,""ja"",""vi"")"),"nếu không thì")</f>
        <v>nếu không thì</v>
      </c>
      <c r="E190" s="4" t="str">
        <f ca="1">IFERROR(__xludf.DUMMYFUNCTION("GOOGLETRANSLATE(C190,""ja"",""vi"")"),"Đấu giá&gt; cổ, bộ sưu tập&gt; in vấn đề&gt; tờ rơi&gt; phim&gt; Khác")</f>
        <v>Đấu giá&gt; cổ, bộ sưu tập&gt; in vấn đề&gt; tờ rơi&gt; phim&gt; Khác</v>
      </c>
      <c r="F190" t="str">
        <f t="shared" ca="1" si="2"/>
        <v>"2084039828" : "nếu không thì",</v>
      </c>
    </row>
    <row r="191" spans="1:6" ht="15.75" customHeight="1">
      <c r="A191" s="14">
        <v>2084039834</v>
      </c>
      <c r="B191" s="14" t="s">
        <v>3835</v>
      </c>
      <c r="C191" s="14" t="s">
        <v>6219</v>
      </c>
      <c r="D191" s="5" t="str">
        <f ca="1">IFERROR(__xludf.DUMMYFUNCTION("GOOGLETRANSLATE(B191,""ja"",""vi"")"),"SF, Viễn tưởng")</f>
        <v>SF, Viễn tưởng</v>
      </c>
      <c r="E191" s="4" t="str">
        <f ca="1">IFERROR(__xludf.DUMMYFUNCTION("GOOGLETRANSLATE(C191,""ja"",""vi"")"),"Đấu giá&gt; vé, chứng từ, đặt phòng khách sạn&gt; Thẻ trả trước&gt; Thẻ điện thoại&gt; phim&gt; SF, Viễn tưởng")</f>
        <v>Đấu giá&gt; vé, chứng từ, đặt phòng khách sạn&gt; Thẻ trả trước&gt; Thẻ điện thoại&gt; phim&gt; SF, Viễn tưởng</v>
      </c>
      <c r="F191" t="str">
        <f t="shared" ca="1" si="2"/>
        <v>"2084039834" : "SF, Viễn tưởng",</v>
      </c>
    </row>
    <row r="192" spans="1:6" ht="15.75" customHeight="1">
      <c r="A192" s="14">
        <v>2084039836</v>
      </c>
      <c r="B192" s="14" t="s">
        <v>3842</v>
      </c>
      <c r="C192" s="14" t="s">
        <v>6221</v>
      </c>
      <c r="D192" s="5" t="str">
        <f ca="1">IFERROR(__xludf.DUMMYFUNCTION("GOOGLETRANSLATE(B192,""ja"",""vi"")"),"Hành động, phiêu lưu")</f>
        <v>Hành động, phiêu lưu</v>
      </c>
      <c r="E192" s="4" t="str">
        <f ca="1">IFERROR(__xludf.DUMMYFUNCTION("GOOGLETRANSLATE(C192,""ja"",""vi"")"),"Đấu giá&gt; vé, chứng từ, đặt phòng khách sạn&gt; Thẻ trả trước&gt; Thẻ điện thoại&gt; phim&gt; hành động, phiêu lưu")</f>
        <v>Đấu giá&gt; vé, chứng từ, đặt phòng khách sạn&gt; Thẻ trả trước&gt; Thẻ điện thoại&gt; phim&gt; hành động, phiêu lưu</v>
      </c>
      <c r="F192" t="str">
        <f t="shared" ca="1" si="2"/>
        <v>"2084039836" : "Hành động, phiêu lưu",</v>
      </c>
    </row>
    <row r="193" spans="1:6" ht="15.75" customHeight="1">
      <c r="A193" s="14">
        <v>2084039837</v>
      </c>
      <c r="B193" s="14" t="s">
        <v>3855</v>
      </c>
      <c r="C193" s="14" t="s">
        <v>6223</v>
      </c>
      <c r="D193" s="5" t="str">
        <f ca="1">IFERROR(__xludf.DUMMYFUNCTION("GOOGLETRANSLATE(B193,""ja"",""vi"")"),"hài kịch")</f>
        <v>hài kịch</v>
      </c>
      <c r="E193" s="4" t="str">
        <f ca="1">IFERROR(__xludf.DUMMYFUNCTION("GOOGLETRANSLATE(C193,""ja"",""vi"")"),"Đấu giá&gt; vé, chứng từ, đặt phòng khách sạn&gt; Thẻ trả trước&gt; Thẻ điện thoại&gt; Điện ảnh&gt; Comedy")</f>
        <v>Đấu giá&gt; vé, chứng từ, đặt phòng khách sạn&gt; Thẻ trả trước&gt; Thẻ điện thoại&gt; Điện ảnh&gt; Comedy</v>
      </c>
      <c r="F193" t="str">
        <f t="shared" ca="1" si="2"/>
        <v>"2084039837" : "hài kịch",</v>
      </c>
    </row>
    <row r="194" spans="1:6" ht="15.75" customHeight="1">
      <c r="A194" s="14">
        <v>2084039839</v>
      </c>
      <c r="B194" s="14" t="s">
        <v>5590</v>
      </c>
      <c r="C194" s="14" t="s">
        <v>6226</v>
      </c>
      <c r="D194" s="5" t="str">
        <f ca="1">IFERROR(__xludf.DUMMYFUNCTION("GOOGLETRANSLATE(B194,""ja"",""vi"")"),"Phim tài liệu")</f>
        <v>Phim tài liệu</v>
      </c>
      <c r="E194" s="4" t="str">
        <f ca="1">IFERROR(__xludf.DUMMYFUNCTION("GOOGLETRANSLATE(C194,""ja"",""vi"")"),"Đấu giá&gt; vé, chứng từ, đặt phòng khách sạn&gt; Thẻ trả trước&gt; Thẻ điện thoại&gt; phim&gt; phim tài liệu")</f>
        <v>Đấu giá&gt; vé, chứng từ, đặt phòng khách sạn&gt; Thẻ trả trước&gt; Thẻ điện thoại&gt; phim&gt; phim tài liệu</v>
      </c>
      <c r="F194" t="str">
        <f t="shared" ref="F194:F221" ca="1" si="3">CONCATENATE(CHAR(34)&amp;"",A194,""&amp;CHAR(34)," : ", CHAR(34)&amp;"",D194,""&amp;CHAR(34),",")</f>
        <v>"2084039839" : "Phim tài liệu",</v>
      </c>
    </row>
    <row r="195" spans="1:6" ht="15.75" customHeight="1">
      <c r="A195" s="14">
        <v>2084039840</v>
      </c>
      <c r="B195" s="14" t="s">
        <v>6212</v>
      </c>
      <c r="C195" s="14" t="s">
        <v>6228</v>
      </c>
      <c r="D195" s="5" t="str">
        <f ca="1">IFERROR(__xludf.DUMMYFUNCTION("GOOGLETRANSLATE(B195,""ja"",""vi"")"),"Kinh dị, hồi hộp")</f>
        <v>Kinh dị, hồi hộp</v>
      </c>
      <c r="E195" s="4" t="str">
        <f ca="1">IFERROR(__xludf.DUMMYFUNCTION("GOOGLETRANSLATE(C195,""ja"",""vi"")"),"Đấu giá&gt; vé, chứng từ, đặt phòng khách sạn&gt; Thẻ trả trước&gt; Thẻ điện thoại&gt; phim&gt; kinh dị, hồi hộp")</f>
        <v>Đấu giá&gt; vé, chứng từ, đặt phòng khách sạn&gt; Thẻ trả trước&gt; Thẻ điện thoại&gt; phim&gt; kinh dị, hồi hộp</v>
      </c>
      <c r="F195" t="str">
        <f t="shared" ca="1" si="3"/>
        <v>"2084039840" : "Kinh dị, hồi hộp",</v>
      </c>
    </row>
    <row r="196" spans="1:6" ht="15.75" customHeight="1">
      <c r="A196" s="14">
        <v>2084039838</v>
      </c>
      <c r="B196" s="14" t="s">
        <v>1207</v>
      </c>
      <c r="C196" s="14" t="s">
        <v>6231</v>
      </c>
      <c r="D196" s="5" t="str">
        <f ca="1">IFERROR(__xludf.DUMMYFUNCTION("GOOGLETRANSLATE(B196,""ja"",""vi"")"),"nhạc")</f>
        <v>nhạc</v>
      </c>
      <c r="E196" s="4" t="str">
        <f ca="1">IFERROR(__xludf.DUMMYFUNCTION("GOOGLETRANSLATE(C196,""ja"",""vi"")"),"Đấu giá&gt; vé, chứng từ, đặt phòng khách sạn&gt; Thẻ trả trước&gt; Thẻ điện thoại&gt; phim&gt; Nhạc")</f>
        <v>Đấu giá&gt; vé, chứng từ, đặt phòng khách sạn&gt; Thẻ trả trước&gt; Thẻ điện thoại&gt; phim&gt; Nhạc</v>
      </c>
      <c r="F196" t="str">
        <f t="shared" ca="1" si="3"/>
        <v>"2084039838" : "nhạc",</v>
      </c>
    </row>
    <row r="197" spans="1:6" ht="15.75" customHeight="1">
      <c r="A197" s="14">
        <v>2084039835</v>
      </c>
      <c r="B197" s="14" t="s">
        <v>46</v>
      </c>
      <c r="C197" s="14" t="s">
        <v>6234</v>
      </c>
      <c r="D197" s="5" t="str">
        <f ca="1">IFERROR(__xludf.DUMMYFUNCTION("GOOGLETRANSLATE(B197,""ja"",""vi"")"),"nếu không thì")</f>
        <v>nếu không thì</v>
      </c>
      <c r="E197" s="4" t="str">
        <f ca="1">IFERROR(__xludf.DUMMYFUNCTION("GOOGLETRANSLATE(C197,""ja"",""vi"")"),"Đấu giá&gt; vé, chứng từ, đặt phòng khách sạn&gt; Thẻ trả trước&gt; Thẻ điện thoại&gt; Điện ảnh&gt; Khác")</f>
        <v>Đấu giá&gt; vé, chứng từ, đặt phòng khách sạn&gt; Thẻ trả trước&gt; Thẻ điện thoại&gt; Điện ảnh&gt; Khác</v>
      </c>
      <c r="F197" t="str">
        <f t="shared" ca="1" si="3"/>
        <v>"2084039835" : "nếu không thì",</v>
      </c>
    </row>
    <row r="198" spans="1:6" ht="15.75" customHeight="1">
      <c r="A198" s="14">
        <v>2084041616</v>
      </c>
      <c r="B198" s="14" t="s">
        <v>3835</v>
      </c>
      <c r="C198" s="14" t="s">
        <v>6237</v>
      </c>
      <c r="D198" s="5" t="str">
        <f ca="1">IFERROR(__xludf.DUMMYFUNCTION("GOOGLETRANSLATE(B198,""ja"",""vi"")"),"SF, Viễn tưởng")</f>
        <v>SF, Viễn tưởng</v>
      </c>
      <c r="E198" s="4" t="str">
        <f ca="1">IFERROR(__xludf.DUMMYFUNCTION("GOOGLETRANSLATE(C198,""ja"",""vi"")"),"Đấu giá&gt; phim, video&gt; hàng phim liên quan đến&gt; cuốn sách nhỏ&gt; SF, Viễn tưởng")</f>
        <v>Đấu giá&gt; phim, video&gt; hàng phim liên quan đến&gt; cuốn sách nhỏ&gt; SF, Viễn tưởng</v>
      </c>
      <c r="F198" t="str">
        <f t="shared" ca="1" si="3"/>
        <v>"2084041616" : "SF, Viễn tưởng",</v>
      </c>
    </row>
    <row r="199" spans="1:6" ht="15.75" customHeight="1">
      <c r="A199" s="14">
        <v>2084041618</v>
      </c>
      <c r="B199" s="14" t="s">
        <v>3842</v>
      </c>
      <c r="C199" s="14" t="s">
        <v>6239</v>
      </c>
      <c r="D199" s="5" t="str">
        <f ca="1">IFERROR(__xludf.DUMMYFUNCTION("GOOGLETRANSLATE(B199,""ja"",""vi"")"),"Hành động, phiêu lưu")</f>
        <v>Hành động, phiêu lưu</v>
      </c>
      <c r="E199" s="4" t="str">
        <f ca="1">IFERROR(__xludf.DUMMYFUNCTION("GOOGLETRANSLATE(C199,""ja"",""vi"")"),"Đấu giá&gt; phim, video&gt; hàng phim liên quan đến&gt; cuốn sách nhỏ&gt; Hành động, phiêu lưu")</f>
        <v>Đấu giá&gt; phim, video&gt; hàng phim liên quan đến&gt; cuốn sách nhỏ&gt; Hành động, phiêu lưu</v>
      </c>
      <c r="F199" t="str">
        <f t="shared" ca="1" si="3"/>
        <v>"2084041618" : "Hành động, phiêu lưu",</v>
      </c>
    </row>
    <row r="200" spans="1:6" ht="15.75" customHeight="1">
      <c r="A200" s="14">
        <v>2084045078</v>
      </c>
      <c r="B200" s="14" t="s">
        <v>4916</v>
      </c>
      <c r="C200" s="14" t="s">
        <v>6241</v>
      </c>
      <c r="D200" s="5" t="str">
        <f ca="1">IFERROR(__xludf.DUMMYFUNCTION("GOOGLETRANSLATE(B200,""ja"",""vi"")"),"Animation")</f>
        <v>Animation</v>
      </c>
      <c r="E200" s="4" t="str">
        <f ca="1">IFERROR(__xludf.DUMMYFUNCTION("GOOGLETRANSLATE(C200,""ja"",""vi"")"),"Đấu giá&gt; phim, video&gt; hàng phim liên quan đến&gt; cuốn sách nhỏ&gt; hoạt hình")</f>
        <v>Đấu giá&gt; phim, video&gt; hàng phim liên quan đến&gt; cuốn sách nhỏ&gt; hoạt hình</v>
      </c>
      <c r="F200" t="str">
        <f t="shared" ca="1" si="3"/>
        <v>"2084045078" : "Animation",</v>
      </c>
    </row>
    <row r="201" spans="1:6" ht="15.75" customHeight="1">
      <c r="A201" s="14">
        <v>2084041619</v>
      </c>
      <c r="B201" s="14" t="s">
        <v>3855</v>
      </c>
      <c r="C201" s="14" t="s">
        <v>6244</v>
      </c>
      <c r="D201" s="5" t="str">
        <f ca="1">IFERROR(__xludf.DUMMYFUNCTION("GOOGLETRANSLATE(B201,""ja"",""vi"")"),"hài kịch")</f>
        <v>hài kịch</v>
      </c>
      <c r="E201" s="4" t="str">
        <f ca="1">IFERROR(__xludf.DUMMYFUNCTION("GOOGLETRANSLATE(C201,""ja"",""vi"")"),"Đấu giá&gt; phim, video&gt; hàng phim liên quan đến&gt; cuốn sách nhỏ&gt; Comedy")</f>
        <v>Đấu giá&gt; phim, video&gt; hàng phim liên quan đến&gt; cuốn sách nhỏ&gt; Comedy</v>
      </c>
      <c r="F201" t="str">
        <f t="shared" ca="1" si="3"/>
        <v>"2084041619" : "hài kịch",</v>
      </c>
    </row>
    <row r="202" spans="1:6" ht="15.75" customHeight="1">
      <c r="A202" s="14">
        <v>2084045080</v>
      </c>
      <c r="B202" s="14" t="s">
        <v>2828</v>
      </c>
      <c r="C202" s="14" t="s">
        <v>6247</v>
      </c>
      <c r="D202" s="5" t="str">
        <f ca="1">IFERROR(__xludf.DUMMYFUNCTION("GOOGLETRANSLATE(B202,""ja"",""vi"")"),"Disney")</f>
        <v>Disney</v>
      </c>
      <c r="E202" s="4" t="str">
        <f ca="1">IFERROR(__xludf.DUMMYFUNCTION("GOOGLETRANSLATE(C202,""ja"",""vi"")"),"Đấu giá&gt; phim, video&gt; hàng phim liên quan đến&gt; cuốn sách nhỏ&gt; Disney")</f>
        <v>Đấu giá&gt; phim, video&gt; hàng phim liên quan đến&gt; cuốn sách nhỏ&gt; Disney</v>
      </c>
      <c r="F202" t="str">
        <f t="shared" ca="1" si="3"/>
        <v>"2084045080" : "Disney",</v>
      </c>
    </row>
    <row r="203" spans="1:6" ht="15.75" customHeight="1">
      <c r="A203" s="14">
        <v>2084041621</v>
      </c>
      <c r="B203" s="14" t="s">
        <v>5590</v>
      </c>
      <c r="C203" s="14" t="s">
        <v>6252</v>
      </c>
      <c r="D203" s="5" t="str">
        <f ca="1">IFERROR(__xludf.DUMMYFUNCTION("GOOGLETRANSLATE(B203,""ja"",""vi"")"),"Phim tài liệu")</f>
        <v>Phim tài liệu</v>
      </c>
      <c r="E203" s="4" t="str">
        <f ca="1">IFERROR(__xludf.DUMMYFUNCTION("GOOGLETRANSLATE(C203,""ja"",""vi"")"),"Đấu giá&gt; phim, video&gt; hàng phim liên quan đến&gt; cuốn sách nhỏ&gt; Phim tài liệu")</f>
        <v>Đấu giá&gt; phim, video&gt; hàng phim liên quan đến&gt; cuốn sách nhỏ&gt; Phim tài liệu</v>
      </c>
      <c r="F203" t="str">
        <f t="shared" ca="1" si="3"/>
        <v>"2084041621" : "Phim tài liệu",</v>
      </c>
    </row>
    <row r="204" spans="1:6" ht="15.75" customHeight="1">
      <c r="A204" s="14">
        <v>2084045082</v>
      </c>
      <c r="B204" s="14" t="s">
        <v>3870</v>
      </c>
      <c r="C204" s="14" t="s">
        <v>6254</v>
      </c>
      <c r="D204" s="5" t="str">
        <f ca="1">IFERROR(__xludf.DUMMYFUNCTION("GOOGLETRANSLATE(B204,""ja"",""vi"")"),"kịch")</f>
        <v>kịch</v>
      </c>
      <c r="E204" s="4" t="str">
        <f ca="1">IFERROR(__xludf.DUMMYFUNCTION("GOOGLETRANSLATE(C204,""ja"",""vi"")"),"Đấu giá&gt; phim, video&gt; hàng phim liên quan đến&gt; cuốn sách nhỏ&gt; phim")</f>
        <v>Đấu giá&gt; phim, video&gt; hàng phim liên quan đến&gt; cuốn sách nhỏ&gt; phim</v>
      </c>
      <c r="F204" t="str">
        <f t="shared" ca="1" si="3"/>
        <v>"2084045082" : "kịch",</v>
      </c>
    </row>
    <row r="205" spans="1:6" ht="15.75" customHeight="1">
      <c r="A205" s="14">
        <v>2084045087</v>
      </c>
      <c r="B205" s="14" t="s">
        <v>5598</v>
      </c>
      <c r="C205" s="14" t="s">
        <v>6256</v>
      </c>
      <c r="D205" s="5" t="str">
        <f ca="1">IFERROR(__xludf.DUMMYFUNCTION("GOOGLETRANSLATE(B205,""ja"",""vi"")"),"Hollywood cổ điển")</f>
        <v>Hollywood cổ điển</v>
      </c>
      <c r="E205" s="4" t="str">
        <f ca="1">IFERROR(__xludf.DUMMYFUNCTION("GOOGLETRANSLATE(C205,""ja"",""vi"")"),"Đấu giá&gt; phim, video&gt; hàng phim liên quan đến&gt; cuốn sách nhỏ&gt; Hollywood cổ điển")</f>
        <v>Đấu giá&gt; phim, video&gt; hàng phim liên quan đến&gt; cuốn sách nhỏ&gt; Hollywood cổ điển</v>
      </c>
      <c r="F205" t="str">
        <f t="shared" ca="1" si="3"/>
        <v>"2084045087" : "Hollywood cổ điển",</v>
      </c>
    </row>
    <row r="206" spans="1:6" ht="15.75" customHeight="1">
      <c r="A206" s="14">
        <v>2084041622</v>
      </c>
      <c r="B206" s="14" t="s">
        <v>6212</v>
      </c>
      <c r="C206" s="14" t="s">
        <v>6258</v>
      </c>
      <c r="D206" s="5" t="str">
        <f ca="1">IFERROR(__xludf.DUMMYFUNCTION("GOOGLETRANSLATE(B206,""ja"",""vi"")"),"Kinh dị, hồi hộp")</f>
        <v>Kinh dị, hồi hộp</v>
      </c>
      <c r="E206" s="4" t="str">
        <f ca="1">IFERROR(__xludf.DUMMYFUNCTION("GOOGLETRANSLATE(C206,""ja"",""vi"")"),"Đấu giá&gt; phim, video&gt; hàng phim liên quan đến&gt; cuốn sách nhỏ&gt; kinh dị, hồi hộp")</f>
        <v>Đấu giá&gt; phim, video&gt; hàng phim liên quan đến&gt; cuốn sách nhỏ&gt; kinh dị, hồi hộp</v>
      </c>
      <c r="F206" t="str">
        <f t="shared" ca="1" si="3"/>
        <v>"2084041622" : "Kinh dị, hồi hộp",</v>
      </c>
    </row>
    <row r="207" spans="1:6" ht="15.75" customHeight="1">
      <c r="A207" s="14">
        <v>2084041620</v>
      </c>
      <c r="B207" s="14" t="s">
        <v>1207</v>
      </c>
      <c r="C207" s="14" t="s">
        <v>6259</v>
      </c>
      <c r="D207" s="5" t="str">
        <f ca="1">IFERROR(__xludf.DUMMYFUNCTION("GOOGLETRANSLATE(B207,""ja"",""vi"")"),"nhạc")</f>
        <v>nhạc</v>
      </c>
      <c r="E207" s="4" t="str">
        <f ca="1">IFERROR(__xludf.DUMMYFUNCTION("GOOGLETRANSLATE(C207,""ja"",""vi"")"),"Đấu giá&gt; phim, video&gt; hàng phim liên quan đến&gt; cuốn sách nhỏ&gt; Nhạc")</f>
        <v>Đấu giá&gt; phim, video&gt; hàng phim liên quan đến&gt; cuốn sách nhỏ&gt; Nhạc</v>
      </c>
      <c r="F207" t="str">
        <f t="shared" ca="1" si="3"/>
        <v>"2084041620" : "nhạc",</v>
      </c>
    </row>
    <row r="208" spans="1:6" ht="15.75" customHeight="1">
      <c r="A208" s="14">
        <v>2084048568</v>
      </c>
      <c r="B208" s="14" t="s">
        <v>5614</v>
      </c>
      <c r="C208" s="14" t="s">
        <v>6260</v>
      </c>
      <c r="D208" s="5" t="str">
        <f ca="1">IFERROR(__xludf.DUMMYFUNCTION("GOOGLETRANSLATE(B208,""ja"",""vi"")"),"phim Hồng Kông")</f>
        <v>phim Hồng Kông</v>
      </c>
      <c r="E208" s="4" t="str">
        <f ca="1">IFERROR(__xludf.DUMMYFUNCTION("GOOGLETRANSLATE(C208,""ja"",""vi"")"),"Đấu giá&gt; phim, video&gt; hàng phim liên quan đến&gt; cuốn sách nhỏ&gt; phim Hồng Kông")</f>
        <v>Đấu giá&gt; phim, video&gt; hàng phim liên quan đến&gt; cuốn sách nhỏ&gt; phim Hồng Kông</v>
      </c>
      <c r="F208" t="str">
        <f t="shared" ca="1" si="3"/>
        <v>"2084048568" : "phim Hồng Kông",</v>
      </c>
    </row>
    <row r="209" spans="1:6" ht="15.75" customHeight="1">
      <c r="A209" s="14">
        <v>2084045088</v>
      </c>
      <c r="B209" s="14" t="s">
        <v>3888</v>
      </c>
      <c r="C209" s="14" t="s">
        <v>6261</v>
      </c>
      <c r="D209" s="5" t="str">
        <f ca="1">IFERROR(__xludf.DUMMYFUNCTION("GOOGLETRANSLATE(B209,""ja"",""vi"")"),"chơi lịch sử")</f>
        <v>chơi lịch sử</v>
      </c>
      <c r="E209" s="4" t="str">
        <f ca="1">IFERROR(__xludf.DUMMYFUNCTION("GOOGLETRANSLATE(C209,""ja"",""vi"")"),"Đấu giá&gt; phim, video&gt; hàng phim liên quan đến&gt; cuốn sách nhỏ&gt; phim cổ trang")</f>
        <v>Đấu giá&gt; phim, video&gt; hàng phim liên quan đến&gt; cuốn sách nhỏ&gt; phim cổ trang</v>
      </c>
      <c r="F209" t="str">
        <f t="shared" ca="1" si="3"/>
        <v>"2084045088" : "chơi lịch sử",</v>
      </c>
    </row>
    <row r="210" spans="1:6" ht="15.75" customHeight="1">
      <c r="A210" s="14">
        <v>2084045089</v>
      </c>
      <c r="B210" s="14" t="s">
        <v>3893</v>
      </c>
      <c r="C210" s="14" t="s">
        <v>6262</v>
      </c>
      <c r="D210" s="5" t="str">
        <f ca="1">IFERROR(__xludf.DUMMYFUNCTION("GOOGLETRANSLATE(B210,""ja"",""vi"")"),"Tây")</f>
        <v>Tây</v>
      </c>
      <c r="E210" s="4" t="str">
        <f ca="1">IFERROR(__xludf.DUMMYFUNCTION("GOOGLETRANSLATE(C210,""ja"",""vi"")"),"Đấu giá&gt; phim, video&gt; hàng phim liên quan đến&gt; cuốn sách nhỏ&gt; Tây")</f>
        <v>Đấu giá&gt; phim, video&gt; hàng phim liên quan đến&gt; cuốn sách nhỏ&gt; Tây</v>
      </c>
      <c r="F210" t="str">
        <f t="shared" ca="1" si="3"/>
        <v>"2084045089" : "Tây",</v>
      </c>
    </row>
    <row r="211" spans="1:6" ht="15.75" customHeight="1">
      <c r="A211" s="14">
        <v>2084045090</v>
      </c>
      <c r="B211" s="14" t="s">
        <v>3899</v>
      </c>
      <c r="C211" s="14" t="s">
        <v>6263</v>
      </c>
      <c r="D211" s="5" t="str">
        <f ca="1">IFERROR(__xludf.DUMMYFUNCTION("GOOGLETRANSLATE(B211,""ja"",""vi"")"),"chiến tranh")</f>
        <v>chiến tranh</v>
      </c>
      <c r="E211" s="4" t="str">
        <f ca="1">IFERROR(__xludf.DUMMYFUNCTION("GOOGLETRANSLATE(C211,""ja"",""vi"")"),"Đấu giá&gt; phim, video&gt; hàng phim liên quan đến&gt; cuốn sách nhỏ&gt; chiến tranh")</f>
        <v>Đấu giá&gt; phim, video&gt; hàng phim liên quan đến&gt; cuốn sách nhỏ&gt; chiến tranh</v>
      </c>
      <c r="F211" t="str">
        <f t="shared" ca="1" si="3"/>
        <v>"2084045090" : "chiến tranh",</v>
      </c>
    </row>
    <row r="212" spans="1:6" ht="15.75" customHeight="1">
      <c r="A212" s="14">
        <v>2084045091</v>
      </c>
      <c r="B212" s="14" t="s">
        <v>3902</v>
      </c>
      <c r="C212" s="14" t="s">
        <v>6264</v>
      </c>
      <c r="D212" s="5" t="str">
        <f ca="1">IFERROR(__xludf.DUMMYFUNCTION("GOOGLETRANSLATE(B212,""ja"",""vi"")"),"hiệu ứng đặc biệt")</f>
        <v>hiệu ứng đặc biệt</v>
      </c>
      <c r="E212" s="4" t="str">
        <f ca="1">IFERROR(__xludf.DUMMYFUNCTION("GOOGLETRANSLATE(C212,""ja"",""vi"")"),"Đấu giá&gt; phim, video&gt; hàng phim liên quan đến&gt; cuốn sách nhỏ&gt; hiệu ứng đặc biệt")</f>
        <v>Đấu giá&gt; phim, video&gt; hàng phim liên quan đến&gt; cuốn sách nhỏ&gt; hiệu ứng đặc biệt</v>
      </c>
      <c r="F212" t="str">
        <f t="shared" ca="1" si="3"/>
        <v>"2084045091" : "hiệu ứng đặc biệt",</v>
      </c>
    </row>
    <row r="213" spans="1:6" ht="15.75" customHeight="1">
      <c r="A213" s="14">
        <v>2084048567</v>
      </c>
      <c r="B213" s="14" t="s">
        <v>3908</v>
      </c>
      <c r="C213" s="14" t="s">
        <v>6265</v>
      </c>
      <c r="D213" s="5" t="str">
        <f ca="1">IFERROR(__xludf.DUMMYFUNCTION("GOOGLETRANSLATE(B213,""ja"",""vi"")"),"Nhật Bản phim")</f>
        <v>Nhật Bản phim</v>
      </c>
      <c r="E213" s="4" t="str">
        <f ca="1">IFERROR(__xludf.DUMMYFUNCTION("GOOGLETRANSLATE(C213,""ja"",""vi"")"),"Đấu giá&gt; phim, video&gt; hàng phim liên quan đến&gt; cuốn sách nhỏ&gt; phim Nhật Bản")</f>
        <v>Đấu giá&gt; phim, video&gt; hàng phim liên quan đến&gt; cuốn sách nhỏ&gt; phim Nhật Bản</v>
      </c>
      <c r="F213" t="str">
        <f t="shared" ca="1" si="3"/>
        <v>"2084048567" : "Nhật Bản phim",</v>
      </c>
    </row>
    <row r="214" spans="1:6" ht="15.75" customHeight="1">
      <c r="A214" s="14">
        <v>2084041617</v>
      </c>
      <c r="B214" s="14" t="s">
        <v>46</v>
      </c>
      <c r="C214" s="14" t="s">
        <v>6266</v>
      </c>
      <c r="D214" s="5" t="str">
        <f ca="1">IFERROR(__xludf.DUMMYFUNCTION("GOOGLETRANSLATE(B214,""ja"",""vi"")"),"nếu không thì")</f>
        <v>nếu không thì</v>
      </c>
      <c r="E214" s="4" t="str">
        <f ca="1">IFERROR(__xludf.DUMMYFUNCTION("GOOGLETRANSLATE(C214,""ja"",""vi"")"),"Đấu giá&gt; phim, video&gt; hàng phim liên quan đến&gt; cuốn sách nhỏ&gt; Khác")</f>
        <v>Đấu giá&gt; phim, video&gt; hàng phim liên quan đến&gt; cuốn sách nhỏ&gt; Khác</v>
      </c>
      <c r="F214" t="str">
        <f t="shared" ca="1" si="3"/>
        <v>"2084041617" : "nếu không thì",</v>
      </c>
    </row>
    <row r="215" spans="1:6" ht="15.75" customHeight="1">
      <c r="A215" s="14">
        <v>2084039820</v>
      </c>
      <c r="B215" s="14" t="s">
        <v>3835</v>
      </c>
      <c r="C215" s="14" t="s">
        <v>6267</v>
      </c>
      <c r="D215" s="5" t="str">
        <f ca="1">IFERROR(__xludf.DUMMYFUNCTION("GOOGLETRANSLATE(B215,""ja"",""vi"")"),"SF, Viễn tưởng")</f>
        <v>SF, Viễn tưởng</v>
      </c>
      <c r="E215" s="4" t="str">
        <f ca="1">IFERROR(__xludf.DUMMYFUNCTION("GOOGLETRANSLATE(C215,""ja"",""vi"")"),"Đấu giá&gt; cổ, bộ sưu tập&gt; vấn đề in&gt; tấm áp phích&gt; phim&gt; SF, Viễn tưởng")</f>
        <v>Đấu giá&gt; cổ, bộ sưu tập&gt; vấn đề in&gt; tấm áp phích&gt; phim&gt; SF, Viễn tưởng</v>
      </c>
      <c r="F215" t="str">
        <f t="shared" ca="1" si="3"/>
        <v>"2084039820" : "SF, Viễn tưởng",</v>
      </c>
    </row>
    <row r="216" spans="1:6" ht="15.75" customHeight="1">
      <c r="A216" s="14">
        <v>2084039821</v>
      </c>
      <c r="B216" s="14" t="s">
        <v>3842</v>
      </c>
      <c r="C216" s="14" t="s">
        <v>6268</v>
      </c>
      <c r="D216" s="5" t="str">
        <f ca="1">IFERROR(__xludf.DUMMYFUNCTION("GOOGLETRANSLATE(B216,""ja"",""vi"")"),"Hành động, phiêu lưu")</f>
        <v>Hành động, phiêu lưu</v>
      </c>
      <c r="E216" s="4" t="str">
        <f ca="1">IFERROR(__xludf.DUMMYFUNCTION("GOOGLETRANSLATE(C216,""ja"",""vi"")"),"Đấu giá&gt; cổ, bộ sưu tập&gt; vấn đề in&gt; tấm áp phích&gt; phim&gt; hành động, phiêu lưu")</f>
        <v>Đấu giá&gt; cổ, bộ sưu tập&gt; vấn đề in&gt; tấm áp phích&gt; phim&gt; hành động, phiêu lưu</v>
      </c>
      <c r="F216" t="str">
        <f t="shared" ca="1" si="3"/>
        <v>"2084039821" : "Hành động, phiêu lưu",</v>
      </c>
    </row>
    <row r="217" spans="1:6" ht="15.75" customHeight="1">
      <c r="A217" s="14">
        <v>2084039825</v>
      </c>
      <c r="B217" s="14" t="s">
        <v>3855</v>
      </c>
      <c r="C217" s="14" t="s">
        <v>6269</v>
      </c>
      <c r="D217" s="5" t="str">
        <f ca="1">IFERROR(__xludf.DUMMYFUNCTION("GOOGLETRANSLATE(B217,""ja"",""vi"")"),"hài kịch")</f>
        <v>hài kịch</v>
      </c>
      <c r="E217" s="4" t="str">
        <f ca="1">IFERROR(__xludf.DUMMYFUNCTION("GOOGLETRANSLATE(C217,""ja"",""vi"")"),"Đấu giá&gt; cổ, bộ sưu tập&gt; vấn đề in&gt; tấm áp phích&gt; Điện ảnh&gt; Comedy")</f>
        <v>Đấu giá&gt; cổ, bộ sưu tập&gt; vấn đề in&gt; tấm áp phích&gt; Điện ảnh&gt; Comedy</v>
      </c>
      <c r="F217" t="str">
        <f t="shared" ca="1" si="3"/>
        <v>"2084039825" : "hài kịch",</v>
      </c>
    </row>
    <row r="218" spans="1:6" ht="15.75" customHeight="1">
      <c r="A218" s="14">
        <v>2084039824</v>
      </c>
      <c r="B218" s="14" t="s">
        <v>5590</v>
      </c>
      <c r="C218" s="14" t="s">
        <v>6270</v>
      </c>
      <c r="D218" s="5" t="str">
        <f ca="1">IFERROR(__xludf.DUMMYFUNCTION("GOOGLETRANSLATE(B218,""ja"",""vi"")"),"Phim tài liệu")</f>
        <v>Phim tài liệu</v>
      </c>
      <c r="E218" s="4" t="str">
        <f ca="1">IFERROR(__xludf.DUMMYFUNCTION("GOOGLETRANSLATE(C218,""ja"",""vi"")"),"Đấu giá&gt; cổ, bộ sưu tập&gt; vấn đề in&gt; tấm áp phích&gt; Điện ảnh&gt; Phim tài liệu")</f>
        <v>Đấu giá&gt; cổ, bộ sưu tập&gt; vấn đề in&gt; tấm áp phích&gt; Điện ảnh&gt; Phim tài liệu</v>
      </c>
      <c r="F218" t="str">
        <f t="shared" ca="1" si="3"/>
        <v>"2084039824" : "Phim tài liệu",</v>
      </c>
    </row>
    <row r="219" spans="1:6" ht="15.75" customHeight="1">
      <c r="A219" s="14">
        <v>2084039822</v>
      </c>
      <c r="B219" s="14" t="s">
        <v>6212</v>
      </c>
      <c r="C219" s="14" t="s">
        <v>6271</v>
      </c>
      <c r="D219" s="5" t="str">
        <f ca="1">IFERROR(__xludf.DUMMYFUNCTION("GOOGLETRANSLATE(B219,""ja"",""vi"")"),"Kinh dị, hồi hộp")</f>
        <v>Kinh dị, hồi hộp</v>
      </c>
      <c r="E219" s="4" t="str">
        <f ca="1">IFERROR(__xludf.DUMMYFUNCTION("GOOGLETRANSLATE(C219,""ja"",""vi"")"),"Đấu giá&gt; cổ, bộ sưu tập&gt; vấn đề in&gt; tấm áp phích&gt; phim&gt; kinh dị, hồi hộp")</f>
        <v>Đấu giá&gt; cổ, bộ sưu tập&gt; vấn đề in&gt; tấm áp phích&gt; phim&gt; kinh dị, hồi hộp</v>
      </c>
      <c r="F219" t="str">
        <f t="shared" ca="1" si="3"/>
        <v>"2084039822" : "Kinh dị, hồi hộp",</v>
      </c>
    </row>
    <row r="220" spans="1:6" ht="15.75" customHeight="1">
      <c r="A220" s="14">
        <v>2084039823</v>
      </c>
      <c r="B220" s="14" t="s">
        <v>1207</v>
      </c>
      <c r="C220" s="14" t="s">
        <v>6272</v>
      </c>
      <c r="D220" s="5" t="str">
        <f ca="1">IFERROR(__xludf.DUMMYFUNCTION("GOOGLETRANSLATE(B220,""ja"",""vi"")"),"nhạc")</f>
        <v>nhạc</v>
      </c>
      <c r="E220" s="4" t="str">
        <f ca="1">IFERROR(__xludf.DUMMYFUNCTION("GOOGLETRANSLATE(C220,""ja"",""vi"")"),"Đấu giá&gt; cổ, bộ sưu tập&gt; in vấn đề&gt; tấm áp phích&gt; Phim&gt; Nhạc")</f>
        <v>Đấu giá&gt; cổ, bộ sưu tập&gt; in vấn đề&gt; tấm áp phích&gt; Phim&gt; Nhạc</v>
      </c>
      <c r="F220" t="str">
        <f t="shared" ca="1" si="3"/>
        <v>"2084039823" : "nhạc",</v>
      </c>
    </row>
    <row r="221" spans="1:6" ht="15.75" customHeight="1">
      <c r="A221" s="14">
        <v>2084039826</v>
      </c>
      <c r="B221" s="14" t="s">
        <v>46</v>
      </c>
      <c r="C221" s="14" t="s">
        <v>6273</v>
      </c>
      <c r="D221" s="5" t="str">
        <f ca="1">IFERROR(__xludf.DUMMYFUNCTION("GOOGLETRANSLATE(B221,""ja"",""vi"")"),"nếu không thì")</f>
        <v>nếu không thì</v>
      </c>
      <c r="E221" s="4" t="str">
        <f ca="1">IFERROR(__xludf.DUMMYFUNCTION("GOOGLETRANSLATE(C221,""ja"",""vi"")"),"Đấu giá&gt; cổ, bộ sưu tập&gt; in vấn đề&gt; tấm áp phích&gt; Điện ảnh&gt; Khác")</f>
        <v>Đấu giá&gt; cổ, bộ sưu tập&gt; in vấn đề&gt; tấm áp phích&gt; Điện ảnh&gt; Khác</v>
      </c>
      <c r="F221" t="str">
        <f t="shared" ca="1" si="3"/>
        <v>"2084039826" : "nếu không thì",</v>
      </c>
    </row>
    <row r="222" spans="1:6" ht="15.75" customHeight="1"/>
    <row r="223" spans="1:6" ht="15.75" customHeight="1"/>
    <row r="224" spans="1: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1"/>
  <sheetViews>
    <sheetView workbookViewId="0">
      <selection activeCell="D1" sqref="D1"/>
    </sheetView>
  </sheetViews>
  <sheetFormatPr defaultColWidth="12.59765625" defaultRowHeight="15" customHeight="1"/>
  <cols>
    <col min="1" max="1" width="15.69921875" customWidth="1"/>
    <col min="2" max="2" width="23.5" customWidth="1"/>
    <col min="3" max="3" width="63" customWidth="1"/>
    <col min="4" max="26" width="7.59765625" customWidth="1"/>
  </cols>
  <sheetData>
    <row r="1" spans="1:4" ht="21">
      <c r="A1" s="12">
        <v>2084315794</v>
      </c>
      <c r="B1" s="12" t="s">
        <v>4688</v>
      </c>
      <c r="C1" s="12" t="s">
        <v>4691</v>
      </c>
      <c r="D1" t="str">
        <f>CONCATENATE(CHAR(34)&amp;"",A1,""&amp;CHAR(34)," : ", CHAR(34)&amp;"",B1,""&amp;CHAR(34),",")</f>
        <v>"2084315794" : "ニンテンドースイッチ本体",</v>
      </c>
    </row>
    <row r="2" spans="1:4" ht="21">
      <c r="A2" s="12">
        <v>2084315795</v>
      </c>
      <c r="B2" s="12" t="s">
        <v>4694</v>
      </c>
      <c r="C2" s="12" t="s">
        <v>4696</v>
      </c>
    </row>
    <row r="3" spans="1:4" ht="21">
      <c r="A3" s="16">
        <v>2084315796</v>
      </c>
      <c r="B3" s="16" t="s">
        <v>4699</v>
      </c>
      <c r="C3" s="16" t="s">
        <v>6291</v>
      </c>
    </row>
    <row r="4" spans="1:4" ht="21">
      <c r="A4" s="14">
        <v>2084315792</v>
      </c>
      <c r="B4" s="14" t="s">
        <v>4704</v>
      </c>
      <c r="C4" s="14" t="s">
        <v>4705</v>
      </c>
    </row>
    <row r="5" spans="1:4" ht="21">
      <c r="A5" s="14">
        <v>2084315797</v>
      </c>
      <c r="B5" s="14" t="s">
        <v>4708</v>
      </c>
      <c r="C5" s="14" t="s">
        <v>4709</v>
      </c>
    </row>
    <row r="6" spans="1:4" ht="21">
      <c r="A6" s="14">
        <v>2084310047</v>
      </c>
      <c r="B6" s="14" t="s">
        <v>4713</v>
      </c>
      <c r="C6" s="14" t="s">
        <v>4714</v>
      </c>
    </row>
    <row r="7" spans="1:4" ht="21">
      <c r="A7" s="14">
        <v>2084290227</v>
      </c>
      <c r="B7" s="14" t="s">
        <v>4716</v>
      </c>
      <c r="C7" s="14" t="s">
        <v>4717</v>
      </c>
    </row>
    <row r="8" spans="1:4" ht="21">
      <c r="A8" s="14">
        <v>2084290228</v>
      </c>
      <c r="B8" s="14" t="s">
        <v>4721</v>
      </c>
      <c r="C8" s="14" t="s">
        <v>4722</v>
      </c>
    </row>
    <row r="9" spans="1:4" ht="21">
      <c r="A9" s="14">
        <v>2084056541</v>
      </c>
      <c r="B9" s="14" t="s">
        <v>4727</v>
      </c>
      <c r="C9" s="14" t="s">
        <v>4728</v>
      </c>
    </row>
    <row r="10" spans="1:4" ht="21">
      <c r="A10" s="14">
        <v>2084290230</v>
      </c>
      <c r="B10" s="14" t="s">
        <v>4735</v>
      </c>
      <c r="C10" s="14" t="s">
        <v>4736</v>
      </c>
    </row>
    <row r="11" spans="1:4" ht="21">
      <c r="A11" s="14">
        <v>2084056540</v>
      </c>
      <c r="B11" s="14" t="s">
        <v>4741</v>
      </c>
      <c r="C11" s="14" t="s">
        <v>4742</v>
      </c>
    </row>
    <row r="12" spans="1:4" ht="21">
      <c r="A12" s="14">
        <v>2084056541</v>
      </c>
      <c r="B12" s="14" t="s">
        <v>4745</v>
      </c>
      <c r="C12" s="14" t="s">
        <v>4746</v>
      </c>
    </row>
    <row r="13" spans="1:4" ht="21">
      <c r="A13" s="14">
        <v>2084056542</v>
      </c>
      <c r="B13" s="14" t="s">
        <v>4735</v>
      </c>
      <c r="C13" s="14" t="s">
        <v>4751</v>
      </c>
    </row>
    <row r="14" spans="1:4" ht="13.8">
      <c r="A14" s="14">
        <v>2084310046</v>
      </c>
      <c r="B14" s="14" t="s">
        <v>4754</v>
      </c>
      <c r="C14" s="14" t="s">
        <v>4756</v>
      </c>
    </row>
    <row r="15" spans="1:4" ht="21">
      <c r="A15" s="14">
        <v>2084310053</v>
      </c>
      <c r="B15" s="14" t="s">
        <v>4760</v>
      </c>
      <c r="C15" s="14" t="s">
        <v>4762</v>
      </c>
    </row>
    <row r="16" spans="1:4" ht="13.8">
      <c r="A16" s="14">
        <v>2084217066</v>
      </c>
      <c r="B16" s="14" t="s">
        <v>4765</v>
      </c>
      <c r="C16" s="14" t="s">
        <v>4769</v>
      </c>
    </row>
    <row r="17" spans="1:3" ht="21">
      <c r="A17" s="14">
        <v>2084310054</v>
      </c>
      <c r="B17" s="14" t="s">
        <v>4735</v>
      </c>
      <c r="C17" s="14" t="s">
        <v>4773</v>
      </c>
    </row>
    <row r="18" spans="1:3" ht="13.8">
      <c r="A18" s="14">
        <v>2084217068</v>
      </c>
      <c r="B18" s="14" t="s">
        <v>4777</v>
      </c>
      <c r="C18" s="14" t="s">
        <v>4778</v>
      </c>
    </row>
    <row r="19" spans="1:3" ht="13.8">
      <c r="A19" s="14">
        <v>2084217066</v>
      </c>
      <c r="B19" s="14" t="s">
        <v>4782</v>
      </c>
      <c r="C19" s="14" t="s">
        <v>4784</v>
      </c>
    </row>
    <row r="20" spans="1:3" ht="21">
      <c r="A20" s="14">
        <v>2084217065</v>
      </c>
      <c r="B20" s="14" t="s">
        <v>4735</v>
      </c>
      <c r="C20" s="14" t="s">
        <v>4787</v>
      </c>
    </row>
    <row r="21" spans="1:3" ht="15.75" customHeight="1">
      <c r="A21" s="14">
        <v>2084301278</v>
      </c>
      <c r="B21" s="14" t="s">
        <v>4790</v>
      </c>
      <c r="C21" s="14" t="s">
        <v>4791</v>
      </c>
    </row>
    <row r="22" spans="1:3" ht="15.75" customHeight="1">
      <c r="A22" s="14">
        <v>2084301279</v>
      </c>
      <c r="B22" s="14" t="s">
        <v>4795</v>
      </c>
      <c r="C22" s="14" t="s">
        <v>4797</v>
      </c>
    </row>
    <row r="23" spans="1:3" ht="15.75" customHeight="1">
      <c r="A23" s="14">
        <v>2084301280</v>
      </c>
      <c r="B23" s="14" t="s">
        <v>4799</v>
      </c>
      <c r="C23" s="14" t="s">
        <v>4802</v>
      </c>
    </row>
    <row r="24" spans="1:3" ht="15.75" customHeight="1">
      <c r="A24" s="14">
        <v>2084057110</v>
      </c>
      <c r="B24" s="14" t="s">
        <v>4805</v>
      </c>
      <c r="C24" s="14" t="s">
        <v>4807</v>
      </c>
    </row>
    <row r="25" spans="1:3" ht="15.75" customHeight="1">
      <c r="A25" s="14">
        <v>2084057111</v>
      </c>
      <c r="B25" s="14" t="s">
        <v>4809</v>
      </c>
      <c r="C25" s="14" t="s">
        <v>4811</v>
      </c>
    </row>
    <row r="26" spans="1:3" ht="15.75" customHeight="1">
      <c r="A26" s="14">
        <v>2084057112</v>
      </c>
      <c r="B26" s="14" t="s">
        <v>4735</v>
      </c>
      <c r="C26" s="14" t="s">
        <v>4814</v>
      </c>
    </row>
    <row r="27" spans="1:3" ht="15.75" customHeight="1">
      <c r="A27" s="14">
        <v>2084313827</v>
      </c>
      <c r="B27" s="14" t="s">
        <v>4816</v>
      </c>
      <c r="C27" s="14" t="s">
        <v>4818</v>
      </c>
    </row>
    <row r="28" spans="1:3" ht="15.75" customHeight="1">
      <c r="A28" s="14">
        <v>2084313828</v>
      </c>
      <c r="B28" s="14" t="s">
        <v>4820</v>
      </c>
      <c r="C28" s="14" t="s">
        <v>4822</v>
      </c>
    </row>
    <row r="29" spans="1:3" ht="15.75" customHeight="1">
      <c r="A29" s="14">
        <v>2084315790</v>
      </c>
      <c r="B29" s="14" t="s">
        <v>4825</v>
      </c>
      <c r="C29" s="14" t="s">
        <v>4827</v>
      </c>
    </row>
    <row r="30" spans="1:3" ht="15.75" customHeight="1">
      <c r="A30" s="14">
        <v>2084313829</v>
      </c>
      <c r="B30" s="14" t="s">
        <v>4735</v>
      </c>
      <c r="C30" s="14" t="s">
        <v>4829</v>
      </c>
    </row>
    <row r="31" spans="1:3" ht="15.75" customHeight="1">
      <c r="A31" s="14">
        <v>2084216437</v>
      </c>
      <c r="B31" s="14" t="s">
        <v>4831</v>
      </c>
      <c r="C31" s="14" t="s">
        <v>4832</v>
      </c>
    </row>
    <row r="32" spans="1:3" ht="15.75" customHeight="1">
      <c r="A32" s="14">
        <v>2084216438</v>
      </c>
      <c r="B32" s="14" t="s">
        <v>4834</v>
      </c>
      <c r="C32" s="14" t="s">
        <v>4835</v>
      </c>
    </row>
    <row r="33" spans="1:3" ht="15.75" customHeight="1">
      <c r="A33" s="14">
        <v>2084216436</v>
      </c>
      <c r="B33" s="14" t="s">
        <v>4735</v>
      </c>
      <c r="C33" s="14" t="s">
        <v>4837</v>
      </c>
    </row>
    <row r="34" spans="1:3" ht="15.75" customHeight="1">
      <c r="A34" s="14">
        <v>2084006669</v>
      </c>
      <c r="B34" s="14" t="s">
        <v>4840</v>
      </c>
      <c r="C34" s="14" t="s">
        <v>4841</v>
      </c>
    </row>
    <row r="35" spans="1:3" ht="15.75" customHeight="1">
      <c r="A35" s="14">
        <v>2084006670</v>
      </c>
      <c r="B35" s="14" t="s">
        <v>4844</v>
      </c>
      <c r="C35" s="14" t="s">
        <v>4845</v>
      </c>
    </row>
    <row r="36" spans="1:3" ht="15.75" customHeight="1">
      <c r="A36" s="14">
        <v>2084314665</v>
      </c>
      <c r="B36" s="14" t="s">
        <v>4847</v>
      </c>
      <c r="C36" s="14" t="s">
        <v>4848</v>
      </c>
    </row>
    <row r="37" spans="1:3" ht="15.75" customHeight="1">
      <c r="A37" s="14">
        <v>2084314666</v>
      </c>
      <c r="B37" s="14" t="s">
        <v>4851</v>
      </c>
      <c r="C37" s="14" t="s">
        <v>4852</v>
      </c>
    </row>
    <row r="38" spans="1:3" ht="15.75" customHeight="1">
      <c r="A38" s="14">
        <v>2084314667</v>
      </c>
      <c r="B38" s="14" t="s">
        <v>4735</v>
      </c>
      <c r="C38" s="14" t="s">
        <v>4855</v>
      </c>
    </row>
    <row r="39" spans="1:3" ht="15.75" customHeight="1">
      <c r="A39" s="14">
        <v>2084235549</v>
      </c>
      <c r="B39" s="14" t="s">
        <v>4857</v>
      </c>
      <c r="C39" s="14" t="s">
        <v>4858</v>
      </c>
    </row>
    <row r="40" spans="1:3" ht="15.75" customHeight="1">
      <c r="A40" s="14">
        <v>2084235548</v>
      </c>
      <c r="B40" s="14" t="s">
        <v>4860</v>
      </c>
      <c r="C40" s="14" t="s">
        <v>4862</v>
      </c>
    </row>
    <row r="41" spans="1:3" ht="15.75" customHeight="1">
      <c r="A41" s="14">
        <v>2084235547</v>
      </c>
      <c r="B41" s="14" t="s">
        <v>4735</v>
      </c>
      <c r="C41" s="14" t="s">
        <v>6315</v>
      </c>
    </row>
    <row r="42" spans="1:3" ht="15.75" customHeight="1">
      <c r="A42" s="14">
        <v>2084041574</v>
      </c>
      <c r="B42" s="14" t="s">
        <v>1678</v>
      </c>
      <c r="C42" s="14" t="s">
        <v>4866</v>
      </c>
    </row>
    <row r="43" spans="1:3" ht="15.75" customHeight="1">
      <c r="A43" s="14">
        <v>26830</v>
      </c>
      <c r="B43" s="14" t="s">
        <v>4840</v>
      </c>
      <c r="C43" s="14" t="s">
        <v>4867</v>
      </c>
    </row>
    <row r="44" spans="1:3" ht="15.75" customHeight="1">
      <c r="A44" s="14">
        <v>26844</v>
      </c>
      <c r="B44" s="14" t="s">
        <v>4799</v>
      </c>
      <c r="C44" s="14" t="s">
        <v>4869</v>
      </c>
    </row>
    <row r="45" spans="1:3" ht="15.75" customHeight="1">
      <c r="A45" s="14">
        <v>2084041581</v>
      </c>
      <c r="B45" s="14" t="s">
        <v>1678</v>
      </c>
      <c r="C45" s="14" t="s">
        <v>4871</v>
      </c>
    </row>
    <row r="46" spans="1:3" ht="15.75" customHeight="1">
      <c r="A46" s="14">
        <v>2084041582</v>
      </c>
      <c r="B46" s="14" t="s">
        <v>4840</v>
      </c>
      <c r="C46" s="14" t="s">
        <v>4873</v>
      </c>
    </row>
    <row r="47" spans="1:3" ht="15.75" customHeight="1">
      <c r="A47" s="14">
        <v>2084041583</v>
      </c>
      <c r="B47" s="14" t="s">
        <v>4735</v>
      </c>
      <c r="C47" s="14" t="s">
        <v>4875</v>
      </c>
    </row>
    <row r="48" spans="1:3" ht="15.75" customHeight="1">
      <c r="A48" s="14">
        <v>2084063621</v>
      </c>
      <c r="B48" s="14" t="s">
        <v>1678</v>
      </c>
      <c r="C48" s="14" t="s">
        <v>4879</v>
      </c>
    </row>
    <row r="49" spans="1:3" ht="15.75" customHeight="1">
      <c r="A49" s="14">
        <v>2084041582</v>
      </c>
      <c r="B49" s="14" t="s">
        <v>4840</v>
      </c>
      <c r="C49" s="14" t="s">
        <v>4884</v>
      </c>
    </row>
    <row r="50" spans="1:3" ht="15.75" customHeight="1">
      <c r="A50" s="14">
        <v>2084063622</v>
      </c>
      <c r="B50" s="14" t="s">
        <v>4735</v>
      </c>
      <c r="C50" s="14" t="s">
        <v>4887</v>
      </c>
    </row>
    <row r="51" spans="1:3" ht="15.75" customHeight="1">
      <c r="A51" s="14">
        <v>2084005170</v>
      </c>
      <c r="B51" s="14" t="s">
        <v>4840</v>
      </c>
      <c r="C51" s="14" t="s">
        <v>6316</v>
      </c>
    </row>
    <row r="52" spans="1:3" ht="15.75" customHeight="1">
      <c r="A52" s="14">
        <v>2084005171</v>
      </c>
      <c r="B52" s="14" t="s">
        <v>4844</v>
      </c>
      <c r="C52" s="14" t="s">
        <v>6317</v>
      </c>
    </row>
    <row r="53" spans="1:3" ht="15.75" customHeight="1">
      <c r="A53" s="14">
        <v>2084005182</v>
      </c>
      <c r="B53" s="14" t="s">
        <v>4844</v>
      </c>
      <c r="C53" s="14" t="s">
        <v>4913</v>
      </c>
    </row>
    <row r="54" spans="1:3" ht="15.75" customHeight="1">
      <c r="A54" s="14">
        <v>2084005183</v>
      </c>
      <c r="B54" s="14" t="s">
        <v>4840</v>
      </c>
      <c r="C54" s="14" t="s">
        <v>4918</v>
      </c>
    </row>
    <row r="55" spans="1:3" ht="15.75" customHeight="1">
      <c r="A55" s="14">
        <v>2084005190</v>
      </c>
      <c r="B55" s="14" t="s">
        <v>4840</v>
      </c>
      <c r="C55" s="14" t="s">
        <v>4922</v>
      </c>
    </row>
    <row r="56" spans="1:3" ht="15.75" customHeight="1">
      <c r="A56" s="14">
        <v>2084005189</v>
      </c>
      <c r="B56" s="14" t="s">
        <v>4844</v>
      </c>
      <c r="C56" s="14" t="s">
        <v>4926</v>
      </c>
    </row>
    <row r="57" spans="1:3" ht="15.75" customHeight="1">
      <c r="A57" s="14">
        <v>2084047853</v>
      </c>
      <c r="B57" s="14" t="s">
        <v>1678</v>
      </c>
      <c r="C57" s="14" t="s">
        <v>4929</v>
      </c>
    </row>
    <row r="58" spans="1:3" ht="15.75" customHeight="1">
      <c r="A58" s="14">
        <v>2084047854</v>
      </c>
      <c r="B58" s="14" t="s">
        <v>4934</v>
      </c>
      <c r="C58" s="14" t="s">
        <v>4935</v>
      </c>
    </row>
    <row r="59" spans="1:3" ht="15.75" customHeight="1">
      <c r="A59" s="14">
        <v>2084047855</v>
      </c>
      <c r="B59" s="14" t="s">
        <v>1625</v>
      </c>
      <c r="C59" s="14" t="s">
        <v>4938</v>
      </c>
    </row>
    <row r="60" spans="1:3" ht="15.75" customHeight="1">
      <c r="A60" s="14">
        <v>22868</v>
      </c>
      <c r="B60" s="14" t="s">
        <v>4940</v>
      </c>
      <c r="C60" s="14" t="s">
        <v>4942</v>
      </c>
    </row>
    <row r="61" spans="1:3" ht="15.75" customHeight="1">
      <c r="A61" s="14">
        <v>40507</v>
      </c>
      <c r="B61" s="14" t="s">
        <v>4945</v>
      </c>
      <c r="C61" s="14" t="s">
        <v>4946</v>
      </c>
    </row>
    <row r="62" spans="1:3" ht="15.75" customHeight="1">
      <c r="A62" s="14">
        <v>40506</v>
      </c>
      <c r="B62" s="14" t="s">
        <v>4947</v>
      </c>
      <c r="C62" s="14" t="s">
        <v>4949</v>
      </c>
    </row>
    <row r="63" spans="1:3" ht="15.75" customHeight="1">
      <c r="A63" s="14">
        <v>2084045591</v>
      </c>
      <c r="B63" s="14" t="s">
        <v>4953</v>
      </c>
      <c r="C63" s="14" t="s">
        <v>4954</v>
      </c>
    </row>
    <row r="64" spans="1:3" ht="15.75" customHeight="1">
      <c r="A64" s="14">
        <v>2084005167</v>
      </c>
      <c r="B64" s="14" t="s">
        <v>4959</v>
      </c>
      <c r="C64" s="14" t="s">
        <v>4960</v>
      </c>
    </row>
    <row r="65" spans="1:3" ht="15.75" customHeight="1">
      <c r="A65" s="14">
        <v>40508</v>
      </c>
      <c r="B65" s="14" t="s">
        <v>46</v>
      </c>
      <c r="C65" s="14" t="s">
        <v>4965</v>
      </c>
    </row>
    <row r="66" spans="1:3" ht="15.75" customHeight="1">
      <c r="A66" s="14">
        <v>2084005533</v>
      </c>
      <c r="B66" s="14" t="s">
        <v>4970</v>
      </c>
      <c r="C66" s="14" t="s">
        <v>4971</v>
      </c>
    </row>
    <row r="67" spans="1:3" ht="15.75" customHeight="1">
      <c r="A67" s="14">
        <v>2084005247</v>
      </c>
      <c r="B67" s="14" t="s">
        <v>4975</v>
      </c>
      <c r="C67" s="14" t="s">
        <v>4977</v>
      </c>
    </row>
    <row r="68" spans="1:3" ht="15.75" customHeight="1">
      <c r="A68" s="14">
        <v>2084057109</v>
      </c>
      <c r="B68" s="14" t="s">
        <v>4983</v>
      </c>
      <c r="C68" s="14" t="s">
        <v>4985</v>
      </c>
    </row>
    <row r="69" spans="1:3" ht="15.75" customHeight="1">
      <c r="A69" s="14">
        <v>2084056539</v>
      </c>
      <c r="B69" s="14" t="s">
        <v>4987</v>
      </c>
      <c r="C69" s="14" t="s">
        <v>4989</v>
      </c>
    </row>
    <row r="70" spans="1:3" ht="15.75" customHeight="1">
      <c r="A70" s="14">
        <v>2084041580</v>
      </c>
      <c r="B70" s="14" t="s">
        <v>4991</v>
      </c>
      <c r="C70" s="14" t="s">
        <v>4992</v>
      </c>
    </row>
    <row r="71" spans="1:3" ht="15.75" customHeight="1">
      <c r="A71" s="14">
        <v>27812</v>
      </c>
      <c r="B71" s="14" t="s">
        <v>4996</v>
      </c>
      <c r="C71" s="14" t="s">
        <v>4997</v>
      </c>
    </row>
    <row r="72" spans="1:3" ht="15.75" customHeight="1">
      <c r="A72" s="14">
        <v>2084045654</v>
      </c>
      <c r="B72" s="14" t="s">
        <v>4998</v>
      </c>
      <c r="C72" s="14" t="s">
        <v>5000</v>
      </c>
    </row>
    <row r="73" spans="1:3" ht="15.75" customHeight="1">
      <c r="A73" s="14">
        <v>22868</v>
      </c>
      <c r="B73" s="14" t="s">
        <v>4940</v>
      </c>
      <c r="C73" s="14" t="s">
        <v>5002</v>
      </c>
    </row>
    <row r="74" spans="1:3" ht="15.75" customHeight="1">
      <c r="A74" s="14">
        <v>2084041577</v>
      </c>
      <c r="B74" s="14" t="s">
        <v>5005</v>
      </c>
      <c r="C74" s="14" t="s">
        <v>5006</v>
      </c>
    </row>
    <row r="75" spans="1:3" ht="15.75" customHeight="1">
      <c r="A75" s="14">
        <v>2084005536</v>
      </c>
      <c r="B75" s="14" t="s">
        <v>5007</v>
      </c>
      <c r="C75" s="14" t="s">
        <v>5009</v>
      </c>
    </row>
    <row r="76" spans="1:3" ht="15.75" customHeight="1">
      <c r="A76" s="14">
        <v>22888</v>
      </c>
      <c r="B76" s="14" t="s">
        <v>46</v>
      </c>
      <c r="C76" s="14" t="s">
        <v>5011</v>
      </c>
    </row>
    <row r="77" spans="1:3" ht="15.75" customHeight="1">
      <c r="A77" s="14">
        <v>2084047782</v>
      </c>
      <c r="B77" s="14" t="s">
        <v>5014</v>
      </c>
      <c r="C77" s="14" t="s">
        <v>5015</v>
      </c>
    </row>
    <row r="78" spans="1:3" ht="15.75" customHeight="1">
      <c r="A78" s="14">
        <v>2084047783</v>
      </c>
      <c r="B78" s="14" t="s">
        <v>5017</v>
      </c>
      <c r="C78" s="14" t="s">
        <v>5019</v>
      </c>
    </row>
    <row r="79" spans="1:3" ht="15.75" customHeight="1">
      <c r="A79" s="14">
        <v>2084245563</v>
      </c>
      <c r="B79" s="14" t="s">
        <v>5020</v>
      </c>
      <c r="C79" s="14" t="s">
        <v>5022</v>
      </c>
    </row>
    <row r="80" spans="1:3" ht="15.75" customHeight="1">
      <c r="A80" s="14">
        <v>2084245564</v>
      </c>
      <c r="B80" s="14" t="s">
        <v>5023</v>
      </c>
      <c r="C80" s="14" t="s">
        <v>5026</v>
      </c>
    </row>
    <row r="81" spans="1:3" ht="15.75" customHeight="1">
      <c r="A81" s="14">
        <v>2084245561</v>
      </c>
      <c r="B81" s="14" t="s">
        <v>5029</v>
      </c>
      <c r="C81" s="14" t="s">
        <v>5030</v>
      </c>
    </row>
    <row r="82" spans="1:3" ht="15.75" customHeight="1">
      <c r="A82" s="14">
        <v>2084245562</v>
      </c>
      <c r="B82" s="14" t="s">
        <v>5033</v>
      </c>
      <c r="C82" s="14" t="s">
        <v>5034</v>
      </c>
    </row>
    <row r="83" spans="1:3" ht="15.75" customHeight="1">
      <c r="A83" s="14">
        <v>2084050457</v>
      </c>
      <c r="B83" s="14" t="s">
        <v>5037</v>
      </c>
      <c r="C83" s="14" t="s">
        <v>5038</v>
      </c>
    </row>
    <row r="84" spans="1:3" ht="15.75" customHeight="1">
      <c r="A84" s="14">
        <v>2084047784</v>
      </c>
      <c r="B84" s="14" t="s">
        <v>46</v>
      </c>
      <c r="C84" s="14" t="s">
        <v>5040</v>
      </c>
    </row>
    <row r="85" spans="1:3" ht="15.75" customHeight="1">
      <c r="A85" s="14">
        <v>2084006972</v>
      </c>
      <c r="B85" s="14" t="s">
        <v>4127</v>
      </c>
      <c r="C85" s="14" t="s">
        <v>4128</v>
      </c>
    </row>
    <row r="86" spans="1:3" ht="15.75" customHeight="1">
      <c r="A86" s="14">
        <v>2084006974</v>
      </c>
      <c r="B86" s="14" t="s">
        <v>908</v>
      </c>
      <c r="C86" s="14" t="s">
        <v>4130</v>
      </c>
    </row>
    <row r="87" spans="1:3" ht="15.75" customHeight="1">
      <c r="A87" s="14">
        <v>2084006978</v>
      </c>
      <c r="B87" s="14" t="s">
        <v>2061</v>
      </c>
      <c r="C87" s="14" t="s">
        <v>4133</v>
      </c>
    </row>
    <row r="88" spans="1:3" ht="15.75" customHeight="1">
      <c r="A88" s="14">
        <v>2084006977</v>
      </c>
      <c r="B88" s="14" t="s">
        <v>3142</v>
      </c>
      <c r="C88" s="14" t="s">
        <v>4137</v>
      </c>
    </row>
    <row r="89" spans="1:3" ht="15.75" customHeight="1">
      <c r="A89" s="14">
        <v>2084006976</v>
      </c>
      <c r="B89" s="14" t="s">
        <v>3166</v>
      </c>
      <c r="C89" s="14" t="s">
        <v>4142</v>
      </c>
    </row>
    <row r="90" spans="1:3" ht="15.75" customHeight="1">
      <c r="A90" s="14">
        <v>2084006975</v>
      </c>
      <c r="B90" s="14" t="s">
        <v>3174</v>
      </c>
      <c r="C90" s="14" t="s">
        <v>4146</v>
      </c>
    </row>
    <row r="91" spans="1:3" ht="15.75" customHeight="1">
      <c r="A91" s="14">
        <v>2084047451</v>
      </c>
      <c r="B91" s="14" t="s">
        <v>4150</v>
      </c>
      <c r="C91" s="14" t="s">
        <v>4151</v>
      </c>
    </row>
    <row r="92" spans="1:3" ht="15.75" customHeight="1">
      <c r="A92" s="14">
        <v>2084009076</v>
      </c>
      <c r="B92" s="14" t="s">
        <v>5053</v>
      </c>
      <c r="C92" s="14" t="s">
        <v>5055</v>
      </c>
    </row>
    <row r="93" spans="1:3" ht="15.75" customHeight="1">
      <c r="A93" s="14">
        <v>2084009068</v>
      </c>
      <c r="B93" s="14" t="s">
        <v>5056</v>
      </c>
      <c r="C93" s="14" t="s">
        <v>5058</v>
      </c>
    </row>
    <row r="94" spans="1:3" ht="15.75" customHeight="1">
      <c r="A94" s="14">
        <v>2084009069</v>
      </c>
      <c r="B94" s="14" t="s">
        <v>5060</v>
      </c>
      <c r="C94" s="14" t="s">
        <v>5061</v>
      </c>
    </row>
    <row r="95" spans="1:3" ht="15.75" customHeight="1">
      <c r="A95" s="14">
        <v>2084009070</v>
      </c>
      <c r="B95" s="14" t="s">
        <v>5064</v>
      </c>
      <c r="C95" s="14" t="s">
        <v>5065</v>
      </c>
    </row>
    <row r="96" spans="1:3" ht="15.75" customHeight="1">
      <c r="A96" s="14">
        <v>2084009071</v>
      </c>
      <c r="B96" s="14" t="s">
        <v>5066</v>
      </c>
      <c r="C96" s="14" t="s">
        <v>5068</v>
      </c>
    </row>
    <row r="97" spans="1:3" ht="15.75" customHeight="1">
      <c r="A97" s="14">
        <v>2084047654</v>
      </c>
      <c r="B97" s="14" t="s">
        <v>5069</v>
      </c>
      <c r="C97" s="14" t="s">
        <v>5071</v>
      </c>
    </row>
    <row r="98" spans="1:3" ht="15.75" customHeight="1">
      <c r="A98" s="14">
        <v>2084009072</v>
      </c>
      <c r="B98" s="14" t="s">
        <v>5072</v>
      </c>
      <c r="C98" s="14" t="s">
        <v>5073</v>
      </c>
    </row>
    <row r="99" spans="1:3" ht="15.75" customHeight="1">
      <c r="A99" s="14">
        <v>2084009075</v>
      </c>
      <c r="B99" s="14" t="s">
        <v>4458</v>
      </c>
      <c r="C99" s="14" t="s">
        <v>5076</v>
      </c>
    </row>
    <row r="100" spans="1:3" ht="15.75" customHeight="1">
      <c r="A100" s="14">
        <v>2084009073</v>
      </c>
      <c r="B100" s="14" t="s">
        <v>5079</v>
      </c>
      <c r="C100" s="14" t="s">
        <v>5080</v>
      </c>
    </row>
    <row r="101" spans="1:3" ht="15.75" customHeight="1">
      <c r="A101" s="14">
        <v>2084047652</v>
      </c>
      <c r="B101" s="14" t="s">
        <v>5082</v>
      </c>
      <c r="C101" s="14" t="s">
        <v>5084</v>
      </c>
    </row>
    <row r="102" spans="1:3" ht="15.75" customHeight="1">
      <c r="A102" s="14">
        <v>2084009074</v>
      </c>
      <c r="B102" s="14" t="s">
        <v>5087</v>
      </c>
      <c r="C102" s="14" t="s">
        <v>5088</v>
      </c>
    </row>
    <row r="103" spans="1:3" ht="15.75" customHeight="1">
      <c r="A103" s="14">
        <v>2084047651</v>
      </c>
      <c r="B103" s="14" t="s">
        <v>46</v>
      </c>
      <c r="C103" s="14" t="s">
        <v>5090</v>
      </c>
    </row>
    <row r="104" spans="1:3" ht="15.75" customHeight="1">
      <c r="A104" s="14">
        <v>2084047655</v>
      </c>
      <c r="B104" s="14" t="s">
        <v>4463</v>
      </c>
      <c r="C104" s="14" t="s">
        <v>5091</v>
      </c>
    </row>
    <row r="105" spans="1:3" ht="15.75" customHeight="1">
      <c r="A105" s="14">
        <v>2084008025</v>
      </c>
      <c r="B105" s="14" t="s">
        <v>3728</v>
      </c>
      <c r="C105" s="14" t="s">
        <v>5093</v>
      </c>
    </row>
    <row r="106" spans="1:3" ht="15.75" customHeight="1">
      <c r="A106" s="14">
        <v>2084306919</v>
      </c>
      <c r="B106" s="14" t="s">
        <v>6362</v>
      </c>
      <c r="C106" s="14" t="s">
        <v>6363</v>
      </c>
    </row>
    <row r="107" spans="1:3" ht="15.75" customHeight="1">
      <c r="A107" s="14">
        <v>2084306920</v>
      </c>
      <c r="B107" s="14" t="s">
        <v>6365</v>
      </c>
      <c r="C107" s="14" t="s">
        <v>6367</v>
      </c>
    </row>
    <row r="108" spans="1:3" ht="15.75" customHeight="1">
      <c r="A108" s="14">
        <v>2084306921</v>
      </c>
      <c r="B108" s="14" t="s">
        <v>6368</v>
      </c>
      <c r="C108" s="14" t="s">
        <v>6369</v>
      </c>
    </row>
    <row r="109" spans="1:3" ht="15.75" customHeight="1">
      <c r="A109" s="14">
        <v>2084306922</v>
      </c>
      <c r="B109" s="14" t="s">
        <v>6371</v>
      </c>
      <c r="C109" s="14" t="s">
        <v>6372</v>
      </c>
    </row>
    <row r="110" spans="1:3" ht="15.75" customHeight="1">
      <c r="A110" s="14">
        <v>2084306923</v>
      </c>
      <c r="B110" s="14" t="s">
        <v>6374</v>
      </c>
      <c r="C110" s="14" t="s">
        <v>6375</v>
      </c>
    </row>
    <row r="111" spans="1:3" ht="15.75" customHeight="1">
      <c r="A111" s="14">
        <v>2084306924</v>
      </c>
      <c r="B111" s="14" t="s">
        <v>6376</v>
      </c>
      <c r="C111" s="14" t="s">
        <v>6378</v>
      </c>
    </row>
    <row r="112" spans="1:3" ht="15.75" customHeight="1">
      <c r="A112" s="14">
        <v>2084306925</v>
      </c>
      <c r="B112" s="14" t="s">
        <v>6380</v>
      </c>
      <c r="C112" s="14" t="s">
        <v>6381</v>
      </c>
    </row>
    <row r="113" spans="1:3" ht="15.75" customHeight="1">
      <c r="A113" s="14">
        <v>2084309047</v>
      </c>
      <c r="B113" s="14" t="s">
        <v>6382</v>
      </c>
      <c r="C113" s="14" t="s">
        <v>6383</v>
      </c>
    </row>
    <row r="114" spans="1:3" ht="15.75" customHeight="1">
      <c r="A114" s="14">
        <v>2084306926</v>
      </c>
      <c r="B114" s="14" t="s">
        <v>46</v>
      </c>
      <c r="C114" s="14" t="s">
        <v>6385</v>
      </c>
    </row>
    <row r="115" spans="1:3" ht="15.75" customHeight="1">
      <c r="A115" s="14">
        <v>2084019330</v>
      </c>
      <c r="B115" s="14" t="s">
        <v>6386</v>
      </c>
      <c r="C115" s="14" t="s">
        <v>6387</v>
      </c>
    </row>
    <row r="116" spans="1:3" ht="15.75" customHeight="1">
      <c r="A116" s="14">
        <v>2084019331</v>
      </c>
      <c r="B116" s="14" t="s">
        <v>6388</v>
      </c>
      <c r="C116" s="14" t="s">
        <v>6390</v>
      </c>
    </row>
    <row r="117" spans="1:3" ht="15.75" customHeight="1">
      <c r="A117" s="14">
        <v>2084258755</v>
      </c>
      <c r="B117" s="14" t="s">
        <v>6392</v>
      </c>
      <c r="C117" s="14" t="s">
        <v>6393</v>
      </c>
    </row>
    <row r="118" spans="1:3" ht="15.75" customHeight="1">
      <c r="A118" s="14">
        <v>2084258753</v>
      </c>
      <c r="B118" s="14" t="s">
        <v>6394</v>
      </c>
      <c r="C118" s="14" t="s">
        <v>6395</v>
      </c>
    </row>
    <row r="119" spans="1:3" ht="15.75" customHeight="1">
      <c r="A119" s="14">
        <v>2084258754</v>
      </c>
      <c r="B119" s="14" t="s">
        <v>6397</v>
      </c>
      <c r="C119" s="14" t="s">
        <v>6399</v>
      </c>
    </row>
    <row r="120" spans="1:3" ht="15.75" customHeight="1">
      <c r="A120" s="14">
        <v>2084309048</v>
      </c>
      <c r="B120" s="14" t="s">
        <v>46</v>
      </c>
      <c r="C120" s="14" t="s">
        <v>6400</v>
      </c>
    </row>
    <row r="121" spans="1:3" ht="15.75" customHeight="1">
      <c r="A121" s="14">
        <v>2084259470</v>
      </c>
      <c r="B121" s="14" t="s">
        <v>6401</v>
      </c>
      <c r="C121" s="14" t="s">
        <v>6402</v>
      </c>
    </row>
    <row r="122" spans="1:3" ht="15.75" customHeight="1">
      <c r="A122" s="14">
        <v>2084259471</v>
      </c>
      <c r="B122" s="14" t="s">
        <v>6404</v>
      </c>
      <c r="C122" s="14" t="s">
        <v>6405</v>
      </c>
    </row>
    <row r="123" spans="1:3" ht="15.75" customHeight="1">
      <c r="A123" s="14">
        <v>2084259472</v>
      </c>
      <c r="B123" s="14" t="s">
        <v>6406</v>
      </c>
      <c r="C123" s="14" t="s">
        <v>6407</v>
      </c>
    </row>
    <row r="124" spans="1:3" ht="15.75" customHeight="1">
      <c r="A124" s="14">
        <v>2084259473</v>
      </c>
      <c r="B124" s="14" t="s">
        <v>6409</v>
      </c>
      <c r="C124" s="14" t="s">
        <v>6411</v>
      </c>
    </row>
    <row r="125" spans="1:3" ht="15.75" customHeight="1">
      <c r="A125" s="14">
        <v>2084259474</v>
      </c>
      <c r="B125" s="14" t="s">
        <v>6412</v>
      </c>
      <c r="C125" s="14" t="s">
        <v>6413</v>
      </c>
    </row>
    <row r="126" spans="1:3" ht="15.75" customHeight="1">
      <c r="A126" s="14">
        <v>2084259475</v>
      </c>
      <c r="B126" s="14" t="s">
        <v>46</v>
      </c>
      <c r="C126" s="14" t="s">
        <v>6415</v>
      </c>
    </row>
    <row r="127" spans="1:3" ht="15.75" customHeight="1">
      <c r="A127" s="14">
        <v>2084306927</v>
      </c>
      <c r="B127" s="14" t="s">
        <v>6417</v>
      </c>
      <c r="C127" s="14" t="s">
        <v>6418</v>
      </c>
    </row>
    <row r="128" spans="1:3" ht="15.75" customHeight="1">
      <c r="A128" s="14">
        <v>2084306928</v>
      </c>
      <c r="B128" s="14" t="s">
        <v>6419</v>
      </c>
      <c r="C128" s="14" t="s">
        <v>6420</v>
      </c>
    </row>
    <row r="129" spans="1:3" ht="15.75" customHeight="1">
      <c r="A129" s="14">
        <v>2084306929</v>
      </c>
      <c r="B129" s="14" t="s">
        <v>6421</v>
      </c>
      <c r="C129" s="14" t="s">
        <v>6423</v>
      </c>
    </row>
    <row r="130" spans="1:3" ht="15.75" customHeight="1">
      <c r="A130" s="14">
        <v>2084306930</v>
      </c>
      <c r="B130" s="14" t="s">
        <v>46</v>
      </c>
      <c r="C130" s="14" t="s">
        <v>6424</v>
      </c>
    </row>
    <row r="131" spans="1:3" ht="15.75" customHeight="1">
      <c r="A131" s="14">
        <v>2084050459</v>
      </c>
      <c r="B131" s="14" t="s">
        <v>6427</v>
      </c>
      <c r="C131" s="14" t="s">
        <v>6428</v>
      </c>
    </row>
    <row r="132" spans="1:3" ht="15.75" customHeight="1">
      <c r="A132" s="14">
        <v>2084050460</v>
      </c>
      <c r="B132" s="14" t="s">
        <v>6429</v>
      </c>
      <c r="C132" s="14" t="s">
        <v>6431</v>
      </c>
    </row>
    <row r="133" spans="1:3" ht="15.75" customHeight="1">
      <c r="A133" s="14">
        <v>2084050458</v>
      </c>
      <c r="B133" s="14" t="s">
        <v>6433</v>
      </c>
      <c r="C133" s="14" t="s">
        <v>6434</v>
      </c>
    </row>
    <row r="134" spans="1:3" ht="15.75" customHeight="1">
      <c r="A134" s="14">
        <v>2084049870</v>
      </c>
      <c r="B134" s="14" t="s">
        <v>6436</v>
      </c>
      <c r="C134" s="14" t="s">
        <v>6437</v>
      </c>
    </row>
    <row r="135" spans="1:3" ht="15.75" customHeight="1">
      <c r="A135" s="14">
        <v>2084049871</v>
      </c>
      <c r="B135" s="14" t="s">
        <v>6438</v>
      </c>
      <c r="C135" s="14" t="s">
        <v>6440</v>
      </c>
    </row>
    <row r="136" spans="1:3" ht="15.75" customHeight="1">
      <c r="A136" s="14">
        <v>2084049872</v>
      </c>
      <c r="B136" s="14" t="s">
        <v>46</v>
      </c>
      <c r="C136" s="14" t="s">
        <v>6442</v>
      </c>
    </row>
    <row r="137" spans="1:3" ht="15.75" customHeight="1">
      <c r="A137" s="14">
        <v>2084239881</v>
      </c>
      <c r="B137" s="14" t="s">
        <v>6445</v>
      </c>
      <c r="C137" s="14" t="s">
        <v>6446</v>
      </c>
    </row>
    <row r="138" spans="1:3" ht="15.75" customHeight="1">
      <c r="A138" s="14">
        <v>2084239882</v>
      </c>
      <c r="B138" s="14" t="s">
        <v>6447</v>
      </c>
      <c r="C138" s="14" t="s">
        <v>6449</v>
      </c>
    </row>
    <row r="139" spans="1:3" ht="15.75" customHeight="1">
      <c r="A139" s="14">
        <v>2084305396</v>
      </c>
      <c r="B139" s="14" t="s">
        <v>6450</v>
      </c>
      <c r="C139" s="14" t="s">
        <v>6451</v>
      </c>
    </row>
    <row r="140" spans="1:3" ht="15.75" customHeight="1">
      <c r="A140" s="14">
        <v>2084309050</v>
      </c>
      <c r="B140" s="14" t="s">
        <v>6453</v>
      </c>
      <c r="C140" s="14" t="s">
        <v>6454</v>
      </c>
    </row>
    <row r="141" spans="1:3" ht="15.75" customHeight="1">
      <c r="A141" s="14">
        <v>2084259107</v>
      </c>
      <c r="B141" s="14" t="s">
        <v>6455</v>
      </c>
      <c r="C141" s="14" t="s">
        <v>6456</v>
      </c>
    </row>
    <row r="142" spans="1:3" ht="15.75" customHeight="1">
      <c r="A142" s="14">
        <v>2084309049</v>
      </c>
      <c r="B142" s="14" t="s">
        <v>6458</v>
      </c>
      <c r="C142" s="14" t="s">
        <v>6459</v>
      </c>
    </row>
    <row r="143" spans="1:3" ht="15.75" customHeight="1">
      <c r="A143" s="14">
        <v>2084259108</v>
      </c>
      <c r="B143" s="14" t="s">
        <v>46</v>
      </c>
      <c r="C143" s="14" t="s">
        <v>6462</v>
      </c>
    </row>
    <row r="144" spans="1:3" ht="15.75" customHeight="1">
      <c r="A144" s="14">
        <v>2084309051</v>
      </c>
      <c r="B144" s="14" t="s">
        <v>6465</v>
      </c>
      <c r="C144" s="14" t="s">
        <v>6466</v>
      </c>
    </row>
    <row r="145" spans="1:3" ht="15.75" customHeight="1">
      <c r="A145" s="14">
        <v>2084306931</v>
      </c>
      <c r="B145" s="14" t="s">
        <v>6467</v>
      </c>
      <c r="C145" s="14" t="s">
        <v>6469</v>
      </c>
    </row>
    <row r="146" spans="1:3" ht="15.75" customHeight="1">
      <c r="A146" s="14">
        <v>2084306933</v>
      </c>
      <c r="B146" s="14" t="s">
        <v>6471</v>
      </c>
      <c r="C146" s="14" t="s">
        <v>6472</v>
      </c>
    </row>
    <row r="147" spans="1:3" ht="15.75" customHeight="1">
      <c r="A147" s="14">
        <v>2084306934</v>
      </c>
      <c r="B147" s="14" t="s">
        <v>6473</v>
      </c>
      <c r="C147" s="14" t="s">
        <v>6475</v>
      </c>
    </row>
    <row r="148" spans="1:3" ht="15.75" customHeight="1">
      <c r="A148" s="14">
        <v>2084306932</v>
      </c>
      <c r="B148" s="14" t="s">
        <v>6476</v>
      </c>
      <c r="C148" s="14" t="s">
        <v>6477</v>
      </c>
    </row>
    <row r="149" spans="1:3" ht="15.75" customHeight="1">
      <c r="A149" s="14">
        <v>2084306935</v>
      </c>
      <c r="B149" s="14" t="s">
        <v>46</v>
      </c>
      <c r="C149" s="14" t="s">
        <v>6480</v>
      </c>
    </row>
    <row r="150" spans="1:3" ht="15.75" customHeight="1">
      <c r="A150" s="14">
        <v>2084259103</v>
      </c>
      <c r="B150" s="14" t="s">
        <v>6481</v>
      </c>
      <c r="C150" s="14" t="s">
        <v>6483</v>
      </c>
    </row>
    <row r="151" spans="1:3" ht="15.75" customHeight="1">
      <c r="A151" s="14">
        <v>2084309052</v>
      </c>
      <c r="B151" s="14" t="s">
        <v>6485</v>
      </c>
      <c r="C151" s="14" t="s">
        <v>6486</v>
      </c>
    </row>
    <row r="152" spans="1:3" ht="15.75" customHeight="1">
      <c r="A152" s="14">
        <v>2084259104</v>
      </c>
      <c r="B152" s="14" t="s">
        <v>46</v>
      </c>
      <c r="C152" s="14" t="s">
        <v>6489</v>
      </c>
    </row>
    <row r="153" spans="1:3" ht="15.75" customHeight="1">
      <c r="A153" s="14">
        <v>2084306939</v>
      </c>
      <c r="B153" s="14" t="s">
        <v>6490</v>
      </c>
      <c r="C153" s="14" t="s">
        <v>6491</v>
      </c>
    </row>
    <row r="154" spans="1:3" ht="15.75" customHeight="1">
      <c r="A154" s="14">
        <v>2084306947</v>
      </c>
      <c r="B154" s="14" t="s">
        <v>6494</v>
      </c>
      <c r="C154" s="14" t="s">
        <v>6495</v>
      </c>
    </row>
    <row r="155" spans="1:3" ht="15.75" customHeight="1">
      <c r="A155" s="14">
        <v>2084306946</v>
      </c>
      <c r="B155" s="14" t="s">
        <v>6497</v>
      </c>
      <c r="C155" s="14" t="s">
        <v>6499</v>
      </c>
    </row>
    <row r="156" spans="1:3" ht="15.75" customHeight="1">
      <c r="A156" s="14">
        <v>2084306945</v>
      </c>
      <c r="B156" s="14" t="s">
        <v>6500</v>
      </c>
      <c r="C156" s="14" t="s">
        <v>6501</v>
      </c>
    </row>
    <row r="157" spans="1:3" ht="15.75" customHeight="1">
      <c r="A157" s="14">
        <v>2084306938</v>
      </c>
      <c r="B157" s="14" t="s">
        <v>6503</v>
      </c>
      <c r="C157" s="14" t="s">
        <v>6505</v>
      </c>
    </row>
    <row r="158" spans="1:3" ht="15.75" customHeight="1">
      <c r="A158" s="14">
        <v>2084306941</v>
      </c>
      <c r="B158" s="14" t="s">
        <v>6506</v>
      </c>
      <c r="C158" s="14" t="s">
        <v>6508</v>
      </c>
    </row>
    <row r="159" spans="1:3" ht="15.75" customHeight="1">
      <c r="A159" s="14">
        <v>2084306942</v>
      </c>
      <c r="B159" s="14" t="s">
        <v>6510</v>
      </c>
      <c r="C159" s="14" t="s">
        <v>6511</v>
      </c>
    </row>
    <row r="160" spans="1:3" ht="15.75" customHeight="1">
      <c r="A160" s="14">
        <v>2084306943</v>
      </c>
      <c r="B160" s="14" t="s">
        <v>6514</v>
      </c>
      <c r="C160" s="14" t="s">
        <v>6515</v>
      </c>
    </row>
    <row r="161" spans="1:3" ht="15.75" customHeight="1">
      <c r="A161" s="14">
        <v>2084306940</v>
      </c>
      <c r="B161" s="14" t="s">
        <v>6516</v>
      </c>
      <c r="C161" s="14" t="s">
        <v>6517</v>
      </c>
    </row>
    <row r="162" spans="1:3" ht="15.75" customHeight="1">
      <c r="A162" s="14">
        <v>2084306944</v>
      </c>
      <c r="B162" s="14" t="s">
        <v>6519</v>
      </c>
      <c r="C162" s="14" t="s">
        <v>6520</v>
      </c>
    </row>
    <row r="163" spans="1:3" ht="15.75" customHeight="1">
      <c r="A163" s="14">
        <v>2084306936</v>
      </c>
      <c r="B163" s="14" t="s">
        <v>6523</v>
      </c>
      <c r="C163" s="14" t="s">
        <v>6524</v>
      </c>
    </row>
    <row r="164" spans="1:3" ht="15.75" customHeight="1">
      <c r="A164" s="14">
        <v>2084306937</v>
      </c>
      <c r="B164" s="14" t="s">
        <v>6526</v>
      </c>
      <c r="C164" s="14" t="s">
        <v>6528</v>
      </c>
    </row>
    <row r="165" spans="1:3" ht="15.75" customHeight="1">
      <c r="A165" s="14">
        <v>2084308286</v>
      </c>
      <c r="B165" s="14" t="s">
        <v>46</v>
      </c>
      <c r="C165" s="14" t="s">
        <v>6529</v>
      </c>
    </row>
    <row r="166" spans="1:3" ht="15.75" customHeight="1">
      <c r="A166" s="14">
        <v>2084239883</v>
      </c>
      <c r="B166" s="14" t="s">
        <v>6530</v>
      </c>
      <c r="C166" s="14" t="s">
        <v>6531</v>
      </c>
    </row>
    <row r="167" spans="1:3" ht="15.75" customHeight="1">
      <c r="A167" s="14">
        <v>2084239884</v>
      </c>
      <c r="B167" s="14" t="s">
        <v>6533</v>
      </c>
      <c r="C167" s="14" t="s">
        <v>6534</v>
      </c>
    </row>
    <row r="168" spans="1:3" ht="15.75" customHeight="1">
      <c r="A168" s="14">
        <v>2084239885</v>
      </c>
      <c r="B168" s="14" t="s">
        <v>6536</v>
      </c>
      <c r="C168" s="14" t="s">
        <v>6538</v>
      </c>
    </row>
    <row r="169" spans="1:3" ht="15.75" customHeight="1">
      <c r="A169" s="14">
        <v>2084244718</v>
      </c>
      <c r="B169" s="14" t="s">
        <v>6539</v>
      </c>
      <c r="C169" s="14" t="s">
        <v>6541</v>
      </c>
    </row>
    <row r="170" spans="1:3" ht="15.75" customHeight="1">
      <c r="A170" s="14">
        <v>2084244719</v>
      </c>
      <c r="B170" s="14" t="s">
        <v>6543</v>
      </c>
      <c r="C170" s="14" t="s">
        <v>6545</v>
      </c>
    </row>
    <row r="171" spans="1:3" ht="15.75" customHeight="1">
      <c r="A171" s="14">
        <v>2084305397</v>
      </c>
      <c r="B171" s="14" t="s">
        <v>6547</v>
      </c>
      <c r="C171" s="14" t="s">
        <v>6548</v>
      </c>
    </row>
    <row r="172" spans="1:3" ht="15.75" customHeight="1">
      <c r="A172" s="14">
        <v>2084305398</v>
      </c>
      <c r="B172" s="14" t="s">
        <v>6550</v>
      </c>
      <c r="C172" s="14" t="s">
        <v>6552</v>
      </c>
    </row>
    <row r="173" spans="1:3" ht="15.75" customHeight="1">
      <c r="A173" s="14">
        <v>2084309053</v>
      </c>
      <c r="B173" s="14" t="s">
        <v>6553</v>
      </c>
      <c r="C173" s="14" t="s">
        <v>6554</v>
      </c>
    </row>
    <row r="174" spans="1:3" ht="15.75" customHeight="1">
      <c r="A174" s="14">
        <v>2084239886</v>
      </c>
      <c r="B174" s="14" t="s">
        <v>46</v>
      </c>
      <c r="C174" s="14" t="s">
        <v>6557</v>
      </c>
    </row>
    <row r="175" spans="1:3" ht="15.75" customHeight="1">
      <c r="A175" s="14">
        <v>2084309054</v>
      </c>
      <c r="B175" s="14" t="s">
        <v>6465</v>
      </c>
      <c r="C175" s="14" t="s">
        <v>6559</v>
      </c>
    </row>
    <row r="176" spans="1:3" ht="15.75" customHeight="1">
      <c r="A176" s="14">
        <v>2084259476</v>
      </c>
      <c r="B176" s="14" t="s">
        <v>6560</v>
      </c>
      <c r="C176" s="14" t="s">
        <v>6562</v>
      </c>
    </row>
    <row r="177" spans="1:3" ht="15.75" customHeight="1">
      <c r="A177" s="14">
        <v>2084305399</v>
      </c>
      <c r="B177" s="14" t="s">
        <v>6564</v>
      </c>
      <c r="C177" s="14" t="s">
        <v>6565</v>
      </c>
    </row>
    <row r="178" spans="1:3" ht="15.75" customHeight="1">
      <c r="A178" s="14">
        <v>2084259477</v>
      </c>
      <c r="B178" s="14" t="s">
        <v>6567</v>
      </c>
      <c r="C178" s="14" t="s">
        <v>6569</v>
      </c>
    </row>
    <row r="179" spans="1:3" ht="15.75" customHeight="1">
      <c r="A179" s="14">
        <v>2084259478</v>
      </c>
      <c r="B179" s="14" t="s">
        <v>6570</v>
      </c>
      <c r="C179" s="14" t="s">
        <v>6571</v>
      </c>
    </row>
    <row r="180" spans="1:3" ht="15.75" customHeight="1">
      <c r="A180" s="14">
        <v>2084259479</v>
      </c>
      <c r="B180" s="14" t="s">
        <v>46</v>
      </c>
      <c r="C180" s="14" t="s">
        <v>6574</v>
      </c>
    </row>
    <row r="181" spans="1:3" ht="15.75" customHeight="1">
      <c r="A181" s="14">
        <v>2084242928</v>
      </c>
      <c r="B181" s="14" t="s">
        <v>6575</v>
      </c>
      <c r="C181" s="14" t="s">
        <v>6576</v>
      </c>
    </row>
    <row r="182" spans="1:3" ht="15.75" customHeight="1">
      <c r="A182" s="14">
        <v>2084242929</v>
      </c>
      <c r="B182" s="14" t="s">
        <v>6578</v>
      </c>
      <c r="C182" s="14" t="s">
        <v>6580</v>
      </c>
    </row>
    <row r="183" spans="1:3" ht="15.75" customHeight="1">
      <c r="A183" s="14">
        <v>2084242930</v>
      </c>
      <c r="B183" s="14" t="s">
        <v>6581</v>
      </c>
      <c r="C183" s="14" t="s">
        <v>6582</v>
      </c>
    </row>
    <row r="184" spans="1:3" ht="15.75" customHeight="1">
      <c r="A184" s="14">
        <v>2084242931</v>
      </c>
      <c r="B184" s="14" t="s">
        <v>6585</v>
      </c>
      <c r="C184" s="14" t="s">
        <v>6586</v>
      </c>
    </row>
    <row r="185" spans="1:3" ht="15.75" customHeight="1">
      <c r="A185" s="14">
        <v>2084242932</v>
      </c>
      <c r="B185" s="14" t="s">
        <v>46</v>
      </c>
      <c r="C185" s="14" t="s">
        <v>6588</v>
      </c>
    </row>
    <row r="186" spans="1:3" ht="15.75" customHeight="1">
      <c r="A186" s="14">
        <v>2084309067</v>
      </c>
      <c r="B186" s="14" t="s">
        <v>6465</v>
      </c>
      <c r="C186" s="14" t="s">
        <v>6590</v>
      </c>
    </row>
    <row r="187" spans="1:3" ht="15.75" customHeight="1">
      <c r="A187" s="14">
        <v>2084309057</v>
      </c>
      <c r="B187" s="14" t="s">
        <v>6592</v>
      </c>
      <c r="C187" s="14" t="s">
        <v>6594</v>
      </c>
    </row>
    <row r="188" spans="1:3" ht="15.75" customHeight="1">
      <c r="A188" s="14">
        <v>26819</v>
      </c>
      <c r="B188" s="14" t="s">
        <v>6595</v>
      </c>
      <c r="C188" s="14" t="s">
        <v>6597</v>
      </c>
    </row>
    <row r="189" spans="1:3" ht="15.75" customHeight="1">
      <c r="A189" s="14">
        <v>2084018775</v>
      </c>
      <c r="B189" s="14" t="s">
        <v>6388</v>
      </c>
      <c r="C189" s="14" t="s">
        <v>6599</v>
      </c>
    </row>
    <row r="190" spans="1:3" ht="15.75" customHeight="1">
      <c r="A190" s="14">
        <v>2084309069</v>
      </c>
      <c r="B190" s="14" t="s">
        <v>6465</v>
      </c>
      <c r="C190" s="14" t="s">
        <v>6601</v>
      </c>
    </row>
    <row r="191" spans="1:3" ht="15.75" customHeight="1">
      <c r="A191" s="14">
        <v>2084309380</v>
      </c>
      <c r="B191" s="14" t="s">
        <v>6603</v>
      </c>
      <c r="C191" s="14" t="s">
        <v>6604</v>
      </c>
    </row>
    <row r="192" spans="1:3" ht="15.75" customHeight="1">
      <c r="A192" s="14">
        <v>2084309381</v>
      </c>
      <c r="B192" s="14" t="s">
        <v>6607</v>
      </c>
      <c r="C192" s="14" t="s">
        <v>6608</v>
      </c>
    </row>
    <row r="193" spans="1:3" ht="15.75" customHeight="1">
      <c r="A193" s="14">
        <v>2084309433</v>
      </c>
      <c r="B193" s="14" t="s">
        <v>6609</v>
      </c>
      <c r="C193" s="14" t="s">
        <v>6610</v>
      </c>
    </row>
    <row r="194" spans="1:3" ht="15.75" customHeight="1">
      <c r="A194" s="14">
        <v>2084309382</v>
      </c>
      <c r="B194" s="14" t="s">
        <v>6612</v>
      </c>
      <c r="C194" s="14" t="s">
        <v>6614</v>
      </c>
    </row>
    <row r="195" spans="1:3" ht="15.75" customHeight="1">
      <c r="A195" s="14">
        <v>2084309383</v>
      </c>
      <c r="B195" s="14" t="s">
        <v>6615</v>
      </c>
      <c r="C195" s="14" t="s">
        <v>6616</v>
      </c>
    </row>
    <row r="196" spans="1:3" ht="15.75" customHeight="1">
      <c r="A196" s="14">
        <v>2084309068</v>
      </c>
      <c r="B196" s="14" t="s">
        <v>6619</v>
      </c>
      <c r="C196" s="14" t="s">
        <v>6620</v>
      </c>
    </row>
    <row r="197" spans="1:3" ht="15.75" customHeight="1">
      <c r="A197" s="14">
        <v>2084252616</v>
      </c>
      <c r="B197" s="14" t="s">
        <v>6622</v>
      </c>
      <c r="C197" s="14" t="s">
        <v>6624</v>
      </c>
    </row>
    <row r="198" spans="1:3" ht="15.75" customHeight="1">
      <c r="A198" s="14">
        <v>2084019467</v>
      </c>
      <c r="B198" s="14" t="s">
        <v>6625</v>
      </c>
      <c r="C198" s="14" t="s">
        <v>6626</v>
      </c>
    </row>
    <row r="199" spans="1:3" ht="15.75" customHeight="1">
      <c r="A199" s="14">
        <v>2084032557</v>
      </c>
      <c r="B199" s="14" t="s">
        <v>46</v>
      </c>
      <c r="C199" s="14" t="s">
        <v>6629</v>
      </c>
    </row>
    <row r="200" spans="1:3" ht="15.75" customHeight="1">
      <c r="A200" s="14">
        <v>25826</v>
      </c>
      <c r="B200" s="14" t="s">
        <v>6630</v>
      </c>
      <c r="C200" s="14" t="s">
        <v>6632</v>
      </c>
    </row>
    <row r="201" spans="1:3" ht="15.75" customHeight="1">
      <c r="A201" s="14">
        <v>21020</v>
      </c>
      <c r="B201" s="14" t="s">
        <v>4455</v>
      </c>
      <c r="C201" s="14" t="s">
        <v>6634</v>
      </c>
    </row>
    <row r="202" spans="1:3" ht="15.75" customHeight="1">
      <c r="A202" s="14">
        <v>2084006003</v>
      </c>
      <c r="B202" s="14" t="s">
        <v>4458</v>
      </c>
      <c r="C202" s="14" t="s">
        <v>6637</v>
      </c>
    </row>
    <row r="203" spans="1:3" ht="15.75" customHeight="1">
      <c r="A203" s="14">
        <v>2084006042</v>
      </c>
      <c r="B203" s="14" t="s">
        <v>6638</v>
      </c>
      <c r="C203" s="14" t="s">
        <v>6639</v>
      </c>
    </row>
    <row r="204" spans="1:3" ht="15.75" customHeight="1">
      <c r="A204" s="14">
        <v>2084006008</v>
      </c>
      <c r="B204" s="14" t="s">
        <v>4463</v>
      </c>
      <c r="C204" s="14" t="s">
        <v>6642</v>
      </c>
    </row>
    <row r="205" spans="1:3" ht="15.75" customHeight="1">
      <c r="A205" s="14">
        <v>2084006088</v>
      </c>
      <c r="B205" s="14" t="s">
        <v>4471</v>
      </c>
      <c r="C205" s="14" t="s">
        <v>6645</v>
      </c>
    </row>
    <row r="206" spans="1:3" ht="15.75" customHeight="1">
      <c r="A206" s="14">
        <v>2084007536</v>
      </c>
      <c r="B206" s="14" t="s">
        <v>5420</v>
      </c>
      <c r="C206" s="14" t="s">
        <v>6646</v>
      </c>
    </row>
    <row r="207" spans="1:3" ht="15.75" customHeight="1">
      <c r="A207" s="14">
        <v>2084006025</v>
      </c>
      <c r="B207" s="14" t="s">
        <v>3902</v>
      </c>
      <c r="C207" s="14" t="s">
        <v>6649</v>
      </c>
    </row>
    <row r="208" spans="1:3" ht="15.75" customHeight="1">
      <c r="A208" s="14">
        <v>21056</v>
      </c>
      <c r="B208" s="14" t="s">
        <v>46</v>
      </c>
      <c r="C208" s="14" t="s">
        <v>6650</v>
      </c>
    </row>
    <row r="209" spans="1:3" ht="15.75" customHeight="1">
      <c r="A209" s="14">
        <v>2084309072</v>
      </c>
      <c r="B209" s="14" t="s">
        <v>6652</v>
      </c>
      <c r="C209" s="14" t="s">
        <v>6653</v>
      </c>
    </row>
    <row r="210" spans="1:3" ht="15.75" customHeight="1">
      <c r="A210" s="14">
        <v>2084309071</v>
      </c>
      <c r="B210" s="14" t="s">
        <v>6656</v>
      </c>
      <c r="C210" s="14" t="s">
        <v>6657</v>
      </c>
    </row>
    <row r="211" spans="1:3" ht="15.75" customHeight="1">
      <c r="A211" s="14">
        <v>2084259105</v>
      </c>
      <c r="B211" s="14" t="s">
        <v>6659</v>
      </c>
      <c r="C211" s="14" t="s">
        <v>6661</v>
      </c>
    </row>
    <row r="212" spans="1:3" ht="15.75" customHeight="1">
      <c r="A212" s="14">
        <v>2084309070</v>
      </c>
      <c r="B212" s="14" t="s">
        <v>6458</v>
      </c>
      <c r="C212" s="14" t="s">
        <v>6662</v>
      </c>
    </row>
    <row r="213" spans="1:3" ht="15.75" customHeight="1">
      <c r="A213" s="14">
        <v>2084259106</v>
      </c>
      <c r="B213" s="14" t="s">
        <v>46</v>
      </c>
      <c r="C213" s="14" t="s">
        <v>6665</v>
      </c>
    </row>
    <row r="214" spans="1:3" ht="15.75" customHeight="1">
      <c r="A214" s="14">
        <v>2084040574</v>
      </c>
      <c r="B214" s="14" t="s">
        <v>2664</v>
      </c>
      <c r="C214" s="14" t="s">
        <v>2666</v>
      </c>
    </row>
    <row r="215" spans="1:3" ht="15.75" customHeight="1">
      <c r="A215" s="14">
        <v>2084305367</v>
      </c>
      <c r="B215" s="14" t="s">
        <v>2675</v>
      </c>
      <c r="C215" s="14" t="s">
        <v>2676</v>
      </c>
    </row>
    <row r="216" spans="1:3" ht="15.75" customHeight="1">
      <c r="A216" s="14">
        <v>2084023784</v>
      </c>
      <c r="B216" s="14" t="s">
        <v>122</v>
      </c>
      <c r="C216" s="14" t="s">
        <v>2682</v>
      </c>
    </row>
    <row r="217" spans="1:3" ht="15.75" customHeight="1">
      <c r="A217" s="14">
        <v>2084222804</v>
      </c>
      <c r="B217" s="14" t="s">
        <v>2687</v>
      </c>
      <c r="C217" s="14" t="s">
        <v>2688</v>
      </c>
    </row>
    <row r="218" spans="1:3" ht="15.75" customHeight="1">
      <c r="A218" s="14">
        <v>2084040580</v>
      </c>
      <c r="B218" s="14" t="s">
        <v>273</v>
      </c>
      <c r="C218" s="14" t="s">
        <v>2692</v>
      </c>
    </row>
    <row r="219" spans="1:3" ht="15.75" customHeight="1">
      <c r="A219" s="14">
        <v>2084315983</v>
      </c>
      <c r="B219" s="14" t="s">
        <v>148</v>
      </c>
      <c r="C219" s="14" t="s">
        <v>2698</v>
      </c>
    </row>
    <row r="220" spans="1:3" ht="15.75" customHeight="1">
      <c r="A220" s="14">
        <v>2084305368</v>
      </c>
      <c r="B220" s="14" t="s">
        <v>2702</v>
      </c>
      <c r="C220" s="14" t="s">
        <v>2705</v>
      </c>
    </row>
    <row r="221" spans="1:3" ht="15.75" customHeight="1">
      <c r="A221" s="14">
        <v>2084259896</v>
      </c>
      <c r="B221" s="14" t="s">
        <v>372</v>
      </c>
      <c r="C221" s="14" t="s">
        <v>2713</v>
      </c>
    </row>
    <row r="222" spans="1:3" ht="15.75" customHeight="1">
      <c r="A222" s="14">
        <v>2084023728</v>
      </c>
      <c r="B222" s="14" t="s">
        <v>436</v>
      </c>
      <c r="C222" s="14" t="s">
        <v>2718</v>
      </c>
    </row>
    <row r="223" spans="1:3" ht="15.75" customHeight="1">
      <c r="A223" s="14">
        <v>2084040582</v>
      </c>
      <c r="B223" s="14" t="s">
        <v>482</v>
      </c>
      <c r="C223" s="14" t="s">
        <v>2724</v>
      </c>
    </row>
    <row r="224" spans="1:3" ht="15.75" customHeight="1">
      <c r="A224" s="14">
        <v>2084023766</v>
      </c>
      <c r="B224" s="14" t="s">
        <v>489</v>
      </c>
      <c r="C224" s="14" t="s">
        <v>2730</v>
      </c>
    </row>
    <row r="225" spans="1:3" ht="15.75" customHeight="1">
      <c r="A225" s="14">
        <v>2084236114</v>
      </c>
      <c r="B225" s="14" t="s">
        <v>2736</v>
      </c>
      <c r="C225" s="14" t="s">
        <v>2738</v>
      </c>
    </row>
    <row r="226" spans="1:3" ht="15.75" customHeight="1">
      <c r="A226" s="14">
        <v>2084062241</v>
      </c>
      <c r="B226" s="14" t="s">
        <v>2743</v>
      </c>
      <c r="C226" s="14" t="s">
        <v>2745</v>
      </c>
    </row>
    <row r="227" spans="1:3" ht="15.75" customHeight="1">
      <c r="A227" s="14">
        <v>2084236120</v>
      </c>
      <c r="B227" s="14" t="s">
        <v>2751</v>
      </c>
      <c r="C227" s="14" t="s">
        <v>2752</v>
      </c>
    </row>
    <row r="228" spans="1:3" ht="15.75" customHeight="1">
      <c r="A228" s="14">
        <v>2084236116</v>
      </c>
      <c r="B228" s="14" t="s">
        <v>2758</v>
      </c>
      <c r="C228" s="14" t="s">
        <v>2760</v>
      </c>
    </row>
    <row r="229" spans="1:3" ht="15.75" customHeight="1">
      <c r="A229" s="14">
        <v>2084236106</v>
      </c>
      <c r="B229" s="14" t="s">
        <v>613</v>
      </c>
      <c r="C229" s="14" t="s">
        <v>2766</v>
      </c>
    </row>
    <row r="230" spans="1:3" ht="15.75" customHeight="1">
      <c r="A230" s="14">
        <v>2084040583</v>
      </c>
      <c r="B230" s="14" t="s">
        <v>734</v>
      </c>
      <c r="C230" s="14" t="s">
        <v>2774</v>
      </c>
    </row>
    <row r="231" spans="1:3" ht="15.75" customHeight="1">
      <c r="A231" s="14">
        <v>2084305376</v>
      </c>
      <c r="B231" s="14" t="s">
        <v>741</v>
      </c>
      <c r="C231" s="14" t="s">
        <v>2781</v>
      </c>
    </row>
    <row r="232" spans="1:3" ht="15.75" customHeight="1">
      <c r="A232" s="14">
        <v>2084236111</v>
      </c>
      <c r="B232" s="14" t="s">
        <v>2790</v>
      </c>
      <c r="C232" s="14" t="s">
        <v>2791</v>
      </c>
    </row>
    <row r="233" spans="1:3" ht="15.75" customHeight="1">
      <c r="A233" s="14">
        <v>2084305375</v>
      </c>
      <c r="B233" s="14" t="s">
        <v>2797</v>
      </c>
      <c r="C233" s="14" t="s">
        <v>2799</v>
      </c>
    </row>
    <row r="234" spans="1:3" ht="15.75" customHeight="1">
      <c r="A234" s="14">
        <v>2084023785</v>
      </c>
      <c r="B234" s="14" t="s">
        <v>826</v>
      </c>
      <c r="C234" s="14" t="s">
        <v>2804</v>
      </c>
    </row>
    <row r="235" spans="1:3" ht="15.75" customHeight="1">
      <c r="A235" s="14">
        <v>2084195224</v>
      </c>
      <c r="B235" s="14" t="s">
        <v>842</v>
      </c>
      <c r="C235" s="14" t="s">
        <v>2807</v>
      </c>
    </row>
    <row r="236" spans="1:3" ht="15.75" customHeight="1">
      <c r="A236" s="14">
        <v>2084222803</v>
      </c>
      <c r="B236" s="14" t="s">
        <v>873</v>
      </c>
      <c r="C236" s="14" t="s">
        <v>2811</v>
      </c>
    </row>
    <row r="237" spans="1:3" ht="15.75" customHeight="1">
      <c r="A237" s="14">
        <v>2084305377</v>
      </c>
      <c r="B237" s="14" t="s">
        <v>880</v>
      </c>
      <c r="C237" s="14" t="s">
        <v>2816</v>
      </c>
    </row>
    <row r="238" spans="1:3" ht="15.75" customHeight="1">
      <c r="A238" s="14">
        <v>2084236123</v>
      </c>
      <c r="B238" s="14" t="s">
        <v>887</v>
      </c>
      <c r="C238" s="14" t="s">
        <v>2820</v>
      </c>
    </row>
    <row r="239" spans="1:3" ht="15.75" customHeight="1">
      <c r="A239" s="14">
        <v>2084305378</v>
      </c>
      <c r="B239" s="14" t="s">
        <v>2823</v>
      </c>
      <c r="C239" s="14" t="s">
        <v>2824</v>
      </c>
    </row>
    <row r="240" spans="1:3" ht="15.75" customHeight="1">
      <c r="A240" s="14">
        <v>2084063730</v>
      </c>
      <c r="B240" s="14" t="s">
        <v>2828</v>
      </c>
      <c r="C240" s="14" t="s">
        <v>2830</v>
      </c>
    </row>
    <row r="241" spans="1:3" ht="15.75" customHeight="1">
      <c r="A241" s="14">
        <v>2084023765</v>
      </c>
      <c r="B241" s="14" t="s">
        <v>1007</v>
      </c>
      <c r="C241" s="14" t="s">
        <v>2835</v>
      </c>
    </row>
    <row r="242" spans="1:3" ht="15.75" customHeight="1">
      <c r="A242" s="14">
        <v>2084040584</v>
      </c>
      <c r="B242" s="14" t="s">
        <v>1055</v>
      </c>
      <c r="C242" s="14" t="s">
        <v>2842</v>
      </c>
    </row>
    <row r="243" spans="1:3" ht="15.75" customHeight="1">
      <c r="A243" s="14">
        <v>2084023769</v>
      </c>
      <c r="B243" s="14" t="s">
        <v>1086</v>
      </c>
      <c r="C243" s="14" t="s">
        <v>2847</v>
      </c>
    </row>
    <row r="244" spans="1:3" ht="15.75" customHeight="1">
      <c r="A244" s="14">
        <v>2084023768</v>
      </c>
      <c r="B244" s="14" t="s">
        <v>1093</v>
      </c>
      <c r="C244" s="14" t="s">
        <v>2851</v>
      </c>
    </row>
    <row r="245" spans="1:3" ht="15.75" customHeight="1">
      <c r="A245" s="14">
        <v>2084239889</v>
      </c>
      <c r="B245" s="14" t="s">
        <v>2853</v>
      </c>
      <c r="C245" s="14" t="s">
        <v>2855</v>
      </c>
    </row>
    <row r="246" spans="1:3" ht="15.75" customHeight="1">
      <c r="A246" s="14">
        <v>2084222807</v>
      </c>
      <c r="B246" s="14" t="s">
        <v>2859</v>
      </c>
      <c r="C246" s="14" t="s">
        <v>2860</v>
      </c>
    </row>
    <row r="247" spans="1:3" ht="15.75" customHeight="1">
      <c r="A247" s="14">
        <v>2084236113</v>
      </c>
      <c r="B247" s="14" t="s">
        <v>1152</v>
      </c>
      <c r="C247" s="14" t="s">
        <v>2865</v>
      </c>
    </row>
    <row r="248" spans="1:3" ht="15.75" customHeight="1">
      <c r="A248" s="14">
        <v>2084305379</v>
      </c>
      <c r="B248" s="14" t="s">
        <v>1168</v>
      </c>
      <c r="C248" s="14" t="s">
        <v>2871</v>
      </c>
    </row>
    <row r="249" spans="1:3" ht="15.75" customHeight="1">
      <c r="A249" s="14">
        <v>2084241346</v>
      </c>
      <c r="B249" s="14" t="s">
        <v>1202</v>
      </c>
      <c r="C249" s="14" t="s">
        <v>2877</v>
      </c>
    </row>
    <row r="250" spans="1:3" ht="15.75" customHeight="1">
      <c r="A250" s="14">
        <v>2084236118</v>
      </c>
      <c r="B250" s="14" t="s">
        <v>2882</v>
      </c>
      <c r="C250" s="14" t="s">
        <v>2883</v>
      </c>
    </row>
    <row r="251" spans="1:3" ht="15.75" customHeight="1">
      <c r="A251" s="14">
        <v>2084242880</v>
      </c>
      <c r="B251" s="14" t="s">
        <v>1331</v>
      </c>
      <c r="C251" s="14" t="s">
        <v>2886</v>
      </c>
    </row>
    <row r="252" spans="1:3" ht="15.75" customHeight="1">
      <c r="A252" s="14">
        <v>2084305380</v>
      </c>
      <c r="B252" s="14" t="s">
        <v>2892</v>
      </c>
      <c r="C252" s="14" t="s">
        <v>2893</v>
      </c>
    </row>
    <row r="253" spans="1:3" ht="15.75" customHeight="1">
      <c r="A253" s="14">
        <v>2084242879</v>
      </c>
      <c r="B253" s="14" t="s">
        <v>1392</v>
      </c>
      <c r="C253" s="14" t="s">
        <v>2899</v>
      </c>
    </row>
    <row r="254" spans="1:3" ht="15.75" customHeight="1">
      <c r="A254" s="14">
        <v>2084239888</v>
      </c>
      <c r="B254" s="14" t="s">
        <v>2904</v>
      </c>
      <c r="C254" s="14" t="s">
        <v>2906</v>
      </c>
    </row>
    <row r="255" spans="1:3" ht="15.75" customHeight="1">
      <c r="A255" s="14">
        <v>2084023788</v>
      </c>
      <c r="B255" s="14" t="s">
        <v>2910</v>
      </c>
      <c r="C255" s="14" t="s">
        <v>2911</v>
      </c>
    </row>
    <row r="256" spans="1:3" ht="15.75" customHeight="1">
      <c r="A256" s="14">
        <v>2084236115</v>
      </c>
      <c r="B256" s="14" t="s">
        <v>1447</v>
      </c>
      <c r="C256" s="14" t="s">
        <v>2920</v>
      </c>
    </row>
    <row r="257" spans="1:3" ht="15.75" customHeight="1">
      <c r="A257" s="14">
        <v>2084305381</v>
      </c>
      <c r="B257" s="14" t="s">
        <v>2925</v>
      </c>
      <c r="C257" s="14" t="s">
        <v>2927</v>
      </c>
    </row>
    <row r="258" spans="1:3" ht="15.75" customHeight="1">
      <c r="A258" s="14">
        <v>2084305382</v>
      </c>
      <c r="B258" s="14" t="s">
        <v>1576</v>
      </c>
      <c r="C258" s="14" t="s">
        <v>2934</v>
      </c>
    </row>
    <row r="259" spans="1:3" ht="15.75" customHeight="1">
      <c r="A259" s="14">
        <v>2084236119</v>
      </c>
      <c r="B259" s="14" t="s">
        <v>1588</v>
      </c>
      <c r="C259" s="14" t="s">
        <v>2941</v>
      </c>
    </row>
    <row r="260" spans="1:3" ht="15.75" customHeight="1">
      <c r="A260" s="14">
        <v>2084236108</v>
      </c>
      <c r="B260" s="14" t="s">
        <v>2948</v>
      </c>
      <c r="C260" s="14" t="s">
        <v>2949</v>
      </c>
    </row>
    <row r="261" spans="1:3" ht="15.75" customHeight="1">
      <c r="A261" s="14">
        <v>2084236117</v>
      </c>
      <c r="B261" s="14" t="s">
        <v>2954</v>
      </c>
      <c r="C261" s="14" t="s">
        <v>2955</v>
      </c>
    </row>
    <row r="262" spans="1:3" ht="15.75" customHeight="1">
      <c r="A262" s="14">
        <v>2084023783</v>
      </c>
      <c r="B262" s="14" t="s">
        <v>1740</v>
      </c>
      <c r="C262" s="14" t="s">
        <v>2960</v>
      </c>
    </row>
    <row r="263" spans="1:3" ht="15.75" customHeight="1">
      <c r="A263" s="14">
        <v>2084023719</v>
      </c>
      <c r="B263" s="14" t="s">
        <v>2966</v>
      </c>
      <c r="C263" s="14" t="s">
        <v>2967</v>
      </c>
    </row>
    <row r="264" spans="1:3" ht="15.75" customHeight="1">
      <c r="A264" s="14">
        <v>2084040581</v>
      </c>
      <c r="B264" s="14" t="s">
        <v>1791</v>
      </c>
      <c r="C264" s="14" t="s">
        <v>2971</v>
      </c>
    </row>
    <row r="265" spans="1:3" ht="15.75" customHeight="1">
      <c r="A265" s="14">
        <v>2084023789</v>
      </c>
      <c r="B265" s="14" t="s">
        <v>46</v>
      </c>
      <c r="C265" s="14" t="s">
        <v>2975</v>
      </c>
    </row>
    <row r="266" spans="1:3" ht="15.75" customHeight="1">
      <c r="A266" s="14">
        <v>2084023721</v>
      </c>
      <c r="B266" s="14" t="s">
        <v>2979</v>
      </c>
      <c r="C266" s="14" t="s">
        <v>2980</v>
      </c>
    </row>
    <row r="267" spans="1:3" ht="15.75" customHeight="1">
      <c r="A267" s="14">
        <v>2084023722</v>
      </c>
      <c r="B267" s="14" t="s">
        <v>2985</v>
      </c>
      <c r="C267" s="14" t="s">
        <v>2986</v>
      </c>
    </row>
    <row r="268" spans="1:3" ht="15.75" customHeight="1">
      <c r="A268" s="14">
        <v>2084023723</v>
      </c>
      <c r="B268" s="14" t="s">
        <v>2992</v>
      </c>
      <c r="C268" s="14" t="s">
        <v>2993</v>
      </c>
    </row>
    <row r="269" spans="1:3" ht="15.75" customHeight="1">
      <c r="A269" s="14">
        <v>2084023623</v>
      </c>
      <c r="B269" s="14" t="s">
        <v>3000</v>
      </c>
      <c r="C269" s="14" t="s">
        <v>3001</v>
      </c>
    </row>
    <row r="270" spans="1:3" ht="15.75" customHeight="1">
      <c r="A270" s="14">
        <v>2084023745</v>
      </c>
      <c r="B270" s="14" t="s">
        <v>3007</v>
      </c>
      <c r="C270" s="14" t="s">
        <v>3008</v>
      </c>
    </row>
    <row r="271" spans="1:3" ht="15.75" customHeight="1">
      <c r="A271" s="14">
        <v>2084023694</v>
      </c>
      <c r="B271" s="14" t="s">
        <v>3013</v>
      </c>
      <c r="C271" s="14" t="s">
        <v>3014</v>
      </c>
    </row>
    <row r="272" spans="1:3" ht="15.75" customHeight="1">
      <c r="A272" s="14">
        <v>2084023644</v>
      </c>
      <c r="B272" s="14" t="s">
        <v>3019</v>
      </c>
      <c r="C272" s="14" t="s">
        <v>3021</v>
      </c>
    </row>
    <row r="273" spans="1:3" ht="15.75" customHeight="1">
      <c r="A273" s="14">
        <v>2084023661</v>
      </c>
      <c r="B273" s="14" t="s">
        <v>3027</v>
      </c>
      <c r="C273" s="14" t="s">
        <v>3028</v>
      </c>
    </row>
    <row r="274" spans="1:3" ht="15.75" customHeight="1">
      <c r="A274" s="14">
        <v>2084023719</v>
      </c>
      <c r="B274" s="14" t="s">
        <v>2966</v>
      </c>
      <c r="C274" s="14" t="s">
        <v>3037</v>
      </c>
    </row>
    <row r="275" spans="1:3" ht="15.75" customHeight="1">
      <c r="A275" s="14">
        <v>2084047373</v>
      </c>
      <c r="B275" s="14" t="s">
        <v>46</v>
      </c>
      <c r="C275" s="14" t="s">
        <v>3048</v>
      </c>
    </row>
    <row r="276" spans="1:3" ht="15.75" customHeight="1">
      <c r="A276" s="14">
        <v>2084236103</v>
      </c>
      <c r="B276" s="14" t="s">
        <v>3052</v>
      </c>
      <c r="C276" s="14" t="s">
        <v>3055</v>
      </c>
    </row>
    <row r="277" spans="1:3" ht="15.75" customHeight="1">
      <c r="A277" s="14">
        <v>2084236102</v>
      </c>
      <c r="B277" s="14" t="s">
        <v>3058</v>
      </c>
      <c r="C277" s="14" t="s">
        <v>3061</v>
      </c>
    </row>
    <row r="278" spans="1:3" ht="15.75" customHeight="1">
      <c r="A278" s="14">
        <v>2084305391</v>
      </c>
      <c r="B278" s="14" t="s">
        <v>653</v>
      </c>
      <c r="C278" s="14" t="s">
        <v>3066</v>
      </c>
    </row>
    <row r="279" spans="1:3" ht="15.75" customHeight="1">
      <c r="A279" s="14">
        <v>2084040566</v>
      </c>
      <c r="B279" s="14" t="s">
        <v>908</v>
      </c>
      <c r="C279" s="14" t="s">
        <v>3074</v>
      </c>
    </row>
    <row r="280" spans="1:3" ht="15.75" customHeight="1">
      <c r="A280" s="14">
        <v>2084239890</v>
      </c>
      <c r="B280" s="14" t="s">
        <v>3080</v>
      </c>
      <c r="C280" s="14" t="s">
        <v>3081</v>
      </c>
    </row>
    <row r="281" spans="1:3" ht="15.75" customHeight="1">
      <c r="A281" s="14">
        <v>2084048365</v>
      </c>
      <c r="B281" s="14" t="s">
        <v>3087</v>
      </c>
      <c r="C281" s="14" t="s">
        <v>3088</v>
      </c>
    </row>
    <row r="282" spans="1:3" ht="15.75" customHeight="1">
      <c r="A282" s="14">
        <v>2084236100</v>
      </c>
      <c r="B282" s="14" t="s">
        <v>3093</v>
      </c>
      <c r="C282" s="14" t="s">
        <v>3094</v>
      </c>
    </row>
    <row r="283" spans="1:3" ht="15.75" customHeight="1">
      <c r="A283" s="14">
        <v>2084040565</v>
      </c>
      <c r="B283" s="14" t="s">
        <v>2061</v>
      </c>
      <c r="C283" s="14" t="s">
        <v>3099</v>
      </c>
    </row>
    <row r="284" spans="1:3" ht="15.75" customHeight="1">
      <c r="A284" s="14">
        <v>2084236105</v>
      </c>
      <c r="B284" s="14" t="s">
        <v>3105</v>
      </c>
      <c r="C284" s="14" t="s">
        <v>3106</v>
      </c>
    </row>
    <row r="285" spans="1:3" ht="15.75" customHeight="1">
      <c r="A285" s="14">
        <v>2084236101</v>
      </c>
      <c r="B285" s="14" t="s">
        <v>3111</v>
      </c>
      <c r="C285" s="14" t="s">
        <v>3112</v>
      </c>
    </row>
    <row r="286" spans="1:3" ht="15.75" customHeight="1">
      <c r="A286" s="14">
        <v>2084222830</v>
      </c>
      <c r="B286" s="14" t="s">
        <v>3118</v>
      </c>
      <c r="C286" s="14" t="s">
        <v>3120</v>
      </c>
    </row>
    <row r="287" spans="1:3" ht="15.75" customHeight="1">
      <c r="A287" s="14">
        <v>2084236104</v>
      </c>
      <c r="B287" s="14" t="s">
        <v>3127</v>
      </c>
      <c r="C287" s="14" t="s">
        <v>3128</v>
      </c>
    </row>
    <row r="288" spans="1:3" ht="15.75" customHeight="1">
      <c r="A288" s="14">
        <v>2084236580</v>
      </c>
      <c r="B288" s="14" t="s">
        <v>3134</v>
      </c>
      <c r="C288" s="14" t="s">
        <v>3136</v>
      </c>
    </row>
    <row r="289" spans="1:3" ht="15.75" customHeight="1">
      <c r="A289" s="14">
        <v>2084040567</v>
      </c>
      <c r="B289" s="14" t="s">
        <v>3142</v>
      </c>
      <c r="C289" s="14" t="s">
        <v>3144</v>
      </c>
    </row>
    <row r="290" spans="1:3" ht="15.75" customHeight="1">
      <c r="A290" s="14">
        <v>2084040569</v>
      </c>
      <c r="B290" s="14" t="s">
        <v>992</v>
      </c>
      <c r="C290" s="14" t="s">
        <v>3153</v>
      </c>
    </row>
    <row r="291" spans="1:3" ht="15.75" customHeight="1">
      <c r="A291" s="14">
        <v>2084063700</v>
      </c>
      <c r="B291" s="14" t="s">
        <v>3157</v>
      </c>
      <c r="C291" s="14" t="s">
        <v>3160</v>
      </c>
    </row>
    <row r="292" spans="1:3" ht="15.75" customHeight="1">
      <c r="A292" s="14">
        <v>2084063703</v>
      </c>
      <c r="B292" s="14" t="s">
        <v>3166</v>
      </c>
      <c r="C292" s="14" t="s">
        <v>3168</v>
      </c>
    </row>
    <row r="293" spans="1:3" ht="15.75" customHeight="1">
      <c r="A293" s="14">
        <v>2084040568</v>
      </c>
      <c r="B293" s="14" t="s">
        <v>3174</v>
      </c>
      <c r="C293" s="14" t="s">
        <v>3176</v>
      </c>
    </row>
    <row r="294" spans="1:3" ht="15.75" customHeight="1">
      <c r="A294" s="14">
        <v>2084305394</v>
      </c>
      <c r="B294" s="14" t="s">
        <v>3183</v>
      </c>
      <c r="C294" s="14" t="s">
        <v>3185</v>
      </c>
    </row>
    <row r="295" spans="1:3" ht="15.75" customHeight="1">
      <c r="A295" s="14">
        <v>2084236581</v>
      </c>
      <c r="B295" s="14" t="s">
        <v>3191</v>
      </c>
      <c r="C295" s="14" t="s">
        <v>3192</v>
      </c>
    </row>
    <row r="296" spans="1:3" ht="15.75" customHeight="1">
      <c r="A296" s="14">
        <v>2084305395</v>
      </c>
      <c r="B296" s="14" t="s">
        <v>3200</v>
      </c>
      <c r="C296" s="14" t="s">
        <v>3201</v>
      </c>
    </row>
    <row r="297" spans="1:3" ht="15.75" customHeight="1">
      <c r="A297" s="14">
        <v>2084239892</v>
      </c>
      <c r="B297" s="14" t="s">
        <v>3208</v>
      </c>
      <c r="C297" s="14" t="s">
        <v>3210</v>
      </c>
    </row>
    <row r="298" spans="1:3" ht="15.75" customHeight="1">
      <c r="A298" s="14">
        <v>2084242881</v>
      </c>
      <c r="B298" s="14" t="s">
        <v>851</v>
      </c>
      <c r="C298" s="14" t="s">
        <v>3215</v>
      </c>
    </row>
    <row r="299" spans="1:3" ht="15.75" customHeight="1">
      <c r="A299" s="14">
        <v>2084242882</v>
      </c>
      <c r="B299" s="14" t="s">
        <v>1142</v>
      </c>
      <c r="C299" s="14" t="s">
        <v>3222</v>
      </c>
    </row>
    <row r="300" spans="1:3" ht="15.75" customHeight="1">
      <c r="A300" s="14">
        <v>2084236099</v>
      </c>
      <c r="B300" s="14" t="s">
        <v>3228</v>
      </c>
      <c r="C300" s="14" t="s">
        <v>3229</v>
      </c>
    </row>
    <row r="301" spans="1:3" ht="15.75" customHeight="1">
      <c r="A301" s="14">
        <v>2084040570</v>
      </c>
      <c r="B301" s="14" t="s">
        <v>46</v>
      </c>
      <c r="C301" s="14" t="s">
        <v>3236</v>
      </c>
    </row>
    <row r="302" spans="1:3" ht="15.75" customHeight="1">
      <c r="A302" s="14">
        <v>2084040561</v>
      </c>
      <c r="B302" s="14" t="s">
        <v>3242</v>
      </c>
      <c r="C302" s="14" t="s">
        <v>3245</v>
      </c>
    </row>
    <row r="303" spans="1:3" ht="15.75" customHeight="1">
      <c r="A303" s="14">
        <v>2084242884</v>
      </c>
      <c r="B303" s="14" t="s">
        <v>3252</v>
      </c>
      <c r="C303" s="14" t="s">
        <v>3256</v>
      </c>
    </row>
    <row r="304" spans="1:3" ht="15.75" customHeight="1">
      <c r="A304" s="14">
        <v>2084040558</v>
      </c>
      <c r="B304" s="14" t="s">
        <v>3263</v>
      </c>
      <c r="C304" s="14" t="s">
        <v>3265</v>
      </c>
    </row>
    <row r="305" spans="1:3" ht="15.75" customHeight="1">
      <c r="A305" s="14">
        <v>2084040560</v>
      </c>
      <c r="B305" s="14" t="s">
        <v>3271</v>
      </c>
      <c r="C305" s="14" t="s">
        <v>3273</v>
      </c>
    </row>
    <row r="306" spans="1:3" ht="15.75" customHeight="1">
      <c r="A306" s="14">
        <v>2084040585</v>
      </c>
      <c r="B306" s="14" t="s">
        <v>3278</v>
      </c>
      <c r="C306" s="14" t="s">
        <v>3280</v>
      </c>
    </row>
    <row r="307" spans="1:3" ht="15.75" customHeight="1">
      <c r="A307" s="14">
        <v>40577</v>
      </c>
      <c r="B307" s="14" t="s">
        <v>3286</v>
      </c>
      <c r="C307" s="14" t="s">
        <v>3288</v>
      </c>
    </row>
    <row r="308" spans="1:3" ht="15.75" customHeight="1">
      <c r="A308" s="14">
        <v>2084023848</v>
      </c>
      <c r="B308" s="14" t="s">
        <v>3293</v>
      </c>
      <c r="C308" s="14" t="s">
        <v>3295</v>
      </c>
    </row>
    <row r="309" spans="1:3" ht="15.75" customHeight="1">
      <c r="A309" s="14">
        <v>2084242883</v>
      </c>
      <c r="B309" s="14" t="s">
        <v>3299</v>
      </c>
      <c r="C309" s="14" t="s">
        <v>3300</v>
      </c>
    </row>
    <row r="310" spans="1:3" ht="15.75" customHeight="1">
      <c r="A310" s="14">
        <v>2084040559</v>
      </c>
      <c r="B310" s="14" t="s">
        <v>3303</v>
      </c>
      <c r="C310" s="14" t="s">
        <v>3304</v>
      </c>
    </row>
    <row r="311" spans="1:3" ht="15.75" customHeight="1">
      <c r="A311" s="14">
        <v>2084040563</v>
      </c>
      <c r="B311" s="14" t="s">
        <v>3308</v>
      </c>
      <c r="C311" s="14" t="s">
        <v>3309</v>
      </c>
    </row>
    <row r="312" spans="1:3" ht="15.75" customHeight="1">
      <c r="A312" s="14">
        <v>2084046903</v>
      </c>
      <c r="B312" s="14" t="s">
        <v>46</v>
      </c>
      <c r="C312" s="14" t="s">
        <v>3313</v>
      </c>
    </row>
    <row r="313" spans="1:3" ht="15.75" customHeight="1">
      <c r="A313" s="14">
        <v>2084023775</v>
      </c>
      <c r="B313" s="14" t="s">
        <v>3317</v>
      </c>
      <c r="C313" s="14" t="s">
        <v>3318</v>
      </c>
    </row>
    <row r="314" spans="1:3" ht="15.75" customHeight="1">
      <c r="A314" s="14">
        <v>2084023772</v>
      </c>
      <c r="B314" s="14" t="s">
        <v>3322</v>
      </c>
      <c r="C314" s="14" t="s">
        <v>3324</v>
      </c>
    </row>
    <row r="315" spans="1:3" ht="15.75" customHeight="1">
      <c r="A315" s="14">
        <v>2084023771</v>
      </c>
      <c r="B315" s="14" t="s">
        <v>3327</v>
      </c>
      <c r="C315" s="14" t="s">
        <v>3328</v>
      </c>
    </row>
    <row r="316" spans="1:3" ht="15.75" customHeight="1">
      <c r="A316" s="14">
        <v>2084040694</v>
      </c>
      <c r="B316" s="14" t="s">
        <v>3333</v>
      </c>
      <c r="C316" s="14" t="s">
        <v>3335</v>
      </c>
    </row>
    <row r="317" spans="1:3" ht="15.75" customHeight="1">
      <c r="A317" s="14">
        <v>2084023773</v>
      </c>
      <c r="B317" s="14" t="s">
        <v>3342</v>
      </c>
      <c r="C317" s="14" t="s">
        <v>3344</v>
      </c>
    </row>
    <row r="318" spans="1:3" ht="15.75" customHeight="1">
      <c r="A318" s="14">
        <v>2084023777</v>
      </c>
      <c r="B318" s="14" t="s">
        <v>46</v>
      </c>
      <c r="C318" s="14" t="s">
        <v>3350</v>
      </c>
    </row>
    <row r="319" spans="1:3" ht="15.75" customHeight="1">
      <c r="A319" s="14">
        <v>2084023792</v>
      </c>
      <c r="B319" s="14" t="s">
        <v>1262</v>
      </c>
      <c r="C319" s="14" t="s">
        <v>3356</v>
      </c>
    </row>
    <row r="320" spans="1:3" ht="15.75" customHeight="1">
      <c r="A320" s="14">
        <v>2084023793</v>
      </c>
      <c r="B320" s="14" t="s">
        <v>3362</v>
      </c>
      <c r="C320" s="14" t="s">
        <v>3363</v>
      </c>
    </row>
    <row r="321" spans="1:3" ht="15.75" customHeight="1">
      <c r="A321" s="14">
        <v>2084023790</v>
      </c>
      <c r="B321" s="14" t="s">
        <v>3368</v>
      </c>
      <c r="C321" s="14" t="s">
        <v>3369</v>
      </c>
    </row>
    <row r="322" spans="1:3" ht="15.75" customHeight="1">
      <c r="A322" s="14">
        <v>2084023791</v>
      </c>
      <c r="B322" s="14" t="s">
        <v>3375</v>
      </c>
      <c r="C322" s="14" t="s">
        <v>3377</v>
      </c>
    </row>
    <row r="323" spans="1:3" ht="15.75" customHeight="1">
      <c r="A323" s="14">
        <v>2084023794</v>
      </c>
      <c r="B323" s="14" t="s">
        <v>46</v>
      </c>
      <c r="C323" s="14" t="s">
        <v>3384</v>
      </c>
    </row>
    <row r="324" spans="1:3" ht="15.75" customHeight="1">
      <c r="A324" s="14">
        <v>2084023610</v>
      </c>
      <c r="B324" s="14" t="s">
        <v>3388</v>
      </c>
      <c r="C324" s="14" t="s">
        <v>3390</v>
      </c>
    </row>
    <row r="325" spans="1:3" ht="15.75" customHeight="1">
      <c r="A325" s="14">
        <v>2084236098</v>
      </c>
      <c r="B325" s="14" t="s">
        <v>3396</v>
      </c>
      <c r="C325" s="14" t="s">
        <v>3397</v>
      </c>
    </row>
    <row r="326" spans="1:3" ht="15.75" customHeight="1">
      <c r="A326" s="14">
        <v>2084023618</v>
      </c>
      <c r="B326" s="14" t="s">
        <v>3403</v>
      </c>
      <c r="C326" s="14" t="s">
        <v>3404</v>
      </c>
    </row>
    <row r="327" spans="1:3" ht="15.75" customHeight="1">
      <c r="A327" s="14">
        <v>2084023620</v>
      </c>
      <c r="B327" s="14" t="s">
        <v>3410</v>
      </c>
      <c r="C327" s="14" t="s">
        <v>3411</v>
      </c>
    </row>
    <row r="328" spans="1:3" ht="15.75" customHeight="1">
      <c r="A328" s="14">
        <v>2084023619</v>
      </c>
      <c r="B328" s="14" t="s">
        <v>3416</v>
      </c>
      <c r="C328" s="14" t="s">
        <v>3418</v>
      </c>
    </row>
    <row r="329" spans="1:3" ht="15.75" customHeight="1">
      <c r="A329" s="14">
        <v>2084023621</v>
      </c>
      <c r="B329" s="14" t="s">
        <v>46</v>
      </c>
      <c r="C329" s="14" t="s">
        <v>3423</v>
      </c>
    </row>
    <row r="330" spans="1:3" ht="15.75" customHeight="1">
      <c r="A330" s="14">
        <v>2084020055</v>
      </c>
      <c r="B330" s="14" t="s">
        <v>3429</v>
      </c>
      <c r="C330" s="14" t="s">
        <v>3430</v>
      </c>
    </row>
    <row r="331" spans="1:3" ht="15.75" customHeight="1">
      <c r="A331" s="14">
        <v>2084020052</v>
      </c>
      <c r="B331" s="14" t="s">
        <v>3434</v>
      </c>
      <c r="C331" s="14" t="s">
        <v>3436</v>
      </c>
    </row>
    <row r="332" spans="1:3" ht="15.75" customHeight="1">
      <c r="A332" s="14">
        <v>2084020034</v>
      </c>
      <c r="B332" s="14" t="s">
        <v>3441</v>
      </c>
      <c r="C332" s="14" t="s">
        <v>3444</v>
      </c>
    </row>
    <row r="333" spans="1:3" ht="15.75" customHeight="1">
      <c r="A333" s="14">
        <v>2084020035</v>
      </c>
      <c r="B333" s="14" t="s">
        <v>922</v>
      </c>
      <c r="C333" s="14" t="s">
        <v>3450</v>
      </c>
    </row>
    <row r="334" spans="1:3" ht="15.75" customHeight="1">
      <c r="A334" s="14">
        <v>2084020061</v>
      </c>
      <c r="B334" s="14" t="s">
        <v>3454</v>
      </c>
      <c r="C334" s="14" t="s">
        <v>3456</v>
      </c>
    </row>
    <row r="335" spans="1:3" ht="15.75" customHeight="1">
      <c r="A335" s="14">
        <v>2084020056</v>
      </c>
      <c r="B335" s="14" t="s">
        <v>3460</v>
      </c>
      <c r="C335" s="14" t="s">
        <v>3461</v>
      </c>
    </row>
    <row r="336" spans="1:3" ht="15.75" customHeight="1">
      <c r="A336" s="14">
        <v>2084020050</v>
      </c>
      <c r="B336" s="14" t="s">
        <v>210</v>
      </c>
      <c r="C336" s="14" t="s">
        <v>3465</v>
      </c>
    </row>
    <row r="337" spans="1:3" ht="15.75" customHeight="1">
      <c r="A337" s="14">
        <v>2084020042</v>
      </c>
      <c r="B337" s="14" t="s">
        <v>3468</v>
      </c>
      <c r="C337" s="14" t="s">
        <v>3469</v>
      </c>
    </row>
    <row r="338" spans="1:3" ht="15.75" customHeight="1">
      <c r="A338" s="14">
        <v>2084020047</v>
      </c>
      <c r="B338" s="14" t="s">
        <v>3473</v>
      </c>
      <c r="C338" s="14" t="s">
        <v>3474</v>
      </c>
    </row>
    <row r="339" spans="1:3" ht="15.75" customHeight="1">
      <c r="A339" s="14">
        <v>2084020036</v>
      </c>
      <c r="B339" s="14" t="s">
        <v>3479</v>
      </c>
      <c r="C339" s="14" t="s">
        <v>3481</v>
      </c>
    </row>
    <row r="340" spans="1:3" ht="15.75" customHeight="1">
      <c r="A340" s="14">
        <v>2084020037</v>
      </c>
      <c r="B340" s="14" t="s">
        <v>3488</v>
      </c>
      <c r="C340" s="14" t="s">
        <v>3489</v>
      </c>
    </row>
    <row r="341" spans="1:3" ht="15.75" customHeight="1">
      <c r="A341" s="14">
        <v>2084020016</v>
      </c>
      <c r="B341" s="14" t="s">
        <v>3495</v>
      </c>
      <c r="C341" s="14" t="s">
        <v>3498</v>
      </c>
    </row>
    <row r="342" spans="1:3" ht="15.75" customHeight="1">
      <c r="A342" s="14">
        <v>2084048015</v>
      </c>
      <c r="B342" s="14" t="s">
        <v>3502</v>
      </c>
      <c r="C342" s="14" t="s">
        <v>3505</v>
      </c>
    </row>
    <row r="343" spans="1:3" ht="15.75" customHeight="1">
      <c r="A343" s="14">
        <v>2084020058</v>
      </c>
      <c r="B343" s="14" t="s">
        <v>3511</v>
      </c>
      <c r="C343" s="14" t="s">
        <v>3512</v>
      </c>
    </row>
    <row r="344" spans="1:3" ht="15.75" customHeight="1">
      <c r="A344" s="14">
        <v>2084020043</v>
      </c>
      <c r="B344" s="14" t="s">
        <v>3518</v>
      </c>
      <c r="C344" s="14" t="s">
        <v>3519</v>
      </c>
    </row>
    <row r="345" spans="1:3" ht="15.75" customHeight="1">
      <c r="A345" s="14">
        <v>2084005261</v>
      </c>
      <c r="B345" s="14" t="s">
        <v>3526</v>
      </c>
      <c r="C345" s="14" t="s">
        <v>3528</v>
      </c>
    </row>
    <row r="346" spans="1:3" ht="15.75" customHeight="1">
      <c r="A346" s="14">
        <v>2084020051</v>
      </c>
      <c r="B346" s="14" t="s">
        <v>3534</v>
      </c>
      <c r="C346" s="14" t="s">
        <v>3535</v>
      </c>
    </row>
    <row r="347" spans="1:3" ht="15.75" customHeight="1">
      <c r="A347" s="14">
        <v>2084034100</v>
      </c>
      <c r="B347" s="14" t="s">
        <v>3541</v>
      </c>
      <c r="C347" s="14" t="s">
        <v>3542</v>
      </c>
    </row>
    <row r="348" spans="1:3" ht="15.75" customHeight="1">
      <c r="A348" s="14">
        <v>2084020044</v>
      </c>
      <c r="B348" s="14" t="s">
        <v>3546</v>
      </c>
      <c r="C348" s="14" t="s">
        <v>3547</v>
      </c>
    </row>
    <row r="349" spans="1:3" ht="15.75" customHeight="1">
      <c r="A349" s="14">
        <v>2084040586</v>
      </c>
      <c r="B349" s="14" t="s">
        <v>3553</v>
      </c>
      <c r="C349" s="14" t="s">
        <v>3555</v>
      </c>
    </row>
    <row r="350" spans="1:3" ht="15.75" customHeight="1">
      <c r="A350" s="14">
        <v>2084020045</v>
      </c>
      <c r="B350" s="14" t="s">
        <v>3559</v>
      </c>
      <c r="C350" s="14" t="s">
        <v>3561</v>
      </c>
    </row>
    <row r="351" spans="1:3" ht="15.75" customHeight="1">
      <c r="A351" s="14">
        <v>27587</v>
      </c>
      <c r="B351" s="14" t="s">
        <v>2828</v>
      </c>
      <c r="C351" s="14" t="s">
        <v>3567</v>
      </c>
    </row>
    <row r="352" spans="1:3" ht="15.75" customHeight="1">
      <c r="A352" s="14">
        <v>2084020046</v>
      </c>
      <c r="B352" s="14" t="s">
        <v>3571</v>
      </c>
      <c r="C352" s="14" t="s">
        <v>3572</v>
      </c>
    </row>
    <row r="353" spans="1:3" ht="15.75" customHeight="1">
      <c r="A353" s="14">
        <v>2084020041</v>
      </c>
      <c r="B353" s="14" t="s">
        <v>3575</v>
      </c>
      <c r="C353" s="14" t="s">
        <v>3576</v>
      </c>
    </row>
    <row r="354" spans="1:3" ht="15.75" customHeight="1">
      <c r="A354" s="14">
        <v>2084020048</v>
      </c>
      <c r="B354" s="14" t="s">
        <v>1049</v>
      </c>
      <c r="C354" s="14" t="s">
        <v>3579</v>
      </c>
    </row>
    <row r="355" spans="1:3" ht="15.75" customHeight="1">
      <c r="A355" s="14">
        <v>2084020033</v>
      </c>
      <c r="B355" s="14" t="s">
        <v>1265</v>
      </c>
      <c r="C355" s="14" t="s">
        <v>3582</v>
      </c>
    </row>
    <row r="356" spans="1:3" ht="15.75" customHeight="1">
      <c r="A356" s="14">
        <v>2084020057</v>
      </c>
      <c r="B356" s="14" t="s">
        <v>3585</v>
      </c>
      <c r="C356" s="14" t="s">
        <v>3586</v>
      </c>
    </row>
    <row r="357" spans="1:3" ht="15.75" customHeight="1">
      <c r="A357" s="14">
        <v>2084020053</v>
      </c>
      <c r="B357" s="14" t="s">
        <v>3589</v>
      </c>
      <c r="C357" s="14" t="s">
        <v>3590</v>
      </c>
    </row>
    <row r="358" spans="1:3" ht="15.75" customHeight="1">
      <c r="A358" s="14">
        <v>25966</v>
      </c>
      <c r="B358" s="14" t="s">
        <v>3595</v>
      </c>
      <c r="C358" s="14" t="s">
        <v>3597</v>
      </c>
    </row>
    <row r="359" spans="1:3" ht="15.75" customHeight="1">
      <c r="A359" s="14">
        <v>2084020040</v>
      </c>
      <c r="B359" s="14" t="s">
        <v>3603</v>
      </c>
      <c r="C359" s="14" t="s">
        <v>3605</v>
      </c>
    </row>
    <row r="360" spans="1:3" ht="15.75" customHeight="1">
      <c r="A360" s="14">
        <v>2084020039</v>
      </c>
      <c r="B360" s="14" t="s">
        <v>3607</v>
      </c>
      <c r="C360" s="14" t="s">
        <v>3610</v>
      </c>
    </row>
    <row r="361" spans="1:3" ht="15.75" customHeight="1">
      <c r="A361" s="14">
        <v>2084020059</v>
      </c>
      <c r="B361" s="14" t="s">
        <v>3615</v>
      </c>
      <c r="C361" s="14" t="s">
        <v>3616</v>
      </c>
    </row>
    <row r="362" spans="1:3" ht="15.75" customHeight="1">
      <c r="A362" s="14">
        <v>2084046540</v>
      </c>
      <c r="B362" s="14" t="s">
        <v>3622</v>
      </c>
      <c r="C362" s="14" t="s">
        <v>3623</v>
      </c>
    </row>
    <row r="363" spans="1:3" ht="15.75" customHeight="1">
      <c r="A363" s="14">
        <v>2084049982</v>
      </c>
      <c r="B363" s="14" t="s">
        <v>3628</v>
      </c>
      <c r="C363" s="14" t="s">
        <v>3630</v>
      </c>
    </row>
    <row r="364" spans="1:3" ht="15.75" customHeight="1">
      <c r="A364" s="14">
        <v>2084020060</v>
      </c>
      <c r="B364" s="14" t="s">
        <v>1382</v>
      </c>
      <c r="C364" s="14" t="s">
        <v>3633</v>
      </c>
    </row>
    <row r="365" spans="1:3" ht="15.75" customHeight="1">
      <c r="A365" s="14">
        <v>2084020038</v>
      </c>
      <c r="B365" s="14" t="s">
        <v>3637</v>
      </c>
      <c r="C365" s="14" t="s">
        <v>3640</v>
      </c>
    </row>
    <row r="366" spans="1:3" ht="15.75" customHeight="1">
      <c r="A366" s="14">
        <v>2084020054</v>
      </c>
      <c r="B366" s="14" t="s">
        <v>3646</v>
      </c>
      <c r="C366" s="14" t="s">
        <v>3648</v>
      </c>
    </row>
    <row r="367" spans="1:3" ht="15.75" customHeight="1">
      <c r="A367" s="14">
        <v>2084020049</v>
      </c>
      <c r="B367" s="14" t="s">
        <v>1517</v>
      </c>
      <c r="C367" s="14" t="s">
        <v>3654</v>
      </c>
    </row>
    <row r="368" spans="1:3" ht="15.75" customHeight="1">
      <c r="A368" s="14">
        <v>2084020062</v>
      </c>
      <c r="B368" s="14" t="s">
        <v>46</v>
      </c>
      <c r="C368" s="14" t="s">
        <v>3660</v>
      </c>
    </row>
    <row r="369" spans="1:3" ht="15.75" customHeight="1">
      <c r="A369" s="14">
        <v>2084250345</v>
      </c>
      <c r="B369" s="14" t="s">
        <v>6824</v>
      </c>
      <c r="C369" s="14" t="s">
        <v>6825</v>
      </c>
    </row>
    <row r="370" spans="1:3" ht="15.75" customHeight="1">
      <c r="A370" s="14">
        <v>2084250346</v>
      </c>
      <c r="B370" s="14" t="s">
        <v>3000</v>
      </c>
      <c r="C370" s="14" t="s">
        <v>6826</v>
      </c>
    </row>
    <row r="371" spans="1:3" ht="15.75" customHeight="1">
      <c r="A371" s="14">
        <v>2084250360</v>
      </c>
      <c r="B371" s="14" t="s">
        <v>273</v>
      </c>
      <c r="C371" s="14" t="s">
        <v>6828</v>
      </c>
    </row>
    <row r="372" spans="1:3" ht="15.75" customHeight="1">
      <c r="A372" s="14">
        <v>2084250335</v>
      </c>
      <c r="B372" s="14" t="s">
        <v>436</v>
      </c>
      <c r="C372" s="14" t="s">
        <v>6829</v>
      </c>
    </row>
    <row r="373" spans="1:3" ht="15.75" customHeight="1">
      <c r="A373" s="14">
        <v>2084250348</v>
      </c>
      <c r="B373" s="14" t="s">
        <v>2751</v>
      </c>
      <c r="C373" s="14" t="s">
        <v>6831</v>
      </c>
    </row>
    <row r="374" spans="1:3" ht="15.75" customHeight="1">
      <c r="A374" s="14">
        <v>2084250349</v>
      </c>
      <c r="B374" s="14" t="s">
        <v>6834</v>
      </c>
      <c r="C374" s="14" t="s">
        <v>6835</v>
      </c>
    </row>
    <row r="375" spans="1:3" ht="15.75" customHeight="1">
      <c r="A375" s="14">
        <v>2084250361</v>
      </c>
      <c r="B375" s="14" t="s">
        <v>553</v>
      </c>
      <c r="C375" s="14" t="s">
        <v>6838</v>
      </c>
    </row>
    <row r="376" spans="1:3" ht="15.75" customHeight="1">
      <c r="A376" s="14">
        <v>2084250362</v>
      </c>
      <c r="B376" s="14" t="s">
        <v>607</v>
      </c>
      <c r="C376" s="14" t="s">
        <v>6841</v>
      </c>
    </row>
    <row r="377" spans="1:3" ht="15.75" customHeight="1">
      <c r="A377" s="14">
        <v>2084250350</v>
      </c>
      <c r="B377" s="14" t="s">
        <v>6842</v>
      </c>
      <c r="C377" s="14" t="s">
        <v>6845</v>
      </c>
    </row>
    <row r="378" spans="1:3" ht="15.75" customHeight="1">
      <c r="A378" s="14">
        <v>2084250351</v>
      </c>
      <c r="B378" s="14" t="s">
        <v>3127</v>
      </c>
      <c r="C378" s="14" t="s">
        <v>6847</v>
      </c>
    </row>
    <row r="379" spans="1:3" ht="15.75" customHeight="1">
      <c r="A379" s="14">
        <v>2084250352</v>
      </c>
      <c r="B379" s="14" t="s">
        <v>6849</v>
      </c>
      <c r="C379" s="14" t="s">
        <v>6850</v>
      </c>
    </row>
    <row r="380" spans="1:3" ht="15.75" customHeight="1">
      <c r="A380" s="14">
        <v>2084250353</v>
      </c>
      <c r="B380" s="14" t="s">
        <v>3293</v>
      </c>
      <c r="C380" s="14" t="s">
        <v>6853</v>
      </c>
    </row>
    <row r="381" spans="1:3" ht="15.75" customHeight="1">
      <c r="A381" s="14">
        <v>2084250370</v>
      </c>
      <c r="B381" s="14" t="s">
        <v>3932</v>
      </c>
      <c r="C381" s="14" t="s">
        <v>6856</v>
      </c>
    </row>
    <row r="382" spans="1:3" ht="15.75" customHeight="1">
      <c r="A382" s="14">
        <v>2084250354</v>
      </c>
      <c r="B382" s="14" t="s">
        <v>6857</v>
      </c>
      <c r="C382" s="14" t="s">
        <v>6859</v>
      </c>
    </row>
    <row r="383" spans="1:3" ht="15.75" customHeight="1">
      <c r="A383" s="14">
        <v>2084250364</v>
      </c>
      <c r="B383" s="14" t="s">
        <v>789</v>
      </c>
      <c r="C383" s="14" t="s">
        <v>6861</v>
      </c>
    </row>
    <row r="384" spans="1:3" ht="15.75" customHeight="1">
      <c r="A384" s="14">
        <v>2084250365</v>
      </c>
      <c r="B384" s="14" t="s">
        <v>826</v>
      </c>
      <c r="C384" s="14" t="s">
        <v>6863</v>
      </c>
    </row>
    <row r="385" spans="1:3" ht="15.75" customHeight="1">
      <c r="A385" s="14">
        <v>2084250366</v>
      </c>
      <c r="B385" s="14" t="s">
        <v>6864</v>
      </c>
      <c r="C385" s="14" t="s">
        <v>6865</v>
      </c>
    </row>
    <row r="386" spans="1:3" ht="15.75" customHeight="1">
      <c r="A386" s="14">
        <v>2084250367</v>
      </c>
      <c r="B386" s="14" t="s">
        <v>6866</v>
      </c>
      <c r="C386" s="14" t="s">
        <v>6867</v>
      </c>
    </row>
    <row r="387" spans="1:3" ht="15.75" customHeight="1">
      <c r="A387" s="14">
        <v>2084310499</v>
      </c>
      <c r="B387" s="14" t="s">
        <v>6868</v>
      </c>
      <c r="C387" s="14" t="s">
        <v>6869</v>
      </c>
    </row>
    <row r="388" spans="1:3" ht="15.75" customHeight="1">
      <c r="A388" s="14">
        <v>2084250368</v>
      </c>
      <c r="B388" s="14" t="s">
        <v>6870</v>
      </c>
      <c r="C388" s="14" t="s">
        <v>6871</v>
      </c>
    </row>
    <row r="389" spans="1:3" ht="15.75" customHeight="1">
      <c r="A389" s="14">
        <v>2084250369</v>
      </c>
      <c r="B389" s="14" t="s">
        <v>1134</v>
      </c>
      <c r="C389" s="14" t="s">
        <v>6872</v>
      </c>
    </row>
    <row r="390" spans="1:3" ht="15.75" customHeight="1">
      <c r="A390" s="14">
        <v>2084250355</v>
      </c>
      <c r="B390" s="14" t="s">
        <v>6873</v>
      </c>
      <c r="C390" s="14" t="s">
        <v>6874</v>
      </c>
    </row>
    <row r="391" spans="1:3" ht="15.75" customHeight="1">
      <c r="A391" s="14">
        <v>2084250356</v>
      </c>
      <c r="B391" s="14" t="s">
        <v>1494</v>
      </c>
      <c r="C391" s="14" t="s">
        <v>6875</v>
      </c>
    </row>
    <row r="392" spans="1:3" ht="15.75" customHeight="1">
      <c r="A392" s="14">
        <v>2084250357</v>
      </c>
      <c r="B392" s="14" t="s">
        <v>6877</v>
      </c>
      <c r="C392" s="14" t="s">
        <v>6878</v>
      </c>
    </row>
    <row r="393" spans="1:3" ht="15.75" customHeight="1">
      <c r="A393" s="14">
        <v>2084250358</v>
      </c>
      <c r="B393" s="14" t="s">
        <v>1501</v>
      </c>
      <c r="C393" s="14" t="s">
        <v>6879</v>
      </c>
    </row>
    <row r="394" spans="1:3" ht="15.75" customHeight="1">
      <c r="A394" s="14">
        <v>2084250371</v>
      </c>
      <c r="B394" s="14" t="s">
        <v>1539</v>
      </c>
      <c r="C394" s="14" t="s">
        <v>6882</v>
      </c>
    </row>
    <row r="395" spans="1:3" ht="15.75" customHeight="1">
      <c r="A395" s="14">
        <v>2084250359</v>
      </c>
      <c r="B395" s="14" t="s">
        <v>6884</v>
      </c>
      <c r="C395" s="14" t="s">
        <v>6886</v>
      </c>
    </row>
    <row r="396" spans="1:3" ht="15.75" customHeight="1">
      <c r="A396" s="14">
        <v>2084250375</v>
      </c>
      <c r="B396" s="14" t="s">
        <v>3665</v>
      </c>
      <c r="C396" s="14" t="s">
        <v>6887</v>
      </c>
    </row>
    <row r="397" spans="1:3" ht="15.75" customHeight="1">
      <c r="A397" s="14">
        <v>2084250373</v>
      </c>
      <c r="B397" s="14" t="s">
        <v>46</v>
      </c>
      <c r="C397" s="14" t="s">
        <v>6889</v>
      </c>
    </row>
    <row r="398" spans="1:3" ht="15.75" customHeight="1">
      <c r="A398" s="14">
        <v>2084250265</v>
      </c>
      <c r="B398" s="14" t="s">
        <v>3665</v>
      </c>
      <c r="C398" s="14" t="s">
        <v>6892</v>
      </c>
    </row>
    <row r="399" spans="1:3" ht="15.75" customHeight="1">
      <c r="A399" s="14">
        <v>2084250272</v>
      </c>
      <c r="B399" s="14" t="s">
        <v>6893</v>
      </c>
      <c r="C399" s="14" t="s">
        <v>6894</v>
      </c>
    </row>
    <row r="400" spans="1:3" ht="15.75" customHeight="1">
      <c r="A400" s="14">
        <v>2084250266</v>
      </c>
      <c r="B400" s="14" t="s">
        <v>6896</v>
      </c>
      <c r="C400" s="14" t="s">
        <v>6898</v>
      </c>
    </row>
    <row r="401" spans="1:3" ht="15.75" customHeight="1">
      <c r="A401" s="14">
        <v>2084250296</v>
      </c>
      <c r="B401" s="14" t="s">
        <v>6899</v>
      </c>
      <c r="C401" s="14" t="s">
        <v>6900</v>
      </c>
    </row>
    <row r="402" spans="1:3" ht="15.75" customHeight="1">
      <c r="A402" s="14">
        <v>2084250297</v>
      </c>
      <c r="B402" s="14" t="s">
        <v>6903</v>
      </c>
      <c r="C402" s="14" t="s">
        <v>6904</v>
      </c>
    </row>
    <row r="403" spans="1:3" ht="15.75" customHeight="1">
      <c r="A403" s="14">
        <v>2084250298</v>
      </c>
      <c r="B403" s="14" t="s">
        <v>46</v>
      </c>
      <c r="C403" s="14" t="s">
        <v>6906</v>
      </c>
    </row>
    <row r="404" spans="1:3" ht="15.75" customHeight="1">
      <c r="A404" s="14">
        <v>2084250308</v>
      </c>
      <c r="B404" s="14" t="s">
        <v>3665</v>
      </c>
      <c r="C404" s="14" t="s">
        <v>6908</v>
      </c>
    </row>
    <row r="405" spans="1:3" ht="15.75" customHeight="1">
      <c r="A405" s="14">
        <v>2084250309</v>
      </c>
      <c r="B405" s="14" t="s">
        <v>6909</v>
      </c>
      <c r="C405" s="14" t="s">
        <v>6911</v>
      </c>
    </row>
    <row r="406" spans="1:3" ht="15.75" customHeight="1">
      <c r="A406" s="14">
        <v>2084250315</v>
      </c>
      <c r="B406" s="14" t="s">
        <v>6912</v>
      </c>
      <c r="C406" s="14" t="s">
        <v>6913</v>
      </c>
    </row>
    <row r="407" spans="1:3" ht="15.75" customHeight="1">
      <c r="A407" s="14">
        <v>2084250316</v>
      </c>
      <c r="B407" s="14" t="s">
        <v>46</v>
      </c>
      <c r="C407" s="14" t="s">
        <v>6915</v>
      </c>
    </row>
    <row r="408" spans="1:3" ht="15.75" customHeight="1">
      <c r="A408" s="14">
        <v>2084250300</v>
      </c>
      <c r="B408" s="14" t="s">
        <v>3665</v>
      </c>
      <c r="C408" s="14" t="s">
        <v>6918</v>
      </c>
    </row>
    <row r="409" spans="1:3" ht="15.75" customHeight="1">
      <c r="A409" s="14">
        <v>2084250301</v>
      </c>
      <c r="B409" s="14" t="s">
        <v>6920</v>
      </c>
      <c r="C409" s="14" t="s">
        <v>6922</v>
      </c>
    </row>
    <row r="410" spans="1:3" ht="15.75" customHeight="1">
      <c r="A410" s="14">
        <v>2084250302</v>
      </c>
      <c r="B410" s="14" t="s">
        <v>6923</v>
      </c>
      <c r="C410" s="14" t="s">
        <v>6924</v>
      </c>
    </row>
    <row r="411" spans="1:3" ht="15.75" customHeight="1">
      <c r="A411" s="14">
        <v>2084250304</v>
      </c>
      <c r="B411" s="14" t="s">
        <v>6927</v>
      </c>
      <c r="C411" s="14" t="s">
        <v>6928</v>
      </c>
    </row>
    <row r="412" spans="1:3" ht="15.75" customHeight="1">
      <c r="A412" s="14">
        <v>2084250305</v>
      </c>
      <c r="B412" s="14" t="s">
        <v>2522</v>
      </c>
      <c r="C412" s="14" t="s">
        <v>6931</v>
      </c>
    </row>
    <row r="413" spans="1:3" ht="15.75" customHeight="1">
      <c r="A413" s="14">
        <v>2084250303</v>
      </c>
      <c r="B413" s="14" t="s">
        <v>6934</v>
      </c>
      <c r="C413" s="14" t="s">
        <v>6935</v>
      </c>
    </row>
    <row r="414" spans="1:3" ht="15.75" customHeight="1">
      <c r="A414" s="14">
        <v>2084250306</v>
      </c>
      <c r="B414" s="14" t="s">
        <v>46</v>
      </c>
      <c r="C414" s="14" t="s">
        <v>6938</v>
      </c>
    </row>
    <row r="415" spans="1:3" ht="15.75" customHeight="1">
      <c r="A415" s="14">
        <v>2084250326</v>
      </c>
      <c r="B415" s="14" t="s">
        <v>3665</v>
      </c>
      <c r="C415" s="14" t="s">
        <v>6940</v>
      </c>
    </row>
    <row r="416" spans="1:3" ht="15.75" customHeight="1">
      <c r="A416" s="14">
        <v>2084250327</v>
      </c>
      <c r="B416" s="14" t="s">
        <v>6942</v>
      </c>
      <c r="C416" s="14" t="s">
        <v>6943</v>
      </c>
    </row>
    <row r="417" spans="1:3" ht="15.75" customHeight="1">
      <c r="A417" s="14">
        <v>2084250328</v>
      </c>
      <c r="B417" s="14" t="s">
        <v>6944</v>
      </c>
      <c r="C417" s="14" t="s">
        <v>6946</v>
      </c>
    </row>
    <row r="418" spans="1:3" ht="15.75" customHeight="1">
      <c r="A418" s="14">
        <v>2084250329</v>
      </c>
      <c r="B418" s="14" t="s">
        <v>6948</v>
      </c>
      <c r="C418" s="14" t="s">
        <v>6949</v>
      </c>
    </row>
    <row r="419" spans="1:3" ht="15.75" customHeight="1">
      <c r="A419" s="14">
        <v>2084250330</v>
      </c>
      <c r="B419" s="14" t="s">
        <v>6951</v>
      </c>
      <c r="C419" s="14" t="s">
        <v>6952</v>
      </c>
    </row>
    <row r="420" spans="1:3" ht="15.75" customHeight="1">
      <c r="A420" s="14">
        <v>2084250331</v>
      </c>
      <c r="B420" s="14" t="s">
        <v>6954</v>
      </c>
      <c r="C420" s="14" t="s">
        <v>6955</v>
      </c>
    </row>
    <row r="421" spans="1:3" ht="15.75" customHeight="1">
      <c r="A421" s="14">
        <v>2084250332</v>
      </c>
      <c r="B421" s="14" t="s">
        <v>46</v>
      </c>
      <c r="C421" s="14" t="s">
        <v>6958</v>
      </c>
    </row>
    <row r="422" spans="1:3" ht="15.75" customHeight="1">
      <c r="A422" s="14">
        <v>2084250318</v>
      </c>
      <c r="B422" s="14" t="s">
        <v>3665</v>
      </c>
      <c r="C422" s="14" t="s">
        <v>6959</v>
      </c>
    </row>
    <row r="423" spans="1:3" ht="15.75" customHeight="1">
      <c r="A423" s="14">
        <v>2084250319</v>
      </c>
      <c r="B423" s="14" t="s">
        <v>6961</v>
      </c>
      <c r="C423" s="14" t="s">
        <v>6962</v>
      </c>
    </row>
    <row r="424" spans="1:3" ht="15.75" customHeight="1">
      <c r="A424" s="14">
        <v>2084250324</v>
      </c>
      <c r="B424" s="14" t="s">
        <v>46</v>
      </c>
      <c r="C424" s="14" t="s">
        <v>6965</v>
      </c>
    </row>
    <row r="425" spans="1:3" ht="15.75" customHeight="1">
      <c r="A425" s="14">
        <v>2084063790</v>
      </c>
      <c r="B425" s="14" t="s">
        <v>6242</v>
      </c>
      <c r="C425" s="14" t="s">
        <v>6970</v>
      </c>
    </row>
    <row r="426" spans="1:3" ht="15.75" customHeight="1">
      <c r="A426" s="14">
        <v>2084063791</v>
      </c>
      <c r="B426" s="14" t="s">
        <v>6971</v>
      </c>
      <c r="C426" s="14" t="s">
        <v>6972</v>
      </c>
    </row>
    <row r="427" spans="1:3" ht="15.75" customHeight="1">
      <c r="A427" s="14">
        <v>2084063795</v>
      </c>
      <c r="B427" s="14" t="s">
        <v>6975</v>
      </c>
      <c r="C427" s="14" t="s">
        <v>6977</v>
      </c>
    </row>
    <row r="428" spans="1:3" ht="15.75" customHeight="1">
      <c r="A428" s="14">
        <v>2084316146</v>
      </c>
      <c r="B428" s="14" t="s">
        <v>3549</v>
      </c>
      <c r="C428" s="14" t="s">
        <v>3552</v>
      </c>
    </row>
    <row r="429" spans="1:3" ht="15.75" customHeight="1">
      <c r="A429" s="14">
        <v>2084316147</v>
      </c>
      <c r="B429" s="14" t="s">
        <v>3554</v>
      </c>
      <c r="C429" s="14" t="s">
        <v>3556</v>
      </c>
    </row>
    <row r="430" spans="1:3" ht="15.75" customHeight="1">
      <c r="A430" s="14">
        <v>2084251214</v>
      </c>
      <c r="B430" s="14" t="s">
        <v>6984</v>
      </c>
      <c r="C430" s="14" t="s">
        <v>6985</v>
      </c>
    </row>
    <row r="431" spans="1:3" ht="15.75" customHeight="1">
      <c r="A431" s="14">
        <v>2084251215</v>
      </c>
      <c r="B431" s="14" t="s">
        <v>6987</v>
      </c>
      <c r="C431" s="14" t="s">
        <v>6989</v>
      </c>
    </row>
    <row r="432" spans="1:3" ht="15.75" customHeight="1">
      <c r="A432" s="14">
        <v>2084251221</v>
      </c>
      <c r="B432" s="14" t="s">
        <v>6990</v>
      </c>
      <c r="C432" s="14" t="s">
        <v>6992</v>
      </c>
    </row>
    <row r="433" spans="1:3" ht="15.75" customHeight="1">
      <c r="A433" s="14">
        <v>2084251222</v>
      </c>
      <c r="B433" s="14" t="s">
        <v>6994</v>
      </c>
      <c r="C433" s="14" t="s">
        <v>6995</v>
      </c>
    </row>
    <row r="434" spans="1:3" ht="15.75" customHeight="1">
      <c r="A434" s="14">
        <v>2084251228</v>
      </c>
      <c r="B434" s="14" t="s">
        <v>1612</v>
      </c>
      <c r="C434" s="14" t="s">
        <v>6998</v>
      </c>
    </row>
    <row r="435" spans="1:3" ht="15.75" customHeight="1">
      <c r="A435" s="14">
        <v>2084251244</v>
      </c>
      <c r="B435" s="14" t="s">
        <v>46</v>
      </c>
      <c r="C435" s="14" t="s">
        <v>6999</v>
      </c>
    </row>
    <row r="436" spans="1:3" ht="15.75" customHeight="1">
      <c r="A436" s="14">
        <v>2084251246</v>
      </c>
      <c r="B436" s="14" t="s">
        <v>6984</v>
      </c>
      <c r="C436" s="14" t="s">
        <v>7003</v>
      </c>
    </row>
    <row r="437" spans="1:3" ht="15.75" customHeight="1">
      <c r="A437" s="14">
        <v>2084251247</v>
      </c>
      <c r="B437" s="14" t="s">
        <v>6987</v>
      </c>
      <c r="C437" s="14" t="s">
        <v>7006</v>
      </c>
    </row>
    <row r="438" spans="1:3" ht="15.75" customHeight="1">
      <c r="A438" s="14">
        <v>2084251248</v>
      </c>
      <c r="B438" s="14" t="s">
        <v>6990</v>
      </c>
      <c r="C438" s="14" t="s">
        <v>7008</v>
      </c>
    </row>
    <row r="439" spans="1:3" ht="15.75" customHeight="1">
      <c r="A439" s="14">
        <v>2084251249</v>
      </c>
      <c r="B439" s="14" t="s">
        <v>6994</v>
      </c>
      <c r="C439" s="14" t="s">
        <v>7012</v>
      </c>
    </row>
    <row r="440" spans="1:3" ht="15.75" customHeight="1">
      <c r="A440" s="14">
        <v>2084251250</v>
      </c>
      <c r="B440" s="14" t="s">
        <v>1612</v>
      </c>
      <c r="C440" s="14" t="s">
        <v>7014</v>
      </c>
    </row>
    <row r="441" spans="1:3" ht="15.75" customHeight="1">
      <c r="A441" s="14">
        <v>2084251251</v>
      </c>
      <c r="B441" s="14" t="s">
        <v>46</v>
      </c>
      <c r="C441" s="14" t="s">
        <v>7017</v>
      </c>
    </row>
    <row r="442" spans="1:3" ht="15.75" customHeight="1">
      <c r="A442" s="14">
        <v>2084251253</v>
      </c>
      <c r="B442" s="14" t="s">
        <v>6984</v>
      </c>
      <c r="C442" s="14" t="s">
        <v>7020</v>
      </c>
    </row>
    <row r="443" spans="1:3" ht="15.75" customHeight="1">
      <c r="A443" s="14">
        <v>2084251254</v>
      </c>
      <c r="B443" s="14" t="s">
        <v>6987</v>
      </c>
      <c r="C443" s="14" t="s">
        <v>7021</v>
      </c>
    </row>
    <row r="444" spans="1:3" ht="15.75" customHeight="1">
      <c r="A444" s="14">
        <v>2084251255</v>
      </c>
      <c r="B444" s="14" t="s">
        <v>6990</v>
      </c>
      <c r="C444" s="14" t="s">
        <v>7025</v>
      </c>
    </row>
    <row r="445" spans="1:3" ht="15.75" customHeight="1">
      <c r="A445" s="14">
        <v>2084251256</v>
      </c>
      <c r="B445" s="14" t="s">
        <v>6994</v>
      </c>
      <c r="C445" s="14" t="s">
        <v>7028</v>
      </c>
    </row>
    <row r="446" spans="1:3" ht="15.75" customHeight="1">
      <c r="A446" s="14">
        <v>2084251257</v>
      </c>
      <c r="B446" s="14" t="s">
        <v>1612</v>
      </c>
      <c r="C446" s="14" t="s">
        <v>7031</v>
      </c>
    </row>
    <row r="447" spans="1:3" ht="15.75" customHeight="1">
      <c r="A447" s="14">
        <v>2084251258</v>
      </c>
      <c r="B447" s="14" t="s">
        <v>46</v>
      </c>
      <c r="C447" s="14" t="s">
        <v>7033</v>
      </c>
    </row>
    <row r="448" spans="1:3" ht="15.75" customHeight="1">
      <c r="A448" s="14">
        <v>2084316146</v>
      </c>
      <c r="B448" s="14" t="s">
        <v>3549</v>
      </c>
      <c r="C448" s="14" t="s">
        <v>3552</v>
      </c>
    </row>
    <row r="449" spans="1:3" ht="15.75" customHeight="1">
      <c r="A449" s="14">
        <v>2084316147</v>
      </c>
      <c r="B449" s="14" t="s">
        <v>3554</v>
      </c>
      <c r="C449" s="14" t="s">
        <v>3556</v>
      </c>
    </row>
    <row r="450" spans="1:3" ht="15.75" customHeight="1">
      <c r="A450" s="14">
        <v>2084251263</v>
      </c>
      <c r="B450" s="14" t="s">
        <v>7041</v>
      </c>
      <c r="C450" s="14" t="s">
        <v>7042</v>
      </c>
    </row>
    <row r="451" spans="1:3" ht="15.75" customHeight="1">
      <c r="A451" s="14">
        <v>2084251266</v>
      </c>
      <c r="B451" s="14" t="s">
        <v>7043</v>
      </c>
      <c r="C451" s="14" t="s">
        <v>7045</v>
      </c>
    </row>
    <row r="452" spans="1:3" ht="15.75" customHeight="1">
      <c r="A452" s="14">
        <v>2084251265</v>
      </c>
      <c r="B452" s="14" t="s">
        <v>7047</v>
      </c>
      <c r="C452" s="14" t="s">
        <v>7048</v>
      </c>
    </row>
    <row r="453" spans="1:3" ht="15.75" customHeight="1">
      <c r="A453" s="14">
        <v>2084251264</v>
      </c>
      <c r="B453" s="14" t="s">
        <v>7050</v>
      </c>
      <c r="C453" s="14" t="s">
        <v>7052</v>
      </c>
    </row>
    <row r="454" spans="1:3" ht="15.75" customHeight="1">
      <c r="A454" s="14">
        <v>2084251267</v>
      </c>
      <c r="B454" s="14" t="s">
        <v>46</v>
      </c>
      <c r="C454" s="14" t="s">
        <v>7055</v>
      </c>
    </row>
    <row r="455" spans="1:3" ht="15.75" customHeight="1">
      <c r="A455" s="14">
        <v>2084063790</v>
      </c>
      <c r="B455" s="14" t="s">
        <v>6242</v>
      </c>
      <c r="C455" s="14" t="s">
        <v>6970</v>
      </c>
    </row>
    <row r="456" spans="1:3" ht="15.75" customHeight="1">
      <c r="A456" s="14">
        <v>2084063791</v>
      </c>
      <c r="B456" s="14" t="s">
        <v>6971</v>
      </c>
      <c r="C456" s="14" t="s">
        <v>6972</v>
      </c>
    </row>
    <row r="457" spans="1:3" ht="15.75" customHeight="1">
      <c r="A457" s="14">
        <v>2084063795</v>
      </c>
      <c r="B457" s="14" t="s">
        <v>6975</v>
      </c>
      <c r="C457" s="14" t="s">
        <v>6977</v>
      </c>
    </row>
    <row r="458" spans="1:3" ht="15.75" customHeight="1">
      <c r="A458" s="14">
        <v>2084261089</v>
      </c>
      <c r="B458" s="14" t="s">
        <v>7060</v>
      </c>
      <c r="C458" s="14" t="s">
        <v>7061</v>
      </c>
    </row>
    <row r="459" spans="1:3" ht="15.75" customHeight="1">
      <c r="A459" s="14">
        <v>2084260115</v>
      </c>
      <c r="B459" s="14" t="s">
        <v>7062</v>
      </c>
      <c r="C459" s="14" t="s">
        <v>7063</v>
      </c>
    </row>
    <row r="460" spans="1:3" ht="15.75" customHeight="1">
      <c r="A460" s="14">
        <v>2084260116</v>
      </c>
      <c r="B460" s="14" t="s">
        <v>7066</v>
      </c>
      <c r="C460" s="14" t="s">
        <v>7067</v>
      </c>
    </row>
    <row r="461" spans="1:3" ht="15.75" customHeight="1">
      <c r="A461" s="14">
        <v>2084260117</v>
      </c>
      <c r="B461" s="14" t="s">
        <v>7068</v>
      </c>
      <c r="C461" s="14" t="s">
        <v>7070</v>
      </c>
    </row>
    <row r="462" spans="1:3" ht="15.75" customHeight="1">
      <c r="A462" s="14">
        <v>2084260120</v>
      </c>
      <c r="B462" s="14" t="s">
        <v>7072</v>
      </c>
      <c r="C462" s="14" t="s">
        <v>7073</v>
      </c>
    </row>
    <row r="463" spans="1:3" ht="15.75" customHeight="1">
      <c r="A463" s="14">
        <v>2084260121</v>
      </c>
      <c r="B463" s="14" t="s">
        <v>7077</v>
      </c>
      <c r="C463" s="14" t="s">
        <v>7078</v>
      </c>
    </row>
    <row r="464" spans="1:3" ht="15.75" customHeight="1">
      <c r="A464" s="14">
        <v>2084260122</v>
      </c>
      <c r="B464" s="14" t="s">
        <v>7079</v>
      </c>
      <c r="C464" s="14" t="s">
        <v>7081</v>
      </c>
    </row>
    <row r="465" spans="1:3" ht="15.75" customHeight="1">
      <c r="A465" s="14">
        <v>2084260126</v>
      </c>
      <c r="B465" s="14" t="s">
        <v>7083</v>
      </c>
      <c r="C465" s="14" t="s">
        <v>7084</v>
      </c>
    </row>
    <row r="466" spans="1:3" ht="15.75" customHeight="1">
      <c r="A466" s="14">
        <v>2084260127</v>
      </c>
      <c r="B466" s="14" t="s">
        <v>7086</v>
      </c>
      <c r="C466" s="14" t="s">
        <v>7087</v>
      </c>
    </row>
    <row r="467" spans="1:3" ht="15.75" customHeight="1">
      <c r="A467" s="14">
        <v>2084260131</v>
      </c>
      <c r="B467" s="14" t="s">
        <v>7089</v>
      </c>
      <c r="C467" s="14" t="s">
        <v>7090</v>
      </c>
    </row>
    <row r="468" spans="1:3" ht="15.75" customHeight="1">
      <c r="A468" s="14">
        <v>2084260132</v>
      </c>
      <c r="B468" s="14" t="s">
        <v>7093</v>
      </c>
      <c r="C468" s="14" t="s">
        <v>7094</v>
      </c>
    </row>
    <row r="469" spans="1:3" ht="15.75" customHeight="1">
      <c r="A469" s="14">
        <v>2084260133</v>
      </c>
      <c r="B469" s="14" t="s">
        <v>7097</v>
      </c>
      <c r="C469" s="14" t="s">
        <v>7099</v>
      </c>
    </row>
    <row r="470" spans="1:3" ht="15.75" customHeight="1">
      <c r="A470" s="14">
        <v>2084260137</v>
      </c>
      <c r="B470" s="14" t="s">
        <v>7101</v>
      </c>
      <c r="C470" s="14" t="s">
        <v>7102</v>
      </c>
    </row>
    <row r="471" spans="1:3" ht="15.75" customHeight="1">
      <c r="A471" s="14">
        <v>2084260138</v>
      </c>
      <c r="B471" s="14" t="s">
        <v>7103</v>
      </c>
      <c r="C471" s="14" t="s">
        <v>7105</v>
      </c>
    </row>
    <row r="472" spans="1:3" ht="15.75" customHeight="1">
      <c r="A472" s="14">
        <v>2084260139</v>
      </c>
      <c r="B472" s="14" t="s">
        <v>7107</v>
      </c>
      <c r="C472" s="14" t="s">
        <v>7108</v>
      </c>
    </row>
    <row r="473" spans="1:3" ht="15.75" customHeight="1">
      <c r="A473" s="14">
        <v>2084260140</v>
      </c>
      <c r="B473" s="14" t="s">
        <v>7111</v>
      </c>
      <c r="C473" s="14" t="s">
        <v>7113</v>
      </c>
    </row>
    <row r="474" spans="1:3" ht="15.75" customHeight="1">
      <c r="A474" s="14">
        <v>2084260141</v>
      </c>
      <c r="B474" s="14" t="s">
        <v>7114</v>
      </c>
      <c r="C474" s="14" t="s">
        <v>7115</v>
      </c>
    </row>
    <row r="475" spans="1:3" ht="15.75" customHeight="1">
      <c r="A475" s="14">
        <v>2084260144</v>
      </c>
      <c r="B475" s="14" t="s">
        <v>7118</v>
      </c>
      <c r="C475" s="14" t="s">
        <v>7120</v>
      </c>
    </row>
    <row r="476" spans="1:3" ht="15.75" customHeight="1">
      <c r="A476" s="14">
        <v>2084260145</v>
      </c>
      <c r="B476" s="14" t="s">
        <v>7121</v>
      </c>
      <c r="C476" s="14" t="s">
        <v>7122</v>
      </c>
    </row>
    <row r="477" spans="1:3" ht="15.75" customHeight="1">
      <c r="A477" s="14">
        <v>2084260146</v>
      </c>
      <c r="B477" s="14" t="s">
        <v>7125</v>
      </c>
      <c r="C477" s="14" t="s">
        <v>7127</v>
      </c>
    </row>
    <row r="478" spans="1:3" ht="15.75" customHeight="1">
      <c r="A478" s="14">
        <v>2084260152</v>
      </c>
      <c r="B478" s="14" t="s">
        <v>7128</v>
      </c>
      <c r="C478" s="14" t="s">
        <v>7131</v>
      </c>
    </row>
    <row r="479" spans="1:3" ht="15.75" customHeight="1">
      <c r="A479" s="14">
        <v>2084260153</v>
      </c>
      <c r="B479" s="14" t="s">
        <v>7135</v>
      </c>
      <c r="C479" s="14" t="s">
        <v>7136</v>
      </c>
    </row>
    <row r="480" spans="1:3" ht="15.75" customHeight="1">
      <c r="A480" s="14">
        <v>2084260160</v>
      </c>
      <c r="B480" s="14" t="s">
        <v>7139</v>
      </c>
      <c r="C480" s="14" t="s">
        <v>7140</v>
      </c>
    </row>
    <row r="481" spans="1:3" ht="15.75" customHeight="1">
      <c r="A481" s="14">
        <v>2084260161</v>
      </c>
      <c r="B481" s="14" t="s">
        <v>7142</v>
      </c>
      <c r="C481" s="14" t="s">
        <v>7144</v>
      </c>
    </row>
    <row r="482" spans="1:3" ht="15.75" customHeight="1">
      <c r="A482" s="14">
        <v>2084260162</v>
      </c>
      <c r="B482" s="14" t="s">
        <v>7145</v>
      </c>
      <c r="C482" s="14" t="s">
        <v>7147</v>
      </c>
    </row>
    <row r="483" spans="1:3" ht="15.75" customHeight="1">
      <c r="A483" s="14">
        <v>2084260163</v>
      </c>
      <c r="B483" s="14" t="s">
        <v>7148</v>
      </c>
      <c r="C483" s="14" t="s">
        <v>7149</v>
      </c>
    </row>
    <row r="484" spans="1:3" ht="15.75" customHeight="1">
      <c r="A484" s="14">
        <v>2084260164</v>
      </c>
      <c r="B484" s="14" t="s">
        <v>7151</v>
      </c>
      <c r="C484" s="14" t="s">
        <v>7153</v>
      </c>
    </row>
    <row r="485" spans="1:3" ht="15.75" customHeight="1">
      <c r="A485" s="14">
        <v>2084260165</v>
      </c>
      <c r="B485" s="14" t="s">
        <v>7154</v>
      </c>
      <c r="C485" s="14" t="s">
        <v>7156</v>
      </c>
    </row>
    <row r="486" spans="1:3" ht="15.75" customHeight="1">
      <c r="A486" s="14">
        <v>2084260166</v>
      </c>
      <c r="B486" s="14" t="s">
        <v>7160</v>
      </c>
      <c r="C486" s="14" t="s">
        <v>7161</v>
      </c>
    </row>
    <row r="487" spans="1:3" ht="15.75" customHeight="1">
      <c r="A487" s="14">
        <v>2084260167</v>
      </c>
      <c r="B487" s="14" t="s">
        <v>7162</v>
      </c>
      <c r="C487" s="14" t="s">
        <v>7163</v>
      </c>
    </row>
    <row r="488" spans="1:3" ht="15.75" customHeight="1">
      <c r="A488" s="14">
        <v>2084260168</v>
      </c>
      <c r="B488" s="14" t="s">
        <v>7166</v>
      </c>
      <c r="C488" s="14" t="s">
        <v>7168</v>
      </c>
    </row>
    <row r="489" spans="1:3" ht="15.75" customHeight="1">
      <c r="A489" s="14">
        <v>2084260169</v>
      </c>
      <c r="B489" s="14" t="s">
        <v>7169</v>
      </c>
      <c r="C489" s="14" t="s">
        <v>7170</v>
      </c>
    </row>
    <row r="490" spans="1:3" ht="15.75" customHeight="1">
      <c r="A490" s="14">
        <v>2084260170</v>
      </c>
      <c r="B490" s="14" t="s">
        <v>7173</v>
      </c>
      <c r="C490" s="14" t="s">
        <v>7174</v>
      </c>
    </row>
    <row r="491" spans="1:3" ht="15.75" customHeight="1">
      <c r="A491" s="14">
        <v>2084260174</v>
      </c>
      <c r="B491" s="14" t="s">
        <v>7177</v>
      </c>
      <c r="C491" s="14" t="s">
        <v>7179</v>
      </c>
    </row>
    <row r="492" spans="1:3" ht="15.75" customHeight="1">
      <c r="A492" s="14">
        <v>2084260175</v>
      </c>
      <c r="B492" s="14" t="s">
        <v>7180</v>
      </c>
      <c r="C492" s="14" t="s">
        <v>7182</v>
      </c>
    </row>
    <row r="493" spans="1:3" ht="15.75" customHeight="1">
      <c r="A493" s="14">
        <v>2084260176</v>
      </c>
      <c r="B493" s="14" t="s">
        <v>7184</v>
      </c>
      <c r="C493" s="14" t="s">
        <v>7185</v>
      </c>
    </row>
    <row r="494" spans="1:3" ht="15.75" customHeight="1">
      <c r="A494" s="14">
        <v>2084260177</v>
      </c>
      <c r="B494" s="14" t="s">
        <v>7187</v>
      </c>
      <c r="C494" s="14" t="s">
        <v>7189</v>
      </c>
    </row>
    <row r="495" spans="1:3" ht="15.75" customHeight="1">
      <c r="A495" s="14">
        <v>2084260181</v>
      </c>
      <c r="B495" s="14" t="s">
        <v>7190</v>
      </c>
      <c r="C495" s="14" t="s">
        <v>7191</v>
      </c>
    </row>
    <row r="496" spans="1:3" ht="15.75" customHeight="1">
      <c r="A496" s="14">
        <v>2084260182</v>
      </c>
      <c r="B496" s="14" t="s">
        <v>7195</v>
      </c>
      <c r="C496" s="14" t="s">
        <v>7196</v>
      </c>
    </row>
    <row r="497" spans="1:3" ht="15.75" customHeight="1">
      <c r="A497" s="14">
        <v>2084260183</v>
      </c>
      <c r="B497" s="14" t="s">
        <v>7197</v>
      </c>
      <c r="C497" s="14" t="s">
        <v>7200</v>
      </c>
    </row>
    <row r="498" spans="1:3" ht="15.75" customHeight="1">
      <c r="A498" s="14">
        <v>2084260173</v>
      </c>
      <c r="B498" s="14" t="s">
        <v>7203</v>
      </c>
      <c r="C498" s="14" t="s">
        <v>7204</v>
      </c>
    </row>
    <row r="499" spans="1:3" ht="15.75" customHeight="1">
      <c r="A499" s="14">
        <v>2084260184</v>
      </c>
      <c r="B499" s="14" t="s">
        <v>46</v>
      </c>
      <c r="C499" s="14" t="s">
        <v>7208</v>
      </c>
    </row>
    <row r="500" spans="1:3" ht="15.75" customHeight="1">
      <c r="A500" s="14">
        <v>2084260187</v>
      </c>
      <c r="B500" s="14" t="s">
        <v>6909</v>
      </c>
      <c r="C500" s="14" t="s">
        <v>7209</v>
      </c>
    </row>
    <row r="501" spans="1:3" ht="15.75" customHeight="1">
      <c r="A501" s="14">
        <v>2084260188</v>
      </c>
      <c r="B501" s="14" t="s">
        <v>7212</v>
      </c>
      <c r="C501" s="14" t="s">
        <v>7213</v>
      </c>
    </row>
    <row r="502" spans="1:3" ht="15.75" customHeight="1">
      <c r="A502" s="14">
        <v>2084259583</v>
      </c>
      <c r="B502" s="14" t="s">
        <v>7215</v>
      </c>
      <c r="C502" s="14" t="s">
        <v>7217</v>
      </c>
    </row>
    <row r="503" spans="1:3" ht="15.75" customHeight="1">
      <c r="A503" s="14">
        <v>2084259581</v>
      </c>
      <c r="B503" s="14" t="s">
        <v>7219</v>
      </c>
      <c r="C503" s="14" t="s">
        <v>7220</v>
      </c>
    </row>
    <row r="504" spans="1:3" ht="15.75" customHeight="1">
      <c r="A504" s="14">
        <v>2084259584</v>
      </c>
      <c r="B504" s="14" t="s">
        <v>7222</v>
      </c>
      <c r="C504" s="14" t="s">
        <v>7225</v>
      </c>
    </row>
    <row r="505" spans="1:3" ht="15.75" customHeight="1">
      <c r="A505" s="14">
        <v>2084259582</v>
      </c>
      <c r="B505" s="14" t="s">
        <v>7227</v>
      </c>
      <c r="C505" s="14" t="s">
        <v>7229</v>
      </c>
    </row>
    <row r="506" spans="1:3" ht="15.75" customHeight="1">
      <c r="A506" s="14">
        <v>2084259585</v>
      </c>
      <c r="B506" s="14" t="s">
        <v>7231</v>
      </c>
      <c r="C506" s="14" t="s">
        <v>7233</v>
      </c>
    </row>
    <row r="507" spans="1:3" ht="15.75" customHeight="1">
      <c r="A507" s="14">
        <v>2084259586</v>
      </c>
      <c r="B507" s="14" t="s">
        <v>7235</v>
      </c>
      <c r="C507" s="14" t="s">
        <v>7237</v>
      </c>
    </row>
    <row r="508" spans="1:3" ht="15.75" customHeight="1">
      <c r="A508" s="14">
        <v>2084259622</v>
      </c>
      <c r="B508" s="14" t="s">
        <v>7240</v>
      </c>
      <c r="C508" s="14" t="s">
        <v>7241</v>
      </c>
    </row>
    <row r="509" spans="1:3" ht="15.75" customHeight="1">
      <c r="A509" s="14">
        <v>2084259587</v>
      </c>
      <c r="B509" s="14" t="s">
        <v>7245</v>
      </c>
      <c r="C509" s="14" t="s">
        <v>7246</v>
      </c>
    </row>
    <row r="510" spans="1:3" ht="15.75" customHeight="1">
      <c r="A510" s="14">
        <v>2084259588</v>
      </c>
      <c r="B510" s="14" t="s">
        <v>7249</v>
      </c>
      <c r="C510" s="14" t="s">
        <v>7250</v>
      </c>
    </row>
    <row r="511" spans="1:3" ht="15.75" customHeight="1">
      <c r="A511" s="14">
        <v>2084259589</v>
      </c>
      <c r="B511" s="14" t="s">
        <v>7252</v>
      </c>
      <c r="C511" s="14" t="s">
        <v>7253</v>
      </c>
    </row>
    <row r="512" spans="1:3" ht="15.75" customHeight="1">
      <c r="A512" s="14">
        <v>2084259590</v>
      </c>
      <c r="B512" s="14" t="s">
        <v>46</v>
      </c>
      <c r="C512" s="14" t="s">
        <v>7255</v>
      </c>
    </row>
    <row r="513" spans="1:3" ht="15.75" customHeight="1">
      <c r="A513" s="14">
        <v>2084259595</v>
      </c>
      <c r="B513" s="14" t="s">
        <v>7257</v>
      </c>
      <c r="C513" s="14" t="s">
        <v>7258</v>
      </c>
    </row>
    <row r="514" spans="1:3" ht="15.75" customHeight="1">
      <c r="A514" s="14">
        <v>2084259596</v>
      </c>
      <c r="B514" s="14" t="s">
        <v>7259</v>
      </c>
      <c r="C514" s="14" t="s">
        <v>7262</v>
      </c>
    </row>
    <row r="515" spans="1:3" ht="15.75" customHeight="1">
      <c r="A515" s="14">
        <v>2084259597</v>
      </c>
      <c r="B515" s="14" t="s">
        <v>7263</v>
      </c>
      <c r="C515" s="14" t="s">
        <v>7264</v>
      </c>
    </row>
    <row r="516" spans="1:3" ht="15.75" customHeight="1">
      <c r="A516" s="14">
        <v>2084259598</v>
      </c>
      <c r="B516" s="14" t="s">
        <v>7222</v>
      </c>
      <c r="C516" s="14" t="s">
        <v>7267</v>
      </c>
    </row>
    <row r="517" spans="1:3" ht="15.75" customHeight="1">
      <c r="A517" s="14">
        <v>2084259592</v>
      </c>
      <c r="B517" s="14" t="s">
        <v>7219</v>
      </c>
      <c r="C517" s="14" t="s">
        <v>7270</v>
      </c>
    </row>
    <row r="518" spans="1:3" ht="15.75" customHeight="1">
      <c r="A518" s="14">
        <v>2084259593</v>
      </c>
      <c r="B518" s="14" t="s">
        <v>7227</v>
      </c>
      <c r="C518" s="14" t="s">
        <v>7273</v>
      </c>
    </row>
    <row r="519" spans="1:3" ht="15.75" customHeight="1">
      <c r="A519" s="14">
        <v>2084259608</v>
      </c>
      <c r="B519" s="14" t="s">
        <v>7275</v>
      </c>
      <c r="C519" s="14" t="s">
        <v>7277</v>
      </c>
    </row>
    <row r="520" spans="1:3" ht="15.75" customHeight="1">
      <c r="A520" s="14">
        <v>2084259609</v>
      </c>
      <c r="B520" s="14" t="s">
        <v>7235</v>
      </c>
      <c r="C520" s="14" t="s">
        <v>7280</v>
      </c>
    </row>
    <row r="521" spans="1:3" ht="15.75" customHeight="1">
      <c r="A521" s="14">
        <v>2084259594</v>
      </c>
      <c r="B521" s="14" t="s">
        <v>7240</v>
      </c>
      <c r="C521" s="14" t="s">
        <v>7283</v>
      </c>
    </row>
    <row r="522" spans="1:3" ht="15.75" customHeight="1">
      <c r="A522" s="14">
        <v>2084259610</v>
      </c>
      <c r="B522" s="14" t="s">
        <v>7245</v>
      </c>
      <c r="C522" s="14" t="s">
        <v>7286</v>
      </c>
    </row>
    <row r="523" spans="1:3" ht="15.75" customHeight="1">
      <c r="A523" s="14">
        <v>2084259616</v>
      </c>
      <c r="B523" s="14" t="s">
        <v>7249</v>
      </c>
      <c r="C523" s="14" t="s">
        <v>7288</v>
      </c>
    </row>
    <row r="524" spans="1:3" ht="15.75" customHeight="1">
      <c r="A524" s="14">
        <v>2084259617</v>
      </c>
      <c r="B524" s="14" t="s">
        <v>7252</v>
      </c>
      <c r="C524" s="14" t="s">
        <v>7293</v>
      </c>
    </row>
    <row r="525" spans="1:3" ht="15.75" customHeight="1">
      <c r="A525" s="14">
        <v>2084259618</v>
      </c>
      <c r="B525" s="14" t="s">
        <v>46</v>
      </c>
      <c r="C525" s="14" t="s">
        <v>7295</v>
      </c>
    </row>
    <row r="526" spans="1:3" ht="15.75" customHeight="1">
      <c r="A526" s="14">
        <v>2084040706</v>
      </c>
      <c r="B526" s="14" t="s">
        <v>7298</v>
      </c>
      <c r="C526" s="14" t="s">
        <v>7300</v>
      </c>
    </row>
    <row r="527" spans="1:3" ht="15.75" customHeight="1">
      <c r="A527" s="14">
        <v>2084040705</v>
      </c>
      <c r="B527" s="14" t="s">
        <v>7302</v>
      </c>
      <c r="C527" s="14" t="s">
        <v>7304</v>
      </c>
    </row>
    <row r="528" spans="1:3" ht="15.75" customHeight="1">
      <c r="A528" s="14">
        <v>2084040704</v>
      </c>
      <c r="B528" s="14" t="s">
        <v>4516</v>
      </c>
      <c r="C528" s="14" t="s">
        <v>7307</v>
      </c>
    </row>
    <row r="529" spans="1:3" ht="15.75" customHeight="1">
      <c r="A529" s="14">
        <v>2084040699</v>
      </c>
      <c r="B529" s="14" t="s">
        <v>3410</v>
      </c>
      <c r="C529" s="14" t="s">
        <v>7310</v>
      </c>
    </row>
    <row r="530" spans="1:3" ht="15.75" customHeight="1">
      <c r="A530" s="14">
        <v>2084040707</v>
      </c>
      <c r="B530" s="14" t="s">
        <v>46</v>
      </c>
      <c r="C530" s="14" t="s">
        <v>7311</v>
      </c>
    </row>
    <row r="531" spans="1:3" ht="15.75" customHeight="1">
      <c r="A531" s="14">
        <v>2084023721</v>
      </c>
      <c r="B531" s="14" t="s">
        <v>2979</v>
      </c>
      <c r="C531" s="14" t="s">
        <v>2980</v>
      </c>
    </row>
    <row r="532" spans="1:3" ht="15.75" customHeight="1">
      <c r="A532" s="14">
        <v>2084023722</v>
      </c>
      <c r="B532" s="14" t="s">
        <v>2985</v>
      </c>
      <c r="C532" s="14" t="s">
        <v>2986</v>
      </c>
    </row>
    <row r="533" spans="1:3" ht="15.75" customHeight="1">
      <c r="A533" s="14">
        <v>2084023723</v>
      </c>
      <c r="B533" s="14" t="s">
        <v>2992</v>
      </c>
      <c r="C533" s="14" t="s">
        <v>2993</v>
      </c>
    </row>
    <row r="534" spans="1:3" ht="15.75" customHeight="1">
      <c r="A534" s="14">
        <v>2084023623</v>
      </c>
      <c r="B534" s="14" t="s">
        <v>3000</v>
      </c>
      <c r="C534" s="14" t="s">
        <v>3001</v>
      </c>
    </row>
    <row r="535" spans="1:3" ht="15.75" customHeight="1">
      <c r="A535" s="14">
        <v>2084023745</v>
      </c>
      <c r="B535" s="14" t="s">
        <v>3007</v>
      </c>
      <c r="C535" s="14" t="s">
        <v>3008</v>
      </c>
    </row>
    <row r="536" spans="1:3" ht="15.75" customHeight="1">
      <c r="A536" s="14">
        <v>2084023694</v>
      </c>
      <c r="B536" s="14" t="s">
        <v>3013</v>
      </c>
      <c r="C536" s="14" t="s">
        <v>3014</v>
      </c>
    </row>
    <row r="537" spans="1:3" ht="15.75" customHeight="1">
      <c r="A537" s="14">
        <v>2084023644</v>
      </c>
      <c r="B537" s="14" t="s">
        <v>3019</v>
      </c>
      <c r="C537" s="14" t="s">
        <v>3021</v>
      </c>
    </row>
    <row r="538" spans="1:3" ht="15.75" customHeight="1">
      <c r="A538" s="14">
        <v>2084023661</v>
      </c>
      <c r="B538" s="14" t="s">
        <v>3027</v>
      </c>
      <c r="C538" s="14" t="s">
        <v>3028</v>
      </c>
    </row>
    <row r="539" spans="1:3" ht="15.75" customHeight="1">
      <c r="A539" s="14">
        <v>2084023719</v>
      </c>
      <c r="B539" s="14" t="s">
        <v>2966</v>
      </c>
      <c r="C539" s="14" t="s">
        <v>3037</v>
      </c>
    </row>
    <row r="540" spans="1:3" ht="15.75" customHeight="1">
      <c r="A540" s="14">
        <v>2084047373</v>
      </c>
      <c r="B540" s="14" t="s">
        <v>46</v>
      </c>
      <c r="C540" s="14" t="s">
        <v>3048</v>
      </c>
    </row>
    <row r="541" spans="1:3" ht="15.75" customHeight="1">
      <c r="A541" s="14">
        <v>2084052787</v>
      </c>
      <c r="B541" s="14" t="s">
        <v>1678</v>
      </c>
      <c r="C541" s="14" t="s">
        <v>7330</v>
      </c>
    </row>
    <row r="542" spans="1:3" ht="15.75" customHeight="1">
      <c r="A542" s="14">
        <v>2084052788</v>
      </c>
      <c r="B542" s="14" t="s">
        <v>7333</v>
      </c>
      <c r="C542" s="14" t="s">
        <v>7334</v>
      </c>
    </row>
    <row r="543" spans="1:3" ht="15.75" customHeight="1">
      <c r="A543" s="14">
        <v>2084052789</v>
      </c>
      <c r="B543" s="14" t="s">
        <v>1612</v>
      </c>
      <c r="C543" s="14" t="s">
        <v>7336</v>
      </c>
    </row>
    <row r="544" spans="1:3" ht="15.75" customHeight="1">
      <c r="A544" s="14">
        <v>2084052790</v>
      </c>
      <c r="B544" s="14" t="s">
        <v>1685</v>
      </c>
      <c r="C544" s="14" t="s">
        <v>7338</v>
      </c>
    </row>
    <row r="545" spans="1:3" ht="15.75" customHeight="1">
      <c r="A545" s="14">
        <v>2084052791</v>
      </c>
      <c r="B545" s="14" t="s">
        <v>46</v>
      </c>
      <c r="C545" s="14" t="s">
        <v>7341</v>
      </c>
    </row>
    <row r="546" spans="1:3" ht="15.75" customHeight="1">
      <c r="A546" s="14">
        <v>2084258813</v>
      </c>
      <c r="B546" s="14" t="s">
        <v>1678</v>
      </c>
      <c r="C546" s="14" t="s">
        <v>7343</v>
      </c>
    </row>
    <row r="547" spans="1:3" ht="15.75" customHeight="1">
      <c r="A547" s="14">
        <v>2084258814</v>
      </c>
      <c r="B547" s="14" t="s">
        <v>1612</v>
      </c>
      <c r="C547" s="14" t="s">
        <v>7345</v>
      </c>
    </row>
    <row r="548" spans="1:3" ht="15.75" customHeight="1">
      <c r="A548" s="14">
        <v>2084258815</v>
      </c>
      <c r="B548" s="14" t="s">
        <v>46</v>
      </c>
      <c r="C548" s="14" t="s">
        <v>7348</v>
      </c>
    </row>
    <row r="549" spans="1:3" ht="15.75" customHeight="1">
      <c r="A549" s="14">
        <v>2084052784</v>
      </c>
      <c r="B549" s="14" t="s">
        <v>1678</v>
      </c>
      <c r="C549" s="14" t="s">
        <v>7350</v>
      </c>
    </row>
    <row r="550" spans="1:3" ht="15.75" customHeight="1">
      <c r="A550" s="14">
        <v>2084052785</v>
      </c>
      <c r="B550" s="14" t="s">
        <v>1612</v>
      </c>
      <c r="C550" s="14" t="s">
        <v>7353</v>
      </c>
    </row>
    <row r="551" spans="1:3" ht="15.75" customHeight="1">
      <c r="A551" s="14">
        <v>2084052786</v>
      </c>
      <c r="B551" s="14" t="s">
        <v>46</v>
      </c>
      <c r="C551" s="14" t="s">
        <v>7356</v>
      </c>
    </row>
    <row r="552" spans="1:3" ht="15.75" customHeight="1">
      <c r="A552" s="14">
        <v>2084020055</v>
      </c>
      <c r="B552" s="14" t="s">
        <v>3429</v>
      </c>
      <c r="C552" s="14" t="s">
        <v>3430</v>
      </c>
    </row>
    <row r="553" spans="1:3" ht="15.75" customHeight="1">
      <c r="A553" s="14">
        <v>2084020052</v>
      </c>
      <c r="B553" s="14" t="s">
        <v>3434</v>
      </c>
      <c r="C553" s="14" t="s">
        <v>3436</v>
      </c>
    </row>
    <row r="554" spans="1:3" ht="15.75" customHeight="1">
      <c r="A554" s="14">
        <v>2084020034</v>
      </c>
      <c r="B554" s="14" t="s">
        <v>3441</v>
      </c>
      <c r="C554" s="14" t="s">
        <v>3444</v>
      </c>
    </row>
    <row r="555" spans="1:3" ht="15.75" customHeight="1">
      <c r="A555" s="14">
        <v>2084020035</v>
      </c>
      <c r="B555" s="14" t="s">
        <v>922</v>
      </c>
      <c r="C555" s="14" t="s">
        <v>3450</v>
      </c>
    </row>
    <row r="556" spans="1:3" ht="15.75" customHeight="1">
      <c r="A556" s="14">
        <v>2084020061</v>
      </c>
      <c r="B556" s="14" t="s">
        <v>3454</v>
      </c>
      <c r="C556" s="14" t="s">
        <v>3456</v>
      </c>
    </row>
    <row r="557" spans="1:3" ht="15.75" customHeight="1">
      <c r="A557" s="14">
        <v>2084020056</v>
      </c>
      <c r="B557" s="14" t="s">
        <v>3460</v>
      </c>
      <c r="C557" s="14" t="s">
        <v>3461</v>
      </c>
    </row>
    <row r="558" spans="1:3" ht="15.75" customHeight="1">
      <c r="A558" s="14">
        <v>2084020050</v>
      </c>
      <c r="B558" s="14" t="s">
        <v>210</v>
      </c>
      <c r="C558" s="14" t="s">
        <v>3465</v>
      </c>
    </row>
    <row r="559" spans="1:3" ht="15.75" customHeight="1">
      <c r="A559" s="14">
        <v>2084020042</v>
      </c>
      <c r="B559" s="14" t="s">
        <v>3468</v>
      </c>
      <c r="C559" s="14" t="s">
        <v>3469</v>
      </c>
    </row>
    <row r="560" spans="1:3" ht="15.75" customHeight="1">
      <c r="A560" s="14">
        <v>2084020047</v>
      </c>
      <c r="B560" s="14" t="s">
        <v>3473</v>
      </c>
      <c r="C560" s="14" t="s">
        <v>3474</v>
      </c>
    </row>
    <row r="561" spans="1:3" ht="15.75" customHeight="1">
      <c r="A561" s="14">
        <v>2084020036</v>
      </c>
      <c r="B561" s="14" t="s">
        <v>3479</v>
      </c>
      <c r="C561" s="14" t="s">
        <v>3481</v>
      </c>
    </row>
    <row r="562" spans="1:3" ht="15.75" customHeight="1">
      <c r="A562" s="14">
        <v>2084020037</v>
      </c>
      <c r="B562" s="14" t="s">
        <v>3488</v>
      </c>
      <c r="C562" s="14" t="s">
        <v>3489</v>
      </c>
    </row>
    <row r="563" spans="1:3" ht="15.75" customHeight="1">
      <c r="A563" s="14">
        <v>2084020016</v>
      </c>
      <c r="B563" s="14" t="s">
        <v>3495</v>
      </c>
      <c r="C563" s="14" t="s">
        <v>3498</v>
      </c>
    </row>
    <row r="564" spans="1:3" ht="15.75" customHeight="1">
      <c r="A564" s="14">
        <v>2084048015</v>
      </c>
      <c r="B564" s="14" t="s">
        <v>3502</v>
      </c>
      <c r="C564" s="14" t="s">
        <v>3505</v>
      </c>
    </row>
    <row r="565" spans="1:3" ht="15.75" customHeight="1">
      <c r="A565" s="14">
        <v>2084020058</v>
      </c>
      <c r="B565" s="14" t="s">
        <v>3511</v>
      </c>
      <c r="C565" s="14" t="s">
        <v>3512</v>
      </c>
    </row>
    <row r="566" spans="1:3" ht="15.75" customHeight="1">
      <c r="A566" s="14">
        <v>2084020043</v>
      </c>
      <c r="B566" s="14" t="s">
        <v>3518</v>
      </c>
      <c r="C566" s="14" t="s">
        <v>3519</v>
      </c>
    </row>
    <row r="567" spans="1:3" ht="15.75" customHeight="1">
      <c r="A567" s="14">
        <v>2084005261</v>
      </c>
      <c r="B567" s="14" t="s">
        <v>3526</v>
      </c>
      <c r="C567" s="14" t="s">
        <v>3528</v>
      </c>
    </row>
    <row r="568" spans="1:3" ht="15.75" customHeight="1">
      <c r="A568" s="14">
        <v>2084020051</v>
      </c>
      <c r="B568" s="14" t="s">
        <v>3534</v>
      </c>
      <c r="C568" s="14" t="s">
        <v>3535</v>
      </c>
    </row>
    <row r="569" spans="1:3" ht="15.75" customHeight="1">
      <c r="A569" s="14">
        <v>2084034100</v>
      </c>
      <c r="B569" s="14" t="s">
        <v>3541</v>
      </c>
      <c r="C569" s="14" t="s">
        <v>3542</v>
      </c>
    </row>
    <row r="570" spans="1:3" ht="15.75" customHeight="1">
      <c r="A570" s="14">
        <v>2084020044</v>
      </c>
      <c r="B570" s="14" t="s">
        <v>3546</v>
      </c>
      <c r="C570" s="14" t="s">
        <v>3547</v>
      </c>
    </row>
    <row r="571" spans="1:3" ht="15.75" customHeight="1">
      <c r="A571" s="14">
        <v>2084040586</v>
      </c>
      <c r="B571" s="14" t="s">
        <v>3553</v>
      </c>
      <c r="C571" s="14" t="s">
        <v>3555</v>
      </c>
    </row>
    <row r="572" spans="1:3" ht="15.75" customHeight="1">
      <c r="A572" s="14">
        <v>2084020045</v>
      </c>
      <c r="B572" s="14" t="s">
        <v>3559</v>
      </c>
      <c r="C572" s="14" t="s">
        <v>3561</v>
      </c>
    </row>
    <row r="573" spans="1:3" ht="15.75" customHeight="1">
      <c r="A573" s="14">
        <v>27587</v>
      </c>
      <c r="B573" s="14" t="s">
        <v>2828</v>
      </c>
      <c r="C573" s="14" t="s">
        <v>3567</v>
      </c>
    </row>
    <row r="574" spans="1:3" ht="15.75" customHeight="1">
      <c r="A574" s="14">
        <v>2084020046</v>
      </c>
      <c r="B574" s="14" t="s">
        <v>3571</v>
      </c>
      <c r="C574" s="14" t="s">
        <v>3572</v>
      </c>
    </row>
    <row r="575" spans="1:3" ht="15.75" customHeight="1">
      <c r="A575" s="14">
        <v>2084020041</v>
      </c>
      <c r="B575" s="14" t="s">
        <v>3575</v>
      </c>
      <c r="C575" s="14" t="s">
        <v>3576</v>
      </c>
    </row>
    <row r="576" spans="1:3" ht="15.75" customHeight="1">
      <c r="A576" s="14">
        <v>2084020048</v>
      </c>
      <c r="B576" s="14" t="s">
        <v>1049</v>
      </c>
      <c r="C576" s="14" t="s">
        <v>3579</v>
      </c>
    </row>
    <row r="577" spans="1:3" ht="15.75" customHeight="1">
      <c r="A577" s="14">
        <v>2084020033</v>
      </c>
      <c r="B577" s="14" t="s">
        <v>1265</v>
      </c>
      <c r="C577" s="14" t="s">
        <v>3582</v>
      </c>
    </row>
    <row r="578" spans="1:3" ht="15.75" customHeight="1">
      <c r="A578" s="14">
        <v>2084020057</v>
      </c>
      <c r="B578" s="14" t="s">
        <v>3585</v>
      </c>
      <c r="C578" s="14" t="s">
        <v>3586</v>
      </c>
    </row>
    <row r="579" spans="1:3" ht="15.75" customHeight="1">
      <c r="A579" s="14">
        <v>2084020053</v>
      </c>
      <c r="B579" s="14" t="s">
        <v>3589</v>
      </c>
      <c r="C579" s="14" t="s">
        <v>3590</v>
      </c>
    </row>
    <row r="580" spans="1:3" ht="15.75" customHeight="1">
      <c r="A580" s="14">
        <v>25966</v>
      </c>
      <c r="B580" s="14" t="s">
        <v>3595</v>
      </c>
      <c r="C580" s="14" t="s">
        <v>3597</v>
      </c>
    </row>
    <row r="581" spans="1:3" ht="15.75" customHeight="1">
      <c r="A581" s="14">
        <v>2084020040</v>
      </c>
      <c r="B581" s="14" t="s">
        <v>3603</v>
      </c>
      <c r="C581" s="14" t="s">
        <v>3605</v>
      </c>
    </row>
    <row r="582" spans="1:3" ht="15.75" customHeight="1">
      <c r="A582" s="14">
        <v>2084020039</v>
      </c>
      <c r="B582" s="14" t="s">
        <v>3607</v>
      </c>
      <c r="C582" s="14" t="s">
        <v>3610</v>
      </c>
    </row>
    <row r="583" spans="1:3" ht="15.75" customHeight="1">
      <c r="A583" s="14">
        <v>2084020059</v>
      </c>
      <c r="B583" s="14" t="s">
        <v>3615</v>
      </c>
      <c r="C583" s="14" t="s">
        <v>3616</v>
      </c>
    </row>
    <row r="584" spans="1:3" ht="15.75" customHeight="1">
      <c r="A584" s="14">
        <v>2084046540</v>
      </c>
      <c r="B584" s="14" t="s">
        <v>3622</v>
      </c>
      <c r="C584" s="14" t="s">
        <v>3623</v>
      </c>
    </row>
    <row r="585" spans="1:3" ht="15.75" customHeight="1">
      <c r="A585" s="14">
        <v>2084049982</v>
      </c>
      <c r="B585" s="14" t="s">
        <v>3628</v>
      </c>
      <c r="C585" s="14" t="s">
        <v>3630</v>
      </c>
    </row>
    <row r="586" spans="1:3" ht="15.75" customHeight="1">
      <c r="A586" s="14">
        <v>2084020060</v>
      </c>
      <c r="B586" s="14" t="s">
        <v>1382</v>
      </c>
      <c r="C586" s="14" t="s">
        <v>3633</v>
      </c>
    </row>
    <row r="587" spans="1:3" ht="15.75" customHeight="1">
      <c r="A587" s="14">
        <v>2084020038</v>
      </c>
      <c r="B587" s="14" t="s">
        <v>3637</v>
      </c>
      <c r="C587" s="14" t="s">
        <v>3640</v>
      </c>
    </row>
    <row r="588" spans="1:3" ht="15.75" customHeight="1">
      <c r="A588" s="14">
        <v>2084020054</v>
      </c>
      <c r="B588" s="14" t="s">
        <v>3646</v>
      </c>
      <c r="C588" s="14" t="s">
        <v>3648</v>
      </c>
    </row>
    <row r="589" spans="1:3" ht="15.75" customHeight="1">
      <c r="A589" s="14">
        <v>2084020049</v>
      </c>
      <c r="B589" s="14" t="s">
        <v>1517</v>
      </c>
      <c r="C589" s="14" t="s">
        <v>3654</v>
      </c>
    </row>
    <row r="590" spans="1:3" ht="15.75" customHeight="1">
      <c r="A590" s="14">
        <v>2084020062</v>
      </c>
      <c r="B590" s="14" t="s">
        <v>46</v>
      </c>
      <c r="C590" s="14" t="s">
        <v>3660</v>
      </c>
    </row>
    <row r="591" spans="1:3" ht="15.75" customHeight="1">
      <c r="A591" s="14">
        <v>25466</v>
      </c>
      <c r="B591" s="14" t="s">
        <v>7429</v>
      </c>
      <c r="C591" s="14" t="s">
        <v>7431</v>
      </c>
    </row>
    <row r="592" spans="1:3" ht="15.75" customHeight="1">
      <c r="A592" s="14">
        <v>2084005092</v>
      </c>
      <c r="B592" s="14" t="s">
        <v>7434</v>
      </c>
      <c r="C592" s="14" t="s">
        <v>7435</v>
      </c>
    </row>
    <row r="593" spans="1:3" ht="15.75" customHeight="1">
      <c r="A593" s="14">
        <v>2084005093</v>
      </c>
      <c r="B593" s="14" t="s">
        <v>7439</v>
      </c>
      <c r="C593" s="14" t="s">
        <v>7440</v>
      </c>
    </row>
    <row r="594" spans="1:3" ht="15.75" customHeight="1">
      <c r="A594" s="14">
        <v>2084310500</v>
      </c>
      <c r="B594" s="14" t="s">
        <v>7443</v>
      </c>
      <c r="C594" s="14" t="s">
        <v>7444</v>
      </c>
    </row>
    <row r="595" spans="1:3" ht="15.75" customHeight="1">
      <c r="A595" s="14">
        <v>2084048446</v>
      </c>
      <c r="B595" s="14" t="s">
        <v>7447</v>
      </c>
      <c r="C595" s="14" t="s">
        <v>7448</v>
      </c>
    </row>
    <row r="596" spans="1:3" ht="15.75" customHeight="1">
      <c r="A596" s="14">
        <v>2084046540</v>
      </c>
      <c r="B596" s="14" t="s">
        <v>3622</v>
      </c>
      <c r="C596" s="14" t="s">
        <v>7453</v>
      </c>
    </row>
    <row r="597" spans="1:3" ht="15.75" customHeight="1">
      <c r="A597" s="14">
        <v>2084020013</v>
      </c>
      <c r="B597" s="14" t="s">
        <v>46</v>
      </c>
      <c r="C597" s="14" t="s">
        <v>7455</v>
      </c>
    </row>
    <row r="598" spans="1:3" ht="15.75" customHeight="1">
      <c r="A598" s="14">
        <v>2084060159</v>
      </c>
      <c r="B598" s="14" t="s">
        <v>7459</v>
      </c>
      <c r="C598" s="14" t="s">
        <v>7460</v>
      </c>
    </row>
    <row r="599" spans="1:3" ht="15.75" customHeight="1">
      <c r="A599" s="14">
        <v>2084007499</v>
      </c>
      <c r="B599" s="14" t="s">
        <v>7462</v>
      </c>
      <c r="C599" s="14" t="s">
        <v>7465</v>
      </c>
    </row>
    <row r="600" spans="1:3" ht="15.75" customHeight="1">
      <c r="A600" s="14">
        <v>2084007514</v>
      </c>
      <c r="B600" s="14" t="s">
        <v>7467</v>
      </c>
      <c r="C600" s="14" t="s">
        <v>7468</v>
      </c>
    </row>
    <row r="601" spans="1:3" ht="15.75" customHeight="1">
      <c r="A601" s="14">
        <v>2084020065</v>
      </c>
      <c r="B601" s="14" t="s">
        <v>7471</v>
      </c>
      <c r="C601" s="14" t="s">
        <v>7473</v>
      </c>
    </row>
    <row r="602" spans="1:3" ht="15.75" customHeight="1">
      <c r="A602" s="14">
        <v>2084020064</v>
      </c>
      <c r="B602" s="14" t="s">
        <v>7475</v>
      </c>
      <c r="C602" s="14" t="s">
        <v>7477</v>
      </c>
    </row>
    <row r="603" spans="1:3" ht="15.75" customHeight="1">
      <c r="A603" s="14">
        <v>2084020066</v>
      </c>
      <c r="B603" s="14" t="s">
        <v>7479</v>
      </c>
      <c r="C603" s="14" t="s">
        <v>7481</v>
      </c>
    </row>
    <row r="604" spans="1:3" ht="15.75" customHeight="1">
      <c r="A604" s="14">
        <v>2084048374</v>
      </c>
      <c r="B604" s="14" t="s">
        <v>46</v>
      </c>
      <c r="C604" s="14" t="s">
        <v>7482</v>
      </c>
    </row>
    <row r="605" spans="1:3" ht="15.75" customHeight="1">
      <c r="A605" s="14">
        <v>2084020100</v>
      </c>
      <c r="B605" s="14" t="s">
        <v>4452</v>
      </c>
      <c r="C605" s="14" t="s">
        <v>7487</v>
      </c>
    </row>
    <row r="606" spans="1:3" ht="15.75" customHeight="1">
      <c r="A606" s="14">
        <v>40509</v>
      </c>
      <c r="B606" s="14" t="s">
        <v>4516</v>
      </c>
      <c r="C606" s="14" t="s">
        <v>7489</v>
      </c>
    </row>
    <row r="607" spans="1:3" ht="15.75" customHeight="1">
      <c r="A607" s="14">
        <v>25812</v>
      </c>
      <c r="B607" s="14" t="s">
        <v>7491</v>
      </c>
      <c r="C607" s="14" t="s">
        <v>7492</v>
      </c>
    </row>
    <row r="608" spans="1:3" ht="15.75" customHeight="1">
      <c r="A608" s="14">
        <v>2084039599</v>
      </c>
      <c r="B608" s="14" t="s">
        <v>7495</v>
      </c>
      <c r="C608" s="14" t="s">
        <v>7497</v>
      </c>
    </row>
    <row r="609" spans="1:3" ht="15.75" customHeight="1">
      <c r="A609" s="14">
        <v>2084310501</v>
      </c>
      <c r="B609" s="14" t="s">
        <v>7498</v>
      </c>
      <c r="C609" s="14" t="s">
        <v>7500</v>
      </c>
    </row>
    <row r="610" spans="1:3" ht="15.75" customHeight="1">
      <c r="A610" s="14">
        <v>2084310651</v>
      </c>
      <c r="B610" s="14" t="s">
        <v>7503</v>
      </c>
      <c r="C610" s="14" t="s">
        <v>7504</v>
      </c>
    </row>
    <row r="611" spans="1:3" ht="15.75" customHeight="1">
      <c r="A611" s="14">
        <v>2084023782</v>
      </c>
      <c r="B611" s="14" t="s">
        <v>7507</v>
      </c>
      <c r="C611" s="14" t="s">
        <v>7509</v>
      </c>
    </row>
    <row r="612" spans="1:3" ht="15.75" customHeight="1">
      <c r="A612" s="14">
        <v>2084023622</v>
      </c>
      <c r="B612" s="14" t="s">
        <v>3902</v>
      </c>
      <c r="C612" s="14" t="s">
        <v>7511</v>
      </c>
    </row>
    <row r="613" spans="1:3" ht="15.75" customHeight="1">
      <c r="A613" s="14">
        <v>2084040564</v>
      </c>
      <c r="B613" s="14" t="s">
        <v>7513</v>
      </c>
      <c r="C613" s="14" t="s">
        <v>7514</v>
      </c>
    </row>
    <row r="614" spans="1:3" ht="15.75" customHeight="1">
      <c r="A614" s="14">
        <v>2084023799</v>
      </c>
      <c r="B614" s="14" t="s">
        <v>5107</v>
      </c>
      <c r="C614" s="14" t="s">
        <v>7517</v>
      </c>
    </row>
    <row r="615" spans="1:3" ht="15.75" customHeight="1">
      <c r="A615" s="14">
        <v>21688</v>
      </c>
      <c r="B615" s="14" t="s">
        <v>7518</v>
      </c>
      <c r="C615" s="14" t="s">
        <v>7520</v>
      </c>
    </row>
    <row r="616" spans="1:3" ht="15.75" customHeight="1">
      <c r="A616" s="14">
        <v>25892</v>
      </c>
      <c r="B616" s="14" t="s">
        <v>4458</v>
      </c>
      <c r="C616" s="14" t="s">
        <v>7523</v>
      </c>
    </row>
    <row r="617" spans="1:3" ht="15.75" customHeight="1">
      <c r="A617" s="14">
        <v>25890</v>
      </c>
      <c r="B617" s="14" t="s">
        <v>5663</v>
      </c>
      <c r="C617" s="14" t="s">
        <v>7526</v>
      </c>
    </row>
    <row r="618" spans="1:3" ht="15.75" customHeight="1">
      <c r="A618" s="14">
        <v>2084063729</v>
      </c>
      <c r="B618" s="14" t="s">
        <v>7528</v>
      </c>
      <c r="C618" s="14" t="s">
        <v>7529</v>
      </c>
    </row>
    <row r="619" spans="1:3" ht="15.75" customHeight="1">
      <c r="A619" s="14">
        <v>2084023795</v>
      </c>
      <c r="B619" s="14" t="s">
        <v>4489</v>
      </c>
      <c r="C619" s="14" t="s">
        <v>7532</v>
      </c>
    </row>
    <row r="620" spans="1:3" ht="15.75" customHeight="1">
      <c r="A620" s="14">
        <v>2084042426</v>
      </c>
      <c r="B620" s="14" t="s">
        <v>3888</v>
      </c>
      <c r="C620" s="14" t="s">
        <v>7533</v>
      </c>
    </row>
    <row r="621" spans="1:3" ht="15.75" customHeight="1">
      <c r="A621" s="14">
        <v>2084023831</v>
      </c>
      <c r="B621" s="14" t="s">
        <v>3743</v>
      </c>
      <c r="C621" s="14" t="s">
        <v>7535</v>
      </c>
    </row>
    <row r="622" spans="1:3" ht="15.75" customHeight="1">
      <c r="A622" s="14">
        <v>25870</v>
      </c>
      <c r="B622" s="14" t="s">
        <v>7313</v>
      </c>
      <c r="C622" s="14" t="s">
        <v>7536</v>
      </c>
    </row>
    <row r="623" spans="1:3" ht="15.75" customHeight="1">
      <c r="A623" s="14">
        <v>2084309436</v>
      </c>
      <c r="B623" s="14" t="s">
        <v>46</v>
      </c>
      <c r="C623" s="14" t="s">
        <v>7537</v>
      </c>
    </row>
    <row r="624" spans="1:3" ht="15.75" customHeight="1">
      <c r="A624" s="14">
        <v>2084020165</v>
      </c>
      <c r="B624" s="14" t="s">
        <v>93</v>
      </c>
      <c r="C624" s="14" t="s">
        <v>7538</v>
      </c>
    </row>
    <row r="625" spans="1:3" ht="15.75" customHeight="1">
      <c r="A625" s="14">
        <v>2084310502</v>
      </c>
      <c r="B625" s="14" t="s">
        <v>7540</v>
      </c>
      <c r="C625" s="14" t="s">
        <v>7541</v>
      </c>
    </row>
    <row r="626" spans="1:3" ht="15.75" customHeight="1">
      <c r="A626" s="14">
        <v>2084044854</v>
      </c>
      <c r="B626" s="14" t="s">
        <v>133</v>
      </c>
      <c r="C626" s="14" t="s">
        <v>7542</v>
      </c>
    </row>
    <row r="627" spans="1:3" ht="15.75" customHeight="1">
      <c r="A627" s="14">
        <v>2084020144</v>
      </c>
      <c r="B627" s="14" t="s">
        <v>7544</v>
      </c>
      <c r="C627" s="14" t="s">
        <v>7545</v>
      </c>
    </row>
    <row r="628" spans="1:3" ht="15.75" customHeight="1">
      <c r="A628" s="14">
        <v>2084020167</v>
      </c>
      <c r="B628" s="14" t="s">
        <v>210</v>
      </c>
      <c r="C628" s="14" t="s">
        <v>7546</v>
      </c>
    </row>
    <row r="629" spans="1:3" ht="15.75" customHeight="1">
      <c r="A629" s="14">
        <v>2084020147</v>
      </c>
      <c r="B629" s="14" t="s">
        <v>7548</v>
      </c>
      <c r="C629" s="14" t="s">
        <v>7549</v>
      </c>
    </row>
    <row r="630" spans="1:3" ht="15.75" customHeight="1">
      <c r="A630" s="14">
        <v>2084227897</v>
      </c>
      <c r="B630" s="14" t="s">
        <v>7550</v>
      </c>
      <c r="C630" s="14" t="s">
        <v>7552</v>
      </c>
    </row>
    <row r="631" spans="1:3" ht="15.75" customHeight="1">
      <c r="A631" s="14">
        <v>2084039600</v>
      </c>
      <c r="B631" s="14" t="s">
        <v>7553</v>
      </c>
      <c r="C631" s="14" t="s">
        <v>7554</v>
      </c>
    </row>
    <row r="632" spans="1:3" ht="15.75" customHeight="1">
      <c r="A632" s="14">
        <v>2084044857</v>
      </c>
      <c r="B632" s="14" t="s">
        <v>7557</v>
      </c>
      <c r="C632" s="14" t="s">
        <v>7558</v>
      </c>
    </row>
    <row r="633" spans="1:3" ht="15.75" customHeight="1">
      <c r="A633" s="14">
        <v>2084034096</v>
      </c>
      <c r="B633" s="14" t="s">
        <v>7559</v>
      </c>
      <c r="C633" s="14" t="s">
        <v>7561</v>
      </c>
    </row>
    <row r="634" spans="1:3" ht="15.75" customHeight="1">
      <c r="A634" s="14">
        <v>2084020155</v>
      </c>
      <c r="B634" s="14" t="s">
        <v>3518</v>
      </c>
      <c r="C634" s="14" t="s">
        <v>7563</v>
      </c>
    </row>
    <row r="635" spans="1:3" ht="15.75" customHeight="1">
      <c r="A635" s="14">
        <v>2084020132</v>
      </c>
      <c r="B635" s="14" t="s">
        <v>7566</v>
      </c>
      <c r="C635" s="14" t="s">
        <v>7567</v>
      </c>
    </row>
    <row r="636" spans="1:3" ht="15.75" customHeight="1">
      <c r="A636" s="14">
        <v>2084020156</v>
      </c>
      <c r="B636" s="14" t="s">
        <v>3546</v>
      </c>
      <c r="C636" s="14" t="s">
        <v>7570</v>
      </c>
    </row>
    <row r="637" spans="1:3" ht="15.75" customHeight="1">
      <c r="A637" s="14">
        <v>2084020146</v>
      </c>
      <c r="B637" s="14" t="s">
        <v>7571</v>
      </c>
      <c r="C637" s="14" t="s">
        <v>7573</v>
      </c>
    </row>
    <row r="638" spans="1:3" ht="15.75" customHeight="1">
      <c r="A638" s="14">
        <v>2084020148</v>
      </c>
      <c r="B638" s="14" t="s">
        <v>922</v>
      </c>
      <c r="C638" s="14" t="s">
        <v>7575</v>
      </c>
    </row>
    <row r="639" spans="1:3" ht="15.75" customHeight="1">
      <c r="A639" s="14">
        <v>2084044859</v>
      </c>
      <c r="B639" s="14" t="s">
        <v>3454</v>
      </c>
      <c r="C639" s="14" t="s">
        <v>7577</v>
      </c>
    </row>
    <row r="640" spans="1:3" ht="15.75" customHeight="1">
      <c r="A640" s="14">
        <v>2084020161</v>
      </c>
      <c r="B640" s="14" t="s">
        <v>3559</v>
      </c>
      <c r="C640" s="14" t="s">
        <v>7579</v>
      </c>
    </row>
    <row r="641" spans="1:3" ht="15.75" customHeight="1">
      <c r="A641" s="14">
        <v>2084020108</v>
      </c>
      <c r="B641" s="14" t="s">
        <v>2828</v>
      </c>
      <c r="C641" s="14" t="s">
        <v>7581</v>
      </c>
    </row>
    <row r="642" spans="1:3" ht="15.75" customHeight="1">
      <c r="A642" s="14">
        <v>2084020153</v>
      </c>
      <c r="B642" s="14" t="s">
        <v>7582</v>
      </c>
      <c r="C642" s="14" t="s">
        <v>7584</v>
      </c>
    </row>
    <row r="643" spans="1:3" ht="15.75" customHeight="1">
      <c r="A643" s="14">
        <v>2084020164</v>
      </c>
      <c r="B643" s="14" t="s">
        <v>1049</v>
      </c>
      <c r="C643" s="14" t="s">
        <v>7586</v>
      </c>
    </row>
    <row r="644" spans="1:3" ht="15.75" customHeight="1">
      <c r="A644" s="14">
        <v>2084310503</v>
      </c>
      <c r="B644" s="14" t="s">
        <v>1168</v>
      </c>
      <c r="C644" s="14" t="s">
        <v>7589</v>
      </c>
    </row>
    <row r="645" spans="1:3" ht="15.75" customHeight="1">
      <c r="A645" s="14">
        <v>2084044855</v>
      </c>
      <c r="B645" s="14" t="s">
        <v>7590</v>
      </c>
      <c r="C645" s="14" t="s">
        <v>7591</v>
      </c>
    </row>
    <row r="646" spans="1:3" ht="15.75" customHeight="1">
      <c r="A646" s="14">
        <v>2084020174</v>
      </c>
      <c r="B646" s="14" t="s">
        <v>3460</v>
      </c>
      <c r="C646" s="14" t="s">
        <v>7593</v>
      </c>
    </row>
    <row r="647" spans="1:3" ht="15.75" customHeight="1">
      <c r="A647" s="14">
        <v>2084020176</v>
      </c>
      <c r="B647" s="14" t="s">
        <v>3585</v>
      </c>
      <c r="C647" s="14" t="s">
        <v>7594</v>
      </c>
    </row>
    <row r="648" spans="1:3" ht="15.75" customHeight="1">
      <c r="A648" s="14">
        <v>2084044852</v>
      </c>
      <c r="B648" s="14" t="s">
        <v>7595</v>
      </c>
      <c r="C648" s="14" t="s">
        <v>7596</v>
      </c>
    </row>
    <row r="649" spans="1:3" ht="15.75" customHeight="1">
      <c r="A649" s="14">
        <v>2084020171</v>
      </c>
      <c r="B649" s="14" t="s">
        <v>3589</v>
      </c>
      <c r="C649" s="14" t="s">
        <v>7597</v>
      </c>
    </row>
    <row r="650" spans="1:3" ht="15.75" customHeight="1">
      <c r="A650" s="14">
        <v>25964</v>
      </c>
      <c r="B650" s="14" t="s">
        <v>3595</v>
      </c>
      <c r="C650" s="14" t="s">
        <v>7598</v>
      </c>
    </row>
    <row r="651" spans="1:3" ht="15.75" customHeight="1">
      <c r="A651" s="14">
        <v>2084020152</v>
      </c>
      <c r="B651" s="14" t="s">
        <v>3603</v>
      </c>
      <c r="C651" s="14" t="s">
        <v>7599</v>
      </c>
    </row>
    <row r="652" spans="1:3" ht="15.75" customHeight="1">
      <c r="A652" s="14">
        <v>2084020175</v>
      </c>
      <c r="B652" s="14" t="s">
        <v>3607</v>
      </c>
      <c r="C652" s="14" t="s">
        <v>7600</v>
      </c>
    </row>
    <row r="653" spans="1:3" ht="15.75" customHeight="1">
      <c r="A653" s="14">
        <v>40007</v>
      </c>
      <c r="B653" s="14" t="s">
        <v>7601</v>
      </c>
      <c r="C653" s="14" t="s">
        <v>7602</v>
      </c>
    </row>
    <row r="654" spans="1:3" ht="15.75" customHeight="1">
      <c r="A654" s="14">
        <v>2084020178</v>
      </c>
      <c r="B654" s="14" t="s">
        <v>3615</v>
      </c>
      <c r="C654" s="14" t="s">
        <v>7603</v>
      </c>
    </row>
    <row r="655" spans="1:3" ht="15.75" customHeight="1">
      <c r="A655" s="14">
        <v>2084024171</v>
      </c>
      <c r="B655" s="14" t="s">
        <v>7604</v>
      </c>
      <c r="C655" s="14" t="s">
        <v>7605</v>
      </c>
    </row>
    <row r="656" spans="1:3" ht="15.75" customHeight="1">
      <c r="A656" s="14">
        <v>2084044858</v>
      </c>
      <c r="B656" s="14" t="s">
        <v>7606</v>
      </c>
      <c r="C656" s="14" t="s">
        <v>7607</v>
      </c>
    </row>
    <row r="657" spans="1:3" ht="15.75" customHeight="1">
      <c r="A657" s="14">
        <v>2084020179</v>
      </c>
      <c r="B657" s="14" t="s">
        <v>1382</v>
      </c>
      <c r="C657" s="14" t="s">
        <v>7608</v>
      </c>
    </row>
    <row r="658" spans="1:3" ht="15.75" customHeight="1">
      <c r="A658" s="14">
        <v>2084044847</v>
      </c>
      <c r="B658" s="14" t="s">
        <v>7609</v>
      </c>
      <c r="C658" s="14" t="s">
        <v>7610</v>
      </c>
    </row>
    <row r="659" spans="1:3" ht="15.75" customHeight="1">
      <c r="A659" s="14">
        <v>2084020172</v>
      </c>
      <c r="B659" s="14" t="s">
        <v>3646</v>
      </c>
      <c r="C659" s="14" t="s">
        <v>7611</v>
      </c>
    </row>
    <row r="660" spans="1:3" ht="15.75" customHeight="1">
      <c r="A660" s="14">
        <v>2084020166</v>
      </c>
      <c r="B660" s="14" t="s">
        <v>1517</v>
      </c>
      <c r="C660" s="14" t="s">
        <v>7612</v>
      </c>
    </row>
    <row r="661" spans="1:3" ht="15.75" customHeight="1">
      <c r="A661" s="14">
        <v>2084060488</v>
      </c>
      <c r="B661" s="14" t="s">
        <v>7613</v>
      </c>
      <c r="C661" s="14" t="s">
        <v>7614</v>
      </c>
    </row>
    <row r="662" spans="1:3" ht="15.75" customHeight="1">
      <c r="A662" s="14">
        <v>2084020181</v>
      </c>
      <c r="B662" s="14" t="s">
        <v>46</v>
      </c>
      <c r="C662" s="14" t="s">
        <v>7615</v>
      </c>
    </row>
    <row r="663" spans="1:3" ht="15.75" customHeight="1">
      <c r="A663" s="14">
        <v>2084310507</v>
      </c>
      <c r="B663" s="14" t="s">
        <v>7616</v>
      </c>
      <c r="C663" s="14" t="s">
        <v>7617</v>
      </c>
    </row>
    <row r="664" spans="1:3" ht="15.75" customHeight="1">
      <c r="A664" s="14">
        <v>2084020075</v>
      </c>
      <c r="B664" s="14" t="s">
        <v>7618</v>
      </c>
      <c r="C664" s="14" t="s">
        <v>7619</v>
      </c>
    </row>
    <row r="665" spans="1:3" ht="15.75" customHeight="1">
      <c r="A665" s="14">
        <v>2084020067</v>
      </c>
      <c r="B665" s="14" t="s">
        <v>7620</v>
      </c>
      <c r="C665" s="14" t="s">
        <v>7621</v>
      </c>
    </row>
    <row r="666" spans="1:3" ht="15.75" customHeight="1">
      <c r="A666" s="14">
        <v>2084020081</v>
      </c>
      <c r="B666" s="14" t="s">
        <v>7623</v>
      </c>
      <c r="C666" s="14" t="s">
        <v>7624</v>
      </c>
    </row>
    <row r="667" spans="1:3" ht="15.75" customHeight="1">
      <c r="A667" s="14">
        <v>2084020082</v>
      </c>
      <c r="B667" s="14" t="s">
        <v>7625</v>
      </c>
      <c r="C667" s="14" t="s">
        <v>7626</v>
      </c>
    </row>
    <row r="668" spans="1:3" ht="15.75" customHeight="1">
      <c r="A668" s="14">
        <v>2084039697</v>
      </c>
      <c r="B668" s="14" t="s">
        <v>7628</v>
      </c>
      <c r="C668" s="14" t="s">
        <v>7629</v>
      </c>
    </row>
    <row r="669" spans="1:3" ht="15.75" customHeight="1">
      <c r="A669" s="14">
        <v>2084020084</v>
      </c>
      <c r="B669" s="14" t="s">
        <v>7560</v>
      </c>
      <c r="C669" s="14" t="s">
        <v>7631</v>
      </c>
    </row>
    <row r="670" spans="1:3" ht="15.75" customHeight="1">
      <c r="A670" s="14">
        <v>2084020069</v>
      </c>
      <c r="B670" s="14" t="s">
        <v>7632</v>
      </c>
      <c r="C670" s="14" t="s">
        <v>7633</v>
      </c>
    </row>
    <row r="671" spans="1:3" ht="15.75" customHeight="1">
      <c r="A671" s="14">
        <v>2084020085</v>
      </c>
      <c r="B671" s="14" t="s">
        <v>7634</v>
      </c>
      <c r="C671" s="14" t="s">
        <v>7636</v>
      </c>
    </row>
    <row r="672" spans="1:3" ht="15.75" customHeight="1">
      <c r="A672" s="14">
        <v>2084020077</v>
      </c>
      <c r="B672" s="14" t="s">
        <v>7637</v>
      </c>
      <c r="C672" s="14" t="s">
        <v>7639</v>
      </c>
    </row>
    <row r="673" spans="1:3" ht="15.75" customHeight="1">
      <c r="A673" s="14">
        <v>2084020073</v>
      </c>
      <c r="B673" s="14" t="s">
        <v>7641</v>
      </c>
      <c r="C673" s="14" t="s">
        <v>7642</v>
      </c>
    </row>
    <row r="674" spans="1:3" ht="15.75" customHeight="1">
      <c r="A674" s="14">
        <v>2084020088</v>
      </c>
      <c r="B674" s="14" t="s">
        <v>7645</v>
      </c>
      <c r="C674" s="14" t="s">
        <v>7646</v>
      </c>
    </row>
    <row r="675" spans="1:3" ht="15.75" customHeight="1">
      <c r="A675" s="14">
        <v>2084020079</v>
      </c>
      <c r="B675" s="14" t="s">
        <v>7647</v>
      </c>
      <c r="C675" s="14" t="s">
        <v>7649</v>
      </c>
    </row>
    <row r="676" spans="1:3" ht="15.75" customHeight="1">
      <c r="A676" s="14">
        <v>2084020089</v>
      </c>
      <c r="B676" s="14" t="s">
        <v>7651</v>
      </c>
      <c r="C676" s="14" t="s">
        <v>7652</v>
      </c>
    </row>
    <row r="677" spans="1:3" ht="15.75" customHeight="1">
      <c r="A677" s="14">
        <v>2084039598</v>
      </c>
      <c r="B677" s="14" t="s">
        <v>7654</v>
      </c>
      <c r="C677" s="14" t="s">
        <v>7655</v>
      </c>
    </row>
    <row r="678" spans="1:3" ht="15.75" customHeight="1">
      <c r="A678" s="14">
        <v>2084020071</v>
      </c>
      <c r="B678" s="14" t="s">
        <v>7657</v>
      </c>
      <c r="C678" s="14" t="s">
        <v>7658</v>
      </c>
    </row>
    <row r="679" spans="1:3" ht="15.75" customHeight="1">
      <c r="A679" s="14">
        <v>2084020091</v>
      </c>
      <c r="B679" s="14" t="s">
        <v>7659</v>
      </c>
      <c r="C679" s="14" t="s">
        <v>7661</v>
      </c>
    </row>
    <row r="680" spans="1:3" ht="15.75" customHeight="1">
      <c r="A680" s="14">
        <v>2084020093</v>
      </c>
      <c r="B680" s="14" t="s">
        <v>7663</v>
      </c>
      <c r="C680" s="14" t="s">
        <v>7664</v>
      </c>
    </row>
    <row r="681" spans="1:3" ht="15.75" customHeight="1">
      <c r="A681" s="14">
        <v>2084039596</v>
      </c>
      <c r="B681" s="14" t="s">
        <v>7666</v>
      </c>
      <c r="C681" s="14" t="s">
        <v>7668</v>
      </c>
    </row>
    <row r="682" spans="1:3" ht="15.75" customHeight="1">
      <c r="A682" s="14">
        <v>2084020095</v>
      </c>
      <c r="B682" s="14" t="s">
        <v>7669</v>
      </c>
      <c r="C682" s="14" t="s">
        <v>7670</v>
      </c>
    </row>
    <row r="683" spans="1:3" ht="15.75" customHeight="1">
      <c r="A683" s="14">
        <v>2084020098</v>
      </c>
      <c r="B683" s="14" t="s">
        <v>7672</v>
      </c>
      <c r="C683" s="14" t="s">
        <v>7674</v>
      </c>
    </row>
    <row r="684" spans="1:3" ht="15.75" customHeight="1">
      <c r="A684" s="14">
        <v>2084020099</v>
      </c>
      <c r="B684" s="14" t="s">
        <v>46</v>
      </c>
      <c r="C684" s="14" t="s">
        <v>7675</v>
      </c>
    </row>
    <row r="685" spans="1:3" ht="15.75" customHeight="1">
      <c r="A685" s="14">
        <v>2084062134</v>
      </c>
      <c r="B685" s="14" t="s">
        <v>7</v>
      </c>
      <c r="C685" s="14" t="s">
        <v>7676</v>
      </c>
    </row>
    <row r="686" spans="1:3" ht="15.75" customHeight="1">
      <c r="A686" s="14">
        <v>2084000109</v>
      </c>
      <c r="B686" s="14" t="s">
        <v>7483</v>
      </c>
      <c r="C686" s="14" t="s">
        <v>7679</v>
      </c>
    </row>
    <row r="687" spans="1:3" ht="15.75" customHeight="1">
      <c r="A687" s="14">
        <v>2084050909</v>
      </c>
      <c r="B687" s="14" t="s">
        <v>7680</v>
      </c>
      <c r="C687" s="14" t="s">
        <v>7681</v>
      </c>
    </row>
    <row r="688" spans="1:3" ht="15.75" customHeight="1">
      <c r="A688" s="14">
        <v>2084313425</v>
      </c>
      <c r="B688" s="14" t="s">
        <v>7684</v>
      </c>
      <c r="C688" s="14" t="s">
        <v>7685</v>
      </c>
    </row>
    <row r="689" spans="1:3" ht="15.75" customHeight="1">
      <c r="A689" s="14">
        <v>2084313426</v>
      </c>
      <c r="B689" s="14" t="s">
        <v>7686</v>
      </c>
      <c r="C689" s="14" t="s">
        <v>7687</v>
      </c>
    </row>
    <row r="690" spans="1:3" ht="15.75" customHeight="1">
      <c r="A690" s="14">
        <v>2084313427</v>
      </c>
      <c r="B690" s="14" t="s">
        <v>7688</v>
      </c>
      <c r="C690" s="14" t="s">
        <v>7689</v>
      </c>
    </row>
    <row r="691" spans="1:3" ht="15.75" customHeight="1">
      <c r="A691" s="14">
        <v>2084313428</v>
      </c>
      <c r="B691" s="14" t="s">
        <v>7691</v>
      </c>
      <c r="C691" s="14" t="s">
        <v>7692</v>
      </c>
    </row>
    <row r="692" spans="1:3" ht="15.75" customHeight="1">
      <c r="A692" s="14">
        <v>2084313429</v>
      </c>
      <c r="B692" s="14" t="s">
        <v>7693</v>
      </c>
      <c r="C692" s="14" t="s">
        <v>7694</v>
      </c>
    </row>
    <row r="693" spans="1:3" ht="15.75" customHeight="1">
      <c r="A693" s="14">
        <v>2084006021</v>
      </c>
      <c r="B693" s="14" t="s">
        <v>7697</v>
      </c>
      <c r="C693" s="14" t="s">
        <v>7698</v>
      </c>
    </row>
    <row r="694" spans="1:3" ht="15.75" customHeight="1">
      <c r="A694" s="14">
        <v>2084037544</v>
      </c>
      <c r="B694" s="14" t="s">
        <v>7699</v>
      </c>
      <c r="C694" s="14" t="s">
        <v>7701</v>
      </c>
    </row>
    <row r="695" spans="1:3" ht="15.75" customHeight="1">
      <c r="A695" s="14">
        <v>2084005356</v>
      </c>
      <c r="B695" s="14" t="s">
        <v>7703</v>
      </c>
      <c r="C695" s="14" t="s">
        <v>7704</v>
      </c>
    </row>
    <row r="696" spans="1:3" ht="15.75" customHeight="1">
      <c r="A696" s="14">
        <v>2084297891</v>
      </c>
      <c r="B696" s="14" t="s">
        <v>7706</v>
      </c>
      <c r="C696" s="14" t="s">
        <v>7708</v>
      </c>
    </row>
    <row r="697" spans="1:3" ht="15.75" customHeight="1">
      <c r="A697" s="14">
        <v>25888</v>
      </c>
      <c r="B697" s="14" t="s">
        <v>7351</v>
      </c>
      <c r="C697" s="14" t="s">
        <v>7709</v>
      </c>
    </row>
    <row r="698" spans="1:3" ht="15.75" customHeight="1">
      <c r="A698" s="14">
        <v>2084250334</v>
      </c>
      <c r="B698" s="14" t="s">
        <v>7711</v>
      </c>
      <c r="C698" s="14" t="s">
        <v>7712</v>
      </c>
    </row>
    <row r="699" spans="1:3" ht="15.75" customHeight="1">
      <c r="A699" s="14">
        <v>21636</v>
      </c>
      <c r="B699" s="14" t="s">
        <v>7714</v>
      </c>
      <c r="C699" s="14" t="s">
        <v>7716</v>
      </c>
    </row>
    <row r="700" spans="1:3" ht="15.75" customHeight="1">
      <c r="A700" s="14">
        <v>21976</v>
      </c>
      <c r="B700" s="14" t="s">
        <v>7717</v>
      </c>
      <c r="C700" s="14" t="s">
        <v>7718</v>
      </c>
    </row>
    <row r="701" spans="1:3" ht="15.75" customHeight="1">
      <c r="A701" s="14">
        <v>22080</v>
      </c>
      <c r="B701" s="14" t="s">
        <v>7721</v>
      </c>
      <c r="C701" s="14" t="s">
        <v>7722</v>
      </c>
    </row>
    <row r="702" spans="1:3" ht="15.75" customHeight="1">
      <c r="A702" s="14">
        <v>22028</v>
      </c>
      <c r="B702" s="14" t="s">
        <v>7725</v>
      </c>
      <c r="C702" s="14" t="s">
        <v>7726</v>
      </c>
    </row>
    <row r="703" spans="1:3" ht="15.75" customHeight="1">
      <c r="A703" s="14">
        <v>2084041458</v>
      </c>
      <c r="B703" s="14" t="s">
        <v>7727</v>
      </c>
      <c r="C703" s="14" t="s">
        <v>7729</v>
      </c>
    </row>
    <row r="704" spans="1:3" ht="15.75" customHeight="1">
      <c r="A704" s="14">
        <v>2084005149</v>
      </c>
      <c r="B704" s="14" t="s">
        <v>7731</v>
      </c>
      <c r="C704" s="14" t="s">
        <v>7732</v>
      </c>
    </row>
    <row r="705" spans="1:3" ht="15.75" customHeight="1">
      <c r="A705" s="14">
        <v>2084007037</v>
      </c>
      <c r="B705" s="14" t="s">
        <v>7733</v>
      </c>
      <c r="C705" s="14" t="s">
        <v>7734</v>
      </c>
    </row>
    <row r="706" spans="1:3" ht="15.75" customHeight="1">
      <c r="A706" s="14">
        <v>2084006987</v>
      </c>
      <c r="B706" s="14" t="s">
        <v>7736</v>
      </c>
      <c r="C706" s="14" t="s">
        <v>7737</v>
      </c>
    </row>
    <row r="707" spans="1:3" ht="15.75" customHeight="1">
      <c r="A707" s="14">
        <v>2084006158</v>
      </c>
      <c r="B707" s="14" t="s">
        <v>7739</v>
      </c>
      <c r="C707" s="14" t="s">
        <v>7741</v>
      </c>
    </row>
    <row r="708" spans="1:3" ht="15.75" customHeight="1">
      <c r="A708" s="14">
        <v>21020</v>
      </c>
      <c r="B708" s="14" t="s">
        <v>7445</v>
      </c>
      <c r="C708" s="14" t="s">
        <v>7742</v>
      </c>
    </row>
    <row r="709" spans="1:3" ht="15.75" customHeight="1">
      <c r="A709" s="14">
        <v>2084046717</v>
      </c>
      <c r="B709" s="14" t="s">
        <v>7745</v>
      </c>
      <c r="C709" s="14" t="s">
        <v>7746</v>
      </c>
    </row>
    <row r="710" spans="1:3" ht="15.75" customHeight="1">
      <c r="A710" s="14">
        <v>2084005120</v>
      </c>
      <c r="B710" s="14" t="s">
        <v>5976</v>
      </c>
      <c r="C710" s="14" t="s">
        <v>7747</v>
      </c>
    </row>
    <row r="711" spans="1:3" ht="15.75" customHeight="1">
      <c r="A711" s="14">
        <v>2084006184</v>
      </c>
      <c r="B711" s="14" t="s">
        <v>5029</v>
      </c>
      <c r="C711" s="14" t="s">
        <v>7749</v>
      </c>
    </row>
    <row r="712" spans="1:3" ht="15.75" customHeight="1">
      <c r="A712" s="14">
        <v>2084006161</v>
      </c>
      <c r="B712" s="14" t="s">
        <v>7751</v>
      </c>
      <c r="C712" s="14" t="s">
        <v>7753</v>
      </c>
    </row>
    <row r="713" spans="1:3" ht="15.75" customHeight="1">
      <c r="A713" s="14">
        <v>2084307735</v>
      </c>
      <c r="B713" s="14" t="s">
        <v>7754</v>
      </c>
      <c r="C713" s="14" t="s">
        <v>7755</v>
      </c>
    </row>
    <row r="714" spans="1:3" ht="15.75" customHeight="1">
      <c r="A714" s="14">
        <v>2084307732</v>
      </c>
      <c r="B714" s="14" t="s">
        <v>7757</v>
      </c>
      <c r="C714" s="14" t="s">
        <v>7758</v>
      </c>
    </row>
    <row r="715" spans="1:3" ht="15.75" customHeight="1">
      <c r="A715" s="14">
        <v>20068</v>
      </c>
      <c r="B715" s="14" t="s">
        <v>46</v>
      </c>
      <c r="C715" s="14" t="s">
        <v>7760</v>
      </c>
    </row>
    <row r="716" spans="1:3" ht="15.75" customHeight="1">
      <c r="A716" s="14">
        <v>2084040382</v>
      </c>
      <c r="B716" s="14" t="s">
        <v>5976</v>
      </c>
      <c r="C716" s="14" t="s">
        <v>7761</v>
      </c>
    </row>
    <row r="717" spans="1:3" ht="15.75" customHeight="1">
      <c r="A717" s="14">
        <v>2084040027</v>
      </c>
      <c r="B717" s="14" t="s">
        <v>7764</v>
      </c>
      <c r="C717" s="14" t="s">
        <v>7765</v>
      </c>
    </row>
    <row r="718" spans="1:3" ht="15.75" customHeight="1">
      <c r="A718" s="14">
        <v>2084051757</v>
      </c>
      <c r="B718" s="14" t="s">
        <v>46</v>
      </c>
      <c r="C718" s="14" t="s">
        <v>7766</v>
      </c>
    </row>
    <row r="719" spans="1:3" ht="15.75" customHeight="1">
      <c r="A719" s="14">
        <v>2084020146</v>
      </c>
      <c r="B719" s="14" t="s">
        <v>7347</v>
      </c>
      <c r="C719" s="14" t="s">
        <v>7768</v>
      </c>
    </row>
    <row r="720" spans="1:3" ht="15.75" customHeight="1">
      <c r="A720" s="14">
        <v>2084040147</v>
      </c>
      <c r="B720" s="14" t="s">
        <v>7764</v>
      </c>
      <c r="C720" s="14" t="s">
        <v>7770</v>
      </c>
    </row>
    <row r="721" spans="1:3" ht="15.75" customHeight="1">
      <c r="A721" s="14">
        <v>2084044869</v>
      </c>
      <c r="B721" s="14" t="s">
        <v>46</v>
      </c>
      <c r="C721" s="14" t="s">
        <v>7771</v>
      </c>
    </row>
    <row r="722" spans="1:3" ht="15.75" customHeight="1">
      <c r="A722" s="14">
        <v>2084006027</v>
      </c>
      <c r="B722" s="14" t="s">
        <v>7445</v>
      </c>
      <c r="C722" s="14" t="s">
        <v>7774</v>
      </c>
    </row>
    <row r="723" spans="1:3" ht="15.75" customHeight="1">
      <c r="A723" s="14">
        <v>2084023623</v>
      </c>
      <c r="B723" s="14" t="s">
        <v>7351</v>
      </c>
      <c r="C723" s="14" t="s">
        <v>7775</v>
      </c>
    </row>
    <row r="724" spans="1:3" ht="15.75" customHeight="1">
      <c r="A724" s="14">
        <v>2084006112</v>
      </c>
      <c r="B724" s="14" t="s">
        <v>46</v>
      </c>
      <c r="C724" s="14" t="s">
        <v>7777</v>
      </c>
    </row>
    <row r="725" spans="1:3" ht="15.75" customHeight="1">
      <c r="A725" s="14">
        <v>2084040380</v>
      </c>
      <c r="B725" s="14" t="s">
        <v>5976</v>
      </c>
      <c r="C725" s="14" t="s">
        <v>7780</v>
      </c>
    </row>
    <row r="726" spans="1:3" ht="15.75" customHeight="1">
      <c r="A726" s="14">
        <v>2084040028</v>
      </c>
      <c r="B726" s="14" t="s">
        <v>7764</v>
      </c>
      <c r="C726" s="14" t="s">
        <v>7781</v>
      </c>
    </row>
    <row r="727" spans="1:3" ht="15.75" customHeight="1">
      <c r="A727" s="14">
        <v>2084020016</v>
      </c>
      <c r="B727" s="14" t="s">
        <v>7401</v>
      </c>
      <c r="C727" s="14" t="s">
        <v>7784</v>
      </c>
    </row>
    <row r="728" spans="1:3" ht="15.75" customHeight="1">
      <c r="A728" s="14">
        <v>2084045624</v>
      </c>
      <c r="B728" s="14" t="s">
        <v>46</v>
      </c>
      <c r="C728" s="14" t="s">
        <v>7786</v>
      </c>
    </row>
    <row r="729" spans="1:3" ht="15.75" customHeight="1">
      <c r="A729" s="14">
        <v>2084063682</v>
      </c>
      <c r="B729" s="14" t="s">
        <v>7347</v>
      </c>
      <c r="C729" s="14" t="s">
        <v>7788</v>
      </c>
    </row>
    <row r="730" spans="1:3" ht="15.75" customHeight="1">
      <c r="A730" s="14">
        <v>2084063687</v>
      </c>
      <c r="B730" s="14" t="s">
        <v>46</v>
      </c>
      <c r="C730" s="14" t="s">
        <v>7789</v>
      </c>
    </row>
    <row r="731" spans="1:3" ht="15.75" customHeight="1">
      <c r="A731" s="14">
        <v>25964</v>
      </c>
      <c r="B731" s="14" t="s">
        <v>7347</v>
      </c>
      <c r="C731" s="14" t="s">
        <v>7791</v>
      </c>
    </row>
    <row r="732" spans="1:3" ht="15.75" customHeight="1">
      <c r="A732" s="14">
        <v>25966</v>
      </c>
      <c r="B732" s="14" t="s">
        <v>7313</v>
      </c>
      <c r="C732" s="14" t="s">
        <v>7793</v>
      </c>
    </row>
    <row r="733" spans="1:3" ht="15.75" customHeight="1">
      <c r="A733" s="14">
        <v>2084005551</v>
      </c>
      <c r="B733" s="14" t="s">
        <v>7794</v>
      </c>
      <c r="C733" s="14" t="s">
        <v>7796</v>
      </c>
    </row>
    <row r="734" spans="1:3" ht="15.75" customHeight="1">
      <c r="A734" s="14">
        <v>25970</v>
      </c>
      <c r="B734" s="14" t="s">
        <v>46</v>
      </c>
      <c r="C734" s="14" t="s">
        <v>7797</v>
      </c>
    </row>
    <row r="735" spans="1:3" ht="15.75" customHeight="1">
      <c r="A735" s="14">
        <v>2084020156</v>
      </c>
      <c r="B735" s="14" t="s">
        <v>7347</v>
      </c>
      <c r="C735" s="14" t="s">
        <v>7800</v>
      </c>
    </row>
    <row r="736" spans="1:3" ht="15.75" customHeight="1">
      <c r="A736" s="14">
        <v>2084020044</v>
      </c>
      <c r="B736" s="14" t="s">
        <v>7313</v>
      </c>
      <c r="C736" s="14" t="s">
        <v>7803</v>
      </c>
    </row>
    <row r="737" spans="1:3" ht="15.75" customHeight="1">
      <c r="A737" s="14">
        <v>2084040376</v>
      </c>
      <c r="B737" s="14" t="s">
        <v>5976</v>
      </c>
      <c r="C737" s="14" t="s">
        <v>7804</v>
      </c>
    </row>
    <row r="738" spans="1:3" ht="15.75" customHeight="1">
      <c r="A738" s="14">
        <v>2084040099</v>
      </c>
      <c r="B738" s="14" t="s">
        <v>7764</v>
      </c>
      <c r="C738" s="14" t="s">
        <v>7806</v>
      </c>
    </row>
    <row r="739" spans="1:3" ht="15.75" customHeight="1">
      <c r="A739" s="14">
        <v>2084044878</v>
      </c>
      <c r="B739" s="14" t="s">
        <v>46</v>
      </c>
      <c r="C739" s="14" t="s">
        <v>7808</v>
      </c>
    </row>
    <row r="740" spans="1:3" ht="15.75" customHeight="1">
      <c r="A740" s="14">
        <v>2084020108</v>
      </c>
      <c r="B740" s="14" t="s">
        <v>7347</v>
      </c>
      <c r="C740" s="14" t="s">
        <v>7809</v>
      </c>
    </row>
    <row r="741" spans="1:3" ht="15.75" customHeight="1">
      <c r="A741" s="14">
        <v>27587</v>
      </c>
      <c r="B741" s="14" t="s">
        <v>7313</v>
      </c>
      <c r="C741" s="14" t="s">
        <v>7811</v>
      </c>
    </row>
    <row r="742" spans="1:3" ht="15.75" customHeight="1">
      <c r="A742" s="14">
        <v>22094</v>
      </c>
      <c r="B742" s="14" t="s">
        <v>7721</v>
      </c>
      <c r="C742" s="14" t="s">
        <v>7813</v>
      </c>
    </row>
    <row r="743" spans="1:3" ht="15.75" customHeight="1">
      <c r="A743" s="14">
        <v>44364</v>
      </c>
      <c r="B743" s="14" t="s">
        <v>7814</v>
      </c>
      <c r="C743" s="14" t="s">
        <v>7816</v>
      </c>
    </row>
    <row r="744" spans="1:3" ht="15.75" customHeight="1">
      <c r="A744" s="14">
        <v>2084005550</v>
      </c>
      <c r="B744" s="14" t="s">
        <v>7794</v>
      </c>
      <c r="C744" s="14" t="s">
        <v>7818</v>
      </c>
    </row>
    <row r="745" spans="1:3" ht="15.75" customHeight="1">
      <c r="A745" s="14">
        <v>27862</v>
      </c>
      <c r="B745" s="14" t="s">
        <v>46</v>
      </c>
      <c r="C745" s="14" t="s">
        <v>7820</v>
      </c>
    </row>
    <row r="746" spans="1:3" ht="15.75" customHeight="1">
      <c r="A746" s="14">
        <v>2084040371</v>
      </c>
      <c r="B746" s="14" t="s">
        <v>5976</v>
      </c>
      <c r="C746" s="14" t="s">
        <v>7821</v>
      </c>
    </row>
    <row r="747" spans="1:3" ht="15.75" customHeight="1">
      <c r="A747" s="14">
        <v>2084019423</v>
      </c>
      <c r="B747" s="14" t="s">
        <v>7794</v>
      </c>
      <c r="C747" s="14" t="s">
        <v>7824</v>
      </c>
    </row>
    <row r="748" spans="1:3" ht="15.75" customHeight="1">
      <c r="A748" s="14">
        <v>2084040215</v>
      </c>
      <c r="B748" s="14" t="s">
        <v>7764</v>
      </c>
      <c r="C748" s="14" t="s">
        <v>7827</v>
      </c>
    </row>
    <row r="749" spans="1:3" ht="15.75" customHeight="1">
      <c r="A749" s="14">
        <v>2084045714</v>
      </c>
      <c r="B749" s="14" t="s">
        <v>7530</v>
      </c>
      <c r="C749" s="14" t="s">
        <v>7828</v>
      </c>
    </row>
    <row r="750" spans="1:3" ht="15.75" customHeight="1">
      <c r="A750" s="14">
        <v>2084000112</v>
      </c>
      <c r="B750" s="14" t="s">
        <v>7830</v>
      </c>
      <c r="C750" s="14" t="s">
        <v>7831</v>
      </c>
    </row>
    <row r="751" spans="1:3" ht="15.75" customHeight="1">
      <c r="A751" s="14">
        <v>2084044858</v>
      </c>
      <c r="B751" s="14" t="s">
        <v>7347</v>
      </c>
      <c r="C751" s="14" t="s">
        <v>7832</v>
      </c>
    </row>
    <row r="752" spans="1:3" ht="15.75" customHeight="1">
      <c r="A752" s="14">
        <v>2084040362</v>
      </c>
      <c r="B752" s="14" t="s">
        <v>5976</v>
      </c>
      <c r="C752" s="14" t="s">
        <v>7834</v>
      </c>
    </row>
    <row r="753" spans="1:3" ht="15.75" customHeight="1">
      <c r="A753" s="14">
        <v>2084040227</v>
      </c>
      <c r="B753" s="14" t="s">
        <v>7764</v>
      </c>
      <c r="C753" s="14" t="s">
        <v>7836</v>
      </c>
    </row>
    <row r="754" spans="1:3" ht="15.75" customHeight="1">
      <c r="A754" s="14">
        <v>2084044880</v>
      </c>
      <c r="B754" s="14" t="s">
        <v>46</v>
      </c>
      <c r="C754" s="14" t="s">
        <v>7837</v>
      </c>
    </row>
    <row r="755" spans="1:3" ht="15.75" customHeight="1">
      <c r="A755" s="14">
        <v>2084020172</v>
      </c>
      <c r="B755" s="14" t="s">
        <v>7347</v>
      </c>
      <c r="C755" s="14" t="s">
        <v>7839</v>
      </c>
    </row>
    <row r="756" spans="1:3" ht="15.75" customHeight="1">
      <c r="A756" s="14">
        <v>2084020054</v>
      </c>
      <c r="B756" s="14" t="s">
        <v>7313</v>
      </c>
      <c r="C756" s="14" t="s">
        <v>7842</v>
      </c>
    </row>
    <row r="757" spans="1:3" ht="15.75" customHeight="1">
      <c r="A757" s="14">
        <v>2084040373</v>
      </c>
      <c r="B757" s="14" t="s">
        <v>5976</v>
      </c>
      <c r="C757" s="14" t="s">
        <v>7843</v>
      </c>
    </row>
    <row r="758" spans="1:3" ht="15.75" customHeight="1">
      <c r="A758" s="14">
        <v>2084040271</v>
      </c>
      <c r="B758" s="14" t="s">
        <v>7764</v>
      </c>
      <c r="C758" s="14" t="s">
        <v>7845</v>
      </c>
    </row>
    <row r="759" spans="1:3" ht="15.75" customHeight="1">
      <c r="A759" s="14">
        <v>2084063681</v>
      </c>
      <c r="B759" s="14" t="s">
        <v>46</v>
      </c>
      <c r="C759" s="14" t="s">
        <v>7847</v>
      </c>
    </row>
    <row r="760" spans="1:3" ht="15.75" customHeight="1">
      <c r="A760" s="14">
        <v>2084060488</v>
      </c>
      <c r="B760" s="14" t="s">
        <v>7347</v>
      </c>
      <c r="C760" s="14" t="s">
        <v>7848</v>
      </c>
    </row>
    <row r="761" spans="1:3" ht="15.75" customHeight="1">
      <c r="A761" s="14">
        <v>2084061270</v>
      </c>
      <c r="B761" s="14" t="s">
        <v>46</v>
      </c>
      <c r="C761" s="14" t="s">
        <v>7850</v>
      </c>
    </row>
    <row r="762" spans="1:3" ht="15.75" customHeight="1">
      <c r="A762" s="14">
        <v>2084023644</v>
      </c>
      <c r="B762" s="14" t="s">
        <v>7351</v>
      </c>
      <c r="C762" s="14" t="s">
        <v>7851</v>
      </c>
    </row>
    <row r="763" spans="1:3" ht="15.75" customHeight="1">
      <c r="A763" s="14">
        <v>2084006114</v>
      </c>
      <c r="B763" s="14" t="s">
        <v>46</v>
      </c>
      <c r="C763" s="14" t="s">
        <v>7853</v>
      </c>
    </row>
    <row r="764" spans="1:3" ht="15.75" customHeight="1">
      <c r="A764" s="14">
        <v>2084312348</v>
      </c>
      <c r="B764" s="14" t="s">
        <v>7854</v>
      </c>
      <c r="C764" s="14" t="s">
        <v>7856</v>
      </c>
    </row>
    <row r="765" spans="1:3" ht="15.75" customHeight="1">
      <c r="A765" s="14">
        <v>2084312347</v>
      </c>
      <c r="B765" s="14" t="s">
        <v>7857</v>
      </c>
      <c r="C765" s="14" t="s">
        <v>7858</v>
      </c>
    </row>
    <row r="766" spans="1:3" ht="15.75" customHeight="1">
      <c r="A766" s="14">
        <v>2084312349</v>
      </c>
      <c r="B766" s="14" t="s">
        <v>7861</v>
      </c>
      <c r="C766" s="14" t="s">
        <v>7862</v>
      </c>
    </row>
    <row r="767" spans="1:3" ht="15.75" customHeight="1">
      <c r="A767" s="14">
        <v>2084222830</v>
      </c>
      <c r="B767" s="14" t="s">
        <v>3118</v>
      </c>
      <c r="C767" s="14" t="s">
        <v>7863</v>
      </c>
    </row>
    <row r="768" spans="1:3" ht="15.75" customHeight="1">
      <c r="A768" s="14">
        <v>2084312350</v>
      </c>
      <c r="B768" s="14" t="s">
        <v>46</v>
      </c>
      <c r="C768" s="14" t="s">
        <v>7865</v>
      </c>
    </row>
    <row r="769" spans="1:3" ht="15.75" customHeight="1">
      <c r="A769" s="14">
        <v>2084005617</v>
      </c>
      <c r="B769" s="14" t="s">
        <v>7866</v>
      </c>
      <c r="C769" s="14" t="s">
        <v>7868</v>
      </c>
    </row>
    <row r="770" spans="1:3" ht="15.75" customHeight="1">
      <c r="A770" s="14">
        <v>2084005616</v>
      </c>
      <c r="B770" s="14" t="s">
        <v>7869</v>
      </c>
      <c r="C770" s="14" t="s">
        <v>7870</v>
      </c>
    </row>
    <row r="771" spans="1:3" ht="15.75" customHeight="1">
      <c r="A771" s="14">
        <v>2084005618</v>
      </c>
      <c r="B771" s="14" t="s">
        <v>46</v>
      </c>
      <c r="C771" s="14" t="s">
        <v>7872</v>
      </c>
    </row>
    <row r="772" spans="1:3" ht="15.75" customHeight="1">
      <c r="A772" s="14">
        <v>25874</v>
      </c>
      <c r="B772" s="14" t="s">
        <v>7874</v>
      </c>
      <c r="C772" s="14" t="s">
        <v>7875</v>
      </c>
    </row>
    <row r="773" spans="1:3" ht="15.75" customHeight="1">
      <c r="A773" s="14">
        <v>27818</v>
      </c>
      <c r="B773" s="14" t="s">
        <v>7877</v>
      </c>
      <c r="C773" s="14" t="s">
        <v>7879</v>
      </c>
    </row>
    <row r="774" spans="1:3" ht="15.75" customHeight="1">
      <c r="A774" s="14">
        <v>25878</v>
      </c>
      <c r="B774" s="14" t="s">
        <v>7880</v>
      </c>
      <c r="C774" s="14" t="s">
        <v>7881</v>
      </c>
    </row>
    <row r="775" spans="1:3" ht="15.75" customHeight="1">
      <c r="A775" s="14">
        <v>2084005201</v>
      </c>
      <c r="B775" s="14" t="s">
        <v>7883</v>
      </c>
      <c r="C775" s="14" t="s">
        <v>7884</v>
      </c>
    </row>
    <row r="776" spans="1:3" ht="15.75" customHeight="1">
      <c r="A776" s="14">
        <v>25886</v>
      </c>
      <c r="B776" s="14" t="s">
        <v>46</v>
      </c>
      <c r="C776" s="14" t="s">
        <v>7886</v>
      </c>
    </row>
    <row r="777" spans="1:3" ht="15.75" customHeight="1">
      <c r="A777" s="14">
        <v>2084023782</v>
      </c>
      <c r="B777" s="14" t="s">
        <v>7507</v>
      </c>
      <c r="C777" s="14" t="s">
        <v>7509</v>
      </c>
    </row>
    <row r="778" spans="1:3" ht="15.75" customHeight="1">
      <c r="A778" s="14">
        <v>2084023622</v>
      </c>
      <c r="B778" s="14" t="s">
        <v>3902</v>
      </c>
      <c r="C778" s="14" t="s">
        <v>7511</v>
      </c>
    </row>
    <row r="779" spans="1:3" ht="15.75" customHeight="1">
      <c r="A779" s="14">
        <v>2084040564</v>
      </c>
      <c r="B779" s="14" t="s">
        <v>7513</v>
      </c>
      <c r="C779" s="14" t="s">
        <v>7514</v>
      </c>
    </row>
    <row r="780" spans="1:3" ht="15.75" customHeight="1">
      <c r="A780" s="14">
        <v>2084023799</v>
      </c>
      <c r="B780" s="14" t="s">
        <v>5107</v>
      </c>
      <c r="C780" s="14" t="s">
        <v>7517</v>
      </c>
    </row>
    <row r="781" spans="1:3" ht="15.75" customHeight="1">
      <c r="A781" s="14">
        <v>21688</v>
      </c>
      <c r="B781" s="14" t="s">
        <v>7518</v>
      </c>
      <c r="C781" s="14" t="s">
        <v>7520</v>
      </c>
    </row>
    <row r="782" spans="1:3" ht="15.75" customHeight="1">
      <c r="A782" s="14">
        <v>25892</v>
      </c>
      <c r="B782" s="14" t="s">
        <v>4458</v>
      </c>
      <c r="C782" s="14" t="s">
        <v>7523</v>
      </c>
    </row>
    <row r="783" spans="1:3" ht="15.75" customHeight="1">
      <c r="A783" s="14">
        <v>25890</v>
      </c>
      <c r="B783" s="14" t="s">
        <v>5663</v>
      </c>
      <c r="C783" s="14" t="s">
        <v>7526</v>
      </c>
    </row>
    <row r="784" spans="1:3" ht="15.75" customHeight="1">
      <c r="A784" s="14">
        <v>2084063729</v>
      </c>
      <c r="B784" s="14" t="s">
        <v>7528</v>
      </c>
      <c r="C784" s="14" t="s">
        <v>7529</v>
      </c>
    </row>
    <row r="785" spans="1:3" ht="15.75" customHeight="1">
      <c r="A785" s="14">
        <v>2084023795</v>
      </c>
      <c r="B785" s="14" t="s">
        <v>4489</v>
      </c>
      <c r="C785" s="14" t="s">
        <v>7532</v>
      </c>
    </row>
    <row r="786" spans="1:3" ht="15.75" customHeight="1">
      <c r="A786" s="14">
        <v>2084042426</v>
      </c>
      <c r="B786" s="14" t="s">
        <v>3888</v>
      </c>
      <c r="C786" s="14" t="s">
        <v>7533</v>
      </c>
    </row>
    <row r="787" spans="1:3" ht="15.75" customHeight="1">
      <c r="A787" s="14">
        <v>2084023831</v>
      </c>
      <c r="B787" s="14" t="s">
        <v>3743</v>
      </c>
      <c r="C787" s="14" t="s">
        <v>7535</v>
      </c>
    </row>
    <row r="788" spans="1:3" ht="15.75" customHeight="1">
      <c r="A788" s="14">
        <v>25870</v>
      </c>
      <c r="B788" s="14" t="s">
        <v>7313</v>
      </c>
      <c r="C788" s="14" t="s">
        <v>7536</v>
      </c>
    </row>
    <row r="789" spans="1:3" ht="15.75" customHeight="1">
      <c r="A789" s="14">
        <v>2084309436</v>
      </c>
      <c r="B789" s="14" t="s">
        <v>46</v>
      </c>
      <c r="C789" s="14" t="s">
        <v>7537</v>
      </c>
    </row>
    <row r="790" spans="1:3" ht="15.75" customHeight="1">
      <c r="A790" s="14">
        <v>2084260114</v>
      </c>
      <c r="B790" s="14" t="s">
        <v>4496</v>
      </c>
      <c r="C790" s="14" t="s">
        <v>7900</v>
      </c>
    </row>
    <row r="791" spans="1:3" ht="15.75" customHeight="1">
      <c r="A791" s="14">
        <v>2084260189</v>
      </c>
      <c r="B791" s="14" t="s">
        <v>5031</v>
      </c>
      <c r="C791" s="14" t="s">
        <v>7902</v>
      </c>
    </row>
    <row r="792" spans="1:3" ht="15.75" customHeight="1">
      <c r="A792" s="14">
        <v>2084260185</v>
      </c>
      <c r="B792" s="14" t="s">
        <v>7903</v>
      </c>
      <c r="C792" s="14" t="s">
        <v>7904</v>
      </c>
    </row>
    <row r="793" spans="1:3" ht="15.75" customHeight="1">
      <c r="A793" s="14">
        <v>2084260186</v>
      </c>
      <c r="B793" s="14" t="s">
        <v>4494</v>
      </c>
      <c r="C793" s="14" t="s">
        <v>7906</v>
      </c>
    </row>
    <row r="794" spans="1:3" ht="15.75" customHeight="1">
      <c r="A794" s="14">
        <v>2084260191</v>
      </c>
      <c r="B794" s="14" t="s">
        <v>7908</v>
      </c>
      <c r="C794" s="14" t="s">
        <v>7910</v>
      </c>
    </row>
    <row r="795" spans="1:3" ht="15.75" customHeight="1">
      <c r="A795" s="14">
        <v>2084260190</v>
      </c>
      <c r="B795" s="14" t="s">
        <v>7911</v>
      </c>
      <c r="C795" s="14" t="s">
        <v>7912</v>
      </c>
    </row>
    <row r="796" spans="1:3" ht="15.75" customHeight="1">
      <c r="A796" s="14">
        <v>2084315793</v>
      </c>
      <c r="B796" s="14" t="s">
        <v>7914</v>
      </c>
      <c r="C796" s="14" t="s">
        <v>7915</v>
      </c>
    </row>
    <row r="797" spans="1:3" ht="15.75" customHeight="1">
      <c r="A797" s="14">
        <v>2084315791</v>
      </c>
      <c r="B797" s="14" t="s">
        <v>7916</v>
      </c>
      <c r="C797" s="14" t="s">
        <v>7918</v>
      </c>
    </row>
    <row r="798" spans="1:3" ht="15.75" customHeight="1">
      <c r="A798" s="14">
        <v>2084290226</v>
      </c>
      <c r="B798" s="14" t="s">
        <v>7919</v>
      </c>
      <c r="C798" s="14" t="s">
        <v>7920</v>
      </c>
    </row>
    <row r="799" spans="1:3" ht="15.75" customHeight="1">
      <c r="A799" s="14">
        <v>2084056539</v>
      </c>
      <c r="B799" s="14" t="s">
        <v>4987</v>
      </c>
      <c r="C799" s="14" t="s">
        <v>7922</v>
      </c>
    </row>
    <row r="800" spans="1:3" ht="15.75" customHeight="1">
      <c r="A800" s="14">
        <v>2084310052</v>
      </c>
      <c r="B800" s="14" t="s">
        <v>7923</v>
      </c>
      <c r="C800" s="14" t="s">
        <v>7925</v>
      </c>
    </row>
    <row r="801" spans="1:3" ht="15.75" customHeight="1">
      <c r="A801" s="14">
        <v>2084217064</v>
      </c>
      <c r="B801" s="14" t="s">
        <v>7926</v>
      </c>
      <c r="C801" s="14" t="s">
        <v>7927</v>
      </c>
    </row>
    <row r="802" spans="1:3" ht="15.75" customHeight="1">
      <c r="A802" s="14">
        <v>2084301277</v>
      </c>
      <c r="B802" s="14" t="s">
        <v>7929</v>
      </c>
      <c r="C802" s="14" t="s">
        <v>7930</v>
      </c>
    </row>
    <row r="803" spans="1:3" ht="15.75" customHeight="1">
      <c r="A803" s="14">
        <v>2084057109</v>
      </c>
      <c r="B803" s="14" t="s">
        <v>4983</v>
      </c>
      <c r="C803" s="14" t="s">
        <v>7931</v>
      </c>
    </row>
    <row r="804" spans="1:3" ht="15.75" customHeight="1">
      <c r="A804" s="14">
        <v>2084313826</v>
      </c>
      <c r="B804" s="14" t="s">
        <v>7933</v>
      </c>
      <c r="C804" s="14" t="s">
        <v>7934</v>
      </c>
    </row>
    <row r="805" spans="1:3" ht="15.75" customHeight="1">
      <c r="A805" s="14">
        <v>2084216435</v>
      </c>
      <c r="B805" s="14" t="s">
        <v>7935</v>
      </c>
      <c r="C805" s="14" t="s">
        <v>7937</v>
      </c>
    </row>
    <row r="806" spans="1:3" ht="15.75" customHeight="1">
      <c r="A806" s="14">
        <v>2084006668</v>
      </c>
      <c r="B806" s="14" t="s">
        <v>7938</v>
      </c>
      <c r="C806" s="14" t="s">
        <v>7939</v>
      </c>
    </row>
    <row r="807" spans="1:3" ht="15.75" customHeight="1">
      <c r="A807" s="14">
        <v>2084314664</v>
      </c>
      <c r="B807" s="14" t="s">
        <v>7941</v>
      </c>
      <c r="C807" s="14" t="s">
        <v>7942</v>
      </c>
    </row>
    <row r="808" spans="1:3" ht="15.75" customHeight="1">
      <c r="A808" s="14">
        <v>2084235546</v>
      </c>
      <c r="B808" s="14" t="s">
        <v>7943</v>
      </c>
      <c r="C808" s="14" t="s">
        <v>7944</v>
      </c>
    </row>
    <row r="809" spans="1:3" ht="15.75" customHeight="1">
      <c r="A809" s="14">
        <v>22860</v>
      </c>
      <c r="B809" s="14" t="s">
        <v>7946</v>
      </c>
      <c r="C809" s="14" t="s">
        <v>7947</v>
      </c>
    </row>
    <row r="810" spans="1:3" ht="15.75" customHeight="1">
      <c r="A810" s="14">
        <v>2084041580</v>
      </c>
      <c r="B810" s="14" t="s">
        <v>4991</v>
      </c>
      <c r="C810" s="14" t="s">
        <v>7948</v>
      </c>
    </row>
    <row r="811" spans="1:3" ht="15.75" customHeight="1">
      <c r="A811" s="14">
        <v>2084063616</v>
      </c>
      <c r="B811" s="14" t="s">
        <v>7949</v>
      </c>
      <c r="C811" s="14" t="s">
        <v>7950</v>
      </c>
    </row>
    <row r="812" spans="1:3" ht="15.75" customHeight="1">
      <c r="A812" s="14">
        <v>27812</v>
      </c>
      <c r="B812" s="14" t="s">
        <v>4996</v>
      </c>
      <c r="C812" s="14" t="s">
        <v>7951</v>
      </c>
    </row>
    <row r="813" spans="1:3" ht="15.75" customHeight="1">
      <c r="A813" s="14">
        <v>2084045784</v>
      </c>
      <c r="B813" s="14" t="s">
        <v>7952</v>
      </c>
      <c r="C813" s="14" t="s">
        <v>7953</v>
      </c>
    </row>
    <row r="814" spans="1:3" ht="15.75" customHeight="1">
      <c r="A814" s="14">
        <v>22850</v>
      </c>
      <c r="B814" s="14" t="s">
        <v>7954</v>
      </c>
      <c r="C814" s="14" t="s">
        <v>7955</v>
      </c>
    </row>
    <row r="815" spans="1:3" ht="15.75" customHeight="1">
      <c r="A815" s="14">
        <v>22852</v>
      </c>
      <c r="B815" s="14" t="s">
        <v>7956</v>
      </c>
      <c r="C815" s="14" t="s">
        <v>7957</v>
      </c>
    </row>
    <row r="816" spans="1:3" ht="15.75" customHeight="1">
      <c r="A816" s="14">
        <v>22853</v>
      </c>
      <c r="B816" s="14" t="s">
        <v>7958</v>
      </c>
      <c r="C816" s="14" t="s">
        <v>7959</v>
      </c>
    </row>
    <row r="817" spans="1:3" ht="15.75" customHeight="1">
      <c r="A817" s="14">
        <v>2084047852</v>
      </c>
      <c r="B817" s="14" t="s">
        <v>7960</v>
      </c>
      <c r="C817" s="14" t="s">
        <v>7961</v>
      </c>
    </row>
    <row r="818" spans="1:3" ht="15.75" customHeight="1">
      <c r="A818" s="14">
        <v>40505</v>
      </c>
      <c r="B818" s="14" t="s">
        <v>7962</v>
      </c>
      <c r="C818" s="14" t="s">
        <v>7963</v>
      </c>
    </row>
    <row r="819" spans="1:3" ht="15.75" customHeight="1">
      <c r="A819" s="14">
        <v>2084005537</v>
      </c>
      <c r="B819" s="14" t="s">
        <v>7964</v>
      </c>
      <c r="C819" s="14" t="s">
        <v>7965</v>
      </c>
    </row>
    <row r="820" spans="1:3" ht="15.75" customHeight="1">
      <c r="A820" s="14">
        <v>2084005532</v>
      </c>
      <c r="B820" s="14" t="s">
        <v>7966</v>
      </c>
      <c r="C820" s="14" t="s">
        <v>7967</v>
      </c>
    </row>
    <row r="821" spans="1:3" ht="15.75" customHeight="1">
      <c r="A821" s="14">
        <v>2084006676</v>
      </c>
      <c r="B821" s="14" t="s">
        <v>1707</v>
      </c>
      <c r="C821" s="14" t="s">
        <v>7968</v>
      </c>
    </row>
    <row r="822" spans="1:3" ht="15.75" customHeight="1">
      <c r="A822" s="14">
        <v>22864</v>
      </c>
      <c r="B822" s="14" t="s">
        <v>7969</v>
      </c>
      <c r="C822" s="14" t="s">
        <v>7970</v>
      </c>
    </row>
    <row r="823" spans="1:3" ht="15.75" customHeight="1">
      <c r="A823" s="14">
        <v>2084047781</v>
      </c>
      <c r="B823" s="14" t="s">
        <v>7971</v>
      </c>
      <c r="C823" s="14" t="s">
        <v>7972</v>
      </c>
    </row>
    <row r="824" spans="1:3" ht="15.75" customHeight="1">
      <c r="A824" s="14">
        <v>2084005147</v>
      </c>
      <c r="B824" s="14" t="s">
        <v>7973</v>
      </c>
      <c r="C824" s="14" t="s">
        <v>7974</v>
      </c>
    </row>
    <row r="825" spans="1:3" ht="15.75" customHeight="1">
      <c r="A825" s="14">
        <v>2084009067</v>
      </c>
      <c r="B825" s="14" t="s">
        <v>7975</v>
      </c>
      <c r="C825" s="14" t="s">
        <v>7976</v>
      </c>
    </row>
    <row r="826" spans="1:3" ht="15.75" customHeight="1">
      <c r="A826" s="14">
        <v>2084047654</v>
      </c>
      <c r="B826" s="14" t="s">
        <v>5069</v>
      </c>
      <c r="C826" s="14" t="s">
        <v>7978</v>
      </c>
    </row>
    <row r="827" spans="1:3" ht="15.75" customHeight="1">
      <c r="A827" s="14">
        <v>2084005119</v>
      </c>
      <c r="B827" s="14" t="s">
        <v>5976</v>
      </c>
      <c r="C827" s="14" t="s">
        <v>7979</v>
      </c>
    </row>
    <row r="828" spans="1:3" ht="15.75" customHeight="1">
      <c r="A828" s="14">
        <v>22892</v>
      </c>
      <c r="B828" s="14" t="s">
        <v>46</v>
      </c>
      <c r="C828" s="14" t="s">
        <v>7981</v>
      </c>
    </row>
    <row r="829" spans="1:3" ht="15.75" customHeight="1">
      <c r="A829" s="14">
        <v>2084047782</v>
      </c>
      <c r="B829" s="14" t="s">
        <v>5014</v>
      </c>
      <c r="C829" s="14" t="s">
        <v>5015</v>
      </c>
    </row>
    <row r="830" spans="1:3" ht="15.75" customHeight="1">
      <c r="A830" s="14">
        <v>2084047783</v>
      </c>
      <c r="B830" s="14" t="s">
        <v>5017</v>
      </c>
      <c r="C830" s="14" t="s">
        <v>5019</v>
      </c>
    </row>
    <row r="831" spans="1:3" ht="15.75" customHeight="1">
      <c r="A831" s="14">
        <v>2084245563</v>
      </c>
      <c r="B831" s="14" t="s">
        <v>5020</v>
      </c>
      <c r="C831" s="14" t="s">
        <v>5022</v>
      </c>
    </row>
    <row r="832" spans="1:3" ht="15.75" customHeight="1">
      <c r="A832" s="14">
        <v>2084245564</v>
      </c>
      <c r="B832" s="14" t="s">
        <v>5023</v>
      </c>
      <c r="C832" s="14" t="s">
        <v>5026</v>
      </c>
    </row>
    <row r="833" spans="1:3" ht="15.75" customHeight="1">
      <c r="A833" s="14">
        <v>2084245561</v>
      </c>
      <c r="B833" s="14" t="s">
        <v>5029</v>
      </c>
      <c r="C833" s="14" t="s">
        <v>5030</v>
      </c>
    </row>
    <row r="834" spans="1:3" ht="15.75" customHeight="1">
      <c r="A834" s="14">
        <v>2084245562</v>
      </c>
      <c r="B834" s="14" t="s">
        <v>5033</v>
      </c>
      <c r="C834" s="14" t="s">
        <v>5034</v>
      </c>
    </row>
    <row r="835" spans="1:3" ht="15.75" customHeight="1">
      <c r="A835" s="14">
        <v>2084050457</v>
      </c>
      <c r="B835" s="14" t="s">
        <v>5037</v>
      </c>
      <c r="C835" s="14" t="s">
        <v>5038</v>
      </c>
    </row>
    <row r="836" spans="1:3" ht="15.75" customHeight="1">
      <c r="A836" s="14">
        <v>2084047784</v>
      </c>
      <c r="B836" s="14" t="s">
        <v>46</v>
      </c>
      <c r="C836" s="14" t="s">
        <v>5040</v>
      </c>
    </row>
    <row r="837" spans="1:3" ht="15.75" customHeight="1">
      <c r="A837" s="14">
        <v>2084310653</v>
      </c>
      <c r="B837" s="14" t="s">
        <v>7278</v>
      </c>
      <c r="C837" s="14" t="s">
        <v>7279</v>
      </c>
    </row>
    <row r="838" spans="1:3" ht="15.75" customHeight="1">
      <c r="A838" s="14">
        <v>2084309046</v>
      </c>
      <c r="B838" s="14" t="s">
        <v>7284</v>
      </c>
      <c r="C838" s="14" t="s">
        <v>7285</v>
      </c>
    </row>
    <row r="839" spans="1:3" ht="15.75" customHeight="1">
      <c r="A839" s="14">
        <v>2084226772</v>
      </c>
      <c r="B839" s="14" t="s">
        <v>7289</v>
      </c>
      <c r="C839" s="14" t="s">
        <v>7290</v>
      </c>
    </row>
    <row r="840" spans="1:3" ht="15.75" customHeight="1">
      <c r="A840" s="14">
        <v>2084301203</v>
      </c>
      <c r="B840" s="14" t="s">
        <v>7294</v>
      </c>
      <c r="C840" s="14" t="s">
        <v>7296</v>
      </c>
    </row>
    <row r="841" spans="1:3" ht="15.75" customHeight="1">
      <c r="A841" s="14">
        <v>2084006019</v>
      </c>
      <c r="B841" s="14" t="s">
        <v>7301</v>
      </c>
      <c r="C841" s="14" t="s">
        <v>7303</v>
      </c>
    </row>
    <row r="842" spans="1:3" ht="15.75" customHeight="1">
      <c r="A842" s="14">
        <v>2084305402</v>
      </c>
      <c r="B842" s="14" t="s">
        <v>7308</v>
      </c>
      <c r="C842" s="14" t="s">
        <v>7309</v>
      </c>
    </row>
    <row r="843" spans="1:3" ht="15.75" customHeight="1">
      <c r="A843" s="14">
        <v>2084310654</v>
      </c>
      <c r="B843" s="14" t="s">
        <v>7312</v>
      </c>
      <c r="C843" s="14" t="s">
        <v>7314</v>
      </c>
    </row>
    <row r="844" spans="1:3" ht="15.75" customHeight="1">
      <c r="A844" s="14">
        <v>2084258752</v>
      </c>
      <c r="B844" s="14" t="s">
        <v>7316</v>
      </c>
      <c r="C844" s="14" t="s">
        <v>7318</v>
      </c>
    </row>
    <row r="845" spans="1:3" ht="15.75" customHeight="1">
      <c r="A845" s="14">
        <v>2084239873</v>
      </c>
      <c r="B845" s="14" t="s">
        <v>7320</v>
      </c>
      <c r="C845" s="14" t="s">
        <v>7321</v>
      </c>
    </row>
    <row r="846" spans="1:3" ht="15.75" customHeight="1">
      <c r="A846" s="14">
        <v>2084309073</v>
      </c>
      <c r="B846" s="14" t="s">
        <v>7324</v>
      </c>
      <c r="C846" s="14" t="s">
        <v>7326</v>
      </c>
    </row>
    <row r="847" spans="1:3" ht="15.75" customHeight="1">
      <c r="A847" s="14">
        <v>2084255968</v>
      </c>
      <c r="B847" s="14" t="s">
        <v>7329</v>
      </c>
      <c r="C847" s="14" t="s">
        <v>7331</v>
      </c>
    </row>
    <row r="848" spans="1:3" ht="15.75" customHeight="1">
      <c r="A848" s="14">
        <v>2084060487</v>
      </c>
      <c r="B848" s="14" t="s">
        <v>7337</v>
      </c>
      <c r="C848" s="14" t="s">
        <v>7339</v>
      </c>
    </row>
    <row r="849" spans="1:3" ht="15.75" customHeight="1">
      <c r="A849" s="14">
        <v>2084309075</v>
      </c>
      <c r="B849" s="14" t="s">
        <v>7344</v>
      </c>
      <c r="C849" s="14" t="s">
        <v>7346</v>
      </c>
    </row>
    <row r="850" spans="1:3" ht="15.75" customHeight="1">
      <c r="A850" s="14">
        <v>2084305403</v>
      </c>
      <c r="B850" s="14" t="s">
        <v>7354</v>
      </c>
      <c r="C850" s="14" t="s">
        <v>7355</v>
      </c>
    </row>
    <row r="851" spans="1:3" ht="15.75" customHeight="1">
      <c r="A851" s="14">
        <v>2084050457</v>
      </c>
      <c r="B851" s="14" t="s">
        <v>5037</v>
      </c>
      <c r="C851" s="14" t="s">
        <v>7358</v>
      </c>
    </row>
    <row r="852" spans="1:3" ht="15.75" customHeight="1">
      <c r="A852" s="14">
        <v>2084033665</v>
      </c>
      <c r="B852" s="14" t="s">
        <v>992</v>
      </c>
      <c r="C852" s="14" t="s">
        <v>7359</v>
      </c>
    </row>
    <row r="853" spans="1:3" ht="15.75" customHeight="1">
      <c r="A853" s="14">
        <v>2084049869</v>
      </c>
      <c r="B853" s="14" t="s">
        <v>7360</v>
      </c>
      <c r="C853" s="14" t="s">
        <v>7361</v>
      </c>
    </row>
    <row r="854" spans="1:3" ht="15.75" customHeight="1">
      <c r="A854" s="14">
        <v>2084305406</v>
      </c>
      <c r="B854" s="14" t="s">
        <v>7362</v>
      </c>
      <c r="C854" s="14" t="s">
        <v>7363</v>
      </c>
    </row>
    <row r="855" spans="1:3" ht="15.75" customHeight="1">
      <c r="A855" s="14">
        <v>2084019347</v>
      </c>
      <c r="B855" s="14" t="s">
        <v>3166</v>
      </c>
      <c r="C855" s="14" t="s">
        <v>7364</v>
      </c>
    </row>
    <row r="856" spans="1:3" ht="15.75" customHeight="1">
      <c r="A856" s="14">
        <v>2084064426</v>
      </c>
      <c r="B856" s="14" t="s">
        <v>1055</v>
      </c>
      <c r="C856" s="14" t="s">
        <v>7365</v>
      </c>
    </row>
    <row r="857" spans="1:3" ht="15.75" customHeight="1">
      <c r="A857" s="14">
        <v>2084310652</v>
      </c>
      <c r="B857" s="14" t="s">
        <v>7368</v>
      </c>
      <c r="C857" s="14" t="s">
        <v>7369</v>
      </c>
    </row>
    <row r="858" spans="1:3" ht="15.75" customHeight="1">
      <c r="A858" s="14">
        <v>2084064427</v>
      </c>
      <c r="B858" s="14" t="s">
        <v>1152</v>
      </c>
      <c r="C858" s="14" t="s">
        <v>7371</v>
      </c>
    </row>
    <row r="859" spans="1:3" ht="15.75" customHeight="1">
      <c r="A859" s="14">
        <v>2084239872</v>
      </c>
      <c r="B859" s="14" t="s">
        <v>7374</v>
      </c>
      <c r="C859" s="14" t="s">
        <v>7375</v>
      </c>
    </row>
    <row r="860" spans="1:3" ht="15.75" customHeight="1">
      <c r="A860" s="14">
        <v>2084314542</v>
      </c>
      <c r="B860" s="14" t="s">
        <v>7377</v>
      </c>
      <c r="C860" s="14" t="s">
        <v>7378</v>
      </c>
    </row>
    <row r="861" spans="1:3" ht="15.75" customHeight="1">
      <c r="A861" s="14">
        <v>2084309076</v>
      </c>
      <c r="B861" s="14" t="s">
        <v>7381</v>
      </c>
      <c r="C861" s="14" t="s">
        <v>7382</v>
      </c>
    </row>
    <row r="862" spans="1:3" ht="15.75" customHeight="1">
      <c r="A862" s="14">
        <v>2084305401</v>
      </c>
      <c r="B862" s="14" t="s">
        <v>7385</v>
      </c>
      <c r="C862" s="14" t="s">
        <v>7386</v>
      </c>
    </row>
    <row r="863" spans="1:3" ht="15.75" customHeight="1">
      <c r="A863" s="14">
        <v>2084259102</v>
      </c>
      <c r="B863" s="14" t="s">
        <v>7388</v>
      </c>
      <c r="C863" s="14" t="s">
        <v>7389</v>
      </c>
    </row>
    <row r="864" spans="1:3" ht="15.75" customHeight="1">
      <c r="A864" s="14">
        <v>2084305404</v>
      </c>
      <c r="B864" s="14" t="s">
        <v>7392</v>
      </c>
      <c r="C864" s="14" t="s">
        <v>7393</v>
      </c>
    </row>
    <row r="865" spans="1:3" ht="15.75" customHeight="1">
      <c r="A865" s="14">
        <v>2084305400</v>
      </c>
      <c r="B865" s="14" t="s">
        <v>7396</v>
      </c>
      <c r="C865" s="14" t="s">
        <v>7398</v>
      </c>
    </row>
    <row r="866" spans="1:3" ht="15.75" customHeight="1">
      <c r="A866" s="14">
        <v>2084258749</v>
      </c>
      <c r="B866" s="14" t="s">
        <v>7400</v>
      </c>
      <c r="C866" s="14" t="s">
        <v>7402</v>
      </c>
    </row>
    <row r="867" spans="1:3" ht="15.75" customHeight="1">
      <c r="A867" s="14">
        <v>2084199078</v>
      </c>
      <c r="B867" s="14" t="s">
        <v>7404</v>
      </c>
      <c r="C867" s="14" t="s">
        <v>7406</v>
      </c>
    </row>
    <row r="868" spans="1:3" ht="15.75" customHeight="1">
      <c r="A868" s="14">
        <v>2084241343</v>
      </c>
      <c r="B868" s="14" t="s">
        <v>3937</v>
      </c>
      <c r="C868" s="14" t="s">
        <v>7408</v>
      </c>
    </row>
    <row r="869" spans="1:3" ht="15.75" customHeight="1">
      <c r="A869" s="14">
        <v>2084309055</v>
      </c>
      <c r="B869" s="14" t="s">
        <v>7410</v>
      </c>
      <c r="C869" s="14" t="s">
        <v>7411</v>
      </c>
    </row>
    <row r="870" spans="1:3" ht="15.75" customHeight="1">
      <c r="A870" s="14">
        <v>2084241344</v>
      </c>
      <c r="B870" s="14" t="s">
        <v>3944</v>
      </c>
      <c r="C870" s="14" t="s">
        <v>7414</v>
      </c>
    </row>
    <row r="871" spans="1:3" ht="15.75" customHeight="1">
      <c r="A871" s="14">
        <v>2084239871</v>
      </c>
      <c r="B871" s="14" t="s">
        <v>7417</v>
      </c>
      <c r="C871" s="14" t="s">
        <v>7418</v>
      </c>
    </row>
    <row r="872" spans="1:3" ht="15.75" customHeight="1">
      <c r="A872" s="14">
        <v>2084236675</v>
      </c>
      <c r="B872" s="14" t="s">
        <v>7419</v>
      </c>
      <c r="C872" s="14" t="s">
        <v>7420</v>
      </c>
    </row>
    <row r="873" spans="1:3" ht="15.75" customHeight="1">
      <c r="A873" s="14">
        <v>25828</v>
      </c>
      <c r="B873" s="14" t="s">
        <v>7423</v>
      </c>
      <c r="C873" s="14" t="s">
        <v>7424</v>
      </c>
    </row>
    <row r="874" spans="1:3" ht="15.75" customHeight="1">
      <c r="A874" s="14">
        <v>2084005059</v>
      </c>
      <c r="B874" s="14" t="s">
        <v>7426</v>
      </c>
      <c r="C874" s="14" t="s">
        <v>7427</v>
      </c>
    </row>
    <row r="875" spans="1:3" ht="15.75" customHeight="1">
      <c r="A875" s="14">
        <v>2084019440</v>
      </c>
      <c r="B875" s="14" t="s">
        <v>7432</v>
      </c>
      <c r="C875" s="14" t="s">
        <v>7433</v>
      </c>
    </row>
    <row r="876" spans="1:3" ht="15.75" customHeight="1">
      <c r="A876" s="14">
        <v>2084314558</v>
      </c>
      <c r="B876" s="14" t="s">
        <v>7437</v>
      </c>
      <c r="C876" s="14" t="s">
        <v>7438</v>
      </c>
    </row>
    <row r="877" spans="1:3" ht="15.75" customHeight="1">
      <c r="A877" s="14">
        <v>20992</v>
      </c>
      <c r="B877" s="14" t="s">
        <v>7445</v>
      </c>
      <c r="C877" s="14" t="s">
        <v>7446</v>
      </c>
    </row>
    <row r="878" spans="1:3" ht="15.75" customHeight="1">
      <c r="A878" s="14">
        <v>2084215569</v>
      </c>
      <c r="B878" s="14" t="s">
        <v>7450</v>
      </c>
      <c r="C878" s="14" t="s">
        <v>7452</v>
      </c>
    </row>
    <row r="879" spans="1:3" ht="15.75" customHeight="1">
      <c r="A879" s="14">
        <v>2084236678</v>
      </c>
      <c r="B879" s="14" t="s">
        <v>7456</v>
      </c>
      <c r="C879" s="14" t="s">
        <v>7458</v>
      </c>
    </row>
    <row r="880" spans="1:3" ht="15.75" customHeight="1">
      <c r="A880" s="14">
        <v>2084236676</v>
      </c>
      <c r="B880" s="14" t="s">
        <v>7463</v>
      </c>
      <c r="C880" s="14" t="s">
        <v>7466</v>
      </c>
    </row>
    <row r="881" spans="1:3" ht="15.75" customHeight="1">
      <c r="A881" s="14">
        <v>2084236680</v>
      </c>
      <c r="B881" s="14" t="s">
        <v>7472</v>
      </c>
      <c r="C881" s="14" t="s">
        <v>7474</v>
      </c>
    </row>
    <row r="882" spans="1:3" ht="15.75" customHeight="1">
      <c r="A882" s="14">
        <v>25832</v>
      </c>
      <c r="B882" s="14" t="s">
        <v>46</v>
      </c>
      <c r="C882" s="14" t="s">
        <v>7480</v>
      </c>
    </row>
    <row r="883" spans="1:3" ht="15.75" customHeight="1">
      <c r="A883" s="14">
        <v>2084041923</v>
      </c>
      <c r="B883" s="14" t="s">
        <v>8006</v>
      </c>
      <c r="C883" s="14" t="s">
        <v>8007</v>
      </c>
    </row>
    <row r="884" spans="1:3" ht="15.75" customHeight="1">
      <c r="A884" s="14">
        <v>2084044884</v>
      </c>
      <c r="B884" s="14" t="s">
        <v>8010</v>
      </c>
      <c r="C884" s="14" t="s">
        <v>8011</v>
      </c>
    </row>
    <row r="885" spans="1:3" ht="15.75" customHeight="1">
      <c r="A885" s="14">
        <v>2084044883</v>
      </c>
      <c r="B885" s="14" t="s">
        <v>8014</v>
      </c>
      <c r="C885" s="14" t="s">
        <v>8015</v>
      </c>
    </row>
    <row r="886" spans="1:3" ht="15.75" customHeight="1">
      <c r="A886" s="14">
        <v>40534</v>
      </c>
      <c r="B886" s="14" t="s">
        <v>8016</v>
      </c>
      <c r="C886" s="14" t="s">
        <v>8018</v>
      </c>
    </row>
    <row r="887" spans="1:3" ht="15.75" customHeight="1">
      <c r="A887" s="14">
        <v>2084041924</v>
      </c>
      <c r="B887" s="14" t="s">
        <v>8019</v>
      </c>
      <c r="C887" s="14" t="s">
        <v>8020</v>
      </c>
    </row>
    <row r="888" spans="1:3" ht="15.75" customHeight="1">
      <c r="A888" s="14">
        <v>2084041925</v>
      </c>
      <c r="B888" s="14" t="s">
        <v>8022</v>
      </c>
      <c r="C888" s="14" t="s">
        <v>8023</v>
      </c>
    </row>
    <row r="889" spans="1:3" ht="15.75" customHeight="1">
      <c r="A889" s="14">
        <v>2084041926</v>
      </c>
      <c r="B889" s="14" t="s">
        <v>46</v>
      </c>
      <c r="C889" s="14" t="s">
        <v>8024</v>
      </c>
    </row>
    <row r="890" spans="1:3" ht="15.75" customHeight="1">
      <c r="A890" s="14">
        <v>2084036418</v>
      </c>
      <c r="B890" s="14" t="s">
        <v>8027</v>
      </c>
      <c r="C890" s="14" t="s">
        <v>8028</v>
      </c>
    </row>
    <row r="891" spans="1:3" ht="15.75" customHeight="1">
      <c r="A891" s="14">
        <v>2084036413</v>
      </c>
      <c r="B891" s="14" t="s">
        <v>8029</v>
      </c>
      <c r="C891" s="14" t="s">
        <v>8031</v>
      </c>
    </row>
    <row r="892" spans="1:3" ht="15.75" customHeight="1">
      <c r="A892" s="14">
        <v>2084036409</v>
      </c>
      <c r="B892" s="14" t="s">
        <v>8033</v>
      </c>
      <c r="C892" s="14" t="s">
        <v>8034</v>
      </c>
    </row>
    <row r="893" spans="1:3" ht="15.75" customHeight="1">
      <c r="A893" s="14">
        <v>2084036411</v>
      </c>
      <c r="B893" s="14" t="s">
        <v>8035</v>
      </c>
      <c r="C893" s="14" t="s">
        <v>8036</v>
      </c>
    </row>
    <row r="894" spans="1:3" ht="15.75" customHeight="1">
      <c r="A894" s="14">
        <v>2084036417</v>
      </c>
      <c r="B894" s="14" t="s">
        <v>8039</v>
      </c>
      <c r="C894" s="14" t="s">
        <v>8040</v>
      </c>
    </row>
    <row r="895" spans="1:3" ht="15.75" customHeight="1">
      <c r="A895" s="14">
        <v>2084036416</v>
      </c>
      <c r="B895" s="14" t="s">
        <v>8041</v>
      </c>
      <c r="C895" s="14" t="s">
        <v>8043</v>
      </c>
    </row>
    <row r="896" spans="1:3" ht="15.75" customHeight="1">
      <c r="A896" s="14">
        <v>2084036420</v>
      </c>
      <c r="B896" s="14" t="s">
        <v>5480</v>
      </c>
      <c r="C896" s="14" t="s">
        <v>8045</v>
      </c>
    </row>
    <row r="897" spans="1:3" ht="15.75" customHeight="1">
      <c r="A897" s="14">
        <v>2084036421</v>
      </c>
      <c r="B897" s="14" t="s">
        <v>5485</v>
      </c>
      <c r="C897" s="14" t="s">
        <v>8047</v>
      </c>
    </row>
    <row r="898" spans="1:3" ht="15.75" customHeight="1">
      <c r="A898" s="14">
        <v>2084036408</v>
      </c>
      <c r="B898" s="14" t="s">
        <v>8049</v>
      </c>
      <c r="C898" s="14" t="s">
        <v>8050</v>
      </c>
    </row>
    <row r="899" spans="1:3" ht="15.75" customHeight="1">
      <c r="A899" s="14">
        <v>2084036410</v>
      </c>
      <c r="B899" s="14" t="s">
        <v>8051</v>
      </c>
      <c r="C899" s="14" t="s">
        <v>8052</v>
      </c>
    </row>
    <row r="900" spans="1:3" ht="15.75" customHeight="1">
      <c r="A900" s="14">
        <v>2084036419</v>
      </c>
      <c r="B900" s="14" t="s">
        <v>46</v>
      </c>
      <c r="C900" s="14" t="s">
        <v>8054</v>
      </c>
    </row>
    <row r="901" spans="1:3" ht="15.75" customHeight="1">
      <c r="A901" s="14">
        <v>2084239895</v>
      </c>
      <c r="B901" s="14" t="s">
        <v>8055</v>
      </c>
      <c r="C901" s="14" t="s">
        <v>8057</v>
      </c>
    </row>
    <row r="902" spans="1:3" ht="15.75" customHeight="1">
      <c r="A902" s="14">
        <v>2084239894</v>
      </c>
      <c r="B902" s="14" t="s">
        <v>8059</v>
      </c>
      <c r="C902" s="14" t="s">
        <v>8060</v>
      </c>
    </row>
    <row r="903" spans="1:3" ht="15.75" customHeight="1">
      <c r="A903" s="14">
        <v>2084239896</v>
      </c>
      <c r="B903" s="14" t="s">
        <v>2387</v>
      </c>
      <c r="C903" s="14" t="s">
        <v>8063</v>
      </c>
    </row>
    <row r="904" spans="1:3" ht="15.75" customHeight="1">
      <c r="A904" s="14">
        <v>2084239897</v>
      </c>
      <c r="B904" s="14" t="s">
        <v>46</v>
      </c>
      <c r="C904" s="14" t="s">
        <v>8064</v>
      </c>
    </row>
    <row r="905" spans="1:3" ht="15.75" customHeight="1">
      <c r="A905" s="14">
        <v>2084059853</v>
      </c>
      <c r="B905" s="14" t="s">
        <v>5321</v>
      </c>
      <c r="C905" s="14" t="s">
        <v>8066</v>
      </c>
    </row>
    <row r="906" spans="1:3" ht="15.75" customHeight="1">
      <c r="A906" s="14">
        <v>2084059854</v>
      </c>
      <c r="B906" s="14" t="s">
        <v>8069</v>
      </c>
      <c r="C906" s="14" t="s">
        <v>8070</v>
      </c>
    </row>
    <row r="907" spans="1:3" ht="15.75" customHeight="1">
      <c r="A907" s="14">
        <v>2084059855</v>
      </c>
      <c r="B907" s="14" t="s">
        <v>8071</v>
      </c>
      <c r="C907" s="14" t="s">
        <v>8073</v>
      </c>
    </row>
    <row r="908" spans="1:3" ht="15.75" customHeight="1">
      <c r="A908" s="14">
        <v>2084059856</v>
      </c>
      <c r="B908" s="14" t="s">
        <v>46</v>
      </c>
      <c r="C908" s="14" t="s">
        <v>8075</v>
      </c>
    </row>
    <row r="909" spans="1:3" ht="15.75" customHeight="1">
      <c r="A909" s="14">
        <v>2084059860</v>
      </c>
      <c r="B909" s="14" t="s">
        <v>8077</v>
      </c>
      <c r="C909" s="14" t="s">
        <v>8079</v>
      </c>
    </row>
    <row r="910" spans="1:3" ht="15.75" customHeight="1">
      <c r="A910" s="14">
        <v>2084310506</v>
      </c>
      <c r="B910" s="14" t="s">
        <v>8080</v>
      </c>
      <c r="C910" s="14" t="s">
        <v>8081</v>
      </c>
    </row>
    <row r="911" spans="1:3" ht="15.75" customHeight="1">
      <c r="A911" s="14">
        <v>2084062134</v>
      </c>
      <c r="B911" s="14" t="s">
        <v>7</v>
      </c>
      <c r="C911" s="14" t="s">
        <v>8083</v>
      </c>
    </row>
    <row r="912" spans="1:3" ht="15.75" customHeight="1">
      <c r="A912" s="14">
        <v>2084059857</v>
      </c>
      <c r="B912" s="14" t="s">
        <v>8084</v>
      </c>
      <c r="C912" s="14" t="s">
        <v>8086</v>
      </c>
    </row>
    <row r="913" spans="1:3" ht="15.75" customHeight="1">
      <c r="A913" s="14">
        <v>2084059862</v>
      </c>
      <c r="B913" s="14" t="s">
        <v>8088</v>
      </c>
      <c r="C913" s="14" t="s">
        <v>8089</v>
      </c>
    </row>
    <row r="914" spans="1:3" ht="15.75" customHeight="1">
      <c r="A914" s="14">
        <v>2084059861</v>
      </c>
      <c r="B914" s="14" t="s">
        <v>8090</v>
      </c>
      <c r="C914" s="14" t="s">
        <v>8091</v>
      </c>
    </row>
    <row r="915" spans="1:3" ht="15.75" customHeight="1">
      <c r="A915" s="14">
        <v>27727</v>
      </c>
      <c r="B915" s="14" t="s">
        <v>143</v>
      </c>
      <c r="C915" s="14" t="s">
        <v>8093</v>
      </c>
    </row>
    <row r="916" spans="1:3" ht="15.75" customHeight="1">
      <c r="A916" s="14">
        <v>2084059858</v>
      </c>
      <c r="B916" s="14" t="s">
        <v>46</v>
      </c>
      <c r="C916" s="14" t="s">
        <v>8094</v>
      </c>
    </row>
    <row r="917" spans="1:3" ht="15.75" customHeight="1">
      <c r="A917" s="14">
        <v>2084019369</v>
      </c>
      <c r="B917" s="14" t="s">
        <v>8095</v>
      </c>
      <c r="C917" s="14" t="s">
        <v>8096</v>
      </c>
    </row>
    <row r="918" spans="1:3" ht="15.75" customHeight="1">
      <c r="A918" s="14">
        <v>2084019370</v>
      </c>
      <c r="B918" s="14" t="s">
        <v>8097</v>
      </c>
      <c r="C918" s="14" t="s">
        <v>8098</v>
      </c>
    </row>
    <row r="919" spans="1:3" ht="15.75" customHeight="1">
      <c r="A919" s="14">
        <v>2084019371</v>
      </c>
      <c r="B919" s="14" t="s">
        <v>8099</v>
      </c>
      <c r="C919" s="14" t="s">
        <v>8100</v>
      </c>
    </row>
    <row r="920" spans="1:3" ht="15.75" customHeight="1">
      <c r="A920" s="14">
        <v>2084019372</v>
      </c>
      <c r="B920" s="14" t="s">
        <v>8101</v>
      </c>
      <c r="C920" s="14" t="s">
        <v>8102</v>
      </c>
    </row>
    <row r="921" spans="1:3" ht="15.75" customHeight="1">
      <c r="A921" s="14">
        <v>2084019379</v>
      </c>
      <c r="B921" s="14" t="s">
        <v>8103</v>
      </c>
      <c r="C921" s="14" t="s">
        <v>8104</v>
      </c>
    </row>
    <row r="922" spans="1:3" ht="15.75" customHeight="1">
      <c r="A922" s="14">
        <v>2084019376</v>
      </c>
      <c r="B922" s="14" t="s">
        <v>8105</v>
      </c>
      <c r="C922" s="14" t="s">
        <v>8106</v>
      </c>
    </row>
    <row r="923" spans="1:3" ht="15.75" customHeight="1">
      <c r="A923" s="14">
        <v>42125</v>
      </c>
      <c r="B923" s="14" t="s">
        <v>8107</v>
      </c>
      <c r="C923" s="14" t="s">
        <v>8108</v>
      </c>
    </row>
    <row r="924" spans="1:3" ht="15.75" customHeight="1">
      <c r="A924" s="14">
        <v>2084019374</v>
      </c>
      <c r="B924" s="14" t="s">
        <v>8109</v>
      </c>
      <c r="C924" s="14" t="s">
        <v>8110</v>
      </c>
    </row>
    <row r="925" spans="1:3" ht="15.75" customHeight="1">
      <c r="A925" s="14">
        <v>2084019373</v>
      </c>
      <c r="B925" s="14" t="s">
        <v>8113</v>
      </c>
      <c r="C925" s="14" t="s">
        <v>8114</v>
      </c>
    </row>
    <row r="926" spans="1:3" ht="15.75" customHeight="1">
      <c r="A926" s="14">
        <v>2084019378</v>
      </c>
      <c r="B926" s="14" t="s">
        <v>8115</v>
      </c>
      <c r="C926" s="14" t="s">
        <v>8117</v>
      </c>
    </row>
    <row r="927" spans="1:3" ht="15.75" customHeight="1">
      <c r="A927" s="14">
        <v>2084019380</v>
      </c>
      <c r="B927" s="14" t="s">
        <v>8119</v>
      </c>
      <c r="C927" s="14" t="s">
        <v>8120</v>
      </c>
    </row>
    <row r="928" spans="1:3" ht="15.75" customHeight="1">
      <c r="A928" s="14">
        <v>2084019381</v>
      </c>
      <c r="B928" s="14" t="s">
        <v>8121</v>
      </c>
      <c r="C928" s="14" t="s">
        <v>8122</v>
      </c>
    </row>
    <row r="929" spans="1:3" ht="15.75" customHeight="1">
      <c r="A929" s="14">
        <v>2084062640</v>
      </c>
      <c r="B929" s="14" t="s">
        <v>8124</v>
      </c>
      <c r="C929" s="14" t="s">
        <v>8125</v>
      </c>
    </row>
    <row r="930" spans="1:3" ht="15.75" customHeight="1">
      <c r="A930" s="14">
        <v>2084062639</v>
      </c>
      <c r="B930" s="14" t="s">
        <v>8127</v>
      </c>
      <c r="C930" s="14" t="s">
        <v>8129</v>
      </c>
    </row>
    <row r="931" spans="1:3" ht="15.75" customHeight="1">
      <c r="A931" s="14">
        <v>2084019383</v>
      </c>
      <c r="B931" s="14" t="s">
        <v>8130</v>
      </c>
      <c r="C931" s="14" t="s">
        <v>8131</v>
      </c>
    </row>
    <row r="932" spans="1:3" ht="15.75" customHeight="1">
      <c r="A932" s="14">
        <v>2084019384</v>
      </c>
      <c r="B932" s="14" t="s">
        <v>8134</v>
      </c>
      <c r="C932" s="14" t="s">
        <v>8135</v>
      </c>
    </row>
    <row r="933" spans="1:3" ht="15.75" customHeight="1">
      <c r="A933" s="14">
        <v>2084045610</v>
      </c>
      <c r="B933" s="14" t="s">
        <v>8136</v>
      </c>
      <c r="C933" s="14" t="s">
        <v>8138</v>
      </c>
    </row>
    <row r="934" spans="1:3" ht="15.75" customHeight="1">
      <c r="A934" s="14">
        <v>2084019385</v>
      </c>
      <c r="B934" s="14" t="s">
        <v>46</v>
      </c>
      <c r="C934" s="14" t="s">
        <v>8140</v>
      </c>
    </row>
    <row r="935" spans="1:3" ht="15.75" customHeight="1">
      <c r="A935" s="14">
        <v>2084242868</v>
      </c>
      <c r="B935" s="14" t="s">
        <v>8142</v>
      </c>
      <c r="C935" s="14" t="s">
        <v>8143</v>
      </c>
    </row>
    <row r="936" spans="1:3" ht="15.75" customHeight="1">
      <c r="A936" s="14">
        <v>2084041906</v>
      </c>
      <c r="B936" s="14" t="s">
        <v>46</v>
      </c>
      <c r="C936" s="14" t="s">
        <v>8145</v>
      </c>
    </row>
    <row r="937" spans="1:3" ht="15.75" customHeight="1">
      <c r="A937" s="14">
        <v>2084045577</v>
      </c>
      <c r="B937" s="14" t="s">
        <v>8148</v>
      </c>
      <c r="C937" s="14" t="s">
        <v>8149</v>
      </c>
    </row>
    <row r="938" spans="1:3" ht="15.75" customHeight="1">
      <c r="A938" s="14">
        <v>2084045578</v>
      </c>
      <c r="B938" s="14" t="s">
        <v>8150</v>
      </c>
      <c r="C938" s="14" t="s">
        <v>8152</v>
      </c>
    </row>
    <row r="939" spans="1:3" ht="15.75" customHeight="1">
      <c r="A939" s="14">
        <v>2084045579</v>
      </c>
      <c r="B939" s="14" t="s">
        <v>8153</v>
      </c>
      <c r="C939" s="14" t="s">
        <v>8154</v>
      </c>
    </row>
    <row r="940" spans="1:3" ht="15.75" customHeight="1">
      <c r="A940" s="14">
        <v>2084045580</v>
      </c>
      <c r="B940" s="14" t="s">
        <v>5773</v>
      </c>
      <c r="C940" s="14" t="s">
        <v>8156</v>
      </c>
    </row>
    <row r="941" spans="1:3" ht="15.75" customHeight="1">
      <c r="A941" s="14">
        <v>2084044884</v>
      </c>
      <c r="B941" s="14" t="s">
        <v>8010</v>
      </c>
      <c r="C941" s="14" t="s">
        <v>8158</v>
      </c>
    </row>
    <row r="942" spans="1:3" ht="15.75" customHeight="1">
      <c r="A942" s="14">
        <v>26018</v>
      </c>
      <c r="B942" s="14" t="s">
        <v>5041</v>
      </c>
      <c r="C942" s="14" t="s">
        <v>8160</v>
      </c>
    </row>
    <row r="943" spans="1:3" ht="15.75" customHeight="1">
      <c r="A943" s="14">
        <v>40510</v>
      </c>
      <c r="B943" s="14" t="s">
        <v>8161</v>
      </c>
      <c r="C943" s="14" t="s">
        <v>8162</v>
      </c>
    </row>
    <row r="944" spans="1:3" ht="15.75" customHeight="1">
      <c r="A944" s="14">
        <v>2084008619</v>
      </c>
      <c r="B944" s="14" t="s">
        <v>8164</v>
      </c>
      <c r="C944" s="14" t="s">
        <v>8165</v>
      </c>
    </row>
    <row r="945" spans="1:3" ht="15.75" customHeight="1">
      <c r="A945" s="14">
        <v>2084008647</v>
      </c>
      <c r="B945" s="14" t="s">
        <v>6088</v>
      </c>
      <c r="C945" s="14" t="s">
        <v>8168</v>
      </c>
    </row>
    <row r="946" spans="1:3" ht="15.75" customHeight="1">
      <c r="A946" s="14">
        <v>2084045581</v>
      </c>
      <c r="B946" s="14" t="s">
        <v>46</v>
      </c>
      <c r="C946" s="14" t="s">
        <v>8169</v>
      </c>
    </row>
    <row r="947" spans="1:3" ht="15.75" customHeight="1">
      <c r="A947" s="14">
        <v>22476</v>
      </c>
      <c r="B947" s="14" t="s">
        <v>4639</v>
      </c>
      <c r="C947" s="14" t="s">
        <v>8172</v>
      </c>
    </row>
    <row r="948" spans="1:3" ht="15.75" customHeight="1">
      <c r="A948" s="14">
        <v>22480</v>
      </c>
      <c r="B948" s="14" t="s">
        <v>4566</v>
      </c>
      <c r="C948" s="14" t="s">
        <v>8173</v>
      </c>
    </row>
    <row r="949" spans="1:3" ht="15.75" customHeight="1">
      <c r="A949" s="14">
        <v>22572</v>
      </c>
      <c r="B949" s="14" t="s">
        <v>5288</v>
      </c>
      <c r="C949" s="14" t="s">
        <v>8176</v>
      </c>
    </row>
    <row r="950" spans="1:3" ht="15.75" customHeight="1">
      <c r="A950" s="14">
        <v>22440</v>
      </c>
      <c r="B950" s="14" t="s">
        <v>5277</v>
      </c>
      <c r="C950" s="14" t="s">
        <v>8178</v>
      </c>
    </row>
    <row r="951" spans="1:3" ht="15.75" customHeight="1">
      <c r="A951" s="14">
        <v>22532</v>
      </c>
      <c r="B951" s="14" t="s">
        <v>5283</v>
      </c>
      <c r="C951" s="14" t="s">
        <v>8179</v>
      </c>
    </row>
    <row r="952" spans="1:3" ht="15.75" customHeight="1">
      <c r="A952" s="14">
        <v>22500</v>
      </c>
      <c r="B952" s="14" t="s">
        <v>5294</v>
      </c>
      <c r="C952" s="14" t="s">
        <v>8182</v>
      </c>
    </row>
    <row r="953" spans="1:3" ht="15.75" customHeight="1">
      <c r="A953" s="14">
        <v>2084305860</v>
      </c>
      <c r="B953" s="14" t="s">
        <v>8183</v>
      </c>
      <c r="C953" s="14" t="s">
        <v>8185</v>
      </c>
    </row>
    <row r="954" spans="1:3" ht="15.75" customHeight="1">
      <c r="A954" s="14">
        <v>2084019010</v>
      </c>
      <c r="B954" s="14" t="s">
        <v>8187</v>
      </c>
      <c r="C954" s="14" t="s">
        <v>8188</v>
      </c>
    </row>
    <row r="955" spans="1:3" ht="15.75" customHeight="1">
      <c r="A955" s="14">
        <v>2084261081</v>
      </c>
      <c r="B955" s="14" t="s">
        <v>2796</v>
      </c>
      <c r="C955" s="14" t="s">
        <v>8189</v>
      </c>
    </row>
    <row r="956" spans="1:3" ht="15.75" customHeight="1">
      <c r="A956" s="14">
        <v>22544</v>
      </c>
      <c r="B956" s="14" t="s">
        <v>8191</v>
      </c>
      <c r="C956" s="14" t="s">
        <v>8192</v>
      </c>
    </row>
    <row r="957" spans="1:3" ht="15.75" customHeight="1">
      <c r="A957" s="14">
        <v>2084005286</v>
      </c>
      <c r="B957" s="14" t="s">
        <v>2670</v>
      </c>
      <c r="C957" s="14" t="s">
        <v>8195</v>
      </c>
    </row>
    <row r="958" spans="1:3" ht="15.75" customHeight="1">
      <c r="A958" s="14">
        <v>2084210466</v>
      </c>
      <c r="B958" s="14" t="s">
        <v>8196</v>
      </c>
      <c r="C958" s="14" t="s">
        <v>8197</v>
      </c>
    </row>
    <row r="959" spans="1:3" ht="15.75" customHeight="1">
      <c r="A959" s="14">
        <v>2084210467</v>
      </c>
      <c r="B959" s="14" t="s">
        <v>8200</v>
      </c>
      <c r="C959" s="14" t="s">
        <v>8201</v>
      </c>
    </row>
    <row r="960" spans="1:3" ht="15.75" customHeight="1">
      <c r="A960" s="14">
        <v>2084285349</v>
      </c>
      <c r="B960" s="14" t="s">
        <v>8202</v>
      </c>
      <c r="C960" s="14" t="s">
        <v>8203</v>
      </c>
    </row>
    <row r="961" spans="1:3" ht="15.75" customHeight="1">
      <c r="A961" s="14">
        <v>2084024191</v>
      </c>
      <c r="B961" s="14" t="s">
        <v>8205</v>
      </c>
      <c r="C961" s="14" t="s">
        <v>8206</v>
      </c>
    </row>
    <row r="962" spans="1:3" ht="15.75" customHeight="1">
      <c r="A962" s="14">
        <v>2084009086</v>
      </c>
      <c r="B962" s="14" t="s">
        <v>6344</v>
      </c>
      <c r="C962" s="14" t="s">
        <v>8208</v>
      </c>
    </row>
    <row r="963" spans="1:3" ht="15.75" customHeight="1">
      <c r="A963" s="14">
        <v>2084307734</v>
      </c>
      <c r="B963" s="14" t="s">
        <v>252</v>
      </c>
      <c r="C963" s="14" t="s">
        <v>8209</v>
      </c>
    </row>
    <row r="964" spans="1:3" ht="15.75" customHeight="1">
      <c r="A964" s="14">
        <v>2084307822</v>
      </c>
      <c r="B964" s="14" t="s">
        <v>8211</v>
      </c>
      <c r="C964" s="14" t="s">
        <v>8212</v>
      </c>
    </row>
    <row r="965" spans="1:3" ht="15.75" customHeight="1">
      <c r="A965" s="14">
        <v>2084307743</v>
      </c>
      <c r="B965" s="14" t="s">
        <v>8213</v>
      </c>
      <c r="C965" s="14" t="s">
        <v>8215</v>
      </c>
    </row>
    <row r="966" spans="1:3" ht="15.75" customHeight="1">
      <c r="A966" s="14">
        <v>2084307790</v>
      </c>
      <c r="B966" s="14" t="s">
        <v>8217</v>
      </c>
      <c r="C966" s="14" t="s">
        <v>8218</v>
      </c>
    </row>
    <row r="967" spans="1:3" ht="15.75" customHeight="1">
      <c r="A967" s="14">
        <v>22656</v>
      </c>
      <c r="B967" s="14" t="s">
        <v>46</v>
      </c>
      <c r="C967" s="14" t="s">
        <v>8221</v>
      </c>
    </row>
    <row r="968" spans="1:3" ht="15.75" customHeight="1">
      <c r="A968" s="14">
        <v>26024</v>
      </c>
      <c r="B968" s="14" t="s">
        <v>8222</v>
      </c>
      <c r="C968" s="14" t="s">
        <v>8223</v>
      </c>
    </row>
    <row r="969" spans="1:3" ht="15.75" customHeight="1">
      <c r="A969" s="14">
        <v>26026</v>
      </c>
      <c r="B969" s="14" t="s">
        <v>8226</v>
      </c>
      <c r="C969" s="14" t="s">
        <v>8227</v>
      </c>
    </row>
    <row r="970" spans="1:3" ht="15.75" customHeight="1">
      <c r="A970" s="14">
        <v>2084019425</v>
      </c>
      <c r="B970" s="14" t="s">
        <v>8228</v>
      </c>
      <c r="C970" s="14" t="s">
        <v>8229</v>
      </c>
    </row>
    <row r="971" spans="1:3" ht="15.75" customHeight="1">
      <c r="A971" s="14">
        <v>2084019424</v>
      </c>
      <c r="B971" s="14" t="s">
        <v>8231</v>
      </c>
      <c r="C971" s="14" t="s">
        <v>8232</v>
      </c>
    </row>
    <row r="972" spans="1:3" ht="15.75" customHeight="1">
      <c r="A972" s="14">
        <v>27711</v>
      </c>
      <c r="B972" s="14" t="s">
        <v>46</v>
      </c>
      <c r="C972" s="14" t="s">
        <v>8234</v>
      </c>
    </row>
    <row r="973" spans="1:3" ht="15.75" customHeight="1">
      <c r="A973" s="14">
        <v>40516</v>
      </c>
      <c r="B973" s="14" t="s">
        <v>8236</v>
      </c>
      <c r="C973" s="14" t="s">
        <v>8237</v>
      </c>
    </row>
    <row r="974" spans="1:3" ht="15.75" customHeight="1">
      <c r="A974" s="14">
        <v>2084048015</v>
      </c>
      <c r="B974" s="14" t="s">
        <v>3502</v>
      </c>
      <c r="C974" s="14" t="s">
        <v>8240</v>
      </c>
    </row>
    <row r="975" spans="1:3" ht="15.75" customHeight="1">
      <c r="A975" s="14">
        <v>40514</v>
      </c>
      <c r="B975" s="14" t="s">
        <v>8241</v>
      </c>
      <c r="C975" s="14" t="s">
        <v>8242</v>
      </c>
    </row>
    <row r="976" spans="1:3" ht="15.75" customHeight="1">
      <c r="A976" s="14">
        <v>2084005502</v>
      </c>
      <c r="B976" s="14" t="s">
        <v>8243</v>
      </c>
      <c r="C976" s="14" t="s">
        <v>8245</v>
      </c>
    </row>
    <row r="977" spans="1:3" ht="15.75" customHeight="1">
      <c r="A977" s="14">
        <v>2084023884</v>
      </c>
      <c r="B977" s="14" t="s">
        <v>8246</v>
      </c>
      <c r="C977" s="14" t="s">
        <v>8247</v>
      </c>
    </row>
    <row r="978" spans="1:3" ht="15.75" customHeight="1">
      <c r="A978" s="14">
        <v>40515</v>
      </c>
      <c r="B978" s="14" t="s">
        <v>46</v>
      </c>
      <c r="C978" s="14" t="s">
        <v>8250</v>
      </c>
    </row>
    <row r="979" spans="1:3" ht="15.75" customHeight="1">
      <c r="A979" s="14">
        <v>2084315793</v>
      </c>
      <c r="B979" s="14" t="s">
        <v>7914</v>
      </c>
      <c r="C979" s="14" t="s">
        <v>7915</v>
      </c>
    </row>
    <row r="980" spans="1:3" ht="15.75" customHeight="1">
      <c r="A980" s="14">
        <v>2084315791</v>
      </c>
      <c r="B980" s="14" t="s">
        <v>7916</v>
      </c>
      <c r="C980" s="14" t="s">
        <v>7918</v>
      </c>
    </row>
    <row r="981" spans="1:3" ht="15.75" customHeight="1">
      <c r="A981" s="14">
        <v>2084290226</v>
      </c>
      <c r="B981" s="14" t="s">
        <v>7919</v>
      </c>
      <c r="C981" s="14" t="s">
        <v>7920</v>
      </c>
    </row>
    <row r="982" spans="1:3" ht="15.75" customHeight="1">
      <c r="A982" s="14">
        <v>2084056539</v>
      </c>
      <c r="B982" s="14" t="s">
        <v>4987</v>
      </c>
      <c r="C982" s="14" t="s">
        <v>7922</v>
      </c>
    </row>
    <row r="983" spans="1:3" ht="15.75" customHeight="1">
      <c r="A983" s="14">
        <v>2084310052</v>
      </c>
      <c r="B983" s="14" t="s">
        <v>7923</v>
      </c>
      <c r="C983" s="14" t="s">
        <v>7925</v>
      </c>
    </row>
    <row r="984" spans="1:3" ht="15.75" customHeight="1">
      <c r="A984" s="14">
        <v>2084217064</v>
      </c>
      <c r="B984" s="14" t="s">
        <v>7926</v>
      </c>
      <c r="C984" s="14" t="s">
        <v>7927</v>
      </c>
    </row>
    <row r="985" spans="1:3" ht="15.75" customHeight="1">
      <c r="A985" s="14">
        <v>2084301277</v>
      </c>
      <c r="B985" s="14" t="s">
        <v>7929</v>
      </c>
      <c r="C985" s="14" t="s">
        <v>7930</v>
      </c>
    </row>
    <row r="986" spans="1:3" ht="15.75" customHeight="1">
      <c r="A986" s="14">
        <v>2084057109</v>
      </c>
      <c r="B986" s="14" t="s">
        <v>4983</v>
      </c>
      <c r="C986" s="14" t="s">
        <v>7931</v>
      </c>
    </row>
    <row r="987" spans="1:3" ht="15.75" customHeight="1">
      <c r="A987" s="14">
        <v>2084313826</v>
      </c>
      <c r="B987" s="14" t="s">
        <v>7933</v>
      </c>
      <c r="C987" s="14" t="s">
        <v>7934</v>
      </c>
    </row>
    <row r="988" spans="1:3" ht="15.75" customHeight="1">
      <c r="A988" s="14">
        <v>2084216435</v>
      </c>
      <c r="B988" s="14" t="s">
        <v>7935</v>
      </c>
      <c r="C988" s="14" t="s">
        <v>7937</v>
      </c>
    </row>
    <row r="989" spans="1:3" ht="15.75" customHeight="1">
      <c r="A989" s="14">
        <v>2084006668</v>
      </c>
      <c r="B989" s="14" t="s">
        <v>7938</v>
      </c>
      <c r="C989" s="14" t="s">
        <v>7939</v>
      </c>
    </row>
    <row r="990" spans="1:3" ht="15.75" customHeight="1">
      <c r="A990" s="14">
        <v>2084314664</v>
      </c>
      <c r="B990" s="14" t="s">
        <v>7941</v>
      </c>
      <c r="C990" s="14" t="s">
        <v>7942</v>
      </c>
    </row>
    <row r="991" spans="1:3" ht="15.75" customHeight="1">
      <c r="A991" s="14">
        <v>2084235546</v>
      </c>
      <c r="B991" s="14" t="s">
        <v>7943</v>
      </c>
      <c r="C991" s="14" t="s">
        <v>7944</v>
      </c>
    </row>
    <row r="992" spans="1:3" ht="15.75" customHeight="1">
      <c r="A992" s="14">
        <v>22860</v>
      </c>
      <c r="B992" s="14" t="s">
        <v>7946</v>
      </c>
      <c r="C992" s="14" t="s">
        <v>7947</v>
      </c>
    </row>
    <row r="993" spans="1:3" ht="15.75" customHeight="1">
      <c r="A993" s="14">
        <v>2084041580</v>
      </c>
      <c r="B993" s="14" t="s">
        <v>4991</v>
      </c>
      <c r="C993" s="14" t="s">
        <v>7948</v>
      </c>
    </row>
    <row r="994" spans="1:3" ht="15.75" customHeight="1">
      <c r="A994" s="14">
        <v>2084063616</v>
      </c>
      <c r="B994" s="14" t="s">
        <v>7949</v>
      </c>
      <c r="C994" s="14" t="s">
        <v>7950</v>
      </c>
    </row>
    <row r="995" spans="1:3" ht="15.75" customHeight="1">
      <c r="A995" s="14">
        <v>27812</v>
      </c>
      <c r="B995" s="14" t="s">
        <v>4996</v>
      </c>
      <c r="C995" s="14" t="s">
        <v>7951</v>
      </c>
    </row>
    <row r="996" spans="1:3" ht="15.75" customHeight="1">
      <c r="A996" s="14">
        <v>2084045784</v>
      </c>
      <c r="B996" s="14" t="s">
        <v>7952</v>
      </c>
      <c r="C996" s="14" t="s">
        <v>7953</v>
      </c>
    </row>
    <row r="997" spans="1:3" ht="15.75" customHeight="1">
      <c r="A997" s="14">
        <v>22850</v>
      </c>
      <c r="B997" s="14" t="s">
        <v>7954</v>
      </c>
      <c r="C997" s="14" t="s">
        <v>7955</v>
      </c>
    </row>
    <row r="998" spans="1:3" ht="15.75" customHeight="1">
      <c r="A998" s="14">
        <v>22852</v>
      </c>
      <c r="B998" s="14" t="s">
        <v>7956</v>
      </c>
      <c r="C998" s="14" t="s">
        <v>7957</v>
      </c>
    </row>
    <row r="999" spans="1:3" ht="15.75" customHeight="1">
      <c r="A999" s="14">
        <v>22853</v>
      </c>
      <c r="B999" s="14" t="s">
        <v>7958</v>
      </c>
      <c r="C999" s="14" t="s">
        <v>7959</v>
      </c>
    </row>
    <row r="1000" spans="1:3" ht="15.75" customHeight="1">
      <c r="A1000" s="14">
        <v>2084047852</v>
      </c>
      <c r="B1000" s="14" t="s">
        <v>7960</v>
      </c>
      <c r="C1000" s="14" t="s">
        <v>7961</v>
      </c>
    </row>
    <row r="1001" spans="1:3" ht="15.75" customHeight="1">
      <c r="A1001" s="14">
        <v>40505</v>
      </c>
      <c r="B1001" s="14" t="s">
        <v>7962</v>
      </c>
      <c r="C1001" s="14" t="s">
        <v>7963</v>
      </c>
    </row>
    <row r="1002" spans="1:3" ht="15.75" customHeight="1">
      <c r="A1002" s="14">
        <v>2084005537</v>
      </c>
      <c r="B1002" s="14" t="s">
        <v>7964</v>
      </c>
      <c r="C1002" s="14" t="s">
        <v>7965</v>
      </c>
    </row>
    <row r="1003" spans="1:3" ht="15.75" customHeight="1">
      <c r="A1003" s="14">
        <v>2084005532</v>
      </c>
      <c r="B1003" s="14" t="s">
        <v>7966</v>
      </c>
      <c r="C1003" s="14" t="s">
        <v>7967</v>
      </c>
    </row>
    <row r="1004" spans="1:3" ht="15.75" customHeight="1">
      <c r="A1004" s="14">
        <v>2084006676</v>
      </c>
      <c r="B1004" s="14" t="s">
        <v>1707</v>
      </c>
      <c r="C1004" s="14" t="s">
        <v>7968</v>
      </c>
    </row>
    <row r="1005" spans="1:3" ht="15.75" customHeight="1">
      <c r="A1005" s="14">
        <v>22864</v>
      </c>
      <c r="B1005" s="14" t="s">
        <v>7969</v>
      </c>
      <c r="C1005" s="14" t="s">
        <v>7970</v>
      </c>
    </row>
    <row r="1006" spans="1:3" ht="15.75" customHeight="1">
      <c r="A1006" s="14">
        <v>2084047781</v>
      </c>
      <c r="B1006" s="14" t="s">
        <v>7971</v>
      </c>
      <c r="C1006" s="14" t="s">
        <v>7972</v>
      </c>
    </row>
    <row r="1007" spans="1:3" ht="15.75" customHeight="1">
      <c r="A1007" s="14">
        <v>2084005147</v>
      </c>
      <c r="B1007" s="14" t="s">
        <v>7973</v>
      </c>
      <c r="C1007" s="14" t="s">
        <v>7974</v>
      </c>
    </row>
    <row r="1008" spans="1:3" ht="15.75" customHeight="1">
      <c r="A1008" s="14">
        <v>2084009067</v>
      </c>
      <c r="B1008" s="14" t="s">
        <v>7975</v>
      </c>
      <c r="C1008" s="14" t="s">
        <v>7976</v>
      </c>
    </row>
    <row r="1009" spans="1:3" ht="15.75" customHeight="1">
      <c r="A1009" s="14">
        <v>2084047654</v>
      </c>
      <c r="B1009" s="14" t="s">
        <v>5069</v>
      </c>
      <c r="C1009" s="14" t="s">
        <v>7978</v>
      </c>
    </row>
    <row r="1010" spans="1:3" ht="15.75" customHeight="1">
      <c r="A1010" s="14">
        <v>2084005119</v>
      </c>
      <c r="B1010" s="14" t="s">
        <v>5976</v>
      </c>
      <c r="C1010" s="14" t="s">
        <v>7979</v>
      </c>
    </row>
    <row r="1011" spans="1:3" ht="15.75" customHeight="1">
      <c r="A1011" s="14">
        <v>22892</v>
      </c>
      <c r="B1011" s="14" t="s">
        <v>46</v>
      </c>
      <c r="C1011" s="14" t="s">
        <v>7981</v>
      </c>
    </row>
    <row r="1012" spans="1:3" ht="15.75" customHeight="1">
      <c r="A1012" s="14">
        <v>2084024166</v>
      </c>
      <c r="B1012" s="14" t="s">
        <v>8271</v>
      </c>
      <c r="C1012" s="14" t="s">
        <v>8272</v>
      </c>
    </row>
    <row r="1013" spans="1:3" ht="15.75" customHeight="1">
      <c r="A1013" s="14">
        <v>26076</v>
      </c>
      <c r="B1013" s="14" t="s">
        <v>8273</v>
      </c>
      <c r="C1013" s="14" t="s">
        <v>8274</v>
      </c>
    </row>
    <row r="1014" spans="1:3" ht="15.75" customHeight="1">
      <c r="A1014" s="14">
        <v>40007</v>
      </c>
      <c r="B1014" s="14" t="s">
        <v>7601</v>
      </c>
      <c r="C1014" s="14" t="s">
        <v>8275</v>
      </c>
    </row>
    <row r="1015" spans="1:3" ht="15.75" customHeight="1">
      <c r="A1015" s="14">
        <v>2084024168</v>
      </c>
      <c r="B1015" s="14" t="s">
        <v>8276</v>
      </c>
      <c r="C1015" s="14" t="s">
        <v>8277</v>
      </c>
    </row>
    <row r="1016" spans="1:3" ht="15.75" customHeight="1">
      <c r="A1016" s="14">
        <v>2084024171</v>
      </c>
      <c r="B1016" s="14" t="s">
        <v>7604</v>
      </c>
      <c r="C1016" s="14" t="s">
        <v>8278</v>
      </c>
    </row>
    <row r="1017" spans="1:3" ht="15.75" customHeight="1">
      <c r="A1017" s="14">
        <v>2084220981</v>
      </c>
      <c r="B1017" s="14" t="s">
        <v>8279</v>
      </c>
      <c r="C1017" s="14" t="s">
        <v>8280</v>
      </c>
    </row>
    <row r="1018" spans="1:3" ht="15.75" customHeight="1">
      <c r="A1018" s="14">
        <v>2084024175</v>
      </c>
      <c r="B1018" s="14" t="s">
        <v>46</v>
      </c>
      <c r="C1018" s="14" t="s">
        <v>8281</v>
      </c>
    </row>
    <row r="1019" spans="1:3" ht="15.75" customHeight="1">
      <c r="A1019" s="14">
        <v>42117</v>
      </c>
      <c r="B1019" s="14" t="s">
        <v>8282</v>
      </c>
      <c r="C1019" s="14" t="s">
        <v>8283</v>
      </c>
    </row>
    <row r="1020" spans="1:3" ht="15.75" customHeight="1">
      <c r="A1020" s="14">
        <v>42118</v>
      </c>
      <c r="B1020" s="14" t="s">
        <v>8284</v>
      </c>
      <c r="C1020" s="14" t="s">
        <v>8285</v>
      </c>
    </row>
    <row r="1021" spans="1:3" ht="15.75" customHeight="1">
      <c r="A1021" s="14">
        <v>42119</v>
      </c>
      <c r="B1021" s="14" t="s">
        <v>8286</v>
      </c>
      <c r="C1021" s="14" t="s">
        <v>8287</v>
      </c>
    </row>
    <row r="1022" spans="1:3" ht="15.75" customHeight="1">
      <c r="A1022" s="14">
        <v>42120</v>
      </c>
      <c r="B1022" s="14" t="s">
        <v>8288</v>
      </c>
      <c r="C1022" s="14" t="s">
        <v>8289</v>
      </c>
    </row>
    <row r="1023" spans="1:3" ht="15.75" customHeight="1">
      <c r="A1023" s="14">
        <v>42125</v>
      </c>
      <c r="B1023" s="14" t="s">
        <v>8236</v>
      </c>
      <c r="C1023" s="14" t="s">
        <v>8290</v>
      </c>
    </row>
    <row r="1024" spans="1:3" ht="15.75" customHeight="1">
      <c r="A1024" s="14">
        <v>42224</v>
      </c>
      <c r="B1024" s="14" t="s">
        <v>8291</v>
      </c>
      <c r="C1024" s="14" t="s">
        <v>8293</v>
      </c>
    </row>
    <row r="1025" spans="1:3" ht="15.75" customHeight="1">
      <c r="A1025" s="14">
        <v>40577</v>
      </c>
      <c r="B1025" s="14" t="s">
        <v>7351</v>
      </c>
      <c r="C1025" s="14" t="s">
        <v>8294</v>
      </c>
    </row>
    <row r="1026" spans="1:3" ht="15.75" customHeight="1">
      <c r="A1026" s="14">
        <v>27575</v>
      </c>
      <c r="B1026" s="14" t="s">
        <v>46</v>
      </c>
      <c r="C1026" s="14" t="s">
        <v>8296</v>
      </c>
    </row>
    <row r="1027" spans="1:3" ht="15.75" customHeight="1">
      <c r="A1027" s="14">
        <v>2084019386</v>
      </c>
      <c r="B1027" s="14" t="s">
        <v>8297</v>
      </c>
      <c r="C1027" s="14" t="s">
        <v>8298</v>
      </c>
    </row>
    <row r="1028" spans="1:3" ht="15.75" customHeight="1">
      <c r="A1028" s="14">
        <v>2084019415</v>
      </c>
      <c r="B1028" s="14" t="s">
        <v>8300</v>
      </c>
      <c r="C1028" s="14" t="s">
        <v>8301</v>
      </c>
    </row>
    <row r="1029" spans="1:3" ht="15.75" customHeight="1">
      <c r="A1029" s="14">
        <v>2084005551</v>
      </c>
      <c r="B1029" s="14" t="s">
        <v>8302</v>
      </c>
      <c r="C1029" s="14" t="s">
        <v>8303</v>
      </c>
    </row>
    <row r="1030" spans="1:3" ht="15.75" customHeight="1">
      <c r="A1030" s="14">
        <v>2084019413</v>
      </c>
      <c r="B1030" s="14" t="s">
        <v>8304</v>
      </c>
      <c r="C1030" s="14" t="s">
        <v>8305</v>
      </c>
    </row>
    <row r="1031" spans="1:3" ht="15.75" customHeight="1">
      <c r="A1031" s="14">
        <v>2084005550</v>
      </c>
      <c r="B1031" s="14" t="s">
        <v>2828</v>
      </c>
      <c r="C1031" s="14" t="s">
        <v>8306</v>
      </c>
    </row>
    <row r="1032" spans="1:3" ht="15.75" customHeight="1">
      <c r="A1032" s="14">
        <v>2084019423</v>
      </c>
      <c r="B1032" s="14" t="s">
        <v>1265</v>
      </c>
      <c r="C1032" s="14" t="s">
        <v>8307</v>
      </c>
    </row>
    <row r="1033" spans="1:3" ht="15.75" customHeight="1">
      <c r="A1033" s="14">
        <v>2084019412</v>
      </c>
      <c r="B1033" s="14" t="s">
        <v>7429</v>
      </c>
      <c r="C1033" s="14" t="s">
        <v>8308</v>
      </c>
    </row>
    <row r="1034" spans="1:3" ht="15.75" customHeight="1">
      <c r="A1034" s="14">
        <v>2084045597</v>
      </c>
      <c r="B1034" s="14" t="s">
        <v>8309</v>
      </c>
      <c r="C1034" s="14" t="s">
        <v>8310</v>
      </c>
    </row>
    <row r="1035" spans="1:3" ht="15.75" customHeight="1">
      <c r="A1035" s="14">
        <v>2084019414</v>
      </c>
      <c r="B1035" s="14" t="s">
        <v>8311</v>
      </c>
      <c r="C1035" s="14" t="s">
        <v>8312</v>
      </c>
    </row>
    <row r="1036" spans="1:3" ht="15.75" customHeight="1">
      <c r="A1036" s="14">
        <v>2084032558</v>
      </c>
      <c r="B1036" s="14" t="s">
        <v>46</v>
      </c>
      <c r="C1036" s="14" t="s">
        <v>8313</v>
      </c>
    </row>
    <row r="1037" spans="1:3" ht="15.75" customHeight="1">
      <c r="A1037" s="14">
        <v>2084019417</v>
      </c>
      <c r="B1037" s="14" t="s">
        <v>8314</v>
      </c>
      <c r="C1037" s="14" t="s">
        <v>8315</v>
      </c>
    </row>
    <row r="1038" spans="1:3" ht="15.75" customHeight="1">
      <c r="A1038" s="14">
        <v>2084019421</v>
      </c>
      <c r="B1038" s="14" t="s">
        <v>8316</v>
      </c>
      <c r="C1038" s="14" t="s">
        <v>8317</v>
      </c>
    </row>
    <row r="1039" spans="1:3" ht="15.75" customHeight="1">
      <c r="A1039" s="14">
        <v>2084019418</v>
      </c>
      <c r="B1039" s="14" t="s">
        <v>8318</v>
      </c>
      <c r="C1039" s="14" t="s">
        <v>8319</v>
      </c>
    </row>
    <row r="1040" spans="1:3" ht="15.75" customHeight="1">
      <c r="A1040" s="14">
        <v>2084019416</v>
      </c>
      <c r="B1040" s="14" t="s">
        <v>8320</v>
      </c>
      <c r="C1040" s="14" t="s">
        <v>8321</v>
      </c>
    </row>
    <row r="1041" spans="1:3" ht="15.75" customHeight="1">
      <c r="A1041" s="14">
        <v>2084019420</v>
      </c>
      <c r="B1041" s="14" t="s">
        <v>8322</v>
      </c>
      <c r="C1041" s="14" t="s">
        <v>8323</v>
      </c>
    </row>
    <row r="1042" spans="1:3" ht="15.75" customHeight="1">
      <c r="A1042" s="14">
        <v>2084019419</v>
      </c>
      <c r="B1042" s="14" t="s">
        <v>8324</v>
      </c>
      <c r="C1042" s="14" t="s">
        <v>8325</v>
      </c>
    </row>
    <row r="1043" spans="1:3" ht="15.75" customHeight="1">
      <c r="A1043" s="14">
        <v>2084019422</v>
      </c>
      <c r="B1043" s="14" t="s">
        <v>46</v>
      </c>
      <c r="C1043" s="14" t="s">
        <v>8326</v>
      </c>
    </row>
    <row r="1044" spans="1:3" ht="15.75" customHeight="1">
      <c r="A1044" s="14">
        <v>2084263227</v>
      </c>
      <c r="B1044" s="14" t="s">
        <v>8327</v>
      </c>
      <c r="C1044" s="14" t="s">
        <v>8328</v>
      </c>
    </row>
    <row r="1045" spans="1:3" ht="15.75" customHeight="1">
      <c r="A1045" s="14">
        <v>2084263228</v>
      </c>
      <c r="B1045" s="14" t="s">
        <v>8329</v>
      </c>
      <c r="C1045" s="14" t="s">
        <v>8330</v>
      </c>
    </row>
    <row r="1046" spans="1:3" ht="15.75" customHeight="1">
      <c r="A1046" s="14">
        <v>2084263392</v>
      </c>
      <c r="B1046" s="14" t="s">
        <v>8331</v>
      </c>
      <c r="C1046" s="14" t="s">
        <v>8332</v>
      </c>
    </row>
    <row r="1047" spans="1:3" ht="15.75" customHeight="1">
      <c r="A1047" s="14">
        <v>2084046762</v>
      </c>
      <c r="B1047" s="14" t="s">
        <v>8333</v>
      </c>
      <c r="C1047" s="14" t="s">
        <v>8334</v>
      </c>
    </row>
    <row r="1048" spans="1:3" ht="15.75" customHeight="1">
      <c r="A1048" s="14">
        <v>2084208878</v>
      </c>
      <c r="B1048" s="14" t="s">
        <v>8335</v>
      </c>
      <c r="C1048" s="14" t="s">
        <v>8336</v>
      </c>
    </row>
    <row r="1049" spans="1:3" ht="15.75" customHeight="1">
      <c r="A1049" s="14">
        <v>24970</v>
      </c>
      <c r="B1049" s="14" t="s">
        <v>8337</v>
      </c>
      <c r="C1049" s="14" t="s">
        <v>8338</v>
      </c>
    </row>
    <row r="1050" spans="1:3" ht="15.75" customHeight="1">
      <c r="A1050" s="14">
        <v>2084046745</v>
      </c>
      <c r="B1050" s="14" t="s">
        <v>8339</v>
      </c>
      <c r="C1050" s="14" t="s">
        <v>8340</v>
      </c>
    </row>
    <row r="1051" spans="1:3" ht="15.75" customHeight="1">
      <c r="A1051" s="14">
        <v>2084046744</v>
      </c>
      <c r="B1051" s="14" t="s">
        <v>8341</v>
      </c>
      <c r="C1051" s="14" t="s">
        <v>8342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>
      <selection activeCell="F1" sqref="F1"/>
    </sheetView>
  </sheetViews>
  <sheetFormatPr defaultColWidth="12.59765625" defaultRowHeight="15" customHeight="1"/>
  <cols>
    <col min="1" max="1" width="10.59765625" customWidth="1"/>
    <col min="2" max="2" width="10.69921875" customWidth="1"/>
    <col min="3" max="3" width="23.09765625" customWidth="1"/>
    <col min="4" max="4" width="7.59765625" customWidth="1"/>
    <col min="5" max="5" width="62.8984375" customWidth="1"/>
    <col min="6" max="26" width="7.59765625" customWidth="1"/>
  </cols>
  <sheetData>
    <row r="1" spans="1:6" ht="42">
      <c r="A1" s="14">
        <v>22488</v>
      </c>
      <c r="B1" s="14" t="s">
        <v>4543</v>
      </c>
      <c r="C1" s="14" t="s">
        <v>4544</v>
      </c>
      <c r="D1" s="5" t="str">
        <f ca="1">IFERROR(__xludf.DUMMYFUNCTION("GOOGLETRANSLATE(B1,""ja"",""vi"")"),"guitar điện")</f>
        <v>guitar điện</v>
      </c>
      <c r="E1" s="4" t="str">
        <f ca="1">IFERROR(__xludf.DUMMYFUNCTION("GOOGLETRANSLATE(C1,""ja"",""vi"")"),"Đấu giá&gt; Sở thích, văn hóa&gt; Nhạc cụ và thiết bị&gt; guitar&gt; guitar điện")</f>
        <v>Đấu giá&gt; Sở thích, văn hóa&gt; Nhạc cụ và thiết bị&gt; guitar&gt; guitar điện</v>
      </c>
      <c r="F1" t="str">
        <f ca="1">CONCATENATE(CHAR(34)&amp;"",A1,""&amp;CHAR(34)," : ", CHAR(34)&amp;"",D1,""&amp;CHAR(34),",")</f>
        <v>"22488" : "guitar điện",</v>
      </c>
    </row>
    <row r="2" spans="1:6" ht="42">
      <c r="A2" s="14">
        <v>22484</v>
      </c>
      <c r="B2" s="14" t="s">
        <v>4546</v>
      </c>
      <c r="C2" s="14" t="s">
        <v>4548</v>
      </c>
      <c r="D2" s="5" t="str">
        <f ca="1">IFERROR(__xludf.DUMMYFUNCTION("GOOGLETRANSLATE(B2,""ja"",""vi"")"),"guitar acoustic")</f>
        <v>guitar acoustic</v>
      </c>
      <c r="E2" s="4" t="str">
        <f ca="1">IFERROR(__xludf.DUMMYFUNCTION("GOOGLETRANSLATE(C2,""ja"",""vi"")"),"Đấu giá&gt; Sở thích, văn hóa&gt; Nhạc cụ và thiết bị&gt; guitar&gt; guitar acoustic")</f>
        <v>Đấu giá&gt; Sở thích, văn hóa&gt; Nhạc cụ và thiết bị&gt; guitar&gt; guitar acoustic</v>
      </c>
      <c r="F2" t="str">
        <f t="shared" ref="F2:F65" ca="1" si="0">CONCATENATE(CHAR(34)&amp;"",A2,""&amp;CHAR(34)," : ", CHAR(34)&amp;"",D2,""&amp;CHAR(34),",")</f>
        <v>"22484" : "guitar acoustic",</v>
      </c>
    </row>
    <row r="3" spans="1:6" ht="42">
      <c r="A3" s="14">
        <v>22492</v>
      </c>
      <c r="B3" s="14" t="s">
        <v>4549</v>
      </c>
      <c r="C3" s="14" t="s">
        <v>4550</v>
      </c>
      <c r="D3" s="5" t="str">
        <f ca="1">IFERROR(__xludf.DUMMYFUNCTION("GOOGLETRANSLATE(B3,""ja"",""vi"")"),"Classical Guitar")</f>
        <v>Classical Guitar</v>
      </c>
      <c r="E3" s="4" t="str">
        <f ca="1">IFERROR(__xludf.DUMMYFUNCTION("GOOGLETRANSLATE(C3,""ja"",""vi"")"),"Đấu giá&gt; Sở thích, văn hóa&gt; Nhạc cụ và thiết bị&gt; Guitar&gt; Guitar cổ điển")</f>
        <v>Đấu giá&gt; Sở thích, văn hóa&gt; Nhạc cụ và thiết bị&gt; Guitar&gt; Guitar cổ điển</v>
      </c>
      <c r="F3" t="str">
        <f t="shared" ca="1" si="0"/>
        <v>"22492" : "Classical Guitar",</v>
      </c>
    </row>
    <row r="4" spans="1:6" ht="42">
      <c r="A4" s="14">
        <v>2084306013</v>
      </c>
      <c r="B4" s="14" t="s">
        <v>4553</v>
      </c>
      <c r="C4" s="14" t="s">
        <v>4554</v>
      </c>
      <c r="D4" s="5" t="str">
        <f ca="1">IFERROR(__xludf.DUMMYFUNCTION("GOOGLETRANSLATE(B4,""ja"",""vi"")"),"đàn guitar flamenco")</f>
        <v>đàn guitar flamenco</v>
      </c>
      <c r="E4" s="4" t="str">
        <f ca="1">IFERROR(__xludf.DUMMYFUNCTION("GOOGLETRANSLATE(C4,""ja"",""vi"")"),"Đấu giá&gt; Sở thích, văn hóa&gt; Nhạc cụ và thiết bị&gt; guitar&gt; guitar flamenco")</f>
        <v>Đấu giá&gt; Sở thích, văn hóa&gt; Nhạc cụ và thiết bị&gt; guitar&gt; guitar flamenco</v>
      </c>
      <c r="F4" t="str">
        <f t="shared" ca="1" si="0"/>
        <v>"2084306013" : "đàn guitar flamenco",</v>
      </c>
    </row>
    <row r="5" spans="1:6" ht="42">
      <c r="A5" s="14">
        <v>2084005285</v>
      </c>
      <c r="B5" s="14" t="s">
        <v>4555</v>
      </c>
      <c r="C5" s="14" t="s">
        <v>4557</v>
      </c>
      <c r="D5" s="5" t="str">
        <f ca="1">IFERROR(__xludf.DUMMYFUNCTION("GOOGLETRANSLATE(B5,""ja"",""vi"")"),"đờn du ku li li")</f>
        <v>đờn du ku li li</v>
      </c>
      <c r="E5" s="4" t="str">
        <f ca="1">IFERROR(__xludf.DUMMYFUNCTION("GOOGLETRANSLATE(C5,""ja"",""vi"")"),"Đấu giá&gt; Sở thích, văn hóa&gt; Nhạc cụ và thiết bị&gt; guitar&gt; ukulele")</f>
        <v>Đấu giá&gt; Sở thích, văn hóa&gt; Nhạc cụ và thiết bị&gt; guitar&gt; ukulele</v>
      </c>
      <c r="F5" t="str">
        <f t="shared" ca="1" si="0"/>
        <v>"2084005285" : "đờn du ku li li",</v>
      </c>
    </row>
    <row r="6" spans="1:6" ht="42">
      <c r="A6" s="14">
        <v>2084230110</v>
      </c>
      <c r="B6" s="14" t="s">
        <v>1685</v>
      </c>
      <c r="C6" s="14" t="s">
        <v>4562</v>
      </c>
      <c r="D6" s="5" t="str">
        <f ca="1">IFERROR(__xludf.DUMMYFUNCTION("GOOGLETRANSLATE(B6,""ja"",""vi"")"),"phụ kiện")</f>
        <v>phụ kiện</v>
      </c>
      <c r="E6" s="4" t="str">
        <f ca="1">IFERROR(__xludf.DUMMYFUNCTION("GOOGLETRANSLATE(C6,""ja"",""vi"")"),"Đấu giá&gt; Sở thích, văn hóa&gt; Nhạc cụ và thiết bị&gt; Guitar&gt; Accessories")</f>
        <v>Đấu giá&gt; Sở thích, văn hóa&gt; Nhạc cụ và thiết bị&gt; Guitar&gt; Accessories</v>
      </c>
      <c r="F6" t="str">
        <f t="shared" ca="1" si="0"/>
        <v>"2084230110" : "phụ kiện",</v>
      </c>
    </row>
    <row r="7" spans="1:6" ht="31.8">
      <c r="A7" s="14">
        <v>22480</v>
      </c>
      <c r="B7" s="14" t="s">
        <v>4566</v>
      </c>
      <c r="C7" s="14" t="s">
        <v>4567</v>
      </c>
      <c r="D7" s="5" t="str">
        <f ca="1">IFERROR(__xludf.DUMMYFUNCTION("GOOGLETRANSLATE(B7,""ja"",""vi"")"),"căn cứ")</f>
        <v>căn cứ</v>
      </c>
      <c r="E7" s="4" t="str">
        <f ca="1">IFERROR(__xludf.DUMMYFUNCTION("GOOGLETRANSLATE(C7,""ja"",""vi"")"),"Đấu giá&gt; Sở thích, văn hóa&gt; Nhạc cụ và thiết bị&gt; guitar&gt; Cơ sở")</f>
        <v>Đấu giá&gt; Sở thích, văn hóa&gt; Nhạc cụ và thiết bị&gt; guitar&gt; Cơ sở</v>
      </c>
      <c r="F7" t="str">
        <f t="shared" ca="1" si="0"/>
        <v>"22480" : "căn cứ",</v>
      </c>
    </row>
    <row r="8" spans="1:6" ht="31.8">
      <c r="A8" s="14">
        <v>22496</v>
      </c>
      <c r="B8" s="14" t="s">
        <v>46</v>
      </c>
      <c r="C8" s="14" t="s">
        <v>4571</v>
      </c>
      <c r="D8" s="5" t="str">
        <f ca="1">IFERROR(__xludf.DUMMYFUNCTION("GOOGLETRANSLATE(B8,""ja"",""vi"")"),"nếu không thì")</f>
        <v>nếu không thì</v>
      </c>
      <c r="E8" s="4" t="str">
        <f ca="1">IFERROR(__xludf.DUMMYFUNCTION("GOOGLETRANSLATE(C8,""ja"",""vi"")"),"Đấu giá&gt; Sở thích, văn hóa&gt; Nhạc cụ và thiết bị&gt; guitar&gt; Khác")</f>
        <v>Đấu giá&gt; Sở thích, văn hóa&gt; Nhạc cụ và thiết bị&gt; guitar&gt; Khác</v>
      </c>
      <c r="F8" t="str">
        <f t="shared" ca="1" si="0"/>
        <v>"22496" : "nếu không thì",</v>
      </c>
    </row>
    <row r="9" spans="1:6" ht="42">
      <c r="A9" s="14">
        <v>2084019034</v>
      </c>
      <c r="B9" s="14" t="s">
        <v>4572</v>
      </c>
      <c r="C9" s="14" t="s">
        <v>4575</v>
      </c>
      <c r="D9" s="5" t="str">
        <f ca="1">IFERROR(__xludf.DUMMYFUNCTION("GOOGLETRANSLATE(B9,""ja"",""vi"")"),"cơ thể âm bass điện")</f>
        <v>cơ thể âm bass điện</v>
      </c>
      <c r="E9" s="4" t="str">
        <f ca="1">IFERROR(__xludf.DUMMYFUNCTION("GOOGLETRANSLATE(C9,""ja"",""vi"")"),"Đấu giá&gt; Sở thích, văn hóa&gt; Nhạc cụ và thiết bị&gt; cơ sở&gt; cơ thể âm bass điện")</f>
        <v>Đấu giá&gt; Sở thích, văn hóa&gt; Nhạc cụ và thiết bị&gt; cơ sở&gt; cơ thể âm bass điện</v>
      </c>
      <c r="F9" t="str">
        <f t="shared" ca="1" si="0"/>
        <v>"2084019034" : "cơ thể âm bass điện",</v>
      </c>
    </row>
    <row r="10" spans="1:6" ht="42">
      <c r="A10" s="14">
        <v>2084305936</v>
      </c>
      <c r="B10" s="14" t="s">
        <v>4577</v>
      </c>
      <c r="C10" s="14" t="s">
        <v>4579</v>
      </c>
      <c r="D10" s="5" t="str">
        <f ca="1">IFERROR(__xludf.DUMMYFUNCTION("GOOGLETRANSLATE(B10,""ja"",""vi"")"),"âm bass Acoustic")</f>
        <v>âm bass Acoustic</v>
      </c>
      <c r="E10" s="4" t="str">
        <f ca="1">IFERROR(__xludf.DUMMYFUNCTION("GOOGLETRANSLATE(C10,""ja"",""vi"")"),"Đấu giá&gt; Sở thích, văn hóa&gt; Nhạc cụ và thiết bị&gt; cơ sở&gt; âm bass acoustic")</f>
        <v>Đấu giá&gt; Sở thích, văn hóa&gt; Nhạc cụ và thiết bị&gt; cơ sở&gt; âm bass acoustic</v>
      </c>
      <c r="F10" t="str">
        <f t="shared" ca="1" si="0"/>
        <v>"2084305936" : "âm bass Acoustic",</v>
      </c>
    </row>
    <row r="11" spans="1:6" ht="31.8">
      <c r="A11" s="14">
        <v>2084305937</v>
      </c>
      <c r="B11" s="14" t="s">
        <v>4582</v>
      </c>
      <c r="C11" s="14" t="s">
        <v>4584</v>
      </c>
      <c r="D11" s="5" t="str">
        <f ca="1">IFERROR(__xludf.DUMMYFUNCTION("GOOGLETRANSLATE(B11,""ja"",""vi"")"),"EUB")</f>
        <v>EUB</v>
      </c>
      <c r="E11" s="4" t="str">
        <f ca="1">IFERROR(__xludf.DUMMYFUNCTION("GOOGLETRANSLATE(C11,""ja"",""vi"")"),"Đấu giá&gt; Sở thích, văn hóa&gt; Nhạc cụ và thiết bị&gt; cơ sở&gt; EUB")</f>
        <v>Đấu giá&gt; Sở thích, văn hóa&gt; Nhạc cụ và thiết bị&gt; cơ sở&gt; EUB</v>
      </c>
      <c r="F11" t="str">
        <f t="shared" ca="1" si="0"/>
        <v>"2084305937" : "EUB",</v>
      </c>
    </row>
    <row r="12" spans="1:6" ht="42">
      <c r="A12" s="14">
        <v>2084236001</v>
      </c>
      <c r="B12" s="14" t="s">
        <v>4588</v>
      </c>
      <c r="C12" s="14" t="s">
        <v>4589</v>
      </c>
      <c r="D12" s="5" t="str">
        <f ca="1">IFERROR(__xludf.DUMMYFUNCTION("GOOGLETRANSLATE(B12,""ja"",""vi"")"),"Gỗ-based, double bass")</f>
        <v>Gỗ-based, double bass</v>
      </c>
      <c r="E12" s="4" t="str">
        <f ca="1">IFERROR(__xludf.DUMMYFUNCTION("GOOGLETRANSLATE(C12,""ja"",""vi"")"),"Đấu giá&gt; Sở thích, văn hóa&gt; Nhạc cụ và thiết bị&gt; cơ sở&gt; gỗ dựa trên, double bass")</f>
        <v>Đấu giá&gt; Sở thích, văn hóa&gt; Nhạc cụ và thiết bị&gt; cơ sở&gt; gỗ dựa trên, double bass</v>
      </c>
      <c r="F12" t="str">
        <f t="shared" ca="1" si="0"/>
        <v>"2084236001" : "Gỗ-based, double bass",</v>
      </c>
    </row>
    <row r="13" spans="1:6" ht="42">
      <c r="A13" s="14">
        <v>2084019040</v>
      </c>
      <c r="B13" s="14" t="s">
        <v>4593</v>
      </c>
      <c r="C13" s="14" t="s">
        <v>4595</v>
      </c>
      <c r="D13" s="5" t="str">
        <f ca="1">IFERROR(__xludf.DUMMYFUNCTION("GOOGLETRANSLATE(B13,""ja"",""vi"")"),"phần bass điện")</f>
        <v>phần bass điện</v>
      </c>
      <c r="E13" s="4" t="str">
        <f ca="1">IFERROR(__xludf.DUMMYFUNCTION("GOOGLETRANSLATE(C13,""ja"",""vi"")"),"Đấu giá&gt; Sở thích, văn hóa&gt; Nhạc cụ và thiết bị&gt; cơ sở&gt; phần bass điện")</f>
        <v>Đấu giá&gt; Sở thích, văn hóa&gt; Nhạc cụ và thiết bị&gt; cơ sở&gt; phần bass điện</v>
      </c>
      <c r="F13" t="str">
        <f t="shared" ca="1" si="0"/>
        <v>"2084019040" : "phần bass điện",</v>
      </c>
    </row>
    <row r="14" spans="1:6" ht="42">
      <c r="A14" s="14">
        <v>2084019000</v>
      </c>
      <c r="B14" s="14" t="s">
        <v>4596</v>
      </c>
      <c r="C14" s="14" t="s">
        <v>4597</v>
      </c>
      <c r="D14" s="5" t="str">
        <f ca="1">IFERROR(__xludf.DUMMYFUNCTION("GOOGLETRANSLATE(B14,""ja"",""vi"")"),"Bass amp")</f>
        <v>Bass amp</v>
      </c>
      <c r="E14" s="4" t="str">
        <f ca="1">IFERROR(__xludf.DUMMYFUNCTION("GOOGLETRANSLATE(C14,""ja"",""vi"")"),"Đấu giá&gt; Sở thích, văn hóa&gt; Nhạc cụ và thiết bị&gt; cơ sở&gt; amp âm bass")</f>
        <v>Đấu giá&gt; Sở thích, văn hóa&gt; Nhạc cụ và thiết bị&gt; cơ sở&gt; amp âm bass</v>
      </c>
      <c r="F14" t="str">
        <f t="shared" ca="1" si="0"/>
        <v>"2084019000" : "Bass amp",</v>
      </c>
    </row>
    <row r="15" spans="1:6" ht="42">
      <c r="A15" s="14">
        <v>2084305938</v>
      </c>
      <c r="B15" s="14" t="s">
        <v>4601</v>
      </c>
      <c r="C15" s="14" t="s">
        <v>4602</v>
      </c>
      <c r="D15" s="5" t="str">
        <f ca="1">IFERROR(__xludf.DUMMYFUNCTION("GOOGLETRANSLATE(B15,""ja"",""vi"")"),"effector cơ sở")</f>
        <v>effector cơ sở</v>
      </c>
      <c r="E15" s="4" t="str">
        <f ca="1">IFERROR(__xludf.DUMMYFUNCTION("GOOGLETRANSLATE(C15,""ja"",""vi"")"),"Đấu giá&gt; Sở thích, văn hóa&gt; Nhạc cụ và thiết bị&gt; cơ sở&gt; effector cơ sở")</f>
        <v>Đấu giá&gt; Sở thích, văn hóa&gt; Nhạc cụ và thiết bị&gt; cơ sở&gt; effector cơ sở</v>
      </c>
      <c r="F15" t="str">
        <f t="shared" ca="1" si="0"/>
        <v>"2084305938" : "effector cơ sở",</v>
      </c>
    </row>
    <row r="16" spans="1:6" ht="42">
      <c r="A16" s="14">
        <v>2084305954</v>
      </c>
      <c r="B16" s="14" t="s">
        <v>4603</v>
      </c>
      <c r="C16" s="14" t="s">
        <v>4606</v>
      </c>
      <c r="D16" s="5" t="str">
        <f ca="1">IFERROR(__xludf.DUMMYFUNCTION("GOOGLETRANSLATE(B16,""ja"",""vi"")"),"trường hợp cơ sở")</f>
        <v>trường hợp cơ sở</v>
      </c>
      <c r="E16" s="4" t="str">
        <f ca="1">IFERROR(__xludf.DUMMYFUNCTION("GOOGLETRANSLATE(C16,""ja"",""vi"")"),"Đấu giá&gt; Sở thích, văn hóa&gt; Nhạc cụ và thiết bị&gt; cơ sở&gt; trường hợp cơ sở")</f>
        <v>Đấu giá&gt; Sở thích, văn hóa&gt; Nhạc cụ và thiết bị&gt; cơ sở&gt; trường hợp cơ sở</v>
      </c>
      <c r="F16" t="str">
        <f t="shared" ca="1" si="0"/>
        <v>"2084305954" : "trường hợp cơ sở",</v>
      </c>
    </row>
    <row r="17" spans="1:6" ht="42">
      <c r="A17" s="14">
        <v>2084019030</v>
      </c>
      <c r="B17" s="14" t="s">
        <v>4609</v>
      </c>
      <c r="C17" s="14" t="s">
        <v>4612</v>
      </c>
      <c r="D17" s="5" t="str">
        <f ca="1">IFERROR(__xludf.DUMMYFUNCTION("GOOGLETRANSLATE(B17,""ja"",""vi"")"),"khiên")</f>
        <v>khiên</v>
      </c>
      <c r="E17" s="4" t="str">
        <f ca="1">IFERROR(__xludf.DUMMYFUNCTION("GOOGLETRANSLATE(C17,""ja"",""vi"")"),"Đấu giá&gt; Sở thích, văn hóa&gt; Nhạc cụ và thiết bị&gt; cơ sở&gt; khiên")</f>
        <v>Đấu giá&gt; Sở thích, văn hóa&gt; Nhạc cụ và thiết bị&gt; cơ sở&gt; khiên</v>
      </c>
      <c r="F17" t="str">
        <f t="shared" ca="1" si="0"/>
        <v>"2084019030" : "khiên",</v>
      </c>
    </row>
    <row r="18" spans="1:6" ht="42">
      <c r="A18" s="14">
        <v>2084019029</v>
      </c>
      <c r="B18" s="14" t="s">
        <v>4614</v>
      </c>
      <c r="C18" s="14" t="s">
        <v>4615</v>
      </c>
      <c r="D18" s="5" t="str">
        <f ca="1">IFERROR(__xludf.DUMMYFUNCTION("GOOGLETRANSLATE(B18,""ja"",""vi"")"),"đứng")</f>
        <v>đứng</v>
      </c>
      <c r="E18" s="4" t="str">
        <f ca="1">IFERROR(__xludf.DUMMYFUNCTION("GOOGLETRANSLATE(C18,""ja"",""vi"")"),"Đấu giá&gt; Sở thích, văn hóa&gt; Nhạc cụ và thiết bị&gt; cơ sở&gt; đứng")</f>
        <v>Đấu giá&gt; Sở thích, văn hóa&gt; Nhạc cụ và thiết bị&gt; cơ sở&gt; đứng</v>
      </c>
      <c r="F18" t="str">
        <f t="shared" ca="1" si="0"/>
        <v>"2084019029" : "đứng",</v>
      </c>
    </row>
    <row r="19" spans="1:6" ht="42">
      <c r="A19" s="14">
        <v>2084019031</v>
      </c>
      <c r="B19" s="14" t="s">
        <v>3685</v>
      </c>
      <c r="C19" s="14" t="s">
        <v>4619</v>
      </c>
      <c r="D19" s="5" t="str">
        <f ca="1">IFERROR(__xludf.DUMMYFUNCTION("GOOGLETRANSLATE(B19,""ja"",""vi"")"),"dây đeo")</f>
        <v>dây đeo</v>
      </c>
      <c r="E19" s="4" t="str">
        <f ca="1">IFERROR(__xludf.DUMMYFUNCTION("GOOGLETRANSLATE(C19,""ja"",""vi"")"),"Đấu giá&gt; Sở thích, văn hóa&gt; Nhạc cụ và thiết bị&gt; cơ sở&gt; dây đeo")</f>
        <v>Đấu giá&gt; Sở thích, văn hóa&gt; Nhạc cụ và thiết bị&gt; cơ sở&gt; dây đeo</v>
      </c>
      <c r="F19" t="str">
        <f t="shared" ca="1" si="0"/>
        <v>"2084019031" : "dây đeo",</v>
      </c>
    </row>
    <row r="20" spans="1:6" ht="42">
      <c r="A20" s="14">
        <v>2084201071</v>
      </c>
      <c r="B20" s="14" t="s">
        <v>3114</v>
      </c>
      <c r="C20" s="14" t="s">
        <v>4621</v>
      </c>
      <c r="D20" s="5" t="str">
        <f ca="1">IFERROR(__xludf.DUMMYFUNCTION("GOOGLETRANSLATE(B20,""ja"",""vi"")"),"Tuner")</f>
        <v>Tuner</v>
      </c>
      <c r="E20" s="4" t="str">
        <f ca="1">IFERROR(__xludf.DUMMYFUNCTION("GOOGLETRANSLATE(C20,""ja"",""vi"")"),"Đấu giá&gt; Sở thích, văn hóa&gt; Nhạc cụ và thiết bị&gt; cơ sở&gt; chỉnh")</f>
        <v>Đấu giá&gt; Sở thích, văn hóa&gt; Nhạc cụ và thiết bị&gt; cơ sở&gt; chỉnh</v>
      </c>
      <c r="F20" t="str">
        <f t="shared" ca="1" si="0"/>
        <v>"2084201071" : "Tuner",</v>
      </c>
    </row>
    <row r="21" spans="1:6" ht="15.75" customHeight="1">
      <c r="A21" s="14">
        <v>2084230114</v>
      </c>
      <c r="B21" s="14" t="s">
        <v>4625</v>
      </c>
      <c r="C21" s="14" t="s">
        <v>4626</v>
      </c>
      <c r="D21" s="5" t="str">
        <f ca="1">IFERROR(__xludf.DUMMYFUNCTION("GOOGLETRANSLATE(B21,""ja"",""vi"")"),"nhặt")</f>
        <v>nhặt</v>
      </c>
      <c r="E21" s="4" t="str">
        <f ca="1">IFERROR(__xludf.DUMMYFUNCTION("GOOGLETRANSLATE(C21,""ja"",""vi"")"),"Đấu giá&gt; Sở thích, văn hóa&gt; công cụ và thiết bị&gt; cơ sở Musical&gt; Chọn")</f>
        <v>Đấu giá&gt; Sở thích, văn hóa&gt; công cụ và thiết bị&gt; cơ sở Musical&gt; Chọn</v>
      </c>
      <c r="F21" t="str">
        <f t="shared" ca="1" si="0"/>
        <v>"2084230114" : "nhặt",</v>
      </c>
    </row>
    <row r="22" spans="1:6" ht="15.75" customHeight="1">
      <c r="A22" s="14">
        <v>2084305981</v>
      </c>
      <c r="B22" s="14" t="s">
        <v>4630</v>
      </c>
      <c r="C22" s="14" t="s">
        <v>4632</v>
      </c>
      <c r="D22" s="5" t="str">
        <f ca="1">IFERROR(__xludf.DUMMYFUNCTION("GOOGLETRANSLATE(B22,""ja"",""vi"")"),"Bass Strings")</f>
        <v>Bass Strings</v>
      </c>
      <c r="E22" s="4" t="str">
        <f ca="1">IFERROR(__xludf.DUMMYFUNCTION("GOOGLETRANSLATE(C22,""ja"",""vi"")"),"Đấu giá&gt; Sở thích, văn hóa&gt; Nhạc cụ và thiết bị&gt; cơ sở&gt; Bass Strings")</f>
        <v>Đấu giá&gt; Sở thích, văn hóa&gt; Nhạc cụ và thiết bị&gt; cơ sở&gt; Bass Strings</v>
      </c>
      <c r="F22" t="str">
        <f t="shared" ca="1" si="0"/>
        <v>"2084305981" : "Bass Strings",</v>
      </c>
    </row>
    <row r="23" spans="1:6" ht="15.75" customHeight="1">
      <c r="A23" s="14">
        <v>2084019041</v>
      </c>
      <c r="B23" s="14" t="s">
        <v>46</v>
      </c>
      <c r="C23" s="14" t="s">
        <v>4637</v>
      </c>
      <c r="D23" s="5" t="str">
        <f ca="1">IFERROR(__xludf.DUMMYFUNCTION("GOOGLETRANSLATE(B23,""ja"",""vi"")"),"nếu không thì")</f>
        <v>nếu không thì</v>
      </c>
      <c r="E23" s="4" t="str">
        <f ca="1">IFERROR(__xludf.DUMMYFUNCTION("GOOGLETRANSLATE(C23,""ja"",""vi"")"),"Đấu giá&gt; Sở thích, văn hóa&gt; Nhạc cụ và thiết bị&gt; cơ sở&gt; Khác")</f>
        <v>Đấu giá&gt; Sở thích, văn hóa&gt; Nhạc cụ và thiết bị&gt; cơ sở&gt; Khác</v>
      </c>
      <c r="F23" t="str">
        <f t="shared" ca="1" si="0"/>
        <v>"2084019041" : "nếu không thì",</v>
      </c>
    </row>
    <row r="24" spans="1:6" ht="15.75" customHeight="1">
      <c r="A24" s="14">
        <v>22476</v>
      </c>
      <c r="B24" s="14" t="s">
        <v>4639</v>
      </c>
      <c r="C24" s="14" t="s">
        <v>4640</v>
      </c>
      <c r="D24" s="5" t="str">
        <f ca="1">IFERROR(__xludf.DUMMYFUNCTION("GOOGLETRANSLATE(B24,""ja"",""vi"")"),"Guitar")</f>
        <v>Guitar</v>
      </c>
      <c r="E24" s="4" t="str">
        <f ca="1">IFERROR(__xludf.DUMMYFUNCTION("GOOGLETRANSLATE(C24,""ja"",""vi"")"),"Đấu giá&gt; Sở thích, văn hóa&gt; công cụ và thiết bị âm nhạc&gt; loại nhạc cụ&gt; guitar")</f>
        <v>Đấu giá&gt; Sở thích, văn hóa&gt; công cụ và thiết bị âm nhạc&gt; loại nhạc cụ&gt; guitar</v>
      </c>
      <c r="F24" t="str">
        <f t="shared" ca="1" si="0"/>
        <v>"22476" : "Guitar",</v>
      </c>
    </row>
    <row r="25" spans="1:6" ht="15.75" customHeight="1">
      <c r="A25" s="14">
        <v>22480</v>
      </c>
      <c r="B25" s="14" t="s">
        <v>4566</v>
      </c>
      <c r="C25" s="14" t="s">
        <v>4644</v>
      </c>
      <c r="D25" s="5" t="str">
        <f ca="1">IFERROR(__xludf.DUMMYFUNCTION("GOOGLETRANSLATE(B25,""ja"",""vi"")"),"căn cứ")</f>
        <v>căn cứ</v>
      </c>
      <c r="E25" s="4" t="str">
        <f ca="1">IFERROR(__xludf.DUMMYFUNCTION("GOOGLETRANSLATE(C25,""ja"",""vi"")"),"Đấu giá&gt; Sở thích, văn hóa&gt; công cụ và thiết bị âm nhạc&gt; loại nhạc cụ&gt; cơ sở")</f>
        <v>Đấu giá&gt; Sở thích, văn hóa&gt; công cụ và thiết bị âm nhạc&gt; loại nhạc cụ&gt; cơ sở</v>
      </c>
      <c r="F25" t="str">
        <f t="shared" ca="1" si="0"/>
        <v>"22480" : "căn cứ",</v>
      </c>
    </row>
    <row r="26" spans="1:6" ht="15.75" customHeight="1">
      <c r="A26" s="14">
        <v>2084005285</v>
      </c>
      <c r="B26" s="14" t="s">
        <v>4555</v>
      </c>
      <c r="C26" s="14" t="s">
        <v>4648</v>
      </c>
      <c r="D26" s="5" t="str">
        <f ca="1">IFERROR(__xludf.DUMMYFUNCTION("GOOGLETRANSLATE(B26,""ja"",""vi"")"),"đờn du ku li li")</f>
        <v>đờn du ku li li</v>
      </c>
      <c r="E26" s="4" t="str">
        <f ca="1">IFERROR(__xludf.DUMMYFUNCTION("GOOGLETRANSLATE(C26,""ja"",""vi"")"),"Đấu giá&gt; Sở thích, văn hóa&gt; công cụ và thiết bị âm nhạc&gt; loại nhạc cụ&gt; ukulele")</f>
        <v>Đấu giá&gt; Sở thích, văn hóa&gt; công cụ và thiết bị âm nhạc&gt; loại nhạc cụ&gt; ukulele</v>
      </c>
      <c r="F26" t="str">
        <f t="shared" ca="1" si="0"/>
        <v>"2084005285" : "đờn du ku li li",</v>
      </c>
    </row>
    <row r="27" spans="1:6" ht="15.75" customHeight="1">
      <c r="A27" s="14">
        <v>2084236001</v>
      </c>
      <c r="B27" s="14" t="s">
        <v>4652</v>
      </c>
      <c r="C27" s="14" t="s">
        <v>4653</v>
      </c>
      <c r="D27" s="5" t="str">
        <f ca="1">IFERROR(__xludf.DUMMYFUNCTION("GOOGLETRANSLATE(B27,""ja"",""vi"")"),"loại đàn giống như vĩ cầm")</f>
        <v>loại đàn giống như vĩ cầm</v>
      </c>
      <c r="E27" s="4" t="str">
        <f ca="1">IFERROR(__xludf.DUMMYFUNCTION("GOOGLETRANSLATE(C27,""ja"",""vi"")"),"Đấu giá&gt; Sở thích, văn hóa&gt; công cụ và thiết bị âm nhạc&gt; loại nhạc cụ&gt; Double Bass")</f>
        <v>Đấu giá&gt; Sở thích, văn hóa&gt; công cụ và thiết bị âm nhạc&gt; loại nhạc cụ&gt; Double Bass</v>
      </c>
      <c r="F27" t="str">
        <f t="shared" ca="1" si="0"/>
        <v>"2084236001" : "loại đàn giống như vĩ cầm",</v>
      </c>
    </row>
    <row r="28" spans="1:6" ht="15.75" customHeight="1">
      <c r="A28" s="14">
        <v>22584</v>
      </c>
      <c r="B28" s="14" t="s">
        <v>4658</v>
      </c>
      <c r="C28" s="14" t="s">
        <v>4659</v>
      </c>
      <c r="D28" s="5" t="str">
        <f ca="1">IFERROR(__xludf.DUMMYFUNCTION("GOOGLETRANSLATE(B28,""ja"",""vi"")"),"hồ cầm")</f>
        <v>hồ cầm</v>
      </c>
      <c r="E28" s="4" t="str">
        <f ca="1">IFERROR(__xludf.DUMMYFUNCTION("GOOGLETRANSLATE(C28,""ja"",""vi"")"),"Đấu giá&gt; Sở thích, văn hóa&gt; công cụ và thiết bị âm nhạc&gt; loại nhạc cụ&gt; Cello")</f>
        <v>Đấu giá&gt; Sở thích, văn hóa&gt; công cụ và thiết bị âm nhạc&gt; loại nhạc cụ&gt; Cello</v>
      </c>
      <c r="F28" t="str">
        <f t="shared" ca="1" si="0"/>
        <v>"22584" : "hồ cầm",</v>
      </c>
    </row>
    <row r="29" spans="1:6" ht="15.75" customHeight="1">
      <c r="A29" s="14">
        <v>22576</v>
      </c>
      <c r="B29" s="14" t="s">
        <v>4661</v>
      </c>
      <c r="C29" s="14" t="s">
        <v>4662</v>
      </c>
      <c r="D29" s="5" t="str">
        <f ca="1">IFERROR(__xludf.DUMMYFUNCTION("GOOGLETRANSLATE(B29,""ja"",""vi"")"),"vĩ cầm")</f>
        <v>vĩ cầm</v>
      </c>
      <c r="E29" s="4" t="str">
        <f ca="1">IFERROR(__xludf.DUMMYFUNCTION("GOOGLETRANSLATE(C29,""ja"",""vi"")"),"Đấu giá&gt; Sở thích, văn hóa&gt; công cụ và thiết bị âm nhạc&gt; loại nhạc cụ&gt; violon")</f>
        <v>Đấu giá&gt; Sở thích, văn hóa&gt; công cụ và thiết bị âm nhạc&gt; loại nhạc cụ&gt; violon</v>
      </c>
      <c r="F29" t="str">
        <f t="shared" ca="1" si="0"/>
        <v>"22576" : "vĩ cầm",</v>
      </c>
    </row>
    <row r="30" spans="1:6" ht="15.75" customHeight="1">
      <c r="A30" s="14">
        <v>22580</v>
      </c>
      <c r="B30" s="14" t="s">
        <v>4665</v>
      </c>
      <c r="C30" s="14" t="s">
        <v>4667</v>
      </c>
      <c r="D30" s="5" t="str">
        <f ca="1">IFERROR(__xludf.DUMMYFUNCTION("GOOGLETRANSLATE(B30,""ja"",""vi"")"),"cây tử la lan")</f>
        <v>cây tử la lan</v>
      </c>
      <c r="E30" s="4" t="str">
        <f ca="1">IFERROR(__xludf.DUMMYFUNCTION("GOOGLETRANSLATE(C30,""ja"",""vi"")"),"Đấu giá&gt; Sở thích, văn hóa&gt; công cụ và thiết bị âm nhạc&gt; loại nhạc cụ&gt; Viola")</f>
        <v>Đấu giá&gt; Sở thích, văn hóa&gt; công cụ và thiết bị âm nhạc&gt; loại nhạc cụ&gt; Viola</v>
      </c>
      <c r="F30" t="str">
        <f t="shared" ca="1" si="0"/>
        <v>"22580" : "cây tử la lan",</v>
      </c>
    </row>
    <row r="31" spans="1:6" ht="15.75" customHeight="1">
      <c r="A31" s="14">
        <v>2084049859</v>
      </c>
      <c r="B31" s="14" t="s">
        <v>4669</v>
      </c>
      <c r="C31" s="14" t="s">
        <v>4671</v>
      </c>
      <c r="D31" s="5" t="str">
        <f ca="1">IFERROR(__xludf.DUMMYFUNCTION("GOOGLETRANSLATE(B31,""ja"",""vi"")"),"đờn măng đô lin")</f>
        <v>đờn măng đô lin</v>
      </c>
      <c r="E31" s="4" t="str">
        <f ca="1">IFERROR(__xludf.DUMMYFUNCTION("GOOGLETRANSLATE(C31,""ja"",""vi"")"),"Đấu giá&gt; Sở thích, văn hóa&gt; công cụ và thiết bị âm nhạc&gt; loại nhạc cụ&gt; Mandolin")</f>
        <v>Đấu giá&gt; Sở thích, văn hóa&gt; công cụ và thiết bị âm nhạc&gt; loại nhạc cụ&gt; Mandolin</v>
      </c>
      <c r="F31" t="str">
        <f t="shared" ca="1" si="0"/>
        <v>"2084049859" : "đờn măng đô lin",</v>
      </c>
    </row>
    <row r="32" spans="1:6" ht="15.75" customHeight="1">
      <c r="A32" s="14">
        <v>2084046803</v>
      </c>
      <c r="B32" s="14" t="s">
        <v>4673</v>
      </c>
      <c r="C32" s="14" t="s">
        <v>4674</v>
      </c>
      <c r="D32" s="5" t="str">
        <f ca="1">IFERROR(__xludf.DUMMYFUNCTION("GOOGLETRANSLATE(B32,""ja"",""vi"")"),"Kokyu")</f>
        <v>Kokyu</v>
      </c>
      <c r="E32" s="4" t="str">
        <f ca="1">IFERROR(__xludf.DUMMYFUNCTION("GOOGLETRANSLATE(C32,""ja"",""vi"")"),"Đấu giá&gt; Sở thích, văn hóa&gt; công cụ và thiết bị âm nhạc&gt; loại nhạc cụ&gt; fiddle")</f>
        <v>Đấu giá&gt; Sở thích, văn hóa&gt; công cụ và thiết bị âm nhạc&gt; loại nhạc cụ&gt; fiddle</v>
      </c>
      <c r="F32" t="str">
        <f t="shared" ca="1" si="0"/>
        <v>"2084046803" : "Kokyu",</v>
      </c>
    </row>
    <row r="33" spans="1:6" ht="15.75" customHeight="1">
      <c r="A33" s="14">
        <v>2084305866</v>
      </c>
      <c r="B33" s="14" t="s">
        <v>4677</v>
      </c>
      <c r="C33" s="14" t="s">
        <v>4678</v>
      </c>
      <c r="D33" s="5" t="str">
        <f ca="1">IFERROR(__xludf.DUMMYFUNCTION("GOOGLETRANSLATE(B33,""ja"",""vi"")"),"Ba dây")</f>
        <v>Ba dây</v>
      </c>
      <c r="E33" s="4" t="str">
        <f ca="1">IFERROR(__xludf.DUMMYFUNCTION("GOOGLETRANSLATE(C33,""ja"",""vi"")"),"Đấu giá&gt; Sở thích, văn hóa&gt; công cụ và thiết bị âm nhạc&gt; loại nhạc cụ&gt; ba dây")</f>
        <v>Đấu giá&gt; Sở thích, văn hóa&gt; công cụ và thiết bị âm nhạc&gt; loại nhạc cụ&gt; ba dây</v>
      </c>
      <c r="F33" t="str">
        <f t="shared" ca="1" si="0"/>
        <v>"2084305866" : "Ba dây",</v>
      </c>
    </row>
    <row r="34" spans="1:6" ht="15.75" customHeight="1">
      <c r="A34" s="14">
        <v>2084046802</v>
      </c>
      <c r="B34" s="14" t="s">
        <v>4681</v>
      </c>
      <c r="C34" s="14" t="s">
        <v>4682</v>
      </c>
      <c r="D34" s="5" t="str">
        <f ca="1">IFERROR(__xludf.DUMMYFUNCTION("GOOGLETRANSLATE(B34,""ja"",""vi"")"),"shamisen")</f>
        <v>shamisen</v>
      </c>
      <c r="E34" s="4" t="str">
        <f ca="1">IFERROR(__xludf.DUMMYFUNCTION("GOOGLETRANSLATE(C34,""ja"",""vi"")"),"Đấu giá&gt; Sở thích, văn hóa&gt; công cụ và thiết bị âm nhạc&gt; loại nhạc cụ&gt; shamisen")</f>
        <v>Đấu giá&gt; Sở thích, văn hóa&gt; công cụ và thiết bị âm nhạc&gt; loại nhạc cụ&gt; shamisen</v>
      </c>
      <c r="F34" t="str">
        <f t="shared" ca="1" si="0"/>
        <v>"2084046802" : "shamisen",</v>
      </c>
    </row>
    <row r="35" spans="1:6" ht="15.75" customHeight="1">
      <c r="A35" s="14">
        <v>2084305874</v>
      </c>
      <c r="B35" s="14" t="s">
        <v>4685</v>
      </c>
      <c r="C35" s="14" t="s">
        <v>4686</v>
      </c>
      <c r="D35" s="5" t="str">
        <f ca="1">IFERROR(__xludf.DUMMYFUNCTION("GOOGLETRANSLATE(B35,""ja"",""vi"")"),"Taishogoto")</f>
        <v>Taishogoto</v>
      </c>
      <c r="E35" s="4" t="str">
        <f ca="1">IFERROR(__xludf.DUMMYFUNCTION("GOOGLETRANSLATE(C35,""ja"",""vi"")"),"Đấu giá&gt; Sở thích, văn hóa&gt; công cụ và thiết bị âm nhạc&gt; loại nhạc cụ&gt; Taishogoto")</f>
        <v>Đấu giá&gt; Sở thích, văn hóa&gt; công cụ và thiết bị âm nhạc&gt; loại nhạc cụ&gt; Taishogoto</v>
      </c>
      <c r="F35" t="str">
        <f t="shared" ca="1" si="0"/>
        <v>"2084305874" : "Taishogoto",</v>
      </c>
    </row>
    <row r="36" spans="1:6" ht="15.75" customHeight="1">
      <c r="A36" s="14">
        <v>2084305875</v>
      </c>
      <c r="B36" s="14" t="s">
        <v>4687</v>
      </c>
      <c r="C36" s="14" t="s">
        <v>4689</v>
      </c>
      <c r="D36" s="5" t="str">
        <f ca="1">IFERROR(__xludf.DUMMYFUNCTION("GOOGLETRANSLATE(B36,""ja"",""vi"")"),"Biwa")</f>
        <v>Biwa</v>
      </c>
      <c r="E36" s="4" t="str">
        <f ca="1">IFERROR(__xludf.DUMMYFUNCTION("GOOGLETRANSLATE(C36,""ja"",""vi"")"),"Đấu giá&gt; Sở thích, văn hóa&gt; công cụ và thiết bị âm nhạc&gt; loại nhạc cụ&gt; pipa")</f>
        <v>Đấu giá&gt; Sở thích, văn hóa&gt; công cụ và thiết bị âm nhạc&gt; loại nhạc cụ&gt; pipa</v>
      </c>
      <c r="F36" t="str">
        <f t="shared" ca="1" si="0"/>
        <v>"2084305875" : "Biwa",</v>
      </c>
    </row>
    <row r="37" spans="1:6" ht="15.75" customHeight="1">
      <c r="A37" s="14">
        <v>2084305876</v>
      </c>
      <c r="B37" s="14" t="s">
        <v>4693</v>
      </c>
      <c r="C37" s="14" t="s">
        <v>4695</v>
      </c>
      <c r="D37" s="5" t="str">
        <f ca="1">IFERROR(__xludf.DUMMYFUNCTION("GOOGLETRANSLATE(B37,""ja"",""vi"")"),"Koto, đàn koto")</f>
        <v>Koto, đàn koto</v>
      </c>
      <c r="E37" s="4" t="str">
        <f ca="1">IFERROR(__xludf.DUMMYFUNCTION("GOOGLETRANSLATE(C37,""ja"",""vi"")"),"Đấu giá&gt; Sở thích, văn hóa&gt; công cụ và thiết bị âm nhạc&gt; loại nhạc cụ&gt; koto, koto")</f>
        <v>Đấu giá&gt; Sở thích, văn hóa&gt; công cụ và thiết bị âm nhạc&gt; loại nhạc cụ&gt; koto, koto</v>
      </c>
      <c r="F37" t="str">
        <f t="shared" ca="1" si="0"/>
        <v>"2084305876" : "Koto, đàn koto",</v>
      </c>
    </row>
    <row r="38" spans="1:6" ht="15.75" customHeight="1">
      <c r="A38" s="14">
        <v>22596</v>
      </c>
      <c r="B38" s="14" t="s">
        <v>1685</v>
      </c>
      <c r="C38" s="14" t="s">
        <v>4701</v>
      </c>
      <c r="D38" s="5" t="str">
        <f ca="1">IFERROR(__xludf.DUMMYFUNCTION("GOOGLETRANSLATE(B38,""ja"",""vi"")"),"phụ kiện")</f>
        <v>phụ kiện</v>
      </c>
      <c r="E38" s="4" t="str">
        <f ca="1">IFERROR(__xludf.DUMMYFUNCTION("GOOGLETRANSLATE(C38,""ja"",""vi"")"),"Đấu giá&gt; Sở thích, văn hóa&gt; công cụ và thiết bị âm nhạc&gt; loại nhạc cụ&gt; Phụ kiện")</f>
        <v>Đấu giá&gt; Sở thích, văn hóa&gt; công cụ và thiết bị âm nhạc&gt; loại nhạc cụ&gt; Phụ kiện</v>
      </c>
      <c r="F38" t="str">
        <f t="shared" ca="1" si="0"/>
        <v>"22596" : "phụ kiện",</v>
      </c>
    </row>
    <row r="39" spans="1:6" ht="15.75" customHeight="1">
      <c r="A39" s="14">
        <v>2084009091</v>
      </c>
      <c r="B39" s="14" t="s">
        <v>4706</v>
      </c>
      <c r="C39" s="14" t="s">
        <v>4707</v>
      </c>
      <c r="D39" s="5" t="str">
        <f ca="1">IFERROR(__xludf.DUMMYFUNCTION("GOOGLETRANSLATE(B39,""ja"",""vi"")"),"Điểm (một nhạc cụ dây)")</f>
        <v>Điểm (một nhạc cụ dây)</v>
      </c>
      <c r="E39" s="4" t="str">
        <f ca="1">IFERROR(__xludf.DUMMYFUNCTION("GOOGLETRANSLATE(C39,""ja"",""vi"")"),"Đấu giá&gt; Sở thích, văn hóa&gt; công cụ và thiết bị âm nhạc&gt; loại nhạc cụ&gt; điểm âm nhạc (một nhạc cụ dây)")</f>
        <v>Đấu giá&gt; Sở thích, văn hóa&gt; công cụ và thiết bị âm nhạc&gt; loại nhạc cụ&gt; điểm âm nhạc (một nhạc cụ dây)</v>
      </c>
      <c r="F39" t="str">
        <f t="shared" ca="1" si="0"/>
        <v>"2084009091" : "Điểm (một nhạc cụ dây)",</v>
      </c>
    </row>
    <row r="40" spans="1:6" ht="15.75" customHeight="1">
      <c r="A40" s="14">
        <v>22600</v>
      </c>
      <c r="B40" s="14" t="s">
        <v>46</v>
      </c>
      <c r="C40" s="14" t="s">
        <v>4710</v>
      </c>
      <c r="D40" s="5" t="str">
        <f ca="1">IFERROR(__xludf.DUMMYFUNCTION("GOOGLETRANSLATE(B40,""ja"",""vi"")"),"nếu không thì")</f>
        <v>nếu không thì</v>
      </c>
      <c r="E40" s="4" t="str">
        <f ca="1">IFERROR(__xludf.DUMMYFUNCTION("GOOGLETRANSLATE(C40,""ja"",""vi"")"),"Đấu giá&gt; Sở thích, văn hóa&gt; công cụ và thiết bị âm nhạc&gt; loại nhạc cụ&gt; Khác")</f>
        <v>Đấu giá&gt; Sở thích, văn hóa&gt; công cụ và thiết bị âm nhạc&gt; loại nhạc cụ&gt; Khác</v>
      </c>
      <c r="F40" t="str">
        <f t="shared" ca="1" si="0"/>
        <v>"22600" : "nếu không thì",</v>
      </c>
    </row>
    <row r="41" spans="1:6" ht="15.75" customHeight="1">
      <c r="A41" s="14">
        <v>22620</v>
      </c>
      <c r="B41" s="14" t="s">
        <v>4715</v>
      </c>
      <c r="C41" s="14" t="s">
        <v>4719</v>
      </c>
      <c r="D41" s="5" t="str">
        <f ca="1">IFERROR(__xludf.DUMMYFUNCTION("GOOGLETRANSLATE(B41,""ja"",""vi"")"),"kèn có hai dăm")</f>
        <v>kèn có hai dăm</v>
      </c>
      <c r="E41" s="4" t="str">
        <f ca="1">IFERROR(__xludf.DUMMYFUNCTION("GOOGLETRANSLATE(C41,""ja"",""vi"")"),"Đấu giá&gt; Sở thích, văn hóa&gt; Nhạc cụ và thiết bị&gt; Gió cụ&gt; Oboe")</f>
        <v>Đấu giá&gt; Sở thích, văn hóa&gt; Nhạc cụ và thiết bị&gt; Gió cụ&gt; Oboe</v>
      </c>
      <c r="F41" t="str">
        <f t="shared" ca="1" si="0"/>
        <v>"22620" : "kèn có hai dăm",</v>
      </c>
    </row>
    <row r="42" spans="1:6" ht="15.75" customHeight="1">
      <c r="A42" s="14">
        <v>22612</v>
      </c>
      <c r="B42" s="14" t="s">
        <v>4723</v>
      </c>
      <c r="C42" s="14" t="s">
        <v>4724</v>
      </c>
      <c r="D42" s="5" t="str">
        <f ca="1">IFERROR(__xludf.DUMMYFUNCTION("GOOGLETRANSLATE(B42,""ja"",""vi"")"),"người thổi kèn")</f>
        <v>người thổi kèn</v>
      </c>
      <c r="E42" s="4" t="str">
        <f ca="1">IFERROR(__xludf.DUMMYFUNCTION("GOOGLETRANSLATE(C42,""ja"",""vi"")"),"Đấu giá&gt; Sở thích, văn hóa&gt; công cụ và thiết bị âm nhạc&gt; Gió cụ&gt; Clarinet")</f>
        <v>Đấu giá&gt; Sở thích, văn hóa&gt; công cụ và thiết bị âm nhạc&gt; Gió cụ&gt; Clarinet</v>
      </c>
      <c r="F42" t="str">
        <f t="shared" ca="1" si="0"/>
        <v>"22612" : "người thổi kèn",</v>
      </c>
    </row>
    <row r="43" spans="1:6" ht="15.75" customHeight="1">
      <c r="A43" s="14">
        <v>22444</v>
      </c>
      <c r="B43" s="14" t="s">
        <v>4729</v>
      </c>
      <c r="C43" s="14" t="s">
        <v>4730</v>
      </c>
      <c r="D43" s="5" t="str">
        <f ca="1">IFERROR(__xludf.DUMMYFUNCTION("GOOGLETRANSLATE(B43,""ja"",""vi"")"),"mũ của đàn bà")</f>
        <v>mũ của đàn bà</v>
      </c>
      <c r="E43" s="4" t="str">
        <f ca="1">IFERROR(__xludf.DUMMYFUNCTION("GOOGLETRANSLATE(C43,""ja"",""vi"")"),"Đấu giá&gt; Sở thích, văn hóa&gt; Nhạc cụ và thiết bị&gt; kèn&gt; Cornet")</f>
        <v>Đấu giá&gt; Sở thích, văn hóa&gt; Nhạc cụ và thiết bị&gt; kèn&gt; Cornet</v>
      </c>
      <c r="F43" t="str">
        <f t="shared" ca="1" si="0"/>
        <v>"22444" : "mũ của đàn bà",</v>
      </c>
    </row>
    <row r="44" spans="1:6" ht="15.75" customHeight="1">
      <c r="A44" s="14">
        <v>2084046795</v>
      </c>
      <c r="B44" s="14" t="s">
        <v>4733</v>
      </c>
      <c r="C44" s="14" t="s">
        <v>4734</v>
      </c>
      <c r="D44" s="5" t="str">
        <f ca="1">IFERROR(__xludf.DUMMYFUNCTION("GOOGLETRANSLATE(B44,""ja"",""vi"")"),"kèn")</f>
        <v>kèn</v>
      </c>
      <c r="E44" s="4" t="str">
        <f ca="1">IFERROR(__xludf.DUMMYFUNCTION("GOOGLETRANSLATE(C44,""ja"",""vi"")"),"Đấu giá&gt; Sở thích, văn hóa&gt; Nhạc cụ và thiết bị&gt; kèn&gt; sax")</f>
        <v>Đấu giá&gt; Sở thích, văn hóa&gt; Nhạc cụ và thiết bị&gt; kèn&gt; sax</v>
      </c>
      <c r="F44" t="str">
        <f t="shared" ca="1" si="0"/>
        <v>"2084046795" : "kèn",</v>
      </c>
    </row>
    <row r="45" spans="1:6" ht="15.75" customHeight="1">
      <c r="A45" s="14">
        <v>22464</v>
      </c>
      <c r="B45" s="14" t="s">
        <v>4737</v>
      </c>
      <c r="C45" s="14" t="s">
        <v>4739</v>
      </c>
      <c r="D45" s="5" t="str">
        <f ca="1">IFERROR(__xludf.DUMMYFUNCTION("GOOGLETRANSLATE(B45,""ja"",""vi"")"),"một thứ kèn")</f>
        <v>một thứ kèn</v>
      </c>
      <c r="E45" s="4" t="str">
        <f ca="1">IFERROR(__xludf.DUMMYFUNCTION("GOOGLETRANSLATE(C45,""ja"",""vi"")"),"Đấu giá&gt; Sở thích, văn hóa&gt; công cụ và thiết bị âm nhạc&gt; kèn&gt; tuba")</f>
        <v>Đấu giá&gt; Sở thích, văn hóa&gt; công cụ và thiết bị âm nhạc&gt; kèn&gt; tuba</v>
      </c>
      <c r="F45" t="str">
        <f t="shared" ca="1" si="0"/>
        <v>"22464" : "một thứ kèn",</v>
      </c>
    </row>
    <row r="46" spans="1:6" ht="15.75" customHeight="1">
      <c r="A46" s="14">
        <v>22460</v>
      </c>
      <c r="B46" s="14" t="s">
        <v>4743</v>
      </c>
      <c r="C46" s="14" t="s">
        <v>4744</v>
      </c>
      <c r="D46" s="5" t="str">
        <f ca="1">IFERROR(__xludf.DUMMYFUNCTION("GOOGLETRANSLATE(B46,""ja"",""vi"")"),"kèn")</f>
        <v>kèn</v>
      </c>
      <c r="E46" s="4" t="str">
        <f ca="1">IFERROR(__xludf.DUMMYFUNCTION("GOOGLETRANSLATE(C46,""ja"",""vi"")"),"Đấu giá&gt; Sở thích, văn hóa&gt; công cụ và thiết bị âm nhạc&gt; kèn&gt; trumpet")</f>
        <v>Đấu giá&gt; Sở thích, văn hóa&gt; công cụ và thiết bị âm nhạc&gt; kèn&gt; trumpet</v>
      </c>
      <c r="F46" t="str">
        <f t="shared" ca="1" si="0"/>
        <v>"22460" : "kèn",</v>
      </c>
    </row>
    <row r="47" spans="1:6" ht="15.75" customHeight="1">
      <c r="A47" s="14">
        <v>22456</v>
      </c>
      <c r="B47" s="14" t="s">
        <v>4749</v>
      </c>
      <c r="C47" s="14" t="s">
        <v>4750</v>
      </c>
      <c r="D47" s="5" t="str">
        <f ca="1">IFERROR(__xludf.DUMMYFUNCTION("GOOGLETRANSLATE(B47,""ja"",""vi"")"),"loại kèn hai ống")</f>
        <v>loại kèn hai ống</v>
      </c>
      <c r="E47" s="4" t="str">
        <f ca="1">IFERROR(__xludf.DUMMYFUNCTION("GOOGLETRANSLATE(C47,""ja"",""vi"")"),"Đấu giá&gt; Sở thích, văn hóa&gt; công cụ và thiết bị âm nhạc&gt; kèn&gt; trombone")</f>
        <v>Đấu giá&gt; Sở thích, văn hóa&gt; công cụ và thiết bị âm nhạc&gt; kèn&gt; trombone</v>
      </c>
      <c r="F47" t="str">
        <f t="shared" ca="1" si="0"/>
        <v>"22456" : "loại kèn hai ống",</v>
      </c>
    </row>
    <row r="48" spans="1:6" ht="15.75" customHeight="1">
      <c r="A48" s="14">
        <v>2084046842</v>
      </c>
      <c r="B48" s="14" t="s">
        <v>4755</v>
      </c>
      <c r="C48" s="14" t="s">
        <v>4757</v>
      </c>
      <c r="D48" s="5" t="str">
        <f ca="1">IFERROR(__xludf.DUMMYFUNCTION("GOOGLETRANSLATE(B48,""ja"",""vi"")"),"Harmonica, blues harp")</f>
        <v>Harmonica, blues harp</v>
      </c>
      <c r="E48" s="4" t="str">
        <f ca="1">IFERROR(__xludf.DUMMYFUNCTION("GOOGLETRANSLATE(C48,""ja"",""vi"")"),"Đấu giá&gt; Sở thích, văn hóa&gt; Nhạc cụ và thiết bị&gt; kèn&gt; harmonica, blues harp")</f>
        <v>Đấu giá&gt; Sở thích, văn hóa&gt; Nhạc cụ và thiết bị&gt; kèn&gt; harmonica, blues harp</v>
      </c>
      <c r="F48" t="str">
        <f t="shared" ca="1" si="0"/>
        <v>"2084046842" : "Harmonica, blues harp",</v>
      </c>
    </row>
    <row r="49" spans="1:6" ht="15.75" customHeight="1">
      <c r="A49" s="14">
        <v>22624</v>
      </c>
      <c r="B49" s="14" t="s">
        <v>4761</v>
      </c>
      <c r="C49" s="14" t="s">
        <v>4763</v>
      </c>
      <c r="D49" s="5" t="str">
        <f ca="1">IFERROR(__xludf.DUMMYFUNCTION("GOOGLETRANSLATE(B49,""ja"",""vi"")"),"ống sáo nhỏ")</f>
        <v>ống sáo nhỏ</v>
      </c>
      <c r="E49" s="4" t="str">
        <f ca="1">IFERROR(__xludf.DUMMYFUNCTION("GOOGLETRANSLATE(C49,""ja"",""vi"")"),"Đấu giá&gt; Sở thích, văn hóa&gt; công cụ và thiết bị âm nhạc&gt; kèn&gt; Piccolo")</f>
        <v>Đấu giá&gt; Sở thích, văn hóa&gt; công cụ và thiết bị âm nhạc&gt; kèn&gt; Piccolo</v>
      </c>
      <c r="F49" t="str">
        <f t="shared" ca="1" si="0"/>
        <v>"22624" : "ống sáo nhỏ",</v>
      </c>
    </row>
    <row r="50" spans="1:6" ht="15.75" customHeight="1">
      <c r="A50" s="14">
        <v>22608</v>
      </c>
      <c r="B50" s="14" t="s">
        <v>4766</v>
      </c>
      <c r="C50" s="14" t="s">
        <v>4768</v>
      </c>
      <c r="D50" s="5" t="str">
        <f ca="1">IFERROR(__xludf.DUMMYFUNCTION("GOOGLETRANSLATE(B50,""ja"",""vi"")"),"kèn giọng trầm")</f>
        <v>kèn giọng trầm</v>
      </c>
      <c r="E50" s="4" t="str">
        <f ca="1">IFERROR(__xludf.DUMMYFUNCTION("GOOGLETRANSLATE(C50,""ja"",""vi"")"),"Đấu giá&gt; Sở thích, văn hóa&gt; Nhạc cụ và thiết bị&gt; Gió cụ&gt; bassoon")</f>
        <v>Đấu giá&gt; Sở thích, văn hóa&gt; Nhạc cụ và thiết bị&gt; Gió cụ&gt; bassoon</v>
      </c>
      <c r="F50" t="str">
        <f t="shared" ca="1" si="0"/>
        <v>"22608" : "kèn giọng trầm",</v>
      </c>
    </row>
    <row r="51" spans="1:6" ht="15.75" customHeight="1">
      <c r="A51" s="14">
        <v>22616</v>
      </c>
      <c r="B51" s="14" t="s">
        <v>4770</v>
      </c>
      <c r="C51" s="14" t="s">
        <v>4771</v>
      </c>
      <c r="D51" s="5" t="str">
        <f ca="1">IFERROR(__xludf.DUMMYFUNCTION("GOOGLETRANSLATE(B51,""ja"",""vi"")"),"ống sáo")</f>
        <v>ống sáo</v>
      </c>
      <c r="E51" s="4" t="str">
        <f ca="1">IFERROR(__xludf.DUMMYFUNCTION("GOOGLETRANSLATE(C51,""ja"",""vi"")"),"Đấu giá&gt; Sở thích, văn hóa&gt; công cụ và thiết bị âm nhạc&gt; kèn&gt; Flute")</f>
        <v>Đấu giá&gt; Sở thích, văn hóa&gt; công cụ và thiết bị âm nhạc&gt; kèn&gt; Flute</v>
      </c>
      <c r="F51" t="str">
        <f t="shared" ca="1" si="0"/>
        <v>"22616" : "ống sáo",</v>
      </c>
    </row>
    <row r="52" spans="1:6" ht="15.75" customHeight="1">
      <c r="A52" s="14">
        <v>22452</v>
      </c>
      <c r="B52" s="14" t="s">
        <v>4775</v>
      </c>
      <c r="C52" s="14" t="s">
        <v>4776</v>
      </c>
      <c r="D52" s="5" t="str">
        <f ca="1">IFERROR(__xludf.DUMMYFUNCTION("GOOGLETRANSLATE(B52,""ja"",""vi"")"),"sừng")</f>
        <v>sừng</v>
      </c>
      <c r="E52" s="4" t="str">
        <f ca="1">IFERROR(__xludf.DUMMYFUNCTION("GOOGLETRANSLATE(C52,""ja"",""vi"")"),"Đấu giá&gt; Sở thích, văn hóa&gt; công cụ và thiết bị âm nhạc&gt; kèn&gt; Horn")</f>
        <v>Đấu giá&gt; Sở thích, văn hóa&gt; công cụ và thiết bị âm nhạc&gt; kèn&gt; Horn</v>
      </c>
      <c r="F52" t="str">
        <f t="shared" ca="1" si="0"/>
        <v>"22452" : "sừng",</v>
      </c>
    </row>
    <row r="53" spans="1:6" ht="15.75" customHeight="1">
      <c r="A53" s="14">
        <v>2084290086</v>
      </c>
      <c r="B53" s="14" t="s">
        <v>4779</v>
      </c>
      <c r="C53" s="14" t="s">
        <v>4780</v>
      </c>
      <c r="D53" s="5" t="str">
        <f ca="1">IFERROR(__xludf.DUMMYFUNCTION("GOOGLETRANSLATE(B53,""ja"",""vi"")"),"Euphonium")</f>
        <v>Euphonium</v>
      </c>
      <c r="E53" s="4" t="str">
        <f ca="1">IFERROR(__xludf.DUMMYFUNCTION("GOOGLETRANSLATE(C53,""ja"",""vi"")"),"Đấu giá&gt; Sở thích, văn hóa&gt; công cụ và thiết bị âm nhạc&gt; kèn&gt; euphonium")</f>
        <v>Đấu giá&gt; Sở thích, văn hóa&gt; công cụ và thiết bị âm nhạc&gt; kèn&gt; euphonium</v>
      </c>
      <c r="F53" t="str">
        <f t="shared" ca="1" si="0"/>
        <v>"2084290086" : "Euphonium",</v>
      </c>
    </row>
    <row r="54" spans="1:6" ht="15.75" customHeight="1">
      <c r="A54" s="14">
        <v>22628</v>
      </c>
      <c r="B54" s="14" t="s">
        <v>4785</v>
      </c>
      <c r="C54" s="14" t="s">
        <v>4786</v>
      </c>
      <c r="D54" s="5" t="str">
        <f ca="1">IFERROR(__xludf.DUMMYFUNCTION("GOOGLETRANSLATE(B54,""ja"",""vi"")"),"máy ghi")</f>
        <v>máy ghi</v>
      </c>
      <c r="E54" s="4" t="str">
        <f ca="1">IFERROR(__xludf.DUMMYFUNCTION("GOOGLETRANSLATE(C54,""ja"",""vi"")"),"Đấu giá&gt; Sở thích, văn hóa&gt; công cụ và thiết bị âm nhạc&gt; kèn&gt; Máy ghi âm")</f>
        <v>Đấu giá&gt; Sở thích, văn hóa&gt; công cụ và thiết bị âm nhạc&gt; kèn&gt; Máy ghi âm</v>
      </c>
      <c r="F54" t="str">
        <f t="shared" ca="1" si="0"/>
        <v>"22628" : "máy ghi",</v>
      </c>
    </row>
    <row r="55" spans="1:6" ht="15.75" customHeight="1">
      <c r="A55" s="14">
        <v>2084305861</v>
      </c>
      <c r="B55" s="14" t="s">
        <v>4788</v>
      </c>
      <c r="C55" s="14" t="s">
        <v>4789</v>
      </c>
      <c r="D55" s="5" t="str">
        <f ca="1">IFERROR(__xludf.DUMMYFUNCTION("GOOGLETRANSLATE(B55,""ja"",""vi"")"),"thổi tiêu")</f>
        <v>thổi tiêu</v>
      </c>
      <c r="E55" s="4" t="str">
        <f ca="1">IFERROR(__xludf.DUMMYFUNCTION("GOOGLETRANSLATE(C55,""ja"",""vi"")"),"Đấu giá&gt; Sở thích, văn hóa&gt; công cụ và thiết bị âm nhạc&gt; kèn&gt; sáo")</f>
        <v>Đấu giá&gt; Sở thích, văn hóa&gt; công cụ và thiết bị âm nhạc&gt; kèn&gt; sáo</v>
      </c>
      <c r="F55" t="str">
        <f t="shared" ca="1" si="0"/>
        <v>"2084305861" : "thổi tiêu",</v>
      </c>
    </row>
    <row r="56" spans="1:6" ht="15.75" customHeight="1">
      <c r="A56" s="14">
        <v>2084305871</v>
      </c>
      <c r="B56" s="14" t="s">
        <v>4794</v>
      </c>
      <c r="C56" s="14" t="s">
        <v>4796</v>
      </c>
      <c r="D56" s="5" t="str">
        <f ca="1">IFERROR(__xludf.DUMMYFUNCTION("GOOGLETRANSLATE(B56,""ja"",""vi"")"),"sáo trúc")</f>
        <v>sáo trúc</v>
      </c>
      <c r="E56" s="4" t="str">
        <f ca="1">IFERROR(__xludf.DUMMYFUNCTION("GOOGLETRANSLATE(C56,""ja"",""vi"")"),"Đấu giá&gt; Sở thích, văn hóa&gt; Nhạc cụ và thiết bị&gt; kèn&gt; shakuhachi")</f>
        <v>Đấu giá&gt; Sở thích, văn hóa&gt; Nhạc cụ và thiết bị&gt; kèn&gt; shakuhachi</v>
      </c>
      <c r="F56" t="str">
        <f t="shared" ca="1" si="0"/>
        <v>"2084305871" : "sáo trúc",</v>
      </c>
    </row>
    <row r="57" spans="1:6" ht="15.75" customHeight="1">
      <c r="A57" s="14">
        <v>2084009090</v>
      </c>
      <c r="B57" s="14" t="s">
        <v>4798</v>
      </c>
      <c r="C57" s="14" t="s">
        <v>4801</v>
      </c>
      <c r="D57" s="5" t="str">
        <f ca="1">IFERROR(__xludf.DUMMYFUNCTION("GOOGLETRANSLATE(B57,""ja"",""vi"")"),"Bản nhạc (kèn bài hát)")</f>
        <v>Bản nhạc (kèn bài hát)</v>
      </c>
      <c r="E57" s="4" t="str">
        <f ca="1">IFERROR(__xludf.DUMMYFUNCTION("GOOGLETRANSLATE(C57,""ja"",""vi"")"),"Đấu giá&gt; Sở thích, văn hóa&gt; Nhạc cụ và thiết bị&gt; kèn&gt; Điểm (gió cụ bài hát)")</f>
        <v>Đấu giá&gt; Sở thích, văn hóa&gt; Nhạc cụ và thiết bị&gt; kèn&gt; Điểm (gió cụ bài hát)</v>
      </c>
      <c r="F57" t="str">
        <f t="shared" ca="1" si="0"/>
        <v>"2084009090" : "Bản nhạc (kèn bài hát)",</v>
      </c>
    </row>
    <row r="58" spans="1:6" ht="15.75" customHeight="1">
      <c r="A58" s="14">
        <v>22652</v>
      </c>
      <c r="B58" s="14" t="s">
        <v>4804</v>
      </c>
      <c r="C58" s="14" t="s">
        <v>4806</v>
      </c>
      <c r="D58" s="5" t="str">
        <f ca="1">IFERROR(__xludf.DUMMYFUNCTION("GOOGLETRANSLATE(B58,""ja"",""vi"")"),"Woodwind khác")</f>
        <v>Woodwind khác</v>
      </c>
      <c r="E58" s="4" t="str">
        <f ca="1">IFERROR(__xludf.DUMMYFUNCTION("GOOGLETRANSLATE(C58,""ja"",""vi"")"),"Đấu giá&gt; Sở thích, văn hóa&gt; Nhạc cụ và thiết bị&gt; kèn&gt; Woodwind khác")</f>
        <v>Đấu giá&gt; Sở thích, văn hóa&gt; Nhạc cụ và thiết bị&gt; kèn&gt; Woodwind khác</v>
      </c>
      <c r="F58" t="str">
        <f t="shared" ca="1" si="0"/>
        <v>"22652" : "Woodwind khác",</v>
      </c>
    </row>
    <row r="59" spans="1:6" ht="15.75" customHeight="1">
      <c r="A59" s="14">
        <v>22472</v>
      </c>
      <c r="B59" s="14" t="s">
        <v>4808</v>
      </c>
      <c r="C59" s="14" t="s">
        <v>4810</v>
      </c>
      <c r="D59" s="5" t="str">
        <f ca="1">IFERROR(__xludf.DUMMYFUNCTION("GOOGLETRANSLATE(B59,""ja"",""vi"")"),"đồng khác")</f>
        <v>đồng khác</v>
      </c>
      <c r="E59" s="4" t="str">
        <f ca="1">IFERROR(__xludf.DUMMYFUNCTION("GOOGLETRANSLATE(C59,""ja"",""vi"")"),"Đấu giá&gt; Sở thích, văn hóa&gt; Nhạc cụ và thiết bị&gt; kèn&gt; đồng Khác")</f>
        <v>Đấu giá&gt; Sở thích, văn hóa&gt; Nhạc cụ và thiết bị&gt; kèn&gt; đồng Khác</v>
      </c>
      <c r="F59" t="str">
        <f t="shared" ca="1" si="0"/>
        <v>"22472" : "đồng khác",</v>
      </c>
    </row>
    <row r="60" spans="1:6" ht="15.75" customHeight="1">
      <c r="A60" s="14">
        <v>22552</v>
      </c>
      <c r="B60" s="14" t="s">
        <v>4812</v>
      </c>
      <c r="C60" s="14" t="s">
        <v>4813</v>
      </c>
      <c r="D60" s="5" t="str">
        <f ca="1">IFERROR(__xludf.DUMMYFUNCTION("GOOGLETRANSLATE(B60,""ja"",""vi"")"),"dương cầm")</f>
        <v>dương cầm</v>
      </c>
      <c r="E60" s="4" t="str">
        <f ca="1">IFERROR(__xludf.DUMMYFUNCTION("GOOGLETRANSLATE(C60,""ja"",""vi"")"),"Đấu giá&gt; Sở thích, văn hóa&gt; Nhạc cụ và thiết bị&gt; công cụ bàn phím&gt; đàn piano")</f>
        <v>Đấu giá&gt; Sở thích, văn hóa&gt; Nhạc cụ và thiết bị&gt; công cụ bàn phím&gt; đàn piano</v>
      </c>
      <c r="F60" t="str">
        <f t="shared" ca="1" si="0"/>
        <v>"22552" : "dương cầm",</v>
      </c>
    </row>
    <row r="61" spans="1:6" ht="15.75" customHeight="1">
      <c r="A61" s="14">
        <v>2084053236</v>
      </c>
      <c r="B61" s="14" t="s">
        <v>4815</v>
      </c>
      <c r="C61" s="14" t="s">
        <v>4817</v>
      </c>
      <c r="D61" s="5" t="str">
        <f ca="1">IFERROR(__xludf.DUMMYFUNCTION("GOOGLETRANSLATE(B61,""ja"",""vi"")"),"đàn piano điện tử")</f>
        <v>đàn piano điện tử</v>
      </c>
      <c r="E61" s="4" t="str">
        <f ca="1">IFERROR(__xludf.DUMMYFUNCTION("GOOGLETRANSLATE(C61,""ja"",""vi"")"),"Đấu giá&gt; Sở thích, văn hóa&gt; Nhạc cụ và thiết bị&gt; công cụ bàn phím&gt; đàn piano điện tử")</f>
        <v>Đấu giá&gt; Sở thích, văn hóa&gt; Nhạc cụ và thiết bị&gt; công cụ bàn phím&gt; đàn piano điện tử</v>
      </c>
      <c r="F61" t="str">
        <f t="shared" ca="1" si="0"/>
        <v>"2084053236" : "đàn piano điện tử",</v>
      </c>
    </row>
    <row r="62" spans="1:6" ht="15.75" customHeight="1">
      <c r="A62" s="14">
        <v>22548</v>
      </c>
      <c r="B62" s="14" t="s">
        <v>4819</v>
      </c>
      <c r="C62" s="14" t="s">
        <v>4821</v>
      </c>
      <c r="D62" s="5" t="str">
        <f ca="1">IFERROR(__xludf.DUMMYFUNCTION("GOOGLETRANSLATE(B62,""ja"",""vi"")"),"cơ quan")</f>
        <v>cơ quan</v>
      </c>
      <c r="E62" s="4" t="str">
        <f ca="1">IFERROR(__xludf.DUMMYFUNCTION("GOOGLETRANSLATE(C62,""ja"",""vi"")"),"Đấu giá&gt; Sở thích, văn hóa&gt; công cụ và thiết bị âm nhạc&gt; công cụ bàn phím&gt; Organ")</f>
        <v>Đấu giá&gt; Sở thích, văn hóa&gt; công cụ và thiết bị âm nhạc&gt; công cụ bàn phím&gt; Organ</v>
      </c>
      <c r="F62" t="str">
        <f t="shared" ca="1" si="0"/>
        <v>"22548" : "cơ quan",</v>
      </c>
    </row>
    <row r="63" spans="1:6" ht="15.75" customHeight="1">
      <c r="A63" s="14">
        <v>22540</v>
      </c>
      <c r="B63" s="14" t="s">
        <v>4823</v>
      </c>
      <c r="C63" s="14" t="s">
        <v>4824</v>
      </c>
      <c r="D63" s="5" t="str">
        <f ca="1">IFERROR(__xludf.DUMMYFUNCTION("GOOGLETRANSLATE(B63,""ja"",""vi"")"),"organ điện tử")</f>
        <v>organ điện tử</v>
      </c>
      <c r="E63" s="4" t="str">
        <f ca="1">IFERROR(__xludf.DUMMYFUNCTION("GOOGLETRANSLATE(C63,""ja"",""vi"")"),"Đấu giá&gt; Sở thích, văn hóa&gt; Nhạc cụ và thiết bị&gt; công cụ bàn phím&gt; organ điện tử")</f>
        <v>Đấu giá&gt; Sở thích, văn hóa&gt; Nhạc cụ và thiết bị&gt; công cụ bàn phím&gt; organ điện tử</v>
      </c>
      <c r="F63" t="str">
        <f t="shared" ca="1" si="0"/>
        <v>"22540" : "organ điện tử",</v>
      </c>
    </row>
    <row r="64" spans="1:6" ht="15.75" customHeight="1">
      <c r="A64" s="14">
        <v>22536</v>
      </c>
      <c r="B64" s="14" t="s">
        <v>4826</v>
      </c>
      <c r="C64" s="14" t="s">
        <v>4828</v>
      </c>
      <c r="D64" s="5" t="str">
        <f ca="1">IFERROR(__xludf.DUMMYFUNCTION("GOOGLETRANSLATE(B64,""ja"",""vi"")"),"accordion")</f>
        <v>accordion</v>
      </c>
      <c r="E64" s="4" t="str">
        <f ca="1">IFERROR(__xludf.DUMMYFUNCTION("GOOGLETRANSLATE(C64,""ja"",""vi"")"),"Đấu giá&gt; Sở thích, văn hóa&gt; công cụ và thiết bị âm nhạc&gt; công cụ bàn phím&gt; Accordion")</f>
        <v>Đấu giá&gt; Sở thích, văn hóa&gt; công cụ và thiết bị âm nhạc&gt; công cụ bàn phím&gt; Accordion</v>
      </c>
      <c r="F64" t="str">
        <f t="shared" ca="1" si="0"/>
        <v>"22536" : "accordion",</v>
      </c>
    </row>
    <row r="65" spans="1:6" ht="15.75" customHeight="1">
      <c r="A65" s="14">
        <v>2084019003</v>
      </c>
      <c r="B65" s="14" t="s">
        <v>3044</v>
      </c>
      <c r="C65" s="14" t="s">
        <v>4830</v>
      </c>
      <c r="D65" s="5" t="str">
        <f ca="1">IFERROR(__xludf.DUMMYFUNCTION("GOOGLETRANSLATE(B65,""ja"",""vi"")"),"Bàn phím, tổng hợp")</f>
        <v>Bàn phím, tổng hợp</v>
      </c>
      <c r="E65" s="4" t="str">
        <f ca="1">IFERROR(__xludf.DUMMYFUNCTION("GOOGLETRANSLATE(C65,""ja"",""vi"")"),"Đấu giá&gt; Sở thích, văn hóa&gt; Nhạc cụ và thiết bị&gt; công cụ bàn phím&gt; bàn phím, tổng hợp")</f>
        <v>Đấu giá&gt; Sở thích, văn hóa&gt; Nhạc cụ và thiết bị&gt; công cụ bàn phím&gt; bàn phím, tổng hợp</v>
      </c>
      <c r="F65" t="str">
        <f t="shared" ca="1" si="0"/>
        <v>"2084019003" : "Bàn phím, tổng hợp",</v>
      </c>
    </row>
    <row r="66" spans="1:6" ht="15.75" customHeight="1">
      <c r="A66" s="14">
        <v>22564</v>
      </c>
      <c r="B66" s="14" t="s">
        <v>1685</v>
      </c>
      <c r="C66" s="14" t="s">
        <v>4833</v>
      </c>
      <c r="D66" s="5" t="str">
        <f ca="1">IFERROR(__xludf.DUMMYFUNCTION("GOOGLETRANSLATE(B66,""ja"",""vi"")"),"phụ kiện")</f>
        <v>phụ kiện</v>
      </c>
      <c r="E66" s="4" t="str">
        <f ca="1">IFERROR(__xludf.DUMMYFUNCTION("GOOGLETRANSLATE(C66,""ja"",""vi"")"),"Đấu giá&gt; Sở thích, văn hóa&gt; Nhạc cụ và thiết bị&gt; công cụ bàn phím&gt; Accessories")</f>
        <v>Đấu giá&gt; Sở thích, văn hóa&gt; Nhạc cụ và thiết bị&gt; công cụ bàn phím&gt; Accessories</v>
      </c>
      <c r="F66" t="str">
        <f t="shared" ref="F66:F129" ca="1" si="1">CONCATENATE(CHAR(34)&amp;"",A66,""&amp;CHAR(34)," : ", CHAR(34)&amp;"",D66,""&amp;CHAR(34),",")</f>
        <v>"22564" : "phụ kiện",</v>
      </c>
    </row>
    <row r="67" spans="1:6" ht="15.75" customHeight="1">
      <c r="A67" s="14">
        <v>22568</v>
      </c>
      <c r="B67" s="14" t="s">
        <v>46</v>
      </c>
      <c r="C67" s="14" t="s">
        <v>4836</v>
      </c>
      <c r="D67" s="5" t="str">
        <f ca="1">IFERROR(__xludf.DUMMYFUNCTION("GOOGLETRANSLATE(B67,""ja"",""vi"")"),"nếu không thì")</f>
        <v>nếu không thì</v>
      </c>
      <c r="E67" s="4" t="str">
        <f ca="1">IFERROR(__xludf.DUMMYFUNCTION("GOOGLETRANSLATE(C67,""ja"",""vi"")"),"Đấu giá&gt; Sở thích, văn hóa&gt; Nhạc cụ và thiết bị&gt; công cụ bàn phím&gt; Khác")</f>
        <v>Đấu giá&gt; Sở thích, văn hóa&gt; Nhạc cụ và thiết bị&gt; công cụ bàn phím&gt; Khác</v>
      </c>
      <c r="F67" t="str">
        <f t="shared" ca="1" si="1"/>
        <v>"22568" : "nếu không thì",</v>
      </c>
    </row>
    <row r="68" spans="1:6" ht="15.75" customHeight="1">
      <c r="A68" s="14">
        <v>22512</v>
      </c>
      <c r="B68" s="14" t="s">
        <v>4838</v>
      </c>
      <c r="C68" s="14" t="s">
        <v>4839</v>
      </c>
      <c r="D68" s="5" t="str">
        <f ca="1">IFERROR(__xludf.DUMMYFUNCTION("GOOGLETRANSLATE(B68,""ja"",""vi"")"),"Drum")</f>
        <v>Drum</v>
      </c>
      <c r="E68" s="4" t="str">
        <f ca="1">IFERROR(__xludf.DUMMYFUNCTION("GOOGLETRANSLATE(C68,""ja"",""vi"")"),"Đấu giá&gt; Sở thích, văn hóa&gt; Nhạc cụ và thiết bị&gt; nhạc cụ gõ&gt; trống")</f>
        <v>Đấu giá&gt; Sở thích, văn hóa&gt; Nhạc cụ và thiết bị&gt; nhạc cụ gõ&gt; trống</v>
      </c>
      <c r="F68" t="str">
        <f t="shared" ca="1" si="1"/>
        <v>"22512" : "Drum",</v>
      </c>
    </row>
    <row r="69" spans="1:6" ht="15.75" customHeight="1">
      <c r="A69" s="14">
        <v>22504</v>
      </c>
      <c r="B69" s="14" t="s">
        <v>4842</v>
      </c>
      <c r="C69" s="14" t="s">
        <v>4843</v>
      </c>
      <c r="D69" s="5" t="str">
        <f ca="1">IFERROR(__xludf.DUMMYFUNCTION("GOOGLETRANSLATE(B69,""ja"",""vi"")"),"chuông nhỏ")</f>
        <v>chuông nhỏ</v>
      </c>
      <c r="E69" s="4" t="str">
        <f ca="1">IFERROR(__xludf.DUMMYFUNCTION("GOOGLETRANSLATE(C69,""ja"",""vi"")"),"Đấu giá&gt; Sở thích, văn hóa&gt; Nhạc cụ và thiết bị&gt; nhạc cụ gõ&gt; chuông nhỏ")</f>
        <v>Đấu giá&gt; Sở thích, văn hóa&gt; Nhạc cụ và thiết bị&gt; nhạc cụ gõ&gt; chuông nhỏ</v>
      </c>
      <c r="F69" t="str">
        <f t="shared" ca="1" si="1"/>
        <v>"22504" : "chuông nhỏ",</v>
      </c>
    </row>
    <row r="70" spans="1:6" ht="15.75" customHeight="1">
      <c r="A70" s="14">
        <v>2084019005</v>
      </c>
      <c r="B70" s="14" t="s">
        <v>3041</v>
      </c>
      <c r="C70" s="14" t="s">
        <v>4846</v>
      </c>
      <c r="D70" s="5" t="str">
        <f ca="1">IFERROR(__xludf.DUMMYFUNCTION("GOOGLETRANSLATE(B70,""ja"",""vi"")"),"máy nhịp")</f>
        <v>máy nhịp</v>
      </c>
      <c r="E70" s="4" t="str">
        <f ca="1">IFERROR(__xludf.DUMMYFUNCTION("GOOGLETRANSLATE(C70,""ja"",""vi"")"),"Đấu giá&gt; Sở thích, văn hóa&gt; Nhạc cụ và thiết bị&gt; nhạc cụ gõ&gt; máy nhịp")</f>
        <v>Đấu giá&gt; Sở thích, văn hóa&gt; Nhạc cụ và thiết bị&gt; nhạc cụ gõ&gt; máy nhịp</v>
      </c>
      <c r="F70" t="str">
        <f t="shared" ca="1" si="1"/>
        <v>"2084019005" : "máy nhịp",</v>
      </c>
    </row>
    <row r="71" spans="1:6" ht="15.75" customHeight="1">
      <c r="A71" s="14">
        <v>22508</v>
      </c>
      <c r="B71" s="14" t="s">
        <v>4849</v>
      </c>
      <c r="C71" s="14" t="s">
        <v>4850</v>
      </c>
      <c r="D71" s="5" t="str">
        <f ca="1">IFERROR(__xludf.DUMMYFUNCTION("GOOGLETRANSLATE(B71,""ja"",""vi"")"),"mộc cầm")</f>
        <v>mộc cầm</v>
      </c>
      <c r="E71" s="4" t="str">
        <f ca="1">IFERROR(__xludf.DUMMYFUNCTION("GOOGLETRANSLATE(C71,""ja"",""vi"")"),"Đấu giá&gt; Sở thích, văn hóa&gt; Nhạc cụ và thiết bị&gt; nhạc cụ gõ&gt; xylophone")</f>
        <v>Đấu giá&gt; Sở thích, văn hóa&gt; Nhạc cụ và thiết bị&gt; nhạc cụ gõ&gt; xylophone</v>
      </c>
      <c r="F71" t="str">
        <f t="shared" ca="1" si="1"/>
        <v>"22508" : "mộc cầm",</v>
      </c>
    </row>
    <row r="72" spans="1:6" ht="15.75" customHeight="1">
      <c r="A72" s="14">
        <v>2084201053</v>
      </c>
      <c r="B72" s="14" t="s">
        <v>4853</v>
      </c>
      <c r="C72" s="14" t="s">
        <v>4854</v>
      </c>
      <c r="D72" s="5" t="str">
        <f ca="1">IFERROR(__xludf.DUMMYFUNCTION("GOOGLETRANSLATE(B72,""ja"",""vi"")"),"trống Nhật Bản")</f>
        <v>trống Nhật Bản</v>
      </c>
      <c r="E72" s="4" t="str">
        <f ca="1">IFERROR(__xludf.DUMMYFUNCTION("GOOGLETRANSLATE(C72,""ja"",""vi"")"),"Đấu giá&gt; Sở thích, văn hóa&gt; công cụ và thiết bị âm nhạc&gt; Percussion&gt; Taiko")</f>
        <v>Đấu giá&gt; Sở thích, văn hóa&gt; công cụ và thiết bị âm nhạc&gt; Percussion&gt; Taiko</v>
      </c>
      <c r="F72" t="str">
        <f t="shared" ca="1" si="1"/>
        <v>"2084201053" : "trống Nhật Bản",</v>
      </c>
    </row>
    <row r="73" spans="1:6" ht="15.75" customHeight="1">
      <c r="A73" s="14">
        <v>22528</v>
      </c>
      <c r="B73" s="14" t="s">
        <v>46</v>
      </c>
      <c r="C73" s="14" t="s">
        <v>4856</v>
      </c>
      <c r="D73" s="5" t="str">
        <f ca="1">IFERROR(__xludf.DUMMYFUNCTION("GOOGLETRANSLATE(B73,""ja"",""vi"")"),"nếu không thì")</f>
        <v>nếu không thì</v>
      </c>
      <c r="E73" s="4" t="str">
        <f ca="1">IFERROR(__xludf.DUMMYFUNCTION("GOOGLETRANSLATE(C73,""ja"",""vi"")"),"Đấu giá&gt; Sở thích, văn hóa&gt; Nhạc cụ và thiết bị&gt; nhạc cụ gõ&gt; Khác")</f>
        <v>Đấu giá&gt; Sở thích, văn hóa&gt; Nhạc cụ và thiết bị&gt; nhạc cụ gõ&gt; Khác</v>
      </c>
      <c r="F73" t="str">
        <f t="shared" ca="1" si="1"/>
        <v>"22528" : "nếu không thì",</v>
      </c>
    </row>
    <row r="74" spans="1:6" ht="15.75" customHeight="1">
      <c r="A74" s="14">
        <v>2084305861</v>
      </c>
      <c r="B74" s="14" t="s">
        <v>4788</v>
      </c>
      <c r="C74" s="14" t="s">
        <v>4859</v>
      </c>
      <c r="D74" s="5" t="str">
        <f ca="1">IFERROR(__xludf.DUMMYFUNCTION("GOOGLETRANSLATE(B74,""ja"",""vi"")"),"thổi tiêu")</f>
        <v>thổi tiêu</v>
      </c>
      <c r="E74" s="4" t="str">
        <f ca="1">IFERROR(__xludf.DUMMYFUNCTION("GOOGLETRANSLATE(C74,""ja"",""vi"")"),"Đấu giá&gt; Sở thích, văn hóa&gt; công cụ và thiết bị âm nhạc&gt; nhạc cụ Nhật Bản&gt; sáo")</f>
        <v>Đấu giá&gt; Sở thích, văn hóa&gt; công cụ và thiết bị âm nhạc&gt; nhạc cụ Nhật Bản&gt; sáo</v>
      </c>
      <c r="F74" t="str">
        <f t="shared" ca="1" si="1"/>
        <v>"2084305861" : "thổi tiêu",</v>
      </c>
    </row>
    <row r="75" spans="1:6" ht="15.75" customHeight="1">
      <c r="A75" s="14">
        <v>2084305871</v>
      </c>
      <c r="B75" s="14" t="s">
        <v>4794</v>
      </c>
      <c r="C75" s="14" t="s">
        <v>4861</v>
      </c>
      <c r="D75" s="5" t="str">
        <f ca="1">IFERROR(__xludf.DUMMYFUNCTION("GOOGLETRANSLATE(B75,""ja"",""vi"")"),"sáo trúc")</f>
        <v>sáo trúc</v>
      </c>
      <c r="E75" s="4" t="str">
        <f ca="1">IFERROR(__xludf.DUMMYFUNCTION("GOOGLETRANSLATE(C75,""ja"",""vi"")"),"Đấu giá&gt; Sở thích, văn hóa&gt; công cụ và thiết bị âm nhạc&gt; nhạc cụ Nhật Bản&gt; shakuhachi")</f>
        <v>Đấu giá&gt; Sở thích, văn hóa&gt; công cụ và thiết bị âm nhạc&gt; nhạc cụ Nhật Bản&gt; shakuhachi</v>
      </c>
      <c r="F75" t="str">
        <f t="shared" ca="1" si="1"/>
        <v>"2084305871" : "sáo trúc",</v>
      </c>
    </row>
    <row r="76" spans="1:6" ht="15.75" customHeight="1">
      <c r="A76" s="14">
        <v>2084046803</v>
      </c>
      <c r="B76" s="14" t="s">
        <v>4673</v>
      </c>
      <c r="C76" s="14" t="s">
        <v>4863</v>
      </c>
      <c r="D76" s="5" t="str">
        <f ca="1">IFERROR(__xludf.DUMMYFUNCTION("GOOGLETRANSLATE(B76,""ja"",""vi"")"),"Kokyu")</f>
        <v>Kokyu</v>
      </c>
      <c r="E76" s="4" t="str">
        <f ca="1">IFERROR(__xludf.DUMMYFUNCTION("GOOGLETRANSLATE(C76,""ja"",""vi"")"),"Đấu giá&gt; Sở thích, văn hóa&gt; công cụ và thiết bị âm nhạc&gt; nhạc cụ Nhật Bản&gt; fiddle")</f>
        <v>Đấu giá&gt; Sở thích, văn hóa&gt; công cụ và thiết bị âm nhạc&gt; nhạc cụ Nhật Bản&gt; fiddle</v>
      </c>
      <c r="F76" t="str">
        <f t="shared" ca="1" si="1"/>
        <v>"2084046803" : "Kokyu",</v>
      </c>
    </row>
    <row r="77" spans="1:6" ht="15.75" customHeight="1">
      <c r="A77" s="14">
        <v>2084305866</v>
      </c>
      <c r="B77" s="14" t="s">
        <v>4677</v>
      </c>
      <c r="C77" s="14" t="s">
        <v>4865</v>
      </c>
      <c r="D77" s="5" t="str">
        <f ca="1">IFERROR(__xludf.DUMMYFUNCTION("GOOGLETRANSLATE(B77,""ja"",""vi"")"),"Ba dây")</f>
        <v>Ba dây</v>
      </c>
      <c r="E77" s="4" t="str">
        <f ca="1">IFERROR(__xludf.DUMMYFUNCTION("GOOGLETRANSLATE(C77,""ja"",""vi"")"),"Đấu giá&gt; Sở thích, văn hóa&gt; công cụ và thiết bị âm nhạc&gt; nhạc cụ Nhật Bản&gt; ba dây")</f>
        <v>Đấu giá&gt; Sở thích, văn hóa&gt; công cụ và thiết bị âm nhạc&gt; nhạc cụ Nhật Bản&gt; ba dây</v>
      </c>
      <c r="F77" t="str">
        <f t="shared" ca="1" si="1"/>
        <v>"2084305866" : "Ba dây",</v>
      </c>
    </row>
    <row r="78" spans="1:6" ht="15.75" customHeight="1">
      <c r="A78" s="14">
        <v>2084046802</v>
      </c>
      <c r="B78" s="14" t="s">
        <v>4681</v>
      </c>
      <c r="C78" s="14" t="s">
        <v>4868</v>
      </c>
      <c r="D78" s="5" t="str">
        <f ca="1">IFERROR(__xludf.DUMMYFUNCTION("GOOGLETRANSLATE(B78,""ja"",""vi"")"),"shamisen")</f>
        <v>shamisen</v>
      </c>
      <c r="E78" s="4" t="str">
        <f ca="1">IFERROR(__xludf.DUMMYFUNCTION("GOOGLETRANSLATE(C78,""ja"",""vi"")"),"Đấu giá&gt; Sở thích, văn hóa&gt; công cụ và thiết bị âm nhạc&gt; nhạc cụ Nhật Bản&gt; shamisen")</f>
        <v>Đấu giá&gt; Sở thích, văn hóa&gt; công cụ và thiết bị âm nhạc&gt; nhạc cụ Nhật Bản&gt; shamisen</v>
      </c>
      <c r="F78" t="str">
        <f t="shared" ca="1" si="1"/>
        <v>"2084046802" : "shamisen",</v>
      </c>
    </row>
    <row r="79" spans="1:6" ht="15.75" customHeight="1">
      <c r="A79" s="14">
        <v>2084305875</v>
      </c>
      <c r="B79" s="14" t="s">
        <v>4687</v>
      </c>
      <c r="C79" s="14" t="s">
        <v>4870</v>
      </c>
      <c r="D79" s="5" t="str">
        <f ca="1">IFERROR(__xludf.DUMMYFUNCTION("GOOGLETRANSLATE(B79,""ja"",""vi"")"),"Biwa")</f>
        <v>Biwa</v>
      </c>
      <c r="E79" s="4" t="str">
        <f ca="1">IFERROR(__xludf.DUMMYFUNCTION("GOOGLETRANSLATE(C79,""ja"",""vi"")"),"Đấu giá&gt; Sở thích, văn hóa&gt; công cụ và thiết bị âm nhạc&gt; nhạc cụ Nhật Bản&gt; Biwa")</f>
        <v>Đấu giá&gt; Sở thích, văn hóa&gt; công cụ và thiết bị âm nhạc&gt; nhạc cụ Nhật Bản&gt; Biwa</v>
      </c>
      <c r="F79" t="str">
        <f t="shared" ca="1" si="1"/>
        <v>"2084305875" : "Biwa",</v>
      </c>
    </row>
    <row r="80" spans="1:6" ht="15.75" customHeight="1">
      <c r="A80" s="14">
        <v>2084305874</v>
      </c>
      <c r="B80" s="14" t="s">
        <v>4685</v>
      </c>
      <c r="C80" s="14" t="s">
        <v>4872</v>
      </c>
      <c r="D80" s="5" t="str">
        <f ca="1">IFERROR(__xludf.DUMMYFUNCTION("GOOGLETRANSLATE(B80,""ja"",""vi"")"),"Taishogoto")</f>
        <v>Taishogoto</v>
      </c>
      <c r="E80" s="4" t="str">
        <f ca="1">IFERROR(__xludf.DUMMYFUNCTION("GOOGLETRANSLATE(C80,""ja"",""vi"")"),"Đấu giá&gt; Sở thích, văn hóa&gt; công cụ và thiết bị âm nhạc&gt; nhạc cụ Nhật Bản&gt; Taishogoto")</f>
        <v>Đấu giá&gt; Sở thích, văn hóa&gt; công cụ và thiết bị âm nhạc&gt; nhạc cụ Nhật Bản&gt; Taishogoto</v>
      </c>
      <c r="F80" t="str">
        <f t="shared" ca="1" si="1"/>
        <v>"2084305874" : "Taishogoto",</v>
      </c>
    </row>
    <row r="81" spans="1:6" ht="15.75" customHeight="1">
      <c r="A81" s="14">
        <v>2084305876</v>
      </c>
      <c r="B81" s="14" t="s">
        <v>4693</v>
      </c>
      <c r="C81" s="14" t="s">
        <v>4874</v>
      </c>
      <c r="D81" s="5" t="str">
        <f ca="1">IFERROR(__xludf.DUMMYFUNCTION("GOOGLETRANSLATE(B81,""ja"",""vi"")"),"Koto, đàn koto")</f>
        <v>Koto, đàn koto</v>
      </c>
      <c r="E81" s="4" t="str">
        <f ca="1">IFERROR(__xludf.DUMMYFUNCTION("GOOGLETRANSLATE(C81,""ja"",""vi"")"),"Đấu giá&gt; Sở thích, văn hóa&gt; công cụ và thiết bị âm nhạc&gt; Nhật nhạc cụ&gt; koto, koto")</f>
        <v>Đấu giá&gt; Sở thích, văn hóa&gt; công cụ và thiết bị âm nhạc&gt; Nhật nhạc cụ&gt; koto, koto</v>
      </c>
      <c r="F81" t="str">
        <f t="shared" ca="1" si="1"/>
        <v>"2084305876" : "Koto, đàn koto",</v>
      </c>
    </row>
    <row r="82" spans="1:6" ht="15.75" customHeight="1">
      <c r="A82" s="14">
        <v>2084201053</v>
      </c>
      <c r="B82" s="14" t="s">
        <v>4853</v>
      </c>
      <c r="C82" s="14" t="s">
        <v>4876</v>
      </c>
      <c r="D82" s="5" t="str">
        <f ca="1">IFERROR(__xludf.DUMMYFUNCTION("GOOGLETRANSLATE(B82,""ja"",""vi"")"),"trống Nhật Bản")</f>
        <v>trống Nhật Bản</v>
      </c>
      <c r="E82" s="4" t="str">
        <f ca="1">IFERROR(__xludf.DUMMYFUNCTION("GOOGLETRANSLATE(C82,""ja"",""vi"")"),"Đấu giá&gt; Sở thích, văn hóa&gt; công cụ và thiết bị âm nhạc&gt; nhạc cụ Nhật Bản&gt; Taiko")</f>
        <v>Đấu giá&gt; Sở thích, văn hóa&gt; công cụ và thiết bị âm nhạc&gt; nhạc cụ Nhật Bản&gt; Taiko</v>
      </c>
      <c r="F82" t="str">
        <f t="shared" ca="1" si="1"/>
        <v>"2084201053" : "trống Nhật Bản",</v>
      </c>
    </row>
    <row r="83" spans="1:6" ht="15.75" customHeight="1">
      <c r="A83" s="14">
        <v>2084305865</v>
      </c>
      <c r="B83" s="14" t="s">
        <v>4880</v>
      </c>
      <c r="C83" s="14" t="s">
        <v>4881</v>
      </c>
      <c r="D83" s="5" t="str">
        <f ca="1">IFERROR(__xludf.DUMMYFUNCTION("GOOGLETRANSLATE(B83,""ja"",""vi"")"),"trống tay")</f>
        <v>trống tay</v>
      </c>
      <c r="E83" s="4" t="str">
        <f ca="1">IFERROR(__xludf.DUMMYFUNCTION("GOOGLETRANSLATE(C83,""ja"",""vi"")"),"Đấu giá&gt; Sở thích, văn hóa&gt; công cụ và thiết bị âm nhạc&gt; nhạc cụ Nhật Bản&gt; Drum")</f>
        <v>Đấu giá&gt; Sở thích, văn hóa&gt; công cụ và thiết bị âm nhạc&gt; nhạc cụ Nhật Bản&gt; Drum</v>
      </c>
      <c r="F83" t="str">
        <f t="shared" ca="1" si="1"/>
        <v>"2084305865" : "trống tay",</v>
      </c>
    </row>
    <row r="84" spans="1:6" ht="15.75" customHeight="1">
      <c r="A84" s="14">
        <v>2084305884</v>
      </c>
      <c r="B84" s="14" t="s">
        <v>46</v>
      </c>
      <c r="C84" s="14" t="s">
        <v>4888</v>
      </c>
      <c r="D84" s="5" t="str">
        <f ca="1">IFERROR(__xludf.DUMMYFUNCTION("GOOGLETRANSLATE(B84,""ja"",""vi"")"),"nếu không thì")</f>
        <v>nếu không thì</v>
      </c>
      <c r="E84" s="4" t="str">
        <f ca="1">IFERROR(__xludf.DUMMYFUNCTION("GOOGLETRANSLATE(C84,""ja"",""vi"")"),"Đấu giá&gt; Sở thích, văn hóa&gt; Nhạc cụ và thiết bị&gt; nhạc cụ Nhật Bản&gt; Khác")</f>
        <v>Đấu giá&gt; Sở thích, văn hóa&gt; Nhạc cụ và thiết bị&gt; nhạc cụ Nhật Bản&gt; Khác</v>
      </c>
      <c r="F84" t="str">
        <f t="shared" ca="1" si="1"/>
        <v>"2084305884" : "nếu không thì",</v>
      </c>
    </row>
    <row r="85" spans="1:6" ht="15.75" customHeight="1">
      <c r="A85" s="14">
        <v>2084305768</v>
      </c>
      <c r="B85" s="14" t="s">
        <v>4892</v>
      </c>
      <c r="C85" s="14" t="s">
        <v>4893</v>
      </c>
      <c r="D85" s="5" t="str">
        <f ca="1">IFERROR(__xludf.DUMMYFUNCTION("GOOGLETRANSLATE(B85,""ja"",""vi"")"),"DI (hộp trực tiếp)")</f>
        <v>DI (hộp trực tiếp)</v>
      </c>
      <c r="E85" s="4" t="str">
        <f ca="1">IFERROR(__xludf.DUMMYFUNCTION("GOOGLETRANSLATE(C85,""ja"",""vi"")"),"Đấu giá&gt; Sở thích, văn hóa&gt; nhạc cụ, thiết bị&gt; ghi âm, thiết bị PA&gt; DI (hộp trực tiếp)")</f>
        <v>Đấu giá&gt; Sở thích, văn hóa&gt; nhạc cụ, thiết bị&gt; ghi âm, thiết bị PA&gt; DI (hộp trực tiếp)</v>
      </c>
      <c r="F85" t="str">
        <f t="shared" ca="1" si="1"/>
        <v>"2084305768" : "DI (hộp trực tiếp)",</v>
      </c>
    </row>
    <row r="86" spans="1:6" ht="15.75" customHeight="1">
      <c r="A86" s="14">
        <v>2084305769</v>
      </c>
      <c r="B86" s="14" t="s">
        <v>4895</v>
      </c>
      <c r="C86" s="14" t="s">
        <v>4897</v>
      </c>
      <c r="D86" s="5" t="str">
        <f ca="1">IFERROR(__xludf.DUMMYFUNCTION("GOOGLETRANSLATE(B86,""ja"",""vi"")"),"equalizer")</f>
        <v>equalizer</v>
      </c>
      <c r="E86" s="4" t="str">
        <f ca="1">IFERROR(__xludf.DUMMYFUNCTION("GOOGLETRANSLATE(C86,""ja"",""vi"")"),"Đấu giá&gt; Sở thích, văn hóa&gt; nhạc cụ, thiết bị&gt; ghi âm, thiết bị PA&gt; equalizer")</f>
        <v>Đấu giá&gt; Sở thích, văn hóa&gt; nhạc cụ, thiết bị&gt; ghi âm, thiết bị PA&gt; equalizer</v>
      </c>
      <c r="F86" t="str">
        <f t="shared" ca="1" si="1"/>
        <v>"2084305769" : "equalizer",</v>
      </c>
    </row>
    <row r="87" spans="1:6" ht="15.75" customHeight="1">
      <c r="A87" s="14">
        <v>2084019011</v>
      </c>
      <c r="B87" s="14" t="s">
        <v>4899</v>
      </c>
      <c r="C87" s="14" t="s">
        <v>4900</v>
      </c>
      <c r="D87" s="5" t="str">
        <f ca="1">IFERROR(__xludf.DUMMYFUNCTION("GOOGLETRANSLATE(B87,""ja"",""vi"")"),"effector")</f>
        <v>effector</v>
      </c>
      <c r="E87" s="4" t="str">
        <f ca="1">IFERROR(__xludf.DUMMYFUNCTION("GOOGLETRANSLATE(C87,""ja"",""vi"")"),"Đấu giá&gt; Sở thích, văn hóa&gt; nhạc cụ, thiết bị&gt; ghi âm, thiết bị PA&gt; effector")</f>
        <v>Đấu giá&gt; Sở thích, văn hóa&gt; nhạc cụ, thiết bị&gt; ghi âm, thiết bị PA&gt; effector</v>
      </c>
      <c r="F87" t="str">
        <f t="shared" ca="1" si="1"/>
        <v>"2084019011" : "effector",</v>
      </c>
    </row>
    <row r="88" spans="1:6" ht="15.75" customHeight="1">
      <c r="A88" s="14">
        <v>2084305770</v>
      </c>
      <c r="B88" s="14" t="s">
        <v>4903</v>
      </c>
      <c r="C88" s="14" t="s">
        <v>4904</v>
      </c>
      <c r="D88" s="5" t="str">
        <f ca="1">IFERROR(__xludf.DUMMYFUNCTION("GOOGLETRANSLATE(B88,""ja"",""vi"")"),"chất hỗ trợ")</f>
        <v>chất hỗ trợ</v>
      </c>
      <c r="E88" s="4" t="str">
        <f ca="1">IFERROR(__xludf.DUMMYFUNCTION("GOOGLETRANSLATE(C88,""ja"",""vi"")"),"Đấu giá&gt; Sở thích, văn hóa&gt; nhạc cụ, thiết bị&gt; ghi âm, thiết bị PA&gt; Enhancer")</f>
        <v>Đấu giá&gt; Sở thích, văn hóa&gt; nhạc cụ, thiết bị&gt; ghi âm, thiết bị PA&gt; Enhancer</v>
      </c>
      <c r="F88" t="str">
        <f t="shared" ca="1" si="1"/>
        <v>"2084305770" : "chất hỗ trợ",</v>
      </c>
    </row>
    <row r="89" spans="1:6" ht="15.75" customHeight="1">
      <c r="A89" s="14">
        <v>2084305771</v>
      </c>
      <c r="B89" s="14" t="s">
        <v>4908</v>
      </c>
      <c r="C89" s="14" t="s">
        <v>4910</v>
      </c>
      <c r="D89" s="5" t="str">
        <f ca="1">IFERROR(__xludf.DUMMYFUNCTION("GOOGLETRANSLATE(B89,""ja"",""vi"")"),"Crossover")</f>
        <v>Crossover</v>
      </c>
      <c r="E89" s="4" t="str">
        <f ca="1">IFERROR(__xludf.DUMMYFUNCTION("GOOGLETRANSLATE(C89,""ja"",""vi"")"),"Đấu giá&gt; Sở thích, văn hóa&gt; nhạc cụ, thiết bị&gt; ghi âm, thiết bị PA&gt; chéo")</f>
        <v>Đấu giá&gt; Sở thích, văn hóa&gt; nhạc cụ, thiết bị&gt; ghi âm, thiết bị PA&gt; chéo</v>
      </c>
      <c r="F89" t="str">
        <f t="shared" ca="1" si="1"/>
        <v>"2084305771" : "Crossover",</v>
      </c>
    </row>
    <row r="90" spans="1:6" ht="15.75" customHeight="1">
      <c r="A90" s="14">
        <v>2084305772</v>
      </c>
      <c r="B90" s="14" t="s">
        <v>4914</v>
      </c>
      <c r="C90" s="14" t="s">
        <v>4915</v>
      </c>
      <c r="D90" s="5" t="str">
        <f ca="1">IFERROR(__xludf.DUMMYFUNCTION("GOOGLETRANSLATE(B90,""ja"",""vi"")"),"Cáp, đầu nối")</f>
        <v>Cáp, đầu nối</v>
      </c>
      <c r="E90" s="4" t="str">
        <f ca="1">IFERROR(__xludf.DUMMYFUNCTION("GOOGLETRANSLATE(C90,""ja"",""vi"")"),"Đấu giá&gt; Sở thích, văn hóa&gt; nhạc cụ, thiết bị&gt; ghi âm, thiết bị PA&gt; cáp, đầu nối")</f>
        <v>Đấu giá&gt; Sở thích, văn hóa&gt; nhạc cụ, thiết bị&gt; ghi âm, thiết bị PA&gt; cáp, đầu nối</v>
      </c>
      <c r="F90" t="str">
        <f t="shared" ca="1" si="1"/>
        <v>"2084305772" : "Cáp, đầu nối",</v>
      </c>
    </row>
    <row r="91" spans="1:6" ht="15.75" customHeight="1">
      <c r="A91" s="14">
        <v>2084305777</v>
      </c>
      <c r="B91" s="14" t="s">
        <v>4919</v>
      </c>
      <c r="C91" s="14" t="s">
        <v>4920</v>
      </c>
      <c r="D91" s="5" t="str">
        <f ca="1">IFERROR(__xludf.DUMMYFUNCTION("GOOGLETRANSLATE(B91,""ja"",""vi"")"),"máy ép")</f>
        <v>máy ép</v>
      </c>
      <c r="E91" s="4" t="str">
        <f ca="1">IFERROR(__xludf.DUMMYFUNCTION("GOOGLETRANSLATE(C91,""ja"",""vi"")"),"Đấu giá&gt; Sở thích, văn hóa&gt; nhạc cụ, thiết bị&gt; ghi âm, thiết bị PA&gt; nén")</f>
        <v>Đấu giá&gt; Sở thích, văn hóa&gt; nhạc cụ, thiết bị&gt; ghi âm, thiết bị PA&gt; nén</v>
      </c>
      <c r="F91" t="str">
        <f t="shared" ca="1" si="1"/>
        <v>"2084305777" : "máy ép",</v>
      </c>
    </row>
    <row r="92" spans="1:6" ht="15.75" customHeight="1">
      <c r="A92" s="14">
        <v>2084305778</v>
      </c>
      <c r="B92" s="14" t="s">
        <v>2654</v>
      </c>
      <c r="C92" s="14" t="s">
        <v>4923</v>
      </c>
      <c r="D92" s="5" t="str">
        <f ca="1">IFERROR(__xludf.DUMMYFUNCTION("GOOGLETRANSLATE(B92,""ja"",""vi"")"),"loa")</f>
        <v>loa</v>
      </c>
      <c r="E92" s="4" t="str">
        <f ca="1">IFERROR(__xludf.DUMMYFUNCTION("GOOGLETRANSLATE(C92,""ja"",""vi"")"),"Đấu giá&gt; Sở thích, văn hóa&gt; nhạc cụ, thiết bị&gt; ghi âm, PA thiết bị&gt; Loa")</f>
        <v>Đấu giá&gt; Sở thích, văn hóa&gt; nhạc cụ, thiết bị&gt; ghi âm, PA thiết bị&gt; Loa</v>
      </c>
      <c r="F92" t="str">
        <f t="shared" ca="1" si="1"/>
        <v>"2084305778" : "loa",</v>
      </c>
    </row>
    <row r="93" spans="1:6" ht="15.75" customHeight="1">
      <c r="A93" s="14">
        <v>2084305792</v>
      </c>
      <c r="B93" s="14" t="s">
        <v>2834</v>
      </c>
      <c r="C93" s="14" t="s">
        <v>4927</v>
      </c>
      <c r="D93" s="5" t="str">
        <f ca="1">IFERROR(__xludf.DUMMYFUNCTION("GOOGLETRANSLATE(B93,""ja"",""vi"")"),"cáp loa")</f>
        <v>cáp loa</v>
      </c>
      <c r="E93" s="4" t="str">
        <f ca="1">IFERROR(__xludf.DUMMYFUNCTION("GOOGLETRANSLATE(C93,""ja"",""vi"")"),"Đấu giá&gt; Sở thích, văn hóa&gt; nhạc cụ, thiết bị&gt; ghi âm, thiết bị PA&gt; cáp loa")</f>
        <v>Đấu giá&gt; Sở thích, văn hóa&gt; nhạc cụ, thiết bị&gt; ghi âm, thiết bị PA&gt; cáp loa</v>
      </c>
      <c r="F93" t="str">
        <f t="shared" ca="1" si="1"/>
        <v>"2084305792" : "cáp loa",</v>
      </c>
    </row>
    <row r="94" spans="1:6" ht="15.75" customHeight="1">
      <c r="A94" s="14">
        <v>2084305781</v>
      </c>
      <c r="B94" s="14" t="s">
        <v>4930</v>
      </c>
      <c r="C94" s="14" t="s">
        <v>4933</v>
      </c>
      <c r="D94" s="5" t="str">
        <f ca="1">IFERROR(__xludf.DUMMYFUNCTION("GOOGLETRANSLATE(B94,""ja"",""vi"")"),"xử lý năng động")</f>
        <v>xử lý năng động</v>
      </c>
      <c r="E94" s="4" t="str">
        <f ca="1">IFERROR(__xludf.DUMMYFUNCTION("GOOGLETRANSLATE(C94,""ja"",""vi"")"),"Đấu giá&gt; Sở thích, văn hóa&gt; nhạc cụ, thiết bị&gt; ghi âm, thiết bị PA&gt; xử lý năng động")</f>
        <v>Đấu giá&gt; Sở thích, văn hóa&gt; nhạc cụ, thiết bị&gt; ghi âm, thiết bị PA&gt; xử lý năng động</v>
      </c>
      <c r="F94" t="str">
        <f t="shared" ca="1" si="1"/>
        <v>"2084305781" : "xử lý năng động",</v>
      </c>
    </row>
    <row r="95" spans="1:6" ht="15.75" customHeight="1">
      <c r="A95" s="14">
        <v>2084305783</v>
      </c>
      <c r="B95" s="14" t="s">
        <v>4936</v>
      </c>
      <c r="C95" s="14" t="s">
        <v>4937</v>
      </c>
      <c r="D95" s="5" t="str">
        <f ca="1">IFERROR(__xludf.DUMMYFUNCTION("GOOGLETRANSLATE(B95,""ja"",""vi"")"),"tiếng ồn Cổng")</f>
        <v>tiếng ồn Cổng</v>
      </c>
      <c r="E95" s="4" t="str">
        <f ca="1">IFERROR(__xludf.DUMMYFUNCTION("GOOGLETRANSLATE(C95,""ja"",""vi"")"),"Đấu giá&gt; Sở thích, văn hóa&gt; nhạc cụ, thiết bị&gt; ghi âm, thiết bị PA&gt; cổng tiếng ồn")</f>
        <v>Đấu giá&gt; Sở thích, văn hóa&gt; nhạc cụ, thiết bị&gt; ghi âm, thiết bị PA&gt; cổng tiếng ồn</v>
      </c>
      <c r="F95" t="str">
        <f t="shared" ca="1" si="1"/>
        <v>"2084305783" : "tiếng ồn Cổng",</v>
      </c>
    </row>
    <row r="96" spans="1:6" ht="15.75" customHeight="1">
      <c r="A96" s="14">
        <v>2084024108</v>
      </c>
      <c r="B96" s="14" t="s">
        <v>4939</v>
      </c>
      <c r="C96" s="14" t="s">
        <v>4941</v>
      </c>
      <c r="D96" s="5" t="str">
        <f ca="1">IFERROR(__xludf.DUMMYFUNCTION("GOOGLETRANSLATE(B96,""ja"",""vi"")"),"Handy Recorder")</f>
        <v>Handy Recorder</v>
      </c>
      <c r="E96" s="4" t="str">
        <f ca="1">IFERROR(__xludf.DUMMYFUNCTION("GOOGLETRANSLATE(C96,""ja"",""vi"")"),"Đấu giá&gt; Sở thích, văn hóa&gt; nhạc cụ, thiết bị&gt; ghi âm, PA thiết bị&gt; Handy Recorder")</f>
        <v>Đấu giá&gt; Sở thích, văn hóa&gt; nhạc cụ, thiết bị&gt; ghi âm, PA thiết bị&gt; Handy Recorder</v>
      </c>
      <c r="F96" t="str">
        <f t="shared" ca="1" si="1"/>
        <v>"2084024108" : "Handy Recorder",</v>
      </c>
    </row>
    <row r="97" spans="1:6" ht="15.75" customHeight="1">
      <c r="A97" s="14">
        <v>2084305784</v>
      </c>
      <c r="B97" s="14" t="s">
        <v>4943</v>
      </c>
      <c r="C97" s="14" t="s">
        <v>4944</v>
      </c>
      <c r="D97" s="5" t="str">
        <f ca="1">IFERROR(__xludf.DUMMYFUNCTION("GOOGLETRANSLATE(B97,""ja"",""vi"")"),"vịnh")</f>
        <v>vịnh</v>
      </c>
      <c r="E97" s="4" t="str">
        <f ca="1">IFERROR(__xludf.DUMMYFUNCTION("GOOGLETRANSLATE(C97,""ja"",""vi"")"),"Đấu giá&gt; Sở thích, văn hóa&gt; nhạc cụ, thiết bị&gt; ghi âm, thiết bị PA&gt; vịnh vá")</f>
        <v>Đấu giá&gt; Sở thích, văn hóa&gt; nhạc cụ, thiết bị&gt; ghi âm, thiết bị PA&gt; vịnh vá</v>
      </c>
      <c r="F97" t="str">
        <f t="shared" ca="1" si="1"/>
        <v>"2084305784" : "vịnh",</v>
      </c>
    </row>
    <row r="98" spans="1:6" ht="15.75" customHeight="1">
      <c r="A98" s="14">
        <v>2084305785</v>
      </c>
      <c r="B98" s="14" t="s">
        <v>4948</v>
      </c>
      <c r="C98" s="14" t="s">
        <v>4950</v>
      </c>
      <c r="D98" s="5" t="str">
        <f ca="1">IFERROR(__xludf.DUMMYFUNCTION("GOOGLETRANSLATE(B98,""ja"",""vi"")"),"Power Amplifier")</f>
        <v>Power Amplifier</v>
      </c>
      <c r="E98" s="4" t="str">
        <f ca="1">IFERROR(__xludf.DUMMYFUNCTION("GOOGLETRANSLATE(C98,""ja"",""vi"")"),"Đấu giá&gt; Sở thích, văn hóa&gt; nhạc cụ, thiết bị&gt; ghi âm, PA thiết bị&gt; Power Amplifier")</f>
        <v>Đấu giá&gt; Sở thích, văn hóa&gt; nhạc cụ, thiết bị&gt; ghi âm, PA thiết bị&gt; Power Amplifier</v>
      </c>
      <c r="F98" t="str">
        <f t="shared" ca="1" si="1"/>
        <v>"2084305785" : "Power Amplifier",</v>
      </c>
    </row>
    <row r="99" spans="1:6" ht="15.75" customHeight="1">
      <c r="A99" s="14">
        <v>2084305787</v>
      </c>
      <c r="B99" s="14" t="s">
        <v>4951</v>
      </c>
      <c r="C99" s="14" t="s">
        <v>4952</v>
      </c>
      <c r="D99" s="5" t="str">
        <f ca="1">IFERROR(__xludf.DUMMYFUNCTION("GOOGLETRANSLATE(B99,""ja"",""vi"")"),"làm biếng")</f>
        <v>làm biếng</v>
      </c>
      <c r="E99" s="4" t="str">
        <f ca="1">IFERROR(__xludf.DUMMYFUNCTION("GOOGLETRANSLATE(C99,""ja"",""vi"")"),"Đấu giá&gt; Sở thích, văn hóa&gt; nhạc cụ, thiết bị&gt; ghi âm, thiết bị PA&gt; microphone")</f>
        <v>Đấu giá&gt; Sở thích, văn hóa&gt; nhạc cụ, thiết bị&gt; ghi âm, thiết bị PA&gt; microphone</v>
      </c>
      <c r="F99" t="str">
        <f t="shared" ca="1" si="1"/>
        <v>"2084305787" : "làm biếng",</v>
      </c>
    </row>
    <row r="100" spans="1:6" ht="15.75" customHeight="1">
      <c r="A100" s="14">
        <v>2084305797</v>
      </c>
      <c r="B100" s="14" t="s">
        <v>4955</v>
      </c>
      <c r="C100" s="14" t="s">
        <v>4957</v>
      </c>
      <c r="D100" s="5" t="str">
        <f ca="1">IFERROR(__xludf.DUMMYFUNCTION("GOOGLETRANSLATE(B100,""ja"",""vi"")"),"micro đứng")</f>
        <v>micro đứng</v>
      </c>
      <c r="E100" s="4" t="str">
        <f ca="1">IFERROR(__xludf.DUMMYFUNCTION("GOOGLETRANSLATE(C100,""ja"",""vi"")"),"Đấu giá&gt; Sở thích, văn hóa&gt; nhạc cụ, thiết bị&gt; ghi âm, thiết bị PA&gt; micro đứng")</f>
        <v>Đấu giá&gt; Sở thích, văn hóa&gt; nhạc cụ, thiết bị&gt; ghi âm, thiết bị PA&gt; micro đứng</v>
      </c>
      <c r="F100" t="str">
        <f t="shared" ca="1" si="1"/>
        <v>"2084305797" : "micro đứng",</v>
      </c>
    </row>
    <row r="101" spans="1:6" ht="15.75" customHeight="1">
      <c r="A101" s="14">
        <v>2084305798</v>
      </c>
      <c r="B101" s="14" t="s">
        <v>4961</v>
      </c>
      <c r="C101" s="14" t="s">
        <v>4963</v>
      </c>
      <c r="D101" s="5" t="str">
        <f ca="1">IFERROR(__xludf.DUMMYFUNCTION("GOOGLETRANSLATE(B101,""ja"",""vi"")"),"tiền khuyếch đại mic")</f>
        <v>tiền khuyếch đại mic</v>
      </c>
      <c r="E101" s="4" t="str">
        <f ca="1">IFERROR(__xludf.DUMMYFUNCTION("GOOGLETRANSLATE(C101,""ja"",""vi"")"),"Đấu giá&gt; Sở thích, văn hóa&gt; nhạc cụ, thiết bị&gt; ghi âm, thiết bị PA&gt; tiền khuyếch đại mic")</f>
        <v>Đấu giá&gt; Sở thích, văn hóa&gt; nhạc cụ, thiết bị&gt; ghi âm, thiết bị PA&gt; tiền khuyếch đại mic</v>
      </c>
      <c r="F101" t="str">
        <f t="shared" ca="1" si="1"/>
        <v>"2084305798" : "tiền khuyếch đại mic",</v>
      </c>
    </row>
    <row r="102" spans="1:6" ht="15.75" customHeight="1">
      <c r="A102" s="14">
        <v>2084019012</v>
      </c>
      <c r="B102" s="14" t="s">
        <v>4966</v>
      </c>
      <c r="C102" s="14" t="s">
        <v>4968</v>
      </c>
      <c r="D102" s="5" t="str">
        <f ca="1">IFERROR(__xludf.DUMMYFUNCTION("GOOGLETRANSLATE(B102,""ja"",""vi"")"),"Multi-track ghi âm")</f>
        <v>Multi-track ghi âm</v>
      </c>
      <c r="E102" s="4" t="str">
        <f ca="1">IFERROR(__xludf.DUMMYFUNCTION("GOOGLETRANSLATE(C102,""ja"",""vi"")"),"Đấu giá&gt; Sở thích, văn hóa&gt; nhạc cụ, thiết bị&gt; ghi âm, thiết bị PA&gt; Máy ghi multitrack")</f>
        <v>Đấu giá&gt; Sở thích, văn hóa&gt; nhạc cụ, thiết bị&gt; ghi âm, thiết bị PA&gt; Máy ghi multitrack</v>
      </c>
      <c r="F102" t="str">
        <f t="shared" ca="1" si="1"/>
        <v>"2084019012" : "Multi-track ghi âm",</v>
      </c>
    </row>
    <row r="103" spans="1:6" ht="15.75" customHeight="1">
      <c r="A103" s="14">
        <v>2084019013</v>
      </c>
      <c r="B103" s="14" t="s">
        <v>3795</v>
      </c>
      <c r="C103" s="14" t="s">
        <v>4974</v>
      </c>
      <c r="D103" s="5" t="str">
        <f ca="1">IFERROR(__xludf.DUMMYFUNCTION("GOOGLETRANSLATE(B103,""ja"",""vi"")"),"máy trộn")</f>
        <v>máy trộn</v>
      </c>
      <c r="E103" s="4" t="str">
        <f ca="1">IFERROR(__xludf.DUMMYFUNCTION("GOOGLETRANSLATE(C103,""ja"",""vi"")"),"Đấu giá&gt; Sở thích, văn hóa&gt; nhạc cụ, thiết bị&gt; ghi âm, thiết bị PA&gt; máy trộn")</f>
        <v>Đấu giá&gt; Sở thích, văn hóa&gt; nhạc cụ, thiết bị&gt; ghi âm, thiết bị PA&gt; máy trộn</v>
      </c>
      <c r="F103" t="str">
        <f t="shared" ca="1" si="1"/>
        <v>"2084019013" : "máy trộn",</v>
      </c>
    </row>
    <row r="104" spans="1:6" ht="15.75" customHeight="1">
      <c r="A104" s="14">
        <v>2084305800</v>
      </c>
      <c r="B104" s="14" t="s">
        <v>4979</v>
      </c>
      <c r="C104" s="14" t="s">
        <v>4980</v>
      </c>
      <c r="D104" s="5" t="str">
        <f ca="1">IFERROR(__xludf.DUMMYFUNCTION("GOOGLETRANSLATE(B104,""ja"",""vi"")"),"reverb")</f>
        <v>reverb</v>
      </c>
      <c r="E104" s="4" t="str">
        <f ca="1">IFERROR(__xludf.DUMMYFUNCTION("GOOGLETRANSLATE(C104,""ja"",""vi"")"),"Đấu giá&gt; Sở thích, văn hóa&gt; nhạc cụ, thiết bị&gt; ghi âm, thiết bị PA&gt; reverb")</f>
        <v>Đấu giá&gt; Sở thích, văn hóa&gt; nhạc cụ, thiết bị&gt; ghi âm, thiết bị PA&gt; reverb</v>
      </c>
      <c r="F104" t="str">
        <f t="shared" ca="1" si="1"/>
        <v>"2084305800" : "reverb",</v>
      </c>
    </row>
    <row r="105" spans="1:6" ht="15.75" customHeight="1">
      <c r="A105" s="14">
        <v>2084305801</v>
      </c>
      <c r="B105" s="14" t="s">
        <v>4984</v>
      </c>
      <c r="C105" s="14" t="s">
        <v>4986</v>
      </c>
      <c r="D105" s="5" t="str">
        <f ca="1">IFERROR(__xludf.DUMMYFUNCTION("GOOGLETRANSLATE(B105,""ja"",""vi"")"),"cáp điện")</f>
        <v>cáp điện</v>
      </c>
      <c r="E105" s="4" t="str">
        <f ca="1">IFERROR(__xludf.DUMMYFUNCTION("GOOGLETRANSLATE(C105,""ja"",""vi"")"),"Đấu giá&gt; Sở thích, văn hóa&gt; nhạc cụ, thiết bị&gt; ghi âm, thiết bị PA&gt; cáp điện")</f>
        <v>Đấu giá&gt; Sở thích, văn hóa&gt; nhạc cụ, thiết bị&gt; ghi âm, thiết bị PA&gt; cáp điện</v>
      </c>
      <c r="F105" t="str">
        <f t="shared" ca="1" si="1"/>
        <v>"2084305801" : "cáp điện",</v>
      </c>
    </row>
    <row r="106" spans="1:6" ht="15.75" customHeight="1">
      <c r="A106" s="14">
        <v>23804</v>
      </c>
      <c r="B106" s="14" t="s">
        <v>4403</v>
      </c>
      <c r="C106" s="14" t="s">
        <v>4990</v>
      </c>
      <c r="D106" s="5" t="str">
        <f ca="1">IFERROR(__xludf.DUMMYFUNCTION("GOOGLETRANSLATE(B106,""ja"",""vi"")"),"Tai nghe, tai nghe")</f>
        <v>Tai nghe, tai nghe</v>
      </c>
      <c r="E106" s="4" t="str">
        <f ca="1">IFERROR(__xludf.DUMMYFUNCTION("GOOGLETRANSLATE(C106,""ja"",""vi"")"),"Đấu giá&gt; Sở thích, văn hóa&gt; nhạc cụ, thiết bị&gt; ghi âm, thiết bị PA&gt; tai nghe, tai nghe")</f>
        <v>Đấu giá&gt; Sở thích, văn hóa&gt; nhạc cụ, thiết bị&gt; ghi âm, thiết bị PA&gt; tai nghe, tai nghe</v>
      </c>
      <c r="F106" t="str">
        <f t="shared" ca="1" si="1"/>
        <v>"23804" : "Tai nghe, tai nghe",</v>
      </c>
    </row>
    <row r="107" spans="1:6" ht="15.75" customHeight="1">
      <c r="A107" s="14">
        <v>2084305799</v>
      </c>
      <c r="B107" s="14" t="s">
        <v>4993</v>
      </c>
      <c r="C107" s="14" t="s">
        <v>4995</v>
      </c>
      <c r="D107" s="5" t="str">
        <f ca="1">IFERROR(__xludf.DUMMYFUNCTION("GOOGLETRANSLATE(B107,""ja"",""vi"")"),"Rack, Rack trường hợp")</f>
        <v>Rack, Rack trường hợp</v>
      </c>
      <c r="E107" s="4" t="str">
        <f ca="1">IFERROR(__xludf.DUMMYFUNCTION("GOOGLETRANSLATE(C107,""ja"",""vi"")"),"Đấu giá&gt; Sở thích, văn hóa&gt; nhạc cụ, thiết bị&gt; ghi âm, thiết bị PA&gt; rack, trường hợp giá")</f>
        <v>Đấu giá&gt; Sở thích, văn hóa&gt; nhạc cụ, thiết bị&gt; ghi âm, thiết bị PA&gt; rack, trường hợp giá</v>
      </c>
      <c r="F107" t="str">
        <f t="shared" ca="1" si="1"/>
        <v>"2084305799" : "Rack, Rack trường hợp",</v>
      </c>
    </row>
    <row r="108" spans="1:6" ht="15.75" customHeight="1">
      <c r="A108" s="14">
        <v>2084019014</v>
      </c>
      <c r="B108" s="14" t="s">
        <v>46</v>
      </c>
      <c r="C108" s="14" t="s">
        <v>5001</v>
      </c>
      <c r="D108" s="5" t="str">
        <f ca="1">IFERROR(__xludf.DUMMYFUNCTION("GOOGLETRANSLATE(B108,""ja"",""vi"")"),"nếu không thì")</f>
        <v>nếu không thì</v>
      </c>
      <c r="E108" s="4" t="str">
        <f ca="1">IFERROR(__xludf.DUMMYFUNCTION("GOOGLETRANSLATE(C108,""ja"",""vi"")"),"Đấu giá&gt; Sở thích, văn hóa&gt; nhạc cụ, thiết bị&gt; ghi âm, PA thiết bị&gt; Khác")</f>
        <v>Đấu giá&gt; Sở thích, văn hóa&gt; nhạc cụ, thiết bị&gt; ghi âm, PA thiết bị&gt; Khác</v>
      </c>
      <c r="F108" t="str">
        <f t="shared" ca="1" si="1"/>
        <v>"2084019014" : "nếu không thì",</v>
      </c>
    </row>
    <row r="109" spans="1:6" ht="15.75" customHeight="1">
      <c r="A109" s="14">
        <v>2084261083</v>
      </c>
      <c r="B109" s="14" t="s">
        <v>2697</v>
      </c>
      <c r="C109" s="14" t="s">
        <v>2699</v>
      </c>
      <c r="D109" s="5" t="str">
        <f ca="1">IFERROR(__xludf.DUMMYFUNCTION("GOOGLETRANSLATE(B109,""ja"",""vi"")"),"CDJ")</f>
        <v>CDJ</v>
      </c>
      <c r="E109" s="4" t="str">
        <f ca="1">IFERROR(__xludf.DUMMYFUNCTION("GOOGLETRANSLATE(C109,""ja"",""vi"")"),"Đấu giá&gt; Sở thích, văn hóa&gt; nhạc cụ, thiết bị&gt; Thiết bị DJ&gt; CDJ")</f>
        <v>Đấu giá&gt; Sở thích, văn hóa&gt; nhạc cụ, thiết bị&gt; Thiết bị DJ&gt; CDJ</v>
      </c>
      <c r="F109" t="str">
        <f t="shared" ca="1" si="1"/>
        <v>"2084261083" : "CDJ",</v>
      </c>
    </row>
    <row r="110" spans="1:6" ht="15.75" customHeight="1">
      <c r="A110" s="14">
        <v>2084261082</v>
      </c>
      <c r="B110" s="14" t="s">
        <v>2703</v>
      </c>
      <c r="C110" s="14" t="s">
        <v>2707</v>
      </c>
      <c r="D110" s="5" t="str">
        <f ca="1">IFERROR(__xludf.DUMMYFUNCTION("GOOGLETRANSLATE(B110,""ja"",""vi"")"),"DJ mixer")</f>
        <v>DJ mixer</v>
      </c>
      <c r="E110" s="4" t="str">
        <f ca="1">IFERROR(__xludf.DUMMYFUNCTION("GOOGLETRANSLATE(C110,""ja"",""vi"")"),"Đấu giá&gt; Sở thích, văn hóa&gt; nhạc cụ, thiết bị&gt; Thiết bị DJ&gt; DJ mixer")</f>
        <v>Đấu giá&gt; Sở thích, văn hóa&gt; nhạc cụ, thiết bị&gt; Thiết bị DJ&gt; DJ mixer</v>
      </c>
      <c r="F110" t="str">
        <f t="shared" ca="1" si="1"/>
        <v>"2084261082" : "DJ mixer",</v>
      </c>
    </row>
    <row r="111" spans="1:6" ht="15.75" customHeight="1">
      <c r="A111" s="14">
        <v>2084305407</v>
      </c>
      <c r="B111" s="14" t="s">
        <v>2710</v>
      </c>
      <c r="C111" s="14" t="s">
        <v>2712</v>
      </c>
      <c r="D111" s="5" t="str">
        <f ca="1">IFERROR(__xludf.DUMMYFUNCTION("GOOGLETRANSLATE(B111,""ja"",""vi"")"),"DJ effector")</f>
        <v>DJ effector</v>
      </c>
      <c r="E111" s="4" t="str">
        <f ca="1">IFERROR(__xludf.DUMMYFUNCTION("GOOGLETRANSLATE(C111,""ja"",""vi"")"),"Đấu giá&gt; Sở thích, văn hóa&gt; nhạc cụ, thiết bị&gt; Thiết bị DJ&gt; DJ effector")</f>
        <v>Đấu giá&gt; Sở thích, văn hóa&gt; nhạc cụ, thiết bị&gt; Thiết bị DJ&gt; DJ effector</v>
      </c>
      <c r="F111" t="str">
        <f t="shared" ca="1" si="1"/>
        <v>"2084305407" : "DJ effector",</v>
      </c>
    </row>
    <row r="112" spans="1:6" ht="15.75" customHeight="1">
      <c r="A112" s="14">
        <v>2084305408</v>
      </c>
      <c r="B112" s="14" t="s">
        <v>2715</v>
      </c>
      <c r="C112" s="14" t="s">
        <v>2716</v>
      </c>
      <c r="D112" s="5" t="str">
        <f ca="1">IFERROR(__xludf.DUMMYFUNCTION("GOOGLETRANSLATE(B112,""ja"",""vi"")"),"DJ điều khiển")</f>
        <v>DJ điều khiển</v>
      </c>
      <c r="E112" s="4" t="str">
        <f ca="1">IFERROR(__xludf.DUMMYFUNCTION("GOOGLETRANSLATE(C112,""ja"",""vi"")"),"Đấu giá&gt; Sở thích, văn hóa&gt; nhạc cụ, thiết bị&gt; Thiết bị DJ&gt; DJ điều khiển")</f>
        <v>Đấu giá&gt; Sở thích, văn hóa&gt; nhạc cụ, thiết bị&gt; Thiết bị DJ&gt; DJ điều khiển</v>
      </c>
      <c r="F112" t="str">
        <f t="shared" ca="1" si="1"/>
        <v>"2084305408" : "DJ điều khiển",</v>
      </c>
    </row>
    <row r="113" spans="1:6" ht="15.75" customHeight="1">
      <c r="A113" s="14">
        <v>2084305410</v>
      </c>
      <c r="B113" s="14" t="s">
        <v>2721</v>
      </c>
      <c r="C113" s="14" t="s">
        <v>2722</v>
      </c>
      <c r="D113" s="5" t="str">
        <f ca="1">IFERROR(__xludf.DUMMYFUNCTION("GOOGLETRANSLATE(B113,""ja"",""vi"")"),"PCDJ")</f>
        <v>PCDJ</v>
      </c>
      <c r="E113" s="4" t="str">
        <f ca="1">IFERROR(__xludf.DUMMYFUNCTION("GOOGLETRANSLATE(C113,""ja"",""vi"")"),"Đấu giá&gt; Sở thích, văn hóa&gt; nhạc cụ, thiết bị&gt; Thiết bị DJ&gt; PCDJ")</f>
        <v>Đấu giá&gt; Sở thích, văn hóa&gt; nhạc cụ, thiết bị&gt; Thiết bị DJ&gt; PCDJ</v>
      </c>
      <c r="F113" t="str">
        <f t="shared" ca="1" si="1"/>
        <v>"2084305410" : "PCDJ",</v>
      </c>
    </row>
    <row r="114" spans="1:6" ht="15.75" customHeight="1">
      <c r="A114" s="14">
        <v>2084305418</v>
      </c>
      <c r="B114" s="14" t="s">
        <v>2727</v>
      </c>
      <c r="C114" s="14" t="s">
        <v>2728</v>
      </c>
      <c r="D114" s="5" t="str">
        <f ca="1">IFERROR(__xludf.DUMMYFUNCTION("GOOGLETRANSLATE(B114,""ja"",""vi"")"),"turntable")</f>
        <v>turntable</v>
      </c>
      <c r="E114" s="4" t="str">
        <f ca="1">IFERROR(__xludf.DUMMYFUNCTION("GOOGLETRANSLATE(C114,""ja"",""vi"")"),"Đấu giá&gt; Sở thích, văn hóa&gt; nhạc cụ, thiết bị&gt; Thiết bị DJ&gt; bàn xoay")</f>
        <v>Đấu giá&gt; Sở thích, văn hóa&gt; nhạc cụ, thiết bị&gt; Thiết bị DJ&gt; bàn xoay</v>
      </c>
      <c r="F114" t="str">
        <f t="shared" ca="1" si="1"/>
        <v>"2084305418" : "turntable",</v>
      </c>
    </row>
    <row r="115" spans="1:6" ht="15.75" customHeight="1">
      <c r="A115" s="14">
        <v>2084305419</v>
      </c>
      <c r="B115" s="14" t="s">
        <v>2733</v>
      </c>
      <c r="C115" s="14" t="s">
        <v>2734</v>
      </c>
      <c r="D115" s="5" t="str">
        <f ca="1">IFERROR(__xludf.DUMMYFUNCTION("GOOGLETRANSLATE(B115,""ja"",""vi"")"),"Trưởng vỏ")</f>
        <v>Trưởng vỏ</v>
      </c>
      <c r="E115" s="4" t="str">
        <f ca="1">IFERROR(__xludf.DUMMYFUNCTION("GOOGLETRANSLATE(C115,""ja"",""vi"")"),"Đấu giá&gt; Sở thích, văn hóa&gt; nhạc cụ, thiết bị&gt; Thiết bị DJ&gt; vỏ đầu")</f>
        <v>Đấu giá&gt; Sở thích, văn hóa&gt; nhạc cụ, thiết bị&gt; Thiết bị DJ&gt; vỏ đầu</v>
      </c>
      <c r="F115" t="str">
        <f t="shared" ca="1" si="1"/>
        <v>"2084305419" : "Trưởng vỏ",</v>
      </c>
    </row>
    <row r="116" spans="1:6" ht="15.75" customHeight="1">
      <c r="A116" s="14">
        <v>2084305420</v>
      </c>
      <c r="B116" s="14" t="s">
        <v>2740</v>
      </c>
      <c r="C116" s="14" t="s">
        <v>2742</v>
      </c>
      <c r="D116" s="5" t="str">
        <f ca="1">IFERROR(__xludf.DUMMYFUNCTION("GOOGLETRANSLATE(B116,""ja"",""vi"")"),"mực Ghi")</f>
        <v>mực Ghi</v>
      </c>
      <c r="E116" s="4" t="str">
        <f ca="1">IFERROR(__xludf.DUMMYFUNCTION("GOOGLETRANSLATE(C116,""ja"",""vi"")"),"Đấu giá&gt; Sở thích, văn hóa&gt; nhạc cụ, thiết bị&gt; Thiết bị DJ&gt; Ghi mực")</f>
        <v>Đấu giá&gt; Sở thích, văn hóa&gt; nhạc cụ, thiết bị&gt; Thiết bị DJ&gt; Ghi mực</v>
      </c>
      <c r="F116" t="str">
        <f t="shared" ca="1" si="1"/>
        <v>"2084305420" : "mực Ghi",</v>
      </c>
    </row>
    <row r="117" spans="1:6" ht="15.75" customHeight="1">
      <c r="A117" s="14">
        <v>2084305422</v>
      </c>
      <c r="B117" s="14" t="s">
        <v>2747</v>
      </c>
      <c r="C117" s="14" t="s">
        <v>2749</v>
      </c>
      <c r="D117" s="5" t="str">
        <f ca="1">IFERROR(__xludf.DUMMYFUNCTION("GOOGLETRANSLATE(B117,""ja"",""vi"")"),"kim Ghi")</f>
        <v>kim Ghi</v>
      </c>
      <c r="E117" s="4" t="str">
        <f ca="1">IFERROR(__xludf.DUMMYFUNCTION("GOOGLETRANSLATE(C117,""ja"",""vi"")"),"Đấu giá&gt; Sở thích, văn hóa&gt; nhạc cụ, thiết bị&gt; Thiết bị DJ&gt; Ghi kim")</f>
        <v>Đấu giá&gt; Sở thích, văn hóa&gt; nhạc cụ, thiết bị&gt; Thiết bị DJ&gt; Ghi kim</v>
      </c>
      <c r="F117" t="str">
        <f t="shared" ca="1" si="1"/>
        <v>"2084305422" : "kim Ghi",</v>
      </c>
    </row>
    <row r="118" spans="1:6" ht="15.75" customHeight="1">
      <c r="A118" s="14">
        <v>2084305416</v>
      </c>
      <c r="B118" s="14" t="s">
        <v>2754</v>
      </c>
      <c r="C118" s="14" t="s">
        <v>2756</v>
      </c>
      <c r="D118" s="5" t="str">
        <f ca="1">IFERROR(__xludf.DUMMYFUNCTION("GOOGLETRANSLATE(B118,""ja"",""vi"")"),"thiết bị VJ liên quan")</f>
        <v>thiết bị VJ liên quan</v>
      </c>
      <c r="E118" s="4" t="str">
        <f ca="1">IFERROR(__xludf.DUMMYFUNCTION("GOOGLETRANSLATE(C118,""ja"",""vi"")"),"Đấu giá&gt; Sở thích, văn hóa&gt; nhạc cụ, thiết bị&gt; Thiết bị DJ&gt; thiết bị VJ liên quan")</f>
        <v>Đấu giá&gt; Sở thích, văn hóa&gt; nhạc cụ, thiết bị&gt; Thiết bị DJ&gt; thiết bị VJ liên quan</v>
      </c>
      <c r="F118" t="str">
        <f t="shared" ca="1" si="1"/>
        <v>"2084305416" : "thiết bị VJ liên quan",</v>
      </c>
    </row>
    <row r="119" spans="1:6" ht="15.75" customHeight="1">
      <c r="A119" s="14">
        <v>2084305417</v>
      </c>
      <c r="B119" s="14" t="s">
        <v>2761</v>
      </c>
      <c r="C119" s="14" t="s">
        <v>2764</v>
      </c>
      <c r="D119" s="5" t="str">
        <f ca="1">IFERROR(__xludf.DUMMYFUNCTION("GOOGLETRANSLATE(B119,""ja"",""vi"")"),"trượt Mat")</f>
        <v>trượt Mat</v>
      </c>
      <c r="E119" s="4" t="str">
        <f ca="1">IFERROR(__xludf.DUMMYFUNCTION("GOOGLETRANSLATE(C119,""ja"",""vi"")"),"Đấu giá&gt; Sở thích, văn hóa&gt; nhạc cụ, thiết bị&gt; Thiết bị DJ&gt; trượt mat")</f>
        <v>Đấu giá&gt; Sở thích, văn hóa&gt; nhạc cụ, thiết bị&gt; Thiết bị DJ&gt; trượt mat</v>
      </c>
      <c r="F119" t="str">
        <f t="shared" ca="1" si="1"/>
        <v>"2084305417" : "trượt Mat",</v>
      </c>
    </row>
    <row r="120" spans="1:6" ht="15.75" customHeight="1">
      <c r="A120" s="14">
        <v>2084305409</v>
      </c>
      <c r="B120" s="14" t="s">
        <v>2767</v>
      </c>
      <c r="C120" s="14" t="s">
        <v>2769</v>
      </c>
      <c r="D120" s="5" t="str">
        <f ca="1">IFERROR(__xludf.DUMMYFUNCTION("GOOGLETRANSLATE(B120,""ja"",""vi"")"),"bảng DJ")</f>
        <v>bảng DJ</v>
      </c>
      <c r="E120" s="4" t="str">
        <f ca="1">IFERROR(__xludf.DUMMYFUNCTION("GOOGLETRANSLATE(C120,""ja"",""vi"")"),"Đấu giá&gt; Sở thích, văn hóa&gt; nhạc cụ, thiết bị&gt; Thiết bị DJ&gt; DJ bảng")</f>
        <v>Đấu giá&gt; Sở thích, văn hóa&gt; nhạc cụ, thiết bị&gt; Thiết bị DJ&gt; DJ bảng</v>
      </c>
      <c r="F120" t="str">
        <f t="shared" ca="1" si="1"/>
        <v>"2084305409" : "bảng DJ",</v>
      </c>
    </row>
    <row r="121" spans="1:6" ht="15.75" customHeight="1">
      <c r="A121" s="14">
        <v>2084305421</v>
      </c>
      <c r="B121" s="14" t="s">
        <v>2772</v>
      </c>
      <c r="C121" s="14" t="s">
        <v>2773</v>
      </c>
      <c r="D121" s="5" t="str">
        <f ca="1">IFERROR(__xludf.DUMMYFUNCTION("GOOGLETRANSLATE(B121,""ja"",""vi"")"),"Ghi lại trường hợp, túi")</f>
        <v>Ghi lại trường hợp, túi</v>
      </c>
      <c r="E121" s="4" t="str">
        <f ca="1">IFERROR(__xludf.DUMMYFUNCTION("GOOGLETRANSLATE(C121,""ja"",""vi"")"),"Đấu giá&gt; Sở thích, văn hóa&gt; nhạc cụ, thiết bị&gt; Thiết bị DJ&gt; Ghi lại trường hợp, túi")</f>
        <v>Đấu giá&gt; Sở thích, văn hóa&gt; nhạc cụ, thiết bị&gt; Thiết bị DJ&gt; Ghi lại trường hợp, túi</v>
      </c>
      <c r="F121" t="str">
        <f t="shared" ca="1" si="1"/>
        <v>"2084305421" : "Ghi lại trường hợp, túi",</v>
      </c>
    </row>
    <row r="122" spans="1:6" ht="15.75" customHeight="1">
      <c r="A122" s="14">
        <v>2084261084</v>
      </c>
      <c r="B122" s="14" t="s">
        <v>46</v>
      </c>
      <c r="C122" s="14" t="s">
        <v>2778</v>
      </c>
      <c r="D122" s="5" t="str">
        <f ca="1">IFERROR(__xludf.DUMMYFUNCTION("GOOGLETRANSLATE(B122,""ja"",""vi"")"),"nếu không thì")</f>
        <v>nếu không thì</v>
      </c>
      <c r="E122" s="4" t="str">
        <f ca="1">IFERROR(__xludf.DUMMYFUNCTION("GOOGLETRANSLATE(C122,""ja"",""vi"")"),"Đấu giá&gt; Sở thích, văn hóa&gt; nhạc cụ, thiết bị&gt; Thiết bị DJ&gt; Khác")</f>
        <v>Đấu giá&gt; Sở thích, văn hóa&gt; nhạc cụ, thiết bị&gt; Thiết bị DJ&gt; Khác</v>
      </c>
      <c r="F122" t="str">
        <f t="shared" ca="1" si="1"/>
        <v>"2084261084" : "nếu không thì",</v>
      </c>
    </row>
    <row r="123" spans="1:6" ht="15.75" customHeight="1">
      <c r="A123" s="14">
        <v>2084022802</v>
      </c>
      <c r="B123" s="14" t="s">
        <v>3004</v>
      </c>
      <c r="C123" s="14" t="s">
        <v>3006</v>
      </c>
      <c r="D123" s="5" t="str">
        <f ca="1">IFERROR(__xludf.DUMMYFUNCTION("GOOGLETRANSLATE(B123,""ja"",""vi"")"),"Đối với phần mềm Windows")</f>
        <v>Đối với phần mềm Windows</v>
      </c>
      <c r="E123" s="4" t="str">
        <f ca="1">IFERROR(__xludf.DUMMYFUNCTION("GOOGLETRANSLATE(C123,""ja"",""vi"")"),"Đấu giá&gt; Sở thích, văn hóa&gt; nhạc cụ, thiết bị&gt; DTM, DAW&gt; Phần mềm cho Windows")</f>
        <v>Đấu giá&gt; Sở thích, văn hóa&gt; nhạc cụ, thiết bị&gt; DTM, DAW&gt; Phần mềm cho Windows</v>
      </c>
      <c r="F123" t="str">
        <f t="shared" ca="1" si="1"/>
        <v>"2084022802" : "Đối với phần mềm Windows",</v>
      </c>
    </row>
    <row r="124" spans="1:6" ht="15.75" customHeight="1">
      <c r="A124" s="14">
        <v>2084023577</v>
      </c>
      <c r="B124" s="14" t="s">
        <v>3010</v>
      </c>
      <c r="C124" s="14" t="s">
        <v>3011</v>
      </c>
      <c r="D124" s="5" t="str">
        <f ca="1">IFERROR(__xludf.DUMMYFUNCTION("GOOGLETRANSLATE(B124,""ja"",""vi"")"),"Phần mềm cho phần mềm Mac")</f>
        <v>Phần mềm cho phần mềm Mac</v>
      </c>
      <c r="E124" s="4" t="str">
        <f ca="1">IFERROR(__xludf.DUMMYFUNCTION("GOOGLETRANSLATE(C124,""ja"",""vi"")"),"Đấu giá&gt; Sở thích, văn hóa&gt; nhạc cụ, thiết bị&gt; DTM, DAW&gt; phần mềm cho phần mềm Mac")</f>
        <v>Đấu giá&gt; Sở thích, văn hóa&gt; nhạc cụ, thiết bị&gt; DTM, DAW&gt; phần mềm cho phần mềm Mac</v>
      </c>
      <c r="F124" t="str">
        <f t="shared" ca="1" si="1"/>
        <v>"2084023577" : "Phần mềm cho phần mềm Mac",</v>
      </c>
    </row>
    <row r="125" spans="1:6" ht="15.75" customHeight="1">
      <c r="A125" s="14">
        <v>2084305426</v>
      </c>
      <c r="B125" s="14" t="s">
        <v>2663</v>
      </c>
      <c r="C125" s="14" t="s">
        <v>3015</v>
      </c>
      <c r="D125" s="5" t="str">
        <f ca="1">IFERROR(__xludf.DUMMYFUNCTION("GOOGLETRANSLATE(B125,""ja"",""vi"")"),"MIDI bàn phím, bộ điều khiển")</f>
        <v>MIDI bàn phím, bộ điều khiển</v>
      </c>
      <c r="E125" s="4" t="str">
        <f ca="1">IFERROR(__xludf.DUMMYFUNCTION("GOOGLETRANSLATE(C125,""ja"",""vi"")"),"Đấu giá&gt; Sở thích, văn hóa&gt; nhạc cụ, thiết bị&gt; DTM, DAW&gt; MIDI bàn phím, bộ điều khiển")</f>
        <v>Đấu giá&gt; Sở thích, văn hóa&gt; nhạc cụ, thiết bị&gt; DTM, DAW&gt; MIDI bàn phím, bộ điều khiển</v>
      </c>
      <c r="F125" t="str">
        <f t="shared" ca="1" si="1"/>
        <v>"2084305426" : "MIDI bàn phím, bộ điều khiển",</v>
      </c>
    </row>
    <row r="126" spans="1:6" ht="15.75" customHeight="1">
      <c r="A126" s="14">
        <v>2084305429</v>
      </c>
      <c r="B126" s="14" t="s">
        <v>3020</v>
      </c>
      <c r="C126" s="14" t="s">
        <v>3022</v>
      </c>
      <c r="D126" s="5" t="str">
        <f ca="1">IFERROR(__xludf.DUMMYFUNCTION("GOOGLETRANSLATE(B126,""ja"",""vi"")"),"người làm hàng mẫu")</f>
        <v>người làm hàng mẫu</v>
      </c>
      <c r="E126" s="4" t="str">
        <f ca="1">IFERROR(__xludf.DUMMYFUNCTION("GOOGLETRANSLATE(C126,""ja"",""vi"")"),"Đấu giá&gt; Sở thích, văn hóa&gt; nhạc cụ, thiết bị&gt; DTM, DAW&gt; sampler")</f>
        <v>Đấu giá&gt; Sở thích, văn hóa&gt; nhạc cụ, thiết bị&gt; DTM, DAW&gt; sampler</v>
      </c>
      <c r="F126" t="str">
        <f t="shared" ca="1" si="1"/>
        <v>"2084305429" : "người làm hàng mẫu",</v>
      </c>
    </row>
    <row r="127" spans="1:6" ht="15.75" customHeight="1">
      <c r="A127" s="14">
        <v>2084019007</v>
      </c>
      <c r="B127" s="14" t="s">
        <v>2679</v>
      </c>
      <c r="C127" s="14" t="s">
        <v>3026</v>
      </c>
      <c r="D127" s="5" t="str">
        <f ca="1">IFERROR(__xludf.DUMMYFUNCTION("GOOGLETRANSLATE(B127,""ja"",""vi"")"),"Lấy mẫu CD")</f>
        <v>Lấy mẫu CD</v>
      </c>
      <c r="E127" s="4" t="str">
        <f ca="1">IFERROR(__xludf.DUMMYFUNCTION("GOOGLETRANSLATE(C127,""ja"",""vi"")"),"Đấu giá&gt; Sở thích, văn hóa&gt; nhạc cụ, thiết bị&gt; DTM, DAW&gt; lấy mẫu CD")</f>
        <v>Đấu giá&gt; Sở thích, văn hóa&gt; nhạc cụ, thiết bị&gt; DTM, DAW&gt; lấy mẫu CD</v>
      </c>
      <c r="F127" t="str">
        <f t="shared" ca="1" si="1"/>
        <v>"2084019007" : "Lấy mẫu CD",</v>
      </c>
    </row>
    <row r="128" spans="1:6" ht="15.75" customHeight="1">
      <c r="A128" s="14">
        <v>2084305428</v>
      </c>
      <c r="B128" s="14" t="s">
        <v>2673</v>
      </c>
      <c r="C128" s="14" t="s">
        <v>3030</v>
      </c>
      <c r="D128" s="5" t="str">
        <f ca="1">IFERROR(__xludf.DUMMYFUNCTION("GOOGLETRANSLATE(B128,""ja"",""vi"")"),"giao diện âm thanh")</f>
        <v>giao diện âm thanh</v>
      </c>
      <c r="E128" s="4" t="str">
        <f ca="1">IFERROR(__xludf.DUMMYFUNCTION("GOOGLETRANSLATE(C128,""ja"",""vi"")"),"Đấu giá&gt; Sở thích, văn hóa&gt; nhạc cụ, thiết bị&gt; DTM, DAW&gt; giao diện âm thanh")</f>
        <v>Đấu giá&gt; Sở thích, văn hóa&gt; nhạc cụ, thiết bị&gt; DTM, DAW&gt; giao diện âm thanh</v>
      </c>
      <c r="F128" t="str">
        <f t="shared" ca="1" si="1"/>
        <v>"2084305428" : "giao diện âm thanh",</v>
      </c>
    </row>
    <row r="129" spans="1:6" ht="15.75" customHeight="1">
      <c r="A129" s="14">
        <v>2084019004</v>
      </c>
      <c r="B129" s="14" t="s">
        <v>3033</v>
      </c>
      <c r="C129" s="14" t="s">
        <v>3034</v>
      </c>
      <c r="D129" s="5" t="str">
        <f ca="1">IFERROR(__xludf.DUMMYFUNCTION("GOOGLETRANSLATE(B129,""ja"",""vi"")"),"mô-đun âm thanh")</f>
        <v>mô-đun âm thanh</v>
      </c>
      <c r="E129" s="4" t="str">
        <f ca="1">IFERROR(__xludf.DUMMYFUNCTION("GOOGLETRANSLATE(C129,""ja"",""vi"")"),"Đấu giá&gt; Sở thích, văn hóa&gt; nhạc cụ, thiết bị&gt; DTM, DAW&gt; mô-đun âm thanh")</f>
        <v>Đấu giá&gt; Sở thích, văn hóa&gt; nhạc cụ, thiết bị&gt; DTM, DAW&gt; mô-đun âm thanh</v>
      </c>
      <c r="F129" t="str">
        <f t="shared" ca="1" si="1"/>
        <v>"2084019004" : "mô-đun âm thanh",</v>
      </c>
    </row>
    <row r="130" spans="1:6" ht="15.75" customHeight="1">
      <c r="A130" s="14">
        <v>2084305427</v>
      </c>
      <c r="B130" s="14" t="s">
        <v>3036</v>
      </c>
      <c r="C130" s="14" t="s">
        <v>3038</v>
      </c>
      <c r="D130" s="5" t="str">
        <f ca="1">IFERROR(__xludf.DUMMYFUNCTION("GOOGLETRANSLATE(B130,""ja"",""vi"")"),"thiết bị MIDI cho PC")</f>
        <v>thiết bị MIDI cho PC</v>
      </c>
      <c r="E130" s="4" t="str">
        <f ca="1">IFERROR(__xludf.DUMMYFUNCTION("GOOGLETRANSLATE(C130,""ja"",""vi"")"),"Đấu giá&gt; Sở thích, văn hóa&gt; nhạc cụ, thiết bị&gt; DTM, DAW&gt; thiết bị MIDI cho PC")</f>
        <v>Đấu giá&gt; Sở thích, văn hóa&gt; nhạc cụ, thiết bị&gt; DTM, DAW&gt; thiết bị MIDI cho PC</v>
      </c>
      <c r="F130" t="str">
        <f t="shared" ref="F130:F193" ca="1" si="2">CONCATENATE(CHAR(34)&amp;"",A130,""&amp;CHAR(34)," : ", CHAR(34)&amp;"",D130,""&amp;CHAR(34),",")</f>
        <v>"2084305427" : "thiết bị MIDI cho PC",</v>
      </c>
    </row>
    <row r="131" spans="1:6" ht="15.75" customHeight="1">
      <c r="A131" s="14">
        <v>2084019005</v>
      </c>
      <c r="B131" s="14" t="s">
        <v>3041</v>
      </c>
      <c r="C131" s="14" t="s">
        <v>3042</v>
      </c>
      <c r="D131" s="5" t="str">
        <f ca="1">IFERROR(__xludf.DUMMYFUNCTION("GOOGLETRANSLATE(B131,""ja"",""vi"")"),"máy nhịp")</f>
        <v>máy nhịp</v>
      </c>
      <c r="E131" s="4" t="str">
        <f ca="1">IFERROR(__xludf.DUMMYFUNCTION("GOOGLETRANSLATE(C131,""ja"",""vi"")"),"Đấu giá&gt; Sở thích, văn hóa&gt; nhạc cụ, thiết bị&gt; DTM, DAW&gt; máy nhịp")</f>
        <v>Đấu giá&gt; Sở thích, văn hóa&gt; nhạc cụ, thiết bị&gt; DTM, DAW&gt; máy nhịp</v>
      </c>
      <c r="F131" t="str">
        <f t="shared" ca="1" si="2"/>
        <v>"2084019005" : "máy nhịp",</v>
      </c>
    </row>
    <row r="132" spans="1:6" ht="15.75" customHeight="1">
      <c r="A132" s="14">
        <v>2084019003</v>
      </c>
      <c r="B132" s="14" t="s">
        <v>3044</v>
      </c>
      <c r="C132" s="14" t="s">
        <v>3045</v>
      </c>
      <c r="D132" s="5" t="str">
        <f ca="1">IFERROR(__xludf.DUMMYFUNCTION("GOOGLETRANSLATE(B132,""ja"",""vi"")"),"Bàn phím, tổng hợp")</f>
        <v>Bàn phím, tổng hợp</v>
      </c>
      <c r="E132" s="4" t="str">
        <f ca="1">IFERROR(__xludf.DUMMYFUNCTION("GOOGLETRANSLATE(C132,""ja"",""vi"")"),"Đấu giá&gt; Sở thích, văn hóa&gt; nhạc cụ, thiết bị&gt; DTM, DAW&gt; bàn phím, tổng hợp")</f>
        <v>Đấu giá&gt; Sở thích, văn hóa&gt; nhạc cụ, thiết bị&gt; DTM, DAW&gt; bàn phím, tổng hợp</v>
      </c>
      <c r="F132" t="str">
        <f t="shared" ca="1" si="2"/>
        <v>"2084019003" : "Bàn phím, tổng hợp",</v>
      </c>
    </row>
    <row r="133" spans="1:6" ht="15.75" customHeight="1">
      <c r="A133" s="14">
        <v>2084039706</v>
      </c>
      <c r="B133" s="14" t="s">
        <v>3049</v>
      </c>
      <c r="C133" s="14" t="s">
        <v>3051</v>
      </c>
      <c r="D133" s="5" t="str">
        <f ca="1">IFERROR(__xludf.DUMMYFUNCTION("GOOGLETRANSLATE(B133,""ja"",""vi"")"),"thiết bị ngoại vi máy tính")</f>
        <v>thiết bị ngoại vi máy tính</v>
      </c>
      <c r="E133" s="4" t="str">
        <f ca="1">IFERROR(__xludf.DUMMYFUNCTION("GOOGLETRANSLATE(C133,""ja"",""vi"")"),"Đấu giá&gt; Sở thích, văn hóa&gt; nhạc cụ, thiết bị&gt; DTM, DAW&gt; thiết bị ngoại vi máy tính")</f>
        <v>Đấu giá&gt; Sở thích, văn hóa&gt; nhạc cụ, thiết bị&gt; DTM, DAW&gt; thiết bị ngoại vi máy tính</v>
      </c>
      <c r="F133" t="str">
        <f t="shared" ca="1" si="2"/>
        <v>"2084039706" : "thiết bị ngoại vi máy tính",</v>
      </c>
    </row>
    <row r="134" spans="1:6" ht="15.75" customHeight="1">
      <c r="A134" s="14">
        <v>2084019009</v>
      </c>
      <c r="B134" s="14" t="s">
        <v>46</v>
      </c>
      <c r="C134" s="14" t="s">
        <v>3053</v>
      </c>
      <c r="D134" s="5" t="str">
        <f ca="1">IFERROR(__xludf.DUMMYFUNCTION("GOOGLETRANSLATE(B134,""ja"",""vi"")"),"nếu không thì")</f>
        <v>nếu không thì</v>
      </c>
      <c r="E134" s="4" t="str">
        <f ca="1">IFERROR(__xludf.DUMMYFUNCTION("GOOGLETRANSLATE(C134,""ja"",""vi"")"),"Đấu giá&gt; Sở thích, văn hóa&gt; nhạc cụ, thiết bị&gt; DTM, DAW&gt; Khác")</f>
        <v>Đấu giá&gt; Sở thích, văn hóa&gt; nhạc cụ, thiết bị&gt; DTM, DAW&gt; Khác</v>
      </c>
      <c r="F134" t="str">
        <f t="shared" ca="1" si="2"/>
        <v>"2084019009" : "nếu không thì",</v>
      </c>
    </row>
    <row r="135" spans="1:6" ht="15.75" customHeight="1">
      <c r="A135" s="14">
        <v>2084018998</v>
      </c>
      <c r="B135" s="14" t="s">
        <v>5103</v>
      </c>
      <c r="C135" s="14" t="s">
        <v>5104</v>
      </c>
      <c r="D135" s="5" t="str">
        <f ca="1">IFERROR(__xludf.DUMMYFUNCTION("GOOGLETRANSLATE(B135,""ja"",""vi"")"),"Guitar khuếch đại")</f>
        <v>Guitar khuếch đại</v>
      </c>
      <c r="E135" s="4" t="str">
        <f ca="1">IFERROR(__xludf.DUMMYFUNCTION("GOOGLETRANSLATE(C135,""ja"",""vi"")"),"Đấu giá&gt; Sở thích, văn hóa&gt; Nhạc cụ và thiết bị&gt; Bộ khuếch đại&gt; Guitar khuếch đại")</f>
        <v>Đấu giá&gt; Sở thích, văn hóa&gt; Nhạc cụ và thiết bị&gt; Bộ khuếch đại&gt; Guitar khuếch đại</v>
      </c>
      <c r="F135" t="str">
        <f t="shared" ca="1" si="2"/>
        <v>"2084018998" : "Guitar khuếch đại",</v>
      </c>
    </row>
    <row r="136" spans="1:6" ht="15.75" customHeight="1">
      <c r="A136" s="14">
        <v>2084019000</v>
      </c>
      <c r="B136" s="14" t="s">
        <v>4596</v>
      </c>
      <c r="C136" s="14" t="s">
        <v>5108</v>
      </c>
      <c r="D136" s="5" t="str">
        <f ca="1">IFERROR(__xludf.DUMMYFUNCTION("GOOGLETRANSLATE(B136,""ja"",""vi"")"),"Bass amp")</f>
        <v>Bass amp</v>
      </c>
      <c r="E136" s="4" t="str">
        <f ca="1">IFERROR(__xludf.DUMMYFUNCTION("GOOGLETRANSLATE(C136,""ja"",""vi"")"),"Đấu giá&gt; Sở thích, văn hóa&gt; công cụ và thiết bị âm nhạc&gt; Bộ khuếch đại&gt; Bass amp")</f>
        <v>Đấu giá&gt; Sở thích, văn hóa&gt; công cụ và thiết bị âm nhạc&gt; Bộ khuếch đại&gt; Bass amp</v>
      </c>
      <c r="F136" t="str">
        <f t="shared" ca="1" si="2"/>
        <v>"2084019000" : "Bass amp",</v>
      </c>
    </row>
    <row r="137" spans="1:6" ht="15.75" customHeight="1">
      <c r="A137" s="14">
        <v>2084019002</v>
      </c>
      <c r="B137" s="14" t="s">
        <v>46</v>
      </c>
      <c r="C137" s="14" t="s">
        <v>5113</v>
      </c>
      <c r="D137" s="5" t="str">
        <f ca="1">IFERROR(__xludf.DUMMYFUNCTION("GOOGLETRANSLATE(B137,""ja"",""vi"")"),"nếu không thì")</f>
        <v>nếu không thì</v>
      </c>
      <c r="E137" s="4" t="str">
        <f ca="1">IFERROR(__xludf.DUMMYFUNCTION("GOOGLETRANSLATE(C137,""ja"",""vi"")"),"Đấu giá&gt; Sở thích, văn hóa&gt; Nhạc cụ và thiết bị&gt; Bộ khuếch đại&gt; Khác")</f>
        <v>Đấu giá&gt; Sở thích, văn hóa&gt; Nhạc cụ và thiết bị&gt; Bộ khuếch đại&gt; Khác</v>
      </c>
      <c r="F137" t="str">
        <f t="shared" ca="1" si="2"/>
        <v>"2084019002" : "nếu không thì",</v>
      </c>
    </row>
    <row r="138" spans="1:6" ht="15.75" customHeight="1">
      <c r="A138" s="14">
        <v>2084024193</v>
      </c>
      <c r="B138" s="14" t="s">
        <v>5118</v>
      </c>
      <c r="C138" s="14" t="s">
        <v>5120</v>
      </c>
      <c r="D138" s="5" t="str">
        <f ca="1">IFERROR(__xludf.DUMMYFUNCTION("GOOGLETRANSLATE(B138,""ja"",""vi"")"),"Taiko")</f>
        <v>Taiko</v>
      </c>
      <c r="E138" s="4" t="str">
        <f ca="1">IFERROR(__xludf.DUMMYFUNCTION("GOOGLETRANSLATE(C138,""ja"",""vi"")"),"Đấu giá&gt; Đồ chơi, trò chơi&gt; Nhạc Đồ chơi&gt; taiko")</f>
        <v>Đấu giá&gt; Đồ chơi, trò chơi&gt; Nhạc Đồ chơi&gt; taiko</v>
      </c>
      <c r="F138" t="str">
        <f t="shared" ca="1" si="2"/>
        <v>"2084024193" : "Taiko",</v>
      </c>
    </row>
    <row r="139" spans="1:6" ht="15.75" customHeight="1">
      <c r="A139" s="14">
        <v>2084024192</v>
      </c>
      <c r="B139" s="14" t="s">
        <v>4812</v>
      </c>
      <c r="C139" s="14" t="s">
        <v>5124</v>
      </c>
      <c r="D139" s="5" t="str">
        <f ca="1">IFERROR(__xludf.DUMMYFUNCTION("GOOGLETRANSLATE(B139,""ja"",""vi"")"),"dương cầm")</f>
        <v>dương cầm</v>
      </c>
      <c r="E139" s="4" t="str">
        <f ca="1">IFERROR(__xludf.DUMMYFUNCTION("GOOGLETRANSLATE(C139,""ja"",""vi"")"),"Đấu giá&gt; Đồ chơi, trò chơi&gt; Đồ chơi âm nhạc&gt; đàn piano")</f>
        <v>Đấu giá&gt; Đồ chơi, trò chơi&gt; Đồ chơi âm nhạc&gt; đàn piano</v>
      </c>
      <c r="F139" t="str">
        <f t="shared" ca="1" si="2"/>
        <v>"2084024192" : "dương cầm",</v>
      </c>
    </row>
    <row r="140" spans="1:6" ht="15.75" customHeight="1">
      <c r="A140" s="14">
        <v>2084024194</v>
      </c>
      <c r="B140" s="14" t="s">
        <v>5126</v>
      </c>
      <c r="C140" s="14" t="s">
        <v>5128</v>
      </c>
      <c r="D140" s="5" t="str">
        <f ca="1">IFERROR(__xludf.DUMMYFUNCTION("GOOGLETRANSLATE(B140,""ja"",""vi"")"),"Sáo, kèn")</f>
        <v>Sáo, kèn</v>
      </c>
      <c r="E140" s="4" t="str">
        <f ca="1">IFERROR(__xludf.DUMMYFUNCTION("GOOGLETRANSLATE(C140,""ja"",""vi"")"),"Đấu giá&gt; Đồ chơi, trò chơi&gt; Đồ chơi âm nhạc&gt; sáo, kèn")</f>
        <v>Đấu giá&gt; Đồ chơi, trò chơi&gt; Đồ chơi âm nhạc&gt; sáo, kèn</v>
      </c>
      <c r="F140" t="str">
        <f t="shared" ca="1" si="2"/>
        <v>"2084024194" : "Sáo, kèn",</v>
      </c>
    </row>
    <row r="141" spans="1:6" ht="15.75" customHeight="1">
      <c r="A141" s="14">
        <v>22436</v>
      </c>
      <c r="B141" s="14" t="s">
        <v>5129</v>
      </c>
      <c r="C141" s="14" t="s">
        <v>5130</v>
      </c>
      <c r="D141" s="5" t="str">
        <f ca="1">IFERROR(__xludf.DUMMYFUNCTION("GOOGLETRANSLATE(B141,""ja"",""vi"")"),"công cụ và thiết bị âm nhạc")</f>
        <v>công cụ và thiết bị âm nhạc</v>
      </c>
      <c r="E141" s="4" t="str">
        <f ca="1">IFERROR(__xludf.DUMMYFUNCTION("GOOGLETRANSLATE(C141,""ja"",""vi"")"),"Đấu giá&gt; Đồ chơi, trò chơi&gt; Đồ chơi âm nhạc&gt; nhạc cụ và thiết bị âm nhạc")</f>
        <v>Đấu giá&gt; Đồ chơi, trò chơi&gt; Đồ chơi âm nhạc&gt; nhạc cụ và thiết bị âm nhạc</v>
      </c>
      <c r="F141" t="str">
        <f t="shared" ca="1" si="2"/>
        <v>"22436" : "công cụ và thiết bị âm nhạc",</v>
      </c>
    </row>
    <row r="142" spans="1:6" ht="15.75" customHeight="1">
      <c r="A142" s="14">
        <v>2084024195</v>
      </c>
      <c r="B142" s="14" t="s">
        <v>46</v>
      </c>
      <c r="C142" s="14" t="s">
        <v>5131</v>
      </c>
      <c r="D142" s="5" t="str">
        <f ca="1">IFERROR(__xludf.DUMMYFUNCTION("GOOGLETRANSLATE(B142,""ja"",""vi"")"),"nếu không thì")</f>
        <v>nếu không thì</v>
      </c>
      <c r="E142" s="4" t="str">
        <f ca="1">IFERROR(__xludf.DUMMYFUNCTION("GOOGLETRANSLATE(C142,""ja"",""vi"")"),"Đấu giá&gt; Đồ chơi, trò chơi&gt; Nhạc Đồ chơi&gt; Khác")</f>
        <v>Đấu giá&gt; Đồ chơi, trò chơi&gt; Nhạc Đồ chơi&gt; Khác</v>
      </c>
      <c r="F142" t="str">
        <f t="shared" ca="1" si="2"/>
        <v>"2084024195" : "nếu không thì",</v>
      </c>
    </row>
    <row r="143" spans="1:6" ht="15.75" customHeight="1">
      <c r="A143" s="14">
        <v>2084009087</v>
      </c>
      <c r="B143" s="14" t="s">
        <v>1162</v>
      </c>
      <c r="C143" s="14" t="s">
        <v>5134</v>
      </c>
      <c r="D143" s="5" t="str">
        <f ca="1">IFERROR(__xludf.DUMMYFUNCTION("GOOGLETRANSLATE(B143,""ja"",""vi"")"),"cổ điển")</f>
        <v>cổ điển</v>
      </c>
      <c r="E143" s="4" t="str">
        <f ca="1">IFERROR(__xludf.DUMMYFUNCTION("GOOGLETRANSLATE(C143,""ja"",""vi"")"),"Đấu giá&gt; cuốn sách, tạp chí&gt; nghệ thuật, vui chơi giải trí&gt; âm nhạc, điểm số âm nhạc&gt; điểm âm nhạc&gt; Cổ điển")</f>
        <v>Đấu giá&gt; cuốn sách, tạp chí&gt; nghệ thuật, vui chơi giải trí&gt; âm nhạc, điểm số âm nhạc&gt; điểm âm nhạc&gt; Cổ điển</v>
      </c>
      <c r="F143" t="str">
        <f t="shared" ca="1" si="2"/>
        <v>"2084009087" : "cổ điển",</v>
      </c>
    </row>
    <row r="144" spans="1:6" ht="15.75" customHeight="1">
      <c r="A144" s="14">
        <v>2084009095</v>
      </c>
      <c r="B144" s="14" t="s">
        <v>5137</v>
      </c>
      <c r="C144" s="14" t="s">
        <v>5138</v>
      </c>
      <c r="D144" s="5" t="str">
        <f ca="1">IFERROR(__xludf.DUMMYFUNCTION("GOOGLETRANSLATE(B144,""ja"",""vi"")"),"phổ biến")</f>
        <v>phổ biến</v>
      </c>
      <c r="E144" s="4" t="str">
        <f ca="1">IFERROR(__xludf.DUMMYFUNCTION("GOOGLETRANSLATE(C144,""ja"",""vi"")"),"Đấu giá&gt; cuốn sách, tạp chí&gt; nghệ thuật, vui chơi giải trí&gt; âm nhạc, điểm số âm nhạc&gt; điểm âm nhạc&gt; phổ biến")</f>
        <v>Đấu giá&gt; cuốn sách, tạp chí&gt; nghệ thuật, vui chơi giải trí&gt; âm nhạc, điểm số âm nhạc&gt; điểm âm nhạc&gt; phổ biến</v>
      </c>
      <c r="F144" t="str">
        <f t="shared" ca="1" si="2"/>
        <v>"2084009095" : "phổ biến",</v>
      </c>
    </row>
    <row r="145" spans="1:6" ht="15.75" customHeight="1">
      <c r="A145" s="14">
        <v>2084009103</v>
      </c>
      <c r="B145" s="14" t="s">
        <v>5140</v>
      </c>
      <c r="C145" s="14" t="s">
        <v>5142</v>
      </c>
      <c r="D145" s="5" t="str">
        <f ca="1">IFERROR(__xludf.DUMMYFUNCTION("GOOGLETRANSLATE(B145,""ja"",""vi"")"),"vần điệu trẻ, bài hát thiếu nhi")</f>
        <v>vần điệu trẻ, bài hát thiếu nhi</v>
      </c>
      <c r="E145" s="4" t="str">
        <f ca="1">IFERROR(__xludf.DUMMYFUNCTION("GOOGLETRANSLATE(C145,""ja"",""vi"")"),"Đấu giá&gt; cuốn sách, tạp chí&gt; nghệ thuật, vui chơi giải trí&gt; âm nhạc, điểm số âm nhạc&gt; điểm âm nhạc&gt; vườn ươm vần điệu, bài hát thiếu nhi")</f>
        <v>Đấu giá&gt; cuốn sách, tạp chí&gt; nghệ thuật, vui chơi giải trí&gt; âm nhạc, điểm số âm nhạc&gt; điểm âm nhạc&gt; vườn ươm vần điệu, bài hát thiếu nhi</v>
      </c>
      <c r="F145" t="str">
        <f t="shared" ca="1" si="2"/>
        <v>"2084009103" : "vần điệu trẻ, bài hát thiếu nhi",</v>
      </c>
    </row>
    <row r="146" spans="1:6" ht="15.75" customHeight="1">
      <c r="A146" s="14">
        <v>2084048449</v>
      </c>
      <c r="B146" s="14" t="s">
        <v>46</v>
      </c>
      <c r="C146" s="14" t="s">
        <v>5145</v>
      </c>
      <c r="D146" s="5" t="str">
        <f ca="1">IFERROR(__xludf.DUMMYFUNCTION("GOOGLETRANSLATE(B146,""ja"",""vi"")"),"nếu không thì")</f>
        <v>nếu không thì</v>
      </c>
      <c r="E146" s="4" t="str">
        <f ca="1">IFERROR(__xludf.DUMMYFUNCTION("GOOGLETRANSLATE(C146,""ja"",""vi"")"),"Đấu giá&gt; cuốn sách, tạp chí&gt; nghệ thuật, vui chơi giải trí&gt; âm nhạc, điểm số âm nhạc&gt; điểm âm nhạc&gt; Khác")</f>
        <v>Đấu giá&gt; cuốn sách, tạp chí&gt; nghệ thuật, vui chơi giải trí&gt; âm nhạc, điểm số âm nhạc&gt; điểm âm nhạc&gt; Khác</v>
      </c>
      <c r="F146" t="str">
        <f t="shared" ca="1" si="2"/>
        <v>"2084048449" : "nếu không thì",</v>
      </c>
    </row>
    <row r="147" spans="1:6" ht="15.75" customHeight="1">
      <c r="A147" s="14">
        <v>2084006130</v>
      </c>
      <c r="B147" s="14" t="s">
        <v>6698</v>
      </c>
      <c r="C147" s="14" t="s">
        <v>6700</v>
      </c>
      <c r="D147" s="5" t="str">
        <f ca="1">IFERROR(__xludf.DUMMYFUNCTION("GOOGLETRANSLATE(B147,""ja"",""vi"")"),"Chùm ảnh, hình ảnh cắt")</f>
        <v>Chùm ảnh, hình ảnh cắt</v>
      </c>
      <c r="E147" s="4" t="str">
        <f ca="1">IFERROR(__xludf.DUMMYFUNCTION("GOOGLETRANSLATE(C147,""ja"",""vi"")"),"Đấu giá&gt; Sở thích, văn hóa&gt; tác phẩm nghệ thuật&gt; Tranh&gt; chùm ảnh, hình ảnh cắt")</f>
        <v>Đấu giá&gt; Sở thích, văn hóa&gt; tác phẩm nghệ thuật&gt; Tranh&gt; chùm ảnh, hình ảnh cắt</v>
      </c>
      <c r="F147" t="str">
        <f t="shared" ca="1" si="2"/>
        <v>"2084006130" : "Chùm ảnh, hình ảnh cắt",</v>
      </c>
    </row>
    <row r="148" spans="1:6" ht="15.75" customHeight="1">
      <c r="A148" s="14">
        <v>2084006127</v>
      </c>
      <c r="B148" s="14" t="s">
        <v>6702</v>
      </c>
      <c r="C148" s="14" t="s">
        <v>6704</v>
      </c>
      <c r="D148" s="5" t="str">
        <f ca="1">IFERROR(__xludf.DUMMYFUNCTION("GOOGLETRANSLATE(B148,""ja"",""vi"")"),"Acrylic, bột màu")</f>
        <v>Acrylic, bột màu</v>
      </c>
      <c r="E148" s="4" t="str">
        <f ca="1">IFERROR(__xludf.DUMMYFUNCTION("GOOGLETRANSLATE(C148,""ja"",""vi"")"),"Đấu giá&gt; Sở thích, văn hóa&gt; tác phẩm nghệ thuật&gt; Tranh&gt; acrylic, bột màu")</f>
        <v>Đấu giá&gt; Sở thích, văn hóa&gt; tác phẩm nghệ thuật&gt; Tranh&gt; acrylic, bột màu</v>
      </c>
      <c r="F148" t="str">
        <f t="shared" ca="1" si="2"/>
        <v>"2084006127" : "Acrylic, bột màu",</v>
      </c>
    </row>
    <row r="149" spans="1:6" ht="15.75" customHeight="1">
      <c r="A149" s="14">
        <v>2084006129</v>
      </c>
      <c r="B149" s="14" t="s">
        <v>6707</v>
      </c>
      <c r="C149" s="14" t="s">
        <v>6708</v>
      </c>
      <c r="D149" s="5" t="str">
        <f ca="1">IFERROR(__xludf.DUMMYFUNCTION("GOOGLETRANSLATE(B149,""ja"",""vi"")"),"đồ họa")</f>
        <v>đồ họa</v>
      </c>
      <c r="E149" s="4" t="str">
        <f ca="1">IFERROR(__xludf.DUMMYFUNCTION("GOOGLETRANSLATE(C149,""ja"",""vi"")"),"Đấu giá&gt; Sở thích, văn hóa&gt; tác phẩm nghệ thuật&gt; Tranh&gt; đồ họa")</f>
        <v>Đấu giá&gt; Sở thích, văn hóa&gt; tác phẩm nghệ thuật&gt; Tranh&gt; đồ họa</v>
      </c>
      <c r="F149" t="str">
        <f t="shared" ca="1" si="2"/>
        <v>"2084006129" : "đồ họa",</v>
      </c>
    </row>
    <row r="150" spans="1:6" ht="15.75" customHeight="1">
      <c r="A150" s="14">
        <v>2084006128</v>
      </c>
      <c r="B150" s="14" t="s">
        <v>6710</v>
      </c>
      <c r="C150" s="14" t="s">
        <v>6712</v>
      </c>
      <c r="D150" s="5" t="str">
        <f ca="1">IFERROR(__xludf.DUMMYFUNCTION("GOOGLETRANSLATE(B150,""ja"",""vi"")"),"Pastel, hình ảnh crayon")</f>
        <v>Pastel, hình ảnh crayon</v>
      </c>
      <c r="E150" s="4" t="str">
        <f ca="1">IFERROR(__xludf.DUMMYFUNCTION("GOOGLETRANSLATE(C150,""ja"",""vi"")"),"Đấu giá&gt; Sở thích, văn hóa&gt; tác phẩm nghệ thuật&gt; Tranh&gt; pastel, hình ảnh crayon")</f>
        <v>Đấu giá&gt; Sở thích, văn hóa&gt; tác phẩm nghệ thuật&gt; Tranh&gt; pastel, hình ảnh crayon</v>
      </c>
      <c r="F150" t="str">
        <f t="shared" ca="1" si="2"/>
        <v>"2084006128" : "Pastel, hình ảnh crayon",</v>
      </c>
    </row>
    <row r="151" spans="1:6" ht="15.75" customHeight="1">
      <c r="A151" s="14">
        <v>20076</v>
      </c>
      <c r="B151" s="14" t="s">
        <v>6714</v>
      </c>
      <c r="C151" s="14" t="s">
        <v>6715</v>
      </c>
      <c r="D151" s="5" t="str">
        <f ca="1">IFERROR(__xludf.DUMMYFUNCTION("GOOGLETRANSLATE(B151,""ja"",""vi"")"),"Vẽ bằng bút chì, than")</f>
        <v>Vẽ bằng bút chì, than</v>
      </c>
      <c r="E151" s="4" t="str">
        <f ca="1">IFERROR(__xludf.DUMMYFUNCTION("GOOGLETRANSLATE(C151,""ja"",""vi"")"),"Đấu giá&gt; Sở thích, văn hóa&gt; tác phẩm nghệ thuật&gt; Tranh&gt; bút chì vẽ, than")</f>
        <v>Đấu giá&gt; Sở thích, văn hóa&gt; tác phẩm nghệ thuật&gt; Tranh&gt; bút chì vẽ, than</v>
      </c>
      <c r="F151" t="str">
        <f t="shared" ca="1" si="2"/>
        <v>"20076" : "Vẽ bằng bút chì, than",</v>
      </c>
    </row>
    <row r="152" spans="1:6" ht="15.75" customHeight="1">
      <c r="A152" s="14">
        <v>2084006131</v>
      </c>
      <c r="B152" s="14" t="s">
        <v>6717</v>
      </c>
      <c r="C152" s="14" t="s">
        <v>6718</v>
      </c>
      <c r="D152" s="5" t="str">
        <f ca="1">IFERROR(__xludf.DUMMYFUNCTION("GOOGLETRANSLATE(B152,""ja"",""vi"")"),"Hình ảnh được vẽ bởi con")</f>
        <v>Hình ảnh được vẽ bởi con</v>
      </c>
      <c r="E152" s="4" t="str">
        <f ca="1">IFERROR(__xludf.DUMMYFUNCTION("GOOGLETRANSLATE(C152,""ja"",""vi"")"),"Đấu giá&gt; Sở thích, văn hóa&gt; tác phẩm nghệ thuật&gt; Tranh&gt; Vẽ cho trẻ em")</f>
        <v>Đấu giá&gt; Sở thích, văn hóa&gt; tác phẩm nghệ thuật&gt; Tranh&gt; Vẽ cho trẻ em</v>
      </c>
      <c r="F152" t="str">
        <f t="shared" ca="1" si="2"/>
        <v>"2084006131" : "Hình ảnh được vẽ bởi con",</v>
      </c>
    </row>
    <row r="153" spans="1:6" ht="15.75" customHeight="1">
      <c r="A153" s="14">
        <v>2084007420</v>
      </c>
      <c r="B153" s="14" t="s">
        <v>6720</v>
      </c>
      <c r="C153" s="14" t="s">
        <v>6721</v>
      </c>
      <c r="D153" s="5" t="str">
        <f ca="1">IFERROR(__xludf.DUMMYFUNCTION("GOOGLETRANSLATE(B153,""ja"",""vi"")"),"bức tranh chân dung")</f>
        <v>bức tranh chân dung</v>
      </c>
      <c r="E153" s="4" t="str">
        <f ca="1">IFERROR(__xludf.DUMMYFUNCTION("GOOGLETRANSLATE(C153,""ja"",""vi"")"),"Đấu giá&gt; Sở thích, văn hóa&gt; tác phẩm nghệ thuật&gt; Tranh&gt; chân dung")</f>
        <v>Đấu giá&gt; Sở thích, văn hóa&gt; tác phẩm nghệ thuật&gt; Tranh&gt; chân dung</v>
      </c>
      <c r="F153" t="str">
        <f t="shared" ca="1" si="2"/>
        <v>"2084007420" : "bức tranh chân dung",</v>
      </c>
    </row>
    <row r="154" spans="1:6" ht="15.75" customHeight="1">
      <c r="A154" s="14">
        <v>2084006126</v>
      </c>
      <c r="B154" s="14" t="s">
        <v>6723</v>
      </c>
      <c r="C154" s="14" t="s">
        <v>6724</v>
      </c>
      <c r="D154" s="5" t="str">
        <f ca="1">IFERROR(__xludf.DUMMYFUNCTION("GOOGLETRANSLATE(B154,""ja"",""vi"")"),"màu nước")</f>
        <v>màu nước</v>
      </c>
      <c r="E154" s="4" t="str">
        <f ca="1">IFERROR(__xludf.DUMMYFUNCTION("GOOGLETRANSLATE(C154,""ja"",""vi"")"),"Đấu giá&gt; Sở thích, văn hóa&gt; tác phẩm nghệ thuật&gt; Tranh&gt; Watercolor")</f>
        <v>Đấu giá&gt; Sở thích, văn hóa&gt; tác phẩm nghệ thuật&gt; Tranh&gt; Watercolor</v>
      </c>
      <c r="F154" t="str">
        <f t="shared" ca="1" si="2"/>
        <v>"2084006126" : "màu nước",</v>
      </c>
    </row>
    <row r="155" spans="1:6" ht="15.75" customHeight="1">
      <c r="A155" s="14">
        <v>2084006132</v>
      </c>
      <c r="B155" s="14" t="s">
        <v>6726</v>
      </c>
      <c r="C155" s="14" t="s">
        <v>6727</v>
      </c>
      <c r="D155" s="5" t="str">
        <f ca="1">IFERROR(__xludf.DUMMYFUNCTION("GOOGLETRANSLATE(B155,""ja"",""vi"")"),"sơn mực Ấn Độ")</f>
        <v>sơn mực Ấn Độ</v>
      </c>
      <c r="E155" s="4" t="str">
        <f ca="1">IFERROR(__xludf.DUMMYFUNCTION("GOOGLETRANSLATE(C155,""ja"",""vi"")"),"Đấu giá&gt; Sở thích, văn hóa&gt; tác phẩm nghệ thuật&gt; Tranh&gt; sơn mực")</f>
        <v>Đấu giá&gt; Sở thích, văn hóa&gt; tác phẩm nghệ thuật&gt; Tranh&gt; sơn mực</v>
      </c>
      <c r="F155" t="str">
        <f t="shared" ca="1" si="2"/>
        <v>"2084006132" : "sơn mực Ấn Độ",</v>
      </c>
    </row>
    <row r="156" spans="1:6" ht="15.75" customHeight="1">
      <c r="A156" s="14">
        <v>2084006133</v>
      </c>
      <c r="B156" s="14" t="s">
        <v>6728</v>
      </c>
      <c r="C156" s="14" t="s">
        <v>6730</v>
      </c>
      <c r="D156" s="5" t="str">
        <f ca="1">IFERROR(__xludf.DUMMYFUNCTION("GOOGLETRANSLATE(B156,""ja"",""vi"")"),"tranh Nhật Bản")</f>
        <v>tranh Nhật Bản</v>
      </c>
      <c r="E156" s="4" t="str">
        <f ca="1">IFERROR(__xludf.DUMMYFUNCTION("GOOGLETRANSLATE(C156,""ja"",""vi"")"),"Đấu giá&gt; Sở thích, văn hóa&gt; tác phẩm nghệ thuật&gt; Tranh&gt; sơn Nhật Bản")</f>
        <v>Đấu giá&gt; Sở thích, văn hóa&gt; tác phẩm nghệ thuật&gt; Tranh&gt; sơn Nhật Bản</v>
      </c>
      <c r="F156" t="str">
        <f t="shared" ca="1" si="2"/>
        <v>"2084006133" : "tranh Nhật Bản",</v>
      </c>
    </row>
    <row r="157" spans="1:6" ht="15.75" customHeight="1">
      <c r="A157" s="14">
        <v>2084049279</v>
      </c>
      <c r="B157" s="14" t="s">
        <v>6731</v>
      </c>
      <c r="C157" s="14" t="s">
        <v>6732</v>
      </c>
      <c r="D157" s="5" t="str">
        <f ca="1">IFERROR(__xludf.DUMMYFUNCTION("GOOGLETRANSLATE(B157,""ja"",""vi"")"),"Ukiyo-e, bản in")</f>
        <v>Ukiyo-e, bản in</v>
      </c>
      <c r="E157" s="4" t="str">
        <f ca="1">IFERROR(__xludf.DUMMYFUNCTION("GOOGLETRANSLATE(C157,""ja"",""vi"")"),"Đấu giá&gt; Sở thích, văn hóa&gt; tác phẩm nghệ thuật&gt; Tranh&gt; ukiyo-e, bản in")</f>
        <v>Đấu giá&gt; Sở thích, văn hóa&gt; tác phẩm nghệ thuật&gt; Tranh&gt; ukiyo-e, bản in</v>
      </c>
      <c r="F157" t="str">
        <f t="shared" ca="1" si="2"/>
        <v>"2084049279" : "Ukiyo-e, bản in",</v>
      </c>
    </row>
    <row r="158" spans="1:6" ht="15.75" customHeight="1">
      <c r="A158" s="14">
        <v>2084006125</v>
      </c>
      <c r="B158" s="14" t="s">
        <v>6734</v>
      </c>
      <c r="C158" s="14" t="s">
        <v>6735</v>
      </c>
      <c r="D158" s="5" t="str">
        <f ca="1">IFERROR(__xludf.DUMMYFUNCTION("GOOGLETRANSLATE(B158,""ja"",""vi"")"),"dầu")</f>
        <v>dầu</v>
      </c>
      <c r="E158" s="4" t="str">
        <f ca="1">IFERROR(__xludf.DUMMYFUNCTION("GOOGLETRANSLATE(C158,""ja"",""vi"")"),"Đấu giá&gt; Sở thích, văn hóa&gt; tác phẩm nghệ thuật&gt; Tranh&gt; Dầu")</f>
        <v>Đấu giá&gt; Sở thích, văn hóa&gt; tác phẩm nghệ thuật&gt; Tranh&gt; Dầu</v>
      </c>
      <c r="F158" t="str">
        <f t="shared" ca="1" si="2"/>
        <v>"2084006125" : "dầu",</v>
      </c>
    </row>
    <row r="159" spans="1:6" ht="15.75" customHeight="1">
      <c r="A159" s="14">
        <v>2084006120</v>
      </c>
      <c r="B159" s="14" t="s">
        <v>46</v>
      </c>
      <c r="C159" s="14" t="s">
        <v>6737</v>
      </c>
      <c r="D159" s="5" t="str">
        <f ca="1">IFERROR(__xludf.DUMMYFUNCTION("GOOGLETRANSLATE(B159,""ja"",""vi"")"),"nếu không thì")</f>
        <v>nếu không thì</v>
      </c>
      <c r="E159" s="4" t="str">
        <f ca="1">IFERROR(__xludf.DUMMYFUNCTION("GOOGLETRANSLATE(C159,""ja"",""vi"")"),"Đấu giá&gt; Sở thích, văn hóa&gt; tác phẩm nghệ thuật&gt; Tranh&gt; Khác")</f>
        <v>Đấu giá&gt; Sở thích, văn hóa&gt; tác phẩm nghệ thuật&gt; Tranh&gt; Khác</v>
      </c>
      <c r="F159" t="str">
        <f t="shared" ca="1" si="2"/>
        <v>"2084006120" : "nếu không thì",</v>
      </c>
    </row>
    <row r="160" spans="1:6" ht="15.75" customHeight="1">
      <c r="A160" s="14">
        <v>2084006150</v>
      </c>
      <c r="B160" s="14" t="s">
        <v>6739</v>
      </c>
      <c r="C160" s="14" t="s">
        <v>6740</v>
      </c>
      <c r="D160" s="5" t="str">
        <f ca="1">IFERROR(__xludf.DUMMYFUNCTION("GOOGLETRANSLATE(B160,""ja"",""vi"")"),"màn hình lụa")</f>
        <v>màn hình lụa</v>
      </c>
      <c r="E160" s="4" t="str">
        <f ca="1">IFERROR(__xludf.DUMMYFUNCTION("GOOGLETRANSLATE(C160,""ja"",""vi"")"),"Đấu giá&gt; Sở thích, văn hóa&gt; tác phẩm nghệ thuật&gt; In&gt; màn hình lụa")</f>
        <v>Đấu giá&gt; Sở thích, văn hóa&gt; tác phẩm nghệ thuật&gt; In&gt; màn hình lụa</v>
      </c>
      <c r="F160" t="str">
        <f t="shared" ca="1" si="2"/>
        <v>"2084006150" : "màn hình lụa",</v>
      </c>
    </row>
    <row r="161" spans="1:6" ht="15.75" customHeight="1">
      <c r="A161" s="14">
        <v>2084006151</v>
      </c>
      <c r="B161" s="14" t="s">
        <v>6742</v>
      </c>
      <c r="C161" s="14" t="s">
        <v>6743</v>
      </c>
      <c r="D161" s="5" t="str">
        <f ca="1">IFERROR(__xludf.DUMMYFUNCTION("GOOGLETRANSLATE(B161,""ja"",""vi"")"),"khắc đá, in thạch bản")</f>
        <v>khắc đá, in thạch bản</v>
      </c>
      <c r="E161" s="4" t="str">
        <f ca="1">IFERROR(__xludf.DUMMYFUNCTION("GOOGLETRANSLATE(C161,""ja"",""vi"")"),"Đấu giá&gt; Sở thích, văn hóa&gt; tác phẩm nghệ thuật&gt; In&gt; khắc đá, in thạch bản")</f>
        <v>Đấu giá&gt; Sở thích, văn hóa&gt; tác phẩm nghệ thuật&gt; In&gt; khắc đá, in thạch bản</v>
      </c>
      <c r="F161" t="str">
        <f t="shared" ca="1" si="2"/>
        <v>"2084006151" : "khắc đá, in thạch bản",</v>
      </c>
    </row>
    <row r="162" spans="1:6" ht="15.75" customHeight="1">
      <c r="A162" s="14">
        <v>2084006152</v>
      </c>
      <c r="B162" s="14" t="s">
        <v>6744</v>
      </c>
      <c r="C162" s="14" t="s">
        <v>6746</v>
      </c>
      <c r="D162" s="5" t="str">
        <f ca="1">IFERROR(__xludf.DUMMYFUNCTION("GOOGLETRANSLATE(B162,""ja"",""vi"")"),"khắc bản đồng, khắc")</f>
        <v>khắc bản đồng, khắc</v>
      </c>
      <c r="E162" s="4" t="str">
        <f ca="1">IFERROR(__xludf.DUMMYFUNCTION("GOOGLETRANSLATE(C162,""ja"",""vi"")"),"Đấu giá&gt; Sở thích, văn hóa&gt; tác phẩm nghệ thuật&gt; in&gt; bản đồng khắc, khắc")</f>
        <v>Đấu giá&gt; Sở thích, văn hóa&gt; tác phẩm nghệ thuật&gt; in&gt; bản đồng khắc, khắc</v>
      </c>
      <c r="F162" t="str">
        <f t="shared" ca="1" si="2"/>
        <v>"2084006152" : "khắc bản đồng, khắc",</v>
      </c>
    </row>
    <row r="163" spans="1:6" ht="15.75" customHeight="1">
      <c r="A163" s="14">
        <v>2084006153</v>
      </c>
      <c r="B163" s="14" t="s">
        <v>6747</v>
      </c>
      <c r="C163" s="14" t="s">
        <v>6748</v>
      </c>
      <c r="D163" s="5" t="str">
        <f ca="1">IFERROR(__xludf.DUMMYFUNCTION("GOOGLETRANSLATE(B163,""ja"",""vi"")"),"khắc gỗ in")</f>
        <v>khắc gỗ in</v>
      </c>
      <c r="E163" s="4" t="str">
        <f ca="1">IFERROR(__xludf.DUMMYFUNCTION("GOOGLETRANSLATE(C163,""ja"",""vi"")"),"Đấu giá&gt; Sở thích, văn hóa&gt; tác phẩm nghệ thuật&gt; In&gt; khắc gỗ")</f>
        <v>Đấu giá&gt; Sở thích, văn hóa&gt; tác phẩm nghệ thuật&gt; In&gt; khắc gỗ</v>
      </c>
      <c r="F163" t="str">
        <f t="shared" ca="1" si="2"/>
        <v>"2084006153" : "khắc gỗ in",</v>
      </c>
    </row>
    <row r="164" spans="1:6" ht="15.75" customHeight="1">
      <c r="A164" s="14">
        <v>2084006149</v>
      </c>
      <c r="B164" s="14" t="s">
        <v>46</v>
      </c>
      <c r="C164" s="14" t="s">
        <v>6749</v>
      </c>
      <c r="D164" s="5" t="str">
        <f ca="1">IFERROR(__xludf.DUMMYFUNCTION("GOOGLETRANSLATE(B164,""ja"",""vi"")"),"nếu không thì")</f>
        <v>nếu không thì</v>
      </c>
      <c r="E164" s="4" t="str">
        <f ca="1">IFERROR(__xludf.DUMMYFUNCTION("GOOGLETRANSLATE(C164,""ja"",""vi"")"),"Đấu giá&gt; Sở thích, văn hóa&gt; tác phẩm nghệ thuật&gt; In&gt; Khác")</f>
        <v>Đấu giá&gt; Sở thích, văn hóa&gt; tác phẩm nghệ thuật&gt; In&gt; Khác</v>
      </c>
      <c r="F164" t="str">
        <f t="shared" ca="1" si="2"/>
        <v>"2084006149" : "nếu không thì",</v>
      </c>
    </row>
    <row r="165" spans="1:6" ht="15.75" customHeight="1">
      <c r="A165" s="14">
        <v>2084006122</v>
      </c>
      <c r="B165" s="14" t="s">
        <v>6750</v>
      </c>
      <c r="C165" s="14" t="s">
        <v>6751</v>
      </c>
      <c r="D165" s="5" t="str">
        <f ca="1">IFERROR(__xludf.DUMMYFUNCTION("GOOGLETRANSLATE(B165,""ja"",""vi"")"),"đối tượng")</f>
        <v>đối tượng</v>
      </c>
      <c r="E165" s="4" t="str">
        <f ca="1">IFERROR(__xludf.DUMMYFUNCTION("GOOGLETRANSLATE(C165,""ja"",""vi"")"),"Đấu giá&gt; Sở thích, văn hóa&gt; tác phẩm nghệ thuật&gt; điêu khắc, tượng&gt; đối tượng")</f>
        <v>Đấu giá&gt; Sở thích, văn hóa&gt; tác phẩm nghệ thuật&gt; điêu khắc, tượng&gt; đối tượng</v>
      </c>
      <c r="F165" t="str">
        <f t="shared" ca="1" si="2"/>
        <v>"2084006122" : "đối tượng",</v>
      </c>
    </row>
    <row r="166" spans="1:6" ht="15.75" customHeight="1">
      <c r="A166" s="14">
        <v>2084006121</v>
      </c>
      <c r="B166" s="14" t="s">
        <v>6752</v>
      </c>
      <c r="C166" s="14" t="s">
        <v>6753</v>
      </c>
      <c r="D166" s="5" t="str">
        <f ca="1">IFERROR(__xludf.DUMMYFUNCTION("GOOGLETRANSLATE(B166,""ja"",""vi"")"),"điêu khắc phương Tây")</f>
        <v>điêu khắc phương Tây</v>
      </c>
      <c r="E166" s="4" t="str">
        <f ca="1">IFERROR(__xludf.DUMMYFUNCTION("GOOGLETRANSLATE(C166,""ja"",""vi"")"),"Đấu giá&gt; Sở thích, văn hóa&gt; tác phẩm nghệ thuật&gt; điêu khắc, các đối tượng&gt; điêu khắc phương Tây")</f>
        <v>Đấu giá&gt; Sở thích, văn hóa&gt; tác phẩm nghệ thuật&gt; điêu khắc, các đối tượng&gt; điêu khắc phương Tây</v>
      </c>
      <c r="F166" t="str">
        <f t="shared" ca="1" si="2"/>
        <v>"2084006121" : "điêu khắc phương Tây",</v>
      </c>
    </row>
    <row r="167" spans="1:6" ht="15.75" customHeight="1">
      <c r="A167" s="14">
        <v>2084006118</v>
      </c>
      <c r="B167" s="14" t="s">
        <v>6754</v>
      </c>
      <c r="C167" s="14" t="s">
        <v>6755</v>
      </c>
      <c r="D167" s="5" t="str">
        <f ca="1">IFERROR(__xludf.DUMMYFUNCTION("GOOGLETRANSLATE(B167,""ja"",""vi"")"),"điêu khắc Oriental")</f>
        <v>điêu khắc Oriental</v>
      </c>
      <c r="E167" s="4" t="str">
        <f ca="1">IFERROR(__xludf.DUMMYFUNCTION("GOOGLETRANSLATE(C167,""ja"",""vi"")"),"Đấu giá&gt; Sở thích, văn hóa&gt; tác phẩm nghệ thuật&gt; điêu khắc, các đối tượng&gt; điêu khắc phương Đông")</f>
        <v>Đấu giá&gt; Sở thích, văn hóa&gt; tác phẩm nghệ thuật&gt; điêu khắc, các đối tượng&gt; điêu khắc phương Đông</v>
      </c>
      <c r="F167" t="str">
        <f t="shared" ca="1" si="2"/>
        <v>"2084006118" : "điêu khắc Oriental",</v>
      </c>
    </row>
    <row r="168" spans="1:6" ht="15.75" customHeight="1">
      <c r="A168" s="14">
        <v>2084024410</v>
      </c>
      <c r="B168" s="14" t="s">
        <v>6756</v>
      </c>
      <c r="C168" s="14" t="s">
        <v>6757</v>
      </c>
      <c r="D168" s="5" t="str">
        <f ca="1">IFERROR(__xludf.DUMMYFUNCTION("GOOGLETRANSLATE(B168,""ja"",""vi"")"),"Bức tượng nhỏ")</f>
        <v>Bức tượng nhỏ</v>
      </c>
      <c r="E168" s="4" t="str">
        <f ca="1">IFERROR(__xludf.DUMMYFUNCTION("GOOGLETRANSLATE(C168,""ja"",""vi"")"),"Đấu giá&gt; Sở thích, văn hóa&gt; tác phẩm nghệ thuật&gt; điêu khắc, các đối tượng&gt; trang trí")</f>
        <v>Đấu giá&gt; Sở thích, văn hóa&gt; tác phẩm nghệ thuật&gt; điêu khắc, các đối tượng&gt; trang trí</v>
      </c>
      <c r="F168" t="str">
        <f t="shared" ca="1" si="2"/>
        <v>"2084024410" : "Bức tượng nhỏ",</v>
      </c>
    </row>
    <row r="169" spans="1:6" ht="15.75" customHeight="1">
      <c r="A169" s="14">
        <v>2084006119</v>
      </c>
      <c r="B169" s="14" t="s">
        <v>46</v>
      </c>
      <c r="C169" s="14" t="s">
        <v>6758</v>
      </c>
      <c r="D169" s="5" t="str">
        <f ca="1">IFERROR(__xludf.DUMMYFUNCTION("GOOGLETRANSLATE(B169,""ja"",""vi"")"),"nếu không thì")</f>
        <v>nếu không thì</v>
      </c>
      <c r="E169" s="4" t="str">
        <f ca="1">IFERROR(__xludf.DUMMYFUNCTION("GOOGLETRANSLATE(C169,""ja"",""vi"")"),"Đấu giá&gt; Sở thích, văn hóa&gt; tác phẩm nghệ thuật&gt; điêu khắc, tượng&gt; Khác")</f>
        <v>Đấu giá&gt; Sở thích, văn hóa&gt; tác phẩm nghệ thuật&gt; điêu khắc, tượng&gt; Khác</v>
      </c>
      <c r="F169" t="str">
        <f t="shared" ca="1" si="2"/>
        <v>"2084006119" : "nếu không thì",</v>
      </c>
    </row>
    <row r="170" spans="1:6" ht="15.75" customHeight="1">
      <c r="A170" s="14">
        <v>20132</v>
      </c>
      <c r="B170" s="14" t="s">
        <v>6759</v>
      </c>
      <c r="C170" s="14" t="s">
        <v>6760</v>
      </c>
      <c r="D170" s="5" t="str">
        <f ca="1">IFERROR(__xludf.DUMMYFUNCTION("GOOGLETRANSLATE(B170,""ja"",""vi"")"),"đồ gốm")</f>
        <v>đồ gốm</v>
      </c>
      <c r="E170" s="4" t="str">
        <f ca="1">IFERROR(__xludf.DUMMYFUNCTION("GOOGLETRANSLATE(C170,""ja"",""vi"")"),"Đấu giá&gt; cổ, bộ sưu tập&gt; thủ công mỹ nghệ&gt; nghệ thuật gốm")</f>
        <v>Đấu giá&gt; cổ, bộ sưu tập&gt; thủ công mỹ nghệ&gt; nghệ thuật gốm</v>
      </c>
      <c r="F170" t="str">
        <f t="shared" ca="1" si="2"/>
        <v>"20132" : "đồ gốm",</v>
      </c>
    </row>
    <row r="171" spans="1:6" ht="15.75" customHeight="1">
      <c r="A171" s="14">
        <v>20240</v>
      </c>
      <c r="B171" s="14" t="s">
        <v>3287</v>
      </c>
      <c r="C171" s="14" t="s">
        <v>6761</v>
      </c>
      <c r="D171" s="5" t="str">
        <f ca="1">IFERROR(__xludf.DUMMYFUNCTION("GOOGLETRANSLATE(B171,""ja"",""vi"")"),"ly")</f>
        <v>ly</v>
      </c>
      <c r="E171" s="4" t="str">
        <f ca="1">IFERROR(__xludf.DUMMYFUNCTION("GOOGLETRANSLATE(C171,""ja"",""vi"")"),"Đấu giá&gt; cổ, bộ sưu tập&gt; thủ công mỹ nghệ&gt; kính")</f>
        <v>Đấu giá&gt; cổ, bộ sưu tập&gt; thủ công mỹ nghệ&gt; kính</v>
      </c>
      <c r="F171" t="str">
        <f t="shared" ca="1" si="2"/>
        <v>"20240" : "ly",</v>
      </c>
    </row>
    <row r="172" spans="1:6" ht="15.75" customHeight="1">
      <c r="A172" s="14">
        <v>2084024113</v>
      </c>
      <c r="B172" s="14" t="s">
        <v>6762</v>
      </c>
      <c r="C172" s="14" t="s">
        <v>6763</v>
      </c>
      <c r="D172" s="5" t="str">
        <f ca="1">IFERROR(__xludf.DUMMYFUNCTION("GOOGLETRANSLATE(B172,""ja"",""vi"")"),"sơn mài")</f>
        <v>sơn mài</v>
      </c>
      <c r="E172" s="4" t="str">
        <f ca="1">IFERROR(__xludf.DUMMYFUNCTION("GOOGLETRANSLATE(C172,""ja"",""vi"")"),"Đấu giá&gt; cổ, bộ sưu tập&gt; thủ công mỹ nghệ&gt; sơn mài")</f>
        <v>Đấu giá&gt; cổ, bộ sưu tập&gt; thủ công mỹ nghệ&gt; sơn mài</v>
      </c>
      <c r="F172" t="str">
        <f t="shared" ca="1" si="2"/>
        <v>"2084024113" : "sơn mài",</v>
      </c>
    </row>
    <row r="173" spans="1:6" ht="15.75" customHeight="1">
      <c r="A173" s="14">
        <v>2084195327</v>
      </c>
      <c r="B173" s="14" t="s">
        <v>6764</v>
      </c>
      <c r="C173" s="14" t="s">
        <v>6765</v>
      </c>
      <c r="D173" s="5" t="str">
        <f ca="1">IFERROR(__xludf.DUMMYFUNCTION("GOOGLETRANSLATE(B173,""ja"",""vi"")"),"hàng thủ công kim loại")</f>
        <v>hàng thủ công kim loại</v>
      </c>
      <c r="E173" s="4" t="str">
        <f ca="1">IFERROR(__xludf.DUMMYFUNCTION("GOOGLETRANSLATE(C173,""ja"",""vi"")"),"Đấu giá&gt; cổ, bộ sưu tập&gt; thủ công mỹ nghệ&gt; thủ công kim loại")</f>
        <v>Đấu giá&gt; cổ, bộ sưu tập&gt; thủ công mỹ nghệ&gt; thủ công kim loại</v>
      </c>
      <c r="F173" t="str">
        <f t="shared" ca="1" si="2"/>
        <v>"2084195327" : "hàng thủ công kim loại",</v>
      </c>
    </row>
    <row r="174" spans="1:6" ht="15.75" customHeight="1">
      <c r="A174" s="14">
        <v>2084057815</v>
      </c>
      <c r="B174" s="14" t="s">
        <v>6766</v>
      </c>
      <c r="C174" s="14" t="s">
        <v>6767</v>
      </c>
      <c r="D174" s="5" t="str">
        <f ca="1">IFERROR(__xludf.DUMMYFUNCTION("GOOGLETRANSLATE(B174,""ja"",""vi"")"),"vành nón")</f>
        <v>vành nón</v>
      </c>
      <c r="E174" s="4" t="str">
        <f ca="1">IFERROR(__xludf.DUMMYFUNCTION("GOOGLETRANSLATE(C174,""ja"",""vi"")"),"Đấu giá&gt; cổ, bộ sưu tập&gt; thủ công mỹ nghệ&gt; vành")</f>
        <v>Đấu giá&gt; cổ, bộ sưu tập&gt; thủ công mỹ nghệ&gt; vành</v>
      </c>
      <c r="F174" t="str">
        <f t="shared" ca="1" si="2"/>
        <v>"2084057815" : "vành nón",</v>
      </c>
    </row>
    <row r="175" spans="1:6" ht="15.75" customHeight="1">
      <c r="A175" s="14">
        <v>2084258274</v>
      </c>
      <c r="B175" s="14" t="s">
        <v>6768</v>
      </c>
      <c r="C175" s="14" t="s">
        <v>6769</v>
      </c>
      <c r="D175" s="5" t="str">
        <f ca="1">IFERROR(__xludf.DUMMYFUNCTION("GOOGLETRANSLATE(B175,""ja"",""vi"")"),"Máy làm đồ gỗ, hàng thủ công tre")</f>
        <v>Máy làm đồ gỗ, hàng thủ công tre</v>
      </c>
      <c r="E175" s="4" t="str">
        <f ca="1">IFERROR(__xludf.DUMMYFUNCTION("GOOGLETRANSLATE(C175,""ja"",""vi"")"),"Đấu giá&gt; cổ, bộ sưu tập&gt; thủ công mỹ nghệ&gt; chế biến gỗ, hàng thủ công tre")</f>
        <v>Đấu giá&gt; cổ, bộ sưu tập&gt; thủ công mỹ nghệ&gt; chế biến gỗ, hàng thủ công tre</v>
      </c>
      <c r="F175" t="str">
        <f t="shared" ca="1" si="2"/>
        <v>"2084258274" : "Máy làm đồ gỗ, hàng thủ công tre",</v>
      </c>
    </row>
    <row r="176" spans="1:6" ht="15.75" customHeight="1">
      <c r="A176" s="14">
        <v>2084024410</v>
      </c>
      <c r="B176" s="14" t="s">
        <v>6756</v>
      </c>
      <c r="C176" s="14" t="s">
        <v>6770</v>
      </c>
      <c r="D176" s="5" t="str">
        <f ca="1">IFERROR(__xludf.DUMMYFUNCTION("GOOGLETRANSLATE(B176,""ja"",""vi"")"),"Bức tượng nhỏ")</f>
        <v>Bức tượng nhỏ</v>
      </c>
      <c r="E176" s="4" t="str">
        <f ca="1">IFERROR(__xludf.DUMMYFUNCTION("GOOGLETRANSLATE(C176,""ja"",""vi"")"),"Đấu giá&gt; cổ, bộ sưu tập&gt; thủ công mỹ nghệ&gt; Bức tượng nhỏ")</f>
        <v>Đấu giá&gt; cổ, bộ sưu tập&gt; thủ công mỹ nghệ&gt; Bức tượng nhỏ</v>
      </c>
      <c r="F176" t="str">
        <f t="shared" ca="1" si="2"/>
        <v>"2084024410" : "Bức tượng nhỏ",</v>
      </c>
    </row>
    <row r="177" spans="1:6" ht="15.75" customHeight="1">
      <c r="A177" s="14">
        <v>2084057811</v>
      </c>
      <c r="B177" s="14" t="s">
        <v>6771</v>
      </c>
      <c r="C177" s="14" t="s">
        <v>6772</v>
      </c>
      <c r="D177" s="5" t="str">
        <f ca="1">IFERROR(__xludf.DUMMYFUNCTION("GOOGLETRANSLATE(B177,""ja"",""vi"")"),"netsuke")</f>
        <v>netsuke</v>
      </c>
      <c r="E177" s="4" t="str">
        <f ca="1">IFERROR(__xludf.DUMMYFUNCTION("GOOGLETRANSLATE(C177,""ja"",""vi"")"),"Đấu giá&gt; cổ, bộ sưu tập&gt; thủ công mỹ nghệ&gt; netsuke")</f>
        <v>Đấu giá&gt; cổ, bộ sưu tập&gt; thủ công mỹ nghệ&gt; netsuke</v>
      </c>
      <c r="F177" t="str">
        <f t="shared" ca="1" si="2"/>
        <v>"2084057811" : "netsuke",</v>
      </c>
    </row>
    <row r="178" spans="1:6" ht="15.75" customHeight="1">
      <c r="A178" s="14">
        <v>2084020063</v>
      </c>
      <c r="B178" s="14" t="s">
        <v>6773</v>
      </c>
      <c r="C178" s="14" t="s">
        <v>6774</v>
      </c>
      <c r="D178" s="5" t="str">
        <f ca="1">IFERROR(__xludf.DUMMYFUNCTION("GOOGLETRANSLATE(B178,""ja"",""vi"")"),"Nhật Bản búp bê")</f>
        <v>Nhật Bản búp bê</v>
      </c>
      <c r="E178" s="4" t="str">
        <f ca="1">IFERROR(__xludf.DUMMYFUNCTION("GOOGLETRANSLATE(C178,""ja"",""vi"")"),"Đấu giá&gt; cổ, bộ sưu tập&gt; thủ công mỹ nghệ&gt; Nhật Bản búp bê")</f>
        <v>Đấu giá&gt; cổ, bộ sưu tập&gt; thủ công mỹ nghệ&gt; Nhật Bản búp bê</v>
      </c>
      <c r="F178" t="str">
        <f t="shared" ca="1" si="2"/>
        <v>"2084020063" : "Nhật Bản búp bê",</v>
      </c>
    </row>
    <row r="179" spans="1:6" ht="15.75" customHeight="1">
      <c r="A179" s="14">
        <v>2084009065</v>
      </c>
      <c r="B179" s="14" t="s">
        <v>6775</v>
      </c>
      <c r="C179" s="14" t="s">
        <v>6776</v>
      </c>
      <c r="D179" s="5" t="str">
        <f ca="1">IFERROR(__xludf.DUMMYFUNCTION("GOOGLETRANSLATE(B179,""ja"",""vi"")"),"Thủ công mỹ nghệ Sách liên quan")</f>
        <v>Thủ công mỹ nghệ Sách liên quan</v>
      </c>
      <c r="E179" s="4" t="str">
        <f ca="1">IFERROR(__xludf.DUMMYFUNCTION("GOOGLETRANSLATE(C179,""ja"",""vi"")"),"Đấu giá&gt; cổ, bộ sưu tập&gt; hàng thủ công&gt; Thủ công mỹ nghệ Sách liên quan")</f>
        <v>Đấu giá&gt; cổ, bộ sưu tập&gt; hàng thủ công&gt; Thủ công mỹ nghệ Sách liên quan</v>
      </c>
      <c r="F179" t="str">
        <f t="shared" ca="1" si="2"/>
        <v>"2084009065" : "Thủ công mỹ nghệ Sách liên quan",</v>
      </c>
    </row>
    <row r="180" spans="1:6" ht="15.75" customHeight="1">
      <c r="A180" s="14">
        <v>2084307788</v>
      </c>
      <c r="B180" s="14" t="s">
        <v>6777</v>
      </c>
      <c r="C180" s="14" t="s">
        <v>6778</v>
      </c>
      <c r="D180" s="5" t="str">
        <f ca="1">IFERROR(__xludf.DUMMYFUNCTION("GOOGLETRANSLATE(B180,""ja"",""vi"")"),"Tranh vẽ trên vải, hàng thủ công cho thuê")</f>
        <v>Tranh vẽ trên vải, hàng thủ công cho thuê</v>
      </c>
      <c r="E180" s="4" t="str">
        <f ca="1">IFERROR(__xludf.DUMMYFUNCTION("GOOGLETRANSLATE(C180,""ja"",""vi"")"),"Đấu giá&gt; cổ, bộ sưu tập&gt; hàng thủ công&gt; Tranh, hàng thủ công cho thuê")</f>
        <v>Đấu giá&gt; cổ, bộ sưu tập&gt; hàng thủ công&gt; Tranh, hàng thủ công cho thuê</v>
      </c>
      <c r="F180" t="str">
        <f t="shared" ca="1" si="2"/>
        <v>"2084307788" : "Tranh vẽ trên vải, hàng thủ công cho thuê",</v>
      </c>
    </row>
    <row r="181" spans="1:6" ht="15.75" customHeight="1">
      <c r="A181" s="14">
        <v>2084236698</v>
      </c>
      <c r="B181" s="14" t="s">
        <v>6779</v>
      </c>
      <c r="C181" s="14" t="s">
        <v>6780</v>
      </c>
      <c r="D181" s="5" t="str">
        <f ca="1">IFERROR(__xludf.DUMMYFUNCTION("GOOGLETRANSLATE(B181,""ja"",""vi"")"),"khung Poster")</f>
        <v>khung Poster</v>
      </c>
      <c r="E181" s="4" t="str">
        <f ca="1">IFERROR(__xludf.DUMMYFUNCTION("GOOGLETRANSLATE(C181,""ja"",""vi"")"),"Đấu giá&gt; Sở thích, văn hóa&gt; Art Supplies&gt; khung hình&gt; khung tấm áp phích")</f>
        <v>Đấu giá&gt; Sở thích, văn hóa&gt; Art Supplies&gt; khung hình&gt; khung tấm áp phích</v>
      </c>
      <c r="F181" t="str">
        <f t="shared" ca="1" si="2"/>
        <v>"2084236698" : "khung Poster",</v>
      </c>
    </row>
    <row r="182" spans="1:6" ht="15.75" customHeight="1">
      <c r="A182" s="14">
        <v>2084236697</v>
      </c>
      <c r="B182" s="14" t="s">
        <v>6781</v>
      </c>
      <c r="C182" s="14" t="s">
        <v>6782</v>
      </c>
      <c r="D182" s="5" t="str">
        <f ca="1">IFERROR(__xludf.DUMMYFUNCTION("GOOGLETRANSLATE(B182,""ja"",""vi"")"),"khung ảnh")</f>
        <v>khung ảnh</v>
      </c>
      <c r="E182" s="4" t="str">
        <f ca="1">IFERROR(__xludf.DUMMYFUNCTION("GOOGLETRANSLATE(C182,""ja"",""vi"")"),"Đấu giá&gt; Sở thích, văn hóa&gt; Art Supplies&gt; khung hình&gt; khung ảnh")</f>
        <v>Đấu giá&gt; Sở thích, văn hóa&gt; Art Supplies&gt; khung hình&gt; khung ảnh</v>
      </c>
      <c r="F182" t="str">
        <f t="shared" ca="1" si="2"/>
        <v>"2084236697" : "khung ảnh",</v>
      </c>
    </row>
    <row r="183" spans="1:6" ht="15.75" customHeight="1">
      <c r="A183" s="14">
        <v>2084236696</v>
      </c>
      <c r="B183" s="14" t="s">
        <v>6783</v>
      </c>
      <c r="C183" s="14" t="s">
        <v>6784</v>
      </c>
      <c r="D183" s="5" t="str">
        <f ca="1">IFERROR(__xludf.DUMMYFUNCTION("GOOGLETRANSLATE(B183,""ja"",""vi"")"),"khung hình màu nước, vẽ khung")</f>
        <v>khung hình màu nước, vẽ khung</v>
      </c>
      <c r="E183" s="4" t="str">
        <f ca="1">IFERROR(__xludf.DUMMYFUNCTION("GOOGLETRANSLATE(C183,""ja"",""vi"")"),"Đấu giá&gt; Sở thích, văn hóa&gt; Art Supplies&gt; khung hình&gt; khung hình màu nước, vẽ khung")</f>
        <v>Đấu giá&gt; Sở thích, văn hóa&gt; Art Supplies&gt; khung hình&gt; khung hình màu nước, vẽ khung</v>
      </c>
      <c r="F183" t="str">
        <f t="shared" ca="1" si="2"/>
        <v>"2084236696" : "khung hình màu nước, vẽ khung",</v>
      </c>
    </row>
    <row r="184" spans="1:6" ht="15.75" customHeight="1">
      <c r="A184" s="14">
        <v>2084236695</v>
      </c>
      <c r="B184" s="14" t="s">
        <v>6785</v>
      </c>
      <c r="C184" s="14" t="s">
        <v>6786</v>
      </c>
      <c r="D184" s="5" t="str">
        <f ca="1">IFERROR(__xludf.DUMMYFUNCTION("GOOGLETRANSLATE(B184,""ja"",""vi"")"),"khung hình dầu")</f>
        <v>khung hình dầu</v>
      </c>
      <c r="E184" s="4" t="str">
        <f ca="1">IFERROR(__xludf.DUMMYFUNCTION("GOOGLETRANSLATE(C184,""ja"",""vi"")"),"Đấu giá&gt; Sở thích, văn hóa&gt; Art Supplies&gt; khung hình&gt; khung hình Dầu")</f>
        <v>Đấu giá&gt; Sở thích, văn hóa&gt; Art Supplies&gt; khung hình&gt; khung hình Dầu</v>
      </c>
      <c r="F184" t="str">
        <f t="shared" ca="1" si="2"/>
        <v>"2084236695" : "khung hình dầu",</v>
      </c>
    </row>
    <row r="185" spans="1:6" ht="15.75" customHeight="1">
      <c r="A185" s="14">
        <v>2084236699</v>
      </c>
      <c r="B185" s="14" t="s">
        <v>46</v>
      </c>
      <c r="C185" s="14" t="s">
        <v>6787</v>
      </c>
      <c r="D185" s="5" t="str">
        <f ca="1">IFERROR(__xludf.DUMMYFUNCTION("GOOGLETRANSLATE(B185,""ja"",""vi"")"),"nếu không thì")</f>
        <v>nếu không thì</v>
      </c>
      <c r="E185" s="4" t="str">
        <f ca="1">IFERROR(__xludf.DUMMYFUNCTION("GOOGLETRANSLATE(C185,""ja"",""vi"")"),"Đấu giá&gt; Sở thích, văn hóa&gt; Art Supplies&gt; khung hình&gt; Khác")</f>
        <v>Đấu giá&gt; Sở thích, văn hóa&gt; Art Supplies&gt; khung hình&gt; Khác</v>
      </c>
      <c r="F185" t="str">
        <f t="shared" ca="1" si="2"/>
        <v>"2084236699" : "nếu không thì",</v>
      </c>
    </row>
    <row r="186" spans="1:6" ht="15.75" customHeight="1">
      <c r="A186" s="14">
        <v>2084060585</v>
      </c>
      <c r="B186" s="14" t="s">
        <v>6788</v>
      </c>
      <c r="C186" s="14" t="s">
        <v>6789</v>
      </c>
      <c r="D186" s="5" t="str">
        <f ca="1">IFERROR(__xludf.DUMMYFUNCTION("GOOGLETRANSLATE(B186,""ja"",""vi"")"),"treo cuộn")</f>
        <v>treo cuộn</v>
      </c>
      <c r="E186" s="4" t="str">
        <f ca="1">IFERROR(__xludf.DUMMYFUNCTION("GOOGLETRANSLATE(C186,""ja"",""vi"")"),"Đấu giá&gt; Sở thích, văn hóa&gt; tác phẩm nghệ thuật&gt; Form&gt; treo cuộn")</f>
        <v>Đấu giá&gt; Sở thích, văn hóa&gt; tác phẩm nghệ thuật&gt; Form&gt; treo cuộn</v>
      </c>
      <c r="F186" t="str">
        <f t="shared" ca="1" si="2"/>
        <v>"2084060585" : "treo cuộn",</v>
      </c>
    </row>
    <row r="187" spans="1:6" ht="15.75" customHeight="1">
      <c r="A187" s="14">
        <v>2084060586</v>
      </c>
      <c r="B187" s="14" t="s">
        <v>6790</v>
      </c>
      <c r="C187" s="14" t="s">
        <v>6791</v>
      </c>
      <c r="D187" s="5" t="str">
        <f ca="1">IFERROR(__xludf.DUMMYFUNCTION("GOOGLETRANSLATE(B187,""ja"",""vi"")"),"giấy màu")</f>
        <v>giấy màu</v>
      </c>
      <c r="E187" s="4" t="str">
        <f ca="1">IFERROR(__xludf.DUMMYFUNCTION("GOOGLETRANSLATE(C187,""ja"",""vi"")"),"Đấu giá&gt; Sở thích, văn hóa&gt; tác phẩm nghệ thuật&gt; Form&gt; giấy màu")</f>
        <v>Đấu giá&gt; Sở thích, văn hóa&gt; tác phẩm nghệ thuật&gt; Form&gt; giấy màu</v>
      </c>
      <c r="F187" t="str">
        <f t="shared" ca="1" si="2"/>
        <v>"2084060586" : "giấy màu",</v>
      </c>
    </row>
    <row r="188" spans="1:6" ht="15.75" customHeight="1">
      <c r="A188" s="14">
        <v>2084060589</v>
      </c>
      <c r="B188" s="14" t="s">
        <v>6792</v>
      </c>
      <c r="C188" s="14" t="s">
        <v>6793</v>
      </c>
      <c r="D188" s="5" t="str">
        <f ca="1">IFERROR(__xludf.DUMMYFUNCTION("GOOGLETRANSLATE(B188,""ja"",""vi"")"),"Fan khuôn mặt")</f>
        <v>Fan khuôn mặt</v>
      </c>
      <c r="E188" s="4" t="str">
        <f ca="1">IFERROR(__xludf.DUMMYFUNCTION("GOOGLETRANSLATE(C188,""ja"",""vi"")"),"Đấu giá&gt; Sở thích, văn hóa&gt; tác phẩm nghệ thuật&gt; Form&gt; bề mặt khu vực")</f>
        <v>Đấu giá&gt; Sở thích, văn hóa&gt; tác phẩm nghệ thuật&gt; Form&gt; bề mặt khu vực</v>
      </c>
      <c r="F188" t="str">
        <f t="shared" ca="1" si="2"/>
        <v>"2084060589" : "Fan khuôn mặt",</v>
      </c>
    </row>
    <row r="189" spans="1:6" ht="15.75" customHeight="1">
      <c r="A189" s="14">
        <v>2084060587</v>
      </c>
      <c r="B189" s="14" t="s">
        <v>6794</v>
      </c>
      <c r="C189" s="14" t="s">
        <v>6795</v>
      </c>
      <c r="D189" s="5" t="str">
        <f ca="1">IFERROR(__xludf.DUMMYFUNCTION("GOOGLETRANSLATE(B189,""ja"",""vi"")"),"dải")</f>
        <v>dải</v>
      </c>
      <c r="E189" s="4" t="str">
        <f ca="1">IFERROR(__xludf.DUMMYFUNCTION("GOOGLETRANSLATE(C189,""ja"",""vi"")"),"Đấu giá&gt; Sở thích, văn hóa&gt; tác phẩm nghệ thuật&gt; Form&gt; dải")</f>
        <v>Đấu giá&gt; Sở thích, văn hóa&gt; tác phẩm nghệ thuật&gt; Form&gt; dải</v>
      </c>
      <c r="F189" t="str">
        <f t="shared" ca="1" si="2"/>
        <v>"2084060587" : "dải",</v>
      </c>
    </row>
    <row r="190" spans="1:6" ht="15.75" customHeight="1">
      <c r="A190" s="14">
        <v>2084060588</v>
      </c>
      <c r="B190" s="14" t="s">
        <v>6796</v>
      </c>
      <c r="C190" s="14" t="s">
        <v>6797</v>
      </c>
      <c r="D190" s="5" t="str">
        <f ca="1">IFERROR(__xludf.DUMMYFUNCTION("GOOGLETRANSLATE(B190,""ja"",""vi"")"),"Trán, Hengaku")</f>
        <v>Trán, Hengaku</v>
      </c>
      <c r="E190" s="4" t="str">
        <f ca="1">IFERROR(__xludf.DUMMYFUNCTION("GOOGLETRANSLATE(C190,""ja"",""vi"")"),"Đấu giá&gt; Sở thích, văn hóa&gt; tác phẩm nghệ thuật&gt; thủ công&gt; lượng, Hengaku")</f>
        <v>Đấu giá&gt; Sở thích, văn hóa&gt; tác phẩm nghệ thuật&gt; thủ công&gt; lượng, Hengaku</v>
      </c>
      <c r="F190" t="str">
        <f t="shared" ca="1" si="2"/>
        <v>"2084060588" : "Trán, Hengaku",</v>
      </c>
    </row>
    <row r="191" spans="1:6" ht="15.75" customHeight="1">
      <c r="A191" s="14">
        <v>2084227016</v>
      </c>
      <c r="B191" s="14" t="s">
        <v>6798</v>
      </c>
      <c r="C191" s="14" t="s">
        <v>6799</v>
      </c>
      <c r="D191" s="5" t="str">
        <f ca="1">IFERROR(__xludf.DUMMYFUNCTION("GOOGLETRANSLATE(B191,""ja"",""vi"")"),"viết bàn chải")</f>
        <v>viết bàn chải</v>
      </c>
      <c r="E191" s="4" t="str">
        <f ca="1">IFERROR(__xludf.DUMMYFUNCTION("GOOGLETRANSLATE(C191,""ja"",""vi"")"),"Đấu giá&gt; Sở thích, văn hóa&gt; tác phẩm nghệ thuật&gt; Form&gt; bàn chải")</f>
        <v>Đấu giá&gt; Sở thích, văn hóa&gt; tác phẩm nghệ thuật&gt; Form&gt; bàn chải</v>
      </c>
      <c r="F191" t="str">
        <f t="shared" ca="1" si="2"/>
        <v>"2084227016" : "viết bàn chải",</v>
      </c>
    </row>
    <row r="192" spans="1:6" ht="15.75" customHeight="1">
      <c r="A192" s="14">
        <v>2084009062</v>
      </c>
      <c r="B192" s="14" t="s">
        <v>1632</v>
      </c>
      <c r="C192" s="14" t="s">
        <v>6800</v>
      </c>
      <c r="D192" s="5" t="str">
        <f ca="1">IFERROR(__xludf.DUMMYFUNCTION("GOOGLETRANSLATE(B192,""ja"",""vi"")"),"điều này")</f>
        <v>điều này</v>
      </c>
      <c r="E192" s="4" t="str">
        <f ca="1">IFERROR(__xludf.DUMMYFUNCTION("GOOGLETRANSLATE(C192,""ja"",""vi"")"),"Đấu giá&gt; Sở thích, văn hóa&gt; tác phẩm nghệ thuật&gt; Form&gt; Sách")</f>
        <v>Đấu giá&gt; Sở thích, văn hóa&gt; tác phẩm nghệ thuật&gt; Form&gt; Sách</v>
      </c>
      <c r="F192" t="str">
        <f t="shared" ca="1" si="2"/>
        <v>"2084009062" : "điều này",</v>
      </c>
    </row>
    <row r="193" spans="1:6" ht="15.75" customHeight="1">
      <c r="A193" s="14">
        <v>2084060590</v>
      </c>
      <c r="B193" s="14" t="s">
        <v>46</v>
      </c>
      <c r="C193" s="14" t="s">
        <v>6801</v>
      </c>
      <c r="D193" s="5" t="str">
        <f ca="1">IFERROR(__xludf.DUMMYFUNCTION("GOOGLETRANSLATE(B193,""ja"",""vi"")"),"nếu không thì")</f>
        <v>nếu không thì</v>
      </c>
      <c r="E193" s="4" t="str">
        <f ca="1">IFERROR(__xludf.DUMMYFUNCTION("GOOGLETRANSLATE(C193,""ja"",""vi"")"),"Đấu giá&gt; Sở thích, văn hóa&gt; tác phẩm nghệ thuật&gt; Form&gt; Khác")</f>
        <v>Đấu giá&gt; Sở thích, văn hóa&gt; tác phẩm nghệ thuật&gt; Form&gt; Khác</v>
      </c>
      <c r="F193" t="str">
        <f t="shared" ca="1" si="2"/>
        <v>"2084060590" : "nếu không thì",</v>
      </c>
    </row>
    <row r="194" spans="1:6" ht="15.75" customHeight="1">
      <c r="A194" s="14">
        <v>2084006198</v>
      </c>
      <c r="B194" s="14" t="s">
        <v>6414</v>
      </c>
      <c r="C194" s="14" t="s">
        <v>6802</v>
      </c>
      <c r="D194" s="5" t="str">
        <f ca="1">IFERROR(__xludf.DUMMYFUNCTION("GOOGLETRANSLATE(B194,""ja"",""vi"")"),"Tài liệu")</f>
        <v>Tài liệu</v>
      </c>
      <c r="E194" s="4" t="str">
        <f ca="1">IFERROR(__xludf.DUMMYFUNCTION("GOOGLETRANSLATE(C194,""ja"",""vi"")"),"Đấu giá&gt; Sở thích, văn hóa&gt; tác phẩm nghệ thuật&gt; nhiếp ảnh nghệ thuật&gt; tài liệu")</f>
        <v>Đấu giá&gt; Sở thích, văn hóa&gt; tác phẩm nghệ thuật&gt; nhiếp ảnh nghệ thuật&gt; tài liệu</v>
      </c>
      <c r="F194" t="str">
        <f t="shared" ref="F194:F257" ca="1" si="3">CONCATENATE(CHAR(34)&amp;"",A194,""&amp;CHAR(34)," : ", CHAR(34)&amp;"",D194,""&amp;CHAR(34),",")</f>
        <v>"2084006198" : "Tài liệu",</v>
      </c>
    </row>
    <row r="195" spans="1:6" ht="15.75" customHeight="1">
      <c r="A195" s="14">
        <v>2084006197</v>
      </c>
      <c r="B195" s="14" t="s">
        <v>6425</v>
      </c>
      <c r="C195" s="14" t="s">
        <v>6803</v>
      </c>
      <c r="D195" s="5" t="str">
        <f ca="1">IFERROR(__xludf.DUMMYFUNCTION("GOOGLETRANSLATE(B195,""ja"",""vi"")"),"Thiên nhiên, phong cảnh")</f>
        <v>Thiên nhiên, phong cảnh</v>
      </c>
      <c r="E195" s="4" t="str">
        <f ca="1">IFERROR(__xludf.DUMMYFUNCTION("GOOGLETRANSLATE(C195,""ja"",""vi"")"),"Đấu giá&gt; Sở thích, văn hóa&gt; tác phẩm nghệ thuật&gt; nhiếp ảnh nghệ thuật&gt; thiên nhiên, phong cảnh")</f>
        <v>Đấu giá&gt; Sở thích, văn hóa&gt; tác phẩm nghệ thuật&gt; nhiếp ảnh nghệ thuật&gt; thiên nhiên, phong cảnh</v>
      </c>
      <c r="F195" t="str">
        <f t="shared" ca="1" si="3"/>
        <v>"2084006197" : "Thiên nhiên, phong cảnh",</v>
      </c>
    </row>
    <row r="196" spans="1:6" ht="15.75" customHeight="1">
      <c r="A196" s="14">
        <v>21604</v>
      </c>
      <c r="B196" s="14" t="s">
        <v>6804</v>
      </c>
      <c r="C196" s="14" t="s">
        <v>6805</v>
      </c>
      <c r="D196" s="5" t="str">
        <f ca="1">IFERROR(__xludf.DUMMYFUNCTION("GOOGLETRANSLATE(B196,""ja"",""vi"")"),"PHOTO ALBUM")</f>
        <v>PHOTO ALBUM</v>
      </c>
      <c r="E196" s="4" t="str">
        <f ca="1">IFERROR(__xludf.DUMMYFUNCTION("GOOGLETRANSLATE(C196,""ja"",""vi"")"),"Đấu giá&gt; Sở thích, văn hóa&gt; tác phẩm nghệ thuật&gt; nhiếp ảnh nghệ thuật&gt; Hình ảnh")</f>
        <v>Đấu giá&gt; Sở thích, văn hóa&gt; tác phẩm nghệ thuật&gt; nhiếp ảnh nghệ thuật&gt; Hình ảnh</v>
      </c>
      <c r="F196" t="str">
        <f t="shared" ca="1" si="3"/>
        <v>"21604" : "PHOTO ALBUM",</v>
      </c>
    </row>
    <row r="197" spans="1:6" ht="15.75" customHeight="1">
      <c r="A197" s="14">
        <v>2084007421</v>
      </c>
      <c r="B197" s="14" t="s">
        <v>6806</v>
      </c>
      <c r="C197" s="14" t="s">
        <v>6807</v>
      </c>
      <c r="D197" s="5" t="str">
        <f ca="1">IFERROR(__xludf.DUMMYFUNCTION("GOOGLETRANSLATE(B197,""ja"",""vi"")"),"người Photos")</f>
        <v>người Photos</v>
      </c>
      <c r="E197" s="4" t="str">
        <f ca="1">IFERROR(__xludf.DUMMYFUNCTION("GOOGLETRANSLATE(C197,""ja"",""vi"")"),"Đấu giá&gt; Sở thích, văn hóa&gt; tác phẩm nghệ thuật&gt; nhiếp ảnh nghệ thuật&gt; nhiếp ảnh chân dung")</f>
        <v>Đấu giá&gt; Sở thích, văn hóa&gt; tác phẩm nghệ thuật&gt; nhiếp ảnh nghệ thuật&gt; nhiếp ảnh chân dung</v>
      </c>
      <c r="F197" t="str">
        <f t="shared" ca="1" si="3"/>
        <v>"2084007421" : "người Photos",</v>
      </c>
    </row>
    <row r="198" spans="1:6" ht="15.75" customHeight="1">
      <c r="A198" s="14">
        <v>2084006199</v>
      </c>
      <c r="B198" s="14" t="s">
        <v>6430</v>
      </c>
      <c r="C198" s="14" t="s">
        <v>6808</v>
      </c>
      <c r="D198" s="5" t="str">
        <f ca="1">IFERROR(__xludf.DUMMYFUNCTION("GOOGLETRANSLATE(B198,""ja"",""vi"")"),"tĩnh vật")</f>
        <v>tĩnh vật</v>
      </c>
      <c r="E198" s="4" t="str">
        <f ca="1">IFERROR(__xludf.DUMMYFUNCTION("GOOGLETRANSLATE(C198,""ja"",""vi"")"),"Đấu giá&gt; Sở thích, văn hóa&gt; tác phẩm nghệ thuật&gt; nhiếp ảnh nghệ thuật&gt; Still Life")</f>
        <v>Đấu giá&gt; Sở thích, văn hóa&gt; tác phẩm nghệ thuật&gt; nhiếp ảnh nghệ thuật&gt; Still Life</v>
      </c>
      <c r="F198" t="str">
        <f t="shared" ca="1" si="3"/>
        <v>"2084006199" : "tĩnh vật",</v>
      </c>
    </row>
    <row r="199" spans="1:6" ht="15.75" customHeight="1">
      <c r="A199" s="14">
        <v>2084007687</v>
      </c>
      <c r="B199" s="14" t="s">
        <v>4511</v>
      </c>
      <c r="C199" s="14" t="s">
        <v>6809</v>
      </c>
      <c r="D199" s="5" t="str">
        <f ca="1">IFERROR(__xludf.DUMMYFUNCTION("GOOGLETRANSLATE(B199,""ja"",""vi"")"),"đường sắt")</f>
        <v>đường sắt</v>
      </c>
      <c r="E199" s="4" t="str">
        <f ca="1">IFERROR(__xludf.DUMMYFUNCTION("GOOGLETRANSLATE(C199,""ja"",""vi"")"),"Đấu giá&gt; Sở thích, văn hóa&gt; tác phẩm nghệ thuật&gt; nhiếp ảnh nghệ thuật&gt; đường sắt")</f>
        <v>Đấu giá&gt; Sở thích, văn hóa&gt; tác phẩm nghệ thuật&gt; nhiếp ảnh nghệ thuật&gt; đường sắt</v>
      </c>
      <c r="F199" t="str">
        <f t="shared" ca="1" si="3"/>
        <v>"2084007687" : "đường sắt",</v>
      </c>
    </row>
    <row r="200" spans="1:6" ht="15.75" customHeight="1">
      <c r="A200" s="14">
        <v>20104</v>
      </c>
      <c r="B200" s="14" t="s">
        <v>46</v>
      </c>
      <c r="C200" s="14" t="s">
        <v>6810</v>
      </c>
      <c r="D200" s="5" t="str">
        <f ca="1">IFERROR(__xludf.DUMMYFUNCTION("GOOGLETRANSLATE(B200,""ja"",""vi"")"),"nếu không thì")</f>
        <v>nếu không thì</v>
      </c>
      <c r="E200" s="4" t="str">
        <f ca="1">IFERROR(__xludf.DUMMYFUNCTION("GOOGLETRANSLATE(C200,""ja"",""vi"")"),"Đấu giá&gt; Sở thích, văn hóa&gt; tác phẩm nghệ thuật&gt; nhiếp ảnh nghệ thuật&gt; Khác")</f>
        <v>Đấu giá&gt; Sở thích, văn hóa&gt; tác phẩm nghệ thuật&gt; nhiếp ảnh nghệ thuật&gt; Khác</v>
      </c>
      <c r="F200" t="str">
        <f t="shared" ca="1" si="3"/>
        <v>"20104" : "nếu không thì",</v>
      </c>
    </row>
    <row r="201" spans="1:6" ht="15.75" customHeight="1">
      <c r="A201" s="14">
        <v>2084009054</v>
      </c>
      <c r="B201" s="14" t="s">
        <v>4885</v>
      </c>
      <c r="C201" s="14" t="s">
        <v>6811</v>
      </c>
      <c r="D201" s="5" t="str">
        <f ca="1">IFERROR(__xludf.DUMMYFUNCTION("GOOGLETRANSLATE(B201,""ja"",""vi"")"),"hình ảnh")</f>
        <v>hình ảnh</v>
      </c>
      <c r="E201" s="4" t="str">
        <f ca="1">IFERROR(__xludf.DUMMYFUNCTION("GOOGLETRANSLATE(C201,""ja"",""vi"")"),"Đấu giá&gt; Sở thích, văn hóa&gt; tác phẩm nghệ thuật&gt; Sách&gt; Tranh")</f>
        <v>Đấu giá&gt; Sở thích, văn hóa&gt; tác phẩm nghệ thuật&gt; Sách&gt; Tranh</v>
      </c>
      <c r="F201" t="str">
        <f t="shared" ca="1" si="3"/>
        <v>"2084009054" : "hình ảnh",</v>
      </c>
    </row>
    <row r="202" spans="1:6" ht="15.75" customHeight="1">
      <c r="A202" s="14">
        <v>2084009053</v>
      </c>
      <c r="B202" s="14" t="s">
        <v>6812</v>
      </c>
      <c r="C202" s="14" t="s">
        <v>6813</v>
      </c>
      <c r="D202" s="5" t="str">
        <f ca="1">IFERROR(__xludf.DUMMYFUNCTION("GOOGLETRANSLATE(B202,""ja"",""vi"")"),"Nghệ thuật, lịch sử nghệ thuật")</f>
        <v>Nghệ thuật, lịch sử nghệ thuật</v>
      </c>
      <c r="E202" s="4" t="str">
        <f ca="1">IFERROR(__xludf.DUMMYFUNCTION("GOOGLETRANSLATE(C202,""ja"",""vi"")"),"Đấu giá&gt; Sở thích, văn hóa&gt; tác phẩm nghệ thuật&gt; Sách&gt; nghệ thuật, lịch sử nghệ thuật")</f>
        <v>Đấu giá&gt; Sở thích, văn hóa&gt; tác phẩm nghệ thuật&gt; Sách&gt; nghệ thuật, lịch sử nghệ thuật</v>
      </c>
      <c r="F202" t="str">
        <f t="shared" ca="1" si="3"/>
        <v>"2084009053" : "Nghệ thuật, lịch sử nghệ thuật",</v>
      </c>
    </row>
    <row r="203" spans="1:6" ht="15.75" customHeight="1">
      <c r="A203" s="14">
        <v>2084263670</v>
      </c>
      <c r="B203" s="14" t="s">
        <v>5258</v>
      </c>
      <c r="C203" s="14" t="s">
        <v>6814</v>
      </c>
      <c r="D203" s="5" t="str">
        <f ca="1">IFERROR(__xludf.DUMMYFUNCTION("GOOGLETRANSLATE(B203,""ja"",""vi"")"),"sách cũ, tài liệu cũ")</f>
        <v>sách cũ, tài liệu cũ</v>
      </c>
      <c r="E203" s="4" t="str">
        <f ca="1">IFERROR(__xludf.DUMMYFUNCTION("GOOGLETRANSLATE(C203,""ja"",""vi"")"),"Đấu giá&gt; Sở thích, văn hóa&gt; tác phẩm nghệ thuật&gt; Sách&gt; cuốn sách cũ, tài liệu cổ")</f>
        <v>Đấu giá&gt; Sở thích, văn hóa&gt; tác phẩm nghệ thuật&gt; Sách&gt; cuốn sách cũ, tài liệu cổ</v>
      </c>
      <c r="F203" t="str">
        <f t="shared" ca="1" si="3"/>
        <v>"2084263670" : "sách cũ, tài liệu cũ",</v>
      </c>
    </row>
    <row r="204" spans="1:6" ht="15.75" customHeight="1">
      <c r="A204" s="14">
        <v>2084009065</v>
      </c>
      <c r="B204" s="14" t="s">
        <v>4889</v>
      </c>
      <c r="C204" s="14" t="s">
        <v>6815</v>
      </c>
      <c r="D204" s="5" t="str">
        <f ca="1">IFERROR(__xludf.DUMMYFUNCTION("GOOGLETRANSLATE(B204,""ja"",""vi"")"),"đồ thủ công")</f>
        <v>đồ thủ công</v>
      </c>
      <c r="E204" s="4" t="str">
        <f ca="1">IFERROR(__xludf.DUMMYFUNCTION("GOOGLETRANSLATE(C204,""ja"",""vi"")"),"Đấu giá&gt; Sở thích, văn hóa&gt; tác phẩm nghệ thuật&gt; Sách&gt; Thủ công mỹ nghệ")</f>
        <v>Đấu giá&gt; Sở thích, văn hóa&gt; tác phẩm nghệ thuật&gt; Sách&gt; Thủ công mỹ nghệ</v>
      </c>
      <c r="F204" t="str">
        <f t="shared" ca="1" si="3"/>
        <v>"2084009065" : "đồ thủ công",</v>
      </c>
    </row>
    <row r="205" spans="1:6" ht="15.75" customHeight="1">
      <c r="A205" s="14">
        <v>2084009062</v>
      </c>
      <c r="B205" s="14" t="s">
        <v>6816</v>
      </c>
      <c r="C205" s="14" t="s">
        <v>6817</v>
      </c>
      <c r="D205" s="5" t="str">
        <f ca="1">IFERROR(__xludf.DUMMYFUNCTION("GOOGLETRANSLATE(B205,""ja"",""vi"")"),"Thư pháp")</f>
        <v>Thư pháp</v>
      </c>
      <c r="E205" s="4" t="str">
        <f ca="1">IFERROR(__xludf.DUMMYFUNCTION("GOOGLETRANSLATE(C205,""ja"",""vi"")"),"Đấu giá&gt; Sở thích, văn hóa&gt; tác phẩm nghệ thuật&gt; Sách&gt; Thư pháp")</f>
        <v>Đấu giá&gt; Sở thích, văn hóa&gt; tác phẩm nghệ thuật&gt; Sách&gt; Thư pháp</v>
      </c>
      <c r="F205" t="str">
        <f t="shared" ca="1" si="3"/>
        <v>"2084009062" : "Thư pháp",</v>
      </c>
    </row>
    <row r="206" spans="1:6" ht="15.75" customHeight="1">
      <c r="A206" s="14">
        <v>2084009058</v>
      </c>
      <c r="B206" s="14" t="s">
        <v>6818</v>
      </c>
      <c r="C206" s="14" t="s">
        <v>6819</v>
      </c>
      <c r="D206" s="5" t="str">
        <f ca="1">IFERROR(__xludf.DUMMYFUNCTION("GOOGLETRANSLATE(B206,""ja"",""vi"")"),"Printmaking, điêu khắc")</f>
        <v>Printmaking, điêu khắc</v>
      </c>
      <c r="E206" s="4" t="str">
        <f ca="1">IFERROR(__xludf.DUMMYFUNCTION("GOOGLETRANSLATE(C206,""ja"",""vi"")"),"Đấu giá&gt; Sở thích, văn hóa&gt; tác phẩm nghệ thuật&gt; Sách&gt; in, điêu khắc")</f>
        <v>Đấu giá&gt; Sở thích, văn hóa&gt; tác phẩm nghệ thuật&gt; Sách&gt; in, điêu khắc</v>
      </c>
      <c r="F206" t="str">
        <f t="shared" ca="1" si="3"/>
        <v>"2084009058" : "Printmaking, điêu khắc",</v>
      </c>
    </row>
    <row r="207" spans="1:6" ht="15.75" customHeight="1">
      <c r="A207" s="14">
        <v>2084048350</v>
      </c>
      <c r="B207" s="14" t="s">
        <v>4882</v>
      </c>
      <c r="C207" s="14" t="s">
        <v>6820</v>
      </c>
      <c r="D207" s="5" t="str">
        <f ca="1">IFERROR(__xludf.DUMMYFUNCTION("GOOGLETRANSLATE(B207,""ja"",""vi"")"),"Nghệ thuật Nhiếp ảnh")</f>
        <v>Nghệ thuật Nhiếp ảnh</v>
      </c>
      <c r="E207" s="4" t="str">
        <f ca="1">IFERROR(__xludf.DUMMYFUNCTION("GOOGLETRANSLATE(C207,""ja"",""vi"")"),"Đấu giá&gt; Sở thích, văn hóa&gt; tác phẩm nghệ thuật&gt; Sách&gt; Nghệ thuật Nhiếp ảnh")</f>
        <v>Đấu giá&gt; Sở thích, văn hóa&gt; tác phẩm nghệ thuật&gt; Sách&gt; Nghệ thuật Nhiếp ảnh</v>
      </c>
      <c r="F207" t="str">
        <f t="shared" ca="1" si="3"/>
        <v>"2084048350" : "Nghệ thuật Nhiếp ảnh",</v>
      </c>
    </row>
    <row r="208" spans="1:6" ht="15.75" customHeight="1">
      <c r="A208" s="14">
        <v>2084009064</v>
      </c>
      <c r="B208" s="14" t="s">
        <v>6821</v>
      </c>
      <c r="C208" s="14" t="s">
        <v>6822</v>
      </c>
      <c r="D208" s="5" t="str">
        <f ca="1">IFERROR(__xludf.DUMMYFUNCTION("GOOGLETRANSLATE(B208,""ja"",""vi"")"),"ảnh kỹ thuật")</f>
        <v>ảnh kỹ thuật</v>
      </c>
      <c r="E208" s="4" t="str">
        <f ca="1">IFERROR(__xludf.DUMMYFUNCTION("GOOGLETRANSLATE(C208,""ja"",""vi"")"),"Đấu giá&gt; Sở thích, văn hóa&gt; tác phẩm nghệ thuật&gt; Sách&gt; kỹ thuật Hình ảnh")</f>
        <v>Đấu giá&gt; Sở thích, văn hóa&gt; tác phẩm nghệ thuật&gt; Sách&gt; kỹ thuật Hình ảnh</v>
      </c>
      <c r="F208" t="str">
        <f t="shared" ca="1" si="3"/>
        <v>"2084009064" : "ảnh kỹ thuật",</v>
      </c>
    </row>
    <row r="209" spans="1:6" ht="15.75" customHeight="1">
      <c r="A209" s="14">
        <v>21888</v>
      </c>
      <c r="B209" s="14" t="s">
        <v>4882</v>
      </c>
      <c r="C209" s="14" t="s">
        <v>6823</v>
      </c>
      <c r="D209" s="5" t="str">
        <f ca="1">IFERROR(__xludf.DUMMYFUNCTION("GOOGLETRANSLATE(B209,""ja"",""vi"")"),"Nghệ thuật Nhiếp ảnh")</f>
        <v>Nghệ thuật Nhiếp ảnh</v>
      </c>
      <c r="E209" s="4" t="str">
        <f ca="1">IFERROR(__xludf.DUMMYFUNCTION("GOOGLETRANSLATE(C209,""ja"",""vi"")"),"Đấu giá&gt; Sở thích, văn hóa&gt; tác phẩm nghệ thuật&gt; Tạp chí&gt; Nghệ thuật Nhiếp ảnh")</f>
        <v>Đấu giá&gt; Sở thích, văn hóa&gt; tác phẩm nghệ thuật&gt; Tạp chí&gt; Nghệ thuật Nhiếp ảnh</v>
      </c>
      <c r="F209" t="str">
        <f t="shared" ca="1" si="3"/>
        <v>"21888" : "Nghệ thuật Nhiếp ảnh",</v>
      </c>
    </row>
    <row r="210" spans="1:6" ht="15.75" customHeight="1">
      <c r="A210" s="14">
        <v>2084008067</v>
      </c>
      <c r="B210" s="14" t="s">
        <v>4885</v>
      </c>
      <c r="C210" s="14" t="s">
        <v>6827</v>
      </c>
      <c r="D210" s="5" t="str">
        <f ca="1">IFERROR(__xludf.DUMMYFUNCTION("GOOGLETRANSLATE(B210,""ja"",""vi"")"),"hình ảnh")</f>
        <v>hình ảnh</v>
      </c>
      <c r="E210" s="4" t="str">
        <f ca="1">IFERROR(__xludf.DUMMYFUNCTION("GOOGLETRANSLATE(C210,""ja"",""vi"")"),"Đấu giá&gt; Sở thích, văn hóa&gt; tác phẩm nghệ thuật&gt; Tạp chí&gt; Tranh")</f>
        <v>Đấu giá&gt; Sở thích, văn hóa&gt; tác phẩm nghệ thuật&gt; Tạp chí&gt; Tranh</v>
      </c>
      <c r="F210" t="str">
        <f t="shared" ca="1" si="3"/>
        <v>"2084008067" : "hình ảnh",</v>
      </c>
    </row>
    <row r="211" spans="1:6" ht="15.75" customHeight="1">
      <c r="A211" s="14">
        <v>2084048235</v>
      </c>
      <c r="B211" s="14" t="s">
        <v>4877</v>
      </c>
      <c r="C211" s="14" t="s">
        <v>6830</v>
      </c>
      <c r="D211" s="5" t="str">
        <f ca="1">IFERROR(__xludf.DUMMYFUNCTION("GOOGLETRANSLATE(B211,""ja"",""vi"")"),"Nghệ thuật chung")</f>
        <v>Nghệ thuật chung</v>
      </c>
      <c r="E211" s="4" t="str">
        <f ca="1">IFERROR(__xludf.DUMMYFUNCTION("GOOGLETRANSLATE(C211,""ja"",""vi"")"),"Đấu giá&gt; Sở thích, văn hóa&gt; tác phẩm nghệ thuật&gt; Tạp chí&gt; nghệ thuật toàn diện")</f>
        <v>Đấu giá&gt; Sở thích, văn hóa&gt; tác phẩm nghệ thuật&gt; Tạp chí&gt; nghệ thuật toàn diện</v>
      </c>
      <c r="F211" t="str">
        <f t="shared" ca="1" si="3"/>
        <v>"2084048235" : "Nghệ thuật chung",</v>
      </c>
    </row>
    <row r="212" spans="1:6" ht="15.75" customHeight="1">
      <c r="A212" s="14">
        <v>2084048861</v>
      </c>
      <c r="B212" s="14" t="s">
        <v>6832</v>
      </c>
      <c r="C212" s="14" t="s">
        <v>6833</v>
      </c>
      <c r="D212" s="5" t="str">
        <f ca="1">IFERROR(__xludf.DUMMYFUNCTION("GOOGLETRANSLATE(B212,""ja"",""vi"")"),"dụng cụ hút gió")</f>
        <v>dụng cụ hút gió</v>
      </c>
      <c r="E212" s="4" t="str">
        <f ca="1">IFERROR(__xludf.DUMMYFUNCTION("GOOGLETRANSLATE(C212,""ja"",""vi"")"),"Đấu giá&gt; Sở thích, văn hóa&gt; Art Supplies&gt; vật liệu sơn&gt; airbrush")</f>
        <v>Đấu giá&gt; Sở thích, văn hóa&gt; Art Supplies&gt; vật liệu sơn&gt; airbrush</v>
      </c>
      <c r="F212" t="str">
        <f t="shared" ca="1" si="3"/>
        <v>"2084048861" : "dụng cụ hút gió",</v>
      </c>
    </row>
    <row r="213" spans="1:6" ht="15.75" customHeight="1">
      <c r="A213" s="14">
        <v>2084040718</v>
      </c>
      <c r="B213" s="14" t="s">
        <v>6836</v>
      </c>
      <c r="C213" s="14" t="s">
        <v>6837</v>
      </c>
      <c r="D213" s="5" t="str">
        <f ca="1">IFERROR(__xludf.DUMMYFUNCTION("GOOGLETRANSLATE(B213,""ja"",""vi"")"),"Crayon, pastel")</f>
        <v>Crayon, pastel</v>
      </c>
      <c r="E213" s="4" t="str">
        <f ca="1">IFERROR(__xludf.DUMMYFUNCTION("GOOGLETRANSLATE(C213,""ja"",""vi"")"),"Đấu giá&gt; Sở thích, văn hóa&gt; Art Supplies&gt; vật liệu sơn&gt; crayon, pastel")</f>
        <v>Đấu giá&gt; Sở thích, văn hóa&gt; Art Supplies&gt; vật liệu sơn&gt; crayon, pastel</v>
      </c>
      <c r="F213" t="str">
        <f t="shared" ca="1" si="3"/>
        <v>"2084040718" : "Crayon, pastel",</v>
      </c>
    </row>
    <row r="214" spans="1:6" ht="15.75" customHeight="1">
      <c r="A214" s="14">
        <v>2084040721</v>
      </c>
      <c r="B214" s="14" t="s">
        <v>6839</v>
      </c>
      <c r="C214" s="14" t="s">
        <v>6840</v>
      </c>
      <c r="D214" s="5" t="str">
        <f ca="1">IFERROR(__xludf.DUMMYFUNCTION("GOOGLETRANSLATE(B214,""ja"",""vi"")"),"Pastel, Conte")</f>
        <v>Pastel, Conte</v>
      </c>
      <c r="E214" s="4" t="str">
        <f ca="1">IFERROR(__xludf.DUMMYFUNCTION("GOOGLETRANSLATE(C214,""ja"",""vi"")"),"Đấu giá&gt; Sở thích, văn hóa&gt; Art Supplies&gt; vẽ vật liệu&gt; pastel, Conte")</f>
        <v>Đấu giá&gt; Sở thích, văn hóa&gt; Art Supplies&gt; vẽ vật liệu&gt; pastel, Conte</v>
      </c>
      <c r="F214" t="str">
        <f t="shared" ca="1" si="3"/>
        <v>"2084040721" : "Pastel, Conte",</v>
      </c>
    </row>
    <row r="215" spans="1:6" ht="15.75" customHeight="1">
      <c r="A215" s="14">
        <v>2084040735</v>
      </c>
      <c r="B215" s="14" t="s">
        <v>6843</v>
      </c>
      <c r="C215" s="14" t="s">
        <v>6844</v>
      </c>
      <c r="D215" s="5" t="str">
        <f ca="1">IFERROR(__xludf.DUMMYFUNCTION("GOOGLETRANSLATE(B215,""ja"",""vi"")"),"Marker, phớt-tip bút")</f>
        <v>Marker, phớt-tip bút</v>
      </c>
      <c r="E215" s="4" t="str">
        <f ca="1">IFERROR(__xludf.DUMMYFUNCTION("GOOGLETRANSLATE(C215,""ja"",""vi"")"),"Đấu giá&gt; Sở thích, văn hóa&gt; Art Supplies&gt; vật liệu sơn&gt; đánh dấu, cảm-tip bút")</f>
        <v>Đấu giá&gt; Sở thích, văn hóa&gt; Art Supplies&gt; vật liệu sơn&gt; đánh dấu, cảm-tip bút</v>
      </c>
      <c r="F215" t="str">
        <f t="shared" ca="1" si="3"/>
        <v>"2084040735" : "Marker, phớt-tip bút",</v>
      </c>
    </row>
    <row r="216" spans="1:6" ht="15.75" customHeight="1">
      <c r="A216" s="14">
        <v>2084063315</v>
      </c>
      <c r="B216" s="14" t="s">
        <v>6846</v>
      </c>
      <c r="C216" s="14" t="s">
        <v>6848</v>
      </c>
      <c r="D216" s="5" t="str">
        <f ca="1">IFERROR(__xludf.DUMMYFUNCTION("GOOGLETRANSLATE(B216,""ja"",""vi"")"),"giấy để vẻ")</f>
        <v>giấy để vẻ</v>
      </c>
      <c r="E216" s="4" t="str">
        <f ca="1">IFERROR(__xludf.DUMMYFUNCTION("GOOGLETRANSLATE(C216,""ja"",""vi"")"),"Đấu giá&gt; Sở thích, văn hóa&gt; Art Supplies&gt; vật liệu sơn&gt; giấy vẽ")</f>
        <v>Đấu giá&gt; Sở thích, văn hóa&gt; Art Supplies&gt; vật liệu sơn&gt; giấy vẽ</v>
      </c>
      <c r="F216" t="str">
        <f t="shared" ca="1" si="3"/>
        <v>"2084063315" : "giấy để vẻ",</v>
      </c>
    </row>
    <row r="217" spans="1:6" ht="15.75" customHeight="1">
      <c r="A217" s="14">
        <v>2084040722</v>
      </c>
      <c r="B217" s="14" t="s">
        <v>6851</v>
      </c>
      <c r="C217" s="14" t="s">
        <v>6852</v>
      </c>
      <c r="D217" s="5" t="str">
        <f ca="1">IFERROR(__xludf.DUMMYFUNCTION("GOOGLETRANSLATE(B217,""ja"",""vi"")"),"Sơn, màu sắc tấm áp phích")</f>
        <v>Sơn, màu sắc tấm áp phích</v>
      </c>
      <c r="E217" s="4" t="str">
        <f ca="1">IFERROR(__xludf.DUMMYFUNCTION("GOOGLETRANSLATE(C217,""ja"",""vi"")"),"Đấu giá&gt; Sở thích, văn hóa&gt; Art Supplies&gt; vật liệu sơn&gt; sơn, màu sắc tấm áp phích")</f>
        <v>Đấu giá&gt; Sở thích, văn hóa&gt; Art Supplies&gt; vật liệu sơn&gt; sơn, màu sắc tấm áp phích</v>
      </c>
      <c r="F217" t="str">
        <f t="shared" ca="1" si="3"/>
        <v>"2084040722" : "Sơn, màu sắc tấm áp phích",</v>
      </c>
    </row>
    <row r="218" spans="1:6" ht="15.75" customHeight="1">
      <c r="A218" s="14">
        <v>2084056526</v>
      </c>
      <c r="B218" s="14" t="s">
        <v>6854</v>
      </c>
      <c r="C218" s="14" t="s">
        <v>6855</v>
      </c>
      <c r="D218" s="5" t="str">
        <f ca="1">IFERROR(__xludf.DUMMYFUNCTION("GOOGLETRANSLATE(B218,""ja"",""vi"")"),"cọ sơn")</f>
        <v>cọ sơn</v>
      </c>
      <c r="E218" s="4" t="str">
        <f ca="1">IFERROR(__xludf.DUMMYFUNCTION("GOOGLETRANSLATE(C218,""ja"",""vi"")"),"Đấu giá&gt; Sở thích, văn hóa&gt; Art Supplies&gt; vật liệu sơn&gt; cọ")</f>
        <v>Đấu giá&gt; Sở thích, văn hóa&gt; Art Supplies&gt; vật liệu sơn&gt; cọ</v>
      </c>
      <c r="F218" t="str">
        <f t="shared" ca="1" si="3"/>
        <v>"2084056526" : "cọ sơn",</v>
      </c>
    </row>
    <row r="219" spans="1:6" ht="15.75" customHeight="1">
      <c r="A219" s="14">
        <v>2084040719</v>
      </c>
      <c r="B219" s="14" t="s">
        <v>6858</v>
      </c>
      <c r="C219" s="14" t="s">
        <v>6860</v>
      </c>
      <c r="D219" s="5" t="str">
        <f ca="1">IFERROR(__xludf.DUMMYFUNCTION("GOOGLETRANSLATE(B219,""ja"",""vi"")"),"màu bút chì")</f>
        <v>màu bút chì</v>
      </c>
      <c r="E219" s="4" t="str">
        <f ca="1">IFERROR(__xludf.DUMMYFUNCTION("GOOGLETRANSLATE(C219,""ja"",""vi"")"),"Đấu giá&gt; Sở thích, văn hóa&gt; Art Supplies&gt; vật liệu sơn&gt; bút chì màu")</f>
        <v>Đấu giá&gt; Sở thích, văn hóa&gt; Art Supplies&gt; vật liệu sơn&gt; bút chì màu</v>
      </c>
      <c r="F219" t="str">
        <f t="shared" ca="1" si="3"/>
        <v>"2084040719" : "màu bút chì",</v>
      </c>
    </row>
    <row r="220" spans="1:6" ht="15.75" customHeight="1">
      <c r="A220" s="14">
        <v>2084040723</v>
      </c>
      <c r="B220" s="14" t="s">
        <v>46</v>
      </c>
      <c r="C220" s="14" t="s">
        <v>6862</v>
      </c>
      <c r="D220" s="5" t="str">
        <f ca="1">IFERROR(__xludf.DUMMYFUNCTION("GOOGLETRANSLATE(B220,""ja"",""vi"")"),"nếu không thì")</f>
        <v>nếu không thì</v>
      </c>
      <c r="E220" s="4" t="str">
        <f ca="1">IFERROR(__xludf.DUMMYFUNCTION("GOOGLETRANSLATE(C220,""ja"",""vi"")"),"Đấu giá&gt; Sở thích, văn hóa&gt; Art Supplies&gt; vẽ vật liệu&gt; Khác")</f>
        <v>Đấu giá&gt; Sở thích, văn hóa&gt; Art Supplies&gt; vẽ vật liệu&gt; Khác</v>
      </c>
      <c r="F220" t="str">
        <f t="shared" ca="1" si="3"/>
        <v>"2084040723" : "nếu không thì",</v>
      </c>
    </row>
    <row r="221" spans="1:6" ht="15.75" customHeight="1">
      <c r="A221" s="14">
        <v>2084236698</v>
      </c>
      <c r="B221" s="14" t="s">
        <v>6779</v>
      </c>
      <c r="C221" s="14" t="s">
        <v>6780</v>
      </c>
      <c r="D221" s="5" t="str">
        <f ca="1">IFERROR(__xludf.DUMMYFUNCTION("GOOGLETRANSLATE(B221,""ja"",""vi"")"),"khung Poster")</f>
        <v>khung Poster</v>
      </c>
      <c r="E221" s="4" t="str">
        <f ca="1">IFERROR(__xludf.DUMMYFUNCTION("GOOGLETRANSLATE(C221,""ja"",""vi"")"),"Đấu giá&gt; Sở thích, văn hóa&gt; Art Supplies&gt; khung hình&gt; khung tấm áp phích")</f>
        <v>Đấu giá&gt; Sở thích, văn hóa&gt; Art Supplies&gt; khung hình&gt; khung tấm áp phích</v>
      </c>
      <c r="F221" t="str">
        <f t="shared" ca="1" si="3"/>
        <v>"2084236698" : "khung Poster",</v>
      </c>
    </row>
    <row r="222" spans="1:6" ht="15.75" customHeight="1">
      <c r="A222" s="14">
        <v>2084236697</v>
      </c>
      <c r="B222" s="14" t="s">
        <v>6781</v>
      </c>
      <c r="C222" s="14" t="s">
        <v>6782</v>
      </c>
      <c r="D222" s="5" t="str">
        <f ca="1">IFERROR(__xludf.DUMMYFUNCTION("GOOGLETRANSLATE(B222,""ja"",""vi"")"),"khung ảnh")</f>
        <v>khung ảnh</v>
      </c>
      <c r="E222" s="4" t="str">
        <f ca="1">IFERROR(__xludf.DUMMYFUNCTION("GOOGLETRANSLATE(C222,""ja"",""vi"")"),"Đấu giá&gt; Sở thích, văn hóa&gt; Art Supplies&gt; khung hình&gt; khung ảnh")</f>
        <v>Đấu giá&gt; Sở thích, văn hóa&gt; Art Supplies&gt; khung hình&gt; khung ảnh</v>
      </c>
      <c r="F222" t="str">
        <f t="shared" ca="1" si="3"/>
        <v>"2084236697" : "khung ảnh",</v>
      </c>
    </row>
    <row r="223" spans="1:6" ht="15.75" customHeight="1">
      <c r="A223" s="14">
        <v>2084236696</v>
      </c>
      <c r="B223" s="14" t="s">
        <v>6783</v>
      </c>
      <c r="C223" s="14" t="s">
        <v>6784</v>
      </c>
      <c r="D223" s="5" t="str">
        <f ca="1">IFERROR(__xludf.DUMMYFUNCTION("GOOGLETRANSLATE(B223,""ja"",""vi"")"),"khung hình màu nước, vẽ khung")</f>
        <v>khung hình màu nước, vẽ khung</v>
      </c>
      <c r="E223" s="4" t="str">
        <f ca="1">IFERROR(__xludf.DUMMYFUNCTION("GOOGLETRANSLATE(C223,""ja"",""vi"")"),"Đấu giá&gt; Sở thích, văn hóa&gt; Art Supplies&gt; khung hình&gt; khung hình màu nước, vẽ khung")</f>
        <v>Đấu giá&gt; Sở thích, văn hóa&gt; Art Supplies&gt; khung hình&gt; khung hình màu nước, vẽ khung</v>
      </c>
      <c r="F223" t="str">
        <f t="shared" ca="1" si="3"/>
        <v>"2084236696" : "khung hình màu nước, vẽ khung",</v>
      </c>
    </row>
    <row r="224" spans="1:6" ht="15.75" customHeight="1">
      <c r="A224" s="14">
        <v>2084236695</v>
      </c>
      <c r="B224" s="14" t="s">
        <v>6785</v>
      </c>
      <c r="C224" s="14" t="s">
        <v>6786</v>
      </c>
      <c r="D224" s="5" t="str">
        <f ca="1">IFERROR(__xludf.DUMMYFUNCTION("GOOGLETRANSLATE(B224,""ja"",""vi"")"),"khung hình dầu")</f>
        <v>khung hình dầu</v>
      </c>
      <c r="E224" s="4" t="str">
        <f ca="1">IFERROR(__xludf.DUMMYFUNCTION("GOOGLETRANSLATE(C224,""ja"",""vi"")"),"Đấu giá&gt; Sở thích, văn hóa&gt; Art Supplies&gt; khung hình&gt; khung hình Dầu")</f>
        <v>Đấu giá&gt; Sở thích, văn hóa&gt; Art Supplies&gt; khung hình&gt; khung hình Dầu</v>
      </c>
      <c r="F224" t="str">
        <f t="shared" ca="1" si="3"/>
        <v>"2084236695" : "khung hình dầu",</v>
      </c>
    </row>
    <row r="225" spans="1:6" ht="15.75" customHeight="1">
      <c r="A225" s="14">
        <v>2084236699</v>
      </c>
      <c r="B225" s="14" t="s">
        <v>46</v>
      </c>
      <c r="C225" s="14" t="s">
        <v>6787</v>
      </c>
      <c r="D225" s="5" t="str">
        <f ca="1">IFERROR(__xludf.DUMMYFUNCTION("GOOGLETRANSLATE(B225,""ja"",""vi"")"),"nếu không thì")</f>
        <v>nếu không thì</v>
      </c>
      <c r="E225" s="4" t="str">
        <f ca="1">IFERROR(__xludf.DUMMYFUNCTION("GOOGLETRANSLATE(C225,""ja"",""vi"")"),"Đấu giá&gt; Sở thích, văn hóa&gt; Art Supplies&gt; khung hình&gt; Khác")</f>
        <v>Đấu giá&gt; Sở thích, văn hóa&gt; Art Supplies&gt; khung hình&gt; Khác</v>
      </c>
      <c r="F225" t="str">
        <f t="shared" ca="1" si="3"/>
        <v>"2084236699" : "nếu không thì",</v>
      </c>
    </row>
    <row r="226" spans="1:6" ht="15.75" customHeight="1">
      <c r="A226" s="14">
        <v>20080</v>
      </c>
      <c r="B226" s="14" t="s">
        <v>4885</v>
      </c>
      <c r="C226" s="14" t="s">
        <v>6876</v>
      </c>
      <c r="D226" s="5" t="str">
        <f ca="1">IFERROR(__xludf.DUMMYFUNCTION("GOOGLETRANSLATE(B226,""ja"",""vi"")"),"hình ảnh")</f>
        <v>hình ảnh</v>
      </c>
      <c r="E226" s="4" t="str">
        <f ca="1">IFERROR(__xludf.DUMMYFUNCTION("GOOGLETRANSLATE(C226,""ja"",""vi"")"),"Đấu giá&gt; Sở thích, văn hóa&gt; tác phẩm nghệ thuật&gt; Tranh")</f>
        <v>Đấu giá&gt; Sở thích, văn hóa&gt; tác phẩm nghệ thuật&gt; Tranh</v>
      </c>
      <c r="F226" t="str">
        <f t="shared" ca="1" si="3"/>
        <v>"20080" : "hình ảnh",</v>
      </c>
    </row>
    <row r="227" spans="1:6" ht="15.75" customHeight="1">
      <c r="A227" s="14">
        <v>2084006148</v>
      </c>
      <c r="B227" s="14" t="s">
        <v>6880</v>
      </c>
      <c r="C227" s="14" t="s">
        <v>6881</v>
      </c>
      <c r="D227" s="5" t="str">
        <f ca="1">IFERROR(__xludf.DUMMYFUNCTION("GOOGLETRANSLATE(B227,""ja"",""vi"")"),"khắc")</f>
        <v>khắc</v>
      </c>
      <c r="E227" s="4" t="str">
        <f ca="1">IFERROR(__xludf.DUMMYFUNCTION("GOOGLETRANSLATE(C227,""ja"",""vi"")"),"Đấu giá&gt; Sở thích, văn hóa&gt; tác phẩm nghệ thuật&gt; In")</f>
        <v>Đấu giá&gt; Sở thích, văn hóa&gt; tác phẩm nghệ thuật&gt; In</v>
      </c>
      <c r="F227" t="str">
        <f t="shared" ca="1" si="3"/>
        <v>"2084006148" : "khắc",</v>
      </c>
    </row>
    <row r="228" spans="1:6" ht="15.75" customHeight="1">
      <c r="A228" s="14">
        <v>20120</v>
      </c>
      <c r="B228" s="14" t="s">
        <v>6883</v>
      </c>
      <c r="C228" s="14" t="s">
        <v>6885</v>
      </c>
      <c r="D228" s="5" t="str">
        <f ca="1">IFERROR(__xludf.DUMMYFUNCTION("GOOGLETRANSLATE(B228,""ja"",""vi"")"),"Điêu khắc, các đối tượng")</f>
        <v>Điêu khắc, các đối tượng</v>
      </c>
      <c r="E228" s="4" t="str">
        <f ca="1">IFERROR(__xludf.DUMMYFUNCTION("GOOGLETRANSLATE(C228,""ja"",""vi"")"),"Đấu giá&gt; Sở thích, văn hóa&gt; tác phẩm nghệ thuật&gt; điêu khắc, các đối tượng")</f>
        <v>Đấu giá&gt; Sở thích, văn hóa&gt; tác phẩm nghệ thuật&gt; điêu khắc, các đối tượng</v>
      </c>
      <c r="F228" t="str">
        <f t="shared" ca="1" si="3"/>
        <v>"20120" : "Điêu khắc, các đối tượng",</v>
      </c>
    </row>
    <row r="229" spans="1:6" ht="15.75" customHeight="1">
      <c r="A229" s="14">
        <v>2084024008</v>
      </c>
      <c r="B229" s="14" t="s">
        <v>4889</v>
      </c>
      <c r="C229" s="14" t="s">
        <v>6888</v>
      </c>
      <c r="D229" s="5" t="str">
        <f ca="1">IFERROR(__xludf.DUMMYFUNCTION("GOOGLETRANSLATE(B229,""ja"",""vi"")"),"đồ thủ công")</f>
        <v>đồ thủ công</v>
      </c>
      <c r="E229" s="4" t="str">
        <f ca="1">IFERROR(__xludf.DUMMYFUNCTION("GOOGLETRANSLATE(C229,""ja"",""vi"")"),"Đấu giá&gt; Sở thích, văn hóa&gt; nghệ thuật&gt; thủ công")</f>
        <v>Đấu giá&gt; Sở thích, văn hóa&gt; nghệ thuật&gt; thủ công</v>
      </c>
      <c r="F229" t="str">
        <f t="shared" ca="1" si="3"/>
        <v>"2084024008" : "đồ thủ công",</v>
      </c>
    </row>
    <row r="230" spans="1:6" ht="15.75" customHeight="1">
      <c r="A230" s="14">
        <v>2084006189</v>
      </c>
      <c r="B230" s="14" t="s">
        <v>6890</v>
      </c>
      <c r="C230" s="14" t="s">
        <v>6891</v>
      </c>
      <c r="D230" s="5" t="str">
        <f ca="1">IFERROR(__xludf.DUMMYFUNCTION("GOOGLETRANSLATE(B230,""ja"",""vi"")"),"khung hình")</f>
        <v>khung hình</v>
      </c>
      <c r="E230" s="4" t="str">
        <f ca="1">IFERROR(__xludf.DUMMYFUNCTION("GOOGLETRANSLATE(C230,""ja"",""vi"")"),"Đấu giá&gt; Sở thích, văn hóa&gt; tác phẩm nghệ thuật&gt; khung hình")</f>
        <v>Đấu giá&gt; Sở thích, văn hóa&gt; tác phẩm nghệ thuật&gt; khung hình</v>
      </c>
      <c r="F230" t="str">
        <f t="shared" ca="1" si="3"/>
        <v>"2084006189" : "khung hình",</v>
      </c>
    </row>
    <row r="231" spans="1:6" ht="15.75" customHeight="1">
      <c r="A231" s="14">
        <v>2084006117</v>
      </c>
      <c r="B231" s="14" t="s">
        <v>6895</v>
      </c>
      <c r="C231" s="14" t="s">
        <v>6897</v>
      </c>
      <c r="D231" s="5" t="str">
        <f ca="1">IFERROR(__xludf.DUMMYFUNCTION("GOOGLETRANSLATE(B231,""ja"",""vi"")"),"Viết")</f>
        <v>Viết</v>
      </c>
      <c r="E231" s="4" t="str">
        <f ca="1">IFERROR(__xludf.DUMMYFUNCTION("GOOGLETRANSLATE(C231,""ja"",""vi"")"),"Đấu giá&gt; Sở thích, văn hóa&gt; tác phẩm nghệ thuật&gt; Bản Tuyên Bố")</f>
        <v>Đấu giá&gt; Sở thích, văn hóa&gt; tác phẩm nghệ thuật&gt; Bản Tuyên Bố</v>
      </c>
      <c r="F231" t="str">
        <f t="shared" ca="1" si="3"/>
        <v>"2084006117" : "Viết",</v>
      </c>
    </row>
    <row r="232" spans="1:6" ht="15.75" customHeight="1">
      <c r="A232" s="14">
        <v>20084</v>
      </c>
      <c r="B232" s="14" t="s">
        <v>6901</v>
      </c>
      <c r="C232" s="14" t="s">
        <v>6902</v>
      </c>
      <c r="D232" s="5" t="str">
        <f ca="1">IFERROR(__xludf.DUMMYFUNCTION("GOOGLETRANSLATE(B232,""ja"",""vi"")"),"nhiếp ảnh nghệ thuật")</f>
        <v>nhiếp ảnh nghệ thuật</v>
      </c>
      <c r="E232" s="4" t="str">
        <f ca="1">IFERROR(__xludf.DUMMYFUNCTION("GOOGLETRANSLATE(C232,""ja"",""vi"")"),"Đấu giá&gt; Sở thích, văn hóa&gt; tác phẩm nghệ thuật&gt; nhiếp ảnh nghệ thuật")</f>
        <v>Đấu giá&gt; Sở thích, văn hóa&gt; tác phẩm nghệ thuật&gt; nhiếp ảnh nghệ thuật</v>
      </c>
      <c r="F232" t="str">
        <f t="shared" ca="1" si="3"/>
        <v>"20084" : "nhiếp ảnh nghệ thuật",</v>
      </c>
    </row>
    <row r="233" spans="1:6" ht="15.75" customHeight="1">
      <c r="A233" s="14">
        <v>2084060415</v>
      </c>
      <c r="B233" s="14" t="s">
        <v>1632</v>
      </c>
      <c r="C233" s="14" t="s">
        <v>6905</v>
      </c>
      <c r="D233" s="5" t="str">
        <f ca="1">IFERROR(__xludf.DUMMYFUNCTION("GOOGLETRANSLATE(B233,""ja"",""vi"")"),"điều này")</f>
        <v>điều này</v>
      </c>
      <c r="E233" s="4" t="str">
        <f ca="1">IFERROR(__xludf.DUMMYFUNCTION("GOOGLETRANSLATE(C233,""ja"",""vi"")"),"Đấu giá&gt; Sở thích, văn hóa&gt; tác phẩm nghệ thuật&gt; Sách")</f>
        <v>Đấu giá&gt; Sở thích, văn hóa&gt; tác phẩm nghệ thuật&gt; Sách</v>
      </c>
      <c r="F233" t="str">
        <f t="shared" ca="1" si="3"/>
        <v>"2084060415" : "điều này",</v>
      </c>
    </row>
    <row r="234" spans="1:6" ht="15.75" customHeight="1">
      <c r="A234" s="14">
        <v>2084307788</v>
      </c>
      <c r="B234" s="14" t="s">
        <v>6777</v>
      </c>
      <c r="C234" s="14" t="s">
        <v>6907</v>
      </c>
      <c r="D234" s="5" t="str">
        <f ca="1">IFERROR(__xludf.DUMMYFUNCTION("GOOGLETRANSLATE(B234,""ja"",""vi"")"),"Tranh vẽ trên vải, hàng thủ công cho thuê")</f>
        <v>Tranh vẽ trên vải, hàng thủ công cho thuê</v>
      </c>
      <c r="E234" s="4" t="str">
        <f ca="1">IFERROR(__xludf.DUMMYFUNCTION("GOOGLETRANSLATE(C234,""ja"",""vi"")"),"Đấu giá&gt; Sở thích, văn hóa&gt; tác phẩm nghệ thuật&gt; Tranh, hàng thủ công cho thuê")</f>
        <v>Đấu giá&gt; Sở thích, văn hóa&gt; tác phẩm nghệ thuật&gt; Tranh, hàng thủ công cho thuê</v>
      </c>
      <c r="F234" t="str">
        <f t="shared" ca="1" si="3"/>
        <v>"2084307788" : "Tranh vẽ trên vải, hàng thủ công cho thuê",</v>
      </c>
    </row>
    <row r="235" spans="1:6" ht="15.75" customHeight="1">
      <c r="A235" s="14">
        <v>2084060423</v>
      </c>
      <c r="B235" s="14" t="s">
        <v>1586</v>
      </c>
      <c r="C235" s="14" t="s">
        <v>6910</v>
      </c>
      <c r="D235" s="5" t="str">
        <f ca="1">IFERROR(__xludf.DUMMYFUNCTION("GOOGLETRANSLATE(B235,""ja"",""vi"")"),"tạp chí")</f>
        <v>tạp chí</v>
      </c>
      <c r="E235" s="4" t="str">
        <f ca="1">IFERROR(__xludf.DUMMYFUNCTION("GOOGLETRANSLATE(C235,""ja"",""vi"")"),"Đấu giá&gt; Sở thích, văn hóa&gt; tác phẩm nghệ thuật&gt; Tạp chí")</f>
        <v>Đấu giá&gt; Sở thích, văn hóa&gt; tác phẩm nghệ thuật&gt; Tạp chí</v>
      </c>
      <c r="F235" t="str">
        <f t="shared" ca="1" si="3"/>
        <v>"2084060423" : "tạp chí",</v>
      </c>
    </row>
    <row r="236" spans="1:6" ht="15.75" customHeight="1">
      <c r="A236" s="14">
        <v>20128</v>
      </c>
      <c r="B236" s="14" t="s">
        <v>46</v>
      </c>
      <c r="C236" s="14" t="s">
        <v>6914</v>
      </c>
      <c r="D236" s="5" t="str">
        <f ca="1">IFERROR(__xludf.DUMMYFUNCTION("GOOGLETRANSLATE(B236,""ja"",""vi"")"),"nếu không thì")</f>
        <v>nếu không thì</v>
      </c>
      <c r="E236" s="4" t="str">
        <f ca="1">IFERROR(__xludf.DUMMYFUNCTION("GOOGLETRANSLATE(C236,""ja"",""vi"")"),"Đấu giá&gt; Sở thích, văn hóa&gt; tác phẩm nghệ thuật&gt; Khác")</f>
        <v>Đấu giá&gt; Sở thích, văn hóa&gt; tác phẩm nghệ thuật&gt; Khác</v>
      </c>
      <c r="F236" t="str">
        <f t="shared" ca="1" si="3"/>
        <v>"20128" : "nếu không thì",</v>
      </c>
    </row>
    <row r="237" spans="1:6" ht="15.75" customHeight="1">
      <c r="A237" s="14">
        <v>2084045838</v>
      </c>
      <c r="B237" s="14" t="s">
        <v>6916</v>
      </c>
      <c r="C237" s="14" t="s">
        <v>6917</v>
      </c>
      <c r="D237" s="5" t="str">
        <f ca="1">IFERROR(__xludf.DUMMYFUNCTION("GOOGLETRANSLATE(B237,""ja"",""vi"")"),"Crisp, vải")</f>
        <v>Crisp, vải</v>
      </c>
      <c r="E237" s="4" t="str">
        <f ca="1">IFERROR(__xludf.DUMMYFUNCTION("GOOGLETRANSLATE(C237,""ja"",""vi"")"),"Đấu giá&gt; Sở thích, văn hóa&gt; thủ công, thủ công mỹ nghệ&gt; may, thêu&gt; sắc nét, vải")</f>
        <v>Đấu giá&gt; Sở thích, văn hóa&gt; thủ công, thủ công mỹ nghệ&gt; may, thêu&gt; sắc nét, vải</v>
      </c>
      <c r="F237" t="str">
        <f t="shared" ca="1" si="3"/>
        <v>"2084045838" : "Crisp, vải",</v>
      </c>
    </row>
    <row r="238" spans="1:6" ht="15.75" customHeight="1">
      <c r="A238" s="14">
        <v>2084045841</v>
      </c>
      <c r="B238" s="14" t="s">
        <v>6919</v>
      </c>
      <c r="C238" s="14" t="s">
        <v>6921</v>
      </c>
      <c r="D238" s="5" t="str">
        <f ca="1">IFERROR(__xludf.DUMMYFUNCTION("GOOGLETRANSLATE(B238,""ja"",""vi"")"),"hộp may, công cụ")</f>
        <v>hộp may, công cụ</v>
      </c>
      <c r="E238" s="4" t="str">
        <f ca="1">IFERROR(__xludf.DUMMYFUNCTION("GOOGLETRANSLATE(C238,""ja"",""vi"")"),"Đấu giá&gt; Sở thích, văn hóa&gt; thủ công, thủ công mỹ nghệ&gt; may, thêu&gt; may ô, công cụ")</f>
        <v>Đấu giá&gt; Sở thích, văn hóa&gt; thủ công, thủ công mỹ nghệ&gt; may, thêu&gt; may ô, công cụ</v>
      </c>
      <c r="F238" t="str">
        <f t="shared" ca="1" si="3"/>
        <v>"2084045841" : "hộp may, công cụ",</v>
      </c>
    </row>
    <row r="239" spans="1:6" ht="15.75" customHeight="1">
      <c r="A239" s="14">
        <v>2084305361</v>
      </c>
      <c r="B239" s="14" t="s">
        <v>6925</v>
      </c>
      <c r="C239" s="14" t="s">
        <v>6926</v>
      </c>
      <c r="D239" s="5" t="str">
        <f ca="1">IFERROR(__xludf.DUMMYFUNCTION("GOOGLETRANSLATE(B239,""ja"",""vi"")"),"Emblem, vật liệu trang trí")</f>
        <v>Emblem, vật liệu trang trí</v>
      </c>
      <c r="E239" s="4" t="str">
        <f ca="1">IFERROR(__xludf.DUMMYFUNCTION("GOOGLETRANSLATE(C239,""ja"",""vi"")"),"Đấu giá&gt; Sở thích, văn hóa&gt; thủ công, thủ công mỹ nghệ&gt; may, thêu&gt; biểu tượng, vật liệu trang trí")</f>
        <v>Đấu giá&gt; Sở thích, văn hóa&gt; thủ công, thủ công mỹ nghệ&gt; may, thêu&gt; biểu tượng, vật liệu trang trí</v>
      </c>
      <c r="F239" t="str">
        <f t="shared" ca="1" si="3"/>
        <v>"2084305361" : "Emblem, vật liệu trang trí",</v>
      </c>
    </row>
    <row r="240" spans="1:6" ht="15.75" customHeight="1">
      <c r="A240" s="14">
        <v>2084045842</v>
      </c>
      <c r="B240" s="14" t="s">
        <v>6929</v>
      </c>
      <c r="C240" s="14" t="s">
        <v>6930</v>
      </c>
      <c r="D240" s="5" t="str">
        <f ca="1">IFERROR(__xludf.DUMMYFUNCTION("GOOGLETRANSLATE(B240,""ja"",""vi"")"),"nút")</f>
        <v>nút</v>
      </c>
      <c r="E240" s="4" t="str">
        <f ca="1">IFERROR(__xludf.DUMMYFUNCTION("GOOGLETRANSLATE(C240,""ja"",""vi"")"),"Đấu giá nút&gt; Sở thích, văn hóa&gt; thủ công, thủ công mỹ nghệ&gt; may, thêu&gt;")</f>
        <v>Đấu giá nút&gt; Sở thích, văn hóa&gt; thủ công, thủ công mỹ nghệ&gt; may, thêu&gt;</v>
      </c>
      <c r="F240" t="str">
        <f t="shared" ca="1" si="3"/>
        <v>"2084045842" : "nút",</v>
      </c>
    </row>
    <row r="241" spans="1:6" ht="15.75" customHeight="1">
      <c r="A241" s="14">
        <v>2084045840</v>
      </c>
      <c r="B241" s="14" t="s">
        <v>6932</v>
      </c>
      <c r="C241" s="14" t="s">
        <v>6933</v>
      </c>
      <c r="D241" s="5" t="str">
        <f ca="1">IFERROR(__xludf.DUMMYFUNCTION("GOOGLETRANSLATE(B241,""ja"",""vi"")"),"chủ đề")</f>
        <v>chủ đề</v>
      </c>
      <c r="E241" s="4" t="str">
        <f ca="1">IFERROR(__xludf.DUMMYFUNCTION("GOOGLETRANSLATE(C241,""ja"",""vi"")"),"Đấu giá&gt; Sở thích, văn hóa&gt; thủ công, thủ công mỹ nghệ&gt; may, thêu&gt; chủ đề")</f>
        <v>Đấu giá&gt; Sở thích, văn hóa&gt; thủ công, thủ công mỹ nghệ&gt; may, thêu&gt; chủ đề</v>
      </c>
      <c r="F241" t="str">
        <f t="shared" ca="1" si="3"/>
        <v>"2084045840" : "chủ đề",</v>
      </c>
    </row>
    <row r="242" spans="1:6" ht="15.75" customHeight="1">
      <c r="A242" s="14">
        <v>2084045849</v>
      </c>
      <c r="B242" s="14" t="s">
        <v>6936</v>
      </c>
      <c r="C242" s="14" t="s">
        <v>6937</v>
      </c>
      <c r="D242" s="5" t="str">
        <f ca="1">IFERROR(__xludf.DUMMYFUNCTION("GOOGLETRANSLATE(B242,""ja"",""vi"")"),"đan len")</f>
        <v>đan len</v>
      </c>
      <c r="E242" s="4" t="str">
        <f ca="1">IFERROR(__xludf.DUMMYFUNCTION("GOOGLETRANSLATE(C242,""ja"",""vi"")"),"Đấu giá&gt; Sở thích, văn hóa&gt; thủ công, thủ công mỹ nghệ&gt; may, thêu&gt; Sợi")</f>
        <v>Đấu giá&gt; Sở thích, văn hóa&gt; thủ công, thủ công mỹ nghệ&gt; may, thêu&gt; Sợi</v>
      </c>
      <c r="F242" t="str">
        <f t="shared" ca="1" si="3"/>
        <v>"2084045849" : "đan len",</v>
      </c>
    </row>
    <row r="243" spans="1:6" ht="15.75" customHeight="1">
      <c r="A243" s="14">
        <v>2084045839</v>
      </c>
      <c r="B243" s="14" t="s">
        <v>6939</v>
      </c>
      <c r="C243" s="14" t="s">
        <v>6941</v>
      </c>
      <c r="D243" s="5" t="str">
        <f ca="1">IFERROR(__xludf.DUMMYFUNCTION("GOOGLETRANSLATE(B243,""ja"",""vi"")"),"giấy mô hình")</f>
        <v>giấy mô hình</v>
      </c>
      <c r="E243" s="4" t="str">
        <f ca="1">IFERROR(__xludf.DUMMYFUNCTION("GOOGLETRANSLATE(C243,""ja"",""vi"")"),"Đấu giá&gt; Sở thích, văn hóa&gt; thủ công, thủ công mỹ nghệ&gt; may, thêu&gt; giấy")</f>
        <v>Đấu giá&gt; Sở thích, văn hóa&gt; thủ công, thủ công mỹ nghệ&gt; may, thêu&gt; giấy</v>
      </c>
      <c r="F243" t="str">
        <f t="shared" ca="1" si="3"/>
        <v>"2084045839" : "giấy mô hình",</v>
      </c>
    </row>
    <row r="244" spans="1:6" ht="15.75" customHeight="1">
      <c r="A244" s="14">
        <v>2084305356</v>
      </c>
      <c r="B244" s="14" t="s">
        <v>6945</v>
      </c>
      <c r="C244" s="14" t="s">
        <v>6947</v>
      </c>
      <c r="D244" s="5" t="str">
        <f ca="1">IFERROR(__xludf.DUMMYFUNCTION("GOOGLETRANSLATE(B244,""ja"",""vi"")"),"nghề thêu")</f>
        <v>nghề thêu</v>
      </c>
      <c r="E244" s="4" t="str">
        <f ca="1">IFERROR(__xludf.DUMMYFUNCTION("GOOGLETRANSLATE(C244,""ja"",""vi"")"),"Đấu giá&gt; Sở thích, văn hóa&gt; thủ công, thủ công mỹ nghệ&gt; may, thêu&gt; thêu")</f>
        <v>Đấu giá&gt; Sở thích, văn hóa&gt; thủ công, thủ công mỹ nghệ&gt; may, thêu&gt; thêu</v>
      </c>
      <c r="F244" t="str">
        <f t="shared" ca="1" si="3"/>
        <v>"2084305356" : "nghề thêu",</v>
      </c>
    </row>
    <row r="245" spans="1:6" ht="15.75" customHeight="1">
      <c r="A245" s="14">
        <v>2084045843</v>
      </c>
      <c r="B245" s="14" t="s">
        <v>6950</v>
      </c>
      <c r="C245" s="14" t="s">
        <v>6953</v>
      </c>
      <c r="D245" s="5" t="str">
        <f ca="1">IFERROR(__xludf.DUMMYFUNCTION("GOOGLETRANSLATE(B245,""ja"",""vi"")"),"xây dựng Kit")</f>
        <v>xây dựng Kit</v>
      </c>
      <c r="E245" s="4" t="str">
        <f ca="1">IFERROR(__xludf.DUMMYFUNCTION("GOOGLETRANSLATE(C245,""ja"",""vi"")"),"Đấu giá&gt; Sở thích, văn hóa&gt; thủ công, thủ công mỹ nghệ&gt; may, thêu&gt; làm bộ")</f>
        <v>Đấu giá&gt; Sở thích, văn hóa&gt; thủ công, thủ công mỹ nghệ&gt; may, thêu&gt; làm bộ</v>
      </c>
      <c r="F245" t="str">
        <f t="shared" ca="1" si="3"/>
        <v>"2084045843" : "xây dựng Kit",</v>
      </c>
    </row>
    <row r="246" spans="1:6" ht="15.75" customHeight="1">
      <c r="A246" s="14">
        <v>2084008354</v>
      </c>
      <c r="B246" s="14" t="s">
        <v>6956</v>
      </c>
      <c r="C246" s="14" t="s">
        <v>6957</v>
      </c>
      <c r="D246" s="5" t="str">
        <f ca="1">IFERROR(__xludf.DUMMYFUNCTION("GOOGLETRANSLATE(B246,""ja"",""vi"")"),"máy may")</f>
        <v>máy may</v>
      </c>
      <c r="E246" s="4" t="str">
        <f ca="1">IFERROR(__xludf.DUMMYFUNCTION("GOOGLETRANSLATE(C246,""ja"",""vi"")"),"Đấu giá&gt; Sở thích, văn hóa&gt; thủ công, thủ công mỹ nghệ&gt; may, thêu&gt; may")</f>
        <v>Đấu giá&gt; Sở thích, văn hóa&gt; thủ công, thủ công mỹ nghệ&gt; may, thêu&gt; may</v>
      </c>
      <c r="F246" t="str">
        <f t="shared" ca="1" si="3"/>
        <v>"2084008354" : "máy may",</v>
      </c>
    </row>
    <row r="247" spans="1:6" ht="15.75" customHeight="1">
      <c r="A247" s="14">
        <v>2084046810</v>
      </c>
      <c r="B247" s="14" t="s">
        <v>5082</v>
      </c>
      <c r="C247" s="14" t="s">
        <v>6960</v>
      </c>
      <c r="D247" s="5" t="str">
        <f ca="1">IFERROR(__xludf.DUMMYFUNCTION("GOOGLETRANSLATE(B247,""ja"",""vi"")"),"cuộc đua")</f>
        <v>cuộc đua</v>
      </c>
      <c r="E247" s="4" t="str">
        <f ca="1">IFERROR(__xludf.DUMMYFUNCTION("GOOGLETRANSLATE(C247,""ja"",""vi"")"),"Đấu giá&gt; Sở thích, văn hóa&gt; thủ công, thủ công mỹ nghệ&gt; may, thêu&gt; đua")</f>
        <v>Đấu giá&gt; Sở thích, văn hóa&gt; thủ công, thủ công mỹ nghệ&gt; may, thêu&gt; đua</v>
      </c>
      <c r="F247" t="str">
        <f t="shared" ca="1" si="3"/>
        <v>"2084046810" : "cuộc đua",</v>
      </c>
    </row>
    <row r="248" spans="1:6" ht="15.75" customHeight="1">
      <c r="A248" s="14">
        <v>2084008055</v>
      </c>
      <c r="B248" s="14" t="s">
        <v>6963</v>
      </c>
      <c r="C248" s="14" t="s">
        <v>6964</v>
      </c>
      <c r="D248" s="5" t="str">
        <f ca="1">IFERROR(__xludf.DUMMYFUNCTION("GOOGLETRANSLATE(B248,""ja"",""vi"")"),"tạp chí may")</f>
        <v>tạp chí may</v>
      </c>
      <c r="E248" s="4" t="str">
        <f ca="1">IFERROR(__xludf.DUMMYFUNCTION("GOOGLETRANSLATE(C248,""ja"",""vi"")"),"Đấu giá&gt; Sở thích, văn hóa&gt; thủ công, thủ công mỹ nghệ&gt; may, thêu&gt; tạp chí may")</f>
        <v>Đấu giá&gt; Sở thích, văn hóa&gt; thủ công, thủ công mỹ nghệ&gt; may, thêu&gt; tạp chí may</v>
      </c>
      <c r="F248" t="str">
        <f t="shared" ca="1" si="3"/>
        <v>"2084008055" : "tạp chí may",</v>
      </c>
    </row>
    <row r="249" spans="1:6" ht="15.75" customHeight="1">
      <c r="A249" s="14">
        <v>2084008951</v>
      </c>
      <c r="B249" s="14" t="s">
        <v>6966</v>
      </c>
      <c r="C249" s="14" t="s">
        <v>6967</v>
      </c>
      <c r="D249" s="5" t="str">
        <f ca="1">IFERROR(__xludf.DUMMYFUNCTION("GOOGLETRANSLATE(B249,""ja"",""vi"")"),"Thủ công mỹ nghệ, thợ may này")</f>
        <v>Thủ công mỹ nghệ, thợ may này</v>
      </c>
      <c r="E249" s="4" t="str">
        <f ca="1">IFERROR(__xludf.DUMMYFUNCTION("GOOGLETRANSLATE(C249,""ja"",""vi"")"),"Đấu giá&gt; Sở thích, văn hóa&gt; thủ công, thủ công mỹ nghệ&gt; may, thêu&gt; Thủ công mỹ nghệ, thợ may này")</f>
        <v>Đấu giá&gt; Sở thích, văn hóa&gt; thủ công, thủ công mỹ nghệ&gt; may, thêu&gt; Thủ công mỹ nghệ, thợ may này</v>
      </c>
      <c r="F249" t="str">
        <f t="shared" ca="1" si="3"/>
        <v>"2084008951" : "Thủ công mỹ nghệ, thợ may này",</v>
      </c>
    </row>
    <row r="250" spans="1:6" ht="15.75" customHeight="1">
      <c r="A250" s="14">
        <v>2084220295</v>
      </c>
      <c r="B250" s="14" t="s">
        <v>3665</v>
      </c>
      <c r="C250" s="14" t="s">
        <v>6973</v>
      </c>
      <c r="D250" s="5" t="str">
        <f ca="1">IFERROR(__xludf.DUMMYFUNCTION("GOOGLETRANSLATE(B250,""ja"",""vi"")"),"thành phẩm")</f>
        <v>thành phẩm</v>
      </c>
      <c r="E250" s="4" t="str">
        <f ca="1">IFERROR(__xludf.DUMMYFUNCTION("GOOGLETRANSLATE(C250,""ja"",""vi"")"),"Đấu giá&gt; Sở thích, văn hóa&gt; thủ công, thủ công mỹ nghệ&gt; may, thêu&gt; thành phẩm")</f>
        <v>Đấu giá&gt; Sở thích, văn hóa&gt; thủ công, thủ công mỹ nghệ&gt; may, thêu&gt; thành phẩm</v>
      </c>
      <c r="F250" t="str">
        <f t="shared" ca="1" si="3"/>
        <v>"2084220295" : "thành phẩm",</v>
      </c>
    </row>
    <row r="251" spans="1:6" ht="15.75" customHeight="1">
      <c r="A251" s="14">
        <v>2084045844</v>
      </c>
      <c r="B251" s="14" t="s">
        <v>46</v>
      </c>
      <c r="C251" s="14" t="s">
        <v>6979</v>
      </c>
      <c r="D251" s="5" t="str">
        <f ca="1">IFERROR(__xludf.DUMMYFUNCTION("GOOGLETRANSLATE(B251,""ja"",""vi"")"),"nếu không thì")</f>
        <v>nếu không thì</v>
      </c>
      <c r="E251" s="4" t="str">
        <f ca="1">IFERROR(__xludf.DUMMYFUNCTION("GOOGLETRANSLATE(C251,""ja"",""vi"")"),"Đấu giá&gt; Sở thích, văn hóa&gt; thủ công, thủ công mỹ nghệ&gt; may, thêu&gt; Khác")</f>
        <v>Đấu giá&gt; Sở thích, văn hóa&gt; thủ công, thủ công mỹ nghệ&gt; may, thêu&gt; Khác</v>
      </c>
      <c r="F251" t="str">
        <f t="shared" ca="1" si="3"/>
        <v>"2084045844" : "nếu không thì",</v>
      </c>
    </row>
    <row r="252" spans="1:6" ht="15.75" customHeight="1">
      <c r="A252" s="14">
        <v>2084062839</v>
      </c>
      <c r="B252" s="14" t="s">
        <v>1678</v>
      </c>
      <c r="C252" s="14" t="s">
        <v>3959</v>
      </c>
      <c r="D252" s="5" t="str">
        <f ca="1">IFERROR(__xludf.DUMMYFUNCTION("GOOGLETRANSLATE(B252,""ja"",""vi"")"),"Một cơ thể")</f>
        <v>Một cơ thể</v>
      </c>
      <c r="E252" s="4" t="str">
        <f ca="1">IFERROR(__xludf.DUMMYFUNCTION("GOOGLETRANSLATE(C252,""ja"",""vi"")"),"Đấu giá&gt; Sở thích, văn hóa&gt; thủ công, thủ công mỹ nghệ&gt; máy may&gt; cơ thể")</f>
        <v>Đấu giá&gt; Sở thích, văn hóa&gt; thủ công, thủ công mỹ nghệ&gt; máy may&gt; cơ thể</v>
      </c>
      <c r="F252" t="str">
        <f t="shared" ca="1" si="3"/>
        <v>"2084062839" : "Một cơ thể",</v>
      </c>
    </row>
    <row r="253" spans="1:6" ht="15.75" customHeight="1">
      <c r="A253" s="14">
        <v>2084305343</v>
      </c>
      <c r="B253" s="14" t="s">
        <v>3961</v>
      </c>
      <c r="C253" s="14" t="s">
        <v>3962</v>
      </c>
      <c r="D253" s="5" t="str">
        <f ca="1">IFERROR(__xludf.DUMMYFUNCTION("GOOGLETRANSLATE(B253,""ja"",""vi"")"),"suốt chỉ")</f>
        <v>suốt chỉ</v>
      </c>
      <c r="E253" s="4" t="str">
        <f ca="1">IFERROR(__xludf.DUMMYFUNCTION("GOOGLETRANSLATE(C253,""ja"",""vi"")"),"Đấu giá&gt; Sở thích, văn hóa&gt; thủ công, thủ công mỹ nghệ&gt; máy may&gt; cuộn")</f>
        <v>Đấu giá&gt; Sở thích, văn hóa&gt; thủ công, thủ công mỹ nghệ&gt; máy may&gt; cuộn</v>
      </c>
      <c r="F253" t="str">
        <f t="shared" ca="1" si="3"/>
        <v>"2084305343" : "suốt chỉ",</v>
      </c>
    </row>
    <row r="254" spans="1:6" ht="15.75" customHeight="1">
      <c r="A254" s="14">
        <v>2084305341</v>
      </c>
      <c r="B254" s="14" t="s">
        <v>3966</v>
      </c>
      <c r="C254" s="14" t="s">
        <v>3967</v>
      </c>
      <c r="D254" s="5" t="str">
        <f ca="1">IFERROR(__xludf.DUMMYFUNCTION("GOOGLETRANSLATE(B254,""ja"",""vi"")"),"chỉ khâu")</f>
        <v>chỉ khâu</v>
      </c>
      <c r="E254" s="4" t="str">
        <f ca="1">IFERROR(__xludf.DUMMYFUNCTION("GOOGLETRANSLATE(C254,""ja"",""vi"")"),"Đấu giá&gt; Sở thích, văn hóa&gt; thủ công, thủ công mỹ nghệ&gt; May&gt; may chủ đề")</f>
        <v>Đấu giá&gt; Sở thích, văn hóa&gt; thủ công, thủ công mỹ nghệ&gt; May&gt; may chủ đề</v>
      </c>
      <c r="F254" t="str">
        <f t="shared" ca="1" si="3"/>
        <v>"2084305341" : "chỉ khâu",</v>
      </c>
    </row>
    <row r="255" spans="1:6" ht="15.75" customHeight="1">
      <c r="A255" s="14">
        <v>2084305342</v>
      </c>
      <c r="B255" s="14" t="s">
        <v>3971</v>
      </c>
      <c r="C255" s="14" t="s">
        <v>3973</v>
      </c>
      <c r="D255" s="5" t="str">
        <f ca="1">IFERROR(__xludf.DUMMYFUNCTION("GOOGLETRANSLATE(B255,""ja"",""vi"")"),"máy may kim")</f>
        <v>máy may kim</v>
      </c>
      <c r="E255" s="4" t="str">
        <f ca="1">IFERROR(__xludf.DUMMYFUNCTION("GOOGLETRANSLATE(C255,""ja"",""vi"")"),"Đấu giá&gt; Sở thích, văn hóa&gt; thủ công, thủ công mỹ nghệ&gt; May&gt; máy may kim")</f>
        <v>Đấu giá&gt; Sở thích, văn hóa&gt; thủ công, thủ công mỹ nghệ&gt; May&gt; máy may kim</v>
      </c>
      <c r="F255" t="str">
        <f t="shared" ca="1" si="3"/>
        <v>"2084305342" : "máy may kim",</v>
      </c>
    </row>
    <row r="256" spans="1:6" ht="15.75" customHeight="1">
      <c r="A256" s="14">
        <v>2084062840</v>
      </c>
      <c r="B256" s="14" t="s">
        <v>46</v>
      </c>
      <c r="C256" s="14" t="s">
        <v>3977</v>
      </c>
      <c r="D256" s="5" t="str">
        <f ca="1">IFERROR(__xludf.DUMMYFUNCTION("GOOGLETRANSLATE(B256,""ja"",""vi"")"),"nếu không thì")</f>
        <v>nếu không thì</v>
      </c>
      <c r="E256" s="4" t="str">
        <f ca="1">IFERROR(__xludf.DUMMYFUNCTION("GOOGLETRANSLATE(C256,""ja"",""vi"")"),"Đấu giá&gt; Sở thích, văn hóa&gt; thủ công, thủ công mỹ nghệ&gt; máy may&gt; Khác")</f>
        <v>Đấu giá&gt; Sở thích, văn hóa&gt; thủ công, thủ công mỹ nghệ&gt; máy may&gt; Khác</v>
      </c>
      <c r="F256" t="str">
        <f t="shared" ca="1" si="3"/>
        <v>"2084062840" : "nếu không thì",</v>
      </c>
    </row>
    <row r="257" spans="1:6" ht="15.75" customHeight="1">
      <c r="A257" s="14">
        <v>2084046888</v>
      </c>
      <c r="B257" s="14" t="s">
        <v>7002</v>
      </c>
      <c r="C257" s="14" t="s">
        <v>7004</v>
      </c>
      <c r="D257" s="5" t="str">
        <f ca="1">IFERROR(__xludf.DUMMYFUNCTION("GOOGLETRANSLATE(B257,""ja"",""vi"")"),"beads")</f>
        <v>beads</v>
      </c>
      <c r="E257" s="4" t="str">
        <f ca="1">IFERROR(__xludf.DUMMYFUNCTION("GOOGLETRANSLATE(C257,""ja"",""vi"")"),"Đấu giá&gt; Sở thích, văn hóa&gt; thủ công, thủ công mỹ nghệ&gt; nghệ thuật kết cườm&gt; hạt")</f>
        <v>Đấu giá&gt; Sở thích, văn hóa&gt; thủ công, thủ công mỹ nghệ&gt; nghệ thuật kết cườm&gt; hạt</v>
      </c>
      <c r="F257" t="str">
        <f t="shared" ca="1" si="3"/>
        <v>"2084046888" : "beads",</v>
      </c>
    </row>
    <row r="258" spans="1:6" ht="15.75" customHeight="1">
      <c r="A258" s="14">
        <v>2084046895</v>
      </c>
      <c r="B258" s="14" t="s">
        <v>7010</v>
      </c>
      <c r="C258" s="14" t="s">
        <v>7013</v>
      </c>
      <c r="D258" s="5" t="str">
        <f ca="1">IFERROR(__xludf.DUMMYFUNCTION("GOOGLETRANSLATE(B258,""ja"",""vi"")"),"Gut, dây")</f>
        <v>Gut, dây</v>
      </c>
      <c r="E258" s="4" t="str">
        <f ca="1">IFERROR(__xludf.DUMMYFUNCTION("GOOGLETRANSLATE(C258,""ja"",""vi"")"),"Đấu giá&gt; Sở thích, văn hóa&gt; thủ công, thủ công mỹ nghệ&gt; nghệ thuật kết cườm&gt; ruột, dây")</f>
        <v>Đấu giá&gt; Sở thích, văn hóa&gt; thủ công, thủ công mỹ nghệ&gt; nghệ thuật kết cườm&gt; ruột, dây</v>
      </c>
      <c r="F258" t="str">
        <f t="shared" ref="F258:F321" ca="1" si="4">CONCATENATE(CHAR(34)&amp;"",A258,""&amp;CHAR(34)," : ", CHAR(34)&amp;"",D258,""&amp;CHAR(34),",")</f>
        <v>"2084046895" : "Gut, dây",</v>
      </c>
    </row>
    <row r="259" spans="1:6" ht="15.75" customHeight="1">
      <c r="A259" s="14">
        <v>2084046887</v>
      </c>
      <c r="B259" s="14" t="s">
        <v>3665</v>
      </c>
      <c r="C259" s="14" t="s">
        <v>7018</v>
      </c>
      <c r="D259" s="5" t="str">
        <f ca="1">IFERROR(__xludf.DUMMYFUNCTION("GOOGLETRANSLATE(B259,""ja"",""vi"")"),"thành phẩm")</f>
        <v>thành phẩm</v>
      </c>
      <c r="E259" s="4" t="str">
        <f ca="1">IFERROR(__xludf.DUMMYFUNCTION("GOOGLETRANSLATE(C259,""ja"",""vi"")"),"Đấu giá&gt; Sở thích, văn hóa&gt; thủ công, thủ công mỹ nghệ&gt; nghệ thuật kết cườm&gt; thành phẩm")</f>
        <v>Đấu giá&gt; Sở thích, văn hóa&gt; thủ công, thủ công mỹ nghệ&gt; nghệ thuật kết cườm&gt; thành phẩm</v>
      </c>
      <c r="F259" t="str">
        <f t="shared" ca="1" si="4"/>
        <v>"2084046887" : "thành phẩm",</v>
      </c>
    </row>
    <row r="260" spans="1:6" ht="15.75" customHeight="1">
      <c r="A260" s="14">
        <v>2084046896</v>
      </c>
      <c r="B260" s="14" t="s">
        <v>7024</v>
      </c>
      <c r="C260" s="14" t="s">
        <v>7026</v>
      </c>
      <c r="D260" s="5" t="str">
        <f ca="1">IFERROR(__xludf.DUMMYFUNCTION("GOOGLETRANSLATE(B260,""ja"",""vi"")"),"bộ phận kim loại")</f>
        <v>bộ phận kim loại</v>
      </c>
      <c r="E260" s="4" t="str">
        <f ca="1">IFERROR(__xludf.DUMMYFUNCTION("GOOGLETRANSLATE(C260,""ja"",""vi"")"),"Đấu giá&gt; Sở thích, văn hóa&gt; thủ công, thủ công mỹ nghệ&gt; nghệ thuật kết cườm&gt; bộ phận kim loại")</f>
        <v>Đấu giá&gt; Sở thích, văn hóa&gt; thủ công, thủ công mỹ nghệ&gt; nghệ thuật kết cườm&gt; bộ phận kim loại</v>
      </c>
      <c r="F260" t="str">
        <f t="shared" ca="1" si="4"/>
        <v>"2084046896" : "bộ phận kim loại",</v>
      </c>
    </row>
    <row r="261" spans="1:6" ht="15.75" customHeight="1">
      <c r="A261" s="14">
        <v>2084063367</v>
      </c>
      <c r="B261" s="14" t="s">
        <v>7029</v>
      </c>
      <c r="C261" s="14" t="s">
        <v>7030</v>
      </c>
      <c r="D261" s="5" t="str">
        <f ca="1">IFERROR(__xludf.DUMMYFUNCTION("GOOGLETRANSLATE(B261,""ja"",""vi"")"),"đá")</f>
        <v>đá</v>
      </c>
      <c r="E261" s="4" t="str">
        <f ca="1">IFERROR(__xludf.DUMMYFUNCTION("GOOGLETRANSLATE(C261,""ja"",""vi"")"),"Đấu giá&gt; Sở thích, văn hóa&gt; thủ công, thủ công mỹ nghệ&gt; nghệ thuật kết cườm&gt; Đá")</f>
        <v>Đấu giá&gt; Sở thích, văn hóa&gt; thủ công, thủ công mỹ nghệ&gt; nghệ thuật kết cườm&gt; Đá</v>
      </c>
      <c r="F261" t="str">
        <f t="shared" ca="1" si="4"/>
        <v>"2084063367" : "đá",</v>
      </c>
    </row>
    <row r="262" spans="1:6" ht="15.75" customHeight="1">
      <c r="A262" s="14">
        <v>2084042455</v>
      </c>
      <c r="B262" s="14" t="s">
        <v>46</v>
      </c>
      <c r="C262" s="14" t="s">
        <v>7035</v>
      </c>
      <c r="D262" s="5" t="str">
        <f ca="1">IFERROR(__xludf.DUMMYFUNCTION("GOOGLETRANSLATE(B262,""ja"",""vi"")"),"nếu không thì")</f>
        <v>nếu không thì</v>
      </c>
      <c r="E262" s="4" t="str">
        <f ca="1">IFERROR(__xludf.DUMMYFUNCTION("GOOGLETRANSLATE(C262,""ja"",""vi"")"),"Đấu giá&gt; Sở thích, văn hóa&gt; thủ công, thủ công mỹ nghệ&gt; nghệ thuật kết cườm&gt; Khác")</f>
        <v>Đấu giá&gt; Sở thích, văn hóa&gt; thủ công, thủ công mỹ nghệ&gt; nghệ thuật kết cườm&gt; Khác</v>
      </c>
      <c r="F262" t="str">
        <f t="shared" ca="1" si="4"/>
        <v>"2084042455" : "nếu không thì",</v>
      </c>
    </row>
    <row r="263" spans="1:6" ht="15.75" customHeight="1">
      <c r="A263" s="14">
        <v>2084305339</v>
      </c>
      <c r="B263" s="14" t="s">
        <v>7038</v>
      </c>
      <c r="C263" s="14" t="s">
        <v>7040</v>
      </c>
      <c r="D263" s="5" t="str">
        <f ca="1">IFERROR(__xludf.DUMMYFUNCTION("GOOGLETRANSLATE(B263,""ja"",""vi"")"),"sợi Race")</f>
        <v>sợi Race</v>
      </c>
      <c r="E263" s="4" t="str">
        <f ca="1">IFERROR(__xludf.DUMMYFUNCTION("GOOGLETRANSLATE(C263,""ja"",""vi"")"),"Đấu giá&gt; Sở thích, văn hóa&gt; thủ công, thủ công mỹ nghệ&gt; đan&gt; chủ đề chủng tộc")</f>
        <v>Đấu giá&gt; Sở thích, văn hóa&gt; thủ công, thủ công mỹ nghệ&gt; đan&gt; chủ đề chủng tộc</v>
      </c>
      <c r="F263" t="str">
        <f t="shared" ca="1" si="4"/>
        <v>"2084305339" : "sợi Race",</v>
      </c>
    </row>
    <row r="264" spans="1:6" ht="15.75" customHeight="1">
      <c r="A264" s="14">
        <v>2084305340</v>
      </c>
      <c r="B264" s="14" t="s">
        <v>6950</v>
      </c>
      <c r="C264" s="14" t="s">
        <v>7049</v>
      </c>
      <c r="D264" s="5" t="str">
        <f ca="1">IFERROR(__xludf.DUMMYFUNCTION("GOOGLETRANSLATE(B264,""ja"",""vi"")"),"xây dựng Kit")</f>
        <v>xây dựng Kit</v>
      </c>
      <c r="E264" s="4" t="str">
        <f ca="1">IFERROR(__xludf.DUMMYFUNCTION("GOOGLETRANSLATE(C264,""ja"",""vi"")"),"Đấu giá&gt; Sở thích, văn hóa&gt; thủ công, thủ công mỹ nghệ&gt; đan&gt; Kit Xây dựng")</f>
        <v>Đấu giá&gt; Sở thích, văn hóa&gt; thủ công, thủ công mỹ nghệ&gt; đan&gt; Kit Xây dựng</v>
      </c>
      <c r="F264" t="str">
        <f t="shared" ca="1" si="4"/>
        <v>"2084305340" : "xây dựng Kit",</v>
      </c>
    </row>
    <row r="265" spans="1:6" ht="15.75" customHeight="1">
      <c r="A265" s="14">
        <v>2084045850</v>
      </c>
      <c r="B265" s="14" t="s">
        <v>7053</v>
      </c>
      <c r="C265" s="14" t="s">
        <v>7054</v>
      </c>
      <c r="D265" s="5" t="str">
        <f ca="1">IFERROR(__xludf.DUMMYFUNCTION("GOOGLETRANSLATE(B265,""ja"",""vi"")"),"kim đan")</f>
        <v>kim đan</v>
      </c>
      <c r="E265" s="4" t="str">
        <f ca="1">IFERROR(__xludf.DUMMYFUNCTION("GOOGLETRANSLATE(C265,""ja"",""vi"")"),"Đấu giá&gt; Sở thích, văn hóa&gt; thủ công, thủ công mỹ nghệ&gt; đan&gt; đan kim")</f>
        <v>Đấu giá&gt; Sở thích, văn hóa&gt; thủ công, thủ công mỹ nghệ&gt; đan&gt; đan kim</v>
      </c>
      <c r="F265" t="str">
        <f t="shared" ca="1" si="4"/>
        <v>"2084045850" : "kim đan",</v>
      </c>
    </row>
    <row r="266" spans="1:6" ht="15.75" customHeight="1">
      <c r="A266" s="14">
        <v>2084045849</v>
      </c>
      <c r="B266" s="14" t="s">
        <v>6936</v>
      </c>
      <c r="C266" s="14" t="s">
        <v>7057</v>
      </c>
      <c r="D266" s="5" t="str">
        <f ca="1">IFERROR(__xludf.DUMMYFUNCTION("GOOGLETRANSLATE(B266,""ja"",""vi"")"),"đan len")</f>
        <v>đan len</v>
      </c>
      <c r="E266" s="4" t="str">
        <f ca="1">IFERROR(__xludf.DUMMYFUNCTION("GOOGLETRANSLATE(C266,""ja"",""vi"")"),"Đấu giá&gt; Sở thích, văn hóa&gt; thủ công, thủ công mỹ nghệ&gt; đan&gt; Sợi")</f>
        <v>Đấu giá&gt; Sở thích, văn hóa&gt; thủ công, thủ công mỹ nghệ&gt; đan&gt; Sợi</v>
      </c>
      <c r="F266" t="str">
        <f t="shared" ca="1" si="4"/>
        <v>"2084045849" : "đan len",</v>
      </c>
    </row>
    <row r="267" spans="1:6" ht="15.75" customHeight="1">
      <c r="A267" s="14">
        <v>2084220296</v>
      </c>
      <c r="B267" s="14" t="s">
        <v>3665</v>
      </c>
      <c r="C267" s="14" t="s">
        <v>7059</v>
      </c>
      <c r="D267" s="5" t="str">
        <f ca="1">IFERROR(__xludf.DUMMYFUNCTION("GOOGLETRANSLATE(B267,""ja"",""vi"")"),"thành phẩm")</f>
        <v>thành phẩm</v>
      </c>
      <c r="E267" s="4" t="str">
        <f ca="1">IFERROR(__xludf.DUMMYFUNCTION("GOOGLETRANSLATE(C267,""ja"",""vi"")"),"Đấu giá&gt; Sở thích, văn hóa&gt; thủ công, thủ công mỹ nghệ&gt; đan&gt; thành phẩm")</f>
        <v>Đấu giá&gt; Sở thích, văn hóa&gt; thủ công, thủ công mỹ nghệ&gt; đan&gt; thành phẩm</v>
      </c>
      <c r="F267" t="str">
        <f t="shared" ca="1" si="4"/>
        <v>"2084220296" : "thành phẩm",</v>
      </c>
    </row>
    <row r="268" spans="1:6" ht="15.75" customHeight="1">
      <c r="A268" s="14">
        <v>2084008954</v>
      </c>
      <c r="B268" s="14" t="s">
        <v>1632</v>
      </c>
      <c r="C268" s="14" t="s">
        <v>7065</v>
      </c>
      <c r="D268" s="5" t="str">
        <f ca="1">IFERROR(__xludf.DUMMYFUNCTION("GOOGLETRANSLATE(B268,""ja"",""vi"")"),"điều này")</f>
        <v>điều này</v>
      </c>
      <c r="E268" s="4" t="str">
        <f ca="1">IFERROR(__xludf.DUMMYFUNCTION("GOOGLETRANSLATE(C268,""ja"",""vi"")"),"Đấu giá&gt; Sở thích, văn hóa&gt; thủ công, thủ công mỹ nghệ&gt; đan&gt; Sách")</f>
        <v>Đấu giá&gt; Sở thích, văn hóa&gt; thủ công, thủ công mỹ nghệ&gt; đan&gt; Sách</v>
      </c>
      <c r="F268" t="str">
        <f t="shared" ca="1" si="4"/>
        <v>"2084008954" : "điều này",</v>
      </c>
    </row>
    <row r="269" spans="1:6" ht="15.75" customHeight="1">
      <c r="A269" s="14">
        <v>2084045851</v>
      </c>
      <c r="B269" s="14" t="s">
        <v>46</v>
      </c>
      <c r="C269" s="14" t="s">
        <v>7071</v>
      </c>
      <c r="D269" s="5" t="str">
        <f ca="1">IFERROR(__xludf.DUMMYFUNCTION("GOOGLETRANSLATE(B269,""ja"",""vi"")"),"nếu không thì")</f>
        <v>nếu không thì</v>
      </c>
      <c r="E269" s="4" t="str">
        <f ca="1">IFERROR(__xludf.DUMMYFUNCTION("GOOGLETRANSLATE(C269,""ja"",""vi"")"),"Đấu giá&gt; Sở thích, văn hóa&gt; thủ công, thủ công mỹ nghệ&gt; đan&gt; Khác")</f>
        <v>Đấu giá&gt; Sở thích, văn hóa&gt; thủ công, thủ công mỹ nghệ&gt; đan&gt; Khác</v>
      </c>
      <c r="F269" t="str">
        <f t="shared" ca="1" si="4"/>
        <v>"2084045851" : "nếu không thì",</v>
      </c>
    </row>
    <row r="270" spans="1:6" ht="15.75" customHeight="1">
      <c r="A270" s="14">
        <v>2084063295</v>
      </c>
      <c r="B270" s="14" t="s">
        <v>7074</v>
      </c>
      <c r="C270" s="14" t="s">
        <v>7075</v>
      </c>
      <c r="D270" s="5" t="str">
        <f ca="1">IFERROR(__xludf.DUMMYFUNCTION("GOOGLETRANSLATE(B270,""ja"",""vi"")"),"nhựa đất sét")</f>
        <v>nhựa đất sét</v>
      </c>
      <c r="E270" s="4" t="str">
        <f ca="1">IFERROR(__xludf.DUMMYFUNCTION("GOOGLETRANSLATE(C270,""ja"",""vi"")"),"Đấu giá&gt; Sở thích, văn hóa&gt; thủ công, thủ công mỹ nghệ&gt; nghề sét&gt; đất sét nhựa")</f>
        <v>Đấu giá&gt; Sở thích, văn hóa&gt; thủ công, thủ công mỹ nghệ&gt; nghề sét&gt; đất sét nhựa</v>
      </c>
      <c r="F270" t="str">
        <f t="shared" ca="1" si="4"/>
        <v>"2084063295" : "nhựa đất sét",</v>
      </c>
    </row>
    <row r="271" spans="1:6" ht="15.75" customHeight="1">
      <c r="A271" s="14">
        <v>2084063296</v>
      </c>
      <c r="B271" s="14" t="s">
        <v>6759</v>
      </c>
      <c r="C271" s="14" t="s">
        <v>7080</v>
      </c>
      <c r="D271" s="5" t="str">
        <f ca="1">IFERROR(__xludf.DUMMYFUNCTION("GOOGLETRANSLATE(B271,""ja"",""vi"")"),"đồ gốm")</f>
        <v>đồ gốm</v>
      </c>
      <c r="E271" s="4" t="str">
        <f ca="1">IFERROR(__xludf.DUMMYFUNCTION("GOOGLETRANSLATE(C271,""ja"",""vi"")"),"Đấu giá&gt; Sở thích, văn hóa&gt; thủ công, thủ công mỹ nghệ&gt; thủ công đất sét&gt; gốm")</f>
        <v>Đấu giá&gt; Sở thích, văn hóa&gt; thủ công, thủ công mỹ nghệ&gt; thủ công đất sét&gt; gốm</v>
      </c>
      <c r="F271" t="str">
        <f t="shared" ca="1" si="4"/>
        <v>"2084063296" : "đồ gốm",</v>
      </c>
    </row>
    <row r="272" spans="1:6" ht="15.75" customHeight="1">
      <c r="A272" s="14">
        <v>2084063698</v>
      </c>
      <c r="B272" s="14" t="s">
        <v>46</v>
      </c>
      <c r="C272" s="14" t="s">
        <v>7085</v>
      </c>
      <c r="D272" s="5" t="str">
        <f ca="1">IFERROR(__xludf.DUMMYFUNCTION("GOOGLETRANSLATE(B272,""ja"",""vi"")"),"nếu không thì")</f>
        <v>nếu không thì</v>
      </c>
      <c r="E272" s="4" t="str">
        <f ca="1">IFERROR(__xludf.DUMMYFUNCTION("GOOGLETRANSLATE(C272,""ja"",""vi"")"),"Đấu giá&gt; Sở thích, văn hóa&gt; thủ công, thủ công mỹ nghệ&gt; thủ công đất sét&gt; Khác")</f>
        <v>Đấu giá&gt; Sở thích, văn hóa&gt; thủ công, thủ công mỹ nghệ&gt; thủ công đất sét&gt; Khác</v>
      </c>
      <c r="F272" t="str">
        <f t="shared" ca="1" si="4"/>
        <v>"2084063698" : "nếu không thì",</v>
      </c>
    </row>
    <row r="273" spans="1:6" ht="15.75" customHeight="1">
      <c r="A273" s="14">
        <v>2084063306</v>
      </c>
      <c r="B273" s="14" t="s">
        <v>7091</v>
      </c>
      <c r="C273" s="14" t="s">
        <v>7092</v>
      </c>
      <c r="D273" s="5" t="str">
        <f ca="1">IFERROR(__xludf.DUMMYFUNCTION("GOOGLETRANSLATE(B273,""ja"",""vi"")"),"vật chất")</f>
        <v>vật chất</v>
      </c>
      <c r="E273" s="4" t="str">
        <f ca="1">IFERROR(__xludf.DUMMYFUNCTION("GOOGLETRANSLATE(C273,""ja"",""vi"")"),"Đấu giá&gt; Sở thích, văn hóa&gt; thủ công, thủ công mỹ nghệ&gt; da nghề&gt; tài liệu")</f>
        <v>Đấu giá&gt; Sở thích, văn hóa&gt; thủ công, thủ công mỹ nghệ&gt; da nghề&gt; tài liệu</v>
      </c>
      <c r="F273" t="str">
        <f t="shared" ca="1" si="4"/>
        <v>"2084063306" : "vật chất",</v>
      </c>
    </row>
    <row r="274" spans="1:6" ht="15.75" customHeight="1">
      <c r="A274" s="14">
        <v>2084063307</v>
      </c>
      <c r="B274" s="14" t="s">
        <v>7098</v>
      </c>
      <c r="C274" s="14" t="s">
        <v>7100</v>
      </c>
      <c r="D274" s="5" t="str">
        <f ca="1">IFERROR(__xludf.DUMMYFUNCTION("GOOGLETRANSLATE(B274,""ja"",""vi"")"),"dụng cụ")</f>
        <v>dụng cụ</v>
      </c>
      <c r="E274" s="4" t="str">
        <f ca="1">IFERROR(__xludf.DUMMYFUNCTION("GOOGLETRANSLATE(C274,""ja"",""vi"")"),"Đấu giá&gt; Sở thích, văn hóa&gt; thủ công, thủ công mỹ nghệ&gt; da nghề&gt; công cụ")</f>
        <v>Đấu giá&gt; Sở thích, văn hóa&gt; thủ công, thủ công mỹ nghệ&gt; da nghề&gt; công cụ</v>
      </c>
      <c r="F274" t="str">
        <f t="shared" ca="1" si="4"/>
        <v>"2084063307" : "dụng cụ",</v>
      </c>
    </row>
    <row r="275" spans="1:6" ht="15.75" customHeight="1">
      <c r="A275" s="14">
        <v>2084220294</v>
      </c>
      <c r="B275" s="14" t="s">
        <v>3665</v>
      </c>
      <c r="C275" s="14" t="s">
        <v>7106</v>
      </c>
      <c r="D275" s="5" t="str">
        <f ca="1">IFERROR(__xludf.DUMMYFUNCTION("GOOGLETRANSLATE(B275,""ja"",""vi"")"),"thành phẩm")</f>
        <v>thành phẩm</v>
      </c>
      <c r="E275" s="4" t="str">
        <f ca="1">IFERROR(__xludf.DUMMYFUNCTION("GOOGLETRANSLATE(C275,""ja"",""vi"")"),"Đấu giá&gt; Sở thích, văn hóa&gt; thủ công, thủ công mỹ nghệ&gt; da nghề&gt; thành phẩm")</f>
        <v>Đấu giá&gt; Sở thích, văn hóa&gt; thủ công, thủ công mỹ nghệ&gt; da nghề&gt; thành phẩm</v>
      </c>
      <c r="F275" t="str">
        <f t="shared" ca="1" si="4"/>
        <v>"2084220294" : "thành phẩm",</v>
      </c>
    </row>
    <row r="276" spans="1:6" ht="15.75" customHeight="1">
      <c r="A276" s="14">
        <v>2084063690</v>
      </c>
      <c r="B276" s="14" t="s">
        <v>7110</v>
      </c>
      <c r="C276" s="14" t="s">
        <v>7112</v>
      </c>
      <c r="D276" s="5" t="str">
        <f ca="1">IFERROR(__xludf.DUMMYFUNCTION("GOOGLETRANSLATE(B276,""ja"",""vi"")"),"Craft cú đấm")</f>
        <v>Craft cú đấm</v>
      </c>
      <c r="E276" s="4" t="str">
        <f ca="1">IFERROR(__xludf.DUMMYFUNCTION("GOOGLETRANSLATE(C276,""ja"",""vi"")"),"Đấu giá&gt; Sở thích, văn hóa&gt; thủ công, thủ công mỹ nghệ&gt; nghề giấy&gt; nghề đấm")</f>
        <v>Đấu giá&gt; Sở thích, văn hóa&gt; thủ công, thủ công mỹ nghệ&gt; nghề giấy&gt; nghề đấm</v>
      </c>
      <c r="F276" t="str">
        <f t="shared" ca="1" si="4"/>
        <v>"2084063690" : "Craft cú đấm",</v>
      </c>
    </row>
    <row r="277" spans="1:6" ht="15.75" customHeight="1">
      <c r="A277" s="14">
        <v>2084305344</v>
      </c>
      <c r="B277" s="14" t="s">
        <v>7116</v>
      </c>
      <c r="C277" s="14" t="s">
        <v>7119</v>
      </c>
      <c r="D277" s="5" t="str">
        <f ca="1">IFERROR(__xludf.DUMMYFUNCTION("GOOGLETRANSLATE(B277,""ja"",""vi"")"),"scrapbooking")</f>
        <v>scrapbooking</v>
      </c>
      <c r="E277" s="4" t="str">
        <f ca="1">IFERROR(__xludf.DUMMYFUNCTION("GOOGLETRANSLATE(C277,""ja"",""vi"")"),"Đấu giá&gt; Sở thích, văn hóa&gt; thủ công, thủ công mỹ nghệ&gt; Thủ công mỹ nghệ Giấy&gt; Scrapbooking")</f>
        <v>Đấu giá&gt; Sở thích, văn hóa&gt; thủ công, thủ công mỹ nghệ&gt; Thủ công mỹ nghệ Giấy&gt; Scrapbooking</v>
      </c>
      <c r="F277" t="str">
        <f t="shared" ca="1" si="4"/>
        <v>"2084305344" : "scrapbooking",</v>
      </c>
    </row>
    <row r="278" spans="1:6" ht="15.75" customHeight="1">
      <c r="A278" s="14">
        <v>2084063314</v>
      </c>
      <c r="B278" s="14" t="s">
        <v>7123</v>
      </c>
      <c r="C278" s="14" t="s">
        <v>7124</v>
      </c>
      <c r="D278" s="5" t="str">
        <f ca="1">IFERROR(__xludf.DUMMYFUNCTION("GOOGLETRANSLATE(B278,""ja"",""vi"")"),"Origami, Chiyogami")</f>
        <v>Origami, Chiyogami</v>
      </c>
      <c r="E278" s="4" t="str">
        <f ca="1">IFERROR(__xludf.DUMMYFUNCTION("GOOGLETRANSLATE(C278,""ja"",""vi"")"),"Đấu giá&gt; Sở thích, văn hóa&gt; thủ công, thủ công mỹ nghệ&gt; nghề giấy&gt; Origami, Chiyogami")</f>
        <v>Đấu giá&gt; Sở thích, văn hóa&gt; thủ công, thủ công mỹ nghệ&gt; nghề giấy&gt; Origami, Chiyogami</v>
      </c>
      <c r="F278" t="str">
        <f t="shared" ca="1" si="4"/>
        <v>"2084063314" : "Origami, Chiyogami",</v>
      </c>
    </row>
    <row r="279" spans="1:6" ht="15.75" customHeight="1">
      <c r="A279" s="14">
        <v>2084063315</v>
      </c>
      <c r="B279" s="14" t="s">
        <v>6846</v>
      </c>
      <c r="C279" s="14" t="s">
        <v>7129</v>
      </c>
      <c r="D279" s="5" t="str">
        <f ca="1">IFERROR(__xludf.DUMMYFUNCTION("GOOGLETRANSLATE(B279,""ja"",""vi"")"),"giấy để vẻ")</f>
        <v>giấy để vẻ</v>
      </c>
      <c r="E279" s="4" t="str">
        <f ca="1">IFERROR(__xludf.DUMMYFUNCTION("GOOGLETRANSLATE(C279,""ja"",""vi"")"),"Đấu giá&gt; Sở thích, văn hóa&gt; thủ công, thủ công mỹ nghệ&gt; nghề giấy&gt; giấy vẽ")</f>
        <v>Đấu giá&gt; Sở thích, văn hóa&gt; thủ công, thủ công mỹ nghệ&gt; nghề giấy&gt; giấy vẽ</v>
      </c>
      <c r="F279" t="str">
        <f t="shared" ca="1" si="4"/>
        <v>"2084063315" : "giấy để vẻ",</v>
      </c>
    </row>
    <row r="280" spans="1:6" ht="15.75" customHeight="1">
      <c r="A280" s="14">
        <v>2084063309</v>
      </c>
      <c r="B280" s="14" t="s">
        <v>7132</v>
      </c>
      <c r="C280" s="14" t="s">
        <v>7133</v>
      </c>
      <c r="D280" s="5" t="str">
        <f ca="1">IFERROR(__xludf.DUMMYFUNCTION("GOOGLETRANSLATE(B280,""ja"",""vi"")"),"kéo")</f>
        <v>kéo</v>
      </c>
      <c r="E280" s="4" t="str">
        <f ca="1">IFERROR(__xludf.DUMMYFUNCTION("GOOGLETRANSLATE(C280,""ja"",""vi"")"),"Đấu giá&gt; Sở thích, văn hóa&gt; thủ công, thủ công mỹ nghệ&gt; nghề giấy&gt; kéo")</f>
        <v>Đấu giá&gt; Sở thích, văn hóa&gt; thủ công, thủ công mỹ nghệ&gt; nghề giấy&gt; kéo</v>
      </c>
      <c r="F280" t="str">
        <f t="shared" ca="1" si="4"/>
        <v>"2084063309" : "kéo",</v>
      </c>
    </row>
    <row r="281" spans="1:6" ht="15.75" customHeight="1">
      <c r="A281" s="14">
        <v>2084063310</v>
      </c>
      <c r="B281" s="14" t="s">
        <v>7137</v>
      </c>
      <c r="C281" s="14" t="s">
        <v>7138</v>
      </c>
      <c r="D281" s="5" t="str">
        <f ca="1">IFERROR(__xludf.DUMMYFUNCTION("GOOGLETRANSLATE(B281,""ja"",""vi"")"),"dao cắt")</f>
        <v>dao cắt</v>
      </c>
      <c r="E281" s="4" t="str">
        <f ca="1">IFERROR(__xludf.DUMMYFUNCTION("GOOGLETRANSLATE(C281,""ja"",""vi"")"),"Đấu giá&gt; Sở thích, văn hóa&gt; thủ công, thủ công mỹ nghệ&gt; nghề giấy&gt; dao cắt")</f>
        <v>Đấu giá&gt; Sở thích, văn hóa&gt; thủ công, thủ công mỹ nghệ&gt; nghề giấy&gt; dao cắt</v>
      </c>
      <c r="F281" t="str">
        <f t="shared" ca="1" si="4"/>
        <v>"2084063310" : "dao cắt",</v>
      </c>
    </row>
    <row r="282" spans="1:6" ht="15.75" customHeight="1">
      <c r="A282" s="14">
        <v>2084063317</v>
      </c>
      <c r="B282" s="14" t="s">
        <v>46</v>
      </c>
      <c r="C282" s="14" t="s">
        <v>7143</v>
      </c>
      <c r="D282" s="5" t="str">
        <f ca="1">IFERROR(__xludf.DUMMYFUNCTION("GOOGLETRANSLATE(B282,""ja"",""vi"")"),"nếu không thì")</f>
        <v>nếu không thì</v>
      </c>
      <c r="E282" s="4" t="str">
        <f ca="1">IFERROR(__xludf.DUMMYFUNCTION("GOOGLETRANSLATE(C282,""ja"",""vi"")"),"Đấu giá&gt; Sở thích, văn hóa&gt; thủ công, thủ công mỹ nghệ&gt; nghề giấy&gt; Khác")</f>
        <v>Đấu giá&gt; Sở thích, văn hóa&gt; thủ công, thủ công mỹ nghệ&gt; nghề giấy&gt; Khác</v>
      </c>
      <c r="F282" t="str">
        <f t="shared" ca="1" si="4"/>
        <v>"2084063317" : "nếu không thì",</v>
      </c>
    </row>
    <row r="283" spans="1:6" ht="15.75" customHeight="1">
      <c r="A283" s="14">
        <v>2084047124</v>
      </c>
      <c r="B283" s="14" t="s">
        <v>2241</v>
      </c>
      <c r="C283" s="14" t="s">
        <v>7150</v>
      </c>
      <c r="D283" s="5" t="str">
        <f ca="1">IFERROR(__xludf.DUMMYFUNCTION("GOOGLETRANSLATE(B283,""ja"",""vi"")"),"chung")</f>
        <v>chung</v>
      </c>
      <c r="E283" s="4" t="str">
        <f ca="1">IFERROR(__xludf.DUMMYFUNCTION("GOOGLETRANSLATE(C283,""ja"",""vi"")"),"Đấu giá&gt; Sở thích, văn hóa&gt; thủ công, thủ công mỹ nghệ&gt; Nghệ thuật hoa, hoa ép&gt; General")</f>
        <v>Đấu giá&gt; Sở thích, văn hóa&gt; thủ công, thủ công mỹ nghệ&gt; Nghệ thuật hoa, hoa ép&gt; General</v>
      </c>
      <c r="F283" t="str">
        <f t="shared" ca="1" si="4"/>
        <v>"2084047124" : "chung",</v>
      </c>
    </row>
    <row r="284" spans="1:6" ht="15.75" customHeight="1">
      <c r="A284" s="14">
        <v>2084047123</v>
      </c>
      <c r="B284" s="14" t="s">
        <v>7155</v>
      </c>
      <c r="C284" s="14" t="s">
        <v>7157</v>
      </c>
      <c r="D284" s="5" t="str">
        <f ca="1">IFERROR(__xludf.DUMMYFUNCTION("GOOGLETRANSLATE(B284,""ja"",""vi"")"),"sắp xếp")</f>
        <v>sắp xếp</v>
      </c>
      <c r="E284" s="4" t="str">
        <f ca="1">IFERROR(__xludf.DUMMYFUNCTION("GOOGLETRANSLATE(C284,""ja"",""vi"")"),"Đấu giá&gt; Sở thích, văn hóa&gt; thủ công, thủ công mỹ nghệ&gt; Nghệ thuật hoa, hoa ép&gt; sắp xếp")</f>
        <v>Đấu giá&gt; Sở thích, văn hóa&gt; thủ công, thủ công mỹ nghệ&gt; Nghệ thuật hoa, hoa ép&gt; sắp xếp</v>
      </c>
      <c r="F284" t="str">
        <f t="shared" ca="1" si="4"/>
        <v>"2084047123" : "sắp xếp",</v>
      </c>
    </row>
    <row r="285" spans="1:6" ht="15.75" customHeight="1">
      <c r="A285" s="14">
        <v>2084047122</v>
      </c>
      <c r="B285" s="14" t="s">
        <v>7164</v>
      </c>
      <c r="C285" s="14" t="s">
        <v>7165</v>
      </c>
      <c r="D285" s="5" t="str">
        <f ca="1">IFERROR(__xludf.DUMMYFUNCTION("GOOGLETRANSLATE(B285,""ja"",""vi"")"),"cho thuê")</f>
        <v>cho thuê</v>
      </c>
      <c r="E285" s="4" t="str">
        <f ca="1">IFERROR(__xludf.DUMMYFUNCTION("GOOGLETRANSLATE(C285,""ja"",""vi"")"),"Đấu giá&gt; Sở thích, văn hóa&gt; thủ công, thủ công mỹ nghệ&gt; Art Flower, ép hoa&gt; thuê")</f>
        <v>Đấu giá&gt; Sở thích, văn hóa&gt; thủ công, thủ công mỹ nghệ&gt; Art Flower, ép hoa&gt; thuê</v>
      </c>
      <c r="F285" t="str">
        <f t="shared" ca="1" si="4"/>
        <v>"2084047122" : "cho thuê",</v>
      </c>
    </row>
    <row r="286" spans="1:6" ht="15.75" customHeight="1">
      <c r="A286" s="14">
        <v>2084048858</v>
      </c>
      <c r="B286" s="14" t="s">
        <v>7171</v>
      </c>
      <c r="C286" s="14" t="s">
        <v>7172</v>
      </c>
      <c r="D286" s="5" t="str">
        <f ca="1">IFERROR(__xludf.DUMMYFUNCTION("GOOGLETRANSLATE(B286,""ja"",""vi"")"),"ép hoa")</f>
        <v>ép hoa</v>
      </c>
      <c r="E286" s="4" t="str">
        <f ca="1">IFERROR(__xludf.DUMMYFUNCTION("GOOGLETRANSLATE(C286,""ja"",""vi"")"),"Đấu giá&gt; Sở thích, văn hóa&gt; thủ công, thủ công mỹ nghệ&gt; Art Flower, Pressed&gt; hoa ép")</f>
        <v>Đấu giá&gt; Sở thích, văn hóa&gt; thủ công, thủ công mỹ nghệ&gt; Art Flower, Pressed&gt; hoa ép</v>
      </c>
      <c r="F286" t="str">
        <f t="shared" ca="1" si="4"/>
        <v>"2084048858" : "ép hoa",</v>
      </c>
    </row>
    <row r="287" spans="1:6" ht="15.75" customHeight="1">
      <c r="A287" s="14">
        <v>2084305337</v>
      </c>
      <c r="B287" s="14" t="s">
        <v>7176</v>
      </c>
      <c r="C287" s="14" t="s">
        <v>7178</v>
      </c>
      <c r="D287" s="5" t="str">
        <f ca="1">IFERROR(__xludf.DUMMYFUNCTION("GOOGLETRANSLATE(B287,""ja"",""vi"")"),"Vật liệu, dụng cụ")</f>
        <v>Vật liệu, dụng cụ</v>
      </c>
      <c r="E287" s="4" t="str">
        <f ca="1">IFERROR(__xludf.DUMMYFUNCTION("GOOGLETRANSLATE(C287,""ja"",""vi"")"),"Đấu giá&gt; Sở thích, văn hóa&gt; thủ công, thủ công mỹ nghệ&gt; Nghệ thuật hoa, hoa ép&gt; nguyên liệu, dụng cụ")</f>
        <v>Đấu giá&gt; Sở thích, văn hóa&gt; thủ công, thủ công mỹ nghệ&gt; Nghệ thuật hoa, hoa ép&gt; nguyên liệu, dụng cụ</v>
      </c>
      <c r="F287" t="str">
        <f t="shared" ca="1" si="4"/>
        <v>"2084305337" : "Vật liệu, dụng cụ",</v>
      </c>
    </row>
    <row r="288" spans="1:6" ht="15.75" customHeight="1">
      <c r="A288" s="14">
        <v>2084305338</v>
      </c>
      <c r="B288" s="14" t="s">
        <v>6950</v>
      </c>
      <c r="C288" s="14" t="s">
        <v>7183</v>
      </c>
      <c r="D288" s="5" t="str">
        <f ca="1">IFERROR(__xludf.DUMMYFUNCTION("GOOGLETRANSLATE(B288,""ja"",""vi"")"),"xây dựng Kit")</f>
        <v>xây dựng Kit</v>
      </c>
      <c r="E288" s="4" t="str">
        <f ca="1">IFERROR(__xludf.DUMMYFUNCTION("GOOGLETRANSLATE(C288,""ja"",""vi"")"),"Đấu giá&gt; Sở thích, văn hóa&gt; thủ công, thủ công mỹ nghệ&gt; Nghệ thuật hoa, hoa ép&gt; Xây dựng Kit")</f>
        <v>Đấu giá&gt; Sở thích, văn hóa&gt; thủ công, thủ công mỹ nghệ&gt; Nghệ thuật hoa, hoa ép&gt; Xây dựng Kit</v>
      </c>
      <c r="F288" t="str">
        <f t="shared" ca="1" si="4"/>
        <v>"2084305338" : "xây dựng Kit",</v>
      </c>
    </row>
    <row r="289" spans="1:6" ht="15.75" customHeight="1">
      <c r="A289" s="14">
        <v>2084305336</v>
      </c>
      <c r="B289" s="14" t="s">
        <v>3665</v>
      </c>
      <c r="C289" s="14" t="s">
        <v>7188</v>
      </c>
      <c r="D289" s="5" t="str">
        <f ca="1">IFERROR(__xludf.DUMMYFUNCTION("GOOGLETRANSLATE(B289,""ja"",""vi"")"),"thành phẩm")</f>
        <v>thành phẩm</v>
      </c>
      <c r="E289" s="4" t="str">
        <f ca="1">IFERROR(__xludf.DUMMYFUNCTION("GOOGLETRANSLATE(C289,""ja"",""vi"")"),"Đấu giá&gt; Sở thích, văn hóa&gt; thủ công, thủ công mỹ nghệ&gt; Nghệ thuật hoa, hoa ép&gt; thành phẩm")</f>
        <v>Đấu giá&gt; Sở thích, văn hóa&gt; thủ công, thủ công mỹ nghệ&gt; Nghệ thuật hoa, hoa ép&gt; thành phẩm</v>
      </c>
      <c r="F289" t="str">
        <f t="shared" ca="1" si="4"/>
        <v>"2084305336" : "thành phẩm",</v>
      </c>
    </row>
    <row r="290" spans="1:6" ht="15.75" customHeight="1">
      <c r="A290" s="14">
        <v>2084006708</v>
      </c>
      <c r="B290" s="14" t="s">
        <v>7192</v>
      </c>
      <c r="C290" s="14" t="s">
        <v>7194</v>
      </c>
      <c r="D290" s="5" t="str">
        <f ca="1">IFERROR(__xludf.DUMMYFUNCTION("GOOGLETRANSLATE(B290,""ja"",""vi"")"),"hoa khô")</f>
        <v>hoa khô</v>
      </c>
      <c r="E290" s="4" t="str">
        <f ca="1">IFERROR(__xludf.DUMMYFUNCTION("GOOGLETRANSLATE(C290,""ja"",""vi"")"),"Đấu giá&gt; Sở thích, văn hóa&gt; thủ công, thủ công mỹ nghệ&gt; Nghệ thuật hoa, hoa ép&gt; hoa khô")</f>
        <v>Đấu giá&gt; Sở thích, văn hóa&gt; thủ công, thủ công mỹ nghệ&gt; Nghệ thuật hoa, hoa ép&gt; hoa khô</v>
      </c>
      <c r="F290" t="str">
        <f t="shared" ca="1" si="4"/>
        <v>"2084006708" : "hoa khô",</v>
      </c>
    </row>
    <row r="291" spans="1:6" ht="15.75" customHeight="1">
      <c r="A291" s="14">
        <v>2084306775</v>
      </c>
      <c r="B291" s="14" t="s">
        <v>7199</v>
      </c>
      <c r="C291" s="14" t="s">
        <v>7202</v>
      </c>
      <c r="D291" s="5" t="str">
        <f ca="1">IFERROR(__xludf.DUMMYFUNCTION("GOOGLETRANSLATE(B291,""ja"",""vi"")"),"Tole Tranh")</f>
        <v>Tole Tranh</v>
      </c>
      <c r="E291" s="4" t="str">
        <f ca="1">IFERROR(__xludf.DUMMYFUNCTION("GOOGLETRANSLATE(C291,""ja"",""vi"")"),"Đấu giá&gt; Sở thích, văn hóa&gt; thủ công, thủ công mỹ nghệ&gt; chế biến gỗ, sơn&gt; Tole Tranh")</f>
        <v>Đấu giá&gt; Sở thích, văn hóa&gt; thủ công, thủ công mỹ nghệ&gt; chế biến gỗ, sơn&gt; Tole Tranh</v>
      </c>
      <c r="F291" t="str">
        <f t="shared" ca="1" si="4"/>
        <v>"2084306775" : "Tole Tranh",</v>
      </c>
    </row>
    <row r="292" spans="1:6" ht="15.75" customHeight="1">
      <c r="A292" s="14">
        <v>2084306776</v>
      </c>
      <c r="B292" s="14" t="s">
        <v>7205</v>
      </c>
      <c r="C292" s="14" t="s">
        <v>7206</v>
      </c>
      <c r="D292" s="5" t="str">
        <f ca="1">IFERROR(__xludf.DUMMYFUNCTION("GOOGLETRANSLATE(B292,""ja"",""vi"")"),"bộ công cụ")</f>
        <v>bộ công cụ</v>
      </c>
      <c r="E292" s="4" t="str">
        <f ca="1">IFERROR(__xludf.DUMMYFUNCTION("GOOGLETRANSLATE(C292,""ja"",""vi"")"),"Đấu giá&gt; Sở thích, văn hóa&gt; thủ công, thủ công mỹ nghệ&gt; chế biến gỗ, sơn&gt; bộ công cụ")</f>
        <v>Đấu giá&gt; Sở thích, văn hóa&gt; thủ công, thủ công mỹ nghệ&gt; chế biến gỗ, sơn&gt; bộ công cụ</v>
      </c>
      <c r="F292" t="str">
        <f t="shared" ca="1" si="4"/>
        <v>"2084306776" : "bộ công cụ",</v>
      </c>
    </row>
    <row r="293" spans="1:6" ht="15.75" customHeight="1">
      <c r="A293" s="14">
        <v>2084306770</v>
      </c>
      <c r="B293" s="14" t="s">
        <v>6242</v>
      </c>
      <c r="C293" s="14" t="s">
        <v>7214</v>
      </c>
      <c r="D293" s="5" t="str">
        <f ca="1">IFERROR(__xludf.DUMMYFUNCTION("GOOGLETRANSLATE(B293,""ja"",""vi"")"),"dụng cụ")</f>
        <v>dụng cụ</v>
      </c>
      <c r="E293" s="4" t="str">
        <f ca="1">IFERROR(__xludf.DUMMYFUNCTION("GOOGLETRANSLATE(C293,""ja"",""vi"")"),"Đấu giá&gt; Sở thích, văn hóa&gt; thủ công, thủ công mỹ nghệ&gt; thủ công kính&gt; Công cụ")</f>
        <v>Đấu giá&gt; Sở thích, văn hóa&gt; thủ công, thủ công mỹ nghệ&gt; thủ công kính&gt; Công cụ</v>
      </c>
      <c r="F293" t="str">
        <f t="shared" ca="1" si="4"/>
        <v>"2084306770" : "dụng cụ",</v>
      </c>
    </row>
    <row r="294" spans="1:6" ht="15.75" customHeight="1">
      <c r="A294" s="14">
        <v>2084306771</v>
      </c>
      <c r="B294" s="14" t="s">
        <v>7223</v>
      </c>
      <c r="C294" s="14" t="s">
        <v>7226</v>
      </c>
      <c r="D294" s="5" t="str">
        <f ca="1">IFERROR(__xludf.DUMMYFUNCTION("GOOGLETRANSLATE(B294,""ja"",""vi"")"),"vật liệu thủy tinh")</f>
        <v>vật liệu thủy tinh</v>
      </c>
      <c r="E294" s="4" t="str">
        <f ca="1">IFERROR(__xludf.DUMMYFUNCTION("GOOGLETRANSLATE(C294,""ja"",""vi"")"),"Đấu giá&gt; Sở thích, văn hóa&gt; thủ công, thủ công mỹ nghệ&gt; thủ công kính&gt; vật liệu thủy tinh")</f>
        <v>Đấu giá&gt; Sở thích, văn hóa&gt; thủ công, thủ công mỹ nghệ&gt; thủ công kính&gt; vật liệu thủy tinh</v>
      </c>
      <c r="F294" t="str">
        <f t="shared" ca="1" si="4"/>
        <v>"2084306771" : "vật liệu thủy tinh",</v>
      </c>
    </row>
    <row r="295" spans="1:6" ht="15.75" customHeight="1">
      <c r="A295" s="14">
        <v>2084306772</v>
      </c>
      <c r="B295" s="14" t="s">
        <v>6950</v>
      </c>
      <c r="C295" s="14" t="s">
        <v>7232</v>
      </c>
      <c r="D295" s="5" t="str">
        <f ca="1">IFERROR(__xludf.DUMMYFUNCTION("GOOGLETRANSLATE(B295,""ja"",""vi"")"),"xây dựng Kit")</f>
        <v>xây dựng Kit</v>
      </c>
      <c r="E295" s="4" t="str">
        <f ca="1">IFERROR(__xludf.DUMMYFUNCTION("GOOGLETRANSLATE(C295,""ja"",""vi"")"),"Đấu giá&gt; Sở thích, văn hóa&gt; thủ công, thủ công mỹ nghệ&gt; thủ công kính&gt; Xây dựng Kit")</f>
        <v>Đấu giá&gt; Sở thích, văn hóa&gt; thủ công, thủ công mỹ nghệ&gt; thủ công kính&gt; Xây dựng Kit</v>
      </c>
      <c r="F295" t="str">
        <f t="shared" ca="1" si="4"/>
        <v>"2084306772" : "xây dựng Kit",</v>
      </c>
    </row>
    <row r="296" spans="1:6" ht="15.75" customHeight="1">
      <c r="A296" s="14">
        <v>2084306773</v>
      </c>
      <c r="B296" s="14" t="s">
        <v>7238</v>
      </c>
      <c r="C296" s="14" t="s">
        <v>7239</v>
      </c>
      <c r="D296" s="5" t="str">
        <f ca="1">IFERROR(__xludf.DUMMYFUNCTION("GOOGLETRANSLATE(B296,""ja"",""vi"")"),"Dragonfly bóng")</f>
        <v>Dragonfly bóng</v>
      </c>
      <c r="E296" s="4" t="str">
        <f ca="1">IFERROR(__xludf.DUMMYFUNCTION("GOOGLETRANSLATE(C296,""ja"",""vi"")"),"Đấu giá&gt; Sở thích, văn hóa&gt; thủ công, thủ công mỹ nghệ&gt; thủ công kính&gt; bóng chuồn chuồn")</f>
        <v>Đấu giá&gt; Sở thích, văn hóa&gt; thủ công, thủ công mỹ nghệ&gt; thủ công kính&gt; bóng chuồn chuồn</v>
      </c>
      <c r="F296" t="str">
        <f t="shared" ca="1" si="4"/>
        <v>"2084306773" : "Dragonfly bóng",</v>
      </c>
    </row>
    <row r="297" spans="1:6" ht="15.75" customHeight="1">
      <c r="A297" s="14">
        <v>2084306774</v>
      </c>
      <c r="B297" s="14" t="s">
        <v>7244</v>
      </c>
      <c r="C297" s="14" t="s">
        <v>7247</v>
      </c>
      <c r="D297" s="5" t="str">
        <f ca="1">IFERROR(__xludf.DUMMYFUNCTION("GOOGLETRANSLATE(B297,""ja"",""vi"")"),"kính màu")</f>
        <v>kính màu</v>
      </c>
      <c r="E297" s="4" t="str">
        <f ca="1">IFERROR(__xludf.DUMMYFUNCTION("GOOGLETRANSLATE(C297,""ja"",""vi"")"),"Đấu giá&gt; Sở thích, văn hóa&gt; thủ công, thủ công mỹ nghệ&gt; thủ công kính&gt; kính màu")</f>
        <v>Đấu giá&gt; Sở thích, văn hóa&gt; thủ công, thủ công mỹ nghệ&gt; thủ công kính&gt; kính màu</v>
      </c>
      <c r="F297" t="str">
        <f t="shared" ca="1" si="4"/>
        <v>"2084306774" : "kính màu",</v>
      </c>
    </row>
    <row r="298" spans="1:6" ht="15.75" customHeight="1">
      <c r="A298" s="14">
        <v>2084305333</v>
      </c>
      <c r="B298" s="14" t="s">
        <v>7176</v>
      </c>
      <c r="C298" s="14" t="s">
        <v>7251</v>
      </c>
      <c r="D298" s="5" t="str">
        <f ca="1">IFERROR(__xludf.DUMMYFUNCTION("GOOGLETRANSLATE(B298,""ja"",""vi"")"),"Vật liệu, dụng cụ")</f>
        <v>Vật liệu, dụng cụ</v>
      </c>
      <c r="E298" s="4" t="str">
        <f ca="1">IFERROR(__xludf.DUMMYFUNCTION("GOOGLETRANSLATE(C298,""ja"",""vi"")"),"Đấu giá&gt; Sở thích, văn hóa&gt; thủ công, thủ công mỹ nghệ&gt; nến&gt; nguyên liệu, dụng cụ")</f>
        <v>Đấu giá&gt; Sở thích, văn hóa&gt; thủ công, thủ công mỹ nghệ&gt; nến&gt; nguyên liệu, dụng cụ</v>
      </c>
      <c r="F298" t="str">
        <f t="shared" ca="1" si="4"/>
        <v>"2084305333" : "Vật liệu, dụng cụ",</v>
      </c>
    </row>
    <row r="299" spans="1:6" ht="15.75" customHeight="1">
      <c r="A299" s="14">
        <v>2084305334</v>
      </c>
      <c r="B299" s="14" t="s">
        <v>6950</v>
      </c>
      <c r="C299" s="14" t="s">
        <v>7256</v>
      </c>
      <c r="D299" s="5" t="str">
        <f ca="1">IFERROR(__xludf.DUMMYFUNCTION("GOOGLETRANSLATE(B299,""ja"",""vi"")"),"xây dựng Kit")</f>
        <v>xây dựng Kit</v>
      </c>
      <c r="E299" s="4" t="str">
        <f ca="1">IFERROR(__xludf.DUMMYFUNCTION("GOOGLETRANSLATE(C299,""ja"",""vi"")"),"Đấu giá&gt; Sở thích, văn hóa&gt; thủ công, thủ công mỹ nghệ&gt; Candle&gt; Xây dựng Kit")</f>
        <v>Đấu giá&gt; Sở thích, văn hóa&gt; thủ công, thủ công mỹ nghệ&gt; Candle&gt; Xây dựng Kit</v>
      </c>
      <c r="F299" t="str">
        <f t="shared" ca="1" si="4"/>
        <v>"2084305334" : "xây dựng Kit",</v>
      </c>
    </row>
    <row r="300" spans="1:6" ht="15.75" customHeight="1">
      <c r="A300" s="14">
        <v>2084305335</v>
      </c>
      <c r="B300" s="14" t="s">
        <v>3665</v>
      </c>
      <c r="C300" s="14" t="s">
        <v>7260</v>
      </c>
      <c r="D300" s="5" t="str">
        <f ca="1">IFERROR(__xludf.DUMMYFUNCTION("GOOGLETRANSLATE(B300,""ja"",""vi"")"),"thành phẩm")</f>
        <v>thành phẩm</v>
      </c>
      <c r="E300" s="4" t="str">
        <f ca="1">IFERROR(__xludf.DUMMYFUNCTION("GOOGLETRANSLATE(C300,""ja"",""vi"")"),"Đấu giá&gt; Sở thích, văn hóa&gt; thủ công, thủ công mỹ nghệ&gt; Nến&gt; thành phẩm")</f>
        <v>Đấu giá&gt; Sở thích, văn hóa&gt; thủ công, thủ công mỹ nghệ&gt; Nến&gt; thành phẩm</v>
      </c>
      <c r="F300" t="str">
        <f t="shared" ca="1" si="4"/>
        <v>"2084305335" : "thành phẩm",</v>
      </c>
    </row>
    <row r="301" spans="1:6" ht="15.75" customHeight="1">
      <c r="A301" s="14">
        <v>2084228685</v>
      </c>
      <c r="B301" s="14" t="s">
        <v>7265</v>
      </c>
      <c r="C301" s="14" t="s">
        <v>7266</v>
      </c>
      <c r="D301" s="5" t="str">
        <f ca="1">IFERROR(__xludf.DUMMYFUNCTION("GOOGLETRANSLATE(B301,""ja"",""vi"")"),"rhinestone")</f>
        <v>rhinestone</v>
      </c>
      <c r="E301" s="4" t="str">
        <f ca="1">IFERROR(__xludf.DUMMYFUNCTION("GOOGLETRANSLATE(C301,""ja"",""vi"")"),"Đấu giá&gt; làm đẹp, chăm sóc sức khỏe&gt; ​​Chăm sóc móng tay&gt; nguồn cung cấp nghệ thuật móng tay&gt; Đá&gt; rhinestone")</f>
        <v>Đấu giá&gt; làm đẹp, chăm sóc sức khỏe&gt; ​​Chăm sóc móng tay&gt; nguồn cung cấp nghệ thuật móng tay&gt; Đá&gt; rhinestone</v>
      </c>
      <c r="F301" t="str">
        <f t="shared" ca="1" si="4"/>
        <v>"2084228685" : "rhinestone",</v>
      </c>
    </row>
    <row r="302" spans="1:6" ht="15.75" customHeight="1">
      <c r="A302" s="14">
        <v>2084228688</v>
      </c>
      <c r="B302" s="14" t="s">
        <v>7269</v>
      </c>
      <c r="C302" s="14" t="s">
        <v>7271</v>
      </c>
      <c r="D302" s="5" t="str">
        <f ca="1">IFERROR(__xludf.DUMMYFUNCTION("GOOGLETRANSLATE(B302,""ja"",""vi"")"),"dây chuyền")</f>
        <v>dây chuyền</v>
      </c>
      <c r="E302" s="4" t="str">
        <f ca="1">IFERROR(__xludf.DUMMYFUNCTION("GOOGLETRANSLATE(C302,""ja"",""vi"")"),"Đấu giá&gt; làm đẹp, chăm sóc sức khỏe&gt; ​​Chăm sóc móng tay&gt; nguồn cung cấp nghệ thuật móng tay&gt; Đá&gt; chuỗi")</f>
        <v>Đấu giá&gt; làm đẹp, chăm sóc sức khỏe&gt; ​​Chăm sóc móng tay&gt; nguồn cung cấp nghệ thuật móng tay&gt; Đá&gt; chuỗi</v>
      </c>
      <c r="F302" t="str">
        <f t="shared" ca="1" si="4"/>
        <v>"2084228688" : "dây chuyền",</v>
      </c>
    </row>
    <row r="303" spans="1:6" ht="15.75" customHeight="1">
      <c r="A303" s="14">
        <v>2084228686</v>
      </c>
      <c r="B303" s="14" t="s">
        <v>7274</v>
      </c>
      <c r="C303" s="14" t="s">
        <v>7276</v>
      </c>
      <c r="D303" s="5" t="str">
        <f ca="1">IFERROR(__xludf.DUMMYFUNCTION("GOOGLETRANSLATE(B303,""ja"",""vi"")"),"ngọc trai")</f>
        <v>ngọc trai</v>
      </c>
      <c r="E303" s="4" t="str">
        <f ca="1">IFERROR(__xludf.DUMMYFUNCTION("GOOGLETRANSLATE(C303,""ja"",""vi"")"),"Đấu giá&gt; làm đẹp, chăm sóc sức khỏe&gt; ​​Chăm sóc móng tay&gt; nguồn cung cấp nghệ thuật móng tay&gt; Đá&gt; Pearl")</f>
        <v>Đấu giá&gt; làm đẹp, chăm sóc sức khỏe&gt; ​​Chăm sóc móng tay&gt; nguồn cung cấp nghệ thuật móng tay&gt; Đá&gt; Pearl</v>
      </c>
      <c r="F303" t="str">
        <f t="shared" ca="1" si="4"/>
        <v>"2084228686" : "ngọc trai",</v>
      </c>
    </row>
    <row r="304" spans="1:6" ht="15.75" customHeight="1">
      <c r="A304" s="14">
        <v>2084228687</v>
      </c>
      <c r="B304" s="14" t="s">
        <v>7281</v>
      </c>
      <c r="C304" s="14" t="s">
        <v>7282</v>
      </c>
      <c r="D304" s="5" t="str">
        <f ca="1">IFERROR(__xludf.DUMMYFUNCTION("GOOGLETRANSLATE(B304,""ja"",""vi"")"),"BỘ PHẬN NHỰA")</f>
        <v>BỘ PHẬN NHỰA</v>
      </c>
      <c r="E304" s="4" t="str">
        <f ca="1">IFERROR(__xludf.DUMMYFUNCTION("GOOGLETRANSLATE(C304,""ja"",""vi"")"),"Đấu giá&gt; làm đẹp, chăm sóc sức khỏe&gt; ​​Chăm sóc móng tay&gt; nguồn cung cấp nghệ thuật móng tay&gt; Đá&gt; BỘ PHẬN NHỰA")</f>
        <v>Đấu giá&gt; làm đẹp, chăm sóc sức khỏe&gt; ​​Chăm sóc móng tay&gt; nguồn cung cấp nghệ thuật móng tay&gt; Đá&gt; BỘ PHẬN NHỰA</v>
      </c>
      <c r="F304" t="str">
        <f t="shared" ca="1" si="4"/>
        <v>"2084228687" : "BỘ PHẬN NHỰA",</v>
      </c>
    </row>
    <row r="305" spans="1:6" ht="15.75" customHeight="1">
      <c r="A305" s="14">
        <v>2084228689</v>
      </c>
      <c r="B305" s="14" t="s">
        <v>46</v>
      </c>
      <c r="C305" s="14" t="s">
        <v>7287</v>
      </c>
      <c r="D305" s="5" t="str">
        <f ca="1">IFERROR(__xludf.DUMMYFUNCTION("GOOGLETRANSLATE(B305,""ja"",""vi"")"),"nếu không thì")</f>
        <v>nếu không thì</v>
      </c>
      <c r="E305" s="4" t="str">
        <f ca="1">IFERROR(__xludf.DUMMYFUNCTION("GOOGLETRANSLATE(C305,""ja"",""vi"")"),"Đấu giá&gt; làm đẹp, chăm sóc sức khỏe&gt; ​​Chăm sóc móng tay&gt; nguồn cung cấp nghệ thuật móng tay&gt; Đá&gt; Khác")</f>
        <v>Đấu giá&gt; làm đẹp, chăm sóc sức khỏe&gt; ​​Chăm sóc móng tay&gt; nguồn cung cấp nghệ thuật móng tay&gt; Đá&gt; Khác</v>
      </c>
      <c r="F305" t="str">
        <f t="shared" ca="1" si="4"/>
        <v>"2084228689" : "nếu không thì",</v>
      </c>
    </row>
    <row r="306" spans="1:6" ht="15.75" customHeight="1">
      <c r="A306" s="14">
        <v>2084052783</v>
      </c>
      <c r="B306" s="14" t="s">
        <v>7291</v>
      </c>
      <c r="C306" s="14" t="s">
        <v>7292</v>
      </c>
      <c r="D306" s="5" t="str">
        <f ca="1">IFERROR(__xludf.DUMMYFUNCTION("GOOGLETRANSLATE(B306,""ja"",""vi"")"),"siêu Dollfie")</f>
        <v>siêu Dollfie</v>
      </c>
      <c r="E306" s="4" t="str">
        <f ca="1">IFERROR(__xludf.DUMMYFUNCTION("GOOGLETRANSLATE(C306,""ja"",""vi"")"),"Đấu giá&gt; đồ chơi, trò chơi&gt; búp bê, búp bê nhân vật&gt; Super Dollfie")</f>
        <v>Đấu giá&gt; đồ chơi, trò chơi&gt; búp bê, búp bê nhân vật&gt; Super Dollfie</v>
      </c>
      <c r="F306" t="str">
        <f t="shared" ca="1" si="4"/>
        <v>"2084052783" : "siêu Dollfie",</v>
      </c>
    </row>
    <row r="307" spans="1:6" ht="15.75" customHeight="1">
      <c r="A307" s="14">
        <v>2084241345</v>
      </c>
      <c r="B307" s="14" t="s">
        <v>7297</v>
      </c>
      <c r="C307" s="14" t="s">
        <v>7299</v>
      </c>
      <c r="D307" s="5" t="str">
        <f ca="1">IFERROR(__xludf.DUMMYFUNCTION("GOOGLETRANSLATE(B307,""ja"",""vi"")"),"Dollfie Giấc mơ")</f>
        <v>Dollfie Giấc mơ</v>
      </c>
      <c r="E307" s="4" t="str">
        <f ca="1">IFERROR(__xludf.DUMMYFUNCTION("GOOGLETRANSLATE(C307,""ja"",""vi"")"),"Đấu giá&gt; đồ chơi, trò chơi&gt; búp bê, búp bê nhân vật&gt; Dollfie Giấc mơ")</f>
        <v>Đấu giá&gt; đồ chơi, trò chơi&gt; búp bê, búp bê nhân vật&gt; Dollfie Giấc mơ</v>
      </c>
      <c r="F307" t="str">
        <f t="shared" ca="1" si="4"/>
        <v>"2084241345" : "Dollfie Giấc mơ",</v>
      </c>
    </row>
    <row r="308" spans="1:6" ht="15.75" customHeight="1">
      <c r="A308" s="14">
        <v>2084052782</v>
      </c>
      <c r="B308" s="14" t="s">
        <v>7305</v>
      </c>
      <c r="C308" s="14" t="s">
        <v>7306</v>
      </c>
      <c r="D308" s="5" t="str">
        <f ca="1">IFERROR(__xludf.DUMMYFUNCTION("GOOGLETRANSLATE(B308,""ja"",""vi"")"),"tùy chỉnh búp bê")</f>
        <v>tùy chỉnh búp bê</v>
      </c>
      <c r="E308" s="4" t="str">
        <f ca="1">IFERROR(__xludf.DUMMYFUNCTION("GOOGLETRANSLATE(C308,""ja"",""vi"")"),"Đấu giá&gt; đồ chơi, trò chơi&gt; búp bê, búp bê nhân vật&gt; búp bê tùy chỉnh")</f>
        <v>Đấu giá&gt; đồ chơi, trò chơi&gt; búp bê, búp bê nhân vật&gt; búp bê tùy chỉnh</v>
      </c>
      <c r="F308" t="str">
        <f t="shared" ca="1" si="4"/>
        <v>"2084052782" : "tùy chỉnh búp bê",</v>
      </c>
    </row>
    <row r="309" spans="1:6" ht="15.75" customHeight="1">
      <c r="A309" s="14">
        <v>25870</v>
      </c>
      <c r="B309" s="14" t="s">
        <v>7313</v>
      </c>
      <c r="C309" s="14" t="s">
        <v>7315</v>
      </c>
      <c r="D309" s="5" t="str">
        <f ca="1">IFERROR(__xludf.DUMMYFUNCTION("GOOGLETRANSLATE(B309,""ja"",""vi"")"),"nhân vật búp bê")</f>
        <v>nhân vật búp bê</v>
      </c>
      <c r="E309" s="4" t="str">
        <f ca="1">IFERROR(__xludf.DUMMYFUNCTION("GOOGLETRANSLATE(C309,""ja"",""vi"")"),"Đấu giá&gt; đồ chơi, trò chơi&gt; búp bê, búp bê nhân vật&gt; nhân vật búp bê")</f>
        <v>Đấu giá&gt; đồ chơi, trò chơi&gt; búp bê, búp bê nhân vật&gt; nhân vật búp bê</v>
      </c>
      <c r="F309" t="str">
        <f t="shared" ca="1" si="4"/>
        <v>"25870" : "nhân vật búp bê",</v>
      </c>
    </row>
    <row r="310" spans="1:6" ht="15.75" customHeight="1">
      <c r="A310" s="14">
        <v>2084020000</v>
      </c>
      <c r="B310" s="14" t="s">
        <v>7317</v>
      </c>
      <c r="C310" s="14" t="s">
        <v>7319</v>
      </c>
      <c r="D310" s="5" t="str">
        <f ca="1">IFERROR(__xludf.DUMMYFUNCTION("GOOGLETRANSLATE(B310,""ja"",""vi"")"),"Kisekae búp bê")</f>
        <v>Kisekae búp bê</v>
      </c>
      <c r="E310" s="4" t="str">
        <f ca="1">IFERROR(__xludf.DUMMYFUNCTION("GOOGLETRANSLATE(C310,""ja"",""vi"")"),"Đấu giá&gt; đồ chơi, trò chơi&gt; búp bê, búp bê nhân vật&gt; Kisekae búp bê")</f>
        <v>Đấu giá&gt; đồ chơi, trò chơi&gt; búp bê, búp bê nhân vật&gt; Kisekae búp bê</v>
      </c>
      <c r="F310" t="str">
        <f t="shared" ca="1" si="4"/>
        <v>"2084020000" : "Kisekae búp bê",</v>
      </c>
    </row>
    <row r="311" spans="1:6" ht="15.75" customHeight="1">
      <c r="A311" s="14">
        <v>2084020063</v>
      </c>
      <c r="B311" s="14" t="s">
        <v>6773</v>
      </c>
      <c r="C311" s="14" t="s">
        <v>7322</v>
      </c>
      <c r="D311" s="5" t="str">
        <f ca="1">IFERROR(__xludf.DUMMYFUNCTION("GOOGLETRANSLATE(B311,""ja"",""vi"")"),"Nhật Bản búp bê")</f>
        <v>Nhật Bản búp bê</v>
      </c>
      <c r="E311" s="4" t="str">
        <f ca="1">IFERROR(__xludf.DUMMYFUNCTION("GOOGLETRANSLATE(C311,""ja"",""vi"")"),"Đấu giá&gt; đồ chơi, trò chơi&gt; búp bê, búp bê nhân vật&gt; búp bê Nhật Bản")</f>
        <v>Đấu giá&gt; đồ chơi, trò chơi&gt; búp bê, búp bê nhân vật&gt; búp bê Nhật Bản</v>
      </c>
      <c r="F311" t="str">
        <f t="shared" ca="1" si="4"/>
        <v>"2084020063" : "Nhật Bản búp bê",</v>
      </c>
    </row>
    <row r="312" spans="1:6" ht="15.75" customHeight="1">
      <c r="A312" s="14">
        <v>2084023608</v>
      </c>
      <c r="B312" s="14" t="s">
        <v>7323</v>
      </c>
      <c r="C312" s="14" t="s">
        <v>7325</v>
      </c>
      <c r="D312" s="5" t="str">
        <f ca="1">IFERROR(__xludf.DUMMYFUNCTION("GOOGLETRANSLATE(B312,""ja"",""vi"")"),"đồ sứ nung Doll")</f>
        <v>đồ sứ nung Doll</v>
      </c>
      <c r="E312" s="4" t="str">
        <f ca="1">IFERROR(__xludf.DUMMYFUNCTION("GOOGLETRANSLATE(C312,""ja"",""vi"")"),"Đấu giá&gt; đồ chơi, trò chơi&gt; búp bê, búp bê nhân vật&gt; đồ sứ nung búp bê")</f>
        <v>Đấu giá&gt; đồ chơi, trò chơi&gt; búp bê, búp bê nhân vật&gt; đồ sứ nung búp bê</v>
      </c>
      <c r="F312" t="str">
        <f t="shared" ca="1" si="4"/>
        <v>"2084023608" : "đồ sứ nung Doll",</v>
      </c>
    </row>
    <row r="313" spans="1:6" ht="15.75" customHeight="1">
      <c r="A313" s="14">
        <v>25902</v>
      </c>
      <c r="B313" s="14" t="s">
        <v>7327</v>
      </c>
      <c r="C313" s="14" t="s">
        <v>7328</v>
      </c>
      <c r="D313" s="5" t="str">
        <f ca="1">IFERROR(__xludf.DUMMYFUNCTION("GOOGLETRANSLATE(B313,""ja"",""vi"")"),"nhà búp bê")</f>
        <v>nhà búp bê</v>
      </c>
      <c r="E313" s="4" t="str">
        <f ca="1">IFERROR(__xludf.DUMMYFUNCTION("GOOGLETRANSLATE(C313,""ja"",""vi"")"),"Đấu giá&gt; đồ chơi, trò chơi&gt; búp bê, búp bê nhân vật&gt; búp bê nhà")</f>
        <v>Đấu giá&gt; đồ chơi, trò chơi&gt; búp bê, búp bê nhân vật&gt; búp bê nhà</v>
      </c>
      <c r="F313" t="str">
        <f t="shared" ca="1" si="4"/>
        <v>"25902" : "nhà búp bê",</v>
      </c>
    </row>
    <row r="314" spans="1:6" ht="15.75" customHeight="1">
      <c r="A314" s="14">
        <v>2084020014</v>
      </c>
      <c r="B314" s="14" t="s">
        <v>7332</v>
      </c>
      <c r="C314" s="14" t="s">
        <v>7335</v>
      </c>
      <c r="D314" s="5" t="str">
        <f ca="1">IFERROR(__xludf.DUMMYFUNCTION("GOOGLETRANSLATE(B314,""ja"",""vi"")"),"Dakiningyo, búp bê baby")</f>
        <v>Dakiningyo, búp bê baby</v>
      </c>
      <c r="E314" s="4" t="str">
        <f ca="1">IFERROR(__xludf.DUMMYFUNCTION("GOOGLETRANSLATE(C314,""ja"",""vi"")"),"Đấu giá&gt; đồ chơi, trò chơi&gt; búp bê, búp bê nhân vật&gt; Dakiningyo, búp bê baby")</f>
        <v>Đấu giá&gt; đồ chơi, trò chơi&gt; búp bê, búp bê nhân vật&gt; Dakiningyo, búp bê baby</v>
      </c>
      <c r="F314" t="str">
        <f t="shared" ca="1" si="4"/>
        <v>"2084020014" : "Dakiningyo, búp bê baby",</v>
      </c>
    </row>
    <row r="315" spans="1:6" ht="15.75" customHeight="1">
      <c r="A315" s="14">
        <v>25868</v>
      </c>
      <c r="B315" s="14" t="s">
        <v>7340</v>
      </c>
      <c r="C315" s="14" t="s">
        <v>7342</v>
      </c>
      <c r="D315" s="5" t="str">
        <f ca="1">IFERROR(__xludf.DUMMYFUNCTION("GOOGLETRANSLATE(B315,""ja"",""vi"")"),"búp bê làm bằng tay")</f>
        <v>búp bê làm bằng tay</v>
      </c>
      <c r="E315" s="4" t="str">
        <f ca="1">IFERROR(__xludf.DUMMYFUNCTION("GOOGLETRANSLATE(C315,""ja"",""vi"")"),"Đấu giá&gt; đồ chơi, trò chơi&gt; búp bê, búp bê nhân vật&gt; handmade búp bê")</f>
        <v>Đấu giá&gt; đồ chơi, trò chơi&gt; búp bê, búp bê nhân vật&gt; handmade búp bê</v>
      </c>
      <c r="F315" t="str">
        <f t="shared" ca="1" si="4"/>
        <v>"25868" : "búp bê làm bằng tay",</v>
      </c>
    </row>
    <row r="316" spans="1:6" ht="15.75" customHeight="1">
      <c r="A316" s="14">
        <v>40494</v>
      </c>
      <c r="B316" s="14" t="s">
        <v>7347</v>
      </c>
      <c r="C316" s="14" t="s">
        <v>7349</v>
      </c>
      <c r="D316" s="5" t="str">
        <f ca="1">IFERROR(__xludf.DUMMYFUNCTION("GOOGLETRANSLATE(B316,""ja"",""vi"")"),"Thú nhồi bông")</f>
        <v>Thú nhồi bông</v>
      </c>
      <c r="E316" s="4" t="str">
        <f ca="1">IFERROR(__xludf.DUMMYFUNCTION("GOOGLETRANSLATE(C316,""ja"",""vi"")"),"Đấu giá&gt; đồ chơi, trò chơi&gt; búp bê, búp bê nhân vật&gt; đồ chơi nhồi bông")</f>
        <v>Đấu giá&gt; đồ chơi, trò chơi&gt; búp bê, búp bê nhân vật&gt; đồ chơi nhồi bông</v>
      </c>
      <c r="F316" t="str">
        <f t="shared" ca="1" si="4"/>
        <v>"40494" : "Thú nhồi bông",</v>
      </c>
    </row>
    <row r="317" spans="1:6" ht="15.75" customHeight="1">
      <c r="A317" s="14">
        <v>25888</v>
      </c>
      <c r="B317" s="14" t="s">
        <v>7351</v>
      </c>
      <c r="C317" s="14" t="s">
        <v>7352</v>
      </c>
      <c r="D317" s="5" t="str">
        <f ca="1">IFERROR(__xludf.DUMMYFUNCTION("GOOGLETRANSLATE(B317,""ja"",""vi"")"),"nhân vật")</f>
        <v>nhân vật</v>
      </c>
      <c r="E317" s="4" t="str">
        <f ca="1">IFERROR(__xludf.DUMMYFUNCTION("GOOGLETRANSLATE(C317,""ja"",""vi"")"),"Đấu giá&gt; đồ chơi, trò chơi&gt; búp bê, búp bê nhân vật&gt; Hình")</f>
        <v>Đấu giá&gt; đồ chơi, trò chơi&gt; búp bê, búp bê nhân vật&gt; Hình</v>
      </c>
      <c r="F317" t="str">
        <f t="shared" ca="1" si="4"/>
        <v>"25888" : "nhân vật",</v>
      </c>
    </row>
    <row r="318" spans="1:6" ht="15.75" customHeight="1">
      <c r="A318" s="14">
        <v>2084020321</v>
      </c>
      <c r="B318" s="14" t="s">
        <v>46</v>
      </c>
      <c r="C318" s="14" t="s">
        <v>7357</v>
      </c>
      <c r="D318" s="5" t="str">
        <f ca="1">IFERROR(__xludf.DUMMYFUNCTION("GOOGLETRANSLATE(B318,""ja"",""vi"")"),"nếu không thì")</f>
        <v>nếu không thì</v>
      </c>
      <c r="E318" s="4" t="str">
        <f ca="1">IFERROR(__xludf.DUMMYFUNCTION("GOOGLETRANSLATE(C318,""ja"",""vi"")"),"Đấu giá&gt; đồ chơi, trò chơi&gt; búp bê, búp bê nhân vật&gt; Khác")</f>
        <v>Đấu giá&gt; đồ chơi, trò chơi&gt; búp bê, búp bê nhân vật&gt; Khác</v>
      </c>
      <c r="F318" t="str">
        <f t="shared" ca="1" si="4"/>
        <v>"2084020321" : "nếu không thì",</v>
      </c>
    </row>
    <row r="319" spans="1:6" ht="15.75" customHeight="1">
      <c r="A319" s="14">
        <v>2084008955</v>
      </c>
      <c r="B319" s="14" t="s">
        <v>5731</v>
      </c>
      <c r="C319" s="14" t="s">
        <v>5733</v>
      </c>
      <c r="D319" s="5" t="str">
        <f ca="1">IFERROR(__xludf.DUMMYFUNCTION("GOOGLETRANSLATE(B319,""ja"",""vi"")"),"thủ công")</f>
        <v>thủ công</v>
      </c>
      <c r="E319" s="4" t="str">
        <f ca="1">IFERROR(__xludf.DUMMYFUNCTION("GOOGLETRANSLATE(C319,""ja"",""vi"")"),"Đấu giá&gt; cuốn sách, tạp chí&gt; nhà, sinh hoạt, chăm sóc trẻ&gt; sum may mặc, thủ công mỹ nghệ&gt; Thủ công mỹ nghệ")</f>
        <v>Đấu giá&gt; cuốn sách, tạp chí&gt; nhà, sinh hoạt, chăm sóc trẻ&gt; sum may mặc, thủ công mỹ nghệ&gt; Thủ công mỹ nghệ</v>
      </c>
      <c r="F319" t="str">
        <f t="shared" ca="1" si="4"/>
        <v>"2084008955" : "thủ công",</v>
      </c>
    </row>
    <row r="320" spans="1:6" ht="15.75" customHeight="1">
      <c r="A320" s="14">
        <v>2084008954</v>
      </c>
      <c r="B320" s="14" t="s">
        <v>5735</v>
      </c>
      <c r="C320" s="14" t="s">
        <v>5736</v>
      </c>
      <c r="D320" s="5" t="str">
        <f ca="1">IFERROR(__xludf.DUMMYFUNCTION("GOOGLETRANSLATE(B320,""ja"",""vi"")"),"đan")</f>
        <v>đan</v>
      </c>
      <c r="E320" s="4" t="str">
        <f ca="1">IFERROR(__xludf.DUMMYFUNCTION("GOOGLETRANSLATE(C320,""ja"",""vi"")"),"Đấu giá&gt; cuốn sách, tạp chí&gt; nhà, sinh hoạt, chăm sóc trẻ&gt; sum may mặc, thủ công mỹ nghệ&gt; đan")</f>
        <v>Đấu giá&gt; cuốn sách, tạp chí&gt; nhà, sinh hoạt, chăm sóc trẻ&gt; sum may mặc, thủ công mỹ nghệ&gt; đan</v>
      </c>
      <c r="F320" t="str">
        <f t="shared" ca="1" si="4"/>
        <v>"2084008954" : "đan",</v>
      </c>
    </row>
    <row r="321" spans="1:6" ht="15.75" customHeight="1">
      <c r="A321" s="14">
        <v>2084008952</v>
      </c>
      <c r="B321" s="14" t="s">
        <v>5738</v>
      </c>
      <c r="C321" s="14" t="s">
        <v>5739</v>
      </c>
      <c r="D321" s="5" t="str">
        <f ca="1">IFERROR(__xludf.DUMMYFUNCTION("GOOGLETRANSLATE(B321,""ja"",""vi"")"),"ăn mặc lên")</f>
        <v>ăn mặc lên</v>
      </c>
      <c r="E321" s="4" t="str">
        <f ca="1">IFERROR(__xludf.DUMMYFUNCTION("GOOGLETRANSLATE(C321,""ja"",""vi"")"),"Đấu giá&gt; cuốn sách, tạp chí&gt; nhà, sinh hoạt, chăm sóc trẻ&gt; sum may mặc, thủ công mỹ nghệ&gt; may mặc")</f>
        <v>Đấu giá&gt; cuốn sách, tạp chí&gt; nhà, sinh hoạt, chăm sóc trẻ&gt; sum may mặc, thủ công mỹ nghệ&gt; may mặc</v>
      </c>
      <c r="F321" t="str">
        <f t="shared" ca="1" si="4"/>
        <v>"2084008952" : "ăn mặc lên",</v>
      </c>
    </row>
    <row r="322" spans="1:6" ht="15.75" customHeight="1">
      <c r="A322" s="14">
        <v>2084008953</v>
      </c>
      <c r="B322" s="14" t="s">
        <v>5741</v>
      </c>
      <c r="C322" s="14" t="s">
        <v>5742</v>
      </c>
      <c r="D322" s="5" t="str">
        <f ca="1">IFERROR(__xludf.DUMMYFUNCTION("GOOGLETRANSLATE(B322,""ja"",""vi"")"),"ăn mặc lên")</f>
        <v>ăn mặc lên</v>
      </c>
      <c r="E322" s="4" t="str">
        <f ca="1">IFERROR(__xludf.DUMMYFUNCTION("GOOGLETRANSLATE(C322,""ja"",""vi"")"),"Đấu giá&gt; cuốn sách, tạp chí&gt; nhà, sinh hoạt, chăm sóc trẻ&gt; sum may mặc, thủ công mỹ nghệ&gt; may mặc")</f>
        <v>Đấu giá&gt; cuốn sách, tạp chí&gt; nhà, sinh hoạt, chăm sóc trẻ&gt; sum may mặc, thủ công mỹ nghệ&gt; may mặc</v>
      </c>
      <c r="F322" t="str">
        <f t="shared" ref="F322:F385" ca="1" si="5">CONCATENATE(CHAR(34)&amp;"",A322,""&amp;CHAR(34)," : ", CHAR(34)&amp;"",D322,""&amp;CHAR(34),",")</f>
        <v>"2084008953" : "ăn mặc lên",</v>
      </c>
    </row>
    <row r="323" spans="1:6" ht="15.75" customHeight="1">
      <c r="A323" s="14">
        <v>2084008956</v>
      </c>
      <c r="B323" s="14" t="s">
        <v>46</v>
      </c>
      <c r="C323" s="14" t="s">
        <v>5745</v>
      </c>
      <c r="D323" s="5" t="str">
        <f ca="1">IFERROR(__xludf.DUMMYFUNCTION("GOOGLETRANSLATE(B323,""ja"",""vi"")"),"nếu không thì")</f>
        <v>nếu không thì</v>
      </c>
      <c r="E323" s="4" t="str">
        <f ca="1">IFERROR(__xludf.DUMMYFUNCTION("GOOGLETRANSLATE(C323,""ja"",""vi"")"),"Đấu giá&gt; cuốn sách, tạp chí&gt; nhà, sinh hoạt, chăm sóc trẻ&gt; sum may mặc, thủ công mỹ nghệ&gt; Khác")</f>
        <v>Đấu giá&gt; cuốn sách, tạp chí&gt; nhà, sinh hoạt, chăm sóc trẻ&gt; sum may mặc, thủ công mỹ nghệ&gt; Khác</v>
      </c>
      <c r="F323" t="str">
        <f t="shared" ca="1" si="5"/>
        <v>"2084008956" : "nếu không thì",</v>
      </c>
    </row>
    <row r="324" spans="1:6" ht="15.75" customHeight="1">
      <c r="A324" s="14">
        <v>2084006188</v>
      </c>
      <c r="B324" s="14" t="s">
        <v>7366</v>
      </c>
      <c r="C324" s="14" t="s">
        <v>7367</v>
      </c>
      <c r="D324" s="5" t="str">
        <f ca="1">IFERROR(__xludf.DUMMYFUNCTION("GOOGLETRANSLATE(B324,""ja"",""vi"")"),"nguồn cung cấp nghệ thuật")</f>
        <v>nguồn cung cấp nghệ thuật</v>
      </c>
      <c r="E324" s="4" t="str">
        <f ca="1">IFERROR(__xludf.DUMMYFUNCTION("GOOGLETRANSLATE(C324,""ja"",""vi"")"),"Đấu giá&gt; Sở thích, văn hóa&gt; Art Supplies&gt; vật liệu sơn")</f>
        <v>Đấu giá&gt; Sở thích, văn hóa&gt; Art Supplies&gt; vật liệu sơn</v>
      </c>
      <c r="F324" t="str">
        <f t="shared" ca="1" si="5"/>
        <v>"2084006188" : "nguồn cung cấp nghệ thuật",</v>
      </c>
    </row>
    <row r="325" spans="1:6" ht="15.75" customHeight="1">
      <c r="A325" s="14">
        <v>2084006189</v>
      </c>
      <c r="B325" s="14" t="s">
        <v>6890</v>
      </c>
      <c r="C325" s="14" t="s">
        <v>7370</v>
      </c>
      <c r="D325" s="5" t="str">
        <f ca="1">IFERROR(__xludf.DUMMYFUNCTION("GOOGLETRANSLATE(B325,""ja"",""vi"")"),"khung hình")</f>
        <v>khung hình</v>
      </c>
      <c r="E325" s="4" t="str">
        <f ca="1">IFERROR(__xludf.DUMMYFUNCTION("GOOGLETRANSLATE(C325,""ja"",""vi"")"),"Đấu giá&gt; Sở thích, văn hóa&gt; Art Supplies&gt; khung hình")</f>
        <v>Đấu giá&gt; Sở thích, văn hóa&gt; Art Supplies&gt; khung hình</v>
      </c>
      <c r="F325" t="str">
        <f t="shared" ca="1" si="5"/>
        <v>"2084006189" : "khung hình",</v>
      </c>
    </row>
    <row r="326" spans="1:6" ht="15.75" customHeight="1">
      <c r="A326" s="14">
        <v>20056</v>
      </c>
      <c r="B326" s="14" t="s">
        <v>7372</v>
      </c>
      <c r="C326" s="14" t="s">
        <v>7373</v>
      </c>
      <c r="D326" s="5" t="str">
        <f ca="1">IFERROR(__xludf.DUMMYFUNCTION("GOOGLETRANSLATE(B326,""ja"",""vi"")"),"Tác phẩm nghệ thuật")</f>
        <v>Tác phẩm nghệ thuật</v>
      </c>
      <c r="E326" s="4" t="str">
        <f ca="1">IFERROR(__xludf.DUMMYFUNCTION("GOOGLETRANSLATE(C326,""ja"",""vi"")"),"Đấu giá&gt; Sở thích, văn hóa&gt; Art Supplies&gt; tác phẩm nghệ thuật")</f>
        <v>Đấu giá&gt; Sở thích, văn hóa&gt; Art Supplies&gt; tác phẩm nghệ thuật</v>
      </c>
      <c r="F326" t="str">
        <f t="shared" ca="1" si="5"/>
        <v>"20056" : "Tác phẩm nghệ thuật",</v>
      </c>
    </row>
    <row r="327" spans="1:6" ht="15.75" customHeight="1">
      <c r="A327" s="14">
        <v>2084006190</v>
      </c>
      <c r="B327" s="14" t="s">
        <v>46</v>
      </c>
      <c r="C327" s="14" t="s">
        <v>7376</v>
      </c>
      <c r="D327" s="5" t="str">
        <f ca="1">IFERROR(__xludf.DUMMYFUNCTION("GOOGLETRANSLATE(B327,""ja"",""vi"")"),"nếu không thì")</f>
        <v>nếu không thì</v>
      </c>
      <c r="E327" s="4" t="str">
        <f ca="1">IFERROR(__xludf.DUMMYFUNCTION("GOOGLETRANSLATE(C327,""ja"",""vi"")"),"Đấu giá&gt; Sở thích, văn hóa&gt; Art Supplies&gt; Khác")</f>
        <v>Đấu giá&gt; Sở thích, văn hóa&gt; Art Supplies&gt; Khác</v>
      </c>
      <c r="F327" t="str">
        <f t="shared" ca="1" si="5"/>
        <v>"2084006190" : "nếu không thì",</v>
      </c>
    </row>
    <row r="328" spans="1:6" ht="15.75" customHeight="1">
      <c r="A328" s="14">
        <v>2084227136</v>
      </c>
      <c r="B328" s="14" t="s">
        <v>7379</v>
      </c>
      <c r="C328" s="14" t="s">
        <v>7380</v>
      </c>
      <c r="D328" s="5" t="str">
        <f ca="1">IFERROR(__xludf.DUMMYFUNCTION("GOOGLETRANSLATE(B328,""ja"",""vi"")"),"Torso")</f>
        <v>Torso</v>
      </c>
      <c r="E328" s="4" t="str">
        <f ca="1">IFERROR(__xludf.DUMMYFUNCTION("GOOGLETRANSLATE(C328,""ja"",""vi"")"),"Đấu giá&gt; vật tư văn phòng, cửa hàng&gt; Baby hàng&gt; nộm&gt; thân")</f>
        <v>Đấu giá&gt; vật tư văn phòng, cửa hàng&gt; Baby hàng&gt; nộm&gt; thân</v>
      </c>
      <c r="F328" t="str">
        <f t="shared" ca="1" si="5"/>
        <v>"2084227136" : "Torso",</v>
      </c>
    </row>
    <row r="329" spans="1:6" ht="15.75" customHeight="1">
      <c r="A329" s="14">
        <v>2084227137</v>
      </c>
      <c r="B329" s="14" t="s">
        <v>7383</v>
      </c>
      <c r="C329" s="14" t="s">
        <v>7384</v>
      </c>
      <c r="D329" s="5" t="str">
        <f ca="1">IFERROR(__xludf.DUMMYFUNCTION("GOOGLETRANSLATE(B329,""ja"",""vi"")"),"giống như người mẫu")</f>
        <v>giống như người mẫu</v>
      </c>
      <c r="E329" s="4" t="str">
        <f ca="1">IFERROR(__xludf.DUMMYFUNCTION("GOOGLETRANSLATE(C329,""ja"",""vi"")"),"Đấu giá&gt; vật tư văn phòng, cửa hàng&gt; Baby hàng&gt; nộm&gt; nộm")</f>
        <v>Đấu giá&gt; vật tư văn phòng, cửa hàng&gt; Baby hàng&gt; nộm&gt; nộm</v>
      </c>
      <c r="F329" t="str">
        <f t="shared" ca="1" si="5"/>
        <v>"2084227137" : "giống như người mẫu",</v>
      </c>
    </row>
    <row r="330" spans="1:6" ht="15.75" customHeight="1">
      <c r="A330" s="14">
        <v>2084227144</v>
      </c>
      <c r="B330" s="14" t="s">
        <v>46</v>
      </c>
      <c r="C330" s="14" t="s">
        <v>7387</v>
      </c>
      <c r="D330" s="5" t="str">
        <f ca="1">IFERROR(__xludf.DUMMYFUNCTION("GOOGLETRANSLATE(B330,""ja"",""vi"")"),"nếu không thì")</f>
        <v>nếu không thì</v>
      </c>
      <c r="E330" s="4" t="str">
        <f ca="1">IFERROR(__xludf.DUMMYFUNCTION("GOOGLETRANSLATE(C330,""ja"",""vi"")"),"Đấu giá&gt; Văn phòng, Cửa hàng cung cấp&gt; hàng bé&gt; nộm&gt; Khác")</f>
        <v>Đấu giá&gt; Văn phòng, Cửa hàng cung cấp&gt; hàng bé&gt; nộm&gt; Khác</v>
      </c>
      <c r="F330" t="str">
        <f t="shared" ca="1" si="5"/>
        <v>"2084227144" : "nếu không thì",</v>
      </c>
    </row>
    <row r="331" spans="1:6" ht="15.75" customHeight="1">
      <c r="A331" s="14">
        <v>2084046887</v>
      </c>
      <c r="B331" s="14" t="s">
        <v>7390</v>
      </c>
      <c r="C331" s="14" t="s">
        <v>7391</v>
      </c>
      <c r="D331" s="5" t="str">
        <f ca="1">IFERROR(__xludf.DUMMYFUNCTION("GOOGLETRANSLATE(B331,""ja"",""vi"")"),"Chế tác hạt")</f>
        <v>Chế tác hạt</v>
      </c>
      <c r="E331" s="4" t="str">
        <f ca="1">IFERROR(__xludf.DUMMYFUNCTION("GOOGLETRANSLATE(C331,""ja"",""vi"")"),"Đấu giá&gt; Sở thích, văn hóa&gt; thủ công, thủ công mỹ nghệ&gt; thành phẩm&gt; Chế tác hạt")</f>
        <v>Đấu giá&gt; Sở thích, văn hóa&gt; thủ công, thủ công mỹ nghệ&gt; thành phẩm&gt; Chế tác hạt</v>
      </c>
      <c r="F331" t="str">
        <f t="shared" ca="1" si="5"/>
        <v>"2084046887" : "Chế tác hạt",</v>
      </c>
    </row>
    <row r="332" spans="1:6" ht="15.75" customHeight="1">
      <c r="A332" s="14">
        <v>2084220294</v>
      </c>
      <c r="B332" s="14" t="s">
        <v>7394</v>
      </c>
      <c r="C332" s="14" t="s">
        <v>7395</v>
      </c>
      <c r="D332" s="5" t="str">
        <f ca="1">IFERROR(__xludf.DUMMYFUNCTION("GOOGLETRANSLATE(B332,""ja"",""vi"")"),"da nghề")</f>
        <v>da nghề</v>
      </c>
      <c r="E332" s="4" t="str">
        <f ca="1">IFERROR(__xludf.DUMMYFUNCTION("GOOGLETRANSLATE(C332,""ja"",""vi"")"),"Đấu giá&gt; Sở thích, văn hóa&gt; thủ công, thủ công mỹ nghệ&gt; thành phẩm&gt; mỹ nghệ thuộc da")</f>
        <v>Đấu giá&gt; Sở thích, văn hóa&gt; thủ công, thủ công mỹ nghệ&gt; thành phẩm&gt; mỹ nghệ thuộc da</v>
      </c>
      <c r="F332" t="str">
        <f t="shared" ca="1" si="5"/>
        <v>"2084220294" : "da nghề",</v>
      </c>
    </row>
    <row r="333" spans="1:6" ht="15.75" customHeight="1">
      <c r="A333" s="14">
        <v>2084220295</v>
      </c>
      <c r="B333" s="14" t="s">
        <v>7397</v>
      </c>
      <c r="C333" s="14" t="s">
        <v>7399</v>
      </c>
      <c r="D333" s="5" t="str">
        <f ca="1">IFERROR(__xludf.DUMMYFUNCTION("GOOGLETRANSLATE(B333,""ja"",""vi"")"),"May, thêu ren")</f>
        <v>May, thêu ren</v>
      </c>
      <c r="E333" s="4" t="str">
        <f ca="1">IFERROR(__xludf.DUMMYFUNCTION("GOOGLETRANSLATE(C333,""ja"",""vi"")"),"Đấu giá&gt; Sở thích, văn hóa&gt; thủ công, thủ công mỹ nghệ&gt; thành phẩm&gt; may, thêu ren")</f>
        <v>Đấu giá&gt; Sở thích, văn hóa&gt; thủ công, thủ công mỹ nghệ&gt; thành phẩm&gt; may, thêu ren</v>
      </c>
      <c r="F333" t="str">
        <f t="shared" ca="1" si="5"/>
        <v>"2084220295" : "May, thêu ren",</v>
      </c>
    </row>
    <row r="334" spans="1:6" ht="15.75" customHeight="1">
      <c r="A334" s="14">
        <v>25868</v>
      </c>
      <c r="B334" s="14" t="s">
        <v>7401</v>
      </c>
      <c r="C334" s="14" t="s">
        <v>7403</v>
      </c>
      <c r="D334" s="5" t="str">
        <f ca="1">IFERROR(__xludf.DUMMYFUNCTION("GOOGLETRANSLATE(B334,""ja"",""vi"")"),"búp bê")</f>
        <v>búp bê</v>
      </c>
      <c r="E334" s="4" t="str">
        <f ca="1">IFERROR(__xludf.DUMMYFUNCTION("GOOGLETRANSLATE(C334,""ja"",""vi"")"),"Đấu giá&gt; Sở thích, văn hóa&gt; thủ công, thủ công mỹ nghệ&gt; thành phẩm&gt; búp bê")</f>
        <v>Đấu giá&gt; Sở thích, văn hóa&gt; thủ công, thủ công mỹ nghệ&gt; thành phẩm&gt; búp bê</v>
      </c>
      <c r="F334" t="str">
        <f t="shared" ca="1" si="5"/>
        <v>"25868" : "búp bê",</v>
      </c>
    </row>
    <row r="335" spans="1:6" ht="15.75" customHeight="1">
      <c r="A335" s="14">
        <v>2084063301</v>
      </c>
      <c r="B335" s="14" t="s">
        <v>6759</v>
      </c>
      <c r="C335" s="14" t="s">
        <v>7405</v>
      </c>
      <c r="D335" s="5" t="str">
        <f ca="1">IFERROR(__xludf.DUMMYFUNCTION("GOOGLETRANSLATE(B335,""ja"",""vi"")"),"đồ gốm")</f>
        <v>đồ gốm</v>
      </c>
      <c r="E335" s="4" t="str">
        <f ca="1">IFERROR(__xludf.DUMMYFUNCTION("GOOGLETRANSLATE(C335,""ja"",""vi"")"),"Đấu giá&gt; Sở thích, văn hóa&gt; thủ công, thủ công mỹ nghệ&gt; thành phẩm&gt; Gốm sứ")</f>
        <v>Đấu giá&gt; Sở thích, văn hóa&gt; thủ công, thủ công mỹ nghệ&gt; thành phẩm&gt; Gốm sứ</v>
      </c>
      <c r="F335" t="str">
        <f t="shared" ca="1" si="5"/>
        <v>"2084063301" : "đồ gốm",</v>
      </c>
    </row>
    <row r="336" spans="1:6" ht="15.75" customHeight="1">
      <c r="A336" s="14">
        <v>2084220296</v>
      </c>
      <c r="B336" s="14" t="s">
        <v>7407</v>
      </c>
      <c r="C336" s="14" t="s">
        <v>7409</v>
      </c>
      <c r="D336" s="5" t="str">
        <f ca="1">IFERROR(__xludf.DUMMYFUNCTION("GOOGLETRANSLATE(B336,""ja"",""vi"")"),"đan")</f>
        <v>đan</v>
      </c>
      <c r="E336" s="4" t="str">
        <f ca="1">IFERROR(__xludf.DUMMYFUNCTION("GOOGLETRANSLATE(C336,""ja"",""vi"")"),"Đấu giá&gt; Sở thích, văn hóa&gt; thủ công, thủ công mỹ nghệ&gt; thành phẩm&gt; đan")</f>
        <v>Đấu giá&gt; Sở thích, văn hóa&gt; thủ công, thủ công mỹ nghệ&gt; thành phẩm&gt; đan</v>
      </c>
      <c r="F336" t="str">
        <f t="shared" ca="1" si="5"/>
        <v>"2084220296" : "đan",</v>
      </c>
    </row>
    <row r="337" spans="1:6" ht="15.75" customHeight="1">
      <c r="A337" s="14">
        <v>2084006414</v>
      </c>
      <c r="B337" s="14" t="s">
        <v>7412</v>
      </c>
      <c r="C337" s="14" t="s">
        <v>7413</v>
      </c>
      <c r="D337" s="5" t="str">
        <f ca="1">IFERROR(__xludf.DUMMYFUNCTION("GOOGLETRANSLATE(B337,""ja"",""vi"")"),"súng điện")</f>
        <v>súng điện</v>
      </c>
      <c r="E337" s="4" t="str">
        <f ca="1">IFERROR(__xludf.DUMMYFUNCTION("GOOGLETRANSLATE(C337,""ja"",""vi"")"),"Đấu giá&gt; Sở thích, văn hóa&gt; quân sự&gt; súng đồ chơi&gt; súng điện")</f>
        <v>Đấu giá&gt; Sở thích, văn hóa&gt; quân sự&gt; súng đồ chơi&gt; súng điện</v>
      </c>
      <c r="F337" t="str">
        <f t="shared" ca="1" si="5"/>
        <v>"2084006414" : "súng điện",</v>
      </c>
    </row>
    <row r="338" spans="1:6" ht="15.75" customHeight="1">
      <c r="A338" s="14">
        <v>2084006415</v>
      </c>
      <c r="B338" s="14" t="s">
        <v>7415</v>
      </c>
      <c r="C338" s="14" t="s">
        <v>7416</v>
      </c>
      <c r="D338" s="5" t="str">
        <f ca="1">IFERROR(__xludf.DUMMYFUNCTION("GOOGLETRANSLATE(B338,""ja"",""vi"")"),"súng gas")</f>
        <v>súng gas</v>
      </c>
      <c r="E338" s="4" t="str">
        <f ca="1">IFERROR(__xludf.DUMMYFUNCTION("GOOGLETRANSLATE(C338,""ja"",""vi"")"),"Đấu giá&gt; Sở thích, văn hóa&gt; quân sự&gt; súng đồ chơi&gt; súng gas")</f>
        <v>Đấu giá&gt; Sở thích, văn hóa&gt; quân sự&gt; súng đồ chơi&gt; súng gas</v>
      </c>
      <c r="F338" t="str">
        <f t="shared" ca="1" si="5"/>
        <v>"2084006415" : "súng gas",</v>
      </c>
    </row>
    <row r="339" spans="1:6" ht="15.75" customHeight="1">
      <c r="A339" s="14">
        <v>2084006416</v>
      </c>
      <c r="B339" s="14" t="s">
        <v>7421</v>
      </c>
      <c r="C339" s="14" t="s">
        <v>7422</v>
      </c>
      <c r="D339" s="5" t="str">
        <f ca="1">IFERROR(__xludf.DUMMYFUNCTION("GOOGLETRANSLATE(B339,""ja"",""vi"")"),"súng hơi")</f>
        <v>súng hơi</v>
      </c>
      <c r="E339" s="4" t="str">
        <f ca="1">IFERROR(__xludf.DUMMYFUNCTION("GOOGLETRANSLATE(C339,""ja"",""vi"")"),"Đấu giá&gt; Sở thích, văn hóa&gt; quân sự&gt; súng đồ chơi&gt; súng hơi")</f>
        <v>Đấu giá&gt; Sở thích, văn hóa&gt; quân sự&gt; súng đồ chơi&gt; súng hơi</v>
      </c>
      <c r="F339" t="str">
        <f t="shared" ca="1" si="5"/>
        <v>"2084006416" : "súng hơi",</v>
      </c>
    </row>
    <row r="340" spans="1:6" ht="15.75" customHeight="1">
      <c r="A340" s="14">
        <v>2084006417</v>
      </c>
      <c r="B340" s="14" t="s">
        <v>1612</v>
      </c>
      <c r="C340" s="14" t="s">
        <v>7425</v>
      </c>
      <c r="D340" s="5" t="str">
        <f ca="1">IFERROR(__xludf.DUMMYFUNCTION("GOOGLETRANSLATE(B340,""ja"",""vi"")"),"bộ phận")</f>
        <v>bộ phận</v>
      </c>
      <c r="E340" s="4" t="str">
        <f ca="1">IFERROR(__xludf.DUMMYFUNCTION("GOOGLETRANSLATE(C340,""ja"",""vi"")"),"Đấu giá&gt; Sở thích, văn hóa&gt; quân sự&gt; súng đồ chơi&gt; phụ tùng")</f>
        <v>Đấu giá&gt; Sở thích, văn hóa&gt; quân sự&gt; súng đồ chơi&gt; phụ tùng</v>
      </c>
      <c r="F340" t="str">
        <f t="shared" ca="1" si="5"/>
        <v>"2084006417" : "bộ phận",</v>
      </c>
    </row>
    <row r="341" spans="1:6" ht="15.75" customHeight="1">
      <c r="A341" s="14">
        <v>2084006413</v>
      </c>
      <c r="B341" s="14" t="s">
        <v>7428</v>
      </c>
      <c r="C341" s="14" t="s">
        <v>7430</v>
      </c>
      <c r="D341" s="5" t="str">
        <f ca="1">IFERROR(__xludf.DUMMYFUNCTION("GOOGLETRANSLATE(B341,""ja"",""vi"")"),"Modelguns")</f>
        <v>Modelguns</v>
      </c>
      <c r="E341" s="4" t="str">
        <f ca="1">IFERROR(__xludf.DUMMYFUNCTION("GOOGLETRANSLATE(C341,""ja"",""vi"")"),"Đấu giá&gt; Sở thích, văn hóa&gt; quân sự&gt; súng đồ chơi&gt; súng mô hình")</f>
        <v>Đấu giá&gt; Sở thích, văn hóa&gt; quân sự&gt; súng đồ chơi&gt; súng mô hình</v>
      </c>
      <c r="F341" t="str">
        <f t="shared" ca="1" si="5"/>
        <v>"2084006413" : "Modelguns",</v>
      </c>
    </row>
    <row r="342" spans="1:6" ht="15.75" customHeight="1">
      <c r="A342" s="14">
        <v>2084006412</v>
      </c>
      <c r="B342" s="14" t="s">
        <v>46</v>
      </c>
      <c r="C342" s="14" t="s">
        <v>7436</v>
      </c>
      <c r="D342" s="5" t="str">
        <f ca="1">IFERROR(__xludf.DUMMYFUNCTION("GOOGLETRANSLATE(B342,""ja"",""vi"")"),"nếu không thì")</f>
        <v>nếu không thì</v>
      </c>
      <c r="E342" s="4" t="str">
        <f ca="1">IFERROR(__xludf.DUMMYFUNCTION("GOOGLETRANSLATE(C342,""ja"",""vi"")"),"Đấu giá&gt; Sở thích, văn hóa&gt; quân sự&gt; súng đồ chơi&gt; Khác")</f>
        <v>Đấu giá&gt; Sở thích, văn hóa&gt; quân sự&gt; súng đồ chơi&gt; Khác</v>
      </c>
      <c r="F342" t="str">
        <f t="shared" ca="1" si="5"/>
        <v>"2084006412" : "nếu không thì",</v>
      </c>
    </row>
    <row r="343" spans="1:6" ht="15.75" customHeight="1">
      <c r="A343" s="14">
        <v>2084005559</v>
      </c>
      <c r="B343" s="14" t="s">
        <v>7441</v>
      </c>
      <c r="C343" s="14" t="s">
        <v>7442</v>
      </c>
      <c r="D343" s="5" t="str">
        <f ca="1">IFERROR(__xludf.DUMMYFUNCTION("GOOGLETRANSLATE(B343,""ja"",""vi"")"),"mũ bảo hiểm")</f>
        <v>mũ bảo hiểm</v>
      </c>
      <c r="E343" s="4" t="str">
        <f ca="1">IFERROR(__xludf.DUMMYFUNCTION("GOOGLETRANSLATE(C343,""ja"",""vi"")"),"Đấu giá&gt; Sở thích, văn hóa&gt; quân sự&gt; thiết bị cá nhân&gt; mũ bảo hiểm")</f>
        <v>Đấu giá&gt; Sở thích, văn hóa&gt; quân sự&gt; thiết bị cá nhân&gt; mũ bảo hiểm</v>
      </c>
      <c r="F343" t="str">
        <f t="shared" ca="1" si="5"/>
        <v>"2084005559" : "mũ bảo hiểm",</v>
      </c>
    </row>
    <row r="344" spans="1:6" ht="15.75" customHeight="1">
      <c r="A344" s="14">
        <v>2084005560</v>
      </c>
      <c r="B344" s="14" t="s">
        <v>7449</v>
      </c>
      <c r="C344" s="14" t="s">
        <v>7451</v>
      </c>
      <c r="D344" s="5" t="str">
        <f ca="1">IFERROR(__xludf.DUMMYFUNCTION("GOOGLETRANSLATE(B344,""ja"",""vi"")"),"mũ")</f>
        <v>mũ</v>
      </c>
      <c r="E344" s="4" t="str">
        <f ca="1">IFERROR(__xludf.DUMMYFUNCTION("GOOGLETRANSLATE(C344,""ja"",""vi"")"),"Đấu giá&gt; Sở thích, văn hóa&gt; quân sự&gt; thiết bị cá nhân&gt; mũ")</f>
        <v>Đấu giá&gt; Sở thích, văn hóa&gt; quân sự&gt; thiết bị cá nhân&gt; mũ</v>
      </c>
      <c r="F344" t="str">
        <f t="shared" ca="1" si="5"/>
        <v>"2084005560" : "mũ",</v>
      </c>
    </row>
    <row r="345" spans="1:6" ht="15.75" customHeight="1">
      <c r="A345" s="14">
        <v>2084005556</v>
      </c>
      <c r="B345" s="14" t="s">
        <v>7454</v>
      </c>
      <c r="C345" s="14" t="s">
        <v>7457</v>
      </c>
      <c r="D345" s="5" t="str">
        <f ca="1">IFERROR(__xludf.DUMMYFUNCTION("GOOGLETRANSLATE(B345,""ja"",""vi"")"),"đồng dạng")</f>
        <v>đồng dạng</v>
      </c>
      <c r="E345" s="4" t="str">
        <f ca="1">IFERROR(__xludf.DUMMYFUNCTION("GOOGLETRANSLATE(C345,""ja"",""vi"")"),"Đấu giá&gt; Sở thích, văn hóa&gt; quân sự&gt; thiết bị cá nhân&gt; Đồng phục")</f>
        <v>Đấu giá&gt; Sở thích, văn hóa&gt; quân sự&gt; thiết bị cá nhân&gt; Đồng phục</v>
      </c>
      <c r="F345" t="str">
        <f t="shared" ca="1" si="5"/>
        <v>"2084005556" : "đồng dạng",</v>
      </c>
    </row>
    <row r="346" spans="1:6" ht="15.75" customHeight="1">
      <c r="A346" s="14">
        <v>2084005557</v>
      </c>
      <c r="B346" s="14" t="s">
        <v>7461</v>
      </c>
      <c r="C346" s="14" t="s">
        <v>7464</v>
      </c>
      <c r="D346" s="5" t="str">
        <f ca="1">IFERROR(__xludf.DUMMYFUNCTION("GOOGLETRANSLATE(B346,""ja"",""vi"")"),"đồng phục chiến đấu")</f>
        <v>đồng phục chiến đấu</v>
      </c>
      <c r="E346" s="4" t="str">
        <f ca="1">IFERROR(__xludf.DUMMYFUNCTION("GOOGLETRANSLATE(C346,""ja"",""vi"")"),"Đấu giá&gt; Sở thích, văn hóa&gt; quân sự&gt; thiết bị cá nhân&gt; Đồng phục công chiến đấu")</f>
        <v>Đấu giá&gt; Sở thích, văn hóa&gt; quân sự&gt; thiết bị cá nhân&gt; Đồng phục công chiến đấu</v>
      </c>
      <c r="F346" t="str">
        <f t="shared" ca="1" si="5"/>
        <v>"2084005557" : "đồng phục chiến đấu",</v>
      </c>
    </row>
    <row r="347" spans="1:6" ht="15.75" customHeight="1">
      <c r="A347" s="14">
        <v>2084052333</v>
      </c>
      <c r="B347" s="14" t="s">
        <v>7469</v>
      </c>
      <c r="C347" s="14" t="s">
        <v>7470</v>
      </c>
      <c r="D347" s="5" t="str">
        <f ca="1">IFERROR(__xludf.DUMMYFUNCTION("GOOGLETRANSLATE(B347,""ja"",""vi"")"),"áo khoác bay")</f>
        <v>áo khoác bay</v>
      </c>
      <c r="E347" s="4" t="str">
        <f ca="1">IFERROR(__xludf.DUMMYFUNCTION("GOOGLETRANSLATE(C347,""ja"",""vi"")"),"Đấu giá&gt; Sở thích, văn hóa&gt; quân sự&gt; thiết bị cá nhân&gt; áo khoác chuyến bay")</f>
        <v>Đấu giá&gt; Sở thích, văn hóa&gt; quân sự&gt; thiết bị cá nhân&gt; áo khoác chuyến bay</v>
      </c>
      <c r="F347" t="str">
        <f t="shared" ca="1" si="5"/>
        <v>"2084052333" : "áo khoác bay",</v>
      </c>
    </row>
    <row r="348" spans="1:6" ht="15.75" customHeight="1">
      <c r="A348" s="14">
        <v>2084005565</v>
      </c>
      <c r="B348" s="14" t="s">
        <v>7476</v>
      </c>
      <c r="C348" s="14" t="s">
        <v>7478</v>
      </c>
      <c r="D348" s="5" t="str">
        <f ca="1">IFERROR(__xludf.DUMMYFUNCTION("GOOGLETRANSLATE(B348,""ja"",""vi"")"),"Một T-shirt")</f>
        <v>Một T-shirt</v>
      </c>
      <c r="E348" s="4" t="str">
        <f ca="1">IFERROR(__xludf.DUMMYFUNCTION("GOOGLETRANSLATE(C348,""ja"",""vi"")"),"Đấu giá&gt; Sở thích, văn hóa&gt; quân sự&gt; thiết bị cá nhân&gt; T-Shirts")</f>
        <v>Đấu giá&gt; Sở thích, văn hóa&gt; quân sự&gt; thiết bị cá nhân&gt; T-Shirts</v>
      </c>
      <c r="F348" t="str">
        <f t="shared" ca="1" si="5"/>
        <v>"2084005565" : "Một T-shirt",</v>
      </c>
    </row>
    <row r="349" spans="1:6" ht="15.75" customHeight="1">
      <c r="A349" s="14">
        <v>2084259204</v>
      </c>
      <c r="B349" s="14" t="s">
        <v>7485</v>
      </c>
      <c r="C349" s="14" t="s">
        <v>7486</v>
      </c>
      <c r="D349" s="5" t="str">
        <f ca="1">IFERROR(__xludf.DUMMYFUNCTION("GOOGLETRANSLATE(B349,""ja"",""vi"")"),"quần")</f>
        <v>quần</v>
      </c>
      <c r="E349" s="4" t="str">
        <f ca="1">IFERROR(__xludf.DUMMYFUNCTION("GOOGLETRANSLATE(C349,""ja"",""vi"")"),"Đấu giá&gt; Sở thích, văn hóa&gt; quân sự&gt; thiết bị cá nhân&gt; quần")</f>
        <v>Đấu giá&gt; Sở thích, văn hóa&gt; quân sự&gt; thiết bị cá nhân&gt; quần</v>
      </c>
      <c r="F349" t="str">
        <f t="shared" ca="1" si="5"/>
        <v>"2084259204" : "quần",</v>
      </c>
    </row>
    <row r="350" spans="1:6" ht="15.75" customHeight="1">
      <c r="A350" s="14">
        <v>2084005558</v>
      </c>
      <c r="B350" s="14" t="s">
        <v>7493</v>
      </c>
      <c r="C350" s="14" t="s">
        <v>7494</v>
      </c>
      <c r="D350" s="5" t="str">
        <f ca="1">IFERROR(__xludf.DUMMYFUNCTION("GOOGLETRANSLATE(B350,""ja"",""vi"")"),"đôi giày")</f>
        <v>đôi giày</v>
      </c>
      <c r="E350" s="4" t="str">
        <f ca="1">IFERROR(__xludf.DUMMYFUNCTION("GOOGLETRANSLATE(C350,""ja"",""vi"")"),"Đấu giá&gt; Sở thích, văn hóa&gt; quân sự&gt; thiết bị cá nhân&gt; giày")</f>
        <v>Đấu giá&gt; Sở thích, văn hóa&gt; quân sự&gt; thiết bị cá nhân&gt; giày</v>
      </c>
      <c r="F350" t="str">
        <f t="shared" ca="1" si="5"/>
        <v>"2084005558" : "đôi giày",</v>
      </c>
    </row>
    <row r="351" spans="1:6" ht="15.75" customHeight="1">
      <c r="A351" s="14">
        <v>2084005562</v>
      </c>
      <c r="B351" s="14" t="s">
        <v>7499</v>
      </c>
      <c r="C351" s="14" t="s">
        <v>7501</v>
      </c>
      <c r="D351" s="5" t="str">
        <f ca="1">IFERROR(__xludf.DUMMYFUNCTION("GOOGLETRANSLATE(B351,""ja"",""vi"")"),"tạp chí túi")</f>
        <v>tạp chí túi</v>
      </c>
      <c r="E351" s="4" t="str">
        <f ca="1">IFERROR(__xludf.DUMMYFUNCTION("GOOGLETRANSLATE(C351,""ja"",""vi"")"),"Đấu giá&gt; Sở thích, văn hóa&gt; quân sự&gt; thiết bị cá nhân&gt; tạp chí túi")</f>
        <v>Đấu giá&gt; Sở thích, văn hóa&gt; quân sự&gt; thiết bị cá nhân&gt; tạp chí túi</v>
      </c>
      <c r="F351" t="str">
        <f t="shared" ca="1" si="5"/>
        <v>"2084005562" : "tạp chí túi",</v>
      </c>
    </row>
    <row r="352" spans="1:6" ht="15.75" customHeight="1">
      <c r="A352" s="14">
        <v>2084005561</v>
      </c>
      <c r="B352" s="14" t="s">
        <v>7505</v>
      </c>
      <c r="C352" s="14" t="s">
        <v>7506</v>
      </c>
      <c r="D352" s="5" t="str">
        <f ca="1">IFERROR(__xludf.DUMMYFUNCTION("GOOGLETRANSLATE(B352,""ja"",""vi"")"),"dây buộc súng")</f>
        <v>dây buộc súng</v>
      </c>
      <c r="E352" s="4" t="str">
        <f ca="1">IFERROR(__xludf.DUMMYFUNCTION("GOOGLETRANSLATE(C352,""ja"",""vi"")"),"Đấu giá&gt; Sở thích, văn hóa&gt; quân sự&gt; thiết bị cá nhân&gt; dây buộc súng")</f>
        <v>Đấu giá&gt; Sở thích, văn hóa&gt; quân sự&gt; thiết bị cá nhân&gt; dây buộc súng</v>
      </c>
      <c r="F352" t="str">
        <f t="shared" ca="1" si="5"/>
        <v>"2084005561" : "dây buộc súng",</v>
      </c>
    </row>
    <row r="353" spans="1:6" ht="15.75" customHeight="1">
      <c r="A353" s="14">
        <v>2084005563</v>
      </c>
      <c r="B353" s="14" t="s">
        <v>46</v>
      </c>
      <c r="C353" s="14" t="s">
        <v>7512</v>
      </c>
      <c r="D353" s="5" t="str">
        <f ca="1">IFERROR(__xludf.DUMMYFUNCTION("GOOGLETRANSLATE(B353,""ja"",""vi"")"),"nếu không thì")</f>
        <v>nếu không thì</v>
      </c>
      <c r="E353" s="4" t="str">
        <f ca="1">IFERROR(__xludf.DUMMYFUNCTION("GOOGLETRANSLATE(C353,""ja"",""vi"")"),"Đấu giá&gt; Sở thích, văn hóa&gt; quân sự&gt; thiết bị cá nhân&gt; Khác")</f>
        <v>Đấu giá&gt; Sở thích, văn hóa&gt; quân sự&gt; thiết bị cá nhân&gt; Khác</v>
      </c>
      <c r="F353" t="str">
        <f t="shared" ca="1" si="5"/>
        <v>"2084005563" : "nếu không thì",</v>
      </c>
    </row>
    <row r="354" spans="1:6" ht="15.75" customHeight="1">
      <c r="A354" s="14">
        <v>2084005565</v>
      </c>
      <c r="B354" s="14" t="s">
        <v>7476</v>
      </c>
      <c r="C354" s="14" t="s">
        <v>7516</v>
      </c>
      <c r="D354" s="5" t="str">
        <f ca="1">IFERROR(__xludf.DUMMYFUNCTION("GOOGLETRANSLATE(B354,""ja"",""vi"")"),"Một T-shirt")</f>
        <v>Một T-shirt</v>
      </c>
      <c r="E354" s="4" t="str">
        <f ca="1">IFERROR(__xludf.DUMMYFUNCTION("GOOGLETRANSLATE(C354,""ja"",""vi"")"),"Đấu giá&gt; Sở thích, văn hóa&gt; Quân sự&gt; phụ kiện, phụ kiện&gt; T-Shirts")</f>
        <v>Đấu giá&gt; Sở thích, văn hóa&gt; Quân sự&gt; phụ kiện, phụ kiện&gt; T-Shirts</v>
      </c>
      <c r="F354" t="str">
        <f t="shared" ca="1" si="5"/>
        <v>"2084005565" : "Một T-shirt",</v>
      </c>
    </row>
    <row r="355" spans="1:6" ht="15.75" customHeight="1">
      <c r="A355" s="14">
        <v>2084005566</v>
      </c>
      <c r="B355" s="14" t="s">
        <v>7519</v>
      </c>
      <c r="C355" s="14" t="s">
        <v>7521</v>
      </c>
      <c r="D355" s="5" t="str">
        <f ca="1">IFERROR(__xludf.DUMMYFUNCTION("GOOGLETRANSLATE(B355,""ja"",""vi"")"),"Writer")</f>
        <v>Writer</v>
      </c>
      <c r="E355" s="4" t="str">
        <f ca="1">IFERROR(__xludf.DUMMYFUNCTION("GOOGLETRANSLATE(C355,""ja"",""vi"")"),"Đấu giá&gt; Sở thích, văn hóa&gt; Quân sự&gt; phụ kiện, phụ kiện&gt; nhà văn")</f>
        <v>Đấu giá&gt; Sở thích, văn hóa&gt; Quân sự&gt; phụ kiện, phụ kiện&gt; nhà văn</v>
      </c>
      <c r="F355" t="str">
        <f t="shared" ca="1" si="5"/>
        <v>"2084005566" : "Writer",</v>
      </c>
    </row>
    <row r="356" spans="1:6" ht="15.75" customHeight="1">
      <c r="A356" s="14">
        <v>2084005568</v>
      </c>
      <c r="B356" s="14" t="s">
        <v>7525</v>
      </c>
      <c r="C356" s="14" t="s">
        <v>7527</v>
      </c>
      <c r="D356" s="5" t="str">
        <f ca="1">IFERROR(__xludf.DUMMYFUNCTION("GOOGLETRANSLATE(B356,""ja"",""vi"")"),"biểu tượng")</f>
        <v>biểu tượng</v>
      </c>
      <c r="E356" s="4" t="str">
        <f ca="1">IFERROR(__xludf.DUMMYFUNCTION("GOOGLETRANSLATE(C356,""ja"",""vi"")"),"Đấu giá&gt; Sở thích, văn hóa&gt; Quân sự&gt; phụ kiện, phụ kiện&gt; biểu tượng")</f>
        <v>Đấu giá&gt; Sở thích, văn hóa&gt; Quân sự&gt; phụ kiện, phụ kiện&gt; biểu tượng</v>
      </c>
      <c r="F356" t="str">
        <f t="shared" ca="1" si="5"/>
        <v>"2084005568" : "biểu tượng",</v>
      </c>
    </row>
    <row r="357" spans="1:6" ht="15.75" customHeight="1">
      <c r="A357" s="14">
        <v>2084005567</v>
      </c>
      <c r="B357" s="14" t="s">
        <v>7530</v>
      </c>
      <c r="C357" s="14" t="s">
        <v>7531</v>
      </c>
      <c r="D357" s="5" t="str">
        <f ca="1">IFERROR(__xludf.DUMMYFUNCTION("GOOGLETRANSLATE(B357,""ja"",""vi"")"),"Xem")</f>
        <v>Xem</v>
      </c>
      <c r="E357" s="4" t="str">
        <f ca="1">IFERROR(__xludf.DUMMYFUNCTION("GOOGLETRANSLATE(C357,""ja"",""vi"")"),"Đấu giá&gt; Sở thích, văn hóa&gt; Quân sự&gt; phụ kiện, phụ kiện&gt; đồng hồ")</f>
        <v>Đấu giá&gt; Sở thích, văn hóa&gt; Quân sự&gt; phụ kiện, phụ kiện&gt; đồng hồ</v>
      </c>
      <c r="F357" t="str">
        <f t="shared" ca="1" si="5"/>
        <v>"2084005567" : "Xem",</v>
      </c>
    </row>
    <row r="358" spans="1:6" ht="15.75" customHeight="1">
      <c r="A358" s="14">
        <v>2084005572</v>
      </c>
      <c r="B358" s="14" t="s">
        <v>46</v>
      </c>
      <c r="C358" s="14" t="s">
        <v>7534</v>
      </c>
      <c r="D358" s="5" t="str">
        <f ca="1">IFERROR(__xludf.DUMMYFUNCTION("GOOGLETRANSLATE(B358,""ja"",""vi"")"),"nếu không thì")</f>
        <v>nếu không thì</v>
      </c>
      <c r="E358" s="4" t="str">
        <f ca="1">IFERROR(__xludf.DUMMYFUNCTION("GOOGLETRANSLATE(C358,""ja"",""vi"")"),"Đấu giá&gt; Sở thích, văn hóa&gt; Quân sự&gt; Tiện ích, Phụ kiện&gt; Khác")</f>
        <v>Đấu giá&gt; Sở thích, văn hóa&gt; Quân sự&gt; Tiện ích, Phụ kiện&gt; Khác</v>
      </c>
      <c r="F358" t="str">
        <f t="shared" ca="1" si="5"/>
        <v>"2084005572" : "nếu không thì",</v>
      </c>
    </row>
    <row r="359" spans="1:6" ht="15.75" customHeight="1">
      <c r="A359" s="14">
        <v>2084023610</v>
      </c>
      <c r="B359" s="14" t="s">
        <v>3388</v>
      </c>
      <c r="C359" s="14" t="s">
        <v>3390</v>
      </c>
      <c r="D359" s="5" t="str">
        <f ca="1">IFERROR(__xludf.DUMMYFUNCTION("GOOGLETRANSLATE(B359,""ja"",""vi"")"),"G.I. Joe")</f>
        <v>G.I. Joe</v>
      </c>
      <c r="E359" s="4" t="str">
        <f ca="1">IFERROR(__xludf.DUMMYFUNCTION("GOOGLETRANSLATE(C359,""ja"",""vi"")"),"Đấu giá&gt; Đồ chơi, trò chơi&gt; Hình&gt; Quân sự&gt; G.I. Joe")</f>
        <v>Đấu giá&gt; Đồ chơi, trò chơi&gt; Hình&gt; Quân sự&gt; G.I. Joe</v>
      </c>
      <c r="F359" t="str">
        <f t="shared" ca="1" si="5"/>
        <v>"2084023610" : "G.I. Joe",</v>
      </c>
    </row>
    <row r="360" spans="1:6" ht="15.75" customHeight="1">
      <c r="A360" s="14">
        <v>2084236098</v>
      </c>
      <c r="B360" s="14" t="s">
        <v>3396</v>
      </c>
      <c r="C360" s="14" t="s">
        <v>3397</v>
      </c>
      <c r="D360" s="5" t="str">
        <f ca="1">IFERROR(__xludf.DUMMYFUNCTION("GOOGLETRANSLATE(B360,""ja"",""vi"")"),"Cô gái làm mát")</f>
        <v>Cô gái làm mát</v>
      </c>
      <c r="E360" s="4" t="str">
        <f ca="1">IFERROR(__xludf.DUMMYFUNCTION("GOOGLETRANSLATE(C360,""ja"",""vi"")"),"Đấu giá&gt; Đồ chơi, trò chơi&gt; Hình&gt; Quân sự&gt; Cool Girl")</f>
        <v>Đấu giá&gt; Đồ chơi, trò chơi&gt; Hình&gt; Quân sự&gt; Cool Girl</v>
      </c>
      <c r="F360" t="str">
        <f t="shared" ca="1" si="5"/>
        <v>"2084236098" : "Cô gái làm mát",</v>
      </c>
    </row>
    <row r="361" spans="1:6" ht="15.75" customHeight="1">
      <c r="A361" s="14">
        <v>2084023618</v>
      </c>
      <c r="B361" s="14" t="s">
        <v>3403</v>
      </c>
      <c r="C361" s="14" t="s">
        <v>3404</v>
      </c>
      <c r="D361" s="5" t="str">
        <f ca="1">IFERROR(__xludf.DUMMYFUNCTION("GOOGLETRANSLATE(B361,""ja"",""vi"")"),"quân phục, quần áo")</f>
        <v>quân phục, quần áo</v>
      </c>
      <c r="E361" s="4" t="str">
        <f ca="1">IFERROR(__xludf.DUMMYFUNCTION("GOOGLETRANSLATE(C361,""ja"",""vi"")"),"Đấu giá&gt; Đồ chơi, trò chơi&gt; Hình&gt; Quân sự&gt; quân phục, quần áo")</f>
        <v>Đấu giá&gt; Đồ chơi, trò chơi&gt; Hình&gt; Quân sự&gt; quân phục, quần áo</v>
      </c>
      <c r="F361" t="str">
        <f t="shared" ca="1" si="5"/>
        <v>"2084023618" : "quân phục, quần áo",</v>
      </c>
    </row>
    <row r="362" spans="1:6" ht="15.75" customHeight="1">
      <c r="A362" s="14">
        <v>2084023620</v>
      </c>
      <c r="B362" s="14" t="s">
        <v>3410</v>
      </c>
      <c r="C362" s="14" t="s">
        <v>3411</v>
      </c>
      <c r="D362" s="5" t="str">
        <f ca="1">IFERROR(__xludf.DUMMYFUNCTION("GOOGLETRANSLATE(B362,""ja"",""vi"")"),"xe cộ")</f>
        <v>xe cộ</v>
      </c>
      <c r="E362" s="4" t="str">
        <f ca="1">IFERROR(__xludf.DUMMYFUNCTION("GOOGLETRANSLATE(C362,""ja"",""vi"")"),"Đấu giá&gt; Đồ chơi, trò chơi&gt; Hình&gt; Quân sự&gt; Phương tiện đi lại")</f>
        <v>Đấu giá&gt; Đồ chơi, trò chơi&gt; Hình&gt; Quân sự&gt; Phương tiện đi lại</v>
      </c>
      <c r="F362" t="str">
        <f t="shared" ca="1" si="5"/>
        <v>"2084023620" : "xe cộ",</v>
      </c>
    </row>
    <row r="363" spans="1:6" ht="15.75" customHeight="1">
      <c r="A363" s="14">
        <v>2084023619</v>
      </c>
      <c r="B363" s="14" t="s">
        <v>3416</v>
      </c>
      <c r="C363" s="14" t="s">
        <v>3418</v>
      </c>
      <c r="D363" s="5" t="str">
        <f ca="1">IFERROR(__xludf.DUMMYFUNCTION("GOOGLETRANSLATE(B363,""ja"",""vi"")"),"Vũ khí, thiết bị cá nhân")</f>
        <v>Vũ khí, thiết bị cá nhân</v>
      </c>
      <c r="E363" s="4" t="str">
        <f ca="1">IFERROR(__xludf.DUMMYFUNCTION("GOOGLETRANSLATE(C363,""ja"",""vi"")"),"Đấu giá&gt; Đồ chơi, trò chơi&gt; Hình&gt; Quân sự&gt; Vũ khí, trang thiết bị cá nhân")</f>
        <v>Đấu giá&gt; Đồ chơi, trò chơi&gt; Hình&gt; Quân sự&gt; Vũ khí, trang thiết bị cá nhân</v>
      </c>
      <c r="F363" t="str">
        <f t="shared" ca="1" si="5"/>
        <v>"2084023619" : "Vũ khí, thiết bị cá nhân",</v>
      </c>
    </row>
    <row r="364" spans="1:6" ht="15.75" customHeight="1">
      <c r="A364" s="14">
        <v>2084023621</v>
      </c>
      <c r="B364" s="14" t="s">
        <v>46</v>
      </c>
      <c r="C364" s="14" t="s">
        <v>3423</v>
      </c>
      <c r="D364" s="5" t="str">
        <f ca="1">IFERROR(__xludf.DUMMYFUNCTION("GOOGLETRANSLATE(B364,""ja"",""vi"")"),"nếu không thì")</f>
        <v>nếu không thì</v>
      </c>
      <c r="E364" s="4" t="str">
        <f ca="1">IFERROR(__xludf.DUMMYFUNCTION("GOOGLETRANSLATE(C364,""ja"",""vi"")"),"Đấu giá&gt; Đồ chơi, trò chơi&gt; Hình&gt; Quân sự&gt; Khác")</f>
        <v>Đấu giá&gt; Đồ chơi, trò chơi&gt; Hình&gt; Quân sự&gt; Khác</v>
      </c>
      <c r="F364" t="str">
        <f t="shared" ca="1" si="5"/>
        <v>"2084023621" : "nếu không thì",</v>
      </c>
    </row>
    <row r="365" spans="1:6" ht="15.75" customHeight="1">
      <c r="A365" s="14">
        <v>2084040574</v>
      </c>
      <c r="B365" s="14" t="s">
        <v>2664</v>
      </c>
      <c r="C365" s="14" t="s">
        <v>2666</v>
      </c>
      <c r="D365" s="5" t="str">
        <f ca="1">IFERROR(__xludf.DUMMYFUNCTION("GOOGLETRANSLATE(B365,""ja"",""vi"")"),"AKIRA")</f>
        <v>AKIRA</v>
      </c>
      <c r="E365" s="4" t="str">
        <f ca="1">IFERROR(__xludf.DUMMYFUNCTION("GOOGLETRANSLATE(C365,""ja"",""vi"")"),"Đấu giá&gt; đồ chơi, trò chơi&gt; hình&gt; truyện tranh, hoạt hình&gt; AKIRA")</f>
        <v>Đấu giá&gt; đồ chơi, trò chơi&gt; hình&gt; truyện tranh, hoạt hình&gt; AKIRA</v>
      </c>
      <c r="F365" t="str">
        <f t="shared" ca="1" si="5"/>
        <v>"2084040574" : "AKIRA",</v>
      </c>
    </row>
    <row r="366" spans="1:6" ht="15.75" customHeight="1">
      <c r="A366" s="14">
        <v>2084305367</v>
      </c>
      <c r="B366" s="14" t="s">
        <v>2675</v>
      </c>
      <c r="C366" s="14" t="s">
        <v>2676</v>
      </c>
      <c r="D366" s="5" t="str">
        <f ca="1">IFERROR(__xludf.DUMMYFUNCTION("GOOGLETRANSLATE(B366,""ja"",""vi"")"),"IS &lt;Infinite Stratos&gt;")</f>
        <v>IS &lt;Infinite Stratos&gt;</v>
      </c>
      <c r="E366" s="4" t="str">
        <f ca="1">IFERROR(__xludf.DUMMYFUNCTION("GOOGLETRANSLATE(C366,""ja"",""vi"")"),"Đấu giá&gt; đồ chơi, trò chơi&gt; hình&gt; truyện tranh, hoạt hình&gt; IS &lt;Infinite Stratos&gt;")</f>
        <v>Đấu giá&gt; đồ chơi, trò chơi&gt; hình&gt; truyện tranh, hoạt hình&gt; IS &lt;Infinite Stratos&gt;</v>
      </c>
      <c r="F366" t="str">
        <f t="shared" ca="1" si="5"/>
        <v>"2084305367" : "IS &lt;Infinite Stratos&gt;",</v>
      </c>
    </row>
    <row r="367" spans="1:6" ht="15.75" customHeight="1">
      <c r="A367" s="14">
        <v>2084023784</v>
      </c>
      <c r="B367" s="14" t="s">
        <v>122</v>
      </c>
      <c r="C367" s="14" t="s">
        <v>2682</v>
      </c>
      <c r="D367" s="5" t="str">
        <f ca="1">IFERROR(__xludf.DUMMYFUNCTION("GOOGLETRANSLATE(B367,""ja"",""vi"")"),"Urusei Yatsura")</f>
        <v>Urusei Yatsura</v>
      </c>
      <c r="E367" s="4" t="str">
        <f ca="1">IFERROR(__xludf.DUMMYFUNCTION("GOOGLETRANSLATE(C367,""ja"",""vi"")"),"Đấu giá&gt; đồ chơi, trò chơi&gt; hình&gt; truyện tranh, hoạt hình&gt; Urusei Yatsura")</f>
        <v>Đấu giá&gt; đồ chơi, trò chơi&gt; hình&gt; truyện tranh, hoạt hình&gt; Urusei Yatsura</v>
      </c>
      <c r="F367" t="str">
        <f t="shared" ca="1" si="5"/>
        <v>"2084023784" : "Urusei Yatsura",</v>
      </c>
    </row>
    <row r="368" spans="1:6" ht="15.75" customHeight="1">
      <c r="A368" s="14">
        <v>2084222804</v>
      </c>
      <c r="B368" s="14" t="s">
        <v>2687</v>
      </c>
      <c r="C368" s="14" t="s">
        <v>2688</v>
      </c>
      <c r="D368" s="5" t="str">
        <f ca="1">IFERROR(__xludf.DUMMYFUNCTION("GOOGLETRANSLATE(B368,""ja"",""vi"")"),"Ikki")</f>
        <v>Ikki</v>
      </c>
      <c r="E368" s="4" t="str">
        <f ca="1">IFERROR(__xludf.DUMMYFUNCTION("GOOGLETRANSLATE(C368,""ja"",""vi"")"),"Đấu giá&gt; đồ chơi, trò chơi&gt; hình&gt; truyện tranh, hoạt hình&gt; Ikki")</f>
        <v>Đấu giá&gt; đồ chơi, trò chơi&gt; hình&gt; truyện tranh, hoạt hình&gt; Ikki</v>
      </c>
      <c r="F368" t="str">
        <f t="shared" ca="1" si="5"/>
        <v>"2084222804" : "Ikki",</v>
      </c>
    </row>
    <row r="369" spans="1:6" ht="15.75" customHeight="1">
      <c r="A369" s="14">
        <v>2084040580</v>
      </c>
      <c r="B369" s="14" t="s">
        <v>273</v>
      </c>
      <c r="C369" s="14" t="s">
        <v>2692</v>
      </c>
      <c r="D369" s="5" t="str">
        <f ca="1">IFERROR(__xludf.DUMMYFUNCTION("GOOGLETRANSLATE(B369,""ja"",""vi"")"),"Space Battleship Yamato")</f>
        <v>Space Battleship Yamato</v>
      </c>
      <c r="E369" s="4" t="str">
        <f ca="1">IFERROR(__xludf.DUMMYFUNCTION("GOOGLETRANSLATE(C369,""ja"",""vi"")"),"Đấu giá&gt; đồ chơi, trò chơi&gt; hình&gt; truyện tranh, hoạt hình&gt; Space Battleship Yamato")</f>
        <v>Đấu giá&gt; đồ chơi, trò chơi&gt; hình&gt; truyện tranh, hoạt hình&gt; Space Battleship Yamato</v>
      </c>
      <c r="F369" t="str">
        <f t="shared" ca="1" si="5"/>
        <v>"2084040580" : "Space Battleship Yamato",</v>
      </c>
    </row>
    <row r="370" spans="1:6" ht="15.75" customHeight="1">
      <c r="A370" s="14">
        <v>2084315983</v>
      </c>
      <c r="B370" s="14" t="s">
        <v>148</v>
      </c>
      <c r="C370" s="14" t="s">
        <v>2698</v>
      </c>
      <c r="D370" s="5" t="str">
        <f ca="1">IFERROR(__xludf.DUMMYFUNCTION("GOOGLETRANSLATE(B370,""ja"",""vi"")"),"Osomatsu của")</f>
        <v>Osomatsu của</v>
      </c>
      <c r="E370" s="4" t="str">
        <f ca="1">IFERROR(__xludf.DUMMYFUNCTION("GOOGLETRANSLATE(C370,""ja"",""vi"")"),"Đấu giá&gt; đồ chơi, trò chơi&gt; hình&gt; truyện tranh, hoạt hình&gt; Osomatsu của")</f>
        <v>Đấu giá&gt; đồ chơi, trò chơi&gt; hình&gt; truyện tranh, hoạt hình&gt; Osomatsu của</v>
      </c>
      <c r="F370" t="str">
        <f t="shared" ca="1" si="5"/>
        <v>"2084315983" : "Osomatsu của",</v>
      </c>
    </row>
    <row r="371" spans="1:6" ht="15.75" customHeight="1">
      <c r="A371" s="14">
        <v>2084305368</v>
      </c>
      <c r="B371" s="14" t="s">
        <v>2702</v>
      </c>
      <c r="C371" s="14" t="s">
        <v>2705</v>
      </c>
      <c r="D371" s="5" t="str">
        <f ca="1">IFERROR(__xludf.DUMMYFUNCTION("GOOGLETRANSLATE(B371,""ja"",""vi"")"),"Chị không có lý do rất dễ thương")</f>
        <v>Chị không có lý do rất dễ thương</v>
      </c>
      <c r="E371" s="4" t="str">
        <f ca="1">IFERROR(__xludf.DUMMYFUNCTION("GOOGLETRANSLATE(C371,""ja"",""vi"")"),"Đấu giá&gt; đồ chơi, trò chơi&gt; hình&gt; truyện tranh, hoạt hình&gt; chị không có lý do rất dễ thương")</f>
        <v>Đấu giá&gt; đồ chơi, trò chơi&gt; hình&gt; truyện tranh, hoạt hình&gt; chị không có lý do rất dễ thương</v>
      </c>
      <c r="F371" t="str">
        <f t="shared" ca="1" si="5"/>
        <v>"2084305368" : "Chị không có lý do rất dễ thương",</v>
      </c>
    </row>
    <row r="372" spans="1:6" ht="15.75" customHeight="1">
      <c r="A372" s="14">
        <v>2084259896</v>
      </c>
      <c r="B372" s="14" t="s">
        <v>372</v>
      </c>
      <c r="C372" s="14" t="s">
        <v>2713</v>
      </c>
      <c r="D372" s="5" t="str">
        <f ca="1">IFERROR(__xludf.DUMMYFUNCTION("GOOGLETRANSLATE(B372,""ja"",""vi"")"),"K-ON!")</f>
        <v>K-ON!</v>
      </c>
      <c r="E372" s="4" t="str">
        <f ca="1">IFERROR(__xludf.DUMMYFUNCTION("GOOGLETRANSLATE(C372,""ja"",""vi"")"),"Đấu giá&gt; đồ chơi, trò chơi&gt; hình&gt; truyện tranh, phim hoạt hình&gt; K-ON!")</f>
        <v>Đấu giá&gt; đồ chơi, trò chơi&gt; hình&gt; truyện tranh, phim hoạt hình&gt; K-ON!</v>
      </c>
      <c r="F372" t="str">
        <f t="shared" ca="1" si="5"/>
        <v>"2084259896" : "K-ON!",</v>
      </c>
    </row>
    <row r="373" spans="1:6" ht="15.75" customHeight="1">
      <c r="A373" s="14">
        <v>2084023728</v>
      </c>
      <c r="B373" s="14" t="s">
        <v>436</v>
      </c>
      <c r="C373" s="14" t="s">
        <v>2718</v>
      </c>
      <c r="D373" s="5" t="str">
        <f ca="1">IFERROR(__xludf.DUMMYFUNCTION("GOOGLETRANSLATE(B373,""ja"",""vi"")"),"Gundam")</f>
        <v>Gundam</v>
      </c>
      <c r="E373" s="4" t="str">
        <f ca="1">IFERROR(__xludf.DUMMYFUNCTION("GOOGLETRANSLATE(C373,""ja"",""vi"")"),"Đấu giá&gt; đồ chơi, trò chơi&gt; hình&gt; truyện tranh, phim hoạt hình&gt; Gundam")</f>
        <v>Đấu giá&gt; đồ chơi, trò chơi&gt; hình&gt; truyện tranh, phim hoạt hình&gt; Gundam</v>
      </c>
      <c r="F373" t="str">
        <f t="shared" ca="1" si="5"/>
        <v>"2084023728" : "Gundam",</v>
      </c>
    </row>
    <row r="374" spans="1:6" ht="15.75" customHeight="1">
      <c r="A374" s="14">
        <v>2084040582</v>
      </c>
      <c r="B374" s="14" t="s">
        <v>482</v>
      </c>
      <c r="C374" s="14" t="s">
        <v>2724</v>
      </c>
      <c r="D374" s="5" t="str">
        <f ca="1">IFERROR(__xludf.DUMMYFUNCTION("GOOGLETRANSLATE(B374,""ja"",""vi"")"),"Cutie Honey")</f>
        <v>Cutie Honey</v>
      </c>
      <c r="E374" s="4" t="str">
        <f ca="1">IFERROR(__xludf.DUMMYFUNCTION("GOOGLETRANSLATE(C374,""ja"",""vi"")"),"Đấu giá&gt; đồ chơi, trò chơi&gt; hình&gt; truyện tranh, hoạt hình&gt; Cutie Honey")</f>
        <v>Đấu giá&gt; đồ chơi, trò chơi&gt; hình&gt; truyện tranh, hoạt hình&gt; Cutie Honey</v>
      </c>
      <c r="F374" t="str">
        <f t="shared" ca="1" si="5"/>
        <v>"2084040582" : "Cutie Honey",</v>
      </c>
    </row>
    <row r="375" spans="1:6" ht="15.75" customHeight="1">
      <c r="A375" s="14">
        <v>2084023766</v>
      </c>
      <c r="B375" s="14" t="s">
        <v>489</v>
      </c>
      <c r="C375" s="14" t="s">
        <v>2730</v>
      </c>
      <c r="D375" s="5" t="str">
        <f ca="1">IFERROR(__xludf.DUMMYFUNCTION("GOOGLETRANSLATE(B375,""ja"",""vi"")"),"Kinnikuman")</f>
        <v>Kinnikuman</v>
      </c>
      <c r="E375" s="4" t="str">
        <f ca="1">IFERROR(__xludf.DUMMYFUNCTION("GOOGLETRANSLATE(C375,""ja"",""vi"")"),"Đấu giá&gt; đồ chơi, trò chơi&gt; hình&gt; truyện tranh, phim hoạt hình&gt; Kinnikuman")</f>
        <v>Đấu giá&gt; đồ chơi, trò chơi&gt; hình&gt; truyện tranh, phim hoạt hình&gt; Kinnikuman</v>
      </c>
      <c r="F375" t="str">
        <f t="shared" ca="1" si="5"/>
        <v>"2084023766" : "Kinnikuman",</v>
      </c>
    </row>
    <row r="376" spans="1:6" ht="15.75" customHeight="1">
      <c r="A376" s="14">
        <v>2084236114</v>
      </c>
      <c r="B376" s="14" t="s">
        <v>2736</v>
      </c>
      <c r="C376" s="14" t="s">
        <v>2738</v>
      </c>
      <c r="D376" s="5" t="str">
        <f ca="1">IFERROR(__xludf.DUMMYFUNCTION("GOOGLETRANSLATE(B376,""ja"",""vi"")"),"Đóng WORST")</f>
        <v>Đóng WORST</v>
      </c>
      <c r="E376" s="4" t="str">
        <f ca="1">IFERROR(__xludf.DUMMYFUNCTION("GOOGLETRANSLATE(C376,""ja"",""vi"")"),"Đấu giá&gt; đồ chơi, trò chơi&gt; hình&gt; truyện tranh, hoạt hình&gt; close WORST")</f>
        <v>Đấu giá&gt; đồ chơi, trò chơi&gt; hình&gt; truyện tranh, hoạt hình&gt; close WORST</v>
      </c>
      <c r="F376" t="str">
        <f t="shared" ca="1" si="5"/>
        <v>"2084236114" : "Đóng WORST",</v>
      </c>
    </row>
    <row r="377" spans="1:6" ht="15.75" customHeight="1">
      <c r="A377" s="14">
        <v>2084062241</v>
      </c>
      <c r="B377" s="14" t="s">
        <v>2743</v>
      </c>
      <c r="C377" s="14" t="s">
        <v>2745</v>
      </c>
      <c r="D377" s="5" t="str">
        <f ca="1">IFERROR(__xludf.DUMMYFUNCTION("GOOGLETRANSLATE(B377,""ja"",""vi"")"),"Keroro")</f>
        <v>Keroro</v>
      </c>
      <c r="E377" s="4" t="str">
        <f ca="1">IFERROR(__xludf.DUMMYFUNCTION("GOOGLETRANSLATE(C377,""ja"",""vi"")"),"Đấu giá&gt; đồ chơi, trò chơi&gt; hình&gt; truyện tranh, hoạt hình&gt; Trung sĩ Keroro")</f>
        <v>Đấu giá&gt; đồ chơi, trò chơi&gt; hình&gt; truyện tranh, hoạt hình&gt; Trung sĩ Keroro</v>
      </c>
      <c r="F377" t="str">
        <f t="shared" ca="1" si="5"/>
        <v>"2084062241" : "Keroro",</v>
      </c>
    </row>
    <row r="378" spans="1:6" ht="15.75" customHeight="1">
      <c r="A378" s="14">
        <v>2084236120</v>
      </c>
      <c r="B378" s="14" t="s">
        <v>2751</v>
      </c>
      <c r="C378" s="14" t="s">
        <v>2752</v>
      </c>
      <c r="D378" s="5" t="str">
        <f ca="1">IFERROR(__xludf.DUMMYFUNCTION("GOOGLETRANSLATE(B378,""ja"",""vi"")"),"Code Geass")</f>
        <v>Code Geass</v>
      </c>
      <c r="E378" s="4" t="str">
        <f ca="1">IFERROR(__xludf.DUMMYFUNCTION("GOOGLETRANSLATE(C378,""ja"",""vi"")"),"Đấu giá&gt; đồ chơi, trò chơi&gt; hình&gt; truyện tranh, hoạt hình&gt; Code Geass")</f>
        <v>Đấu giá&gt; đồ chơi, trò chơi&gt; hình&gt; truyện tranh, hoạt hình&gt; Code Geass</v>
      </c>
      <c r="F378" t="str">
        <f t="shared" ca="1" si="5"/>
        <v>"2084236120" : "Code Geass",</v>
      </c>
    </row>
    <row r="379" spans="1:6" ht="15.75" customHeight="1">
      <c r="A379" s="14">
        <v>2084236116</v>
      </c>
      <c r="B379" s="14" t="s">
        <v>2758</v>
      </c>
      <c r="C379" s="14" t="s">
        <v>2760</v>
      </c>
      <c r="D379" s="5" t="str">
        <f ca="1">IFERROR(__xludf.DUMMYFUNCTION("GOOGLETRANSLATE(B379,""ja"",""vi"")"),"Hitman Reborn!")</f>
        <v>Hitman Reborn!</v>
      </c>
      <c r="E379" s="4" t="str">
        <f ca="1">IFERROR(__xludf.DUMMYFUNCTION("GOOGLETRANSLATE(C379,""ja"",""vi"")"),"Đấu giá&gt; đồ chơi, trò chơi&gt; hình&gt; truyện tranh, hoạt hình&gt; Hitman Reborn!")</f>
        <v>Đấu giá&gt; đồ chơi, trò chơi&gt; hình&gt; truyện tranh, hoạt hình&gt; Hitman Reborn!</v>
      </c>
      <c r="F379" t="str">
        <f t="shared" ca="1" si="5"/>
        <v>"2084236116" : "Hitman Reborn!",</v>
      </c>
    </row>
    <row r="380" spans="1:6" ht="15.75" customHeight="1">
      <c r="A380" s="14">
        <v>2084236106</v>
      </c>
      <c r="B380" s="14" t="s">
        <v>613</v>
      </c>
      <c r="C380" s="14" t="s">
        <v>2766</v>
      </c>
      <c r="D380" s="5" t="str">
        <f ca="1">IFERROR(__xludf.DUMMYFUNCTION("GOOGLETRANSLATE(B380,""ja"",""vi"")"),"Gintama")</f>
        <v>Gintama</v>
      </c>
      <c r="E380" s="4" t="str">
        <f ca="1">IFERROR(__xludf.DUMMYFUNCTION("GOOGLETRANSLATE(C380,""ja"",""vi"")"),"Đấu giá&gt; đồ chơi, trò chơi&gt; hình&gt; truyện tranh, phim hoạt hình&gt; Gintama")</f>
        <v>Đấu giá&gt; đồ chơi, trò chơi&gt; hình&gt; truyện tranh, phim hoạt hình&gt; Gintama</v>
      </c>
      <c r="F380" t="str">
        <f t="shared" ca="1" si="5"/>
        <v>"2084236106" : "Gintama",</v>
      </c>
    </row>
    <row r="381" spans="1:6" ht="15.75" customHeight="1">
      <c r="A381" s="14">
        <v>2084040583</v>
      </c>
      <c r="B381" s="14" t="s">
        <v>734</v>
      </c>
      <c r="C381" s="14" t="s">
        <v>2774</v>
      </c>
      <c r="D381" s="5" t="str">
        <f ca="1">IFERROR(__xludf.DUMMYFUNCTION("GOOGLETRANSLATE(B381,""ja"",""vi"")"),"Bizarre Adventure JoJo")</f>
        <v>Bizarre Adventure JoJo</v>
      </c>
      <c r="E381" s="4" t="str">
        <f ca="1">IFERROR(__xludf.DUMMYFUNCTION("GOOGLETRANSLATE(C381,""ja"",""vi"")"),"Đấu giá&gt; đồ chơi, trò chơi&gt; hình&gt; truyện tranh, phim hoạt hình&gt; Bizarre Adventure JoJo")</f>
        <v>Đấu giá&gt; đồ chơi, trò chơi&gt; hình&gt; truyện tranh, phim hoạt hình&gt; Bizarre Adventure JoJo</v>
      </c>
      <c r="F381" t="str">
        <f t="shared" ca="1" si="5"/>
        <v>"2084040583" : "Bizarre Adventure JoJo",</v>
      </c>
    </row>
    <row r="382" spans="1:6" ht="15.75" customHeight="1">
      <c r="A382" s="14">
        <v>2084305376</v>
      </c>
      <c r="B382" s="14" t="s">
        <v>741</v>
      </c>
      <c r="C382" s="14" t="s">
        <v>2781</v>
      </c>
      <c r="D382" s="5" t="str">
        <f ca="1">IFERROR(__xludf.DUMMYFUNCTION("GOOGLETRANSLATE(B382,""ja"",""vi"")"),"Strike Witches")</f>
        <v>Strike Witches</v>
      </c>
      <c r="E382" s="4" t="str">
        <f ca="1">IFERROR(__xludf.DUMMYFUNCTION("GOOGLETRANSLATE(C382,""ja"",""vi"")"),"Đấu giá&gt; đồ chơi, trò chơi&gt; hình&gt; truyện tranh, hoạt hình&gt; Strike Witches")</f>
        <v>Đấu giá&gt; đồ chơi, trò chơi&gt; hình&gt; truyện tranh, hoạt hình&gt; Strike Witches</v>
      </c>
      <c r="F382" t="str">
        <f t="shared" ca="1" si="5"/>
        <v>"2084305376" : "Strike Witches",</v>
      </c>
    </row>
    <row r="383" spans="1:6" ht="15.75" customHeight="1">
      <c r="A383" s="14">
        <v>2084236111</v>
      </c>
      <c r="B383" s="14" t="s">
        <v>2790</v>
      </c>
      <c r="C383" s="14" t="s">
        <v>2791</v>
      </c>
      <c r="D383" s="5" t="str">
        <f ca="1">IFERROR(__xludf.DUMMYFUNCTION("GOOGLETRANSLATE(B383,""ja"",""vi"")"),"Shana")</f>
        <v>Shana</v>
      </c>
      <c r="E383" s="4" t="str">
        <f ca="1">IFERROR(__xludf.DUMMYFUNCTION("GOOGLETRANSLATE(C383,""ja"",""vi"")"),"Đấu giá&gt; đồ chơi, trò chơi&gt; hình&gt; truyện tranh, hoạt hình&gt; Shana")</f>
        <v>Đấu giá&gt; đồ chơi, trò chơi&gt; hình&gt; truyện tranh, hoạt hình&gt; Shana</v>
      </c>
      <c r="F383" t="str">
        <f t="shared" ca="1" si="5"/>
        <v>"2084236111" : "Shana",</v>
      </c>
    </row>
    <row r="384" spans="1:6" ht="15.75" customHeight="1">
      <c r="A384" s="14">
        <v>2084305375</v>
      </c>
      <c r="B384" s="14" t="s">
        <v>2797</v>
      </c>
      <c r="C384" s="14" t="s">
        <v>2799</v>
      </c>
      <c r="D384" s="5" t="str">
        <f ca="1">IFERROR(__xludf.DUMMYFUNCTION("GOOGLETRANSLATE(B384,""ja"",""vi"")"),"Xâm lược !? Squid con gái")</f>
        <v>Xâm lược !? Squid con gái</v>
      </c>
      <c r="E384" s="4" t="str">
        <f ca="1">IFERROR(__xludf.DUMMYFUNCTION("GOOGLETRANSLATE(C384,""ja"",""vi"")"),"Đấu giá&gt; đồ chơi, trò chơi&gt; hình&gt; truyện tranh, phim hoạt hình&gt; xâm lược !? Squid con gái")</f>
        <v>Đấu giá&gt; đồ chơi, trò chơi&gt; hình&gt; truyện tranh, phim hoạt hình&gt; xâm lược !? Squid con gái</v>
      </c>
      <c r="F384" t="str">
        <f t="shared" ca="1" si="5"/>
        <v>"2084305375" : "Xâm lược !? Squid con gái",</v>
      </c>
    </row>
    <row r="385" spans="1:6" ht="15.75" customHeight="1">
      <c r="A385" s="14">
        <v>2084023785</v>
      </c>
      <c r="B385" s="14" t="s">
        <v>826</v>
      </c>
      <c r="C385" s="14" t="s">
        <v>2804</v>
      </c>
      <c r="D385" s="5" t="str">
        <f ca="1">IFERROR(__xludf.DUMMYFUNCTION("GOOGLETRANSLATE(B385,""ja"",""vi"")"),"Neon Genesis Evangelion")</f>
        <v>Neon Genesis Evangelion</v>
      </c>
      <c r="E385" s="4" t="str">
        <f ca="1">IFERROR(__xludf.DUMMYFUNCTION("GOOGLETRANSLATE(C385,""ja"",""vi"")"),"Đấu giá&gt; đồ chơi, trò chơi&gt; hình&gt; truyện tranh, phim hoạt hình&gt; Evangelion")</f>
        <v>Đấu giá&gt; đồ chơi, trò chơi&gt; hình&gt; truyện tranh, phim hoạt hình&gt; Evangelion</v>
      </c>
      <c r="F385" t="str">
        <f t="shared" ca="1" si="5"/>
        <v>"2084023785" : "Neon Genesis Evangelion",</v>
      </c>
    </row>
    <row r="386" spans="1:6" ht="15.75" customHeight="1">
      <c r="A386" s="14">
        <v>2084195224</v>
      </c>
      <c r="B386" s="14" t="s">
        <v>842</v>
      </c>
      <c r="C386" s="14" t="s">
        <v>2807</v>
      </c>
      <c r="D386" s="5" t="str">
        <f ca="1">IFERROR(__xludf.DUMMYFUNCTION("GOOGLETRANSLATE(B386,""ja"",""vi"")"),"Saint Seiya")</f>
        <v>Saint Seiya</v>
      </c>
      <c r="E386" s="4" t="str">
        <f ca="1">IFERROR(__xludf.DUMMYFUNCTION("GOOGLETRANSLATE(C386,""ja"",""vi"")"),"Đấu giá&gt; đồ chơi, trò chơi&gt; hình&gt; truyện tranh, phim hoạt hình&gt; Saint Seiya")</f>
        <v>Đấu giá&gt; đồ chơi, trò chơi&gt; hình&gt; truyện tranh, phim hoạt hình&gt; Saint Seiya</v>
      </c>
      <c r="F386" t="str">
        <f t="shared" ref="F386:F449" ca="1" si="6">CONCATENATE(CHAR(34)&amp;"",A386,""&amp;CHAR(34)," : ", CHAR(34)&amp;"",D386,""&amp;CHAR(34),",")</f>
        <v>"2084195224" : "Saint Seiya",</v>
      </c>
    </row>
    <row r="387" spans="1:6" ht="15.75" customHeight="1">
      <c r="A387" s="14">
        <v>2084222803</v>
      </c>
      <c r="B387" s="14" t="s">
        <v>873</v>
      </c>
      <c r="C387" s="14" t="s">
        <v>2811</v>
      </c>
      <c r="D387" s="5" t="str">
        <f ca="1">IFERROR(__xludf.DUMMYFUNCTION("GOOGLETRANSLATE(B387,""ja"",""vi"")"),"The Melancholy")</f>
        <v>The Melancholy</v>
      </c>
      <c r="E387" s="4" t="str">
        <f ca="1">IFERROR(__xludf.DUMMYFUNCTION("GOOGLETRANSLATE(C387,""ja"",""vi"")"),"Đấu giá&gt; đồ chơi, trò chơi&gt; hình&gt; truyện tranh, hoạt hình&gt; The Melancholy")</f>
        <v>Đấu giá&gt; đồ chơi, trò chơi&gt; hình&gt; truyện tranh, hoạt hình&gt; The Melancholy</v>
      </c>
      <c r="F387" t="str">
        <f t="shared" ca="1" si="6"/>
        <v>"2084222803" : "The Melancholy",</v>
      </c>
    </row>
    <row r="388" spans="1:6" ht="15.75" customHeight="1">
      <c r="A388" s="14">
        <v>2084305377</v>
      </c>
      <c r="B388" s="14" t="s">
        <v>880</v>
      </c>
      <c r="C388" s="14" t="s">
        <v>2816</v>
      </c>
      <c r="D388" s="5" t="str">
        <f ca="1">IFERROR(__xludf.DUMMYFUNCTION("GOOGLETRANSLATE(B388,""ja"",""vi"")"),"TIGER &amp; BUNNY")</f>
        <v>TIGER &amp; BUNNY</v>
      </c>
      <c r="E388" s="4" t="str">
        <f ca="1">IFERROR(__xludf.DUMMYFUNCTION("GOOGLETRANSLATE(C388,""ja"",""vi"")"),"Đấu giá&gt; đồ chơi, trò chơi&gt; hình&gt; truyện tranh, hoạt hình&gt; TIGER &amp; BUNNY")</f>
        <v>Đấu giá&gt; đồ chơi, trò chơi&gt; hình&gt; truyện tranh, hoạt hình&gt; TIGER &amp; BUNNY</v>
      </c>
      <c r="F388" t="str">
        <f t="shared" ca="1" si="6"/>
        <v>"2084305377" : "TIGER &amp; BUNNY",</v>
      </c>
    </row>
    <row r="389" spans="1:6" ht="15.75" customHeight="1">
      <c r="A389" s="14">
        <v>2084236123</v>
      </c>
      <c r="B389" s="14" t="s">
        <v>887</v>
      </c>
      <c r="C389" s="14" t="s">
        <v>2820</v>
      </c>
      <c r="D389" s="5" t="str">
        <f ca="1">IFERROR(__xludf.DUMMYFUNCTION("GOOGLETRANSLATE(B389,""ja"",""vi"")"),"Ru Để TÌNH YÊU")</f>
        <v>Ru Để TÌNH YÊU</v>
      </c>
      <c r="E389" s="4" t="str">
        <f ca="1">IFERROR(__xludf.DUMMYFUNCTION("GOOGLETRANSLATE(C389,""ja"",""vi"")"),"Đấu giá&gt; đồ chơi, trò chơi&gt; hình&gt; truyện tranh, phim hoạt hình Ru&gt; Để TÌNH YÊU")</f>
        <v>Đấu giá&gt; đồ chơi, trò chơi&gt; hình&gt; truyện tranh, phim hoạt hình Ru&gt; Để TÌNH YÊU</v>
      </c>
      <c r="F389" t="str">
        <f t="shared" ca="1" si="6"/>
        <v>"2084236123" : "Ru Để TÌNH YÊU",</v>
      </c>
    </row>
    <row r="390" spans="1:6" ht="15.75" customHeight="1">
      <c r="A390" s="14">
        <v>2084305378</v>
      </c>
      <c r="B390" s="14" t="s">
        <v>2823</v>
      </c>
      <c r="C390" s="14" t="s">
        <v>2824</v>
      </c>
      <c r="D390" s="5" t="str">
        <f ca="1">IFERROR(__xludf.DUMMYFUNCTION("GOOGLETRANSLATE(B390,""ja"",""vi"")"),"Rằng có (danh sách cấm, Railgun)")</f>
        <v>Rằng có (danh sách cấm, Railgun)</v>
      </c>
      <c r="E390" s="4" t="str">
        <f ca="1">IFERROR(__xludf.DUMMYFUNCTION("GOOGLETRANSLATE(C390,""ja"",""vi"")"),"Đấu giá&gt; đồ chơi, trò chơi&gt; hình&gt; truyện tranh, có những hình ảnh động&gt; (danh sách cấm, Railgun)")</f>
        <v>Đấu giá&gt; đồ chơi, trò chơi&gt; hình&gt; truyện tranh, có những hình ảnh động&gt; (danh sách cấm, Railgun)</v>
      </c>
      <c r="F390" t="str">
        <f t="shared" ca="1" si="6"/>
        <v>"2084305378" : "Rằng có (danh sách cấm, Railgun)",</v>
      </c>
    </row>
    <row r="391" spans="1:6" ht="15.75" customHeight="1">
      <c r="A391" s="14">
        <v>2084063730</v>
      </c>
      <c r="B391" s="14" t="s">
        <v>2828</v>
      </c>
      <c r="C391" s="14" t="s">
        <v>2830</v>
      </c>
      <c r="D391" s="5" t="str">
        <f ca="1">IFERROR(__xludf.DUMMYFUNCTION("GOOGLETRANSLATE(B391,""ja"",""vi"")"),"Disney")</f>
        <v>Disney</v>
      </c>
      <c r="E391" s="4" t="str">
        <f ca="1">IFERROR(__xludf.DUMMYFUNCTION("GOOGLETRANSLATE(C391,""ja"",""vi"")"),"Đấu giá&gt; đồ chơi, trò chơi&gt; hình&gt; truyện tranh, hoạt hình&gt; Disney")</f>
        <v>Đấu giá&gt; đồ chơi, trò chơi&gt; hình&gt; truyện tranh, hoạt hình&gt; Disney</v>
      </c>
      <c r="F391" t="str">
        <f t="shared" ca="1" si="6"/>
        <v>"2084063730" : "Disney",</v>
      </c>
    </row>
    <row r="392" spans="1:6" ht="15.75" customHeight="1">
      <c r="A392" s="14">
        <v>2084023765</v>
      </c>
      <c r="B392" s="14" t="s">
        <v>1007</v>
      </c>
      <c r="C392" s="14" t="s">
        <v>2835</v>
      </c>
      <c r="D392" s="5" t="str">
        <f ca="1">IFERROR(__xludf.DUMMYFUNCTION("GOOGLETRANSLATE(B392,""ja"",""vi"")"),"devilman")</f>
        <v>devilman</v>
      </c>
      <c r="E392" s="4" t="str">
        <f ca="1">IFERROR(__xludf.DUMMYFUNCTION("GOOGLETRANSLATE(C392,""ja"",""vi"")"),"Đấu giá&gt; đồ chơi, trò chơi&gt; hình&gt; truyện tranh, hoạt hình&gt; devil man")</f>
        <v>Đấu giá&gt; đồ chơi, trò chơi&gt; hình&gt; truyện tranh, hoạt hình&gt; devil man</v>
      </c>
      <c r="F392" t="str">
        <f t="shared" ca="1" si="6"/>
        <v>"2084023765" : "devilman",</v>
      </c>
    </row>
    <row r="393" spans="1:6" ht="15.75" customHeight="1">
      <c r="A393" s="14">
        <v>2084040584</v>
      </c>
      <c r="B393" s="14" t="s">
        <v>1055</v>
      </c>
      <c r="C393" s="14" t="s">
        <v>2842</v>
      </c>
      <c r="D393" s="5" t="str">
        <f ca="1">IFERROR(__xludf.DUMMYFUNCTION("GOOGLETRANSLATE(B393,""ja"",""vi"")"),"dragon ball")</f>
        <v>dragon ball</v>
      </c>
      <c r="E393" s="4" t="str">
        <f ca="1">IFERROR(__xludf.DUMMYFUNCTION("GOOGLETRANSLATE(C393,""ja"",""vi"")"),"Đấu giá&gt; đồ chơi, trò chơi&gt; hình&gt; truyện tranh, phim hoạt hình&gt; Dragon Ball")</f>
        <v>Đấu giá&gt; đồ chơi, trò chơi&gt; hình&gt; truyện tranh, phim hoạt hình&gt; Dragon Ball</v>
      </c>
      <c r="F393" t="str">
        <f t="shared" ca="1" si="6"/>
        <v>"2084040584" : "dragon ball",</v>
      </c>
    </row>
    <row r="394" spans="1:6" ht="15.75" customHeight="1">
      <c r="A394" s="14">
        <v>2084023769</v>
      </c>
      <c r="B394" s="14" t="s">
        <v>1086</v>
      </c>
      <c r="C394" s="14" t="s">
        <v>2847</v>
      </c>
      <c r="D394" s="5" t="str">
        <f ca="1">IFERROR(__xludf.DUMMYFUNCTION("GOOGLETRANSLATE(B394,""ja"",""vi"")"),"Tetsujin 28-go")</f>
        <v>Tetsujin 28-go</v>
      </c>
      <c r="E394" s="4" t="str">
        <f ca="1">IFERROR(__xludf.DUMMYFUNCTION("GOOGLETRANSLATE(C394,""ja"",""vi"")"),"Đấu giá&gt; đồ chơi, trò chơi&gt; hình&gt; truyện tranh, hoạt hình&gt; Tetsujin 28-go")</f>
        <v>Đấu giá&gt; đồ chơi, trò chơi&gt; hình&gt; truyện tranh, hoạt hình&gt; Tetsujin 28-go</v>
      </c>
      <c r="F394" t="str">
        <f t="shared" ca="1" si="6"/>
        <v>"2084023769" : "Tetsujin 28-go",</v>
      </c>
    </row>
    <row r="395" spans="1:6" ht="15.75" customHeight="1">
      <c r="A395" s="14">
        <v>2084023768</v>
      </c>
      <c r="B395" s="14" t="s">
        <v>1093</v>
      </c>
      <c r="C395" s="14" t="s">
        <v>2851</v>
      </c>
      <c r="D395" s="5" t="str">
        <f ca="1">IFERROR(__xludf.DUMMYFUNCTION("GOOGLETRANSLATE(B395,""ja"",""vi"")"),"ASTRO BOY")</f>
        <v>ASTRO BOY</v>
      </c>
      <c r="E395" s="4" t="str">
        <f ca="1">IFERROR(__xludf.DUMMYFUNCTION("GOOGLETRANSLATE(C395,""ja"",""vi"")"),"Đấu giá&gt; đồ chơi, trò chơi&gt; hình&gt; truyện tranh, phim hoạt hình&gt; Astro Boy")</f>
        <v>Đấu giá&gt; đồ chơi, trò chơi&gt; hình&gt; truyện tranh, phim hoạt hình&gt; Astro Boy</v>
      </c>
      <c r="F395" t="str">
        <f t="shared" ca="1" si="6"/>
        <v>"2084023768" : "ASTRO BOY",</v>
      </c>
    </row>
    <row r="396" spans="1:6" ht="15.75" customHeight="1">
      <c r="A396" s="14">
        <v>2084239889</v>
      </c>
      <c r="B396" s="14" t="s">
        <v>2853</v>
      </c>
      <c r="C396" s="14" t="s">
        <v>2855</v>
      </c>
      <c r="D396" s="5" t="str">
        <f ca="1">IFERROR(__xludf.DUMMYFUNCTION("GOOGLETRANSLATE(B396,""ja"",""vi"")"),"Gurren Lagann")</f>
        <v>Gurren Lagann</v>
      </c>
      <c r="E396" s="4" t="str">
        <f ca="1">IFERROR(__xludf.DUMMYFUNCTION("GOOGLETRANSLATE(C396,""ja"",""vi"")"),"Đấu giá&gt; đồ chơi, trò chơi&gt; hình&gt; truyện tranh, hoạt hình&gt; Gurren Lagann")</f>
        <v>Đấu giá&gt; đồ chơi, trò chơi&gt; hình&gt; truyện tranh, hoạt hình&gt; Gurren Lagann</v>
      </c>
      <c r="F396" t="str">
        <f t="shared" ca="1" si="6"/>
        <v>"2084239889" : "Gurren Lagann",</v>
      </c>
    </row>
    <row r="397" spans="1:6" ht="15.75" customHeight="1">
      <c r="A397" s="14">
        <v>2084222807</v>
      </c>
      <c r="B397" s="14" t="s">
        <v>2859</v>
      </c>
      <c r="C397" s="14" t="s">
        <v>2860</v>
      </c>
      <c r="D397" s="5" t="str">
        <f ca="1">IFERROR(__xludf.DUMMYFUNCTION("GOOGLETRANSLATE(B397,""ja"",""vi"")"),"Tenjou Tenge")</f>
        <v>Tenjou Tenge</v>
      </c>
      <c r="E397" s="4" t="str">
        <f ca="1">IFERROR(__xludf.DUMMYFUNCTION("GOOGLETRANSLATE(C397,""ja"",""vi"")"),"Đấu giá&gt; đồ chơi, trò chơi&gt; hình&gt; truyện tranh, hoạt hình&gt; Tenge")</f>
        <v>Đấu giá&gt; đồ chơi, trò chơi&gt; hình&gt; truyện tranh, hoạt hình&gt; Tenge</v>
      </c>
      <c r="F397" t="str">
        <f t="shared" ca="1" si="6"/>
        <v>"2084222807" : "Tenjou Tenge",</v>
      </c>
    </row>
    <row r="398" spans="1:6" ht="15.75" customHeight="1">
      <c r="A398" s="14">
        <v>2084236113</v>
      </c>
      <c r="B398" s="14" t="s">
        <v>1152</v>
      </c>
      <c r="C398" s="14" t="s">
        <v>2865</v>
      </c>
      <c r="D398" s="5" t="str">
        <f ca="1">IFERROR(__xludf.DUMMYFUNCTION("GOOGLETRANSLATE(B398,""ja"",""vi"")"),"NARUTO")</f>
        <v>NARUTO</v>
      </c>
      <c r="E398" s="4" t="str">
        <f ca="1">IFERROR(__xludf.DUMMYFUNCTION("GOOGLETRANSLATE(C398,""ja"",""vi"")"),"Đấu giá&gt; đồ chơi, trò chơi&gt; hình&gt; truyện tranh, hoạt hình&gt; NARUTO")</f>
        <v>Đấu giá&gt; đồ chơi, trò chơi&gt; hình&gt; truyện tranh, hoạt hình&gt; NARUTO</v>
      </c>
      <c r="F398" t="str">
        <f t="shared" ca="1" si="6"/>
        <v>"2084236113" : "NARUTO",</v>
      </c>
    </row>
    <row r="399" spans="1:6" ht="15.75" customHeight="1">
      <c r="A399" s="14">
        <v>2084305379</v>
      </c>
      <c r="B399" s="14" t="s">
        <v>1168</v>
      </c>
      <c r="C399" s="14" t="s">
        <v>2871</v>
      </c>
      <c r="D399" s="5" t="str">
        <f ca="1">IFERROR(__xludf.DUMMYFUNCTION("GOOGLETRANSLATE(B399,""ja"",""vi"")"),"Natsume Yuujin Chou")</f>
        <v>Natsume Yuujin Chou</v>
      </c>
      <c r="E399" s="4" t="str">
        <f ca="1">IFERROR(__xludf.DUMMYFUNCTION("GOOGLETRANSLATE(C399,""ja"",""vi"")"),"Đấu giá&gt; đồ chơi, trò chơi&gt; hình&gt; truyện tranh, hoạt hình&gt; Natsume Yuujin Chou")</f>
        <v>Đấu giá&gt; đồ chơi, trò chơi&gt; hình&gt; truyện tranh, hoạt hình&gt; Natsume Yuujin Chou</v>
      </c>
      <c r="F399" t="str">
        <f t="shared" ca="1" si="6"/>
        <v>"2084305379" : "Natsume Yuujin Chou",</v>
      </c>
    </row>
    <row r="400" spans="1:6" ht="15.75" customHeight="1">
      <c r="A400" s="14">
        <v>2084241346</v>
      </c>
      <c r="B400" s="14" t="s">
        <v>1202</v>
      </c>
      <c r="C400" s="14" t="s">
        <v>2877</v>
      </c>
      <c r="D400" s="5" t="str">
        <f ca="1">IFERROR(__xludf.DUMMYFUNCTION("GOOGLETRANSLATE(B400,""ja"",""vi"")"),"THUỐC TẨY")</f>
        <v>THUỐC TẨY</v>
      </c>
      <c r="E400" s="4" t="str">
        <f ca="1">IFERROR(__xludf.DUMMYFUNCTION("GOOGLETRANSLATE(C400,""ja"",""vi"")"),"Đấu giá&gt; đồ chơi, trò chơi&gt; hình&gt; truyện tranh, phim hoạt hình&gt; BLEACH")</f>
        <v>Đấu giá&gt; đồ chơi, trò chơi&gt; hình&gt; truyện tranh, phim hoạt hình&gt; BLEACH</v>
      </c>
      <c r="F400" t="str">
        <f t="shared" ca="1" si="6"/>
        <v>"2084241346" : "THUỐC TẨY",</v>
      </c>
    </row>
    <row r="401" spans="1:6" ht="15.75" customHeight="1">
      <c r="A401" s="14">
        <v>2084236118</v>
      </c>
      <c r="B401" s="14" t="s">
        <v>2882</v>
      </c>
      <c r="C401" s="14" t="s">
        <v>2883</v>
      </c>
      <c r="D401" s="5" t="str">
        <f ca="1">IFERROR(__xludf.DUMMYFUNCTION("GOOGLETRANSLATE(B401,""ja"",""vi"")"),"số phận")</f>
        <v>số phận</v>
      </c>
      <c r="E401" s="4" t="str">
        <f ca="1">IFERROR(__xludf.DUMMYFUNCTION("GOOGLETRANSLATE(C401,""ja"",""vi"")"),"Đấu giá&gt; đồ chơi, trò chơi&gt; hình&gt; truyện tranh, phim hoạt hình&gt; Fate")</f>
        <v>Đấu giá&gt; đồ chơi, trò chơi&gt; hình&gt; truyện tranh, phim hoạt hình&gt; Fate</v>
      </c>
      <c r="F401" t="str">
        <f t="shared" ca="1" si="6"/>
        <v>"2084236118" : "số phận",</v>
      </c>
    </row>
    <row r="402" spans="1:6" ht="15.75" customHeight="1">
      <c r="A402" s="14">
        <v>2084242880</v>
      </c>
      <c r="B402" s="14" t="s">
        <v>1331</v>
      </c>
      <c r="C402" s="14" t="s">
        <v>2886</v>
      </c>
      <c r="D402" s="5" t="str">
        <f ca="1">IFERROR(__xludf.DUMMYFUNCTION("GOOGLETRANSLATE(B402,""ja"",""vi"")"),"Pretty Cure")</f>
        <v>Pretty Cure</v>
      </c>
      <c r="E402" s="4" t="str">
        <f ca="1">IFERROR(__xludf.DUMMYFUNCTION("GOOGLETRANSLATE(C402,""ja"",""vi"")"),"Đấu giá&gt; đồ chơi, trò chơi&gt; hình&gt; truyện tranh, phim hoạt hình&gt; Pretty Cure")</f>
        <v>Đấu giá&gt; đồ chơi, trò chơi&gt; hình&gt; truyện tranh, phim hoạt hình&gt; Pretty Cure</v>
      </c>
      <c r="F402" t="str">
        <f t="shared" ca="1" si="6"/>
        <v>"2084242880" : "Pretty Cure",</v>
      </c>
    </row>
    <row r="403" spans="1:6" ht="15.75" customHeight="1">
      <c r="A403" s="14">
        <v>2084305380</v>
      </c>
      <c r="B403" s="14" t="s">
        <v>2892</v>
      </c>
      <c r="C403" s="14" t="s">
        <v>2893</v>
      </c>
      <c r="D403" s="5" t="str">
        <f ca="1">IFERROR(__xludf.DUMMYFUNCTION("GOOGLETRANSLATE(B403,""ja"",""vi"")"),"Bakemonogatari, câu chuyện sai sự thật")</f>
        <v>Bakemonogatari, câu chuyện sai sự thật</v>
      </c>
      <c r="E403" s="4" t="str">
        <f ca="1">IFERROR(__xludf.DUMMYFUNCTION("GOOGLETRANSLATE(C403,""ja"",""vi"")"),"Đấu giá&gt; đồ chơi, trò chơi&gt; hình&gt; truyện tranh, hoạt hình&gt; Bakemonogatari, câu chuyện sai sự thật")</f>
        <v>Đấu giá&gt; đồ chơi, trò chơi&gt; hình&gt; truyện tranh, hoạt hình&gt; Bakemonogatari, câu chuyện sai sự thật</v>
      </c>
      <c r="F403" t="str">
        <f t="shared" ca="1" si="6"/>
        <v>"2084305380" : "Bakemonogatari, câu chuyện sai sự thật",</v>
      </c>
    </row>
    <row r="404" spans="1:6" ht="15.75" customHeight="1">
      <c r="A404" s="14">
        <v>2084242879</v>
      </c>
      <c r="B404" s="14" t="s">
        <v>1392</v>
      </c>
      <c r="C404" s="14" t="s">
        <v>2899</v>
      </c>
      <c r="D404" s="5" t="str">
        <f ca="1">IFERROR(__xludf.DUMMYFUNCTION("GOOGLETRANSLATE(B404,""ja"",""vi"")"),"Fullmetal Alchemist")</f>
        <v>Fullmetal Alchemist</v>
      </c>
      <c r="E404" s="4" t="str">
        <f ca="1">IFERROR(__xludf.DUMMYFUNCTION("GOOGLETRANSLATE(C404,""ja"",""vi"")"),"Đấu giá&gt; đồ chơi, trò chơi&gt; hình&gt; truyện tranh, hoạt hình&gt; Full Metal Alchemist")</f>
        <v>Đấu giá&gt; đồ chơi, trò chơi&gt; hình&gt; truyện tranh, hoạt hình&gt; Full Metal Alchemist</v>
      </c>
      <c r="F404" t="str">
        <f t="shared" ca="1" si="6"/>
        <v>"2084242879" : "Fullmetal Alchemist",</v>
      </c>
    </row>
    <row r="405" spans="1:6" ht="15.75" customHeight="1">
      <c r="A405" s="14">
        <v>2084239888</v>
      </c>
      <c r="B405" s="14" t="s">
        <v>2904</v>
      </c>
      <c r="C405" s="14" t="s">
        <v>2906</v>
      </c>
      <c r="D405" s="5" t="str">
        <f ca="1">IFERROR(__xludf.DUMMYFUNCTION("GOOGLETRANSLATE(B405,""ja"",""vi"")"),"Hatsune miku")</f>
        <v>Hatsune miku</v>
      </c>
      <c r="E405" s="4" t="str">
        <f ca="1">IFERROR(__xludf.DUMMYFUNCTION("GOOGLETRANSLATE(C405,""ja"",""vi"")"),"Đấu giá&gt; đồ chơi, trò chơi&gt; hình&gt; truyện tranh, phim hoạt hình&gt; Hatsune Miku")</f>
        <v>Đấu giá&gt; đồ chơi, trò chơi&gt; hình&gt; truyện tranh, phim hoạt hình&gt; Hatsune Miku</v>
      </c>
      <c r="F405" t="str">
        <f t="shared" ca="1" si="6"/>
        <v>"2084239888" : "Hatsune miku",</v>
      </c>
    </row>
    <row r="406" spans="1:6" ht="15.75" customHeight="1">
      <c r="A406" s="14">
        <v>2084023788</v>
      </c>
      <c r="B406" s="14" t="s">
        <v>2910</v>
      </c>
      <c r="C406" s="14" t="s">
        <v>2911</v>
      </c>
      <c r="D406" s="5" t="str">
        <f ca="1">IFERROR(__xludf.DUMMYFUNCTION("GOOGLETRANSLATE(B406,""ja"",""vi"")"),"Khá Soldier Sailor Moon")</f>
        <v>Khá Soldier Sailor Moon</v>
      </c>
      <c r="E406" s="4" t="str">
        <f ca="1">IFERROR(__xludf.DUMMYFUNCTION("GOOGLETRANSLATE(C406,""ja"",""vi"")"),"Đấu giá&gt; đồ chơi, trò chơi&gt; hình&gt; truyện tranh, phim hoạt hình&gt; Sailor Moon")</f>
        <v>Đấu giá&gt; đồ chơi, trò chơi&gt; hình&gt; truyện tranh, phim hoạt hình&gt; Sailor Moon</v>
      </c>
      <c r="F406" t="str">
        <f t="shared" ca="1" si="6"/>
        <v>"2084023788" : "Khá Soldier Sailor Moon",</v>
      </c>
    </row>
    <row r="407" spans="1:6" ht="15.75" customHeight="1">
      <c r="A407" s="14">
        <v>2084236115</v>
      </c>
      <c r="B407" s="14" t="s">
        <v>1447</v>
      </c>
      <c r="C407" s="14" t="s">
        <v>2920</v>
      </c>
      <c r="D407" s="5" t="str">
        <f ca="1">IFERROR(__xludf.DUMMYFUNCTION("GOOGLETRANSLATE(B407,""ja"",""vi"")"),"Fist of the North Star")</f>
        <v>Fist of the North Star</v>
      </c>
      <c r="E407" s="4" t="str">
        <f ca="1">IFERROR(__xludf.DUMMYFUNCTION("GOOGLETRANSLATE(C407,""ja"",""vi"")"),"Đấu giá&gt; đồ chơi, trò chơi&gt; hình&gt; truyện tranh, hoạt hình&gt; Fist of The North Star của")</f>
        <v>Đấu giá&gt; đồ chơi, trò chơi&gt; hình&gt; truyện tranh, hoạt hình&gt; Fist of The North Star của</v>
      </c>
      <c r="F407" t="str">
        <f t="shared" ca="1" si="6"/>
        <v>"2084236115" : "Fist of the North Star",</v>
      </c>
    </row>
    <row r="408" spans="1:6" ht="15.75" customHeight="1">
      <c r="A408" s="14">
        <v>2084305381</v>
      </c>
      <c r="B408" s="14" t="s">
        <v>2925</v>
      </c>
      <c r="C408" s="14" t="s">
        <v>2927</v>
      </c>
      <c r="D408" s="5" t="str">
        <f ca="1">IFERROR(__xludf.DUMMYFUNCTION("GOOGLETRANSLATE(B408,""ja"",""vi"")"),"Macross F")</f>
        <v>Macross F</v>
      </c>
      <c r="E408" s="4" t="str">
        <f ca="1">IFERROR(__xludf.DUMMYFUNCTION("GOOGLETRANSLATE(C408,""ja"",""vi"")"),"Đấu giá&gt; đồ chơi, trò chơi&gt; hình&gt; truyện tranh, hoạt hình&gt; Macross F")</f>
        <v>Đấu giá&gt; đồ chơi, trò chơi&gt; hình&gt; truyện tranh, hoạt hình&gt; Macross F</v>
      </c>
      <c r="F408" t="str">
        <f t="shared" ca="1" si="6"/>
        <v>"2084305381" : "Macross F",</v>
      </c>
    </row>
    <row r="409" spans="1:6" ht="15.75" customHeight="1">
      <c r="A409" s="14">
        <v>2084305382</v>
      </c>
      <c r="B409" s="14" t="s">
        <v>1576</v>
      </c>
      <c r="C409" s="14" t="s">
        <v>2934</v>
      </c>
      <c r="D409" s="5" t="str">
        <f ca="1">IFERROR(__xludf.DUMMYFUNCTION("GOOGLETRANSLATE(B409,""ja"",""vi"")"),"Magical Girl Madoka ☆ Magica")</f>
        <v>Magical Girl Madoka ☆ Magica</v>
      </c>
      <c r="E409" s="4" t="str">
        <f ca="1">IFERROR(__xludf.DUMMYFUNCTION("GOOGLETRANSLATE(C409,""ja"",""vi"")"),"Đấu giá&gt; đồ chơi, trò chơi&gt; hình&gt; truyện tranh, phim hoạt hình&gt; Magical Girl Madoka ☆ Magica")</f>
        <v>Đấu giá&gt; đồ chơi, trò chơi&gt; hình&gt; truyện tranh, phim hoạt hình&gt; Magical Girl Madoka ☆ Magica</v>
      </c>
      <c r="F409" t="str">
        <f t="shared" ca="1" si="6"/>
        <v>"2084305382" : "Magical Girl Madoka ☆ Magica",</v>
      </c>
    </row>
    <row r="410" spans="1:6" ht="15.75" customHeight="1">
      <c r="A410" s="14">
        <v>2084236119</v>
      </c>
      <c r="B410" s="14" t="s">
        <v>1588</v>
      </c>
      <c r="C410" s="14" t="s">
        <v>2941</v>
      </c>
      <c r="D410" s="5" t="str">
        <f ca="1">IFERROR(__xludf.DUMMYFUNCTION("GOOGLETRANSLATE(B410,""ja"",""vi"")"),"Magical Girl Lyrical")</f>
        <v>Magical Girl Lyrical</v>
      </c>
      <c r="E410" s="4" t="str">
        <f ca="1">IFERROR(__xludf.DUMMYFUNCTION("GOOGLETRANSLATE(C410,""ja"",""vi"")"),"Đấu giá&gt; đồ chơi, trò chơi&gt; hình&gt; truyện tranh, phim hoạt hình&gt; Magical Girl Lyrical")</f>
        <v>Đấu giá&gt; đồ chơi, trò chơi&gt; hình&gt; truyện tranh, phim hoạt hình&gt; Magical Girl Lyrical</v>
      </c>
      <c r="F410" t="str">
        <f t="shared" ca="1" si="6"/>
        <v>"2084236119" : "Magical Girl Lyrical",</v>
      </c>
    </row>
    <row r="411" spans="1:6" ht="15.75" customHeight="1">
      <c r="A411" s="14">
        <v>2084236108</v>
      </c>
      <c r="B411" s="14" t="s">
        <v>2948</v>
      </c>
      <c r="C411" s="14" t="s">
        <v>2949</v>
      </c>
      <c r="D411" s="5" t="str">
        <f ca="1">IFERROR(__xludf.DUMMYFUNCTION("GOOGLETRANSLATE(B411,""ja"",""vi"")"),"Yatterman")</f>
        <v>Yatterman</v>
      </c>
      <c r="E411" s="4" t="str">
        <f ca="1">IFERROR(__xludf.DUMMYFUNCTION("GOOGLETRANSLATE(C411,""ja"",""vi"")"),"Đấu giá&gt; đồ chơi, trò chơi&gt; hình&gt; truyện tranh, hoạt hình&gt; Yatterman")</f>
        <v>Đấu giá&gt; đồ chơi, trò chơi&gt; hình&gt; truyện tranh, hoạt hình&gt; Yatterman</v>
      </c>
      <c r="F411" t="str">
        <f t="shared" ca="1" si="6"/>
        <v>"2084236108" : "Yatterman",</v>
      </c>
    </row>
    <row r="412" spans="1:6" ht="15.75" customHeight="1">
      <c r="A412" s="14">
        <v>2084236117</v>
      </c>
      <c r="B412" s="14" t="s">
        <v>2954</v>
      </c>
      <c r="C412" s="14" t="s">
        <v>2955</v>
      </c>
      <c r="D412" s="5" t="str">
        <f ca="1">IFERROR(__xludf.DUMMYFUNCTION("GOOGLETRANSLATE(B412,""ja"",""vi"")"),"Lucky ☆ Star")</f>
        <v>Lucky ☆ Star</v>
      </c>
      <c r="E412" s="4" t="str">
        <f ca="1">IFERROR(__xludf.DUMMYFUNCTION("GOOGLETRANSLATE(C412,""ja"",""vi"")"),"Đấu giá&gt; đồ chơi, trò chơi&gt; hình&gt; truyện tranh, hoạt hình&gt; Lucky ☆ Star")</f>
        <v>Đấu giá&gt; đồ chơi, trò chơi&gt; hình&gt; truyện tranh, hoạt hình&gt; Lucky ☆ Star</v>
      </c>
      <c r="F412" t="str">
        <f t="shared" ca="1" si="6"/>
        <v>"2084236117" : "Lucky ☆ Star",</v>
      </c>
    </row>
    <row r="413" spans="1:6" ht="15.75" customHeight="1">
      <c r="A413" s="14">
        <v>2084023783</v>
      </c>
      <c r="B413" s="14" t="s">
        <v>1740</v>
      </c>
      <c r="C413" s="14" t="s">
        <v>2960</v>
      </c>
      <c r="D413" s="5" t="str">
        <f ca="1">IFERROR(__xludf.DUMMYFUNCTION("GOOGLETRANSLATE(B413,""ja"",""vi"")"),"Lupin III")</f>
        <v>Lupin III</v>
      </c>
      <c r="E413" s="4" t="str">
        <f ca="1">IFERROR(__xludf.DUMMYFUNCTION("GOOGLETRANSLATE(C413,""ja"",""vi"")"),"Đấu giá&gt; đồ chơi, trò chơi&gt; hình&gt; truyện tranh, phim hoạt hình&gt; Lupin the Third")</f>
        <v>Đấu giá&gt; đồ chơi, trò chơi&gt; hình&gt; truyện tranh, phim hoạt hình&gt; Lupin the Third</v>
      </c>
      <c r="F413" t="str">
        <f t="shared" ca="1" si="6"/>
        <v>"2084023783" : "Lupin III",</v>
      </c>
    </row>
    <row r="414" spans="1:6" ht="15.75" customHeight="1">
      <c r="A414" s="14">
        <v>2084023719</v>
      </c>
      <c r="B414" s="14" t="s">
        <v>2966</v>
      </c>
      <c r="C414" s="14" t="s">
        <v>2967</v>
      </c>
      <c r="D414" s="5" t="str">
        <f ca="1">IFERROR(__xludf.DUMMYFUNCTION("GOOGLETRANSLATE(B414,""ja"",""vi"")"),"anh hùng Robot")</f>
        <v>anh hùng Robot</v>
      </c>
      <c r="E414" s="4" t="str">
        <f ca="1">IFERROR(__xludf.DUMMYFUNCTION("GOOGLETRANSLATE(C414,""ja"",""vi"")"),"Đấu giá&gt; đồ chơi, trò chơi&gt; hình&gt; truyện tranh, phim hoạt hình&gt; Robot Anh hùng")</f>
        <v>Đấu giá&gt; đồ chơi, trò chơi&gt; hình&gt; truyện tranh, phim hoạt hình&gt; Robot Anh hùng</v>
      </c>
      <c r="F414" t="str">
        <f t="shared" ca="1" si="6"/>
        <v>"2084023719" : "anh hùng Robot",</v>
      </c>
    </row>
    <row r="415" spans="1:6" ht="15.75" customHeight="1">
      <c r="A415" s="14">
        <v>2084040581</v>
      </c>
      <c r="B415" s="14" t="s">
        <v>1791</v>
      </c>
      <c r="C415" s="14" t="s">
        <v>2971</v>
      </c>
      <c r="D415" s="5" t="str">
        <f ca="1">IFERROR(__xludf.DUMMYFUNCTION("GOOGLETRANSLATE(B415,""ja"",""vi"")"),"ONE PIECE")</f>
        <v>ONE PIECE</v>
      </c>
      <c r="E415" s="4" t="str">
        <f ca="1">IFERROR(__xludf.DUMMYFUNCTION("GOOGLETRANSLATE(C415,""ja"",""vi"")"),"Đấu giá&gt; đồ chơi, trò chơi&gt; hình&gt; truyện tranh, phim hoạt hình&gt; ONE PIECE")</f>
        <v>Đấu giá&gt; đồ chơi, trò chơi&gt; hình&gt; truyện tranh, phim hoạt hình&gt; ONE PIECE</v>
      </c>
      <c r="F415" t="str">
        <f t="shared" ca="1" si="6"/>
        <v>"2084040581" : "ONE PIECE",</v>
      </c>
    </row>
    <row r="416" spans="1:6" ht="15.75" customHeight="1">
      <c r="A416" s="14">
        <v>2084023789</v>
      </c>
      <c r="B416" s="14" t="s">
        <v>46</v>
      </c>
      <c r="C416" s="14" t="s">
        <v>2975</v>
      </c>
      <c r="D416" s="5" t="str">
        <f ca="1">IFERROR(__xludf.DUMMYFUNCTION("GOOGLETRANSLATE(B416,""ja"",""vi"")"),"nếu không thì")</f>
        <v>nếu không thì</v>
      </c>
      <c r="E416" s="4" t="str">
        <f ca="1">IFERROR(__xludf.DUMMYFUNCTION("GOOGLETRANSLATE(C416,""ja"",""vi"")"),"Đấu giá&gt; đồ chơi, trò chơi&gt; hình&gt; truyện tranh, hoạt hình&gt; Khác")</f>
        <v>Đấu giá&gt; đồ chơi, trò chơi&gt; hình&gt; truyện tranh, hoạt hình&gt; Khác</v>
      </c>
      <c r="F416" t="str">
        <f t="shared" ca="1" si="6"/>
        <v>"2084023789" : "nếu không thì",</v>
      </c>
    </row>
    <row r="417" spans="1:6" ht="15.75" customHeight="1">
      <c r="A417" s="14">
        <v>2084023721</v>
      </c>
      <c r="B417" s="14" t="s">
        <v>2979</v>
      </c>
      <c r="C417" s="14" t="s">
        <v>2980</v>
      </c>
      <c r="D417" s="5" t="str">
        <f ca="1">IFERROR(__xludf.DUMMYFUNCTION("GOOGLETRANSLATE(B417,""ja"",""vi"")"),"Kikaider")</f>
        <v>Kikaider</v>
      </c>
      <c r="E417" s="4" t="str">
        <f ca="1">IFERROR(__xludf.DUMMYFUNCTION("GOOGLETRANSLATE(C417,""ja"",""vi"")"),"Đấu giá&gt; đồ chơi, trò chơi&gt; hình&gt; hiệu ứng đặc biệt&gt; Kikaider")</f>
        <v>Đấu giá&gt; đồ chơi, trò chơi&gt; hình&gt; hiệu ứng đặc biệt&gt; Kikaider</v>
      </c>
      <c r="F417" t="str">
        <f t="shared" ca="1" si="6"/>
        <v>"2084023721" : "Kikaider",</v>
      </c>
    </row>
    <row r="418" spans="1:6" ht="15.75" customHeight="1">
      <c r="A418" s="14">
        <v>2084023722</v>
      </c>
      <c r="B418" s="14" t="s">
        <v>2985</v>
      </c>
      <c r="C418" s="14" t="s">
        <v>2986</v>
      </c>
      <c r="D418" s="5" t="str">
        <f ca="1">IFERROR(__xludf.DUMMYFUNCTION("GOOGLETRANSLATE(B418,""ja"",""vi"")"),"Robot thám")</f>
        <v>Robot thám</v>
      </c>
      <c r="E418" s="4" t="str">
        <f ca="1">IFERROR(__xludf.DUMMYFUNCTION("GOOGLETRANSLATE(C418,""ja"",""vi"")"),"Đấu giá&gt; đồ chơi, trò chơi&gt; hình&gt; hiệu ứng đặc biệt&gt; Robot Thám")</f>
        <v>Đấu giá&gt; đồ chơi, trò chơi&gt; hình&gt; hiệu ứng đặc biệt&gt; Robot Thám</v>
      </c>
      <c r="F418" t="str">
        <f t="shared" ca="1" si="6"/>
        <v>"2084023722" : "Robot thám",</v>
      </c>
    </row>
    <row r="419" spans="1:6" ht="15.75" customHeight="1">
      <c r="A419" s="14">
        <v>2084023723</v>
      </c>
      <c r="B419" s="14" t="s">
        <v>2992</v>
      </c>
      <c r="C419" s="14" t="s">
        <v>2993</v>
      </c>
      <c r="D419" s="5" t="str">
        <f ca="1">IFERROR(__xludf.DUMMYFUNCTION("GOOGLETRANSLATE(B419,""ja"",""vi"")"),"Kikaider 01")</f>
        <v>Kikaider 01</v>
      </c>
      <c r="E419" s="4" t="str">
        <f ca="1">IFERROR(__xludf.DUMMYFUNCTION("GOOGLETRANSLATE(C419,""ja"",""vi"")"),"Đấu giá&gt; đồ chơi, trò chơi&gt; hình&gt; hiệu ứng đặc biệt&gt; Kikaider 01")</f>
        <v>Đấu giá&gt; đồ chơi, trò chơi&gt; hình&gt; hiệu ứng đặc biệt&gt; Kikaider 01</v>
      </c>
      <c r="F419" t="str">
        <f t="shared" ca="1" si="6"/>
        <v>"2084023723" : "Kikaider 01",</v>
      </c>
    </row>
    <row r="420" spans="1:6" ht="15.75" customHeight="1">
      <c r="A420" s="14">
        <v>2084023623</v>
      </c>
      <c r="B420" s="14" t="s">
        <v>3000</v>
      </c>
      <c r="C420" s="14" t="s">
        <v>3001</v>
      </c>
      <c r="D420" s="5" t="str">
        <f ca="1">IFERROR(__xludf.DUMMYFUNCTION("GOOGLETRANSLATE(B420,""ja"",""vi"")"),"Ultraman")</f>
        <v>Ultraman</v>
      </c>
      <c r="E420" s="4" t="str">
        <f ca="1">IFERROR(__xludf.DUMMYFUNCTION("GOOGLETRANSLATE(C420,""ja"",""vi"")"),"Đấu giá&gt; đồ chơi, trò chơi&gt; hình&gt; hiệu ứng đặc biệt&gt; Ultraman")</f>
        <v>Đấu giá&gt; đồ chơi, trò chơi&gt; hình&gt; hiệu ứng đặc biệt&gt; Ultraman</v>
      </c>
      <c r="F420" t="str">
        <f t="shared" ca="1" si="6"/>
        <v>"2084023623" : "Ultraman",</v>
      </c>
    </row>
    <row r="421" spans="1:6" ht="15.75" customHeight="1">
      <c r="A421" s="14">
        <v>2084023745</v>
      </c>
      <c r="B421" s="14" t="s">
        <v>3007</v>
      </c>
      <c r="C421" s="14" t="s">
        <v>3008</v>
      </c>
      <c r="D421" s="5" t="str">
        <f ca="1">IFERROR(__xludf.DUMMYFUNCTION("GOOGLETRANSLATE(B421,""ja"",""vi"")"),"Godzilla, con quái vật")</f>
        <v>Godzilla, con quái vật</v>
      </c>
      <c r="E421" s="4" t="str">
        <f ca="1">IFERROR(__xludf.DUMMYFUNCTION("GOOGLETRANSLATE(C421,""ja"",""vi"")"),"Đấu giá&gt; đồ chơi, trò chơi&gt; hình&gt; hiệu ứng đặc biệt&gt; Godzilla, quái vật")</f>
        <v>Đấu giá&gt; đồ chơi, trò chơi&gt; hình&gt; hiệu ứng đặc biệt&gt; Godzilla, quái vật</v>
      </c>
      <c r="F421" t="str">
        <f t="shared" ca="1" si="6"/>
        <v>"2084023745" : "Godzilla, con quái vật",</v>
      </c>
    </row>
    <row r="422" spans="1:6" ht="15.75" customHeight="1">
      <c r="A422" s="14">
        <v>2084023694</v>
      </c>
      <c r="B422" s="14" t="s">
        <v>3013</v>
      </c>
      <c r="C422" s="14" t="s">
        <v>3014</v>
      </c>
      <c r="D422" s="5" t="str">
        <f ca="1">IFERROR(__xludf.DUMMYFUNCTION("GOOGLETRANSLATE(B422,""ja"",""vi"")"),"kim loại Dòng")</f>
        <v>kim loại Dòng</v>
      </c>
      <c r="E422" s="4" t="str">
        <f ca="1">IFERROR(__xludf.DUMMYFUNCTION("GOOGLETRANSLATE(C422,""ja"",""vi"")"),"Đấu giá&gt; đồ chơi, trò chơi&gt; hình&gt; hiệu ứng đặc biệt&gt; kim loại Dòng")</f>
        <v>Đấu giá&gt; đồ chơi, trò chơi&gt; hình&gt; hiệu ứng đặc biệt&gt; kim loại Dòng</v>
      </c>
      <c r="F422" t="str">
        <f t="shared" ca="1" si="6"/>
        <v>"2084023694" : "kim loại Dòng",</v>
      </c>
    </row>
    <row r="423" spans="1:6" ht="15.75" customHeight="1">
      <c r="A423" s="14">
        <v>2084023644</v>
      </c>
      <c r="B423" s="14" t="s">
        <v>3019</v>
      </c>
      <c r="C423" s="14" t="s">
        <v>3021</v>
      </c>
      <c r="D423" s="5" t="str">
        <f ca="1">IFERROR(__xludf.DUMMYFUNCTION("GOOGLETRANSLATE(B423,""ja"",""vi"")"),"masked Rider")</f>
        <v>masked Rider</v>
      </c>
      <c r="E423" s="4" t="str">
        <f ca="1">IFERROR(__xludf.DUMMYFUNCTION("GOOGLETRANSLATE(C423,""ja"",""vi"")"),"Đấu giá&gt; đồ chơi, trò chơi&gt; hình&gt; hiệu ứng đặc biệt&gt; Kamen Rider")</f>
        <v>Đấu giá&gt; đồ chơi, trò chơi&gt; hình&gt; hiệu ứng đặc biệt&gt; Kamen Rider</v>
      </c>
      <c r="F423" t="str">
        <f t="shared" ca="1" si="6"/>
        <v>"2084023644" : "masked Rider",</v>
      </c>
    </row>
    <row r="424" spans="1:6" ht="15.75" customHeight="1">
      <c r="A424" s="14">
        <v>2084023661</v>
      </c>
      <c r="B424" s="14" t="s">
        <v>3027</v>
      </c>
      <c r="C424" s="14" t="s">
        <v>3028</v>
      </c>
      <c r="D424" s="5" t="str">
        <f ca="1">IFERROR(__xludf.DUMMYFUNCTION("GOOGLETRANSLATE(B424,""ja"",""vi"")"),"Sentai Dòng")</f>
        <v>Sentai Dòng</v>
      </c>
      <c r="E424" s="4" t="str">
        <f ca="1">IFERROR(__xludf.DUMMYFUNCTION("GOOGLETRANSLATE(C424,""ja"",""vi"")"),"Đấu giá&gt; đồ chơi, trò chơi&gt; hình&gt; hiệu ứng đặc biệt&gt; Squadron Dòng")</f>
        <v>Đấu giá&gt; đồ chơi, trò chơi&gt; hình&gt; hiệu ứng đặc biệt&gt; Squadron Dòng</v>
      </c>
      <c r="F424" t="str">
        <f t="shared" ca="1" si="6"/>
        <v>"2084023661" : "Sentai Dòng",</v>
      </c>
    </row>
    <row r="425" spans="1:6" ht="15.75" customHeight="1">
      <c r="A425" s="14">
        <v>2084023719</v>
      </c>
      <c r="B425" s="14" t="s">
        <v>2966</v>
      </c>
      <c r="C425" s="14" t="s">
        <v>3037</v>
      </c>
      <c r="D425" s="5" t="str">
        <f ca="1">IFERROR(__xludf.DUMMYFUNCTION("GOOGLETRANSLATE(B425,""ja"",""vi"")"),"anh hùng Robot")</f>
        <v>anh hùng Robot</v>
      </c>
      <c r="E425" s="4" t="str">
        <f ca="1">IFERROR(__xludf.DUMMYFUNCTION("GOOGLETRANSLATE(C425,""ja"",""vi"")"),"Đấu giá&gt; đồ chơi, trò chơi&gt; hình&gt; hiệu ứng đặc biệt&gt; anh hùng Robot")</f>
        <v>Đấu giá&gt; đồ chơi, trò chơi&gt; hình&gt; hiệu ứng đặc biệt&gt; anh hùng Robot</v>
      </c>
      <c r="F425" t="str">
        <f t="shared" ca="1" si="6"/>
        <v>"2084023719" : "anh hùng Robot",</v>
      </c>
    </row>
    <row r="426" spans="1:6" ht="15.75" customHeight="1">
      <c r="A426" s="14">
        <v>2084047373</v>
      </c>
      <c r="B426" s="14" t="s">
        <v>46</v>
      </c>
      <c r="C426" s="14" t="s">
        <v>3048</v>
      </c>
      <c r="D426" s="5" t="str">
        <f ca="1">IFERROR(__xludf.DUMMYFUNCTION("GOOGLETRANSLATE(B426,""ja"",""vi"")"),"nếu không thì")</f>
        <v>nếu không thì</v>
      </c>
      <c r="E426" s="4" t="str">
        <f ca="1">IFERROR(__xludf.DUMMYFUNCTION("GOOGLETRANSLATE(C426,""ja"",""vi"")"),"Đấu giá&gt; đồ chơi, trò chơi&gt; hình&gt; hiệu ứng đặc biệt&gt; Khác")</f>
        <v>Đấu giá&gt; đồ chơi, trò chơi&gt; hình&gt; hiệu ứng đặc biệt&gt; Khác</v>
      </c>
      <c r="F426" t="str">
        <f t="shared" ca="1" si="6"/>
        <v>"2084047373" : "nếu không thì",</v>
      </c>
    </row>
    <row r="427" spans="1:6" ht="15.75" customHeight="1">
      <c r="A427" s="14">
        <v>2084236103</v>
      </c>
      <c r="B427" s="14" t="s">
        <v>3052</v>
      </c>
      <c r="C427" s="14" t="s">
        <v>3055</v>
      </c>
      <c r="D427" s="5" t="str">
        <f ca="1">IFERROR(__xludf.DUMMYFUNCTION("GOOGLETRANSLATE(B427,""ja"",""vi"")"),"Chào mừng bạn đến Pia Carrot")</f>
        <v>Chào mừng bạn đến Pia Carrot</v>
      </c>
      <c r="E427" s="4" t="str">
        <f ca="1">IFERROR(__xludf.DUMMYFUNCTION("GOOGLETRANSLATE(C427,""ja"",""vi"")"),"Đấu giá&gt; Đồ chơi, trò chơi&gt; Hình&gt; Chào mừng bạn đến với nhân vật trò chơi&gt; Pia Carrot")</f>
        <v>Đấu giá&gt; Đồ chơi, trò chơi&gt; Hình&gt; Chào mừng bạn đến với nhân vật trò chơi&gt; Pia Carrot</v>
      </c>
      <c r="F427" t="str">
        <f t="shared" ca="1" si="6"/>
        <v>"2084236103" : "Chào mừng bạn đến Pia Carrot",</v>
      </c>
    </row>
    <row r="428" spans="1:6" ht="15.75" customHeight="1">
      <c r="A428" s="14">
        <v>2084236102</v>
      </c>
      <c r="B428" s="14" t="s">
        <v>3058</v>
      </c>
      <c r="C428" s="14" t="s">
        <v>3061</v>
      </c>
      <c r="D428" s="5" t="str">
        <f ca="1">IFERROR(__xludf.DUMMYFUNCTION("GOOGLETRANSLATE(B428,""ja"",""vi"")"),"ToHeart2")</f>
        <v>ToHeart2</v>
      </c>
      <c r="E428" s="4" t="str">
        <f ca="1">IFERROR(__xludf.DUMMYFUNCTION("GOOGLETRANSLATE(C428,""ja"",""vi"")"),"Đấu giá&gt; đồ chơi, trò chơi&gt; hình&gt; nhân vật game&gt; ToHeart2")</f>
        <v>Đấu giá&gt; đồ chơi, trò chơi&gt; hình&gt; nhân vật game&gt; ToHeart2</v>
      </c>
      <c r="F428" t="str">
        <f t="shared" ca="1" si="6"/>
        <v>"2084236102" : "ToHeart2",</v>
      </c>
    </row>
    <row r="429" spans="1:6" ht="15.75" customHeight="1">
      <c r="A429" s="14">
        <v>2084305391</v>
      </c>
      <c r="B429" s="14" t="s">
        <v>653</v>
      </c>
      <c r="C429" s="14" t="s">
        <v>3066</v>
      </c>
      <c r="D429" s="5" t="str">
        <f ca="1">IFERROR(__xludf.DUMMYFUNCTION("GOOGLETRANSLATE(B429,""ja"",""vi"")"),"siêu Sonico")</f>
        <v>siêu Sonico</v>
      </c>
      <c r="E429" s="4" t="str">
        <f ca="1">IFERROR(__xludf.DUMMYFUNCTION("GOOGLETRANSLATE(C429,""ja"",""vi"")"),"Đấu giá&gt; đồ chơi, trò chơi&gt; hình&gt; nhân vật game&gt; Super Sonico")</f>
        <v>Đấu giá&gt; đồ chơi, trò chơi&gt; hình&gt; nhân vật game&gt; Super Sonico</v>
      </c>
      <c r="F429" t="str">
        <f t="shared" ca="1" si="6"/>
        <v>"2084305391" : "siêu Sonico",</v>
      </c>
    </row>
    <row r="430" spans="1:6" ht="15.75" customHeight="1">
      <c r="A430" s="14">
        <v>2084040566</v>
      </c>
      <c r="B430" s="14" t="s">
        <v>908</v>
      </c>
      <c r="C430" s="14" t="s">
        <v>3074</v>
      </c>
      <c r="D430" s="5" t="str">
        <f ca="1">IFERROR(__xludf.DUMMYFUNCTION("GOOGLETRANSLATE(B430,""ja"",""vi"")"),"Memorial Tokimeki")</f>
        <v>Memorial Tokimeki</v>
      </c>
      <c r="E430" s="4" t="str">
        <f ca="1">IFERROR(__xludf.DUMMYFUNCTION("GOOGLETRANSLATE(C430,""ja"",""vi"")"),"Đấu giá&gt; đồ chơi, trò chơi&gt; hình&gt; nhân vật game&gt; Tokimeki Memorial")</f>
        <v>Đấu giá&gt; đồ chơi, trò chơi&gt; hình&gt; nhân vật game&gt; Tokimeki Memorial</v>
      </c>
      <c r="F430" t="str">
        <f t="shared" ca="1" si="6"/>
        <v>"2084040566" : "Memorial Tokimeki",</v>
      </c>
    </row>
    <row r="431" spans="1:6" ht="15.75" customHeight="1">
      <c r="A431" s="14">
        <v>2084239890</v>
      </c>
      <c r="B431" s="14" t="s">
        <v>3080</v>
      </c>
      <c r="C431" s="14" t="s">
        <v>3081</v>
      </c>
      <c r="D431" s="5" t="str">
        <f ca="1">IFERROR(__xludf.DUMMYFUNCTION("GOOGLETRANSLATE(B431,""ja"",""vi"")"),"Idol Thạc sĩ")</f>
        <v>Idol Thạc sĩ</v>
      </c>
      <c r="E431" s="4" t="str">
        <f ca="1">IFERROR(__xludf.DUMMYFUNCTION("GOOGLETRANSLATE(C431,""ja"",""vi"")"),"Đấu giá&gt; đồ chơi, trò chơi&gt; hình&gt; nhân vật game&gt; The Idol Thạc sĩ")</f>
        <v>Đấu giá&gt; đồ chơi, trò chơi&gt; hình&gt; nhân vật game&gt; The Idol Thạc sĩ</v>
      </c>
      <c r="F431" t="str">
        <f t="shared" ca="1" si="6"/>
        <v>"2084239890" : "Idol Thạc sĩ",</v>
      </c>
    </row>
    <row r="432" spans="1:6" ht="15.75" customHeight="1">
      <c r="A432" s="14">
        <v>2084048365</v>
      </c>
      <c r="B432" s="14" t="s">
        <v>3087</v>
      </c>
      <c r="C432" s="14" t="s">
        <v>3088</v>
      </c>
      <c r="D432" s="5" t="str">
        <f ca="1">IFERROR(__xludf.DUMMYFUNCTION("GOOGLETRANSLATE(B432,""ja"",""vi"")"),"KINGDOM HEARTS")</f>
        <v>KINGDOM HEARTS</v>
      </c>
      <c r="E432" s="4" t="str">
        <f ca="1">IFERROR(__xludf.DUMMYFUNCTION("GOOGLETRANSLATE(C432,""ja"",""vi"")"),"Đấu giá&gt; đồ chơi, trò chơi&gt; hình&gt; nhân vật game&gt; Kingdom Hearts")</f>
        <v>Đấu giá&gt; đồ chơi, trò chơi&gt; hình&gt; nhân vật game&gt; Kingdom Hearts</v>
      </c>
      <c r="F432" t="str">
        <f t="shared" ca="1" si="6"/>
        <v>"2084048365" : "KINGDOM HEARTS",</v>
      </c>
    </row>
    <row r="433" spans="1:6" ht="15.75" customHeight="1">
      <c r="A433" s="14">
        <v>2084236100</v>
      </c>
      <c r="B433" s="14" t="s">
        <v>3093</v>
      </c>
      <c r="C433" s="14" t="s">
        <v>3094</v>
      </c>
      <c r="D433" s="5" t="str">
        <f ca="1">IFERROR(__xludf.DUMMYFUNCTION("GOOGLETRANSLATE(B433,""ja"",""vi"")"),"Blade Queen")</f>
        <v>Blade Queen</v>
      </c>
      <c r="E433" s="4" t="str">
        <f ca="1">IFERROR(__xludf.DUMMYFUNCTION("GOOGLETRANSLATE(C433,""ja"",""vi"")"),"Đấu giá&gt; đồ chơi, trò chơi&gt; hình&gt; nhân vật game&gt; Queen Blade")</f>
        <v>Đấu giá&gt; đồ chơi, trò chơi&gt; hình&gt; nhân vật game&gt; Queen Blade</v>
      </c>
      <c r="F433" t="str">
        <f t="shared" ca="1" si="6"/>
        <v>"2084236100" : "Blade Queen",</v>
      </c>
    </row>
    <row r="434" spans="1:6" ht="15.75" customHeight="1">
      <c r="A434" s="14">
        <v>2084040565</v>
      </c>
      <c r="B434" s="14" t="s">
        <v>2061</v>
      </c>
      <c r="C434" s="14" t="s">
        <v>3099</v>
      </c>
      <c r="D434" s="5" t="str">
        <f ca="1">IFERROR(__xludf.DUMMYFUNCTION("GOOGLETRANSLATE(B434,""ja"",""vi"")"),"Sakura Wars")</f>
        <v>Sakura Wars</v>
      </c>
      <c r="E434" s="4" t="str">
        <f ca="1">IFERROR(__xludf.DUMMYFUNCTION("GOOGLETRANSLATE(C434,""ja"",""vi"")"),"Đấu giá&gt; đồ chơi, trò chơi&gt; hình&gt; nhân vật game&gt; Sakura Wars")</f>
        <v>Đấu giá&gt; đồ chơi, trò chơi&gt; hình&gt; nhân vật game&gt; Sakura Wars</v>
      </c>
      <c r="F434" t="str">
        <f t="shared" ca="1" si="6"/>
        <v>"2084040565" : "Sakura Wars",</v>
      </c>
    </row>
    <row r="435" spans="1:6" ht="15.75" customHeight="1">
      <c r="A435" s="14">
        <v>2084236105</v>
      </c>
      <c r="B435" s="14" t="s">
        <v>3105</v>
      </c>
      <c r="C435" s="14" t="s">
        <v>3106</v>
      </c>
      <c r="D435" s="5" t="str">
        <f ca="1">IFERROR(__xludf.DUMMYFUNCTION("GOOGLETRANSLATE(B435,""ja"",""vi"")"),"Samurai Spirits")</f>
        <v>Samurai Spirits</v>
      </c>
      <c r="E435" s="4" t="str">
        <f ca="1">IFERROR(__xludf.DUMMYFUNCTION("GOOGLETRANSLATE(C435,""ja"",""vi"")"),"Đấu giá&gt; đồ chơi, trò chơi&gt; hình&gt; nhân vật game&gt; Samurai Spirits")</f>
        <v>Đấu giá&gt; đồ chơi, trò chơi&gt; hình&gt; nhân vật game&gt; Samurai Spirits</v>
      </c>
      <c r="F435" t="str">
        <f t="shared" ca="1" si="6"/>
        <v>"2084236105" : "Samurai Spirits",</v>
      </c>
    </row>
    <row r="436" spans="1:6" ht="15.75" customHeight="1">
      <c r="A436" s="14">
        <v>2084236101</v>
      </c>
      <c r="B436" s="14" t="s">
        <v>3111</v>
      </c>
      <c r="C436" s="14" t="s">
        <v>3112</v>
      </c>
      <c r="D436" s="5" t="str">
        <f ca="1">IFERROR(__xludf.DUMMYFUNCTION("GOOGLETRANSLATE(B436,""ja"",""vi"")"),"Shining gió")</f>
        <v>Shining gió</v>
      </c>
      <c r="E436" s="4" t="str">
        <f ca="1">IFERROR(__xludf.DUMMYFUNCTION("GOOGLETRANSLATE(C436,""ja"",""vi"")"),"Đấu giá&gt; đồ chơi, trò chơi&gt; hình&gt; nhân vật game&gt; Shining Gió")</f>
        <v>Đấu giá&gt; đồ chơi, trò chơi&gt; hình&gt; nhân vật game&gt; Shining Gió</v>
      </c>
      <c r="F436" t="str">
        <f t="shared" ca="1" si="6"/>
        <v>"2084236101" : "Shining gió",</v>
      </c>
    </row>
    <row r="437" spans="1:6" ht="15.75" customHeight="1">
      <c r="A437" s="14">
        <v>2084222830</v>
      </c>
      <c r="B437" s="14" t="s">
        <v>3118</v>
      </c>
      <c r="C437" s="14" t="s">
        <v>3120</v>
      </c>
      <c r="D437" s="5" t="str">
        <f ca="1">IFERROR(__xludf.DUMMYFUNCTION("GOOGLETRANSLATE(B437,""ja"",""vi"")"),"super Mario")</f>
        <v>super Mario</v>
      </c>
      <c r="E437" s="4" t="str">
        <f ca="1">IFERROR(__xludf.DUMMYFUNCTION("GOOGLETRANSLATE(C437,""ja"",""vi"")"),"Đấu giá&gt; đồ chơi, trò chơi&gt; hình&gt; nhân vật game&gt; Super Mario")</f>
        <v>Đấu giá&gt; đồ chơi, trò chơi&gt; hình&gt; nhân vật game&gt; Super Mario</v>
      </c>
      <c r="F437" t="str">
        <f t="shared" ca="1" si="6"/>
        <v>"2084222830" : "super Mario",</v>
      </c>
    </row>
    <row r="438" spans="1:6" ht="15.75" customHeight="1">
      <c r="A438" s="14">
        <v>2084236104</v>
      </c>
      <c r="B438" s="14" t="s">
        <v>3127</v>
      </c>
      <c r="C438" s="14" t="s">
        <v>3128</v>
      </c>
      <c r="D438" s="5" t="str">
        <f ca="1">IFERROR(__xludf.DUMMYFUNCTION("GOOGLETRANSLATE(B438,""ja"",""vi"")"),"Super Robot Wars")</f>
        <v>Super Robot Wars</v>
      </c>
      <c r="E438" s="4" t="str">
        <f ca="1">IFERROR(__xludf.DUMMYFUNCTION("GOOGLETRANSLATE(C438,""ja"",""vi"")"),"Đấu giá&gt; đồ chơi, trò chơi&gt; hình&gt; nhân vật game&gt; Super Robot Wars")</f>
        <v>Đấu giá&gt; đồ chơi, trò chơi&gt; hình&gt; nhân vật game&gt; Super Robot Wars</v>
      </c>
      <c r="F438" t="str">
        <f t="shared" ca="1" si="6"/>
        <v>"2084236104" : "Super Robot Wars",</v>
      </c>
    </row>
    <row r="439" spans="1:6" ht="15.75" customHeight="1">
      <c r="A439" s="14">
        <v>2084236580</v>
      </c>
      <c r="B439" s="14" t="s">
        <v>3134</v>
      </c>
      <c r="C439" s="14" t="s">
        <v>3136</v>
      </c>
      <c r="D439" s="5" t="str">
        <f ca="1">IFERROR(__xludf.DUMMYFUNCTION("GOOGLETRANSLATE(B439,""ja"",""vi"")"),"street fighter")</f>
        <v>street fighter</v>
      </c>
      <c r="E439" s="4" t="str">
        <f ca="1">IFERROR(__xludf.DUMMYFUNCTION("GOOGLETRANSLATE(C439,""ja"",""vi"")"),"Đấu giá&gt; đồ chơi, trò chơi&gt; hình&gt; nhân vật game&gt; Street Fighter")</f>
        <v>Đấu giá&gt; đồ chơi, trò chơi&gt; hình&gt; nhân vật game&gt; Street Fighter</v>
      </c>
      <c r="F439" t="str">
        <f t="shared" ca="1" si="6"/>
        <v>"2084236580" : "street fighter",</v>
      </c>
    </row>
    <row r="440" spans="1:6" ht="15.75" customHeight="1">
      <c r="A440" s="14">
        <v>2084040567</v>
      </c>
      <c r="B440" s="14" t="s">
        <v>3142</v>
      </c>
      <c r="C440" s="14" t="s">
        <v>3144</v>
      </c>
      <c r="D440" s="5" t="str">
        <f ca="1">IFERROR(__xludf.DUMMYFUNCTION("GOOGLETRANSLATE(B440,""ja"",""vi"")"),"sentimental Graffiti")</f>
        <v>sentimental Graffiti</v>
      </c>
      <c r="E440" s="4" t="str">
        <f ca="1">IFERROR(__xludf.DUMMYFUNCTION("GOOGLETRANSLATE(C440,""ja"",""vi"")"),"Đấu giá&gt; đồ chơi, trò chơi&gt; hình&gt; nhân vật game&gt; Sentimental Graffiti")</f>
        <v>Đấu giá&gt; đồ chơi, trò chơi&gt; hình&gt; nhân vật game&gt; Sentimental Graffiti</v>
      </c>
      <c r="F440" t="str">
        <f t="shared" ca="1" si="6"/>
        <v>"2084040567" : "sentimental Graffiti",</v>
      </c>
    </row>
    <row r="441" spans="1:6" ht="15.75" customHeight="1">
      <c r="A441" s="14">
        <v>2084040569</v>
      </c>
      <c r="B441" s="14" t="s">
        <v>992</v>
      </c>
      <c r="C441" s="14" t="s">
        <v>3153</v>
      </c>
      <c r="D441" s="5" t="str">
        <f ca="1">IFERROR(__xludf.DUMMYFUNCTION("GOOGLETRANSLATE(B441,""ja"",""vi"")"),"quái vật kỹ thuật số")</f>
        <v>quái vật kỹ thuật số</v>
      </c>
      <c r="E441" s="4" t="str">
        <f ca="1">IFERROR(__xludf.DUMMYFUNCTION("GOOGLETRANSLATE(C441,""ja"",""vi"")"),"Đấu giá&gt; đồ chơi, trò chơi&gt; hình&gt; trò chơi nhân vật&gt; Monsters kỹ thuật số")</f>
        <v>Đấu giá&gt; đồ chơi, trò chơi&gt; hình&gt; trò chơi nhân vật&gt; Monsters kỹ thuật số</v>
      </c>
      <c r="F441" t="str">
        <f t="shared" ca="1" si="6"/>
        <v>"2084040569" : "quái vật kỹ thuật số",</v>
      </c>
    </row>
    <row r="442" spans="1:6" ht="15.75" customHeight="1">
      <c r="A442" s="14">
        <v>2084063700</v>
      </c>
      <c r="B442" s="14" t="s">
        <v>3157</v>
      </c>
      <c r="C442" s="14" t="s">
        <v>3160</v>
      </c>
      <c r="D442" s="5" t="str">
        <f ca="1">IFERROR(__xludf.DUMMYFUNCTION("GOOGLETRANSLATE(B442,""ja"",""vi"")"),"Dead or Alive")</f>
        <v>Dead or Alive</v>
      </c>
      <c r="E442" s="4" t="str">
        <f ca="1">IFERROR(__xludf.DUMMYFUNCTION("GOOGLETRANSLATE(C442,""ja"",""vi"")"),"Đấu giá&gt; đồ chơi, trò chơi&gt; hình&gt; nhân vật game&gt; Dead or Alive")</f>
        <v>Đấu giá&gt; đồ chơi, trò chơi&gt; hình&gt; nhân vật game&gt; Dead or Alive</v>
      </c>
      <c r="F442" t="str">
        <f t="shared" ca="1" si="6"/>
        <v>"2084063700" : "Dead or Alive",</v>
      </c>
    </row>
    <row r="443" spans="1:6" ht="15.75" customHeight="1">
      <c r="A443" s="14">
        <v>2084063703</v>
      </c>
      <c r="B443" s="14" t="s">
        <v>3166</v>
      </c>
      <c r="C443" s="14" t="s">
        <v>3168</v>
      </c>
      <c r="D443" s="5" t="str">
        <f ca="1">IFERROR(__xludf.DUMMYFUNCTION("GOOGLETRANSLATE(B443,""ja"",""vi"")"),"dragon Quest")</f>
        <v>dragon Quest</v>
      </c>
      <c r="E443" s="4" t="str">
        <f ca="1">IFERROR(__xludf.DUMMYFUNCTION("GOOGLETRANSLATE(C443,""ja"",""vi"")"),"Đấu giá&gt; đồ chơi, trò chơi&gt; hình&gt; nhân vật game&gt; Dragon Quest")</f>
        <v>Đấu giá&gt; đồ chơi, trò chơi&gt; hình&gt; nhân vật game&gt; Dragon Quest</v>
      </c>
      <c r="F443" t="str">
        <f t="shared" ca="1" si="6"/>
        <v>"2084063703" : "dragon Quest",</v>
      </c>
    </row>
    <row r="444" spans="1:6" ht="15.75" customHeight="1">
      <c r="A444" s="14">
        <v>2084040568</v>
      </c>
      <c r="B444" s="14" t="s">
        <v>3174</v>
      </c>
      <c r="C444" s="14" t="s">
        <v>3176</v>
      </c>
      <c r="D444" s="5" t="str">
        <f ca="1">IFERROR(__xludf.DUMMYFUNCTION("GOOGLETRANSLATE(B444,""ja"",""vi"")"),"Final fantasy")</f>
        <v>Final fantasy</v>
      </c>
      <c r="E444" s="4" t="str">
        <f ca="1">IFERROR(__xludf.DUMMYFUNCTION("GOOGLETRANSLATE(C444,""ja"",""vi"")"),"Đấu giá&gt; đồ chơi, trò chơi&gt; hình&gt; nhân vật game&gt; Final Fantasy")</f>
        <v>Đấu giá&gt; đồ chơi, trò chơi&gt; hình&gt; nhân vật game&gt; Final Fantasy</v>
      </c>
      <c r="F444" t="str">
        <f t="shared" ca="1" si="6"/>
        <v>"2084040568" : "Final fantasy",</v>
      </c>
    </row>
    <row r="445" spans="1:6" ht="15.75" customHeight="1">
      <c r="A445" s="14">
        <v>2084305394</v>
      </c>
      <c r="B445" s="14" t="s">
        <v>3183</v>
      </c>
      <c r="C445" s="14" t="s">
        <v>3185</v>
      </c>
      <c r="D445" s="5" t="str">
        <f ca="1">IFERROR(__xludf.DUMMYFUNCTION("GOOGLETRANSLATE(B445,""ja"",""vi"")"),"Persona loạt")</f>
        <v>Persona loạt</v>
      </c>
      <c r="E445" s="4" t="str">
        <f ca="1">IFERROR(__xludf.DUMMYFUNCTION("GOOGLETRANSLATE(C445,""ja"",""vi"")"),"Đấu giá&gt; đồ chơi, trò chơi&gt; hình&gt; trò chơi nhân vật&gt; Persona loạt")</f>
        <v>Đấu giá&gt; đồ chơi, trò chơi&gt; hình&gt; trò chơi nhân vật&gt; Persona loạt</v>
      </c>
      <c r="F445" t="str">
        <f t="shared" ca="1" si="6"/>
        <v>"2084305394" : "Persona loạt",</v>
      </c>
    </row>
    <row r="446" spans="1:6" ht="15.75" customHeight="1">
      <c r="A446" s="14">
        <v>2084236581</v>
      </c>
      <c r="B446" s="14" t="s">
        <v>3191</v>
      </c>
      <c r="C446" s="14" t="s">
        <v>3192</v>
      </c>
      <c r="D446" s="5" t="str">
        <f ca="1">IFERROR(__xludf.DUMMYFUNCTION("GOOGLETRANSLATE(B446,""ja"",""vi"")"),"monster Hunter")</f>
        <v>monster Hunter</v>
      </c>
      <c r="E446" s="4" t="str">
        <f ca="1">IFERROR(__xludf.DUMMYFUNCTION("GOOGLETRANSLATE(C446,""ja"",""vi"")"),"Đấu giá&gt; đồ chơi, trò chơi&gt; hình&gt; trò chơi nhân vật&gt; Monster Hunter")</f>
        <v>Đấu giá&gt; đồ chơi, trò chơi&gt; hình&gt; trò chơi nhân vật&gt; Monster Hunter</v>
      </c>
      <c r="F446" t="str">
        <f t="shared" ca="1" si="6"/>
        <v>"2084236581" : "monster Hunter",</v>
      </c>
    </row>
    <row r="447" spans="1:6" ht="15.75" customHeight="1">
      <c r="A447" s="14">
        <v>2084305395</v>
      </c>
      <c r="B447" s="14" t="s">
        <v>3200</v>
      </c>
      <c r="C447" s="14" t="s">
        <v>3201</v>
      </c>
      <c r="D447" s="5" t="str">
        <f ca="1">IFERROR(__xludf.DUMMYFUNCTION("GOOGLETRANSLATE(B447,""ja"",""vi"")"),"love Plus")</f>
        <v>love Plus</v>
      </c>
      <c r="E447" s="4" t="str">
        <f ca="1">IFERROR(__xludf.DUMMYFUNCTION("GOOGLETRANSLATE(C447,""ja"",""vi"")"),"Đấu giá&gt; đồ chơi, trò chơi&gt; hình&gt; nhân vật game&gt; Love Plus")</f>
        <v>Đấu giá&gt; đồ chơi, trò chơi&gt; hình&gt; nhân vật game&gt; Love Plus</v>
      </c>
      <c r="F447" t="str">
        <f t="shared" ca="1" si="6"/>
        <v>"2084305395" : "love Plus",</v>
      </c>
    </row>
    <row r="448" spans="1:6" ht="15.75" customHeight="1">
      <c r="A448" s="14">
        <v>2084239892</v>
      </c>
      <c r="B448" s="14" t="s">
        <v>3208</v>
      </c>
      <c r="C448" s="14" t="s">
        <v>3210</v>
      </c>
      <c r="D448" s="5" t="str">
        <f ca="1">IFERROR(__xludf.DUMMYFUNCTION("GOOGLETRANSLATE(B448,""ja"",""vi"")"),"Little Busters!")</f>
        <v>Little Busters!</v>
      </c>
      <c r="E448" s="4" t="str">
        <f ca="1">IFERROR(__xludf.DUMMYFUNCTION("GOOGLETRANSLATE(C448,""ja"",""vi"")"),"Đấu giá&gt; đồ chơi, trò chơi&gt; hình&gt; trò chơi nhân vật&gt; Little Busters!")</f>
        <v>Đấu giá&gt; đồ chơi, trò chơi&gt; hình&gt; trò chơi nhân vật&gt; Little Busters!</v>
      </c>
      <c r="F448" t="str">
        <f t="shared" ca="1" si="6"/>
        <v>"2084239892" : "Little Busters!",</v>
      </c>
    </row>
    <row r="449" spans="1:6" ht="15.75" customHeight="1">
      <c r="A449" s="14">
        <v>2084242881</v>
      </c>
      <c r="B449" s="14" t="s">
        <v>851</v>
      </c>
      <c r="C449" s="14" t="s">
        <v>3215</v>
      </c>
      <c r="D449" s="5" t="str">
        <f ca="1">IFERROR(__xludf.DUMMYFUNCTION("GOOGLETRANSLATE(B449,""ja"",""vi"")"),"Sengoku Basara")</f>
        <v>Sengoku Basara</v>
      </c>
      <c r="E449" s="4" t="str">
        <f ca="1">IFERROR(__xludf.DUMMYFUNCTION("GOOGLETRANSLATE(C449,""ja"",""vi"")"),"Đấu giá&gt; đồ chơi, trò chơi&gt; hình&gt; nhân vật game&gt; Sengoku BASABA")</f>
        <v>Đấu giá&gt; đồ chơi, trò chơi&gt; hình&gt; nhân vật game&gt; Sengoku BASABA</v>
      </c>
      <c r="F449" t="str">
        <f t="shared" ca="1" si="6"/>
        <v>"2084242881" : "Sengoku Basara",</v>
      </c>
    </row>
    <row r="450" spans="1:6" ht="15.75" customHeight="1">
      <c r="A450" s="14">
        <v>2084242882</v>
      </c>
      <c r="B450" s="14" t="s">
        <v>1142</v>
      </c>
      <c r="C450" s="14" t="s">
        <v>3222</v>
      </c>
      <c r="D450" s="5" t="str">
        <f ca="1">IFERROR(__xludf.DUMMYFUNCTION("GOOGLETRANSLATE(B450,""ja"",""vi"")"),"Dự án Đông")</f>
        <v>Dự án Đông</v>
      </c>
      <c r="E450" s="4" t="str">
        <f ca="1">IFERROR(__xludf.DUMMYFUNCTION("GOOGLETRANSLATE(C450,""ja"",""vi"")"),"Đấu giá&gt; đồ chơi, trò chơi&gt; hình&gt; nhân vật game&gt; Touhou Project")</f>
        <v>Đấu giá&gt; đồ chơi, trò chơi&gt; hình&gt; nhân vật game&gt; Touhou Project</v>
      </c>
      <c r="F450" t="str">
        <f t="shared" ref="F450:F513" ca="1" si="7">CONCATENATE(CHAR(34)&amp;"",A450,""&amp;CHAR(34)," : ", CHAR(34)&amp;"",D450,""&amp;CHAR(34),",")</f>
        <v>"2084242882" : "Dự án Đông",</v>
      </c>
    </row>
    <row r="451" spans="1:6" ht="15.75" customHeight="1">
      <c r="A451" s="14">
        <v>2084236099</v>
      </c>
      <c r="B451" s="14" t="s">
        <v>3228</v>
      </c>
      <c r="C451" s="14" t="s">
        <v>3229</v>
      </c>
      <c r="D451" s="5" t="str">
        <f ca="1">IFERROR(__xludf.DUMMYFUNCTION("GOOGLETRANSLATE(B451,""ja"",""vi"")"),"vũ trang Shinki")</f>
        <v>vũ trang Shinki</v>
      </c>
      <c r="E451" s="4" t="str">
        <f ca="1">IFERROR(__xludf.DUMMYFUNCTION("GOOGLETRANSLATE(C451,""ja"",""vi"")"),"Đấu giá&gt; đồ chơi, trò chơi&gt; hình&gt; nhân vật game&gt; trang Shinki")</f>
        <v>Đấu giá&gt; đồ chơi, trò chơi&gt; hình&gt; nhân vật game&gt; trang Shinki</v>
      </c>
      <c r="F451" t="str">
        <f t="shared" ca="1" si="7"/>
        <v>"2084236099" : "vũ trang Shinki",</v>
      </c>
    </row>
    <row r="452" spans="1:6" ht="15.75" customHeight="1">
      <c r="A452" s="14">
        <v>2084040570</v>
      </c>
      <c r="B452" s="14" t="s">
        <v>46</v>
      </c>
      <c r="C452" s="14" t="s">
        <v>3236</v>
      </c>
      <c r="D452" s="5" t="str">
        <f ca="1">IFERROR(__xludf.DUMMYFUNCTION("GOOGLETRANSLATE(B452,""ja"",""vi"")"),"nếu không thì")</f>
        <v>nếu không thì</v>
      </c>
      <c r="E452" s="4" t="str">
        <f ca="1">IFERROR(__xludf.DUMMYFUNCTION("GOOGLETRANSLATE(C452,""ja"",""vi"")"),"Đấu giá&gt; đồ chơi, trò chơi&gt; hình&gt; nhân vật trò chơi&gt; Khác")</f>
        <v>Đấu giá&gt; đồ chơi, trò chơi&gt; hình&gt; nhân vật trò chơi&gt; Khác</v>
      </c>
      <c r="F452" t="str">
        <f t="shared" ca="1" si="7"/>
        <v>"2084040570" : "nếu không thì",</v>
      </c>
    </row>
    <row r="453" spans="1:6" ht="15.75" customHeight="1">
      <c r="A453" s="14">
        <v>2084040561</v>
      </c>
      <c r="B453" s="14" t="s">
        <v>3242</v>
      </c>
      <c r="C453" s="14" t="s">
        <v>3245</v>
      </c>
      <c r="D453" s="5" t="str">
        <f ca="1">IFERROR(__xludf.DUMMYFUNCTION("GOOGLETRANSLATE(B453,""ja"",""vi"")"),"Friday the 13th")</f>
        <v>Friday the 13th</v>
      </c>
      <c r="E453" s="4" t="str">
        <f ca="1">IFERROR(__xludf.DUMMYFUNCTION("GOOGLETRANSLATE(C453,""ja"",""vi"")"),"Đấu giá&gt; đồ chơi, trò chơi&gt; hình&gt; SF, tưởng tượng, kinh dị&gt; Friday the 13th")</f>
        <v>Đấu giá&gt; đồ chơi, trò chơi&gt; hình&gt; SF, tưởng tượng, kinh dị&gt; Friday the 13th</v>
      </c>
      <c r="F453" t="str">
        <f t="shared" ca="1" si="7"/>
        <v>"2084040561" : "Friday the 13th",</v>
      </c>
    </row>
    <row r="454" spans="1:6" ht="15.75" customHeight="1">
      <c r="A454" s="14">
        <v>2084242884</v>
      </c>
      <c r="B454" s="14" t="s">
        <v>3252</v>
      </c>
      <c r="C454" s="14" t="s">
        <v>3256</v>
      </c>
      <c r="D454" s="5" t="str">
        <f ca="1">IFERROR(__xludf.DUMMYFUNCTION("GOOGLETRANSLATE(B454,""ja"",""vi"")"),"iron Man")</f>
        <v>iron Man</v>
      </c>
      <c r="E454" s="4" t="str">
        <f ca="1">IFERROR(__xludf.DUMMYFUNCTION("GOOGLETRANSLATE(C454,""ja"",""vi"")"),"Đấu giá&gt; đồ chơi, trò chơi&gt; hình&gt; SF, tưởng tượng, kinh dị&gt; Iron Man")</f>
        <v>Đấu giá&gt; đồ chơi, trò chơi&gt; hình&gt; SF, tưởng tượng, kinh dị&gt; Iron Man</v>
      </c>
      <c r="F454" t="str">
        <f t="shared" ca="1" si="7"/>
        <v>"2084242884" : "iron Man",</v>
      </c>
    </row>
    <row r="455" spans="1:6" ht="15.75" customHeight="1">
      <c r="A455" s="14">
        <v>2084040558</v>
      </c>
      <c r="B455" s="14" t="s">
        <v>3263</v>
      </c>
      <c r="C455" s="14" t="s">
        <v>3265</v>
      </c>
      <c r="D455" s="5" t="str">
        <f ca="1">IFERROR(__xludf.DUMMYFUNCTION("GOOGLETRANSLATE(B455,""ja"",""vi"")"),"Alien")</f>
        <v>Alien</v>
      </c>
      <c r="E455" s="4" t="str">
        <f ca="1">IFERROR(__xludf.DUMMYFUNCTION("GOOGLETRANSLATE(C455,""ja"",""vi"")"),"Đấu giá&gt; đồ chơi, trò chơi&gt; hình&gt; SF, tưởng tượng, kinh dị&gt; Alien")</f>
        <v>Đấu giá&gt; đồ chơi, trò chơi&gt; hình&gt; SF, tưởng tượng, kinh dị&gt; Alien</v>
      </c>
      <c r="F455" t="str">
        <f t="shared" ca="1" si="7"/>
        <v>"2084040558" : "Alien",</v>
      </c>
    </row>
    <row r="456" spans="1:6" ht="15.75" customHeight="1">
      <c r="A456" s="14">
        <v>2084040560</v>
      </c>
      <c r="B456" s="14" t="s">
        <v>3271</v>
      </c>
      <c r="C456" s="14" t="s">
        <v>3273</v>
      </c>
      <c r="D456" s="5" t="str">
        <f ca="1">IFERROR(__xludf.DUMMYFUNCTION("GOOGLETRANSLATE(B456,""ja"",""vi"")"),"Nightmare on Elm Street")</f>
        <v>Nightmare on Elm Street</v>
      </c>
      <c r="E456" s="4" t="str">
        <f ca="1">IFERROR(__xludf.DUMMYFUNCTION("GOOGLETRANSLATE(C456,""ja"",""vi"")"),"Đấu giá&gt; đồ chơi, trò chơi&gt; hình&gt; SF, tưởng tượng, kinh dị&gt; Nightmare on Elm Street")</f>
        <v>Đấu giá&gt; đồ chơi, trò chơi&gt; hình&gt; SF, tưởng tượng, kinh dị&gt; Nightmare on Elm Street</v>
      </c>
      <c r="F456" t="str">
        <f t="shared" ca="1" si="7"/>
        <v>"2084040560" : "Nightmare on Elm Street",</v>
      </c>
    </row>
    <row r="457" spans="1:6" ht="15.75" customHeight="1">
      <c r="A457" s="14">
        <v>2084040585</v>
      </c>
      <c r="B457" s="14" t="s">
        <v>3278</v>
      </c>
      <c r="C457" s="14" t="s">
        <v>3280</v>
      </c>
      <c r="D457" s="5" t="str">
        <f ca="1">IFERROR(__xludf.DUMMYFUNCTION("GOOGLETRANSLATE(B457,""ja"",""vi"")"),"The Nightmare Before Christmas")</f>
        <v>The Nightmare Before Christmas</v>
      </c>
      <c r="E457" s="4" t="str">
        <f ca="1">IFERROR(__xludf.DUMMYFUNCTION("GOOGLETRANSLATE(C457,""ja"",""vi"")"),"Đấu giá&gt; đồ chơi, trò chơi&gt; hình&gt; SF, tưởng tượng, kinh dị&gt; The Nightmare Before Christmas")</f>
        <v>Đấu giá&gt; đồ chơi, trò chơi&gt; hình&gt; SF, tưởng tượng, kinh dị&gt; The Nightmare Before Christmas</v>
      </c>
      <c r="F457" t="str">
        <f t="shared" ca="1" si="7"/>
        <v>"2084040585" : "The Nightmare Before Christmas",</v>
      </c>
    </row>
    <row r="458" spans="1:6" ht="15.75" customHeight="1">
      <c r="A458" s="14">
        <v>40577</v>
      </c>
      <c r="B458" s="14" t="s">
        <v>3286</v>
      </c>
      <c r="C458" s="14" t="s">
        <v>3288</v>
      </c>
      <c r="D458" s="5" t="str">
        <f ca="1">IFERROR(__xludf.DUMMYFUNCTION("GOOGLETRANSLATE(B458,""ja"",""vi"")"),"Star Wars loạt")</f>
        <v>Star Wars loạt</v>
      </c>
      <c r="E458" s="4" t="str">
        <f ca="1">IFERROR(__xludf.DUMMYFUNCTION("GOOGLETRANSLATE(C458,""ja"",""vi"")"),"Đấu giá&gt; đồ chơi, trò chơi&gt; hình&gt; SF, tưởng tượng, kinh dị&gt; Star Wars loạt")</f>
        <v>Đấu giá&gt; đồ chơi, trò chơi&gt; hình&gt; SF, tưởng tượng, kinh dị&gt; Star Wars loạt</v>
      </c>
      <c r="F458" t="str">
        <f t="shared" ca="1" si="7"/>
        <v>"40577" : "Star Wars loạt",</v>
      </c>
    </row>
    <row r="459" spans="1:6" ht="15.75" customHeight="1">
      <c r="A459" s="14">
        <v>2084023848</v>
      </c>
      <c r="B459" s="14" t="s">
        <v>3293</v>
      </c>
      <c r="C459" s="14" t="s">
        <v>3295</v>
      </c>
      <c r="D459" s="5" t="str">
        <f ca="1">IFERROR(__xludf.DUMMYFUNCTION("GOOGLETRANSLATE(B459,""ja"",""vi"")"),"star trek")</f>
        <v>star trek</v>
      </c>
      <c r="E459" s="4" t="str">
        <f ca="1">IFERROR(__xludf.DUMMYFUNCTION("GOOGLETRANSLATE(C459,""ja"",""vi"")"),"Đấu giá&gt; đồ chơi, trò chơi&gt; hình&gt; SF, tưởng tượng, kinh dị&gt; Star Trek")</f>
        <v>Đấu giá&gt; đồ chơi, trò chơi&gt; hình&gt; SF, tưởng tượng, kinh dị&gt; Star Trek</v>
      </c>
      <c r="F459" t="str">
        <f t="shared" ca="1" si="7"/>
        <v>"2084023848" : "star trek",</v>
      </c>
    </row>
    <row r="460" spans="1:6" ht="15.75" customHeight="1">
      <c r="A460" s="14">
        <v>2084242883</v>
      </c>
      <c r="B460" s="14" t="s">
        <v>3299</v>
      </c>
      <c r="C460" s="14" t="s">
        <v>3300</v>
      </c>
      <c r="D460" s="5" t="str">
        <f ca="1">IFERROR(__xludf.DUMMYFUNCTION("GOOGLETRANSLATE(B460,""ja"",""vi"")"),"Terminator")</f>
        <v>Terminator</v>
      </c>
      <c r="E460" s="4" t="str">
        <f ca="1">IFERROR(__xludf.DUMMYFUNCTION("GOOGLETRANSLATE(C460,""ja"",""vi"")"),"Đấu giá&gt; đồ chơi, trò chơi&gt; hình&gt; SF, tưởng tượng, kinh dị&gt; terminator")</f>
        <v>Đấu giá&gt; đồ chơi, trò chơi&gt; hình&gt; SF, tưởng tượng, kinh dị&gt; terminator</v>
      </c>
      <c r="F460" t="str">
        <f t="shared" ca="1" si="7"/>
        <v>"2084242883" : "Terminator",</v>
      </c>
    </row>
    <row r="461" spans="1:6" ht="15.75" customHeight="1">
      <c r="A461" s="14">
        <v>2084040559</v>
      </c>
      <c r="B461" s="14" t="s">
        <v>3303</v>
      </c>
      <c r="C461" s="14" t="s">
        <v>3304</v>
      </c>
      <c r="D461" s="5" t="str">
        <f ca="1">IFERROR(__xludf.DUMMYFUNCTION("GOOGLETRANSLATE(B461,""ja"",""vi"")"),"Predator")</f>
        <v>Predator</v>
      </c>
      <c r="E461" s="4" t="str">
        <f ca="1">IFERROR(__xludf.DUMMYFUNCTION("GOOGLETRANSLATE(C461,""ja"",""vi"")"),"Đấu giá&gt; đồ chơi, trò chơi&gt; hình&gt; SF, tưởng tượng, kinh dị&gt; Predator")</f>
        <v>Đấu giá&gt; đồ chơi, trò chơi&gt; hình&gt; SF, tưởng tượng, kinh dị&gt; Predator</v>
      </c>
      <c r="F461" t="str">
        <f t="shared" ca="1" si="7"/>
        <v>"2084040559" : "Predator",</v>
      </c>
    </row>
    <row r="462" spans="1:6" ht="15.75" customHeight="1">
      <c r="A462" s="14">
        <v>2084040563</v>
      </c>
      <c r="B462" s="14" t="s">
        <v>3308</v>
      </c>
      <c r="C462" s="14" t="s">
        <v>3309</v>
      </c>
      <c r="D462" s="5" t="str">
        <f ca="1">IFERROR(__xludf.DUMMYFUNCTION("GOOGLETRANSLATE(B462,""ja"",""vi"")"),"Planet of the Apes")</f>
        <v>Planet of the Apes</v>
      </c>
      <c r="E462" s="4" t="str">
        <f ca="1">IFERROR(__xludf.DUMMYFUNCTION("GOOGLETRANSLATE(C462,""ja"",""vi"")"),"Đấu giá&gt; đồ chơi, trò chơi&gt; hình&gt; SF, tưởng tượng, kinh dị&gt; Planet of the Apes")</f>
        <v>Đấu giá&gt; đồ chơi, trò chơi&gt; hình&gt; SF, tưởng tượng, kinh dị&gt; Planet of the Apes</v>
      </c>
      <c r="F462" t="str">
        <f t="shared" ca="1" si="7"/>
        <v>"2084040563" : "Planet of the Apes",</v>
      </c>
    </row>
    <row r="463" spans="1:6" ht="15.75" customHeight="1">
      <c r="A463" s="14">
        <v>2084046903</v>
      </c>
      <c r="B463" s="14" t="s">
        <v>46</v>
      </c>
      <c r="C463" s="14" t="s">
        <v>3313</v>
      </c>
      <c r="D463" s="5" t="str">
        <f ca="1">IFERROR(__xludf.DUMMYFUNCTION("GOOGLETRANSLATE(B463,""ja"",""vi"")"),"nếu không thì")</f>
        <v>nếu không thì</v>
      </c>
      <c r="E463" s="4" t="str">
        <f ca="1">IFERROR(__xludf.DUMMYFUNCTION("GOOGLETRANSLATE(C463,""ja"",""vi"")"),"Đấu giá&gt; đồ chơi, trò chơi&gt; hình&gt; SF, tưởng tượng, kinh dị&gt; Khác")</f>
        <v>Đấu giá&gt; đồ chơi, trò chơi&gt; hình&gt; SF, tưởng tượng, kinh dị&gt; Khác</v>
      </c>
      <c r="F463" t="str">
        <f t="shared" ca="1" si="7"/>
        <v>"2084046903" : "nếu không thì",</v>
      </c>
    </row>
    <row r="464" spans="1:6" ht="15.75" customHeight="1">
      <c r="A464" s="14">
        <v>2084023775</v>
      </c>
      <c r="B464" s="14" t="s">
        <v>3317</v>
      </c>
      <c r="C464" s="14" t="s">
        <v>3318</v>
      </c>
      <c r="D464" s="5" t="str">
        <f ca="1">IFERROR(__xludf.DUMMYFUNCTION("GOOGLETRANSLATE(B464,""ja"",""vi"")"),"X-Men")</f>
        <v>X-Men</v>
      </c>
      <c r="E464" s="4" t="str">
        <f ca="1">IFERROR(__xludf.DUMMYFUNCTION("GOOGLETRANSLATE(C464,""ja"",""vi"")"),"Đấu giá&gt; Đồ chơi, trò chơi&gt; Hình&gt; Mỹ truyện tranh&gt; X-Men")</f>
        <v>Đấu giá&gt; Đồ chơi, trò chơi&gt; Hình&gt; Mỹ truyện tranh&gt; X-Men</v>
      </c>
      <c r="F464" t="str">
        <f t="shared" ca="1" si="7"/>
        <v>"2084023775" : "X-Men",</v>
      </c>
    </row>
    <row r="465" spans="1:6" ht="15.75" customHeight="1">
      <c r="A465" s="14">
        <v>2084023772</v>
      </c>
      <c r="B465" s="14" t="s">
        <v>3322</v>
      </c>
      <c r="C465" s="14" t="s">
        <v>3324</v>
      </c>
      <c r="D465" s="5" t="str">
        <f ca="1">IFERROR(__xludf.DUMMYFUNCTION("GOOGLETRANSLATE(B465,""ja"",""vi"")"),"siêu nhân")</f>
        <v>siêu nhân</v>
      </c>
      <c r="E465" s="4" t="str">
        <f ca="1">IFERROR(__xludf.DUMMYFUNCTION("GOOGLETRANSLATE(C465,""ja"",""vi"")"),"Đấu giá&gt; Đồ chơi, trò chơi&gt; Hình&gt; truyện tranh Mỹ&gt; Superman")</f>
        <v>Đấu giá&gt; Đồ chơi, trò chơi&gt; Hình&gt; truyện tranh Mỹ&gt; Superman</v>
      </c>
      <c r="F465" t="str">
        <f t="shared" ca="1" si="7"/>
        <v>"2084023772" : "siêu nhân",</v>
      </c>
    </row>
    <row r="466" spans="1:6" ht="15.75" customHeight="1">
      <c r="A466" s="14">
        <v>2084023771</v>
      </c>
      <c r="B466" s="14" t="s">
        <v>3327</v>
      </c>
      <c r="C466" s="14" t="s">
        <v>3328</v>
      </c>
      <c r="D466" s="5" t="str">
        <f ca="1">IFERROR(__xludf.DUMMYFUNCTION("GOOGLETRANSLATE(B466,""ja"",""vi"")"),"Spider man")</f>
        <v>Spider man</v>
      </c>
      <c r="E466" s="4" t="str">
        <f ca="1">IFERROR(__xludf.DUMMYFUNCTION("GOOGLETRANSLATE(C466,""ja"",""vi"")"),"Đấu giá&gt; Đồ chơi, trò chơi&gt; Hình&gt; Mỹ truyện tranh&gt; Spider-Man")</f>
        <v>Đấu giá&gt; Đồ chơi, trò chơi&gt; Hình&gt; Mỹ truyện tranh&gt; Spider-Man</v>
      </c>
      <c r="F466" t="str">
        <f t="shared" ca="1" si="7"/>
        <v>"2084023771" : "Spider man",</v>
      </c>
    </row>
    <row r="467" spans="1:6" ht="15.75" customHeight="1">
      <c r="A467" s="14">
        <v>2084040694</v>
      </c>
      <c r="B467" s="14" t="s">
        <v>3333</v>
      </c>
      <c r="C467" s="14" t="s">
        <v>3335</v>
      </c>
      <c r="D467" s="5" t="str">
        <f ca="1">IFERROR(__xludf.DUMMYFUNCTION("GOOGLETRANSLATE(B467,""ja"",""vi"")"),"đẻ trứng")</f>
        <v>đẻ trứng</v>
      </c>
      <c r="E467" s="4" t="str">
        <f ca="1">IFERROR(__xludf.DUMMYFUNCTION("GOOGLETRANSLATE(C467,""ja"",""vi"")"),"Đấu giá&gt; Đồ chơi, trò chơi&gt; Hình&gt; Mỹ truyện tranh&gt; spawn")</f>
        <v>Đấu giá&gt; Đồ chơi, trò chơi&gt; Hình&gt; Mỹ truyện tranh&gt; spawn</v>
      </c>
      <c r="F467" t="str">
        <f t="shared" ca="1" si="7"/>
        <v>"2084040694" : "đẻ trứng",</v>
      </c>
    </row>
    <row r="468" spans="1:6" ht="15.75" customHeight="1">
      <c r="A468" s="14">
        <v>2084023773</v>
      </c>
      <c r="B468" s="14" t="s">
        <v>3342</v>
      </c>
      <c r="C468" s="14" t="s">
        <v>3344</v>
      </c>
      <c r="D468" s="5" t="str">
        <f ca="1">IFERROR(__xludf.DUMMYFUNCTION("GOOGLETRANSLATE(B468,""ja"",""vi"")"),"người phi thường")</f>
        <v>người phi thường</v>
      </c>
      <c r="E468" s="4" t="str">
        <f ca="1">IFERROR(__xludf.DUMMYFUNCTION("GOOGLETRANSLATE(C468,""ja"",""vi"")"),"Đấu giá&gt; Đồ chơi, trò chơi&gt; Hình&gt; truyện tranh Mỹ&gt; Batman")</f>
        <v>Đấu giá&gt; Đồ chơi, trò chơi&gt; Hình&gt; truyện tranh Mỹ&gt; Batman</v>
      </c>
      <c r="F468" t="str">
        <f t="shared" ca="1" si="7"/>
        <v>"2084023773" : "người phi thường",</v>
      </c>
    </row>
    <row r="469" spans="1:6" ht="15.75" customHeight="1">
      <c r="A469" s="14">
        <v>2084023777</v>
      </c>
      <c r="B469" s="14" t="s">
        <v>46</v>
      </c>
      <c r="C469" s="14" t="s">
        <v>3350</v>
      </c>
      <c r="D469" s="5" t="str">
        <f ca="1">IFERROR(__xludf.DUMMYFUNCTION("GOOGLETRANSLATE(B469,""ja"",""vi"")"),"nếu không thì")</f>
        <v>nếu không thì</v>
      </c>
      <c r="E469" s="4" t="str">
        <f ca="1">IFERROR(__xludf.DUMMYFUNCTION("GOOGLETRANSLATE(C469,""ja"",""vi"")"),"Đấu giá&gt; Đồ chơi, trò chơi&gt; Hình&gt; truyện tranh Mỹ&gt; Khác")</f>
        <v>Đấu giá&gt; Đồ chơi, trò chơi&gt; Hình&gt; truyện tranh Mỹ&gt; Khác</v>
      </c>
      <c r="F469" t="str">
        <f t="shared" ca="1" si="7"/>
        <v>"2084023777" : "nếu không thì",</v>
      </c>
    </row>
    <row r="470" spans="1:6" ht="15.75" customHeight="1">
      <c r="A470" s="14">
        <v>2084023792</v>
      </c>
      <c r="B470" s="14" t="s">
        <v>1262</v>
      </c>
      <c r="C470" s="14" t="s">
        <v>3356</v>
      </c>
      <c r="D470" s="5" t="str">
        <f ca="1">IFERROR(__xludf.DUMMYFUNCTION("GOOGLETRANSLATE(B470,""ja"",""vi"")"),"bóng đá")</f>
        <v>bóng đá</v>
      </c>
      <c r="E470" s="4" t="str">
        <f ca="1">IFERROR(__xludf.DUMMYFUNCTION("GOOGLETRANSLATE(C470,""ja"",""vi"")"),"Đấu giá&gt; Đồ chơi, trò chơi&gt; Hình&gt; Thể thao&gt; Bóng đá")</f>
        <v>Đấu giá&gt; Đồ chơi, trò chơi&gt; Hình&gt; Thể thao&gt; Bóng đá</v>
      </c>
      <c r="F470" t="str">
        <f t="shared" ca="1" si="7"/>
        <v>"2084023792" : "bóng đá",</v>
      </c>
    </row>
    <row r="471" spans="1:6" ht="15.75" customHeight="1">
      <c r="A471" s="14">
        <v>2084023793</v>
      </c>
      <c r="B471" s="14" t="s">
        <v>3362</v>
      </c>
      <c r="C471" s="14" t="s">
        <v>3363</v>
      </c>
      <c r="D471" s="5" t="str">
        <f ca="1">IFERROR(__xludf.DUMMYFUNCTION("GOOGLETRANSLATE(B471,""ja"",""vi"")"),"cái giỏ")</f>
        <v>cái giỏ</v>
      </c>
      <c r="E471" s="4" t="str">
        <f ca="1">IFERROR(__xludf.DUMMYFUNCTION("GOOGLETRANSLATE(C471,""ja"",""vi"")"),"Đấu giá&gt; Đồ chơi, trò chơi&gt; Hình&gt; Thể Thao&gt; giỏ")</f>
        <v>Đấu giá&gt; Đồ chơi, trò chơi&gt; Hình&gt; Thể Thao&gt; giỏ</v>
      </c>
      <c r="F471" t="str">
        <f t="shared" ca="1" si="7"/>
        <v>"2084023793" : "cái giỏ",</v>
      </c>
    </row>
    <row r="472" spans="1:6" ht="15.75" customHeight="1">
      <c r="A472" s="14">
        <v>2084023790</v>
      </c>
      <c r="B472" s="14" t="s">
        <v>3368</v>
      </c>
      <c r="C472" s="14" t="s">
        <v>3369</v>
      </c>
      <c r="D472" s="5" t="str">
        <f ca="1">IFERROR(__xludf.DUMMYFUNCTION("GOOGLETRANSLATE(B472,""ja"",""vi"")"),"Đấu vật, võ thuật")</f>
        <v>Đấu vật, võ thuật</v>
      </c>
      <c r="E472" s="4" t="str">
        <f ca="1">IFERROR(__xludf.DUMMYFUNCTION("GOOGLETRANSLATE(C472,""ja"",""vi"")"),"Đấu giá&gt; Đồ chơi, trò chơi&gt; Hình&gt; Thể thao&gt; Pro Wrestling, Võ")</f>
        <v>Đấu giá&gt; Đồ chơi, trò chơi&gt; Hình&gt; Thể thao&gt; Pro Wrestling, Võ</v>
      </c>
      <c r="F472" t="str">
        <f t="shared" ca="1" si="7"/>
        <v>"2084023790" : "Đấu vật, võ thuật",</v>
      </c>
    </row>
    <row r="473" spans="1:6" ht="15.75" customHeight="1">
      <c r="A473" s="14">
        <v>2084023791</v>
      </c>
      <c r="B473" s="14" t="s">
        <v>3375</v>
      </c>
      <c r="C473" s="14" t="s">
        <v>3377</v>
      </c>
      <c r="D473" s="5" t="str">
        <f ca="1">IFERROR(__xludf.DUMMYFUNCTION("GOOGLETRANSLATE(B473,""ja"",""vi"")"),"bóng chày chuyên nghiệp")</f>
        <v>bóng chày chuyên nghiệp</v>
      </c>
      <c r="E473" s="4" t="str">
        <f ca="1">IFERROR(__xludf.DUMMYFUNCTION("GOOGLETRANSLATE(C473,""ja"",""vi"")"),"Đấu giá&gt; Đồ chơi, trò chơi&gt; Hình&gt; Thể thao&gt; Bóng chày")</f>
        <v>Đấu giá&gt; Đồ chơi, trò chơi&gt; Hình&gt; Thể thao&gt; Bóng chày</v>
      </c>
      <c r="F473" t="str">
        <f t="shared" ca="1" si="7"/>
        <v>"2084023791" : "bóng chày chuyên nghiệp",</v>
      </c>
    </row>
    <row r="474" spans="1:6" ht="15.75" customHeight="1">
      <c r="A474" s="14">
        <v>2084023794</v>
      </c>
      <c r="B474" s="14" t="s">
        <v>46</v>
      </c>
      <c r="C474" s="14" t="s">
        <v>3384</v>
      </c>
      <c r="D474" s="5" t="str">
        <f ca="1">IFERROR(__xludf.DUMMYFUNCTION("GOOGLETRANSLATE(B474,""ja"",""vi"")"),"nếu không thì")</f>
        <v>nếu không thì</v>
      </c>
      <c r="E474" s="4" t="str">
        <f ca="1">IFERROR(__xludf.DUMMYFUNCTION("GOOGLETRANSLATE(C474,""ja"",""vi"")"),"Đấu giá&gt; Đồ chơi, trò chơi&gt; Hình&gt; Thể Thao&gt; Khác")</f>
        <v>Đấu giá&gt; Đồ chơi, trò chơi&gt; Hình&gt; Thể Thao&gt; Khác</v>
      </c>
      <c r="F474" t="str">
        <f t="shared" ca="1" si="7"/>
        <v>"2084023794" : "nếu không thì",</v>
      </c>
    </row>
    <row r="475" spans="1:6" ht="15.75" customHeight="1">
      <c r="A475" s="14">
        <v>2084023610</v>
      </c>
      <c r="B475" s="14" t="s">
        <v>3388</v>
      </c>
      <c r="C475" s="14" t="s">
        <v>3390</v>
      </c>
      <c r="D475" s="5" t="str">
        <f ca="1">IFERROR(__xludf.DUMMYFUNCTION("GOOGLETRANSLATE(B475,""ja"",""vi"")"),"G.I. Joe")</f>
        <v>G.I. Joe</v>
      </c>
      <c r="E475" s="4" t="str">
        <f ca="1">IFERROR(__xludf.DUMMYFUNCTION("GOOGLETRANSLATE(C475,""ja"",""vi"")"),"Đấu giá&gt; Đồ chơi, trò chơi&gt; Hình&gt; Quân sự&gt; G.I. Joe")</f>
        <v>Đấu giá&gt; Đồ chơi, trò chơi&gt; Hình&gt; Quân sự&gt; G.I. Joe</v>
      </c>
      <c r="F475" t="str">
        <f t="shared" ca="1" si="7"/>
        <v>"2084023610" : "G.I. Joe",</v>
      </c>
    </row>
    <row r="476" spans="1:6" ht="15.75" customHeight="1">
      <c r="A476" s="14">
        <v>2084236098</v>
      </c>
      <c r="B476" s="14" t="s">
        <v>3396</v>
      </c>
      <c r="C476" s="14" t="s">
        <v>3397</v>
      </c>
      <c r="D476" s="5" t="str">
        <f ca="1">IFERROR(__xludf.DUMMYFUNCTION("GOOGLETRANSLATE(B476,""ja"",""vi"")"),"Cô gái làm mát")</f>
        <v>Cô gái làm mát</v>
      </c>
      <c r="E476" s="4" t="str">
        <f ca="1">IFERROR(__xludf.DUMMYFUNCTION("GOOGLETRANSLATE(C476,""ja"",""vi"")"),"Đấu giá&gt; Đồ chơi, trò chơi&gt; Hình&gt; Quân sự&gt; Cool Girl")</f>
        <v>Đấu giá&gt; Đồ chơi, trò chơi&gt; Hình&gt; Quân sự&gt; Cool Girl</v>
      </c>
      <c r="F476" t="str">
        <f t="shared" ca="1" si="7"/>
        <v>"2084236098" : "Cô gái làm mát",</v>
      </c>
    </row>
    <row r="477" spans="1:6" ht="15.75" customHeight="1">
      <c r="A477" s="14">
        <v>2084023618</v>
      </c>
      <c r="B477" s="14" t="s">
        <v>3403</v>
      </c>
      <c r="C477" s="14" t="s">
        <v>3404</v>
      </c>
      <c r="D477" s="5" t="str">
        <f ca="1">IFERROR(__xludf.DUMMYFUNCTION("GOOGLETRANSLATE(B477,""ja"",""vi"")"),"quân phục, quần áo")</f>
        <v>quân phục, quần áo</v>
      </c>
      <c r="E477" s="4" t="str">
        <f ca="1">IFERROR(__xludf.DUMMYFUNCTION("GOOGLETRANSLATE(C477,""ja"",""vi"")"),"Đấu giá&gt; Đồ chơi, trò chơi&gt; Hình&gt; Quân sự&gt; quân phục, quần áo")</f>
        <v>Đấu giá&gt; Đồ chơi, trò chơi&gt; Hình&gt; Quân sự&gt; quân phục, quần áo</v>
      </c>
      <c r="F477" t="str">
        <f t="shared" ca="1" si="7"/>
        <v>"2084023618" : "quân phục, quần áo",</v>
      </c>
    </row>
    <row r="478" spans="1:6" ht="15.75" customHeight="1">
      <c r="A478" s="14">
        <v>2084023620</v>
      </c>
      <c r="B478" s="14" t="s">
        <v>3410</v>
      </c>
      <c r="C478" s="14" t="s">
        <v>3411</v>
      </c>
      <c r="D478" s="5" t="str">
        <f ca="1">IFERROR(__xludf.DUMMYFUNCTION("GOOGLETRANSLATE(B478,""ja"",""vi"")"),"xe cộ")</f>
        <v>xe cộ</v>
      </c>
      <c r="E478" s="4" t="str">
        <f ca="1">IFERROR(__xludf.DUMMYFUNCTION("GOOGLETRANSLATE(C478,""ja"",""vi"")"),"Đấu giá&gt; Đồ chơi, trò chơi&gt; Hình&gt; Quân sự&gt; Phương tiện đi lại")</f>
        <v>Đấu giá&gt; Đồ chơi, trò chơi&gt; Hình&gt; Quân sự&gt; Phương tiện đi lại</v>
      </c>
      <c r="F478" t="str">
        <f t="shared" ca="1" si="7"/>
        <v>"2084023620" : "xe cộ",</v>
      </c>
    </row>
    <row r="479" spans="1:6" ht="15.75" customHeight="1">
      <c r="A479" s="14">
        <v>2084023619</v>
      </c>
      <c r="B479" s="14" t="s">
        <v>3416</v>
      </c>
      <c r="C479" s="14" t="s">
        <v>3418</v>
      </c>
      <c r="D479" s="5" t="str">
        <f ca="1">IFERROR(__xludf.DUMMYFUNCTION("GOOGLETRANSLATE(B479,""ja"",""vi"")"),"Vũ khí, thiết bị cá nhân")</f>
        <v>Vũ khí, thiết bị cá nhân</v>
      </c>
      <c r="E479" s="4" t="str">
        <f ca="1">IFERROR(__xludf.DUMMYFUNCTION("GOOGLETRANSLATE(C479,""ja"",""vi"")"),"Đấu giá&gt; Đồ chơi, trò chơi&gt; Hình&gt; Quân sự&gt; Vũ khí, trang thiết bị cá nhân")</f>
        <v>Đấu giá&gt; Đồ chơi, trò chơi&gt; Hình&gt; Quân sự&gt; Vũ khí, trang thiết bị cá nhân</v>
      </c>
      <c r="F479" t="str">
        <f t="shared" ca="1" si="7"/>
        <v>"2084023619" : "Vũ khí, thiết bị cá nhân",</v>
      </c>
    </row>
    <row r="480" spans="1:6" ht="15.75" customHeight="1">
      <c r="A480" s="14">
        <v>2084023621</v>
      </c>
      <c r="B480" s="14" t="s">
        <v>46</v>
      </c>
      <c r="C480" s="14" t="s">
        <v>3423</v>
      </c>
      <c r="D480" s="5" t="str">
        <f ca="1">IFERROR(__xludf.DUMMYFUNCTION("GOOGLETRANSLATE(B480,""ja"",""vi"")"),"nếu không thì")</f>
        <v>nếu không thì</v>
      </c>
      <c r="E480" s="4" t="str">
        <f ca="1">IFERROR(__xludf.DUMMYFUNCTION("GOOGLETRANSLATE(C480,""ja"",""vi"")"),"Đấu giá&gt; Đồ chơi, trò chơi&gt; Hình&gt; Quân sự&gt; Khác")</f>
        <v>Đấu giá&gt; Đồ chơi, trò chơi&gt; Hình&gt; Quân sự&gt; Khác</v>
      </c>
      <c r="F480" t="str">
        <f t="shared" ca="1" si="7"/>
        <v>"2084023621" : "nếu không thì",</v>
      </c>
    </row>
    <row r="481" spans="1:6" ht="15.75" customHeight="1">
      <c r="A481" s="14">
        <v>2084020055</v>
      </c>
      <c r="B481" s="14" t="s">
        <v>3429</v>
      </c>
      <c r="C481" s="14" t="s">
        <v>3430</v>
      </c>
      <c r="D481" s="5" t="str">
        <f ca="1">IFERROR(__xludf.DUMMYFUNCTION("GOOGLETRANSLATE(B481,""ja"",""vi"")"),"Paddington Gấu")</f>
        <v>Paddington Gấu</v>
      </c>
      <c r="E481" s="4" t="str">
        <f ca="1">IFERROR(__xludf.DUMMYFUNCTION("GOOGLETRANSLATE(C481,""ja"",""vi"")"),"Đấu giá&gt; đồ chơi, trò chơi&gt; búp bê, búp bê nhân vật&gt; nhân vật búp bê&gt; Paddington Gấu")</f>
        <v>Đấu giá&gt; đồ chơi, trò chơi&gt; búp bê, búp bê nhân vật&gt; nhân vật búp bê&gt; Paddington Gấu</v>
      </c>
      <c r="F481" t="str">
        <f t="shared" ca="1" si="7"/>
        <v>"2084020055" : "Paddington Gấu",</v>
      </c>
    </row>
    <row r="482" spans="1:6" ht="15.75" customHeight="1">
      <c r="A482" s="14">
        <v>2084020052</v>
      </c>
      <c r="B482" s="14" t="s">
        <v>3434</v>
      </c>
      <c r="C482" s="14" t="s">
        <v>3436</v>
      </c>
      <c r="D482" s="5" t="str">
        <f ca="1">IFERROR(__xludf.DUMMYFUNCTION("GOOGLETRANSLATE(B482,""ja"",""vi"")"),"Babar voi")</f>
        <v>Babar voi</v>
      </c>
      <c r="E482" s="4" t="str">
        <f ca="1">IFERROR(__xludf.DUMMYFUNCTION("GOOGLETRANSLATE(C482,""ja"",""vi"")"),"Đấu giá&gt; đồ chơi, trò chơi&gt; búp bê, búp bê nhân vật&gt; nhân vật búp bê&gt; voi Babar")</f>
        <v>Đấu giá&gt; đồ chơi, trò chơi&gt; búp bê, búp bê nhân vật&gt; nhân vật búp bê&gt; voi Babar</v>
      </c>
      <c r="F482" t="str">
        <f t="shared" ca="1" si="7"/>
        <v>"2084020052" : "Babar voi",</v>
      </c>
    </row>
    <row r="483" spans="1:6" ht="15.75" customHeight="1">
      <c r="A483" s="14">
        <v>2084020034</v>
      </c>
      <c r="B483" s="14" t="s">
        <v>3441</v>
      </c>
      <c r="C483" s="14" t="s">
        <v>3444</v>
      </c>
      <c r="D483" s="5" t="str">
        <f ca="1">IFERROR(__xludf.DUMMYFUNCTION("GOOGLETRANSLATE(B483,""ja"",""vi"")"),"Tarepanda")</f>
        <v>Tarepanda</v>
      </c>
      <c r="E483" s="4" t="str">
        <f ca="1">IFERROR(__xludf.DUMMYFUNCTION("GOOGLETRANSLATE(C483,""ja"",""vi"")"),"Đấu giá&gt; đồ chơi, trò chơi&gt; búp bê, búp bê nhân vật&gt; nhân vật búp bê&gt; tarepanda")</f>
        <v>Đấu giá&gt; đồ chơi, trò chơi&gt; búp bê, búp bê nhân vật&gt; nhân vật búp bê&gt; tarepanda</v>
      </c>
      <c r="F483" t="str">
        <f t="shared" ca="1" si="7"/>
        <v>"2084020034" : "Tarepanda",</v>
      </c>
    </row>
    <row r="484" spans="1:6" ht="15.75" customHeight="1">
      <c r="A484" s="14">
        <v>2084020035</v>
      </c>
      <c r="B484" s="14" t="s">
        <v>922</v>
      </c>
      <c r="C484" s="14" t="s">
        <v>3450</v>
      </c>
      <c r="D484" s="5" t="str">
        <f ca="1">IFERROR(__xludf.DUMMYFUNCTION("GOOGLETRANSLATE(B484,""ja"",""vi"")"),"My Neighbor Totoro")</f>
        <v>My Neighbor Totoro</v>
      </c>
      <c r="E484" s="4" t="str">
        <f ca="1">IFERROR(__xludf.DUMMYFUNCTION("GOOGLETRANSLATE(C484,""ja"",""vi"")"),"Đấu giá&gt; đồ chơi, trò chơi&gt; búp bê, búp bê nhân vật&gt; nhân vật búp bê&gt; My Neighbor Totoro")</f>
        <v>Đấu giá&gt; đồ chơi, trò chơi&gt; búp bê, búp bê nhân vật&gt; nhân vật búp bê&gt; My Neighbor Totoro</v>
      </c>
      <c r="F484" t="str">
        <f t="shared" ca="1" si="7"/>
        <v>"2084020035" : "My Neighbor Totoro",</v>
      </c>
    </row>
    <row r="485" spans="1:6" ht="15.75" customHeight="1">
      <c r="A485" s="14">
        <v>2084020061</v>
      </c>
      <c r="B485" s="14" t="s">
        <v>3454</v>
      </c>
      <c r="C485" s="14" t="s">
        <v>3456</v>
      </c>
      <c r="D485" s="5" t="str">
        <f ca="1">IFERROR(__xludf.DUMMYFUNCTION("GOOGLETRANSLATE(B485,""ja"",""vi"")"),"Dokodemoissyo")</f>
        <v>Dokodemoissyo</v>
      </c>
      <c r="E485" s="4" t="str">
        <f ca="1">IFERROR(__xludf.DUMMYFUNCTION("GOOGLETRANSLATE(C485,""ja"",""vi"")"),"Đấu giá&gt; đồ chơi, trò chơi&gt; búp bê, búp bê nhân vật&gt; nhân vật búp bê&gt; Dokodemoissyo")</f>
        <v>Đấu giá&gt; đồ chơi, trò chơi&gt; búp bê, búp bê nhân vật&gt; nhân vật búp bê&gt; Dokodemoissyo</v>
      </c>
      <c r="F485" t="str">
        <f t="shared" ca="1" si="7"/>
        <v>"2084020061" : "Dokodemoissyo",</v>
      </c>
    </row>
    <row r="486" spans="1:6" ht="15.75" customHeight="1">
      <c r="A486" s="14">
        <v>2084020056</v>
      </c>
      <c r="B486" s="14" t="s">
        <v>3460</v>
      </c>
      <c r="C486" s="14" t="s">
        <v>3461</v>
      </c>
      <c r="D486" s="5" t="str">
        <f ca="1">IFERROR(__xludf.DUMMYFUNCTION("GOOGLETRANSLATE(B486,""ja"",""vi"")"),"Curious George")</f>
        <v>Curious George</v>
      </c>
      <c r="E486" s="4" t="str">
        <f ca="1">IFERROR(__xludf.DUMMYFUNCTION("GOOGLETRANSLATE(C486,""ja"",""vi"")"),"Đấu giá&gt; đồ chơi, trò chơi&gt; búp bê, búp bê nhân vật&gt; nhân vật búp bê&gt; Curious George")</f>
        <v>Đấu giá&gt; đồ chơi, trò chơi&gt; búp bê, búp bê nhân vật&gt; nhân vật búp bê&gt; Curious George</v>
      </c>
      <c r="F486" t="str">
        <f t="shared" ca="1" si="7"/>
        <v>"2084020056" : "Curious George",</v>
      </c>
    </row>
    <row r="487" spans="1:6" ht="15.75" customHeight="1">
      <c r="A487" s="14">
        <v>2084020050</v>
      </c>
      <c r="B487" s="14" t="s">
        <v>210</v>
      </c>
      <c r="C487" s="14" t="s">
        <v>3465</v>
      </c>
      <c r="D487" s="5" t="str">
        <f ca="1">IFERROR(__xludf.DUMMYFUNCTION("GOOGLETRANSLATE(B487,""ja"",""vi"")"),"Anpanman")</f>
        <v>Anpanman</v>
      </c>
      <c r="E487" s="4" t="str">
        <f ca="1">IFERROR(__xludf.DUMMYFUNCTION("GOOGLETRANSLATE(C487,""ja"",""vi"")"),"Đấu giá&gt; đồ chơi, trò chơi&gt; búp bê, búp bê nhân vật&gt; nhân vật búp bê&gt; Anpanman")</f>
        <v>Đấu giá&gt; đồ chơi, trò chơi&gt; búp bê, búp bê nhân vật&gt; nhân vật búp bê&gt; Anpanman</v>
      </c>
      <c r="F487" t="str">
        <f t="shared" ca="1" si="7"/>
        <v>"2084020050" : "Anpanman",</v>
      </c>
    </row>
    <row r="488" spans="1:6" ht="15.75" customHeight="1">
      <c r="A488" s="14">
        <v>2084020042</v>
      </c>
      <c r="B488" s="14" t="s">
        <v>3468</v>
      </c>
      <c r="C488" s="14" t="s">
        <v>3469</v>
      </c>
      <c r="D488" s="5" t="str">
        <f ca="1">IFERROR(__xludf.DUMMYFUNCTION("GOOGLETRANSLATE(B488,""ja"",""vi"")"),"chim gõ kiến")</f>
        <v>chim gõ kiến</v>
      </c>
      <c r="E488" s="4" t="str">
        <f ca="1">IFERROR(__xludf.DUMMYFUNCTION("GOOGLETRANSLATE(C488,""ja"",""vi"")"),"Đấu giá&gt; đồ chơi, trò chơi&gt; búp bê, búp bê nhân vật&gt; nhân vật búp bê&gt; chim gõ kiến")</f>
        <v>Đấu giá&gt; đồ chơi, trò chơi&gt; búp bê, búp bê nhân vật&gt; nhân vật búp bê&gt; chim gõ kiến</v>
      </c>
      <c r="F488" t="str">
        <f t="shared" ca="1" si="7"/>
        <v>"2084020042" : "chim gõ kiến",</v>
      </c>
    </row>
    <row r="489" spans="1:6" ht="15.75" customHeight="1">
      <c r="A489" s="14">
        <v>2084020047</v>
      </c>
      <c r="B489" s="14" t="s">
        <v>3473</v>
      </c>
      <c r="C489" s="14" t="s">
        <v>3474</v>
      </c>
      <c r="D489" s="5" t="str">
        <f ca="1">IFERROR(__xludf.DUMMYFUNCTION("GOOGLETRANSLATE(B489,""ja"",""vi"")"),"Q Taro của ma")</f>
        <v>Q Taro của ma</v>
      </c>
      <c r="E489" s="4" t="str">
        <f ca="1">IFERROR(__xludf.DUMMYFUNCTION("GOOGLETRANSLATE(C489,""ja"",""vi"")"),"Đấu giá&gt; đồ chơi, trò chơi&gt; búp bê, Q Taro của búp bê nhân vật&gt; nhân vật búp bê&gt; ma")</f>
        <v>Đấu giá&gt; đồ chơi, trò chơi&gt; búp bê, Q Taro của búp bê nhân vật&gt; nhân vật búp bê&gt; ma</v>
      </c>
      <c r="F489" t="str">
        <f t="shared" ca="1" si="7"/>
        <v>"2084020047" : "Q Taro của ma",</v>
      </c>
    </row>
    <row r="490" spans="1:6" ht="15.75" customHeight="1">
      <c r="A490" s="14">
        <v>2084020036</v>
      </c>
      <c r="B490" s="14" t="s">
        <v>3479</v>
      </c>
      <c r="C490" s="14" t="s">
        <v>3481</v>
      </c>
      <c r="D490" s="5" t="str">
        <f ca="1">IFERROR(__xludf.DUMMYFUNCTION("GOOGLETRANSLATE(B490,""ja"",""vi"")"),"Garfield")</f>
        <v>Garfield</v>
      </c>
      <c r="E490" s="4" t="str">
        <f ca="1">IFERROR(__xludf.DUMMYFUNCTION("GOOGLETRANSLATE(C490,""ja"",""vi"")"),"Đấu giá&gt; đồ chơi, trò chơi&gt; búp bê, búp bê nhân vật&gt; nhân vật búp bê&gt; Garfield")</f>
        <v>Đấu giá&gt; đồ chơi, trò chơi&gt; búp bê, búp bê nhân vật&gt; nhân vật búp bê&gt; Garfield</v>
      </c>
      <c r="F490" t="str">
        <f t="shared" ca="1" si="7"/>
        <v>"2084020036" : "Garfield",</v>
      </c>
    </row>
    <row r="491" spans="1:6" ht="15.75" customHeight="1">
      <c r="A491" s="14">
        <v>2084020037</v>
      </c>
      <c r="B491" s="14" t="s">
        <v>3488</v>
      </c>
      <c r="C491" s="14" t="s">
        <v>3489</v>
      </c>
      <c r="D491" s="5" t="str">
        <f ca="1">IFERROR(__xludf.DUMMYFUNCTION("GOOGLETRANSLATE(B491,""ja"",""vi"")"),"Casper")</f>
        <v>Casper</v>
      </c>
      <c r="E491" s="4" t="str">
        <f ca="1">IFERROR(__xludf.DUMMYFUNCTION("GOOGLETRANSLATE(C491,""ja"",""vi"")"),"Đấu giá&gt; đồ chơi, trò chơi&gt; búp bê, búp bê nhân vật&gt; nhân vật búp bê&gt; Casper")</f>
        <v>Đấu giá&gt; đồ chơi, trò chơi&gt; búp bê, búp bê nhân vật&gt; nhân vật búp bê&gt; Casper</v>
      </c>
      <c r="F491" t="str">
        <f t="shared" ca="1" si="7"/>
        <v>"2084020037" : "Casper",</v>
      </c>
    </row>
    <row r="492" spans="1:6" ht="15.75" customHeight="1">
      <c r="A492" s="14">
        <v>2084020016</v>
      </c>
      <c r="B492" s="14" t="s">
        <v>3495</v>
      </c>
      <c r="C492" s="14" t="s">
        <v>3498</v>
      </c>
      <c r="D492" s="5" t="str">
        <f ca="1">IFERROR(__xludf.DUMMYFUNCTION("GOOGLETRANSLATE(B492,""ja"",""vi"")"),"Kewpie")</f>
        <v>Kewpie</v>
      </c>
      <c r="E492" s="4" t="str">
        <f ca="1">IFERROR(__xludf.DUMMYFUNCTION("GOOGLETRANSLATE(C492,""ja"",""vi"")"),"Đấu giá&gt; đồ chơi, trò chơi&gt; búp bê, búp bê nhân vật&gt; nhân vật búp bê&gt; Kewpie")</f>
        <v>Đấu giá&gt; đồ chơi, trò chơi&gt; búp bê, búp bê nhân vật&gt; nhân vật búp bê&gt; Kewpie</v>
      </c>
      <c r="F492" t="str">
        <f t="shared" ca="1" si="7"/>
        <v>"2084020016" : "Kewpie",</v>
      </c>
    </row>
    <row r="493" spans="1:6" ht="15.75" customHeight="1">
      <c r="A493" s="14">
        <v>2084048015</v>
      </c>
      <c r="B493" s="14" t="s">
        <v>3502</v>
      </c>
      <c r="C493" s="14" t="s">
        <v>3505</v>
      </c>
      <c r="D493" s="5" t="str">
        <f ca="1">IFERROR(__xludf.DUMMYFUNCTION("GOOGLETRANSLATE(B493,""ja"",""vi"")"),"Kubrick, gạch trần")</f>
        <v>Kubrick, gạch trần</v>
      </c>
      <c r="E493" s="4" t="str">
        <f ca="1">IFERROR(__xludf.DUMMYFUNCTION("GOOGLETRANSLATE(C493,""ja"",""vi"")"),"Đấu giá&gt; đồ chơi, trò chơi&gt; búp bê, búp bê nhân vật&gt; nhân vật búp bê&gt; Kubrick, gạch trần")</f>
        <v>Đấu giá&gt; đồ chơi, trò chơi&gt; búp bê, búp bê nhân vật&gt; nhân vật búp bê&gt; Kubrick, gạch trần</v>
      </c>
      <c r="F493" t="str">
        <f t="shared" ca="1" si="7"/>
        <v>"2084048015" : "Kubrick, gạch trần",</v>
      </c>
    </row>
    <row r="494" spans="1:6" ht="15.75" customHeight="1">
      <c r="A494" s="14">
        <v>2084020058</v>
      </c>
      <c r="B494" s="14" t="s">
        <v>3511</v>
      </c>
      <c r="C494" s="14" t="s">
        <v>3512</v>
      </c>
      <c r="D494" s="5" t="str">
        <f ca="1">IFERROR(__xludf.DUMMYFUNCTION("GOOGLETRANSLATE(B494,""ja"",""vi"")"),"Gremlin")</f>
        <v>Gremlin</v>
      </c>
      <c r="E494" s="4" t="str">
        <f ca="1">IFERROR(__xludf.DUMMYFUNCTION("GOOGLETRANSLATE(C494,""ja"",""vi"")"),"Đấu giá&gt; đồ chơi, trò chơi&gt; búp bê, búp bê nhân vật&gt; nhân vật búp bê&gt; Gremlin")</f>
        <v>Đấu giá&gt; đồ chơi, trò chơi&gt; búp bê, búp bê nhân vật&gt; nhân vật búp bê&gt; Gremlin</v>
      </c>
      <c r="F494" t="str">
        <f t="shared" ca="1" si="7"/>
        <v>"2084020058" : "Gremlin",</v>
      </c>
    </row>
    <row r="495" spans="1:6" ht="15.75" customHeight="1">
      <c r="A495" s="14">
        <v>2084020043</v>
      </c>
      <c r="B495" s="14" t="s">
        <v>3518</v>
      </c>
      <c r="C495" s="14" t="s">
        <v>3519</v>
      </c>
      <c r="D495" s="5" t="str">
        <f ca="1">IFERROR(__xludf.DUMMYFUNCTION("GOOGLETRANSLATE(B495,""ja"",""vi"")"),"Ken Ken")</f>
        <v>Ken Ken</v>
      </c>
      <c r="E495" s="4" t="str">
        <f ca="1">IFERROR(__xludf.DUMMYFUNCTION("GOOGLETRANSLATE(C495,""ja"",""vi"")"),"Đấu giá&gt; đồ chơi, trò chơi&gt; búp bê, búp bê nhân vật&gt; nhân vật búp bê&gt; Ken Ken")</f>
        <v>Đấu giá&gt; đồ chơi, trò chơi&gt; búp bê, búp bê nhân vật&gt; nhân vật búp bê&gt; Ken Ken</v>
      </c>
      <c r="F495" t="str">
        <f t="shared" ca="1" si="7"/>
        <v>"2084020043" : "Ken Ken",</v>
      </c>
    </row>
    <row r="496" spans="1:6" ht="15.75" customHeight="1">
      <c r="A496" s="14">
        <v>2084005261</v>
      </c>
      <c r="B496" s="14" t="s">
        <v>3526</v>
      </c>
      <c r="C496" s="14" t="s">
        <v>3528</v>
      </c>
      <c r="D496" s="5" t="str">
        <f ca="1">IFERROR(__xludf.DUMMYFUNCTION("GOOGLETRANSLATE(B496,""ja"",""vi"")"),"Gia đình Sylvanian")</f>
        <v>Gia đình Sylvanian</v>
      </c>
      <c r="E496" s="4" t="str">
        <f ca="1">IFERROR(__xludf.DUMMYFUNCTION("GOOGLETRANSLATE(C496,""ja"",""vi"")"),"Đấu giá&gt; đồ chơi, trò chơi&gt; búp bê, búp bê nhân vật&gt; nhân vật búp bê&gt; Gia đình Sylvanian")</f>
        <v>Đấu giá&gt; đồ chơi, trò chơi&gt; búp bê, búp bê nhân vật&gt; nhân vật búp bê&gt; Gia đình Sylvanian</v>
      </c>
      <c r="F496" t="str">
        <f t="shared" ca="1" si="7"/>
        <v>"2084005261" : "Gia đình Sylvanian",</v>
      </c>
    </row>
    <row r="497" spans="1:6" ht="15.75" customHeight="1">
      <c r="A497" s="14">
        <v>2084020051</v>
      </c>
      <c r="B497" s="14" t="s">
        <v>3534</v>
      </c>
      <c r="C497" s="14" t="s">
        <v>3535</v>
      </c>
      <c r="D497" s="5" t="str">
        <f ca="1">IFERROR(__xludf.DUMMYFUNCTION("GOOGLETRANSLATE(B497,""ja"",""vi"")"),"người tuyết được nắn")</f>
        <v>người tuyết được nắn</v>
      </c>
      <c r="E497" s="4" t="str">
        <f ca="1">IFERROR(__xludf.DUMMYFUNCTION("GOOGLETRANSLATE(C497,""ja"",""vi"")"),"Đấu giá&gt; đồ chơi, trò chơi&gt; búp bê, búp bê nhân vật&gt; nhân vật búp bê&gt; snowman")</f>
        <v>Đấu giá&gt; đồ chơi, trò chơi&gt; búp bê, búp bê nhân vật&gt; nhân vật búp bê&gt; snowman</v>
      </c>
      <c r="F497" t="str">
        <f t="shared" ca="1" si="7"/>
        <v>"2084020051" : "người tuyết được nắn",</v>
      </c>
    </row>
    <row r="498" spans="1:6" ht="15.75" customHeight="1">
      <c r="A498" s="14">
        <v>2084034100</v>
      </c>
      <c r="B498" s="14" t="s">
        <v>3541</v>
      </c>
      <c r="C498" s="14" t="s">
        <v>3542</v>
      </c>
      <c r="D498" s="5" t="str">
        <f ca="1">IFERROR(__xludf.DUMMYFUNCTION("GOOGLETRANSLATE(B498,""ja"",""vi"")"),"The Smurfs")</f>
        <v>The Smurfs</v>
      </c>
      <c r="E498" s="4" t="str">
        <f ca="1">IFERROR(__xludf.DUMMYFUNCTION("GOOGLETRANSLATE(C498,""ja"",""vi"")"),"Đấu giá&gt; đồ chơi, trò chơi&gt; búp bê, búp bê nhân vật&gt; nhân vật búp bê&gt; The Smurfs")</f>
        <v>Đấu giá&gt; đồ chơi, trò chơi&gt; búp bê, búp bê nhân vật&gt; nhân vật búp bê&gt; The Smurfs</v>
      </c>
      <c r="F498" t="str">
        <f t="shared" ca="1" si="7"/>
        <v>"2084034100" : "The Smurfs",</v>
      </c>
    </row>
    <row r="499" spans="1:6" ht="15.75" customHeight="1">
      <c r="A499" s="14">
        <v>2084020044</v>
      </c>
      <c r="B499" s="14" t="s">
        <v>3546</v>
      </c>
      <c r="C499" s="14" t="s">
        <v>3547</v>
      </c>
      <c r="D499" s="5" t="str">
        <f ca="1">IFERROR(__xludf.DUMMYFUNCTION("GOOGLETRANSLATE(B499,""ja"",""vi"")"),"Sesame Street")</f>
        <v>Sesame Street</v>
      </c>
      <c r="E499" s="4" t="str">
        <f ca="1">IFERROR(__xludf.DUMMYFUNCTION("GOOGLETRANSLATE(C499,""ja"",""vi"")"),"Đấu giá&gt; đồ chơi, trò chơi&gt; búp bê, búp bê nhân vật&gt; nhân vật búp bê&gt; Sesame Street")</f>
        <v>Đấu giá&gt; đồ chơi, trò chơi&gt; búp bê, búp bê nhân vật&gt; nhân vật búp bê&gt; Sesame Street</v>
      </c>
      <c r="F499" t="str">
        <f t="shared" ca="1" si="7"/>
        <v>"2084020044" : "Sesame Street",</v>
      </c>
    </row>
    <row r="500" spans="1:6" ht="15.75" customHeight="1">
      <c r="A500" s="14">
        <v>2084040586</v>
      </c>
      <c r="B500" s="14" t="s">
        <v>3553</v>
      </c>
      <c r="C500" s="14" t="s">
        <v>3555</v>
      </c>
      <c r="D500" s="5" t="str">
        <f ca="1">IFERROR(__xludf.DUMMYFUNCTION("GOOGLETRANSLATE(B500,""ja"",""vi"")"),"Hug-chan")</f>
        <v>Hug-chan</v>
      </c>
      <c r="E500" s="4" t="str">
        <f ca="1">IFERROR(__xludf.DUMMYFUNCTION("GOOGLETRANSLATE(C500,""ja"",""vi"")"),"Đấu giá&gt; đồ chơi, trò chơi&gt; búp bê, búp bê nhân vật&gt; nhân vật búp bê&gt; ôm-chan")</f>
        <v>Đấu giá&gt; đồ chơi, trò chơi&gt; búp bê, búp bê nhân vật&gt; nhân vật búp bê&gt; ôm-chan</v>
      </c>
      <c r="F500" t="str">
        <f t="shared" ca="1" si="7"/>
        <v>"2084040586" : "Hug-chan",</v>
      </c>
    </row>
    <row r="501" spans="1:6" ht="15.75" customHeight="1">
      <c r="A501" s="14">
        <v>2084020045</v>
      </c>
      <c r="B501" s="14" t="s">
        <v>3559</v>
      </c>
      <c r="C501" s="14" t="s">
        <v>3561</v>
      </c>
      <c r="D501" s="5" t="str">
        <f ca="1">IFERROR(__xludf.DUMMYFUNCTION("GOOGLETRANSLATE(B501,""ja"",""vi"")"),"Teletubbies")</f>
        <v>Teletubbies</v>
      </c>
      <c r="E501" s="4" t="str">
        <f ca="1">IFERROR(__xludf.DUMMYFUNCTION("GOOGLETRANSLATE(C501,""ja"",""vi"")"),"Đấu giá&gt; đồ chơi, trò chơi&gt; búp bê, búp bê nhân vật&gt; nhân vật búp bê&gt; Teletubbies")</f>
        <v>Đấu giá&gt; đồ chơi, trò chơi&gt; búp bê, búp bê nhân vật&gt; nhân vật búp bê&gt; Teletubbies</v>
      </c>
      <c r="F501" t="str">
        <f t="shared" ca="1" si="7"/>
        <v>"2084020045" : "Teletubbies",</v>
      </c>
    </row>
    <row r="502" spans="1:6" ht="15.75" customHeight="1">
      <c r="A502" s="14">
        <v>27587</v>
      </c>
      <c r="B502" s="14" t="s">
        <v>2828</v>
      </c>
      <c r="C502" s="14" t="s">
        <v>3567</v>
      </c>
      <c r="D502" s="5" t="str">
        <f ca="1">IFERROR(__xludf.DUMMYFUNCTION("GOOGLETRANSLATE(B502,""ja"",""vi"")"),"Disney")</f>
        <v>Disney</v>
      </c>
      <c r="E502" s="4" t="str">
        <f ca="1">IFERROR(__xludf.DUMMYFUNCTION("GOOGLETRANSLATE(C502,""ja"",""vi"")"),"Đấu giá&gt; đồ chơi, trò chơi&gt; búp bê, búp bê nhân vật&gt; nhân vật búp bê&gt; Disney")</f>
        <v>Đấu giá&gt; đồ chơi, trò chơi&gt; búp bê, búp bê nhân vật&gt; nhân vật búp bê&gt; Disney</v>
      </c>
      <c r="F502" t="str">
        <f t="shared" ca="1" si="7"/>
        <v>"27587" : "Disney",</v>
      </c>
    </row>
    <row r="503" spans="1:6" ht="15.75" customHeight="1">
      <c r="A503" s="14">
        <v>2084020046</v>
      </c>
      <c r="B503" s="14" t="s">
        <v>3571</v>
      </c>
      <c r="C503" s="14" t="s">
        <v>3572</v>
      </c>
      <c r="D503" s="5" t="str">
        <f ca="1">IFERROR(__xludf.DUMMYFUNCTION("GOOGLETRANSLATE(B503,""ja"",""vi"")"),"topo Gigio")</f>
        <v>topo Gigio</v>
      </c>
      <c r="E503" s="4" t="str">
        <f ca="1">IFERROR(__xludf.DUMMYFUNCTION("GOOGLETRANSLATE(C503,""ja"",""vi"")"),"Đấu giá&gt; đồ chơi, trò chơi&gt; búp bê, búp bê nhân vật&gt; nhân vật búp bê&gt; Topo Gigio")</f>
        <v>Đấu giá&gt; đồ chơi, trò chơi&gt; búp bê, búp bê nhân vật&gt; nhân vật búp bê&gt; Topo Gigio</v>
      </c>
      <c r="F503" t="str">
        <f t="shared" ca="1" si="7"/>
        <v>"2084020046" : "topo Gigio",</v>
      </c>
    </row>
    <row r="504" spans="1:6" ht="15.75" customHeight="1">
      <c r="A504" s="14">
        <v>2084020041</v>
      </c>
      <c r="B504" s="14" t="s">
        <v>3575</v>
      </c>
      <c r="C504" s="14" t="s">
        <v>3576</v>
      </c>
      <c r="D504" s="5" t="str">
        <f ca="1">IFERROR(__xludf.DUMMYFUNCTION("GOOGLETRANSLATE(B504,""ja"",""vi"")"),"Tom &amp; Jerry")</f>
        <v>Tom &amp; Jerry</v>
      </c>
      <c r="E504" s="4" t="str">
        <f ca="1">IFERROR(__xludf.DUMMYFUNCTION("GOOGLETRANSLATE(C504,""ja"",""vi"")"),"Đấu giá&gt; đồ chơi, trò chơi&gt; búp bê, búp bê nhân vật&gt; nhân vật búp bê&gt; Tom &amp; Jerry")</f>
        <v>Đấu giá&gt; đồ chơi, trò chơi&gt; búp bê, búp bê nhân vật&gt; nhân vật búp bê&gt; Tom &amp; Jerry</v>
      </c>
      <c r="F504" t="str">
        <f t="shared" ca="1" si="7"/>
        <v>"2084020041" : "Tom &amp; Jerry",</v>
      </c>
    </row>
    <row r="505" spans="1:6" ht="15.75" customHeight="1">
      <c r="A505" s="14">
        <v>2084020048</v>
      </c>
      <c r="B505" s="14" t="s">
        <v>1049</v>
      </c>
      <c r="C505" s="14" t="s">
        <v>3579</v>
      </c>
      <c r="D505" s="5" t="str">
        <f ca="1">IFERROR(__xludf.DUMMYFUNCTION("GOOGLETRANSLATE(B505,""ja"",""vi"")"),"Doraemon")</f>
        <v>Doraemon</v>
      </c>
      <c r="E505" s="4" t="str">
        <f ca="1">IFERROR(__xludf.DUMMYFUNCTION("GOOGLETRANSLATE(C505,""ja"",""vi"")"),"Đấu giá&gt; đồ chơi, trò chơi&gt; búp bê, búp bê nhân vật&gt; nhân vật búp bê&gt; Doraemon")</f>
        <v>Đấu giá&gt; đồ chơi, trò chơi&gt; búp bê, búp bê nhân vật&gt; nhân vật búp bê&gt; Doraemon</v>
      </c>
      <c r="F505" t="str">
        <f t="shared" ca="1" si="7"/>
        <v>"2084020048" : "Doraemon",</v>
      </c>
    </row>
    <row r="506" spans="1:6" ht="15.75" customHeight="1">
      <c r="A506" s="14">
        <v>2084020033</v>
      </c>
      <c r="B506" s="14" t="s">
        <v>1265</v>
      </c>
      <c r="C506" s="14" t="s">
        <v>3582</v>
      </c>
      <c r="D506" s="5" t="str">
        <f ca="1">IFERROR(__xludf.DUMMYFUNCTION("GOOGLETRANSLATE(B506,""ja"",""vi"")"),"Hello Kitty")</f>
        <v>Hello Kitty</v>
      </c>
      <c r="E506" s="4" t="str">
        <f ca="1">IFERROR(__xludf.DUMMYFUNCTION("GOOGLETRANSLATE(C506,""ja"",""vi"")"),"Đấu giá&gt; đồ chơi, trò chơi&gt; búp bê, búp bê nhân vật&gt; nhân vật búp bê&gt; Hello Kitty")</f>
        <v>Đấu giá&gt; đồ chơi, trò chơi&gt; búp bê, búp bê nhân vật&gt; nhân vật búp bê&gt; Hello Kitty</v>
      </c>
      <c r="F506" t="str">
        <f t="shared" ca="1" si="7"/>
        <v>"2084020033" : "Hello Kitty",</v>
      </c>
    </row>
    <row r="507" spans="1:6" ht="15.75" customHeight="1">
      <c r="A507" s="14">
        <v>2084020057</v>
      </c>
      <c r="B507" s="14" t="s">
        <v>3585</v>
      </c>
      <c r="C507" s="14" t="s">
        <v>3586</v>
      </c>
      <c r="D507" s="5" t="str">
        <f ca="1">IFERROR(__xludf.DUMMYFUNCTION("GOOGLETRANSLATE(B507,""ja"",""vi"")"),"Barbapapa")</f>
        <v>Barbapapa</v>
      </c>
      <c r="E507" s="4" t="str">
        <f ca="1">IFERROR(__xludf.DUMMYFUNCTION("GOOGLETRANSLATE(C507,""ja"",""vi"")"),"Đấu giá&gt; đồ chơi, trò chơi&gt; búp bê, búp bê nhân vật&gt; nhân vật búp bê&gt; Barbapapa")</f>
        <v>Đấu giá&gt; đồ chơi, trò chơi&gt; búp bê, búp bê nhân vật&gt; nhân vật búp bê&gt; Barbapapa</v>
      </c>
      <c r="F507" t="str">
        <f t="shared" ca="1" si="7"/>
        <v>"2084020057" : "Barbapapa",</v>
      </c>
    </row>
    <row r="508" spans="1:6" ht="15.75" customHeight="1">
      <c r="A508" s="14">
        <v>2084020053</v>
      </c>
      <c r="B508" s="14" t="s">
        <v>3589</v>
      </c>
      <c r="C508" s="14" t="s">
        <v>3590</v>
      </c>
      <c r="D508" s="5" t="str">
        <f ca="1">IFERROR(__xludf.DUMMYFUNCTION("GOOGLETRANSLATE(B508,""ja"",""vi"")"),"Peter Rabbit")</f>
        <v>Peter Rabbit</v>
      </c>
      <c r="E508" s="4" t="str">
        <f ca="1">IFERROR(__xludf.DUMMYFUNCTION("GOOGLETRANSLATE(C508,""ja"",""vi"")"),"Đấu giá&gt; đồ chơi, trò chơi&gt; búp bê, búp bê nhân vật&gt; nhân vật búp bê&gt; Peter Rabbit")</f>
        <v>Đấu giá&gt; đồ chơi, trò chơi&gt; búp bê, búp bê nhân vật&gt; nhân vật búp bê&gt; Peter Rabbit</v>
      </c>
      <c r="F508" t="str">
        <f t="shared" ca="1" si="7"/>
        <v>"2084020053" : "Peter Rabbit",</v>
      </c>
    </row>
    <row r="509" spans="1:6" ht="15.75" customHeight="1">
      <c r="A509" s="14">
        <v>25966</v>
      </c>
      <c r="B509" s="14" t="s">
        <v>3595</v>
      </c>
      <c r="C509" s="14" t="s">
        <v>3597</v>
      </c>
      <c r="D509" s="5" t="str">
        <f ca="1">IFERROR(__xludf.DUMMYFUNCTION("GOOGLETRANSLATE(B509,""ja"",""vi"")"),"Đậu phộng, Snoopy")</f>
        <v>Đậu phộng, Snoopy</v>
      </c>
      <c r="E509" s="4" t="str">
        <f ca="1">IFERROR(__xludf.DUMMYFUNCTION("GOOGLETRANSLATE(C509,""ja"",""vi"")"),"Đấu giá&gt; đồ chơi, trò chơi&gt; búp bê, búp bê nhân vật&gt; nhân vật búp bê&gt; Đậu phộng, Snoopy")</f>
        <v>Đấu giá&gt; đồ chơi, trò chơi&gt; búp bê, búp bê nhân vật&gt; nhân vật búp bê&gt; Đậu phộng, Snoopy</v>
      </c>
      <c r="F509" t="str">
        <f t="shared" ca="1" si="7"/>
        <v>"25966" : "Đậu phộng, Snoopy",</v>
      </c>
    </row>
    <row r="510" spans="1:6" ht="15.75" customHeight="1">
      <c r="A510" s="14">
        <v>2084020040</v>
      </c>
      <c r="B510" s="14" t="s">
        <v>3603</v>
      </c>
      <c r="C510" s="14" t="s">
        <v>3605</v>
      </c>
      <c r="D510" s="5" t="str">
        <f ca="1">IFERROR(__xludf.DUMMYFUNCTION("GOOGLETRANSLATE(B510,""ja"",""vi"")"),"pink Panther")</f>
        <v>pink Panther</v>
      </c>
      <c r="E510" s="4" t="str">
        <f ca="1">IFERROR(__xludf.DUMMYFUNCTION("GOOGLETRANSLATE(C510,""ja"",""vi"")"),"Đấu giá&gt; đồ chơi, trò chơi&gt; búp bê, búp bê nhân vật&gt; nhân vật búp bê&gt; Pink Panther")</f>
        <v>Đấu giá&gt; đồ chơi, trò chơi&gt; búp bê, búp bê nhân vật&gt; nhân vật búp bê&gt; Pink Panther</v>
      </c>
      <c r="F510" t="str">
        <f t="shared" ca="1" si="7"/>
        <v>"2084020040" : "pink Panther",</v>
      </c>
    </row>
    <row r="511" spans="1:6" ht="15.75" customHeight="1">
      <c r="A511" s="14">
        <v>2084020039</v>
      </c>
      <c r="B511" s="14" t="s">
        <v>3607</v>
      </c>
      <c r="C511" s="14" t="s">
        <v>3610</v>
      </c>
      <c r="D511" s="5" t="str">
        <f ca="1">IFERROR(__xludf.DUMMYFUNCTION("GOOGLETRANSLATE(B511,""ja"",""vi"")"),"Pingu")</f>
        <v>Pingu</v>
      </c>
      <c r="E511" s="4" t="str">
        <f ca="1">IFERROR(__xludf.DUMMYFUNCTION("GOOGLETRANSLATE(C511,""ja"",""vi"")"),"Đấu giá&gt; đồ chơi, trò chơi&gt; búp bê, búp bê nhân vật&gt; nhân vật búp bê&gt; Pingu")</f>
        <v>Đấu giá&gt; đồ chơi, trò chơi&gt; búp bê, búp bê nhân vật&gt; nhân vật búp bê&gt; Pingu</v>
      </c>
      <c r="F511" t="str">
        <f t="shared" ca="1" si="7"/>
        <v>"2084020039" : "Pingu",</v>
      </c>
    </row>
    <row r="512" spans="1:6" ht="15.75" customHeight="1">
      <c r="A512" s="14">
        <v>2084020059</v>
      </c>
      <c r="B512" s="14" t="s">
        <v>3615</v>
      </c>
      <c r="C512" s="14" t="s">
        <v>3616</v>
      </c>
      <c r="D512" s="5" t="str">
        <f ca="1">IFERROR(__xludf.DUMMYFUNCTION("GOOGLETRANSLATE(B512,""ja"",""vi"")"),"vảy mủn trên da người bịnh")</f>
        <v>vảy mủn trên da người bịnh</v>
      </c>
      <c r="E512" s="4" t="str">
        <f ca="1">IFERROR(__xludf.DUMMYFUNCTION("GOOGLETRANSLATE(C512,""ja"",""vi"")"),"Đấu giá&gt; đồ chơi, trò chơi&gt; búp bê, búp bê nhân vật&gt; nhân vật búp bê&gt; furfur")</f>
        <v>Đấu giá&gt; đồ chơi, trò chơi&gt; búp bê, búp bê nhân vật&gt; nhân vật búp bê&gt; furfur</v>
      </c>
      <c r="F512" t="str">
        <f t="shared" ca="1" si="7"/>
        <v>"2084020059" : "vảy mủn trên da người bịnh",</v>
      </c>
    </row>
    <row r="513" spans="1:6" ht="15.75" customHeight="1">
      <c r="A513" s="14">
        <v>2084046540</v>
      </c>
      <c r="B513" s="14" t="s">
        <v>3622</v>
      </c>
      <c r="C513" s="14" t="s">
        <v>3623</v>
      </c>
      <c r="D513" s="5" t="str">
        <f ca="1">IFERROR(__xludf.DUMMYFUNCTION("GOOGLETRANSLATE(B513,""ja"",""vi"")"),"Bryce")</f>
        <v>Bryce</v>
      </c>
      <c r="E513" s="4" t="str">
        <f ca="1">IFERROR(__xludf.DUMMYFUNCTION("GOOGLETRANSLATE(C513,""ja"",""vi"")"),"Đấu giá&gt; đồ chơi, trò chơi&gt; búp bê, búp bê nhân vật&gt; nhân vật búp bê&gt; Blythe")</f>
        <v>Đấu giá&gt; đồ chơi, trò chơi&gt; búp bê, búp bê nhân vật&gt; nhân vật búp bê&gt; Blythe</v>
      </c>
      <c r="F513" t="str">
        <f t="shared" ca="1" si="7"/>
        <v>"2084046540" : "Bryce",</v>
      </c>
    </row>
    <row r="514" spans="1:6" ht="15.75" customHeight="1">
      <c r="A514" s="14">
        <v>2084049982</v>
      </c>
      <c r="B514" s="14" t="s">
        <v>3628</v>
      </c>
      <c r="C514" s="14" t="s">
        <v>3630</v>
      </c>
      <c r="D514" s="5" t="str">
        <f ca="1">IFERROR(__xludf.DUMMYFUNCTION("GOOGLETRANSLATE(B514,""ja"",""vi"")"),"Pullip")</f>
        <v>Pullip</v>
      </c>
      <c r="E514" s="4" t="str">
        <f ca="1">IFERROR(__xludf.DUMMYFUNCTION("GOOGLETRANSLATE(C514,""ja"",""vi"")"),"Đấu giá&gt; đồ chơi, trò chơi&gt; búp bê, búp bê nhân vật&gt; nhân vật búp bê&gt; Pullip")</f>
        <v>Đấu giá&gt; đồ chơi, trò chơi&gt; búp bê, búp bê nhân vật&gt; nhân vật búp bê&gt; Pullip</v>
      </c>
      <c r="F514" t="str">
        <f t="shared" ref="F514:F577" ca="1" si="8">CONCATENATE(CHAR(34)&amp;"",A514,""&amp;CHAR(34)," : ", CHAR(34)&amp;"",D514,""&amp;CHAR(34),",")</f>
        <v>"2084049982" : "Pullip",</v>
      </c>
    </row>
    <row r="515" spans="1:6" ht="15.75" customHeight="1">
      <c r="A515" s="14">
        <v>2084020060</v>
      </c>
      <c r="B515" s="14" t="s">
        <v>1382</v>
      </c>
      <c r="C515" s="14" t="s">
        <v>3633</v>
      </c>
      <c r="D515" s="5" t="str">
        <f ca="1">IFERROR(__xludf.DUMMYFUNCTION("GOOGLETRANSLATE(B515,""ja"",""vi"")"),"Pokemon")</f>
        <v>Pokemon</v>
      </c>
      <c r="E515" s="4" t="str">
        <f ca="1">IFERROR(__xludf.DUMMYFUNCTION("GOOGLETRANSLATE(C515,""ja"",""vi"")"),"Đấu giá&gt; đồ chơi, trò chơi&gt; búp bê, búp bê nhân vật&gt; nhân vật búp bê&gt; Pokemon")</f>
        <v>Đấu giá&gt; đồ chơi, trò chơi&gt; búp bê, búp bê nhân vật&gt; nhân vật búp bê&gt; Pokemon</v>
      </c>
      <c r="F515" t="str">
        <f t="shared" ca="1" si="8"/>
        <v>"2084020060" : "Pokemon",</v>
      </c>
    </row>
    <row r="516" spans="1:6" ht="15.75" customHeight="1">
      <c r="A516" s="14">
        <v>2084020038</v>
      </c>
      <c r="B516" s="14" t="s">
        <v>3637</v>
      </c>
      <c r="C516" s="14" t="s">
        <v>3640</v>
      </c>
      <c r="D516" s="5" t="str">
        <f ca="1">IFERROR(__xludf.DUMMYFUNCTION("GOOGLETRANSLATE(B516,""ja"",""vi"")"),"Popeye")</f>
        <v>Popeye</v>
      </c>
      <c r="E516" s="4" t="str">
        <f ca="1">IFERROR(__xludf.DUMMYFUNCTION("GOOGLETRANSLATE(C516,""ja"",""vi"")"),"Đấu giá&gt; đồ chơi, trò chơi&gt; búp bê, búp bê nhân vật&gt; nhân vật búp bê&gt; Popeye")</f>
        <v>Đấu giá&gt; đồ chơi, trò chơi&gt; búp bê, búp bê nhân vật&gt; nhân vật búp bê&gt; Popeye</v>
      </c>
      <c r="F516" t="str">
        <f t="shared" ca="1" si="8"/>
        <v>"2084020038" : "Popeye",</v>
      </c>
    </row>
    <row r="517" spans="1:6" ht="15.75" customHeight="1">
      <c r="A517" s="14">
        <v>2084020054</v>
      </c>
      <c r="B517" s="14" t="s">
        <v>3646</v>
      </c>
      <c r="C517" s="14" t="s">
        <v>3648</v>
      </c>
      <c r="D517" s="5" t="str">
        <f ca="1">IFERROR(__xludf.DUMMYFUNCTION("GOOGLETRANSLATE(B517,""ja"",""vi"")"),"Miffy")</f>
        <v>Miffy</v>
      </c>
      <c r="E517" s="4" t="str">
        <f ca="1">IFERROR(__xludf.DUMMYFUNCTION("GOOGLETRANSLATE(C517,""ja"",""vi"")"),"Đấu giá&gt; đồ chơi, trò chơi&gt; búp bê, búp bê nhân vật&gt; nhân vật búp bê&gt; Miffy")</f>
        <v>Đấu giá&gt; đồ chơi, trò chơi&gt; búp bê, búp bê nhân vật&gt; nhân vật búp bê&gt; Miffy</v>
      </c>
      <c r="F517" t="str">
        <f t="shared" ca="1" si="8"/>
        <v>"2084020054" : "Miffy",</v>
      </c>
    </row>
    <row r="518" spans="1:6" ht="15.75" customHeight="1">
      <c r="A518" s="14">
        <v>2084020049</v>
      </c>
      <c r="B518" s="14" t="s">
        <v>1517</v>
      </c>
      <c r="C518" s="14" t="s">
        <v>3654</v>
      </c>
      <c r="D518" s="5" t="str">
        <f ca="1">IFERROR(__xludf.DUMMYFUNCTION("GOOGLETRANSLATE(B518,""ja"",""vi"")"),"Moomin")</f>
        <v>Moomin</v>
      </c>
      <c r="E518" s="4" t="str">
        <f ca="1">IFERROR(__xludf.DUMMYFUNCTION("GOOGLETRANSLATE(C518,""ja"",""vi"")"),"Đấu giá&gt; đồ chơi, trò chơi&gt; búp bê, búp bê nhân vật&gt; nhân vật búp bê&gt; Moomin")</f>
        <v>Đấu giá&gt; đồ chơi, trò chơi&gt; búp bê, búp bê nhân vật&gt; nhân vật búp bê&gt; Moomin</v>
      </c>
      <c r="F518" t="str">
        <f t="shared" ca="1" si="8"/>
        <v>"2084020049" : "Moomin",</v>
      </c>
    </row>
    <row r="519" spans="1:6" ht="15.75" customHeight="1">
      <c r="A519" s="14">
        <v>2084020062</v>
      </c>
      <c r="B519" s="14" t="s">
        <v>46</v>
      </c>
      <c r="C519" s="14" t="s">
        <v>3660</v>
      </c>
      <c r="D519" s="5" t="str">
        <f ca="1">IFERROR(__xludf.DUMMYFUNCTION("GOOGLETRANSLATE(B519,""ja"",""vi"")"),"nếu không thì")</f>
        <v>nếu không thì</v>
      </c>
      <c r="E519" s="4" t="str">
        <f ca="1">IFERROR(__xludf.DUMMYFUNCTION("GOOGLETRANSLATE(C519,""ja"",""vi"")"),"Đấu giá&gt; đồ chơi, trò chơi&gt; búp bê, búp bê nhân vật&gt; nhân vật búp bê&gt; Khác")</f>
        <v>Đấu giá&gt; đồ chơi, trò chơi&gt; búp bê, búp bê nhân vật&gt; nhân vật búp bê&gt; Khác</v>
      </c>
      <c r="F519" t="str">
        <f t="shared" ca="1" si="8"/>
        <v>"2084020062" : "nếu không thì",</v>
      </c>
    </row>
    <row r="520" spans="1:6" ht="15.75" customHeight="1">
      <c r="A520" s="14">
        <v>2084316146</v>
      </c>
      <c r="B520" s="14" t="s">
        <v>3549</v>
      </c>
      <c r="C520" s="15" t="s">
        <v>3552</v>
      </c>
      <c r="D520" s="5" t="str">
        <f ca="1">IFERROR(__xludf.DUMMYFUNCTION("GOOGLETRANSLATE(B520,""ja"",""vi"")"),"Drone cơ thể")</f>
        <v>Drone cơ thể</v>
      </c>
      <c r="E520" s="4" t="str">
        <f ca="1">IFERROR(__xludf.DUMMYFUNCTION("GOOGLETRANSLATE(C520,""ja"",""vi"")"),"Đấu giá&gt; đồ chơi, trò chơi&gt; sở thích điều khiển bằng radio&gt; bay không người lái&gt; bay không người lái cơ thể")</f>
        <v>Đấu giá&gt; đồ chơi, trò chơi&gt; sở thích điều khiển bằng radio&gt; bay không người lái&gt; bay không người lái cơ thể</v>
      </c>
      <c r="F520" t="str">
        <f t="shared" ca="1" si="8"/>
        <v>"2084316146" : "Drone cơ thể",</v>
      </c>
    </row>
    <row r="521" spans="1:6" ht="15.75" customHeight="1">
      <c r="A521" s="14">
        <v>2084316147</v>
      </c>
      <c r="B521" s="14" t="s">
        <v>3554</v>
      </c>
      <c r="C521" s="15" t="s">
        <v>3556</v>
      </c>
      <c r="D521" s="5" t="str">
        <f ca="1">IFERROR(__xludf.DUMMYFUNCTION("GOOGLETRANSLATE(B521,""ja"",""vi"")"),"Phụ tùng, phụ kiện")</f>
        <v>Phụ tùng, phụ kiện</v>
      </c>
      <c r="E521" s="4" t="str">
        <f ca="1">IFERROR(__xludf.DUMMYFUNCTION("GOOGLETRANSLATE(C521,""ja"",""vi"")"),"Đấu giá&gt; đồ chơi, trò chơi&gt; sở thích điều khiển bằng radio&gt; bay không người lái&gt; phụ tùng, phụ kiện")</f>
        <v>Đấu giá&gt; đồ chơi, trò chơi&gt; sở thích điều khiển bằng radio&gt; bay không người lái&gt; phụ tùng, phụ kiện</v>
      </c>
      <c r="F521" t="str">
        <f t="shared" ca="1" si="8"/>
        <v>"2084316147" : "Phụ tùng, phụ kiện",</v>
      </c>
    </row>
    <row r="522" spans="1:6" ht="15.75" customHeight="1">
      <c r="A522" s="14">
        <v>2084250345</v>
      </c>
      <c r="B522" s="14" t="s">
        <v>6824</v>
      </c>
      <c r="C522" s="14" t="s">
        <v>6825</v>
      </c>
      <c r="D522" s="5" t="str">
        <f ca="1">IFERROR(__xludf.DUMMYFUNCTION("GOOGLETRANSLATE(B522,""ja"",""vi"")"),"Armored Core")</f>
        <v>Armored Core</v>
      </c>
      <c r="E522" s="4" t="str">
        <f ca="1">IFERROR(__xludf.DUMMYFUNCTION("GOOGLETRANSLATE(C522,""ja"",""vi"")"),"Đấu giá&gt; đồ chơi, trò chơi&gt; mô hình nhựa&gt; Nhân vật&gt; Armored Core")</f>
        <v>Đấu giá&gt; đồ chơi, trò chơi&gt; mô hình nhựa&gt; Nhân vật&gt; Armored Core</v>
      </c>
      <c r="F522" t="str">
        <f t="shared" ca="1" si="8"/>
        <v>"2084250345" : "Armored Core",</v>
      </c>
    </row>
    <row r="523" spans="1:6" ht="15.75" customHeight="1">
      <c r="A523" s="14">
        <v>2084250346</v>
      </c>
      <c r="B523" s="14" t="s">
        <v>3000</v>
      </c>
      <c r="C523" s="14" t="s">
        <v>6826</v>
      </c>
      <c r="D523" s="5" t="str">
        <f ca="1">IFERROR(__xludf.DUMMYFUNCTION("GOOGLETRANSLATE(B523,""ja"",""vi"")"),"Ultraman")</f>
        <v>Ultraman</v>
      </c>
      <c r="E523" s="4" t="str">
        <f ca="1">IFERROR(__xludf.DUMMYFUNCTION("GOOGLETRANSLATE(C523,""ja"",""vi"")"),"Đấu giá&gt; đồ chơi, trò chơi&gt; mô hình nhựa&gt; Nhân vật&gt; Ultraman")</f>
        <v>Đấu giá&gt; đồ chơi, trò chơi&gt; mô hình nhựa&gt; Nhân vật&gt; Ultraman</v>
      </c>
      <c r="F523" t="str">
        <f t="shared" ca="1" si="8"/>
        <v>"2084250346" : "Ultraman",</v>
      </c>
    </row>
    <row r="524" spans="1:6" ht="15.75" customHeight="1">
      <c r="A524" s="14">
        <v>2084250360</v>
      </c>
      <c r="B524" s="14" t="s">
        <v>273</v>
      </c>
      <c r="C524" s="14" t="s">
        <v>6828</v>
      </c>
      <c r="D524" s="5" t="str">
        <f ca="1">IFERROR(__xludf.DUMMYFUNCTION("GOOGLETRANSLATE(B524,""ja"",""vi"")"),"Space Battleship Yamato")</f>
        <v>Space Battleship Yamato</v>
      </c>
      <c r="E524" s="4" t="str">
        <f ca="1">IFERROR(__xludf.DUMMYFUNCTION("GOOGLETRANSLATE(C524,""ja"",""vi"")"),"Đấu giá&gt; đồ chơi, trò chơi&gt; mô hình nhựa&gt; Nhân vật&gt; Space Battleship Yamato")</f>
        <v>Đấu giá&gt; đồ chơi, trò chơi&gt; mô hình nhựa&gt; Nhân vật&gt; Space Battleship Yamato</v>
      </c>
      <c r="F524" t="str">
        <f t="shared" ca="1" si="8"/>
        <v>"2084250360" : "Space Battleship Yamato",</v>
      </c>
    </row>
    <row r="525" spans="1:6" ht="15.75" customHeight="1">
      <c r="A525" s="14">
        <v>2084250335</v>
      </c>
      <c r="B525" s="14" t="s">
        <v>436</v>
      </c>
      <c r="C525" s="14" t="s">
        <v>6829</v>
      </c>
      <c r="D525" s="5" t="str">
        <f ca="1">IFERROR(__xludf.DUMMYFUNCTION("GOOGLETRANSLATE(B525,""ja"",""vi"")"),"Gundam")</f>
        <v>Gundam</v>
      </c>
      <c r="E525" s="4" t="str">
        <f ca="1">IFERROR(__xludf.DUMMYFUNCTION("GOOGLETRANSLATE(C525,""ja"",""vi"")"),"Đấu giá&gt; đồ chơi, trò chơi&gt; mô hình nhựa&gt; Nhân vật&gt; Gundam")</f>
        <v>Đấu giá&gt; đồ chơi, trò chơi&gt; mô hình nhựa&gt; Nhân vật&gt; Gundam</v>
      </c>
      <c r="F525" t="str">
        <f t="shared" ca="1" si="8"/>
        <v>"2084250335" : "Gundam",</v>
      </c>
    </row>
    <row r="526" spans="1:6" ht="15.75" customHeight="1">
      <c r="A526" s="14">
        <v>2084250348</v>
      </c>
      <c r="B526" s="14" t="s">
        <v>2751</v>
      </c>
      <c r="C526" s="14" t="s">
        <v>6831</v>
      </c>
      <c r="D526" s="5" t="str">
        <f ca="1">IFERROR(__xludf.DUMMYFUNCTION("GOOGLETRANSLATE(B526,""ja"",""vi"")"),"Code Geass")</f>
        <v>Code Geass</v>
      </c>
      <c r="E526" s="4" t="str">
        <f ca="1">IFERROR(__xludf.DUMMYFUNCTION("GOOGLETRANSLATE(C526,""ja"",""vi"")"),"Đấu giá&gt; đồ chơi, trò chơi&gt; mô hình nhựa&gt; Nhân vật&gt; Code Geass")</f>
        <v>Đấu giá&gt; đồ chơi, trò chơi&gt; mô hình nhựa&gt; Nhân vật&gt; Code Geass</v>
      </c>
      <c r="F526" t="str">
        <f t="shared" ca="1" si="8"/>
        <v>"2084250348" : "Code Geass",</v>
      </c>
    </row>
    <row r="527" spans="1:6" ht="15.75" customHeight="1">
      <c r="A527" s="14">
        <v>2084250349</v>
      </c>
      <c r="B527" s="14" t="s">
        <v>6834</v>
      </c>
      <c r="C527" s="14" t="s">
        <v>6835</v>
      </c>
      <c r="D527" s="5" t="str">
        <f ca="1">IFERROR(__xludf.DUMMYFUNCTION("GOOGLETRANSLATE(B527,""ja"",""vi"")"),"Godzilla")</f>
        <v>Godzilla</v>
      </c>
      <c r="E527" s="4" t="str">
        <f ca="1">IFERROR(__xludf.DUMMYFUNCTION("GOOGLETRANSLATE(C527,""ja"",""vi"")"),"Đấu giá&gt; đồ chơi, trò chơi&gt; mô hình nhựa&gt; Nhân vật&gt; Godzilla")</f>
        <v>Đấu giá&gt; đồ chơi, trò chơi&gt; mô hình nhựa&gt; Nhân vật&gt; Godzilla</v>
      </c>
      <c r="F527" t="str">
        <f t="shared" ca="1" si="8"/>
        <v>"2084250349" : "Godzilla",</v>
      </c>
    </row>
    <row r="528" spans="1:6" ht="15.75" customHeight="1">
      <c r="A528" s="14">
        <v>2084250361</v>
      </c>
      <c r="B528" s="14" t="s">
        <v>553</v>
      </c>
      <c r="C528" s="14" t="s">
        <v>6838</v>
      </c>
      <c r="D528" s="5" t="str">
        <f ca="1">IFERROR(__xludf.DUMMYFUNCTION("GOOGLETRANSLATE(B528,""ja"",""vi"")"),"Patlabor")</f>
        <v>Patlabor</v>
      </c>
      <c r="E528" s="4" t="str">
        <f ca="1">IFERROR(__xludf.DUMMYFUNCTION("GOOGLETRANSLATE(C528,""ja"",""vi"")"),"Đấu giá&gt; đồ chơi, trò chơi&gt; mô hình nhựa&gt; Nhân vật&gt; Patlabor")</f>
        <v>Đấu giá&gt; đồ chơi, trò chơi&gt; mô hình nhựa&gt; Nhân vật&gt; Patlabor</v>
      </c>
      <c r="F528" t="str">
        <f t="shared" ca="1" si="8"/>
        <v>"2084250361" : "Patlabor",</v>
      </c>
    </row>
    <row r="529" spans="1:6" ht="15.75" customHeight="1">
      <c r="A529" s="14">
        <v>2084250362</v>
      </c>
      <c r="B529" s="14" t="s">
        <v>607</v>
      </c>
      <c r="C529" s="14" t="s">
        <v>6841</v>
      </c>
      <c r="D529" s="5" t="str">
        <f ca="1">IFERROR(__xludf.DUMMYFUNCTION("GOOGLETRANSLATE(B529,""ja"",""vi"")"),"Galaxy trôi Vifam")</f>
        <v>Galaxy trôi Vifam</v>
      </c>
      <c r="E529" s="4" t="str">
        <f ca="1">IFERROR(__xludf.DUMMYFUNCTION("GOOGLETRANSLATE(C529,""ja"",""vi"")"),"Đấu giá&gt; đồ chơi, trò chơi&gt; mô hình nhựa&gt; Nhân vật&gt; thiên hà trôi Vifam")</f>
        <v>Đấu giá&gt; đồ chơi, trò chơi&gt; mô hình nhựa&gt; Nhân vật&gt; thiên hà trôi Vifam</v>
      </c>
      <c r="F529" t="str">
        <f t="shared" ca="1" si="8"/>
        <v>"2084250362" : "Galaxy trôi Vifam",</v>
      </c>
    </row>
    <row r="530" spans="1:6" ht="15.75" customHeight="1">
      <c r="A530" s="14">
        <v>2084250350</v>
      </c>
      <c r="B530" s="14" t="s">
        <v>6842</v>
      </c>
      <c r="C530" s="14" t="s">
        <v>6845</v>
      </c>
      <c r="D530" s="5" t="str">
        <f ca="1">IFERROR(__xludf.DUMMYFUNCTION("GOOGLETRANSLATE(B530,""ja"",""vi"")"),"tên của loài chim")</f>
        <v>tên của loài chim</v>
      </c>
      <c r="E530" s="4" t="str">
        <f ca="1">IFERROR(__xludf.DUMMYFUNCTION("GOOGLETRANSLATE(C530,""ja"",""vi"")"),"Đấu giá&gt; đồ chơi, trò chơi&gt; mô hình nhựa&gt; Nhân vật&gt; Thunderbird")</f>
        <v>Đấu giá&gt; đồ chơi, trò chơi&gt; mô hình nhựa&gt; Nhân vật&gt; Thunderbird</v>
      </c>
      <c r="F530" t="str">
        <f t="shared" ca="1" si="8"/>
        <v>"2084250350" : "tên của loài chim",</v>
      </c>
    </row>
    <row r="531" spans="1:6" ht="15.75" customHeight="1">
      <c r="A531" s="14">
        <v>2084250351</v>
      </c>
      <c r="B531" s="14" t="s">
        <v>3127</v>
      </c>
      <c r="C531" s="14" t="s">
        <v>6847</v>
      </c>
      <c r="D531" s="5" t="str">
        <f ca="1">IFERROR(__xludf.DUMMYFUNCTION("GOOGLETRANSLATE(B531,""ja"",""vi"")"),"Super Robot Wars")</f>
        <v>Super Robot Wars</v>
      </c>
      <c r="E531" s="4" t="str">
        <f ca="1">IFERROR(__xludf.DUMMYFUNCTION("GOOGLETRANSLATE(C531,""ja"",""vi"")"),"Đấu giá&gt; đồ chơi, trò chơi&gt; mô hình nhựa&gt; Nhân vật&gt; Super Robot Wars")</f>
        <v>Đấu giá&gt; đồ chơi, trò chơi&gt; mô hình nhựa&gt; Nhân vật&gt; Super Robot Wars</v>
      </c>
      <c r="F531" t="str">
        <f t="shared" ca="1" si="8"/>
        <v>"2084250351" : "Super Robot Wars",</v>
      </c>
    </row>
    <row r="532" spans="1:6" ht="15.75" customHeight="1">
      <c r="A532" s="14">
        <v>2084250352</v>
      </c>
      <c r="B532" s="14" t="s">
        <v>6849</v>
      </c>
      <c r="C532" s="14" t="s">
        <v>6850</v>
      </c>
      <c r="D532" s="5" t="str">
        <f ca="1">IFERROR(__xludf.DUMMYFUNCTION("GOOGLETRANSLATE(B532,""ja"",""vi"")"),"star Wars")</f>
        <v>star Wars</v>
      </c>
      <c r="E532" s="4" t="str">
        <f ca="1">IFERROR(__xludf.DUMMYFUNCTION("GOOGLETRANSLATE(C532,""ja"",""vi"")"),"Đấu giá&gt; đồ chơi, trò chơi&gt; mô hình nhựa&gt; Nhân vật&gt; Star Wars")</f>
        <v>Đấu giá&gt; đồ chơi, trò chơi&gt; mô hình nhựa&gt; Nhân vật&gt; Star Wars</v>
      </c>
      <c r="F532" t="str">
        <f t="shared" ca="1" si="8"/>
        <v>"2084250352" : "star Wars",</v>
      </c>
    </row>
    <row r="533" spans="1:6" ht="15.75" customHeight="1">
      <c r="A533" s="14">
        <v>2084250353</v>
      </c>
      <c r="B533" s="14" t="s">
        <v>3293</v>
      </c>
      <c r="C533" s="14" t="s">
        <v>6853</v>
      </c>
      <c r="D533" s="5" t="str">
        <f ca="1">IFERROR(__xludf.DUMMYFUNCTION("GOOGLETRANSLATE(B533,""ja"",""vi"")"),"star trek")</f>
        <v>star trek</v>
      </c>
      <c r="E533" s="4" t="str">
        <f ca="1">IFERROR(__xludf.DUMMYFUNCTION("GOOGLETRANSLATE(C533,""ja"",""vi"")"),"Đấu giá&gt; đồ chơi, trò chơi&gt; mô hình nhựa&gt; Nhân vật&gt; Star Trek")</f>
        <v>Đấu giá&gt; đồ chơi, trò chơi&gt; mô hình nhựa&gt; Nhân vật&gt; Star Trek</v>
      </c>
      <c r="F533" t="str">
        <f t="shared" ca="1" si="8"/>
        <v>"2084250353" : "star trek",</v>
      </c>
    </row>
    <row r="534" spans="1:6" ht="15.75" customHeight="1">
      <c r="A534" s="14">
        <v>2084250370</v>
      </c>
      <c r="B534" s="14" t="s">
        <v>3932</v>
      </c>
      <c r="C534" s="14" t="s">
        <v>6856</v>
      </c>
      <c r="D534" s="5" t="str">
        <f ca="1">IFERROR(__xludf.DUMMYFUNCTION("GOOGLETRANSLATE(B534,""ja"",""vi"")"),"Studio Ghibli")</f>
        <v>Studio Ghibli</v>
      </c>
      <c r="E534" s="4" t="str">
        <f ca="1">IFERROR(__xludf.DUMMYFUNCTION("GOOGLETRANSLATE(C534,""ja"",""vi"")"),"Đấu giá&gt; đồ chơi, trò chơi&gt; mô hình nhựa&gt; Nhân vật&gt; Studio Ghibli")</f>
        <v>Đấu giá&gt; đồ chơi, trò chơi&gt; mô hình nhựa&gt; Nhân vật&gt; Studio Ghibli</v>
      </c>
      <c r="F534" t="str">
        <f t="shared" ca="1" si="8"/>
        <v>"2084250370" : "Studio Ghibli",</v>
      </c>
    </row>
    <row r="535" spans="1:6" ht="15.75" customHeight="1">
      <c r="A535" s="14">
        <v>2084250354</v>
      </c>
      <c r="B535" s="14" t="s">
        <v>6857</v>
      </c>
      <c r="C535" s="14" t="s">
        <v>6859</v>
      </c>
      <c r="D535" s="5" t="str">
        <f ca="1">IFERROR(__xludf.DUMMYFUNCTION("GOOGLETRANSLATE(B535,""ja"",""vi"")"),"Zoids")</f>
        <v>Zoids</v>
      </c>
      <c r="E535" s="4" t="str">
        <f ca="1">IFERROR(__xludf.DUMMYFUNCTION("GOOGLETRANSLATE(C535,""ja"",""vi"")"),"Đấu giá&gt; đồ chơi, trò chơi&gt; mô hình nhựa&gt; Nhân vật&gt; Zoids")</f>
        <v>Đấu giá&gt; đồ chơi, trò chơi&gt; mô hình nhựa&gt; Nhân vật&gt; Zoids</v>
      </c>
      <c r="F535" t="str">
        <f t="shared" ca="1" si="8"/>
        <v>"2084250354" : "Zoids",</v>
      </c>
    </row>
    <row r="536" spans="1:6" ht="15.75" customHeight="1">
      <c r="A536" s="14">
        <v>2084250364</v>
      </c>
      <c r="B536" s="14" t="s">
        <v>789</v>
      </c>
      <c r="C536" s="14" t="s">
        <v>6861</v>
      </c>
      <c r="D536" s="5" t="str">
        <f ca="1">IFERROR(__xludf.DUMMYFUNCTION("GOOGLETRANSLATE(B536,""ja"",""vi"")"),"Heavy Metal L-Gaim")</f>
        <v>Heavy Metal L-Gaim</v>
      </c>
      <c r="E536" s="4" t="str">
        <f ca="1">IFERROR(__xludf.DUMMYFUNCTION("GOOGLETRANSLATE(C536,""ja"",""vi"")"),"Đấu giá&gt; đồ chơi, trò chơi&gt; mô hình nhựa&gt; Nhân vật&gt; Heavy Metal L-Gaim")</f>
        <v>Đấu giá&gt; đồ chơi, trò chơi&gt; mô hình nhựa&gt; Nhân vật&gt; Heavy Metal L-Gaim</v>
      </c>
      <c r="F536" t="str">
        <f t="shared" ca="1" si="8"/>
        <v>"2084250364" : "Heavy Metal L-Gaim",</v>
      </c>
    </row>
    <row r="537" spans="1:6" ht="15.75" customHeight="1">
      <c r="A537" s="14">
        <v>2084250365</v>
      </c>
      <c r="B537" s="14" t="s">
        <v>826</v>
      </c>
      <c r="C537" s="14" t="s">
        <v>6863</v>
      </c>
      <c r="D537" s="5" t="str">
        <f ca="1">IFERROR(__xludf.DUMMYFUNCTION("GOOGLETRANSLATE(B537,""ja"",""vi"")"),"Neon Genesis Evangelion")</f>
        <v>Neon Genesis Evangelion</v>
      </c>
      <c r="E537" s="4" t="str">
        <f ca="1">IFERROR(__xludf.DUMMYFUNCTION("GOOGLETRANSLATE(C537,""ja"",""vi"")"),"Đấu giá&gt; đồ chơi, trò chơi&gt; mô hình nhựa&gt; Nhân vật&gt; Neon Genesis Evangelion")</f>
        <v>Đấu giá&gt; đồ chơi, trò chơi&gt; mô hình nhựa&gt; Nhân vật&gt; Neon Genesis Evangelion</v>
      </c>
      <c r="F537" t="str">
        <f t="shared" ca="1" si="8"/>
        <v>"2084250365" : "Neon Genesis Evangelion",</v>
      </c>
    </row>
    <row r="538" spans="1:6" ht="15.75" customHeight="1">
      <c r="A538" s="14">
        <v>2084250366</v>
      </c>
      <c r="B538" s="14" t="s">
        <v>6864</v>
      </c>
      <c r="C538" s="14" t="s">
        <v>6865</v>
      </c>
      <c r="D538" s="5" t="str">
        <f ca="1">IFERROR(__xludf.DUMMYFUNCTION("GOOGLETRANSLATE(B538,""ja"",""vi"")"),"Xabungle")</f>
        <v>Xabungle</v>
      </c>
      <c r="E538" s="4" t="str">
        <f ca="1">IFERROR(__xludf.DUMMYFUNCTION("GOOGLETRANSLATE(C538,""ja"",""vi"")"),"Đấu giá&gt; đồ chơi, trò chơi&gt; mô hình nhựa&gt; Nhân vật&gt; Xabungle")</f>
        <v>Đấu giá&gt; đồ chơi, trò chơi&gt; mô hình nhựa&gt; Nhân vật&gt; Xabungle</v>
      </c>
      <c r="F538" t="str">
        <f t="shared" ca="1" si="8"/>
        <v>"2084250366" : "Xabungle",</v>
      </c>
    </row>
    <row r="539" spans="1:6" ht="15.75" customHeight="1">
      <c r="A539" s="14">
        <v>2084250367</v>
      </c>
      <c r="B539" s="14" t="s">
        <v>6866</v>
      </c>
      <c r="C539" s="14" t="s">
        <v>6867</v>
      </c>
      <c r="D539" s="5" t="str">
        <f ca="1">IFERROR(__xludf.DUMMYFUNCTION("GOOGLETRANSLATE(B539,""ja"",""vi"")"),"Votoms")</f>
        <v>Votoms</v>
      </c>
      <c r="E539" s="4" t="str">
        <f ca="1">IFERROR(__xludf.DUMMYFUNCTION("GOOGLETRANSLATE(C539,""ja"",""vi"")"),"Đấu giá&gt; đồ chơi, trò chơi&gt; mô hình nhựa&gt; Nhân vật&gt; Votoms")</f>
        <v>Đấu giá&gt; đồ chơi, trò chơi&gt; mô hình nhựa&gt; Nhân vật&gt; Votoms</v>
      </c>
      <c r="F539" t="str">
        <f t="shared" ca="1" si="8"/>
        <v>"2084250367" : "Votoms",</v>
      </c>
    </row>
    <row r="540" spans="1:6" ht="15.75" customHeight="1">
      <c r="A540" s="14">
        <v>2084310499</v>
      </c>
      <c r="B540" s="14" t="s">
        <v>6868</v>
      </c>
      <c r="C540" s="14" t="s">
        <v>6869</v>
      </c>
      <c r="D540" s="5" t="str">
        <f ca="1">IFERROR(__xludf.DUMMYFUNCTION("GOOGLETRANSLATE(B540,""ja"",""vi"")"),"The Little battlers")</f>
        <v>The Little battlers</v>
      </c>
      <c r="E540" s="4" t="str">
        <f ca="1">IFERROR(__xludf.DUMMYFUNCTION("GOOGLETRANSLATE(C540,""ja"",""vi"")"),"Đấu giá&gt; đồ chơi, trò chơi&gt; mô hình nhựa&gt; Nhân vật&gt; The Little battlers")</f>
        <v>Đấu giá&gt; đồ chơi, trò chơi&gt; mô hình nhựa&gt; Nhân vật&gt; The Little battlers</v>
      </c>
      <c r="F540" t="str">
        <f t="shared" ca="1" si="8"/>
        <v>"2084310499" : "The Little battlers",</v>
      </c>
    </row>
    <row r="541" spans="1:6" ht="15.75" customHeight="1">
      <c r="A541" s="14">
        <v>2084250368</v>
      </c>
      <c r="B541" s="14" t="s">
        <v>6870</v>
      </c>
      <c r="C541" s="14" t="s">
        <v>6871</v>
      </c>
      <c r="D541" s="5" t="str">
        <f ca="1">IFERROR(__xludf.DUMMYFUNCTION("GOOGLETRANSLATE(B541,""ja"",""vi"")"),"Fang của Dougram mặt trời")</f>
        <v>Fang của Dougram mặt trời</v>
      </c>
      <c r="E541" s="4" t="str">
        <f ca="1">IFERROR(__xludf.DUMMYFUNCTION("GOOGLETRANSLATE(C541,""ja"",""vi"")"),"Đấu giá&gt; đồ chơi, trò chơi&gt; mô hình nhựa&gt; Nhân vật&gt; Fang của mặt trời Dougram")</f>
        <v>Đấu giá&gt; đồ chơi, trò chơi&gt; mô hình nhựa&gt; Nhân vật&gt; Fang của mặt trời Dougram</v>
      </c>
      <c r="F541" t="str">
        <f t="shared" ca="1" si="8"/>
        <v>"2084250368" : "Fang của Dougram mặt trời",</v>
      </c>
    </row>
    <row r="542" spans="1:6" ht="15.75" customHeight="1">
      <c r="A542" s="14">
        <v>2084250369</v>
      </c>
      <c r="B542" s="14" t="s">
        <v>1134</v>
      </c>
      <c r="C542" s="14" t="s">
        <v>6872</v>
      </c>
      <c r="D542" s="5" t="str">
        <f ca="1">IFERROR(__xludf.DUMMYFUNCTION("GOOGLETRANSLATE(B542,""ja"",""vi"")"),"Space Runaway Ideon")</f>
        <v>Space Runaway Ideon</v>
      </c>
      <c r="E542" s="4" t="str">
        <f ca="1">IFERROR(__xludf.DUMMYFUNCTION("GOOGLETRANSLATE(C542,""ja"",""vi"")"),"Đấu giá&gt; đồ chơi, trò chơi&gt; mô hình nhựa&gt; Nhân vật&gt; Space Runaway Ideon")</f>
        <v>Đấu giá&gt; đồ chơi, trò chơi&gt; mô hình nhựa&gt; Nhân vật&gt; Space Runaway Ideon</v>
      </c>
      <c r="F542" t="str">
        <f t="shared" ca="1" si="8"/>
        <v>"2084250369" : "Space Runaway Ideon",</v>
      </c>
    </row>
    <row r="543" spans="1:6" ht="15.75" customHeight="1">
      <c r="A543" s="14">
        <v>2084250355</v>
      </c>
      <c r="B543" s="14" t="s">
        <v>6873</v>
      </c>
      <c r="C543" s="14" t="s">
        <v>6874</v>
      </c>
      <c r="D543" s="5" t="str">
        <f ca="1">IFERROR(__xludf.DUMMYFUNCTION("GOOGLETRANSLATE(B543,""ja"",""vi"")"),"ảo On")</f>
        <v>ảo On</v>
      </c>
      <c r="E543" s="4" t="str">
        <f ca="1">IFERROR(__xludf.DUMMYFUNCTION("GOOGLETRANSLATE(C543,""ja"",""vi"")"),"Đấu giá&gt; đồ chơi, trò chơi&gt; mô hình nhựa&gt; Nhân vật&gt; ảo On")</f>
        <v>Đấu giá&gt; đồ chơi, trò chơi&gt; mô hình nhựa&gt; Nhân vật&gt; ảo On</v>
      </c>
      <c r="F543" t="str">
        <f t="shared" ca="1" si="8"/>
        <v>"2084250355" : "ảo On",</v>
      </c>
    </row>
    <row r="544" spans="1:6" ht="15.75" customHeight="1">
      <c r="A544" s="14">
        <v>2084250356</v>
      </c>
      <c r="B544" s="14" t="s">
        <v>1494</v>
      </c>
      <c r="C544" s="14" t="s">
        <v>6875</v>
      </c>
      <c r="D544" s="5" t="str">
        <f ca="1">IFERROR(__xludf.DUMMYFUNCTION("GOOGLETRANSLATE(B544,""ja"",""vi"")"),"Macross")</f>
        <v>Macross</v>
      </c>
      <c r="E544" s="4" t="str">
        <f ca="1">IFERROR(__xludf.DUMMYFUNCTION("GOOGLETRANSLATE(C544,""ja"",""vi"")"),"Đấu giá&gt; đồ chơi, trò chơi&gt; mô hình nhựa&gt; Nhân vật&gt; Macross")</f>
        <v>Đấu giá&gt; đồ chơi, trò chơi&gt; mô hình nhựa&gt; Nhân vật&gt; Macross</v>
      </c>
      <c r="F544" t="str">
        <f t="shared" ca="1" si="8"/>
        <v>"2084250356" : "Macross",</v>
      </c>
    </row>
    <row r="545" spans="1:6" ht="15.75" customHeight="1">
      <c r="A545" s="14">
        <v>2084250357</v>
      </c>
      <c r="B545" s="14" t="s">
        <v>6877</v>
      </c>
      <c r="C545" s="14" t="s">
        <v>6878</v>
      </c>
      <c r="D545" s="5" t="str">
        <f ca="1">IFERROR(__xludf.DUMMYFUNCTION("GOOGLETRANSLATE(B545,""ja"",""vi"")"),"Maschinen Krieger")</f>
        <v>Maschinen Krieger</v>
      </c>
      <c r="E545" s="4" t="str">
        <f ca="1">IFERROR(__xludf.DUMMYFUNCTION("GOOGLETRANSLATE(C545,""ja"",""vi"")"),"Đấu giá&gt; đồ chơi, trò chơi&gt; mô hình nhựa&gt; Nhân vật&gt; Maschinen Krieger")</f>
        <v>Đấu giá&gt; đồ chơi, trò chơi&gt; mô hình nhựa&gt; Nhân vật&gt; Maschinen Krieger</v>
      </c>
      <c r="F545" t="str">
        <f t="shared" ca="1" si="8"/>
        <v>"2084250357" : "Maschinen Krieger",</v>
      </c>
    </row>
    <row r="546" spans="1:6" ht="15.75" customHeight="1">
      <c r="A546" s="14">
        <v>2084250358</v>
      </c>
      <c r="B546" s="14" t="s">
        <v>1501</v>
      </c>
      <c r="C546" s="14" t="s">
        <v>6879</v>
      </c>
      <c r="D546" s="5" t="str">
        <f ca="1">IFERROR(__xludf.DUMMYFUNCTION("GOOGLETRANSLATE(B546,""ja"",""vi"")"),"Mazinger Z")</f>
        <v>Mazinger Z</v>
      </c>
      <c r="E546" s="4" t="str">
        <f ca="1">IFERROR(__xludf.DUMMYFUNCTION("GOOGLETRANSLATE(C546,""ja"",""vi"")"),"Đấu giá&gt; đồ chơi, trò chơi&gt; mô hình nhựa&gt; Nhân vật&gt; Mazinger Z")</f>
        <v>Đấu giá&gt; đồ chơi, trò chơi&gt; mô hình nhựa&gt; Nhân vật&gt; Mazinger Z</v>
      </c>
      <c r="F546" t="str">
        <f t="shared" ca="1" si="8"/>
        <v>"2084250358" : "Mazinger Z",</v>
      </c>
    </row>
    <row r="547" spans="1:6" ht="15.75" customHeight="1">
      <c r="A547" s="14">
        <v>2084250371</v>
      </c>
      <c r="B547" s="14" t="s">
        <v>1539</v>
      </c>
      <c r="C547" s="14" t="s">
        <v>6882</v>
      </c>
      <c r="D547" s="5" t="str">
        <f ca="1">IFERROR(__xludf.DUMMYFUNCTION("GOOGLETRANSLATE(B547,""ja"",""vi"")"),"Majin Anh hùng Wataru")</f>
        <v>Majin Anh hùng Wataru</v>
      </c>
      <c r="E547" s="4" t="str">
        <f ca="1">IFERROR(__xludf.DUMMYFUNCTION("GOOGLETRANSLATE(C547,""ja"",""vi"")"),"Đấu giá&gt; đồ chơi, trò chơi&gt; mô hình nhựa&gt; Nhân vật&gt; Majin Anh hùng Wataru")</f>
        <v>Đấu giá&gt; đồ chơi, trò chơi&gt; mô hình nhựa&gt; Nhân vật&gt; Majin Anh hùng Wataru</v>
      </c>
      <c r="F547" t="str">
        <f t="shared" ca="1" si="8"/>
        <v>"2084250371" : "Majin Anh hùng Wataru",</v>
      </c>
    </row>
    <row r="548" spans="1:6" ht="15.75" customHeight="1">
      <c r="A548" s="14">
        <v>2084250359</v>
      </c>
      <c r="B548" s="14" t="s">
        <v>6884</v>
      </c>
      <c r="C548" s="14" t="s">
        <v>6886</v>
      </c>
      <c r="D548" s="5" t="str">
        <f ca="1">IFERROR(__xludf.DUMMYFUNCTION("GOOGLETRANSLATE(B548,""ja"",""vi"")"),"Robodatchi")</f>
        <v>Robodatchi</v>
      </c>
      <c r="E548" s="4" t="str">
        <f ca="1">IFERROR(__xludf.DUMMYFUNCTION("GOOGLETRANSLATE(C548,""ja"",""vi"")"),"Đấu giá&gt; đồ chơi, trò chơi&gt; mô hình nhựa&gt; Nhân vật&gt; Robodatchi")</f>
        <v>Đấu giá&gt; đồ chơi, trò chơi&gt; mô hình nhựa&gt; Nhân vật&gt; Robodatchi</v>
      </c>
      <c r="F548" t="str">
        <f t="shared" ca="1" si="8"/>
        <v>"2084250359" : "Robodatchi",</v>
      </c>
    </row>
    <row r="549" spans="1:6" ht="15.75" customHeight="1">
      <c r="A549" s="14">
        <v>2084250375</v>
      </c>
      <c r="B549" s="14" t="s">
        <v>3665</v>
      </c>
      <c r="C549" s="14" t="s">
        <v>6887</v>
      </c>
      <c r="D549" s="5" t="str">
        <f ca="1">IFERROR(__xludf.DUMMYFUNCTION("GOOGLETRANSLATE(B549,""ja"",""vi"")"),"thành phẩm")</f>
        <v>thành phẩm</v>
      </c>
      <c r="E549" s="4" t="str">
        <f ca="1">IFERROR(__xludf.DUMMYFUNCTION("GOOGLETRANSLATE(C549,""ja"",""vi"")"),"Đấu giá&gt; đồ chơi, trò chơi&gt; mô hình nhựa&gt; Nhân vật&gt; thành phẩm")</f>
        <v>Đấu giá&gt; đồ chơi, trò chơi&gt; mô hình nhựa&gt; Nhân vật&gt; thành phẩm</v>
      </c>
      <c r="F549" t="str">
        <f t="shared" ca="1" si="8"/>
        <v>"2084250375" : "thành phẩm",</v>
      </c>
    </row>
    <row r="550" spans="1:6" ht="15.75" customHeight="1">
      <c r="A550" s="14">
        <v>2084250373</v>
      </c>
      <c r="B550" s="14" t="s">
        <v>46</v>
      </c>
      <c r="C550" s="14" t="s">
        <v>6889</v>
      </c>
      <c r="D550" s="5" t="str">
        <f ca="1">IFERROR(__xludf.DUMMYFUNCTION("GOOGLETRANSLATE(B550,""ja"",""vi"")"),"nếu không thì")</f>
        <v>nếu không thì</v>
      </c>
      <c r="E550" s="4" t="str">
        <f ca="1">IFERROR(__xludf.DUMMYFUNCTION("GOOGLETRANSLATE(C550,""ja"",""vi"")"),"Đấu giá&gt; đồ chơi, trò chơi&gt; mô hình nhựa&gt; Nhân vật&gt; Khác")</f>
        <v>Đấu giá&gt; đồ chơi, trò chơi&gt; mô hình nhựa&gt; Nhân vật&gt; Khác</v>
      </c>
      <c r="F550" t="str">
        <f t="shared" ca="1" si="8"/>
        <v>"2084250373" : "nếu không thì",</v>
      </c>
    </row>
    <row r="551" spans="1:6" ht="15.75" customHeight="1">
      <c r="A551" s="14">
        <v>2084250265</v>
      </c>
      <c r="B551" s="14" t="s">
        <v>3665</v>
      </c>
      <c r="C551" s="14" t="s">
        <v>6892</v>
      </c>
      <c r="D551" s="5" t="str">
        <f ca="1">IFERROR(__xludf.DUMMYFUNCTION("GOOGLETRANSLATE(B551,""ja"",""vi"")"),"thành phẩm")</f>
        <v>thành phẩm</v>
      </c>
      <c r="E551" s="4" t="str">
        <f ca="1">IFERROR(__xludf.DUMMYFUNCTION("GOOGLETRANSLATE(C551,""ja"",""vi"")"),"Đấu giá&gt; đồ chơi, trò chơi&gt; mô hình nhựa&gt; ô tô&gt; thành phẩm")</f>
        <v>Đấu giá&gt; đồ chơi, trò chơi&gt; mô hình nhựa&gt; ô tô&gt; thành phẩm</v>
      </c>
      <c r="F551" t="str">
        <f t="shared" ca="1" si="8"/>
        <v>"2084250265" : "thành phẩm",</v>
      </c>
    </row>
    <row r="552" spans="1:6" ht="15.75" customHeight="1">
      <c r="A552" s="14">
        <v>2084250272</v>
      </c>
      <c r="B552" s="14" t="s">
        <v>6893</v>
      </c>
      <c r="C552" s="14" t="s">
        <v>6894</v>
      </c>
      <c r="D552" s="5" t="str">
        <f ca="1">IFERROR(__xludf.DUMMYFUNCTION("GOOGLETRANSLATE(B552,""ja"",""vi"")"),"hành khách xe")</f>
        <v>hành khách xe</v>
      </c>
      <c r="E552" s="4" t="str">
        <f ca="1">IFERROR(__xludf.DUMMYFUNCTION("GOOGLETRANSLATE(C552,""ja"",""vi"")"),"Đấu giá&gt; đồ chơi, trò chơi&gt; mô hình nhựa&gt; ô tô&gt; xe khách")</f>
        <v>Đấu giá&gt; đồ chơi, trò chơi&gt; mô hình nhựa&gt; ô tô&gt; xe khách</v>
      </c>
      <c r="F552" t="str">
        <f t="shared" ca="1" si="8"/>
        <v>"2084250272" : "hành khách xe",</v>
      </c>
    </row>
    <row r="553" spans="1:6" ht="15.75" customHeight="1">
      <c r="A553" s="14">
        <v>2084250266</v>
      </c>
      <c r="B553" s="14" t="s">
        <v>6896</v>
      </c>
      <c r="C553" s="14" t="s">
        <v>6898</v>
      </c>
      <c r="D553" s="5" t="str">
        <f ca="1">IFERROR(__xludf.DUMMYFUNCTION("GOOGLETRANSLATE(B553,""ja"",""vi"")"),"đua xe")</f>
        <v>đua xe</v>
      </c>
      <c r="E553" s="4" t="str">
        <f ca="1">IFERROR(__xludf.DUMMYFUNCTION("GOOGLETRANSLATE(C553,""ja"",""vi"")"),"Đấu giá&gt; đồ chơi, trò chơi&gt; mô hình nhựa&gt; ô tô&gt; đua xe")</f>
        <v>Đấu giá&gt; đồ chơi, trò chơi&gt; mô hình nhựa&gt; ô tô&gt; đua xe</v>
      </c>
      <c r="F553" t="str">
        <f t="shared" ca="1" si="8"/>
        <v>"2084250266" : "đua xe",</v>
      </c>
    </row>
    <row r="554" spans="1:6" ht="15.75" customHeight="1">
      <c r="A554" s="14">
        <v>2084250296</v>
      </c>
      <c r="B554" s="14" t="s">
        <v>6899</v>
      </c>
      <c r="C554" s="14" t="s">
        <v>6900</v>
      </c>
      <c r="D554" s="5" t="str">
        <f ca="1">IFERROR(__xludf.DUMMYFUNCTION("GOOGLETRANSLATE(B554,""ja"",""vi"")"),"Xe tải, trailer")</f>
        <v>Xe tải, trailer</v>
      </c>
      <c r="E554" s="4" t="str">
        <f ca="1">IFERROR(__xludf.DUMMYFUNCTION("GOOGLETRANSLATE(C554,""ja"",""vi"")"),"Đấu giá&gt; đồ chơi, trò chơi&gt; mô hình nhựa&gt; ô tô&gt; xe tải, trailer")</f>
        <v>Đấu giá&gt; đồ chơi, trò chơi&gt; mô hình nhựa&gt; ô tô&gt; xe tải, trailer</v>
      </c>
      <c r="F554" t="str">
        <f t="shared" ca="1" si="8"/>
        <v>"2084250296" : "Xe tải, trailer",</v>
      </c>
    </row>
    <row r="555" spans="1:6" ht="15.75" customHeight="1">
      <c r="A555" s="14">
        <v>2084250297</v>
      </c>
      <c r="B555" s="14" t="s">
        <v>6903</v>
      </c>
      <c r="C555" s="14" t="s">
        <v>6904</v>
      </c>
      <c r="D555" s="5" t="str">
        <f ca="1">IFERROR(__xludf.DUMMYFUNCTION("GOOGLETRANSLATE(B555,""ja"",""vi"")"),"xe buýt")</f>
        <v>xe buýt</v>
      </c>
      <c r="E555" s="4" t="str">
        <f ca="1">IFERROR(__xludf.DUMMYFUNCTION("GOOGLETRANSLATE(C555,""ja"",""vi"")"),"Đấu giá&gt; đồ chơi, trò chơi&gt; mô hình nhựa&gt; ô tô&gt; Xe Buýt")</f>
        <v>Đấu giá&gt; đồ chơi, trò chơi&gt; mô hình nhựa&gt; ô tô&gt; Xe Buýt</v>
      </c>
      <c r="F555" t="str">
        <f t="shared" ca="1" si="8"/>
        <v>"2084250297" : "xe buýt",</v>
      </c>
    </row>
    <row r="556" spans="1:6" ht="15.75" customHeight="1">
      <c r="A556" s="14">
        <v>2084250298</v>
      </c>
      <c r="B556" s="14" t="s">
        <v>46</v>
      </c>
      <c r="C556" s="14" t="s">
        <v>6906</v>
      </c>
      <c r="D556" s="5" t="str">
        <f ca="1">IFERROR(__xludf.DUMMYFUNCTION("GOOGLETRANSLATE(B556,""ja"",""vi"")"),"nếu không thì")</f>
        <v>nếu không thì</v>
      </c>
      <c r="E556" s="4" t="str">
        <f ca="1">IFERROR(__xludf.DUMMYFUNCTION("GOOGLETRANSLATE(C556,""ja"",""vi"")"),"Đấu giá&gt; đồ chơi, trò chơi&gt; mô hình nhựa&gt; ô tô&gt; Khác")</f>
        <v>Đấu giá&gt; đồ chơi, trò chơi&gt; mô hình nhựa&gt; ô tô&gt; Khác</v>
      </c>
      <c r="F556" t="str">
        <f t="shared" ca="1" si="8"/>
        <v>"2084250298" : "nếu không thì",</v>
      </c>
    </row>
    <row r="557" spans="1:6" ht="15.75" customHeight="1">
      <c r="A557" s="14">
        <v>2084250308</v>
      </c>
      <c r="B557" s="14" t="s">
        <v>3665</v>
      </c>
      <c r="C557" s="14" t="s">
        <v>6908</v>
      </c>
      <c r="D557" s="5" t="str">
        <f ca="1">IFERROR(__xludf.DUMMYFUNCTION("GOOGLETRANSLATE(B557,""ja"",""vi"")"),"thành phẩm")</f>
        <v>thành phẩm</v>
      </c>
      <c r="E557" s="4" t="str">
        <f ca="1">IFERROR(__xludf.DUMMYFUNCTION("GOOGLETRANSLATE(C557,""ja"",""vi"")"),"Đấu giá&gt; đồ chơi, trò chơi&gt; mô hình nhựa&gt; Máy bay&gt; thành phẩm")</f>
        <v>Đấu giá&gt; đồ chơi, trò chơi&gt; mô hình nhựa&gt; Máy bay&gt; thành phẩm</v>
      </c>
      <c r="F557" t="str">
        <f t="shared" ca="1" si="8"/>
        <v>"2084250308" : "thành phẩm",</v>
      </c>
    </row>
    <row r="558" spans="1:6" ht="15.75" customHeight="1">
      <c r="A558" s="14">
        <v>2084250309</v>
      </c>
      <c r="B558" s="14" t="s">
        <v>6909</v>
      </c>
      <c r="C558" s="14" t="s">
        <v>6911</v>
      </c>
      <c r="D558" s="5" t="str">
        <f ca="1">IFERROR(__xludf.DUMMYFUNCTION("GOOGLETRANSLATE(B558,""ja"",""vi"")"),"máy bay chiến đấu")</f>
        <v>máy bay chiến đấu</v>
      </c>
      <c r="E558" s="4" t="str">
        <f ca="1">IFERROR(__xludf.DUMMYFUNCTION("GOOGLETRANSLATE(C558,""ja"",""vi"")"),"Đấu giá&gt; đồ chơi, trò chơi&gt; mô hình nhựa&gt; Máy bay&gt; máy bay quân sự")</f>
        <v>Đấu giá&gt; đồ chơi, trò chơi&gt; mô hình nhựa&gt; Máy bay&gt; máy bay quân sự</v>
      </c>
      <c r="F558" t="str">
        <f t="shared" ca="1" si="8"/>
        <v>"2084250309" : "máy bay chiến đấu",</v>
      </c>
    </row>
    <row r="559" spans="1:6" ht="15.75" customHeight="1">
      <c r="A559" s="14">
        <v>2084250315</v>
      </c>
      <c r="B559" s="14" t="s">
        <v>6912</v>
      </c>
      <c r="C559" s="14" t="s">
        <v>6913</v>
      </c>
      <c r="D559" s="5" t="str">
        <f ca="1">IFERROR(__xludf.DUMMYFUNCTION("GOOGLETRANSLATE(B559,""ja"",""vi"")"),"máy bay chở khách")</f>
        <v>máy bay chở khách</v>
      </c>
      <c r="E559" s="4" t="str">
        <f ca="1">IFERROR(__xludf.DUMMYFUNCTION("GOOGLETRANSLATE(C559,""ja"",""vi"")"),"Đấu giá&gt; đồ chơi, trò chơi&gt; mô hình nhựa&gt; Máy bay&gt; Máy bay")</f>
        <v>Đấu giá&gt; đồ chơi, trò chơi&gt; mô hình nhựa&gt; Máy bay&gt; Máy bay</v>
      </c>
      <c r="F559" t="str">
        <f t="shared" ca="1" si="8"/>
        <v>"2084250315" : "máy bay chở khách",</v>
      </c>
    </row>
    <row r="560" spans="1:6" ht="15.75" customHeight="1">
      <c r="A560" s="14">
        <v>2084250316</v>
      </c>
      <c r="B560" s="14" t="s">
        <v>46</v>
      </c>
      <c r="C560" s="14" t="s">
        <v>6915</v>
      </c>
      <c r="D560" s="5" t="str">
        <f ca="1">IFERROR(__xludf.DUMMYFUNCTION("GOOGLETRANSLATE(B560,""ja"",""vi"")"),"nếu không thì")</f>
        <v>nếu không thì</v>
      </c>
      <c r="E560" s="4" t="str">
        <f ca="1">IFERROR(__xludf.DUMMYFUNCTION("GOOGLETRANSLATE(C560,""ja"",""vi"")"),"Đấu giá&gt; đồ chơi, trò chơi&gt; mô hình nhựa&gt; Máy bay&gt; Khác")</f>
        <v>Đấu giá&gt; đồ chơi, trò chơi&gt; mô hình nhựa&gt; Máy bay&gt; Khác</v>
      </c>
      <c r="F560" t="str">
        <f t="shared" ca="1" si="8"/>
        <v>"2084250316" : "nếu không thì",</v>
      </c>
    </row>
    <row r="561" spans="1:6" ht="15.75" customHeight="1">
      <c r="A561" s="14">
        <v>2084250300</v>
      </c>
      <c r="B561" s="14" t="s">
        <v>3665</v>
      </c>
      <c r="C561" s="14" t="s">
        <v>6918</v>
      </c>
      <c r="D561" s="5" t="str">
        <f ca="1">IFERROR(__xludf.DUMMYFUNCTION("GOOGLETRANSLATE(B561,""ja"",""vi"")"),"thành phẩm")</f>
        <v>thành phẩm</v>
      </c>
      <c r="E561" s="4" t="str">
        <f ca="1">IFERROR(__xludf.DUMMYFUNCTION("GOOGLETRANSLATE(C561,""ja"",""vi"")"),"Đấu giá&gt; đồ chơi, trò chơi&gt; mô hình nhựa&gt; xe máy&gt; thành phẩm")</f>
        <v>Đấu giá&gt; đồ chơi, trò chơi&gt; mô hình nhựa&gt; xe máy&gt; thành phẩm</v>
      </c>
      <c r="F561" t="str">
        <f t="shared" ca="1" si="8"/>
        <v>"2084250300" : "thành phẩm",</v>
      </c>
    </row>
    <row r="562" spans="1:6" ht="15.75" customHeight="1">
      <c r="A562" s="14">
        <v>2084250301</v>
      </c>
      <c r="B562" s="14" t="s">
        <v>6920</v>
      </c>
      <c r="C562" s="14" t="s">
        <v>6922</v>
      </c>
      <c r="D562" s="5" t="str">
        <f ca="1">IFERROR(__xludf.DUMMYFUNCTION("GOOGLETRANSLATE(B562,""ja"",""vi"")"),"Kawasaki")</f>
        <v>Kawasaki</v>
      </c>
      <c r="E562" s="4" t="str">
        <f ca="1">IFERROR(__xludf.DUMMYFUNCTION("GOOGLETRANSLATE(C562,""ja"",""vi"")"),"Đấu giá&gt; đồ chơi, trò chơi&gt; mô hình nhựa&gt; xe máy&gt; Kawasaki")</f>
        <v>Đấu giá&gt; đồ chơi, trò chơi&gt; mô hình nhựa&gt; xe máy&gt; Kawasaki</v>
      </c>
      <c r="F562" t="str">
        <f t="shared" ca="1" si="8"/>
        <v>"2084250301" : "Kawasaki",</v>
      </c>
    </row>
    <row r="563" spans="1:6" ht="15.75" customHeight="1">
      <c r="A563" s="14">
        <v>2084250302</v>
      </c>
      <c r="B563" s="14" t="s">
        <v>6923</v>
      </c>
      <c r="C563" s="14" t="s">
        <v>6924</v>
      </c>
      <c r="D563" s="5" t="str">
        <f ca="1">IFERROR(__xludf.DUMMYFUNCTION("GOOGLETRANSLATE(B563,""ja"",""vi"")"),"Suzuki")</f>
        <v>Suzuki</v>
      </c>
      <c r="E563" s="4" t="str">
        <f ca="1">IFERROR(__xludf.DUMMYFUNCTION("GOOGLETRANSLATE(C563,""ja"",""vi"")"),"Đấu giá&gt; đồ chơi, trò chơi&gt; mô hình nhựa&gt; xe máy&gt; Suzuki")</f>
        <v>Đấu giá&gt; đồ chơi, trò chơi&gt; mô hình nhựa&gt; xe máy&gt; Suzuki</v>
      </c>
      <c r="F563" t="str">
        <f t="shared" ca="1" si="8"/>
        <v>"2084250302" : "Suzuki",</v>
      </c>
    </row>
    <row r="564" spans="1:6" ht="15.75" customHeight="1">
      <c r="A564" s="14">
        <v>2084250304</v>
      </c>
      <c r="B564" s="14" t="s">
        <v>6927</v>
      </c>
      <c r="C564" s="14" t="s">
        <v>6928</v>
      </c>
      <c r="D564" s="5" t="str">
        <f ca="1">IFERROR(__xludf.DUMMYFUNCTION("GOOGLETRANSLATE(B564,""ja"",""vi"")"),"Honda")</f>
        <v>Honda</v>
      </c>
      <c r="E564" s="4" t="str">
        <f ca="1">IFERROR(__xludf.DUMMYFUNCTION("GOOGLETRANSLATE(C564,""ja"",""vi"")"),"Đấu giá&gt; đồ chơi, trò chơi&gt; mô hình nhựa&gt; xe máy&gt; Honda")</f>
        <v>Đấu giá&gt; đồ chơi, trò chơi&gt; mô hình nhựa&gt; xe máy&gt; Honda</v>
      </c>
      <c r="F564" t="str">
        <f t="shared" ca="1" si="8"/>
        <v>"2084250304" : "Honda",</v>
      </c>
    </row>
    <row r="565" spans="1:6" ht="15.75" customHeight="1">
      <c r="A565" s="14">
        <v>2084250305</v>
      </c>
      <c r="B565" s="14" t="s">
        <v>2522</v>
      </c>
      <c r="C565" s="14" t="s">
        <v>6931</v>
      </c>
      <c r="D565" s="5" t="str">
        <f ca="1">IFERROR(__xludf.DUMMYFUNCTION("GOOGLETRANSLATE(B565,""ja"",""vi"")"),"Yamaha")</f>
        <v>Yamaha</v>
      </c>
      <c r="E565" s="4" t="str">
        <f ca="1">IFERROR(__xludf.DUMMYFUNCTION("GOOGLETRANSLATE(C565,""ja"",""vi"")"),"Đấu giá&gt; đồ chơi, trò chơi&gt; mô hình nhựa&gt; xe máy&gt; Yamaha")</f>
        <v>Đấu giá&gt; đồ chơi, trò chơi&gt; mô hình nhựa&gt; xe máy&gt; Yamaha</v>
      </c>
      <c r="F565" t="str">
        <f t="shared" ca="1" si="8"/>
        <v>"2084250305" : "Yamaha",</v>
      </c>
    </row>
    <row r="566" spans="1:6" ht="15.75" customHeight="1">
      <c r="A566" s="14">
        <v>2084250303</v>
      </c>
      <c r="B566" s="14" t="s">
        <v>6934</v>
      </c>
      <c r="C566" s="14" t="s">
        <v>6935</v>
      </c>
      <c r="D566" s="5" t="str">
        <f ca="1">IFERROR(__xludf.DUMMYFUNCTION("GOOGLETRANSLATE(B566,""ja"",""vi"")"),"Harley davidson")</f>
        <v>Harley davidson</v>
      </c>
      <c r="E566" s="4" t="str">
        <f ca="1">IFERROR(__xludf.DUMMYFUNCTION("GOOGLETRANSLATE(C566,""ja"",""vi"")"),"Đấu giá&gt; đồ chơi, trò chơi&gt; nhựa mô hình&gt; xe máy&gt; Harley-Davidson")</f>
        <v>Đấu giá&gt; đồ chơi, trò chơi&gt; nhựa mô hình&gt; xe máy&gt; Harley-Davidson</v>
      </c>
      <c r="F566" t="str">
        <f t="shared" ca="1" si="8"/>
        <v>"2084250303" : "Harley davidson",</v>
      </c>
    </row>
    <row r="567" spans="1:6" ht="15.75" customHeight="1">
      <c r="A567" s="14">
        <v>2084250306</v>
      </c>
      <c r="B567" s="14" t="s">
        <v>46</v>
      </c>
      <c r="C567" s="14" t="s">
        <v>6938</v>
      </c>
      <c r="D567" s="5" t="str">
        <f ca="1">IFERROR(__xludf.DUMMYFUNCTION("GOOGLETRANSLATE(B567,""ja"",""vi"")"),"nếu không thì")</f>
        <v>nếu không thì</v>
      </c>
      <c r="E567" s="4" t="str">
        <f ca="1">IFERROR(__xludf.DUMMYFUNCTION("GOOGLETRANSLATE(C567,""ja"",""vi"")"),"Đấu giá&gt; đồ chơi, trò chơi&gt; mô hình nhựa&gt; xe máy&gt; Khác")</f>
        <v>Đấu giá&gt; đồ chơi, trò chơi&gt; mô hình nhựa&gt; xe máy&gt; Khác</v>
      </c>
      <c r="F567" t="str">
        <f t="shared" ca="1" si="8"/>
        <v>"2084250306" : "nếu không thì",</v>
      </c>
    </row>
    <row r="568" spans="1:6" ht="15.75" customHeight="1">
      <c r="A568" s="15">
        <v>2084250326</v>
      </c>
      <c r="B568" s="14" t="s">
        <v>3665</v>
      </c>
      <c r="C568" s="14" t="s">
        <v>6940</v>
      </c>
      <c r="D568" s="5" t="str">
        <f ca="1">IFERROR(__xludf.DUMMYFUNCTION("GOOGLETRANSLATE(B568,""ja"",""vi"")"),"thành phẩm")</f>
        <v>thành phẩm</v>
      </c>
      <c r="E568" s="4" t="str">
        <f ca="1">IFERROR(__xludf.DUMMYFUNCTION("GOOGLETRANSLATE(C568,""ja"",""vi"")"),"Đấu giá&gt; đồ chơi, trò chơi&gt; mô hình nhựa&gt; xe tăng, xe quân sự&gt; sản phẩm hoàn chỉnh")</f>
        <v>Đấu giá&gt; đồ chơi, trò chơi&gt; mô hình nhựa&gt; xe tăng, xe quân sự&gt; sản phẩm hoàn chỉnh</v>
      </c>
      <c r="F568" t="str">
        <f t="shared" ca="1" si="8"/>
        <v>"2084250326" : "thành phẩm",</v>
      </c>
    </row>
    <row r="569" spans="1:6" ht="15.75" customHeight="1">
      <c r="A569" s="15">
        <v>2084250327</v>
      </c>
      <c r="B569" s="14" t="s">
        <v>6942</v>
      </c>
      <c r="C569" s="14" t="s">
        <v>6943</v>
      </c>
      <c r="D569" s="5" t="str">
        <f ca="1">IFERROR(__xludf.DUMMYFUNCTION("GOOGLETRANSLATE(B569,""ja"",""vi"")"),"Pháo tự hành (SPA)")</f>
        <v>Pháo tự hành (SPA)</v>
      </c>
      <c r="E569" s="4" t="str">
        <f ca="1">IFERROR(__xludf.DUMMYFUNCTION("GOOGLETRANSLATE(C569,""ja"",""vi"")"),"Đấu giá&gt; đồ chơi, trò chơi&gt; mô hình nhựa&gt; xe tăng, xe quân sự&gt; pháo tự hành (SPA)")</f>
        <v>Đấu giá&gt; đồ chơi, trò chơi&gt; mô hình nhựa&gt; xe tăng, xe quân sự&gt; pháo tự hành (SPA)</v>
      </c>
      <c r="F569" t="str">
        <f t="shared" ca="1" si="8"/>
        <v>"2084250327" : "Pháo tự hành (SPA)",</v>
      </c>
    </row>
    <row r="570" spans="1:6" ht="15.75" customHeight="1">
      <c r="A570" s="15">
        <v>2084250328</v>
      </c>
      <c r="B570" s="14" t="s">
        <v>6944</v>
      </c>
      <c r="C570" s="14" t="s">
        <v>6946</v>
      </c>
      <c r="D570" s="5" t="str">
        <f ca="1">IFERROR(__xludf.DUMMYFUNCTION("GOOGLETRANSLATE(B570,""ja"",""vi"")"),"Xe tăng chủ lực (MBT)")</f>
        <v>Xe tăng chủ lực (MBT)</v>
      </c>
      <c r="E570" s="4" t="str">
        <f ca="1">IFERROR(__xludf.DUMMYFUNCTION("GOOGLETRANSLATE(C570,""ja"",""vi"")"),"Đấu giá&gt; đồ chơi, trò chơi&gt; mô hình nhựa&gt; xe tăng, xe quân sự&gt; xe tăng chiến đấu chủ lực (MBT)")</f>
        <v>Đấu giá&gt; đồ chơi, trò chơi&gt; mô hình nhựa&gt; xe tăng, xe quân sự&gt; xe tăng chiến đấu chủ lực (MBT)</v>
      </c>
      <c r="F570" t="str">
        <f t="shared" ca="1" si="8"/>
        <v>"2084250328" : "Xe tăng chủ lực (MBT)",</v>
      </c>
    </row>
    <row r="571" spans="1:6" ht="15.75" customHeight="1">
      <c r="A571" s="15">
        <v>2084250329</v>
      </c>
      <c r="B571" s="14" t="s">
        <v>6948</v>
      </c>
      <c r="C571" s="14" t="s">
        <v>6949</v>
      </c>
      <c r="D571" s="5" t="str">
        <f ca="1">IFERROR(__xludf.DUMMYFUNCTION("GOOGLETRANSLATE(B571,""ja"",""vi"")"),"xe bọc thép (APC)")</f>
        <v>xe bọc thép (APC)</v>
      </c>
      <c r="E571" s="4" t="str">
        <f ca="1">IFERROR(__xludf.DUMMYFUNCTION("GOOGLETRANSLATE(C571,""ja"",""vi"")"),"Đấu giá&gt; đồ chơi, trò chơi&gt; mô hình nhựa&gt; xe tăng, xe quân sự&gt; hãng nhân giáp (APC)")</f>
        <v>Đấu giá&gt; đồ chơi, trò chơi&gt; mô hình nhựa&gt; xe tăng, xe quân sự&gt; hãng nhân giáp (APC)</v>
      </c>
      <c r="F571" t="str">
        <f t="shared" ca="1" si="8"/>
        <v>"2084250329" : "xe bọc thép (APC)",</v>
      </c>
    </row>
    <row r="572" spans="1:6" ht="15.75" customHeight="1">
      <c r="A572" s="15">
        <v>2084250330</v>
      </c>
      <c r="B572" s="14" t="s">
        <v>6951</v>
      </c>
      <c r="C572" s="14" t="s">
        <v>6952</v>
      </c>
      <c r="D572" s="5" t="str">
        <f ca="1">IFERROR(__xludf.DUMMYFUNCTION("GOOGLETRANSLATE(B572,""ja"",""vi"")"),"Flakpanzer (AAT)")</f>
        <v>Flakpanzer (AAT)</v>
      </c>
      <c r="E572" s="4" t="str">
        <f ca="1">IFERROR(__xludf.DUMMYFUNCTION("GOOGLETRANSLATE(C572,""ja"",""vi"")"),"Đấu giá&gt; đồ chơi, trò chơi&gt; mô hình nhựa&gt; xe tăng, xe quân sự&gt; flakpanzer (AAT)")</f>
        <v>Đấu giá&gt; đồ chơi, trò chơi&gt; mô hình nhựa&gt; xe tăng, xe quân sự&gt; flakpanzer (AAT)</v>
      </c>
      <c r="F572" t="str">
        <f t="shared" ca="1" si="8"/>
        <v>"2084250330" : "Flakpanzer (AAT)",</v>
      </c>
    </row>
    <row r="573" spans="1:6" ht="15.75" customHeight="1">
      <c r="A573" s="15">
        <v>2084250331</v>
      </c>
      <c r="B573" s="14" t="s">
        <v>6954</v>
      </c>
      <c r="C573" s="14" t="s">
        <v>6955</v>
      </c>
      <c r="D573" s="5" t="str">
        <f ca="1">IFERROR(__xludf.DUMMYFUNCTION("GOOGLETRANSLATE(B573,""ja"",""vi"")"),"Binh xe chiến đấu (AIFV)")</f>
        <v>Binh xe chiến đấu (AIFV)</v>
      </c>
      <c r="E573" s="4" t="str">
        <f ca="1">IFERROR(__xludf.DUMMYFUNCTION("GOOGLETRANSLATE(C573,""ja"",""vi"")"),"Đấu giá&gt; đồ chơi, trò chơi&gt; mô hình nhựa&gt; xe tăng, xe quân sự&gt; xe chiến đấu bộ binh (AIFV)")</f>
        <v>Đấu giá&gt; đồ chơi, trò chơi&gt; mô hình nhựa&gt; xe tăng, xe quân sự&gt; xe chiến đấu bộ binh (AIFV)</v>
      </c>
      <c r="F573" t="str">
        <f t="shared" ca="1" si="8"/>
        <v>"2084250331" : "Binh xe chiến đấu (AIFV)",</v>
      </c>
    </row>
    <row r="574" spans="1:6" ht="15.75" customHeight="1">
      <c r="A574" s="15">
        <v>2084250332</v>
      </c>
      <c r="B574" s="14" t="s">
        <v>46</v>
      </c>
      <c r="C574" s="14" t="s">
        <v>6958</v>
      </c>
      <c r="D574" s="5" t="str">
        <f ca="1">IFERROR(__xludf.DUMMYFUNCTION("GOOGLETRANSLATE(B574,""ja"",""vi"")"),"nếu không thì")</f>
        <v>nếu không thì</v>
      </c>
      <c r="E574" s="4" t="str">
        <f ca="1">IFERROR(__xludf.DUMMYFUNCTION("GOOGLETRANSLATE(C574,""ja"",""vi"")"),"Đấu giá&gt; đồ chơi, trò chơi&gt; mô hình nhựa&gt; xe tăng, xe quân sự&gt; Khác")</f>
        <v>Đấu giá&gt; đồ chơi, trò chơi&gt; mô hình nhựa&gt; xe tăng, xe quân sự&gt; Khác</v>
      </c>
      <c r="F574" t="str">
        <f t="shared" ca="1" si="8"/>
        <v>"2084250332" : "nếu không thì",</v>
      </c>
    </row>
    <row r="575" spans="1:6" ht="15.75" customHeight="1">
      <c r="A575" s="14">
        <v>2084250318</v>
      </c>
      <c r="B575" s="14" t="s">
        <v>3665</v>
      </c>
      <c r="C575" s="14" t="s">
        <v>6959</v>
      </c>
      <c r="D575" s="5" t="str">
        <f ca="1">IFERROR(__xludf.DUMMYFUNCTION("GOOGLETRANSLATE(B575,""ja"",""vi"")"),"thành phẩm")</f>
        <v>thành phẩm</v>
      </c>
      <c r="E575" s="4" t="str">
        <f ca="1">IFERROR(__xludf.DUMMYFUNCTION("GOOGLETRANSLATE(C575,""ja"",""vi"")"),"Đấu giá&gt; đồ chơi, trò chơi&gt; mô hình nhựa&gt; thuyền, thuyền&gt; thành phẩm")</f>
        <v>Đấu giá&gt; đồ chơi, trò chơi&gt; mô hình nhựa&gt; thuyền, thuyền&gt; thành phẩm</v>
      </c>
      <c r="F575" t="str">
        <f t="shared" ca="1" si="8"/>
        <v>"2084250318" : "thành phẩm",</v>
      </c>
    </row>
    <row r="576" spans="1:6" ht="15.75" customHeight="1">
      <c r="A576" s="14">
        <v>2084250319</v>
      </c>
      <c r="B576" s="14" t="s">
        <v>6961</v>
      </c>
      <c r="C576" s="14" t="s">
        <v>6962</v>
      </c>
      <c r="D576" s="5" t="str">
        <f ca="1">IFERROR(__xludf.DUMMYFUNCTION("GOOGLETRANSLATE(B576,""ja"",""vi"")"),"tàu")</f>
        <v>tàu</v>
      </c>
      <c r="E576" s="4" t="str">
        <f ca="1">IFERROR(__xludf.DUMMYFUNCTION("GOOGLETRANSLATE(C576,""ja"",""vi"")"),"Đấu giá&gt; đồ chơi, trò chơi&gt; mô hình nhựa&gt; thuyền, thuyền&gt; tàu")</f>
        <v>Đấu giá&gt; đồ chơi, trò chơi&gt; mô hình nhựa&gt; thuyền, thuyền&gt; tàu</v>
      </c>
      <c r="F576" t="str">
        <f t="shared" ca="1" si="8"/>
        <v>"2084250319" : "tàu",</v>
      </c>
    </row>
    <row r="577" spans="1:6" ht="15.75" customHeight="1">
      <c r="A577" s="14">
        <v>2084250324</v>
      </c>
      <c r="B577" s="14" t="s">
        <v>46</v>
      </c>
      <c r="C577" s="14" t="s">
        <v>6965</v>
      </c>
      <c r="D577" s="5" t="str">
        <f ca="1">IFERROR(__xludf.DUMMYFUNCTION("GOOGLETRANSLATE(B577,""ja"",""vi"")"),"nếu không thì")</f>
        <v>nếu không thì</v>
      </c>
      <c r="E577" s="4" t="str">
        <f ca="1">IFERROR(__xludf.DUMMYFUNCTION("GOOGLETRANSLATE(C577,""ja"",""vi"")"),"Đấu giá&gt; đồ chơi, trò chơi&gt; mô hình nhựa&gt; thuyền, thuyền&gt; Khác")</f>
        <v>Đấu giá&gt; đồ chơi, trò chơi&gt; mô hình nhựa&gt; thuyền, thuyền&gt; Khác</v>
      </c>
      <c r="F577" t="str">
        <f t="shared" ca="1" si="8"/>
        <v>"2084250324" : "nếu không thì",</v>
      </c>
    </row>
    <row r="578" spans="1:6" ht="15.75" customHeight="1">
      <c r="A578" s="14">
        <v>2084063790</v>
      </c>
      <c r="B578" s="14" t="s">
        <v>6242</v>
      </c>
      <c r="C578" s="14" t="s">
        <v>6970</v>
      </c>
      <c r="D578" s="5" t="str">
        <f ca="1">IFERROR(__xludf.DUMMYFUNCTION("GOOGLETRANSLATE(B578,""ja"",""vi"")"),"dụng cụ")</f>
        <v>dụng cụ</v>
      </c>
      <c r="E578" s="4" t="str">
        <f ca="1">IFERROR(__xludf.DUMMYFUNCTION("GOOGLETRANSLATE(C578,""ja"",""vi"")"),"Đấu giá&gt; Sở thích, văn hóa&gt; Modeling Vật tư&gt; Công cụ")</f>
        <v>Đấu giá&gt; Sở thích, văn hóa&gt; Modeling Vật tư&gt; Công cụ</v>
      </c>
      <c r="F578" t="str">
        <f t="shared" ref="F578:F641" ca="1" si="9">CONCATENATE(CHAR(34)&amp;"",A578,""&amp;CHAR(34)," : ", CHAR(34)&amp;"",D578,""&amp;CHAR(34),",")</f>
        <v>"2084063790" : "dụng cụ",</v>
      </c>
    </row>
    <row r="579" spans="1:6" ht="15.75" customHeight="1">
      <c r="A579" s="14">
        <v>2084063791</v>
      </c>
      <c r="B579" s="14" t="s">
        <v>6971</v>
      </c>
      <c r="C579" s="14" t="s">
        <v>6972</v>
      </c>
      <c r="D579" s="5" t="str">
        <f ca="1">IFERROR(__xludf.DUMMYFUNCTION("GOOGLETRANSLATE(B579,""ja"",""vi"")"),"vẽ cung cấp")</f>
        <v>vẽ cung cấp</v>
      </c>
      <c r="E579" s="4" t="str">
        <f ca="1">IFERROR(__xludf.DUMMYFUNCTION("GOOGLETRANSLATE(C579,""ja"",""vi"")"),"Đấu giá&gt; Sở thích, văn hóa&gt; Modeling Vật tư&gt; nguồn cung cấp sơn")</f>
        <v>Đấu giá&gt; Sở thích, văn hóa&gt; Modeling Vật tư&gt; nguồn cung cấp sơn</v>
      </c>
      <c r="F579" t="str">
        <f t="shared" ca="1" si="9"/>
        <v>"2084063791" : "vẽ cung cấp",</v>
      </c>
    </row>
    <row r="580" spans="1:6" ht="15.75" customHeight="1">
      <c r="A580" s="14">
        <v>2084063795</v>
      </c>
      <c r="B580" s="14" t="s">
        <v>6975</v>
      </c>
      <c r="C580" s="14" t="s">
        <v>6977</v>
      </c>
      <c r="D580" s="5" t="str">
        <f ca="1">IFERROR(__xludf.DUMMYFUNCTION("GOOGLETRANSLATE(B580,""ja"",""vi"")"),"nguồn cung cấp chất kết dính")</f>
        <v>nguồn cung cấp chất kết dính</v>
      </c>
      <c r="E580" s="4" t="str">
        <f ca="1">IFERROR(__xludf.DUMMYFUNCTION("GOOGLETRANSLATE(C580,""ja"",""vi"")"),"Đấu giá&gt; Sở thích, văn hóa&gt; Mô hình hóa Vật tư&gt; nguồn cung cấp chất kết dính")</f>
        <v>Đấu giá&gt; Sở thích, văn hóa&gt; Mô hình hóa Vật tư&gt; nguồn cung cấp chất kết dính</v>
      </c>
      <c r="F580" t="str">
        <f t="shared" ca="1" si="9"/>
        <v>"2084063795" : "nguồn cung cấp chất kết dính",</v>
      </c>
    </row>
    <row r="581" spans="1:6" ht="15.75" customHeight="1">
      <c r="A581" s="14">
        <v>2084251214</v>
      </c>
      <c r="B581" s="14" t="s">
        <v>6984</v>
      </c>
      <c r="C581" s="14" t="s">
        <v>6985</v>
      </c>
      <c r="D581" s="5" t="str">
        <f ca="1">IFERROR(__xludf.DUMMYFUNCTION("GOOGLETRANSLATE(B581,""ja"",""vi"")"),"Hoàn tất sản phẩm (động cơ)")</f>
        <v>Hoàn tất sản phẩm (động cơ)</v>
      </c>
      <c r="E581" s="4" t="str">
        <f ca="1">IFERROR(__xludf.DUMMYFUNCTION("GOOGLETRANSLATE(C581,""ja"",""vi"")"),"Đấu giá&gt; đồ chơi, trò chơi&gt; sở thích điều khiển bằng radio&gt; Ô tô&gt; thành phẩm (động cơ)")</f>
        <v>Đấu giá&gt; đồ chơi, trò chơi&gt; sở thích điều khiển bằng radio&gt; Ô tô&gt; thành phẩm (động cơ)</v>
      </c>
      <c r="F581" t="str">
        <f t="shared" ca="1" si="9"/>
        <v>"2084251214" : "Hoàn tất sản phẩm (động cơ)",</v>
      </c>
    </row>
    <row r="582" spans="1:6" ht="15.75" customHeight="1">
      <c r="A582" s="14">
        <v>2084251215</v>
      </c>
      <c r="B582" s="14" t="s">
        <v>6987</v>
      </c>
      <c r="C582" s="14" t="s">
        <v>6989</v>
      </c>
      <c r="D582" s="5" t="str">
        <f ca="1">IFERROR(__xludf.DUMMYFUNCTION("GOOGLETRANSLATE(B582,""ja"",""vi"")"),"Hoàn tất sản phẩm (điện)")</f>
        <v>Hoàn tất sản phẩm (điện)</v>
      </c>
      <c r="E582" s="4" t="str">
        <f ca="1">IFERROR(__xludf.DUMMYFUNCTION("GOOGLETRANSLATE(C582,""ja"",""vi"")"),"Đấu giá&gt; đồ chơi, trò chơi&gt; sở thích điều khiển bằng radio&gt; Ô tô&gt; thành sản phẩm (điện)")</f>
        <v>Đấu giá&gt; đồ chơi, trò chơi&gt; sở thích điều khiển bằng radio&gt; Ô tô&gt; thành sản phẩm (điện)</v>
      </c>
      <c r="F582" t="str">
        <f t="shared" ca="1" si="9"/>
        <v>"2084251215" : "Hoàn tất sản phẩm (điện)",</v>
      </c>
    </row>
    <row r="583" spans="1:6" ht="15.75" customHeight="1">
      <c r="A583" s="14">
        <v>2084251221</v>
      </c>
      <c r="B583" s="14" t="s">
        <v>6990</v>
      </c>
      <c r="C583" s="14" t="s">
        <v>6992</v>
      </c>
      <c r="D583" s="5" t="str">
        <f ca="1">IFERROR(__xludf.DUMMYFUNCTION("GOOGLETRANSLATE(B583,""ja"",""vi"")"),"bộ lắp ráp (động cơ)")</f>
        <v>bộ lắp ráp (động cơ)</v>
      </c>
      <c r="E583" s="4" t="str">
        <f ca="1">IFERROR(__xludf.DUMMYFUNCTION("GOOGLETRANSLATE(C583,""ja"",""vi"")"),"Đấu giá&gt; đồ chơi, trò chơi&gt; sở thích điều khiển bằng radio&gt; ô tô&gt; lắp ráp kit (động cơ)")</f>
        <v>Đấu giá&gt; đồ chơi, trò chơi&gt; sở thích điều khiển bằng radio&gt; ô tô&gt; lắp ráp kit (động cơ)</v>
      </c>
      <c r="F583" t="str">
        <f t="shared" ca="1" si="9"/>
        <v>"2084251221" : "bộ lắp ráp (động cơ)",</v>
      </c>
    </row>
    <row r="584" spans="1:6" ht="15.75" customHeight="1">
      <c r="A584" s="14">
        <v>2084251222</v>
      </c>
      <c r="B584" s="14" t="s">
        <v>6994</v>
      </c>
      <c r="C584" s="14" t="s">
        <v>6995</v>
      </c>
      <c r="D584" s="5" t="str">
        <f ca="1">IFERROR(__xludf.DUMMYFUNCTION("GOOGLETRANSLATE(B584,""ja"",""vi"")"),"bộ lắp ráp (điện)")</f>
        <v>bộ lắp ráp (điện)</v>
      </c>
      <c r="E584" s="4" t="str">
        <f ca="1">IFERROR(__xludf.DUMMYFUNCTION("GOOGLETRANSLATE(C584,""ja"",""vi"")"),"Đấu giá&gt; đồ chơi, trò chơi&gt; sở thích điều khiển bằng radio&gt; ô tô&gt; lắp ráp kit (điện)")</f>
        <v>Đấu giá&gt; đồ chơi, trò chơi&gt; sở thích điều khiển bằng radio&gt; ô tô&gt; lắp ráp kit (điện)</v>
      </c>
      <c r="F584" t="str">
        <f t="shared" ca="1" si="9"/>
        <v>"2084251222" : "bộ lắp ráp (điện)",</v>
      </c>
    </row>
    <row r="585" spans="1:6" ht="15.75" customHeight="1">
      <c r="A585" s="14">
        <v>2084251228</v>
      </c>
      <c r="B585" s="14" t="s">
        <v>1612</v>
      </c>
      <c r="C585" s="14" t="s">
        <v>6998</v>
      </c>
      <c r="D585" s="5" t="str">
        <f ca="1">IFERROR(__xludf.DUMMYFUNCTION("GOOGLETRANSLATE(B585,""ja"",""vi"")"),"bộ phận")</f>
        <v>bộ phận</v>
      </c>
      <c r="E585" s="4" t="str">
        <f ca="1">IFERROR(__xludf.DUMMYFUNCTION("GOOGLETRANSLATE(C585,""ja"",""vi"")"),"Đấu giá&gt; đồ chơi, trò chơi&gt; sở thích điều khiển bằng radio&gt; Ô tô&gt; Linh kiện")</f>
        <v>Đấu giá&gt; đồ chơi, trò chơi&gt; sở thích điều khiển bằng radio&gt; Ô tô&gt; Linh kiện</v>
      </c>
      <c r="F585" t="str">
        <f t="shared" ca="1" si="9"/>
        <v>"2084251228" : "bộ phận",</v>
      </c>
    </row>
    <row r="586" spans="1:6" ht="15.75" customHeight="1">
      <c r="A586" s="14">
        <v>2084251244</v>
      </c>
      <c r="B586" s="14" t="s">
        <v>46</v>
      </c>
      <c r="C586" s="14" t="s">
        <v>6999</v>
      </c>
      <c r="D586" s="5" t="str">
        <f ca="1">IFERROR(__xludf.DUMMYFUNCTION("GOOGLETRANSLATE(B586,""ja"",""vi"")"),"nếu không thì")</f>
        <v>nếu không thì</v>
      </c>
      <c r="E586" s="4" t="str">
        <f ca="1">IFERROR(__xludf.DUMMYFUNCTION("GOOGLETRANSLATE(C586,""ja"",""vi"")"),"Đấu giá&gt; đồ chơi, trò chơi&gt; sở thích điều khiển bằng radio&gt; Ô tô&gt; Khác")</f>
        <v>Đấu giá&gt; đồ chơi, trò chơi&gt; sở thích điều khiển bằng radio&gt; Ô tô&gt; Khác</v>
      </c>
      <c r="F586" t="str">
        <f t="shared" ca="1" si="9"/>
        <v>"2084251244" : "nếu không thì",</v>
      </c>
    </row>
    <row r="587" spans="1:6" ht="15.75" customHeight="1">
      <c r="A587" s="14">
        <v>2084251246</v>
      </c>
      <c r="B587" s="14" t="s">
        <v>6984</v>
      </c>
      <c r="C587" s="14" t="s">
        <v>7003</v>
      </c>
      <c r="D587" s="5" t="str">
        <f ca="1">IFERROR(__xludf.DUMMYFUNCTION("GOOGLETRANSLATE(B587,""ja"",""vi"")"),"Hoàn tất sản phẩm (động cơ)")</f>
        <v>Hoàn tất sản phẩm (động cơ)</v>
      </c>
      <c r="E587" s="4" t="str">
        <f ca="1">IFERROR(__xludf.DUMMYFUNCTION("GOOGLETRANSLATE(C587,""ja"",""vi"")"),"Đấu giá&gt; đồ chơi, trò chơi&gt; sở thích điều khiển bằng radio&gt; máy bay&gt; thành phẩm (động cơ)")</f>
        <v>Đấu giá&gt; đồ chơi, trò chơi&gt; sở thích điều khiển bằng radio&gt; máy bay&gt; thành phẩm (động cơ)</v>
      </c>
      <c r="F587" t="str">
        <f t="shared" ca="1" si="9"/>
        <v>"2084251246" : "Hoàn tất sản phẩm (động cơ)",</v>
      </c>
    </row>
    <row r="588" spans="1:6" ht="15.75" customHeight="1">
      <c r="A588" s="14">
        <v>2084251247</v>
      </c>
      <c r="B588" s="14" t="s">
        <v>6987</v>
      </c>
      <c r="C588" s="14" t="s">
        <v>7006</v>
      </c>
      <c r="D588" s="5" t="str">
        <f ca="1">IFERROR(__xludf.DUMMYFUNCTION("GOOGLETRANSLATE(B588,""ja"",""vi"")"),"Hoàn tất sản phẩm (điện)")</f>
        <v>Hoàn tất sản phẩm (điện)</v>
      </c>
      <c r="E588" s="4" t="str">
        <f ca="1">IFERROR(__xludf.DUMMYFUNCTION("GOOGLETRANSLATE(C588,""ja"",""vi"")"),"Đấu giá&gt; đồ chơi, trò chơi&gt; sở thích điều khiển bằng radio&gt; máy bay&gt; thành sản phẩm (điện)")</f>
        <v>Đấu giá&gt; đồ chơi, trò chơi&gt; sở thích điều khiển bằng radio&gt; máy bay&gt; thành sản phẩm (điện)</v>
      </c>
      <c r="F588" t="str">
        <f t="shared" ca="1" si="9"/>
        <v>"2084251247" : "Hoàn tất sản phẩm (điện)",</v>
      </c>
    </row>
    <row r="589" spans="1:6" ht="15.75" customHeight="1">
      <c r="A589" s="14">
        <v>2084251248</v>
      </c>
      <c r="B589" s="14" t="s">
        <v>6990</v>
      </c>
      <c r="C589" s="14" t="s">
        <v>7008</v>
      </c>
      <c r="D589" s="5" t="str">
        <f ca="1">IFERROR(__xludf.DUMMYFUNCTION("GOOGLETRANSLATE(B589,""ja"",""vi"")"),"bộ lắp ráp (động cơ)")</f>
        <v>bộ lắp ráp (động cơ)</v>
      </c>
      <c r="E589" s="4" t="str">
        <f ca="1">IFERROR(__xludf.DUMMYFUNCTION("GOOGLETRANSLATE(C589,""ja"",""vi"")"),"Đấu giá&gt; đồ chơi, trò chơi&gt; sở thích điều khiển bằng radio&gt; máy bay&gt; lắp ráp kit (động cơ)")</f>
        <v>Đấu giá&gt; đồ chơi, trò chơi&gt; sở thích điều khiển bằng radio&gt; máy bay&gt; lắp ráp kit (động cơ)</v>
      </c>
      <c r="F589" t="str">
        <f t="shared" ca="1" si="9"/>
        <v>"2084251248" : "bộ lắp ráp (động cơ)",</v>
      </c>
    </row>
    <row r="590" spans="1:6" ht="15.75" customHeight="1">
      <c r="A590" s="14">
        <v>2084251249</v>
      </c>
      <c r="B590" s="14" t="s">
        <v>6994</v>
      </c>
      <c r="C590" s="14" t="s">
        <v>7012</v>
      </c>
      <c r="D590" s="5" t="str">
        <f ca="1">IFERROR(__xludf.DUMMYFUNCTION("GOOGLETRANSLATE(B590,""ja"",""vi"")"),"bộ lắp ráp (điện)")</f>
        <v>bộ lắp ráp (điện)</v>
      </c>
      <c r="E590" s="4" t="str">
        <f ca="1">IFERROR(__xludf.DUMMYFUNCTION("GOOGLETRANSLATE(C590,""ja"",""vi"")"),"Đấu giá&gt; đồ chơi, trò chơi&gt; sở thích điều khiển bằng radio&gt; máy bay&gt; lắp ráp kit (điện)")</f>
        <v>Đấu giá&gt; đồ chơi, trò chơi&gt; sở thích điều khiển bằng radio&gt; máy bay&gt; lắp ráp kit (điện)</v>
      </c>
      <c r="F590" t="str">
        <f t="shared" ca="1" si="9"/>
        <v>"2084251249" : "bộ lắp ráp (điện)",</v>
      </c>
    </row>
    <row r="591" spans="1:6" ht="15.75" customHeight="1">
      <c r="A591" s="14">
        <v>2084251250</v>
      </c>
      <c r="B591" s="14" t="s">
        <v>1612</v>
      </c>
      <c r="C591" s="14" t="s">
        <v>7014</v>
      </c>
      <c r="D591" s="5" t="str">
        <f ca="1">IFERROR(__xludf.DUMMYFUNCTION("GOOGLETRANSLATE(B591,""ja"",""vi"")"),"bộ phận")</f>
        <v>bộ phận</v>
      </c>
      <c r="E591" s="4" t="str">
        <f ca="1">IFERROR(__xludf.DUMMYFUNCTION("GOOGLETRANSLATE(C591,""ja"",""vi"")"),"Đấu giá&gt; đồ chơi, trò chơi&gt; sở thích điều khiển bằng radio&gt; máy bay&gt; phụ tùng")</f>
        <v>Đấu giá&gt; đồ chơi, trò chơi&gt; sở thích điều khiển bằng radio&gt; máy bay&gt; phụ tùng</v>
      </c>
      <c r="F591" t="str">
        <f t="shared" ca="1" si="9"/>
        <v>"2084251250" : "bộ phận",</v>
      </c>
    </row>
    <row r="592" spans="1:6" ht="15.75" customHeight="1">
      <c r="A592" s="14">
        <v>2084251251</v>
      </c>
      <c r="B592" s="14" t="s">
        <v>46</v>
      </c>
      <c r="C592" s="14" t="s">
        <v>7017</v>
      </c>
      <c r="D592" s="5" t="str">
        <f ca="1">IFERROR(__xludf.DUMMYFUNCTION("GOOGLETRANSLATE(B592,""ja"",""vi"")"),"nếu không thì")</f>
        <v>nếu không thì</v>
      </c>
      <c r="E592" s="4" t="str">
        <f ca="1">IFERROR(__xludf.DUMMYFUNCTION("GOOGLETRANSLATE(C592,""ja"",""vi"")"),"Đấu giá&gt; đồ chơi, trò chơi&gt; sở thích điều khiển bằng radio&gt; máy bay&gt; Khác")</f>
        <v>Đấu giá&gt; đồ chơi, trò chơi&gt; sở thích điều khiển bằng radio&gt; máy bay&gt; Khác</v>
      </c>
      <c r="F592" t="str">
        <f t="shared" ca="1" si="9"/>
        <v>"2084251251" : "nếu không thì",</v>
      </c>
    </row>
    <row r="593" spans="1:6" ht="15.75" customHeight="1">
      <c r="A593" s="14">
        <v>2084251253</v>
      </c>
      <c r="B593" s="14" t="s">
        <v>6984</v>
      </c>
      <c r="C593" s="14" t="s">
        <v>7020</v>
      </c>
      <c r="D593" s="5" t="str">
        <f ca="1">IFERROR(__xludf.DUMMYFUNCTION("GOOGLETRANSLATE(B593,""ja"",""vi"")"),"Hoàn tất sản phẩm (động cơ)")</f>
        <v>Hoàn tất sản phẩm (động cơ)</v>
      </c>
      <c r="E593" s="4" t="str">
        <f ca="1">IFERROR(__xludf.DUMMYFUNCTION("GOOGLETRANSLATE(C593,""ja"",""vi"")"),"Đấu giá&gt; đồ chơi, trò chơi&gt; sở thích điều khiển bằng radio&gt; trực thăng&gt; thành phẩm (động cơ)")</f>
        <v>Đấu giá&gt; đồ chơi, trò chơi&gt; sở thích điều khiển bằng radio&gt; trực thăng&gt; thành phẩm (động cơ)</v>
      </c>
      <c r="F593" t="str">
        <f t="shared" ca="1" si="9"/>
        <v>"2084251253" : "Hoàn tất sản phẩm (động cơ)",</v>
      </c>
    </row>
    <row r="594" spans="1:6" ht="15.75" customHeight="1">
      <c r="A594" s="14">
        <v>2084251254</v>
      </c>
      <c r="B594" s="14" t="s">
        <v>6987</v>
      </c>
      <c r="C594" s="14" t="s">
        <v>7021</v>
      </c>
      <c r="D594" s="5" t="str">
        <f ca="1">IFERROR(__xludf.DUMMYFUNCTION("GOOGLETRANSLATE(B594,""ja"",""vi"")"),"Hoàn tất sản phẩm (điện)")</f>
        <v>Hoàn tất sản phẩm (điện)</v>
      </c>
      <c r="E594" s="4" t="str">
        <f ca="1">IFERROR(__xludf.DUMMYFUNCTION("GOOGLETRANSLATE(C594,""ja"",""vi"")"),"Đấu giá&gt; đồ chơi, trò chơi&gt; sở thích điều khiển bằng radio&gt; trực thăng&gt; thành sản phẩm (điện)")</f>
        <v>Đấu giá&gt; đồ chơi, trò chơi&gt; sở thích điều khiển bằng radio&gt; trực thăng&gt; thành sản phẩm (điện)</v>
      </c>
      <c r="F594" t="str">
        <f t="shared" ca="1" si="9"/>
        <v>"2084251254" : "Hoàn tất sản phẩm (điện)",</v>
      </c>
    </row>
    <row r="595" spans="1:6" ht="15.75" customHeight="1">
      <c r="A595" s="14">
        <v>2084251255</v>
      </c>
      <c r="B595" s="14" t="s">
        <v>6990</v>
      </c>
      <c r="C595" s="14" t="s">
        <v>7025</v>
      </c>
      <c r="D595" s="5" t="str">
        <f ca="1">IFERROR(__xludf.DUMMYFUNCTION("GOOGLETRANSLATE(B595,""ja"",""vi"")"),"bộ lắp ráp (động cơ)")</f>
        <v>bộ lắp ráp (động cơ)</v>
      </c>
      <c r="E595" s="4" t="str">
        <f ca="1">IFERROR(__xludf.DUMMYFUNCTION("GOOGLETRANSLATE(C595,""ja"",""vi"")"),"Đấu giá&gt; đồ chơi, trò chơi&gt; sở thích điều khiển bằng radio&gt; trực thăng&gt; lắp ráp kit (động cơ)")</f>
        <v>Đấu giá&gt; đồ chơi, trò chơi&gt; sở thích điều khiển bằng radio&gt; trực thăng&gt; lắp ráp kit (động cơ)</v>
      </c>
      <c r="F595" t="str">
        <f t="shared" ca="1" si="9"/>
        <v>"2084251255" : "bộ lắp ráp (động cơ)",</v>
      </c>
    </row>
    <row r="596" spans="1:6" ht="15.75" customHeight="1">
      <c r="A596" s="14">
        <v>2084251256</v>
      </c>
      <c r="B596" s="14" t="s">
        <v>6994</v>
      </c>
      <c r="C596" s="14" t="s">
        <v>7028</v>
      </c>
      <c r="D596" s="5" t="str">
        <f ca="1">IFERROR(__xludf.DUMMYFUNCTION("GOOGLETRANSLATE(B596,""ja"",""vi"")"),"bộ lắp ráp (điện)")</f>
        <v>bộ lắp ráp (điện)</v>
      </c>
      <c r="E596" s="4" t="str">
        <f ca="1">IFERROR(__xludf.DUMMYFUNCTION("GOOGLETRANSLATE(C596,""ja"",""vi"")"),"Đấu giá&gt; đồ chơi, trò chơi&gt; sở thích điều khiển bằng radio&gt; trực thăng&gt; lắp ráp kit (điện)")</f>
        <v>Đấu giá&gt; đồ chơi, trò chơi&gt; sở thích điều khiển bằng radio&gt; trực thăng&gt; lắp ráp kit (điện)</v>
      </c>
      <c r="F596" t="str">
        <f t="shared" ca="1" si="9"/>
        <v>"2084251256" : "bộ lắp ráp (điện)",</v>
      </c>
    </row>
    <row r="597" spans="1:6" ht="15.75" customHeight="1">
      <c r="A597" s="14">
        <v>2084251257</v>
      </c>
      <c r="B597" s="14" t="s">
        <v>1612</v>
      </c>
      <c r="C597" s="14" t="s">
        <v>7031</v>
      </c>
      <c r="D597" s="5" t="str">
        <f ca="1">IFERROR(__xludf.DUMMYFUNCTION("GOOGLETRANSLATE(B597,""ja"",""vi"")"),"bộ phận")</f>
        <v>bộ phận</v>
      </c>
      <c r="E597" s="4" t="str">
        <f ca="1">IFERROR(__xludf.DUMMYFUNCTION("GOOGLETRANSLATE(C597,""ja"",""vi"")"),"Đấu giá&gt; đồ chơi, trò chơi&gt; sở thích điều khiển bằng radio&gt; trực thăng&gt; Linh kiện")</f>
        <v>Đấu giá&gt; đồ chơi, trò chơi&gt; sở thích điều khiển bằng radio&gt; trực thăng&gt; Linh kiện</v>
      </c>
      <c r="F597" t="str">
        <f t="shared" ca="1" si="9"/>
        <v>"2084251257" : "bộ phận",</v>
      </c>
    </row>
    <row r="598" spans="1:6" ht="15.75" customHeight="1">
      <c r="A598" s="14">
        <v>2084251258</v>
      </c>
      <c r="B598" s="14" t="s">
        <v>46</v>
      </c>
      <c r="C598" s="14" t="s">
        <v>7033</v>
      </c>
      <c r="D598" s="5" t="str">
        <f ca="1">IFERROR(__xludf.DUMMYFUNCTION("GOOGLETRANSLATE(B598,""ja"",""vi"")"),"nếu không thì")</f>
        <v>nếu không thì</v>
      </c>
      <c r="E598" s="4" t="str">
        <f ca="1">IFERROR(__xludf.DUMMYFUNCTION("GOOGLETRANSLATE(C598,""ja"",""vi"")"),"Đấu giá&gt; đồ chơi, trò chơi&gt; sở thích điều khiển bằng radio&gt; trực thăng&gt; Khác")</f>
        <v>Đấu giá&gt; đồ chơi, trò chơi&gt; sở thích điều khiển bằng radio&gt; trực thăng&gt; Khác</v>
      </c>
      <c r="F598" t="str">
        <f t="shared" ca="1" si="9"/>
        <v>"2084251258" : "nếu không thì",</v>
      </c>
    </row>
    <row r="599" spans="1:6" ht="15.75" customHeight="1">
      <c r="A599" s="14">
        <v>2084316146</v>
      </c>
      <c r="B599" s="14" t="s">
        <v>3549</v>
      </c>
      <c r="C599" s="14" t="s">
        <v>3552</v>
      </c>
      <c r="D599" s="5" t="str">
        <f ca="1">IFERROR(__xludf.DUMMYFUNCTION("GOOGLETRANSLATE(B599,""ja"",""vi"")"),"Drone cơ thể")</f>
        <v>Drone cơ thể</v>
      </c>
      <c r="E599" s="4" t="str">
        <f ca="1">IFERROR(__xludf.DUMMYFUNCTION("GOOGLETRANSLATE(C599,""ja"",""vi"")"),"Đấu giá&gt; đồ chơi, trò chơi&gt; sở thích điều khiển bằng radio&gt; bay không người lái&gt; bay không người lái cơ thể")</f>
        <v>Đấu giá&gt; đồ chơi, trò chơi&gt; sở thích điều khiển bằng radio&gt; bay không người lái&gt; bay không người lái cơ thể</v>
      </c>
      <c r="F599" t="str">
        <f t="shared" ca="1" si="9"/>
        <v>"2084316146" : "Drone cơ thể",</v>
      </c>
    </row>
    <row r="600" spans="1:6" ht="15.75" customHeight="1">
      <c r="A600" s="14">
        <v>2084316147</v>
      </c>
      <c r="B600" s="14" t="s">
        <v>3554</v>
      </c>
      <c r="C600" s="14" t="s">
        <v>3556</v>
      </c>
      <c r="D600" s="5" t="str">
        <f ca="1">IFERROR(__xludf.DUMMYFUNCTION("GOOGLETRANSLATE(B600,""ja"",""vi"")"),"Phụ tùng, phụ kiện")</f>
        <v>Phụ tùng, phụ kiện</v>
      </c>
      <c r="E600" s="4" t="str">
        <f ca="1">IFERROR(__xludf.DUMMYFUNCTION("GOOGLETRANSLATE(C600,""ja"",""vi"")"),"Đấu giá&gt; đồ chơi, trò chơi&gt; sở thích điều khiển bằng radio&gt; bay không người lái&gt; phụ tùng, phụ kiện")</f>
        <v>Đấu giá&gt; đồ chơi, trò chơi&gt; sở thích điều khiển bằng radio&gt; bay không người lái&gt; phụ tùng, phụ kiện</v>
      </c>
      <c r="F600" t="str">
        <f t="shared" ca="1" si="9"/>
        <v>"2084316147" : "Phụ tùng, phụ kiện",</v>
      </c>
    </row>
    <row r="601" spans="1:6" ht="15.75" customHeight="1">
      <c r="A601" s="14">
        <v>2084251263</v>
      </c>
      <c r="B601" s="14" t="s">
        <v>7041</v>
      </c>
      <c r="C601" s="14" t="s">
        <v>7042</v>
      </c>
      <c r="D601" s="5" t="str">
        <f ca="1">IFERROR(__xludf.DUMMYFUNCTION("GOOGLETRANSLATE(B601,""ja"",""vi"")"),"Đài phát thanh bộ")</f>
        <v>Đài phát thanh bộ</v>
      </c>
      <c r="E601" s="4" t="str">
        <f ca="1">IFERROR(__xludf.DUMMYFUNCTION("GOOGLETRANSLATE(C601,""ja"",""vi"")"),"Đấu giá&gt; đồ chơi, trò chơi&gt; sở thích điều khiển bằng radio&gt; propoxycarbonyl&gt; bộ Đài phát thanh")</f>
        <v>Đấu giá&gt; đồ chơi, trò chơi&gt; sở thích điều khiển bằng radio&gt; propoxycarbonyl&gt; bộ Đài phát thanh</v>
      </c>
      <c r="F601" t="str">
        <f t="shared" ca="1" si="9"/>
        <v>"2084251263" : "Đài phát thanh bộ",</v>
      </c>
    </row>
    <row r="602" spans="1:6" ht="15.75" customHeight="1">
      <c r="A602" s="14">
        <v>2084251266</v>
      </c>
      <c r="B602" s="14" t="s">
        <v>7043</v>
      </c>
      <c r="C602" s="14" t="s">
        <v>7045</v>
      </c>
      <c r="D602" s="5" t="str">
        <f ca="1">IFERROR(__xludf.DUMMYFUNCTION("GOOGLETRANSLATE(B602,""ja"",""vi"")"),"servo")</f>
        <v>servo</v>
      </c>
      <c r="E602" s="4" t="str">
        <f ca="1">IFERROR(__xludf.DUMMYFUNCTION("GOOGLETRANSLATE(C602,""ja"",""vi"")"),"Đấu giá&gt; đồ chơi, trò chơi&gt; sở thích điều khiển bằng radio&gt; propoxycarbonyl&gt; servo")</f>
        <v>Đấu giá&gt; đồ chơi, trò chơi&gt; sở thích điều khiển bằng radio&gt; propoxycarbonyl&gt; servo</v>
      </c>
      <c r="F602" t="str">
        <f t="shared" ca="1" si="9"/>
        <v>"2084251266" : "servo",</v>
      </c>
    </row>
    <row r="603" spans="1:6" ht="15.75" customHeight="1">
      <c r="A603" s="14">
        <v>2084251265</v>
      </c>
      <c r="B603" s="14" t="s">
        <v>7047</v>
      </c>
      <c r="C603" s="14" t="s">
        <v>7048</v>
      </c>
      <c r="D603" s="5" t="str">
        <f ca="1">IFERROR(__xludf.DUMMYFUNCTION("GOOGLETRANSLATE(B603,""ja"",""vi"")"),"Một máy thu")</f>
        <v>Một máy thu</v>
      </c>
      <c r="E603" s="4" t="str">
        <f ca="1">IFERROR(__xludf.DUMMYFUNCTION("GOOGLETRANSLATE(C603,""ja"",""vi"")"),"Đấu giá&gt; đồ chơi, trò chơi&gt; sở thích điều khiển bằng radio&gt; propoxycarbonyl&gt; receiver")</f>
        <v>Đấu giá&gt; đồ chơi, trò chơi&gt; sở thích điều khiển bằng radio&gt; propoxycarbonyl&gt; receiver</v>
      </c>
      <c r="F603" t="str">
        <f t="shared" ca="1" si="9"/>
        <v>"2084251265" : "Một máy thu",</v>
      </c>
    </row>
    <row r="604" spans="1:6" ht="15.75" customHeight="1">
      <c r="A604" s="14">
        <v>2084251264</v>
      </c>
      <c r="B604" s="14" t="s">
        <v>7050</v>
      </c>
      <c r="C604" s="14" t="s">
        <v>7052</v>
      </c>
      <c r="D604" s="5" t="str">
        <f ca="1">IFERROR(__xludf.DUMMYFUNCTION("GOOGLETRANSLATE(B604,""ja"",""vi"")"),"transmitter")</f>
        <v>transmitter</v>
      </c>
      <c r="E604" s="4" t="str">
        <f ca="1">IFERROR(__xludf.DUMMYFUNCTION("GOOGLETRANSLATE(C604,""ja"",""vi"")"),"Đấu giá&gt; đồ chơi, trò chơi&gt; sở thích điều khiển bằng radio&gt; propoxycarbonyl&gt; phát")</f>
        <v>Đấu giá&gt; đồ chơi, trò chơi&gt; sở thích điều khiển bằng radio&gt; propoxycarbonyl&gt; phát</v>
      </c>
      <c r="F604" t="str">
        <f t="shared" ca="1" si="9"/>
        <v>"2084251264" : "transmitter",</v>
      </c>
    </row>
    <row r="605" spans="1:6" ht="15.75" customHeight="1">
      <c r="A605" s="14">
        <v>2084251267</v>
      </c>
      <c r="B605" s="14" t="s">
        <v>46</v>
      </c>
      <c r="C605" s="14" t="s">
        <v>7055</v>
      </c>
      <c r="D605" s="5" t="str">
        <f ca="1">IFERROR(__xludf.DUMMYFUNCTION("GOOGLETRANSLATE(B605,""ja"",""vi"")"),"nếu không thì")</f>
        <v>nếu không thì</v>
      </c>
      <c r="E605" s="4" t="str">
        <f ca="1">IFERROR(__xludf.DUMMYFUNCTION("GOOGLETRANSLATE(C605,""ja"",""vi"")"),"Đấu giá&gt; đồ chơi, trò chơi&gt; sở thích điều khiển bằng radio&gt; propoxycarbonyl&gt; Khác")</f>
        <v>Đấu giá&gt; đồ chơi, trò chơi&gt; sở thích điều khiển bằng radio&gt; propoxycarbonyl&gt; Khác</v>
      </c>
      <c r="F605" t="str">
        <f t="shared" ca="1" si="9"/>
        <v>"2084251267" : "nếu không thì",</v>
      </c>
    </row>
    <row r="606" spans="1:6" ht="15.75" customHeight="1">
      <c r="A606" s="14">
        <v>2084063790</v>
      </c>
      <c r="B606" s="14" t="s">
        <v>6242</v>
      </c>
      <c r="C606" s="14" t="s">
        <v>6970</v>
      </c>
      <c r="D606" s="5" t="str">
        <f ca="1">IFERROR(__xludf.DUMMYFUNCTION("GOOGLETRANSLATE(B606,""ja"",""vi"")"),"dụng cụ")</f>
        <v>dụng cụ</v>
      </c>
      <c r="E606" s="4" t="str">
        <f ca="1">IFERROR(__xludf.DUMMYFUNCTION("GOOGLETRANSLATE(C606,""ja"",""vi"")"),"Đấu giá&gt; Sở thích, văn hóa&gt; Modeling Vật tư&gt; Công cụ")</f>
        <v>Đấu giá&gt; Sở thích, văn hóa&gt; Modeling Vật tư&gt; Công cụ</v>
      </c>
      <c r="F606" t="str">
        <f t="shared" ca="1" si="9"/>
        <v>"2084063790" : "dụng cụ",</v>
      </c>
    </row>
    <row r="607" spans="1:6" ht="15.75" customHeight="1">
      <c r="A607" s="14">
        <v>2084063791</v>
      </c>
      <c r="B607" s="14" t="s">
        <v>6971</v>
      </c>
      <c r="C607" s="14" t="s">
        <v>6972</v>
      </c>
      <c r="D607" s="5" t="str">
        <f ca="1">IFERROR(__xludf.DUMMYFUNCTION("GOOGLETRANSLATE(B607,""ja"",""vi"")"),"vẽ cung cấp")</f>
        <v>vẽ cung cấp</v>
      </c>
      <c r="E607" s="4" t="str">
        <f ca="1">IFERROR(__xludf.DUMMYFUNCTION("GOOGLETRANSLATE(C607,""ja"",""vi"")"),"Đấu giá&gt; Sở thích, văn hóa&gt; Modeling Vật tư&gt; nguồn cung cấp sơn")</f>
        <v>Đấu giá&gt; Sở thích, văn hóa&gt; Modeling Vật tư&gt; nguồn cung cấp sơn</v>
      </c>
      <c r="F607" t="str">
        <f t="shared" ca="1" si="9"/>
        <v>"2084063791" : "vẽ cung cấp",</v>
      </c>
    </row>
    <row r="608" spans="1:6" ht="15.75" customHeight="1">
      <c r="A608" s="14">
        <v>2084063795</v>
      </c>
      <c r="B608" s="14" t="s">
        <v>6975</v>
      </c>
      <c r="C608" s="14" t="s">
        <v>6977</v>
      </c>
      <c r="D608" s="5" t="str">
        <f ca="1">IFERROR(__xludf.DUMMYFUNCTION("GOOGLETRANSLATE(B608,""ja"",""vi"")"),"nguồn cung cấp chất kết dính")</f>
        <v>nguồn cung cấp chất kết dính</v>
      </c>
      <c r="E608" s="4" t="str">
        <f ca="1">IFERROR(__xludf.DUMMYFUNCTION("GOOGLETRANSLATE(C608,""ja"",""vi"")"),"Đấu giá&gt; Sở thích, văn hóa&gt; Mô hình hóa Vật tư&gt; nguồn cung cấp chất kết dính")</f>
        <v>Đấu giá&gt; Sở thích, văn hóa&gt; Mô hình hóa Vật tư&gt; nguồn cung cấp chất kết dính</v>
      </c>
      <c r="F608" t="str">
        <f t="shared" ca="1" si="9"/>
        <v>"2084063795" : "nguồn cung cấp chất kết dính",</v>
      </c>
    </row>
    <row r="609" spans="1:6" ht="15.75" customHeight="1">
      <c r="A609" s="14">
        <v>2084261089</v>
      </c>
      <c r="B609" s="14" t="s">
        <v>7060</v>
      </c>
      <c r="C609" s="14" t="s">
        <v>7061</v>
      </c>
      <c r="D609" s="5" t="str">
        <f ca="1">IFERROR(__xludf.DUMMYFUNCTION("GOOGLETRANSLATE(B609,""ja"",""vi"")"),"hpi · đua")</f>
        <v>hpi · đua</v>
      </c>
      <c r="E609" s="4" t="str">
        <f ca="1">IFERROR(__xludf.DUMMYFUNCTION("GOOGLETRANSLATE(C609,""ja"",""vi"")"),"Đấu giá&gt; đồ chơi, trò chơi&gt; minicar&gt; ô tô&gt; hpi · đua")</f>
        <v>Đấu giá&gt; đồ chơi, trò chơi&gt; minicar&gt; ô tô&gt; hpi · đua</v>
      </c>
      <c r="F609" t="str">
        <f t="shared" ca="1" si="9"/>
        <v>"2084261089" : "hpi · đua",</v>
      </c>
    </row>
    <row r="610" spans="1:6" ht="15.75" customHeight="1">
      <c r="A610" s="14">
        <v>2084260115</v>
      </c>
      <c r="B610" s="14" t="s">
        <v>7062</v>
      </c>
      <c r="C610" s="14" t="s">
        <v>7063</v>
      </c>
      <c r="D610" s="5" t="str">
        <f ca="1">IFERROR(__xludf.DUMMYFUNCTION("GOOGLETRANSLATE(B610,""ja"",""vi"")"),"Ateru")</f>
        <v>Ateru</v>
      </c>
      <c r="E610" s="4" t="str">
        <f ca="1">IFERROR(__xludf.DUMMYFUNCTION("GOOGLETRANSLATE(C610,""ja"",""vi"")"),"Đấu giá&gt; đồ chơi, trò chơi&gt; minicar&gt; ô tô&gt; Ateru")</f>
        <v>Đấu giá&gt; đồ chơi, trò chơi&gt; minicar&gt; ô tô&gt; Ateru</v>
      </c>
      <c r="F610" t="str">
        <f t="shared" ca="1" si="9"/>
        <v>"2084260115" : "Ateru",</v>
      </c>
    </row>
    <row r="611" spans="1:6" ht="15.75" customHeight="1">
      <c r="A611" s="14">
        <v>2084260116</v>
      </c>
      <c r="B611" s="14" t="s">
        <v>7066</v>
      </c>
      <c r="C611" s="14" t="s">
        <v>7067</v>
      </c>
      <c r="D611" s="5" t="str">
        <f ca="1">IFERROR(__xludf.DUMMYFUNCTION("GOOGLETRANSLATE(B611,""ja"",""vi"")"),"Aoshima")</f>
        <v>Aoshima</v>
      </c>
      <c r="E611" s="4" t="str">
        <f ca="1">IFERROR(__xludf.DUMMYFUNCTION("GOOGLETRANSLATE(C611,""ja"",""vi"")"),"Đấu giá&gt; đồ chơi, trò chơi&gt; minicar&gt; ô tô&gt; Aoshima")</f>
        <v>Đấu giá&gt; đồ chơi, trò chơi&gt; minicar&gt; ô tô&gt; Aoshima</v>
      </c>
      <c r="F611" t="str">
        <f t="shared" ca="1" si="9"/>
        <v>"2084260116" : "Aoshima",</v>
      </c>
    </row>
    <row r="612" spans="1:6" ht="15.75" customHeight="1">
      <c r="A612" s="14">
        <v>2084260117</v>
      </c>
      <c r="B612" s="14" t="s">
        <v>7068</v>
      </c>
      <c r="C612" s="14" t="s">
        <v>7070</v>
      </c>
      <c r="D612" s="5" t="str">
        <f ca="1">IFERROR(__xludf.DUMMYFUNCTION("GOOGLETRANSLATE(B612,""ja"",""vi"")"),"Ikuso")</f>
        <v>Ikuso</v>
      </c>
      <c r="E612" s="4" t="str">
        <f ca="1">IFERROR(__xludf.DUMMYFUNCTION("GOOGLETRANSLATE(C612,""ja"",""vi"")"),"Đấu giá&gt; đồ chơi, trò chơi&gt; minicar&gt; ô tô&gt; Ikuso")</f>
        <v>Đấu giá&gt; đồ chơi, trò chơi&gt; minicar&gt; ô tô&gt; Ikuso</v>
      </c>
      <c r="F612" t="str">
        <f t="shared" ca="1" si="9"/>
        <v>"2084260117" : "Ikuso",</v>
      </c>
    </row>
    <row r="613" spans="1:6" ht="15.75" customHeight="1">
      <c r="A613" s="14">
        <v>2084260120</v>
      </c>
      <c r="B613" s="14" t="s">
        <v>7072</v>
      </c>
      <c r="C613" s="14" t="s">
        <v>7073</v>
      </c>
      <c r="D613" s="5" t="str">
        <f ca="1">IFERROR(__xludf.DUMMYFUNCTION("GOOGLETRANSLATE(B613,""ja"",""vi"")"),"Weri")</f>
        <v>Weri</v>
      </c>
      <c r="E613" s="4" t="str">
        <f ca="1">IFERROR(__xludf.DUMMYFUNCTION("GOOGLETRANSLATE(C613,""ja"",""vi"")"),"Đấu giá&gt; đồ chơi, trò chơi&gt; minicar&gt; ô tô&gt; Weri")</f>
        <v>Đấu giá&gt; đồ chơi, trò chơi&gt; minicar&gt; ô tô&gt; Weri</v>
      </c>
      <c r="F613" t="str">
        <f t="shared" ca="1" si="9"/>
        <v>"2084260120" : "Weri",</v>
      </c>
    </row>
    <row r="614" spans="1:6" ht="15.75" customHeight="1">
      <c r="A614" s="14">
        <v>2084260121</v>
      </c>
      <c r="B614" s="14" t="s">
        <v>7077</v>
      </c>
      <c r="C614" s="14" t="s">
        <v>7078</v>
      </c>
      <c r="D614" s="5" t="str">
        <f ca="1">IFERROR(__xludf.DUMMYFUNCTION("GOOGLETRANSLATE(B614,""ja"",""vi"")"),"Eguzoto")</f>
        <v>Eguzoto</v>
      </c>
      <c r="E614" s="4" t="str">
        <f ca="1">IFERROR(__xludf.DUMMYFUNCTION("GOOGLETRANSLATE(C614,""ja"",""vi"")"),"Đấu giá&gt; đồ chơi, trò chơi&gt; minicar&gt; ô tô&gt; Eguzoto")</f>
        <v>Đấu giá&gt; đồ chơi, trò chơi&gt; minicar&gt; ô tô&gt; Eguzoto</v>
      </c>
      <c r="F614" t="str">
        <f t="shared" ca="1" si="9"/>
        <v>"2084260121" : "Eguzoto",</v>
      </c>
    </row>
    <row r="615" spans="1:6" ht="15.75" customHeight="1">
      <c r="A615" s="14">
        <v>2084260122</v>
      </c>
      <c r="B615" s="14" t="s">
        <v>7079</v>
      </c>
      <c r="C615" s="14" t="s">
        <v>7081</v>
      </c>
      <c r="D615" s="5" t="str">
        <f ca="1">IFERROR(__xludf.DUMMYFUNCTION("GOOGLETRANSLATE(B615,""ja"",""vi"")"),"Ebro")</f>
        <v>Ebro</v>
      </c>
      <c r="E615" s="4" t="str">
        <f ca="1">IFERROR(__xludf.DUMMYFUNCTION("GOOGLETRANSLATE(C615,""ja"",""vi"")"),"Đấu giá&gt; đồ chơi, trò chơi&gt; minicar&gt; ô tô&gt; Ebro")</f>
        <v>Đấu giá&gt; đồ chơi, trò chơi&gt; minicar&gt; ô tô&gt; Ebro</v>
      </c>
      <c r="F615" t="str">
        <f t="shared" ca="1" si="9"/>
        <v>"2084260122" : "Ebro",</v>
      </c>
    </row>
    <row r="616" spans="1:6" ht="15.75" customHeight="1">
      <c r="A616" s="14">
        <v>2084260126</v>
      </c>
      <c r="B616" s="14" t="s">
        <v>7083</v>
      </c>
      <c r="C616" s="14" t="s">
        <v>7084</v>
      </c>
      <c r="D616" s="5" t="str">
        <f ca="1">IFERROR(__xludf.DUMMYFUNCTION("GOOGLETRANSLATE(B616,""ja"",""vi"")"),"MTEC")</f>
        <v>MTEC</v>
      </c>
      <c r="E616" s="4" t="str">
        <f ca="1">IFERROR(__xludf.DUMMYFUNCTION("GOOGLETRANSLATE(C616,""ja"",""vi"")"),"Đấu giá&gt; đồ chơi, trò chơi&gt; minicar&gt; ô tô&gt; MTEC")</f>
        <v>Đấu giá&gt; đồ chơi, trò chơi&gt; minicar&gt; ô tô&gt; MTEC</v>
      </c>
      <c r="F616" t="str">
        <f t="shared" ca="1" si="9"/>
        <v>"2084260126" : "MTEC",</v>
      </c>
    </row>
    <row r="617" spans="1:6" ht="15.75" customHeight="1">
      <c r="A617" s="14">
        <v>2084260127</v>
      </c>
      <c r="B617" s="14" t="s">
        <v>7086</v>
      </c>
      <c r="C617" s="14" t="s">
        <v>7087</v>
      </c>
      <c r="D617" s="5" t="str">
        <f ca="1">IFERROR(__xludf.DUMMYFUNCTION("GOOGLETRANSLATE(B617,""ja"",""vi"")"),"Auto Art")</f>
        <v>Auto Art</v>
      </c>
      <c r="E617" s="4" t="str">
        <f ca="1">IFERROR(__xludf.DUMMYFUNCTION("GOOGLETRANSLATE(C617,""ja"",""vi"")"),"Đấu giá&gt; đồ chơi, trò chơi&gt; minicar&gt; ô tô&gt; Auto Art")</f>
        <v>Đấu giá&gt; đồ chơi, trò chơi&gt; minicar&gt; ô tô&gt; Auto Art</v>
      </c>
      <c r="F617" t="str">
        <f t="shared" ca="1" si="9"/>
        <v>"2084260127" : "Auto Art",</v>
      </c>
    </row>
    <row r="618" spans="1:6" ht="15.75" customHeight="1">
      <c r="A618" s="14">
        <v>2084260131</v>
      </c>
      <c r="B618" s="14" t="s">
        <v>7089</v>
      </c>
      <c r="C618" s="14" t="s">
        <v>7090</v>
      </c>
      <c r="D618" s="5" t="str">
        <f ca="1">IFERROR(__xludf.DUMMYFUNCTION("GOOGLETRANSLATE(B618,""ja"",""vi"")"),"Corgi")</f>
        <v>Corgi</v>
      </c>
      <c r="E618" s="4" t="str">
        <f ca="1">IFERROR(__xludf.DUMMYFUNCTION("GOOGLETRANSLATE(C618,""ja"",""vi"")"),"Đấu giá&gt; đồ chơi, trò chơi&gt; minicar&gt; ô tô&gt; Corgi")</f>
        <v>Đấu giá&gt; đồ chơi, trò chơi&gt; minicar&gt; ô tô&gt; Corgi</v>
      </c>
      <c r="F618" t="str">
        <f t="shared" ca="1" si="9"/>
        <v>"2084260131" : "Corgi",</v>
      </c>
    </row>
    <row r="619" spans="1:6" ht="15.75" customHeight="1">
      <c r="A619" s="14">
        <v>2084260132</v>
      </c>
      <c r="B619" s="14" t="s">
        <v>7093</v>
      </c>
      <c r="C619" s="14" t="s">
        <v>7094</v>
      </c>
      <c r="D619" s="5" t="str">
        <f ca="1">IFERROR(__xludf.DUMMYFUNCTION("GOOGLETRANSLATE(B619,""ja"",""vi"")"),"Konami")</f>
        <v>Konami</v>
      </c>
      <c r="E619" s="4" t="str">
        <f ca="1">IFERROR(__xludf.DUMMYFUNCTION("GOOGLETRANSLATE(C619,""ja"",""vi"")"),"Đấu giá&gt; đồ chơi, trò chơi&gt; minicar&gt; ô tô&gt; Konami")</f>
        <v>Đấu giá&gt; đồ chơi, trò chơi&gt; minicar&gt; ô tô&gt; Konami</v>
      </c>
      <c r="F619" t="str">
        <f t="shared" ca="1" si="9"/>
        <v>"2084260132" : "Konami",</v>
      </c>
    </row>
    <row r="620" spans="1:6" ht="15.75" customHeight="1">
      <c r="A620" s="14">
        <v>2084260133</v>
      </c>
      <c r="B620" s="14" t="s">
        <v>7097</v>
      </c>
      <c r="C620" s="14" t="s">
        <v>7099</v>
      </c>
      <c r="D620" s="5" t="str">
        <f ca="1">IFERROR(__xludf.DUMMYFUNCTION("GOOGLETRANSLATE(B620,""ja"",""vi"")"),"Kyosho")</f>
        <v>Kyosho</v>
      </c>
      <c r="E620" s="4" t="str">
        <f ca="1">IFERROR(__xludf.DUMMYFUNCTION("GOOGLETRANSLATE(C620,""ja"",""vi"")"),"Đấu giá&gt; đồ chơi, trò chơi&gt; minicar&gt; ô tô&gt; Kyosho")</f>
        <v>Đấu giá&gt; đồ chơi, trò chơi&gt; minicar&gt; ô tô&gt; Kyosho</v>
      </c>
      <c r="F620" t="str">
        <f t="shared" ca="1" si="9"/>
        <v>"2084260133" : "Kyosho",</v>
      </c>
    </row>
    <row r="621" spans="1:6" ht="15.75" customHeight="1">
      <c r="A621" s="14">
        <v>2084260137</v>
      </c>
      <c r="B621" s="14" t="s">
        <v>7101</v>
      </c>
      <c r="C621" s="14" t="s">
        <v>7102</v>
      </c>
      <c r="D621" s="5" t="str">
        <f ca="1">IFERROR(__xludf.DUMMYFUNCTION("GOOGLETRANSLATE(B621,""ja"",""vi"")"),"Jada Đồ chơi")</f>
        <v>Jada Đồ chơi</v>
      </c>
      <c r="E621" s="4" t="str">
        <f ca="1">IFERROR(__xludf.DUMMYFUNCTION("GOOGLETRANSLATE(C621,""ja"",""vi"")"),"Đấu giá&gt; đồ chơi, trò chơi&gt; minicar&gt; ô tô&gt; Đồ chơi Jada")</f>
        <v>Đấu giá&gt; đồ chơi, trò chơi&gt; minicar&gt; ô tô&gt; Đồ chơi Jada</v>
      </c>
      <c r="F621" t="str">
        <f t="shared" ca="1" si="9"/>
        <v>"2084260137" : "Jada Đồ chơi",</v>
      </c>
    </row>
    <row r="622" spans="1:6" ht="15.75" customHeight="1">
      <c r="A622" s="14">
        <v>2084260138</v>
      </c>
      <c r="B622" s="14" t="s">
        <v>7103</v>
      </c>
      <c r="C622" s="14" t="s">
        <v>7105</v>
      </c>
      <c r="D622" s="5" t="str">
        <f ca="1">IFERROR(__xludf.DUMMYFUNCTION("GOOGLETRANSLATE(B622,""ja"",""vi"")"),"Sunstar")</f>
        <v>Sunstar</v>
      </c>
      <c r="E622" s="4" t="str">
        <f ca="1">IFERROR(__xludf.DUMMYFUNCTION("GOOGLETRANSLATE(C622,""ja"",""vi"")"),"Đấu giá&gt; đồ chơi, trò chơi&gt; minicar&gt; ô tô&gt; Sunstar")</f>
        <v>Đấu giá&gt; đồ chơi, trò chơi&gt; minicar&gt; ô tô&gt; Sunstar</v>
      </c>
      <c r="F622" t="str">
        <f t="shared" ca="1" si="9"/>
        <v>"2084260138" : "Sunstar",</v>
      </c>
    </row>
    <row r="623" spans="1:6" ht="15.75" customHeight="1">
      <c r="A623" s="14">
        <v>2084260139</v>
      </c>
      <c r="B623" s="14" t="s">
        <v>7107</v>
      </c>
      <c r="C623" s="14" t="s">
        <v>7108</v>
      </c>
      <c r="D623" s="5" t="str">
        <f ca="1">IFERROR(__xludf.DUMMYFUNCTION("GOOGLETRANSLATE(B623,""ja"",""vi"")"),"Shuko")</f>
        <v>Shuko</v>
      </c>
      <c r="E623" s="4" t="str">
        <f ca="1">IFERROR(__xludf.DUMMYFUNCTION("GOOGLETRANSLATE(C623,""ja"",""vi"")"),"Đấu giá&gt; đồ chơi, trò chơi&gt; minicar&gt; ô tô&gt; Shuko")</f>
        <v>Đấu giá&gt; đồ chơi, trò chơi&gt; minicar&gt; ô tô&gt; Shuko</v>
      </c>
      <c r="F623" t="str">
        <f t="shared" ca="1" si="9"/>
        <v>"2084260139" : "Shuko",</v>
      </c>
    </row>
    <row r="624" spans="1:6" ht="15.75" customHeight="1">
      <c r="A624" s="14">
        <v>2084260140</v>
      </c>
      <c r="B624" s="14" t="s">
        <v>7111</v>
      </c>
      <c r="C624" s="14" t="s">
        <v>7113</v>
      </c>
      <c r="D624" s="5" t="str">
        <f ca="1">IFERROR(__xludf.DUMMYFUNCTION("GOOGLETRANSLATE(B624,""ja"",""vi"")"),"Johnny sét")</f>
        <v>Johnny sét</v>
      </c>
      <c r="E624" s="4" t="str">
        <f ca="1">IFERROR(__xludf.DUMMYFUNCTION("GOOGLETRANSLATE(C624,""ja"",""vi"")"),"Đấu giá&gt; đồ chơi, trò chơi&gt; minicar&gt; ô tô&gt; Johnny sét")</f>
        <v>Đấu giá&gt; đồ chơi, trò chơi&gt; minicar&gt; ô tô&gt; Johnny sét</v>
      </c>
      <c r="F624" t="str">
        <f t="shared" ca="1" si="9"/>
        <v>"2084260140" : "Johnny sét",</v>
      </c>
    </row>
    <row r="625" spans="1:6" ht="15.75" customHeight="1">
      <c r="A625" s="14">
        <v>2084260141</v>
      </c>
      <c r="B625" s="14" t="s">
        <v>7114</v>
      </c>
      <c r="C625" s="14" t="s">
        <v>7115</v>
      </c>
      <c r="D625" s="5" t="str">
        <f ca="1">IFERROR(__xludf.DUMMYFUNCTION("GOOGLETRANSLATE(B625,""ja"",""vi"")"),"mô hình Spark")</f>
        <v>mô hình Spark</v>
      </c>
      <c r="E625" s="4" t="str">
        <f ca="1">IFERROR(__xludf.DUMMYFUNCTION("GOOGLETRANSLATE(C625,""ja"",""vi"")"),"Đấu giá&gt; đồ chơi, trò chơi&gt; minicar&gt; ô tô&gt; mô hình tia lửa")</f>
        <v>Đấu giá&gt; đồ chơi, trò chơi&gt; minicar&gt; ô tô&gt; mô hình tia lửa</v>
      </c>
      <c r="F625" t="str">
        <f t="shared" ca="1" si="9"/>
        <v>"2084260141" : "mô hình Spark",</v>
      </c>
    </row>
    <row r="626" spans="1:6" ht="15.75" customHeight="1">
      <c r="A626" s="14">
        <v>2084260144</v>
      </c>
      <c r="B626" s="14" t="s">
        <v>7118</v>
      </c>
      <c r="C626" s="14" t="s">
        <v>7120</v>
      </c>
      <c r="D626" s="5" t="str">
        <f ca="1">IFERROR(__xludf.DUMMYFUNCTION("GOOGLETRANSLATE(B626,""ja"",""vi"")"),"Sorido")</f>
        <v>Sorido</v>
      </c>
      <c r="E626" s="4" t="str">
        <f ca="1">IFERROR(__xludf.DUMMYFUNCTION("GOOGLETRANSLATE(C626,""ja"",""vi"")"),"Đấu giá&gt; đồ chơi, trò chơi&gt; minicar&gt; ô tô&gt; Sorido")</f>
        <v>Đấu giá&gt; đồ chơi, trò chơi&gt; minicar&gt; ô tô&gt; Sorido</v>
      </c>
      <c r="F626" t="str">
        <f t="shared" ca="1" si="9"/>
        <v>"2084260144" : "Sorido",</v>
      </c>
    </row>
    <row r="627" spans="1:6" ht="15.75" customHeight="1">
      <c r="A627" s="14">
        <v>2084260145</v>
      </c>
      <c r="B627" s="14" t="s">
        <v>7121</v>
      </c>
      <c r="C627" s="14" t="s">
        <v>7122</v>
      </c>
      <c r="D627" s="5" t="str">
        <f ca="1">IFERROR(__xludf.DUMMYFUNCTION("GOOGLETRANSLATE(B627,""ja"",""vi"")"),"kim cương thú cưng")</f>
        <v>kim cương thú cưng</v>
      </c>
      <c r="E627" s="4" t="str">
        <f ca="1">IFERROR(__xludf.DUMMYFUNCTION("GOOGLETRANSLATE(C627,""ja"",""vi"")"),"Đấu giá&gt; đồ chơi, trò chơi&gt; minicar&gt; ô tô&gt; Diamond Pet")</f>
        <v>Đấu giá&gt; đồ chơi, trò chơi&gt; minicar&gt; ô tô&gt; Diamond Pet</v>
      </c>
      <c r="F627" t="str">
        <f t="shared" ca="1" si="9"/>
        <v>"2084260145" : "kim cương thú cưng",</v>
      </c>
    </row>
    <row r="628" spans="1:6" ht="15.75" customHeight="1">
      <c r="A628" s="14">
        <v>2084260146</v>
      </c>
      <c r="B628" s="14" t="s">
        <v>7125</v>
      </c>
      <c r="C628" s="14" t="s">
        <v>7127</v>
      </c>
      <c r="D628" s="5" t="str">
        <f ca="1">IFERROR(__xludf.DUMMYFUNCTION("GOOGLETRANSLATE(B628,""ja"",""vi"")"),"Choro Q")</f>
        <v>Choro Q</v>
      </c>
      <c r="E628" s="4" t="str">
        <f ca="1">IFERROR(__xludf.DUMMYFUNCTION("GOOGLETRANSLATE(C628,""ja"",""vi"")"),"Đấu giá&gt; đồ chơi, trò chơi&gt; minicar&gt; ô tô&gt; Choro Q")</f>
        <v>Đấu giá&gt; đồ chơi, trò chơi&gt; minicar&gt; ô tô&gt; Choro Q</v>
      </c>
      <c r="F628" t="str">
        <f t="shared" ca="1" si="9"/>
        <v>"2084260146" : "Choro Q",</v>
      </c>
    </row>
    <row r="629" spans="1:6" ht="15.75" customHeight="1">
      <c r="A629" s="14">
        <v>2084260152</v>
      </c>
      <c r="B629" s="14" t="s">
        <v>7128</v>
      </c>
      <c r="C629" s="14" t="s">
        <v>7131</v>
      </c>
      <c r="D629" s="5" t="str">
        <f ca="1">IFERROR(__xludf.DUMMYFUNCTION("GOOGLETRANSLATE(B629,""ja"",""vi"")"),"duyên dáng")</f>
        <v>duyên dáng</v>
      </c>
      <c r="E629" s="4" t="str">
        <f ca="1">IFERROR(__xludf.DUMMYFUNCTION("GOOGLETRANSLATE(C629,""ja"",""vi"")"),"Đấu giá&gt; đồ chơi, trò chơi&gt; minicar&gt; ô tô&gt; Dinky")</f>
        <v>Đấu giá&gt; đồ chơi, trò chơi&gt; minicar&gt; ô tô&gt; Dinky</v>
      </c>
      <c r="F629" t="str">
        <f t="shared" ca="1" si="9"/>
        <v>"2084260152" : "duyên dáng",</v>
      </c>
    </row>
    <row r="630" spans="1:6" ht="15.75" customHeight="1">
      <c r="A630" s="14">
        <v>2084260153</v>
      </c>
      <c r="B630" s="14" t="s">
        <v>7135</v>
      </c>
      <c r="C630" s="14" t="s">
        <v>7136</v>
      </c>
      <c r="D630" s="5" t="str">
        <f ca="1">IFERROR(__xludf.DUMMYFUNCTION("GOOGLETRANSLATE(B630,""ja"",""vi"")"),"Tomica")</f>
        <v>Tomica</v>
      </c>
      <c r="E630" s="4" t="str">
        <f ca="1">IFERROR(__xludf.DUMMYFUNCTION("GOOGLETRANSLATE(C630,""ja"",""vi"")"),"Đấu giá&gt; đồ chơi, trò chơi&gt; minicar&gt; ô tô&gt; Tomica")</f>
        <v>Đấu giá&gt; đồ chơi, trò chơi&gt; minicar&gt; ô tô&gt; Tomica</v>
      </c>
      <c r="F630" t="str">
        <f t="shared" ca="1" si="9"/>
        <v>"2084260153" : "Tomica",</v>
      </c>
    </row>
    <row r="631" spans="1:6" ht="15.75" customHeight="1">
      <c r="A631" s="14">
        <v>2084260160</v>
      </c>
      <c r="B631" s="14" t="s">
        <v>7139</v>
      </c>
      <c r="C631" s="14" t="s">
        <v>7140</v>
      </c>
      <c r="D631" s="5" t="str">
        <f ca="1">IFERROR(__xludf.DUMMYFUNCTION("GOOGLETRANSLATE(B631,""ja"",""vi"")"),"Torofuyu")</f>
        <v>Torofuyu</v>
      </c>
      <c r="E631" s="4" t="str">
        <f ca="1">IFERROR(__xludf.DUMMYFUNCTION("GOOGLETRANSLATE(C631,""ja"",""vi"")"),"Đấu giá&gt; đồ chơi, trò chơi&gt; minicar&gt; ô tô&gt; Torofuyu")</f>
        <v>Đấu giá&gt; đồ chơi, trò chơi&gt; minicar&gt; ô tô&gt; Torofuyu</v>
      </c>
      <c r="F631" t="str">
        <f t="shared" ca="1" si="9"/>
        <v>"2084260160" : "Torofuyu",</v>
      </c>
    </row>
    <row r="632" spans="1:6" ht="15.75" customHeight="1">
      <c r="A632" s="14">
        <v>2084260161</v>
      </c>
      <c r="B632" s="14" t="s">
        <v>7142</v>
      </c>
      <c r="C632" s="14" t="s">
        <v>7144</v>
      </c>
      <c r="D632" s="5" t="str">
        <f ca="1">IFERROR(__xludf.DUMMYFUNCTION("GOOGLETRANSLATE(B632,""ja"",""vi"")"),"mô hình Tamiya")</f>
        <v>mô hình Tamiya</v>
      </c>
      <c r="E632" s="4" t="str">
        <f ca="1">IFERROR(__xludf.DUMMYFUNCTION("GOOGLETRANSLATE(C632,""ja"",""vi"")"),"Đấu giá&gt; đồ chơi, trò chơi&gt; minicar&gt; ô tô&gt; mô hình Tamiya")</f>
        <v>Đấu giá&gt; đồ chơi, trò chơi&gt; minicar&gt; ô tô&gt; mô hình Tamiya</v>
      </c>
      <c r="F632" t="str">
        <f t="shared" ca="1" si="9"/>
        <v>"2084260161" : "mô hình Tamiya",</v>
      </c>
    </row>
    <row r="633" spans="1:6" ht="15.75" customHeight="1">
      <c r="A633" s="14">
        <v>2084260162</v>
      </c>
      <c r="B633" s="14" t="s">
        <v>7145</v>
      </c>
      <c r="C633" s="14" t="s">
        <v>7147</v>
      </c>
      <c r="D633" s="5" t="str">
        <f ca="1">IFERROR(__xludf.DUMMYFUNCTION("GOOGLETRANSLATE(B633,""ja"",""vi"")"),"Norev")</f>
        <v>Norev</v>
      </c>
      <c r="E633" s="4" t="str">
        <f ca="1">IFERROR(__xludf.DUMMYFUNCTION("GOOGLETRANSLATE(C633,""ja"",""vi"")"),"Đấu giá&gt; đồ chơi, trò chơi&gt; minicar&gt; ô tô&gt; Norev")</f>
        <v>Đấu giá&gt; đồ chơi, trò chơi&gt; minicar&gt; ô tô&gt; Norev</v>
      </c>
      <c r="F633" t="str">
        <f t="shared" ca="1" si="9"/>
        <v>"2084260162" : "Norev",</v>
      </c>
    </row>
    <row r="634" spans="1:6" ht="15.75" customHeight="1">
      <c r="A634" s="14">
        <v>2084260163</v>
      </c>
      <c r="B634" s="14" t="s">
        <v>7148</v>
      </c>
      <c r="C634" s="14" t="s">
        <v>7149</v>
      </c>
      <c r="D634" s="5" t="str">
        <f ca="1">IFERROR(__xludf.DUMMYFUNCTION("GOOGLETRANSLATE(B634,""ja"",""vi"")"),"BBR")</f>
        <v>BBR</v>
      </c>
      <c r="E634" s="4" t="str">
        <f ca="1">IFERROR(__xludf.DUMMYFUNCTION("GOOGLETRANSLATE(C634,""ja"",""vi"")"),"Đấu giá&gt; đồ chơi, trò chơi&gt; minicar&gt; ô tô&gt; BBR")</f>
        <v>Đấu giá&gt; đồ chơi, trò chơi&gt; minicar&gt; ô tô&gt; BBR</v>
      </c>
      <c r="F634" t="str">
        <f t="shared" ca="1" si="9"/>
        <v>"2084260163" : "BBR",</v>
      </c>
    </row>
    <row r="635" spans="1:6" ht="15.75" customHeight="1">
      <c r="A635" s="14">
        <v>2084260164</v>
      </c>
      <c r="B635" s="14" t="s">
        <v>7151</v>
      </c>
      <c r="C635" s="14" t="s">
        <v>7153</v>
      </c>
      <c r="D635" s="5" t="str">
        <f ca="1">IFERROR(__xludf.DUMMYFUNCTION("GOOGLETRANSLATE(B635,""ja"",""vi"")"),"Bitesu")</f>
        <v>Bitesu</v>
      </c>
      <c r="E635" s="4" t="str">
        <f ca="1">IFERROR(__xludf.DUMMYFUNCTION("GOOGLETRANSLATE(C635,""ja"",""vi"")"),"Đấu giá&gt; đồ chơi, trò chơi&gt; minicar&gt; ô tô&gt; Bitesu")</f>
        <v>Đấu giá&gt; đồ chơi, trò chơi&gt; minicar&gt; ô tô&gt; Bitesu</v>
      </c>
      <c r="F635" t="str">
        <f t="shared" ca="1" si="9"/>
        <v>"2084260164" : "Bitesu",</v>
      </c>
    </row>
    <row r="636" spans="1:6" ht="15.75" customHeight="1">
      <c r="A636" s="14">
        <v>2084260165</v>
      </c>
      <c r="B636" s="14" t="s">
        <v>7154</v>
      </c>
      <c r="C636" s="14" t="s">
        <v>7156</v>
      </c>
      <c r="D636" s="5" t="str">
        <f ca="1">IFERROR(__xludf.DUMMYFUNCTION("GOOGLETRANSLATE(B636,""ja"",""vi"")"),"Franklin Mint")</f>
        <v>Franklin Mint</v>
      </c>
      <c r="E636" s="4" t="str">
        <f ca="1">IFERROR(__xludf.DUMMYFUNCTION("GOOGLETRANSLATE(C636,""ja"",""vi"")"),"Đấu giá&gt; đồ chơi, trò chơi&gt; minicar&gt; ô tô&gt; Franklin Mint")</f>
        <v>Đấu giá&gt; đồ chơi, trò chơi&gt; minicar&gt; ô tô&gt; Franklin Mint</v>
      </c>
      <c r="F636" t="str">
        <f t="shared" ca="1" si="9"/>
        <v>"2084260165" : "Franklin Mint",</v>
      </c>
    </row>
    <row r="637" spans="1:6" ht="15.75" customHeight="1">
      <c r="A637" s="14">
        <v>2084260166</v>
      </c>
      <c r="B637" s="14" t="s">
        <v>7160</v>
      </c>
      <c r="C637" s="14" t="s">
        <v>7161</v>
      </c>
      <c r="D637" s="5" t="str">
        <f ca="1">IFERROR(__xludf.DUMMYFUNCTION("GOOGLETRANSLATE(B637,""ja"",""vi"")"),"Vicky")</f>
        <v>Vicky</v>
      </c>
      <c r="E637" s="4" t="str">
        <f ca="1">IFERROR(__xludf.DUMMYFUNCTION("GOOGLETRANSLATE(C637,""ja"",""vi"")"),"Đấu giá&gt; đồ chơi, trò chơi&gt; minicar&gt; ô tô&gt; Vicky")</f>
        <v>Đấu giá&gt; đồ chơi, trò chơi&gt; minicar&gt; ô tô&gt; Vicky</v>
      </c>
      <c r="F637" t="str">
        <f t="shared" ca="1" si="9"/>
        <v>"2084260166" : "Vicky",</v>
      </c>
    </row>
    <row r="638" spans="1:6" ht="15.75" customHeight="1">
      <c r="A638" s="14">
        <v>2084260167</v>
      </c>
      <c r="B638" s="14" t="s">
        <v>7162</v>
      </c>
      <c r="C638" s="14" t="s">
        <v>7163</v>
      </c>
      <c r="D638" s="5" t="str">
        <f ca="1">IFERROR(__xludf.DUMMYFUNCTION("GOOGLETRANSLATE(B638,""ja"",""vi"")"),"Blum")</f>
        <v>Blum</v>
      </c>
      <c r="E638" s="4" t="str">
        <f ca="1">IFERROR(__xludf.DUMMYFUNCTION("GOOGLETRANSLATE(C638,""ja"",""vi"")"),"Đấu giá&gt; đồ chơi, trò chơi&gt; minicar&gt; ô tô&gt; Blum")</f>
        <v>Đấu giá&gt; đồ chơi, trò chơi&gt; minicar&gt; ô tô&gt; Blum</v>
      </c>
      <c r="F638" t="str">
        <f t="shared" ca="1" si="9"/>
        <v>"2084260167" : "Blum",</v>
      </c>
    </row>
    <row r="639" spans="1:6" ht="15.75" customHeight="1">
      <c r="A639" s="14">
        <v>2084260168</v>
      </c>
      <c r="B639" s="14" t="s">
        <v>7166</v>
      </c>
      <c r="C639" s="14" t="s">
        <v>7168</v>
      </c>
      <c r="D639" s="5" t="str">
        <f ca="1">IFERROR(__xludf.DUMMYFUNCTION("GOOGLETRANSLATE(B639,""ja"",""vi"")"),"người giúp đỡ")</f>
        <v>người giúp đỡ</v>
      </c>
      <c r="E639" s="4" t="str">
        <f ca="1">IFERROR(__xludf.DUMMYFUNCTION("GOOGLETRANSLATE(C639,""ja"",""vi"")"),"Đấu giá&gt; đồ chơi, trò chơi&gt; minicar&gt; ô tô&gt; Helper")</f>
        <v>Đấu giá&gt; đồ chơi, trò chơi&gt; minicar&gt; ô tô&gt; Helper</v>
      </c>
      <c r="F639" t="str">
        <f t="shared" ca="1" si="9"/>
        <v>"2084260168" : "người giúp đỡ",</v>
      </c>
    </row>
    <row r="640" spans="1:6" ht="15.75" customHeight="1">
      <c r="A640" s="14">
        <v>2084260169</v>
      </c>
      <c r="B640" s="14" t="s">
        <v>7169</v>
      </c>
      <c r="C640" s="14" t="s">
        <v>7170</v>
      </c>
      <c r="D640" s="5" t="str">
        <f ca="1">IFERROR(__xludf.DUMMYFUNCTION("GOOGLETRANSLATE(B640,""ja"",""vi"")"),"mô hình tốt nhất")</f>
        <v>mô hình tốt nhất</v>
      </c>
      <c r="E640" s="4" t="str">
        <f ca="1">IFERROR(__xludf.DUMMYFUNCTION("GOOGLETRANSLATE(C640,""ja"",""vi"")"),"Đấu giá&gt; đồ chơi, trò chơi&gt; minicar&gt; ô tô&gt; mô hình xuất sắc nhất")</f>
        <v>Đấu giá&gt; đồ chơi, trò chơi&gt; minicar&gt; ô tô&gt; mô hình xuất sắc nhất</v>
      </c>
      <c r="F640" t="str">
        <f t="shared" ca="1" si="9"/>
        <v>"2084260169" : "mô hình tốt nhất",</v>
      </c>
    </row>
    <row r="641" spans="1:6" ht="15.75" customHeight="1">
      <c r="A641" s="14">
        <v>2084260170</v>
      </c>
      <c r="B641" s="14" t="s">
        <v>7173</v>
      </c>
      <c r="C641" s="14" t="s">
        <v>7174</v>
      </c>
      <c r="D641" s="5" t="str">
        <f ca="1">IFERROR(__xludf.DUMMYFUNCTION("GOOGLETRANSLATE(B641,""ja"",""vi"")"),"Hot Wheels")</f>
        <v>Hot Wheels</v>
      </c>
      <c r="E641" s="4" t="str">
        <f ca="1">IFERROR(__xludf.DUMMYFUNCTION("GOOGLETRANSLATE(C641,""ja"",""vi"")"),"Đấu giá&gt; đồ chơi, trò chơi&gt; minicar&gt; ô tô&gt; Hot Wheels")</f>
        <v>Đấu giá&gt; đồ chơi, trò chơi&gt; minicar&gt; ô tô&gt; Hot Wheels</v>
      </c>
      <c r="F641" t="str">
        <f t="shared" ca="1" si="9"/>
        <v>"2084260170" : "Hot Wheels",</v>
      </c>
    </row>
    <row r="642" spans="1:6" ht="15.75" customHeight="1">
      <c r="A642" s="14">
        <v>2084260174</v>
      </c>
      <c r="B642" s="14" t="s">
        <v>7177</v>
      </c>
      <c r="C642" s="14" t="s">
        <v>7179</v>
      </c>
      <c r="D642" s="5" t="str">
        <f ca="1">IFERROR(__xludf.DUMMYFUNCTION("GOOGLETRANSLATE(B642,""ja"",""vi"")"),"Maisuto")</f>
        <v>Maisuto</v>
      </c>
      <c r="E642" s="4" t="str">
        <f ca="1">IFERROR(__xludf.DUMMYFUNCTION("GOOGLETRANSLATE(C642,""ja"",""vi"")"),"Đấu giá&gt; đồ chơi, trò chơi&gt; minicar&gt; ô tô&gt; Maisuto")</f>
        <v>Đấu giá&gt; đồ chơi, trò chơi&gt; minicar&gt; ô tô&gt; Maisuto</v>
      </c>
      <c r="F642" t="str">
        <f t="shared" ref="F642:F705" ca="1" si="10">CONCATENATE(CHAR(34)&amp;"",A642,""&amp;CHAR(34)," : ", CHAR(34)&amp;"",D642,""&amp;CHAR(34),",")</f>
        <v>"2084260174" : "Maisuto",</v>
      </c>
    </row>
    <row r="643" spans="1:6" ht="15.75" customHeight="1">
      <c r="A643" s="14">
        <v>2084260175</v>
      </c>
      <c r="B643" s="14" t="s">
        <v>7180</v>
      </c>
      <c r="C643" s="14" t="s">
        <v>7182</v>
      </c>
      <c r="D643" s="5" t="str">
        <f ca="1">IFERROR(__xludf.DUMMYFUNCTION("GOOGLETRANSLATE(B643,""ja"",""vi"")"),"Majoretto")</f>
        <v>Majoretto</v>
      </c>
      <c r="E643" s="4" t="str">
        <f ca="1">IFERROR(__xludf.DUMMYFUNCTION("GOOGLETRANSLATE(C643,""ja"",""vi"")"),"Đấu giá&gt; đồ chơi, trò chơi&gt; minicar&gt; ô tô&gt; Majoretto")</f>
        <v>Đấu giá&gt; đồ chơi, trò chơi&gt; minicar&gt; ô tô&gt; Majoretto</v>
      </c>
      <c r="F643" t="str">
        <f t="shared" ca="1" si="10"/>
        <v>"2084260175" : "Majoretto",</v>
      </c>
    </row>
    <row r="644" spans="1:6" ht="15.75" customHeight="1">
      <c r="A644" s="14">
        <v>2084260176</v>
      </c>
      <c r="B644" s="14" t="s">
        <v>7184</v>
      </c>
      <c r="C644" s="14" t="s">
        <v>7185</v>
      </c>
      <c r="D644" s="5" t="str">
        <f ca="1">IFERROR(__xludf.DUMMYFUNCTION("GOOGLETRANSLATE(B644,""ja"",""vi"")"),"Matchbox")</f>
        <v>Matchbox</v>
      </c>
      <c r="E644" s="4" t="str">
        <f ca="1">IFERROR(__xludf.DUMMYFUNCTION("GOOGLETRANSLATE(C644,""ja"",""vi"")"),"Đấu giá&gt; đồ chơi, trò chơi&gt; minicar&gt; ô tô&gt; Matchbox")</f>
        <v>Đấu giá&gt; đồ chơi, trò chơi&gt; minicar&gt; ô tô&gt; Matchbox</v>
      </c>
      <c r="F644" t="str">
        <f t="shared" ca="1" si="10"/>
        <v>"2084260176" : "Matchbox",</v>
      </c>
    </row>
    <row r="645" spans="1:6" ht="15.75" customHeight="1">
      <c r="A645" s="14">
        <v>2084260177</v>
      </c>
      <c r="B645" s="14" t="s">
        <v>7187</v>
      </c>
      <c r="C645" s="14" t="s">
        <v>7189</v>
      </c>
      <c r="D645" s="5" t="str">
        <f ca="1">IFERROR(__xludf.DUMMYFUNCTION("GOOGLETRANSLATE(B645,""ja"",""vi"")"),"Minichamps")</f>
        <v>Minichamps</v>
      </c>
      <c r="E645" s="4" t="str">
        <f ca="1">IFERROR(__xludf.DUMMYFUNCTION("GOOGLETRANSLATE(C645,""ja"",""vi"")"),"Đấu giá&gt; đồ chơi, trò chơi&gt; minicar&gt; ô tô&gt; Minichamps")</f>
        <v>Đấu giá&gt; đồ chơi, trò chơi&gt; minicar&gt; ô tô&gt; Minichamps</v>
      </c>
      <c r="F645" t="str">
        <f t="shared" ca="1" si="10"/>
        <v>"2084260177" : "Minichamps",</v>
      </c>
    </row>
    <row r="646" spans="1:6" ht="15.75" customHeight="1">
      <c r="A646" s="14">
        <v>2084260181</v>
      </c>
      <c r="B646" s="14" t="s">
        <v>7190</v>
      </c>
      <c r="C646" s="14" t="s">
        <v>7191</v>
      </c>
      <c r="D646" s="5" t="str">
        <f ca="1">IFERROR(__xludf.DUMMYFUNCTION("GOOGLETRANSLATE(B646,""ja"",""vi"")"),"-X thực")</f>
        <v>-X thực</v>
      </c>
      <c r="E646" s="4" t="str">
        <f ca="1">IFERROR(__xludf.DUMMYFUNCTION("GOOGLETRANSLATE(C646,""ja"",""vi"")"),"Đấu giá&gt; đồ chơi, trò chơi&gt; minicar&gt; ô tô&gt; -X thực")</f>
        <v>Đấu giá&gt; đồ chơi, trò chơi&gt; minicar&gt; ô tô&gt; -X thực</v>
      </c>
      <c r="F646" t="str">
        <f t="shared" ca="1" si="10"/>
        <v>"2084260181" : "-X thực",</v>
      </c>
    </row>
    <row r="647" spans="1:6" ht="15.75" customHeight="1">
      <c r="A647" s="14">
        <v>2084260182</v>
      </c>
      <c r="B647" s="14" t="s">
        <v>7195</v>
      </c>
      <c r="C647" s="14" t="s">
        <v>7196</v>
      </c>
      <c r="D647" s="5" t="str">
        <f ca="1">IFERROR(__xludf.DUMMYFUNCTION("GOOGLETRANSLATE(B647,""ja"",""vi"")"),"đua vô địch")</f>
        <v>đua vô địch</v>
      </c>
      <c r="E647" s="4" t="str">
        <f ca="1">IFERROR(__xludf.DUMMYFUNCTION("GOOGLETRANSLATE(C647,""ja"",""vi"")"),"Đấu giá&gt; đồ chơi, trò chơi&gt; minicar&gt; ô tô&gt; đua vô địch")</f>
        <v>Đấu giá&gt; đồ chơi, trò chơi&gt; minicar&gt; ô tô&gt; đua vô địch</v>
      </c>
      <c r="F647" t="str">
        <f t="shared" ca="1" si="10"/>
        <v>"2084260182" : "đua vô địch",</v>
      </c>
    </row>
    <row r="648" spans="1:6" ht="15.75" customHeight="1">
      <c r="A648" s="14">
        <v>2084260183</v>
      </c>
      <c r="B648" s="14" t="s">
        <v>7197</v>
      </c>
      <c r="C648" s="14" t="s">
        <v>7200</v>
      </c>
      <c r="D648" s="5" t="str">
        <f ca="1">IFERROR(__xludf.DUMMYFUNCTION("GOOGLETRANSLATE(B648,""ja"",""vi"")"),"trình độ")</f>
        <v>trình độ</v>
      </c>
      <c r="E648" s="4" t="str">
        <f ca="1">IFERROR(__xludf.DUMMYFUNCTION("GOOGLETRANSLATE(C648,""ja"",""vi"")"),"Đấu giá&gt; đồ chơi, trò chơi&gt; minicar&gt; ô tô&gt; mức")</f>
        <v>Đấu giá&gt; đồ chơi, trò chơi&gt; minicar&gt; ô tô&gt; mức</v>
      </c>
      <c r="F648" t="str">
        <f t="shared" ca="1" si="10"/>
        <v>"2084260183" : "trình độ",</v>
      </c>
    </row>
    <row r="649" spans="1:6" ht="15.75" customHeight="1">
      <c r="A649" s="14">
        <v>2084260173</v>
      </c>
      <c r="B649" s="14" t="s">
        <v>7203</v>
      </c>
      <c r="C649" s="14" t="s">
        <v>7204</v>
      </c>
      <c r="D649" s="5" t="str">
        <f ca="1">IFERROR(__xludf.DUMMYFUNCTION("GOOGLETRANSLATE(B649,""ja"",""vi"")"),"Hon'weru")</f>
        <v>Hon'weru</v>
      </c>
      <c r="E649" s="4" t="str">
        <f ca="1">IFERROR(__xludf.DUMMYFUNCTION("GOOGLETRANSLATE(C649,""ja"",""vi"")"),"Đấu giá&gt; đồ chơi, trò chơi&gt; minicar&gt; ô tô&gt; Hon'weru")</f>
        <v>Đấu giá&gt; đồ chơi, trò chơi&gt; minicar&gt; ô tô&gt; Hon'weru</v>
      </c>
      <c r="F649" t="str">
        <f t="shared" ca="1" si="10"/>
        <v>"2084260173" : "Hon'weru",</v>
      </c>
    </row>
    <row r="650" spans="1:6" ht="15.75" customHeight="1">
      <c r="A650" s="14">
        <v>2084260184</v>
      </c>
      <c r="B650" s="14" t="s">
        <v>46</v>
      </c>
      <c r="C650" s="14" t="s">
        <v>7208</v>
      </c>
      <c r="D650" s="5" t="str">
        <f ca="1">IFERROR(__xludf.DUMMYFUNCTION("GOOGLETRANSLATE(B650,""ja"",""vi"")"),"nếu không thì")</f>
        <v>nếu không thì</v>
      </c>
      <c r="E650" s="4" t="str">
        <f ca="1">IFERROR(__xludf.DUMMYFUNCTION("GOOGLETRANSLATE(C650,""ja"",""vi"")"),"Đấu giá&gt; đồ chơi, trò chơi&gt; minicar&gt; ô tô&gt; Khác")</f>
        <v>Đấu giá&gt; đồ chơi, trò chơi&gt; minicar&gt; ô tô&gt; Khác</v>
      </c>
      <c r="F650" t="str">
        <f t="shared" ca="1" si="10"/>
        <v>"2084260184" : "nếu không thì",</v>
      </c>
    </row>
    <row r="651" spans="1:6" ht="15.75" customHeight="1">
      <c r="A651" s="14">
        <v>2084260187</v>
      </c>
      <c r="B651" s="14" t="s">
        <v>6909</v>
      </c>
      <c r="C651" s="14" t="s">
        <v>7209</v>
      </c>
      <c r="D651" s="5" t="str">
        <f ca="1">IFERROR(__xludf.DUMMYFUNCTION("GOOGLETRANSLATE(B651,""ja"",""vi"")"),"máy bay chiến đấu")</f>
        <v>máy bay chiến đấu</v>
      </c>
      <c r="E651" s="4" t="str">
        <f ca="1">IFERROR(__xludf.DUMMYFUNCTION("GOOGLETRANSLATE(C651,""ja"",""vi"")"),"Đấu giá&gt; đồ chơi, trò chơi&gt; minicar&gt; Máy bay&gt; máy bay quân sự")</f>
        <v>Đấu giá&gt; đồ chơi, trò chơi&gt; minicar&gt; Máy bay&gt; máy bay quân sự</v>
      </c>
      <c r="F651" t="str">
        <f t="shared" ca="1" si="10"/>
        <v>"2084260187" : "máy bay chiến đấu",</v>
      </c>
    </row>
    <row r="652" spans="1:6" ht="15.75" customHeight="1">
      <c r="A652" s="14">
        <v>2084260188</v>
      </c>
      <c r="B652" s="14" t="s">
        <v>7212</v>
      </c>
      <c r="C652" s="14" t="s">
        <v>7213</v>
      </c>
      <c r="D652" s="5" t="str">
        <f ca="1">IFERROR(__xludf.DUMMYFUNCTION("GOOGLETRANSLATE(B652,""ja"",""vi"")"),"máy bay riêng")</f>
        <v>máy bay riêng</v>
      </c>
      <c r="E652" s="4" t="str">
        <f ca="1">IFERROR(__xludf.DUMMYFUNCTION("GOOGLETRANSLATE(C652,""ja"",""vi"")"),"Đấu giá&gt; đồ chơi, trò chơi&gt; minicar&gt; Máy bay&gt; Máy bay riêng")</f>
        <v>Đấu giá&gt; đồ chơi, trò chơi&gt; minicar&gt; Máy bay&gt; Máy bay riêng</v>
      </c>
      <c r="F652" t="str">
        <f t="shared" ca="1" si="10"/>
        <v>"2084260188" : "máy bay riêng",</v>
      </c>
    </row>
    <row r="653" spans="1:6" ht="15.75" customHeight="1">
      <c r="A653" s="14">
        <v>2084259583</v>
      </c>
      <c r="B653" s="14" t="s">
        <v>7215</v>
      </c>
      <c r="C653" s="14" t="s">
        <v>7217</v>
      </c>
      <c r="D653" s="5" t="str">
        <f ca="1">IFERROR(__xludf.DUMMYFUNCTION("GOOGLETRANSLATE(B653,""ja"",""vi"")"),"đầu máy xe lửa")</f>
        <v>đầu máy xe lửa</v>
      </c>
      <c r="E653" s="4" t="str">
        <f ca="1">IFERROR(__xludf.DUMMYFUNCTION("GOOGLETRANSLATE(C653,""ja"",""vi"")"),"Đấu giá&gt; đồ chơi, trò chơi&gt; mô hình đường sắt&gt; gauge HỒ&gt; đầu máy")</f>
        <v>Đấu giá&gt; đồ chơi, trò chơi&gt; mô hình đường sắt&gt; gauge HỒ&gt; đầu máy</v>
      </c>
      <c r="F653" t="str">
        <f t="shared" ca="1" si="10"/>
        <v>"2084259583" : "đầu máy xe lửa",</v>
      </c>
    </row>
    <row r="654" spans="1:6" ht="15.75" customHeight="1">
      <c r="A654" s="14">
        <v>2084259581</v>
      </c>
      <c r="B654" s="14" t="s">
        <v>7219</v>
      </c>
      <c r="C654" s="14" t="s">
        <v>7220</v>
      </c>
      <c r="D654" s="5" t="str">
        <f ca="1">IFERROR(__xludf.DUMMYFUNCTION("GOOGLETRANSLATE(B654,""ja"",""vi"")"),"chuyến tàu chở hàng")</f>
        <v>chuyến tàu chở hàng</v>
      </c>
      <c r="E654" s="4" t="str">
        <f ca="1">IFERROR(__xludf.DUMMYFUNCTION("GOOGLETRANSLATE(C654,""ja"",""vi"")"),"Đấu giá&gt; đồ chơi, trò chơi&gt; mô hình đường sắt&gt; HỒ gauge&gt; chuyến tàu chở hàng")</f>
        <v>Đấu giá&gt; đồ chơi, trò chơi&gt; mô hình đường sắt&gt; HỒ gauge&gt; chuyến tàu chở hàng</v>
      </c>
      <c r="F654" t="str">
        <f t="shared" ca="1" si="10"/>
        <v>"2084259581" : "chuyến tàu chở hàng",</v>
      </c>
    </row>
    <row r="655" spans="1:6" ht="15.75" customHeight="1">
      <c r="A655" s="14">
        <v>2084259584</v>
      </c>
      <c r="B655" s="14" t="s">
        <v>7222</v>
      </c>
      <c r="C655" s="14" t="s">
        <v>7225</v>
      </c>
      <c r="D655" s="5" t="str">
        <f ca="1">IFERROR(__xludf.DUMMYFUNCTION("GOOGLETRANSLATE(B655,""ja"",""vi"")"),"JR, xe đường sắt")</f>
        <v>JR, xe đường sắt</v>
      </c>
      <c r="E655" s="4" t="str">
        <f ca="1">IFERROR(__xludf.DUMMYFUNCTION("GOOGLETRANSLATE(C655,""ja"",""vi"")"),"Đấu giá&gt; đồ chơi, trò chơi&gt; mô hình đường sắt&gt; HỒ gauge&gt; JR, xe đường sắt")</f>
        <v>Đấu giá&gt; đồ chơi, trò chơi&gt; mô hình đường sắt&gt; HỒ gauge&gt; JR, xe đường sắt</v>
      </c>
      <c r="F655" t="str">
        <f t="shared" ca="1" si="10"/>
        <v>"2084259584" : "JR, xe đường sắt",</v>
      </c>
    </row>
    <row r="656" spans="1:6" ht="15.75" customHeight="1">
      <c r="A656" s="14">
        <v>2084259582</v>
      </c>
      <c r="B656" s="14" t="s">
        <v>7227</v>
      </c>
      <c r="C656" s="14" t="s">
        <v>7229</v>
      </c>
      <c r="D656" s="5" t="str">
        <f ca="1">IFERROR(__xludf.DUMMYFUNCTION("GOOGLETRANSLATE(B656,""ja"",""vi"")"),"xe nước ngoài")</f>
        <v>xe nước ngoài</v>
      </c>
      <c r="E656" s="4" t="str">
        <f ca="1">IFERROR(__xludf.DUMMYFUNCTION("GOOGLETRANSLATE(C656,""ja"",""vi"")"),"Đấu giá&gt; đồ chơi, trò chơi&gt; mô hình đường sắt&gt; HỒ gauge&gt; xe nước ngoài")</f>
        <v>Đấu giá&gt; đồ chơi, trò chơi&gt; mô hình đường sắt&gt; HỒ gauge&gt; xe nước ngoài</v>
      </c>
      <c r="F656" t="str">
        <f t="shared" ca="1" si="10"/>
        <v>"2084259582" : "xe nước ngoài",</v>
      </c>
    </row>
    <row r="657" spans="1:6" ht="15.75" customHeight="1">
      <c r="A657" s="14">
        <v>2084259585</v>
      </c>
      <c r="B657" s="14" t="s">
        <v>7231</v>
      </c>
      <c r="C657" s="14" t="s">
        <v>7233</v>
      </c>
      <c r="D657" s="5" t="str">
        <f ca="1">IFERROR(__xludf.DUMMYFUNCTION("GOOGLETRANSLATE(B657,""ja"",""vi"")"),"tàu đường sắt tư nhân")</f>
        <v>tàu đường sắt tư nhân</v>
      </c>
      <c r="E657" s="4" t="str">
        <f ca="1">IFERROR(__xludf.DUMMYFUNCTION("GOOGLETRANSLATE(C657,""ja"",""vi"")"),"Đấu giá&gt; đồ chơi, trò chơi&gt; mô hình đường sắt&gt; HỒ gauge&gt; tàu đường sắt tư nhân")</f>
        <v>Đấu giá&gt; đồ chơi, trò chơi&gt; mô hình đường sắt&gt; HỒ gauge&gt; tàu đường sắt tư nhân</v>
      </c>
      <c r="F657" t="str">
        <f t="shared" ca="1" si="10"/>
        <v>"2084259585" : "tàu đường sắt tư nhân",</v>
      </c>
    </row>
    <row r="658" spans="1:6" ht="15.75" customHeight="1">
      <c r="A658" s="14">
        <v>2084259586</v>
      </c>
      <c r="B658" s="14" t="s">
        <v>7235</v>
      </c>
      <c r="C658" s="14" t="s">
        <v>7237</v>
      </c>
      <c r="D658" s="5" t="str">
        <f ca="1">IFERROR(__xludf.DUMMYFUNCTION("GOOGLETRANSLATE(B658,""ja"",""vi"")"),"Một xe điện")</f>
        <v>Một xe điện</v>
      </c>
      <c r="E658" s="4" t="str">
        <f ca="1">IFERROR(__xludf.DUMMYFUNCTION("GOOGLETRANSLATE(C658,""ja"",""vi"")"),"Đấu giá&gt; đồ chơi, trò chơi&gt; mô hình đường sắt&gt; HỒ gauge&gt; xe điện")</f>
        <v>Đấu giá&gt; đồ chơi, trò chơi&gt; mô hình đường sắt&gt; HỒ gauge&gt; xe điện</v>
      </c>
      <c r="F658" t="str">
        <f t="shared" ca="1" si="10"/>
        <v>"2084259586" : "Một xe điện",</v>
      </c>
    </row>
    <row r="659" spans="1:6" ht="15.75" customHeight="1">
      <c r="A659" s="14">
        <v>2084259622</v>
      </c>
      <c r="B659" s="14" t="s">
        <v>7240</v>
      </c>
      <c r="C659" s="14" t="s">
        <v>7241</v>
      </c>
      <c r="D659" s="5" t="str">
        <f ca="1">IFERROR(__xludf.DUMMYFUNCTION("GOOGLETRANSLATE(B659,""ja"",""vi"")"),"phụ tùng xe")</f>
        <v>phụ tùng xe</v>
      </c>
      <c r="E659" s="4" t="str">
        <f ca="1">IFERROR(__xludf.DUMMYFUNCTION("GOOGLETRANSLATE(C659,""ja"",""vi"")"),"Đấu giá&gt; đồ chơi, trò chơi&gt; mô hình đường sắt&gt; HỒ gauge&gt; phụ tùng xe")</f>
        <v>Đấu giá&gt; đồ chơi, trò chơi&gt; mô hình đường sắt&gt; HỒ gauge&gt; phụ tùng xe</v>
      </c>
      <c r="F659" t="str">
        <f t="shared" ca="1" si="10"/>
        <v>"2084259622" : "phụ tùng xe",</v>
      </c>
    </row>
    <row r="660" spans="1:6" ht="15.75" customHeight="1">
      <c r="A660" s="14">
        <v>2084259587</v>
      </c>
      <c r="B660" s="14" t="s">
        <v>7245</v>
      </c>
      <c r="C660" s="14" t="s">
        <v>7246</v>
      </c>
      <c r="D660" s="5" t="str">
        <f ca="1">IFERROR(__xludf.DUMMYFUNCTION("GOOGLETRANSLATE(B660,""ja"",""vi"")"),"cấu trúc")</f>
        <v>cấu trúc</v>
      </c>
      <c r="E660" s="4" t="str">
        <f ca="1">IFERROR(__xludf.DUMMYFUNCTION("GOOGLETRANSLATE(C660,""ja"",""vi"")"),"Đấu giá&gt; đồ chơi, trò chơi&gt; mô hình đường sắt&gt; HỒ gauge&gt; cấu trúc")</f>
        <v>Đấu giá&gt; đồ chơi, trò chơi&gt; mô hình đường sắt&gt; HỒ gauge&gt; cấu trúc</v>
      </c>
      <c r="F660" t="str">
        <f t="shared" ca="1" si="10"/>
        <v>"2084259587" : "cấu trúc",</v>
      </c>
    </row>
    <row r="661" spans="1:6" ht="15.75" customHeight="1">
      <c r="A661" s="14">
        <v>2084259588</v>
      </c>
      <c r="B661" s="14" t="s">
        <v>7249</v>
      </c>
      <c r="C661" s="14" t="s">
        <v>7250</v>
      </c>
      <c r="D661" s="5" t="str">
        <f ca="1">IFERROR(__xludf.DUMMYFUNCTION("GOOGLETRANSLATE(B661,""ja"",""vi"")"),"Power Pack")</f>
        <v>Power Pack</v>
      </c>
      <c r="E661" s="4" t="str">
        <f ca="1">IFERROR(__xludf.DUMMYFUNCTION("GOOGLETRANSLATE(C661,""ja"",""vi"")"),"Đấu giá&gt; đồ chơi, trò chơi&gt; mô hình đường sắt&gt; HỒ gauge&gt; gói điện")</f>
        <v>Đấu giá&gt; đồ chơi, trò chơi&gt; mô hình đường sắt&gt; HỒ gauge&gt; gói điện</v>
      </c>
      <c r="F661" t="str">
        <f t="shared" ca="1" si="10"/>
        <v>"2084259588" : "Power Pack",</v>
      </c>
    </row>
    <row r="662" spans="1:6" ht="15.75" customHeight="1">
      <c r="A662" s="14">
        <v>2084259589</v>
      </c>
      <c r="B662" s="14" t="s">
        <v>7252</v>
      </c>
      <c r="C662" s="14" t="s">
        <v>7253</v>
      </c>
      <c r="D662" s="5" t="str">
        <f ca="1">IFERROR(__xludf.DUMMYFUNCTION("GOOGLETRANSLATE(B662,""ja"",""vi"")"),"đường dây")</f>
        <v>đường dây</v>
      </c>
      <c r="E662" s="4" t="str">
        <f ca="1">IFERROR(__xludf.DUMMYFUNCTION("GOOGLETRANSLATE(C662,""ja"",""vi"")"),"Đấu giá&gt; đồ chơi, trò chơi&gt; mô hình đường sắt&gt; HỒ gauge&gt; dòng")</f>
        <v>Đấu giá&gt; đồ chơi, trò chơi&gt; mô hình đường sắt&gt; HỒ gauge&gt; dòng</v>
      </c>
      <c r="F662" t="str">
        <f t="shared" ca="1" si="10"/>
        <v>"2084259589" : "đường dây",</v>
      </c>
    </row>
    <row r="663" spans="1:6" ht="15.75" customHeight="1">
      <c r="A663" s="14">
        <v>2084259590</v>
      </c>
      <c r="B663" s="14" t="s">
        <v>46</v>
      </c>
      <c r="C663" s="14" t="s">
        <v>7255</v>
      </c>
      <c r="D663" s="5" t="str">
        <f ca="1">IFERROR(__xludf.DUMMYFUNCTION("GOOGLETRANSLATE(B663,""ja"",""vi"")"),"nếu không thì")</f>
        <v>nếu không thì</v>
      </c>
      <c r="E663" s="4" t="str">
        <f ca="1">IFERROR(__xludf.DUMMYFUNCTION("GOOGLETRANSLATE(C663,""ja"",""vi"")"),"Đấu giá&gt; đồ chơi, trò chơi&gt; mô hình đường sắt&gt; HỒ gauge&gt; Khác")</f>
        <v>Đấu giá&gt; đồ chơi, trò chơi&gt; mô hình đường sắt&gt; HỒ gauge&gt; Khác</v>
      </c>
      <c r="F663" t="str">
        <f t="shared" ca="1" si="10"/>
        <v>"2084259590" : "nếu không thì",</v>
      </c>
    </row>
    <row r="664" spans="1:6" ht="15.75" customHeight="1">
      <c r="A664" s="14">
        <v>2084259595</v>
      </c>
      <c r="B664" s="14" t="s">
        <v>7257</v>
      </c>
      <c r="C664" s="14" t="s">
        <v>7258</v>
      </c>
      <c r="D664" s="5" t="str">
        <f ca="1">IFERROR(__xludf.DUMMYFUNCTION("GOOGLETRANSLATE(B664,""ja"",""vi"")"),"diesel đầu máy")</f>
        <v>diesel đầu máy</v>
      </c>
      <c r="E664" s="4" t="str">
        <f ca="1">IFERROR(__xludf.DUMMYFUNCTION("GOOGLETRANSLATE(C664,""ja"",""vi"")"),"Đấu giá&gt; đồ chơi, trò chơi&gt; mô hình đường sắt&gt; N gauge&gt; đầu máy diesel")</f>
        <v>Đấu giá&gt; đồ chơi, trò chơi&gt; mô hình đường sắt&gt; N gauge&gt; đầu máy diesel</v>
      </c>
      <c r="F664" t="str">
        <f t="shared" ca="1" si="10"/>
        <v>"2084259595" : "diesel đầu máy",</v>
      </c>
    </row>
    <row r="665" spans="1:6" ht="15.75" customHeight="1">
      <c r="A665" s="14">
        <v>2084259596</v>
      </c>
      <c r="B665" s="14" t="s">
        <v>7259</v>
      </c>
      <c r="C665" s="14" t="s">
        <v>7262</v>
      </c>
      <c r="D665" s="5" t="str">
        <f ca="1">IFERROR(__xludf.DUMMYFUNCTION("GOOGLETRANSLATE(B665,""ja"",""vi"")"),"Động cơ hơi nước")</f>
        <v>Động cơ hơi nước</v>
      </c>
      <c r="E665" s="4" t="str">
        <f ca="1">IFERROR(__xludf.DUMMYFUNCTION("GOOGLETRANSLATE(C665,""ja"",""vi"")"),"Đấu giá&gt; đồ chơi, trò chơi&gt; mô hình đường sắt&gt; N gauge&gt; đầu máy hơi nước")</f>
        <v>Đấu giá&gt; đồ chơi, trò chơi&gt; mô hình đường sắt&gt; N gauge&gt; đầu máy hơi nước</v>
      </c>
      <c r="F665" t="str">
        <f t="shared" ca="1" si="10"/>
        <v>"2084259596" : "Động cơ hơi nước",</v>
      </c>
    </row>
    <row r="666" spans="1:6" ht="15.75" customHeight="1">
      <c r="A666" s="14">
        <v>2084259597</v>
      </c>
      <c r="B666" s="14" t="s">
        <v>7263</v>
      </c>
      <c r="C666" s="14" t="s">
        <v>7264</v>
      </c>
      <c r="D666" s="5" t="str">
        <f ca="1">IFERROR(__xludf.DUMMYFUNCTION("GOOGLETRANSLATE(B666,""ja"",""vi"")"),"đầu máy xe lửa điện")</f>
        <v>đầu máy xe lửa điện</v>
      </c>
      <c r="E666" s="4" t="str">
        <f ca="1">IFERROR(__xludf.DUMMYFUNCTION("GOOGLETRANSLATE(C666,""ja"",""vi"")"),"Đấu giá&gt; đồ chơi, trò chơi&gt; mô hình đường sắt&gt; N gauge&gt; đầu máy điện")</f>
        <v>Đấu giá&gt; đồ chơi, trò chơi&gt; mô hình đường sắt&gt; N gauge&gt; đầu máy điện</v>
      </c>
      <c r="F666" t="str">
        <f t="shared" ca="1" si="10"/>
        <v>"2084259597" : "đầu máy xe lửa điện",</v>
      </c>
    </row>
    <row r="667" spans="1:6" ht="15.75" customHeight="1">
      <c r="A667" s="14">
        <v>2084259598</v>
      </c>
      <c r="B667" s="14" t="s">
        <v>7222</v>
      </c>
      <c r="C667" s="14" t="s">
        <v>7267</v>
      </c>
      <c r="D667" s="5" t="str">
        <f ca="1">IFERROR(__xludf.DUMMYFUNCTION("GOOGLETRANSLATE(B667,""ja"",""vi"")"),"JR, xe đường sắt")</f>
        <v>JR, xe đường sắt</v>
      </c>
      <c r="E667" s="4" t="str">
        <f ca="1">IFERROR(__xludf.DUMMYFUNCTION("GOOGLETRANSLATE(C667,""ja"",""vi"")"),"Đấu giá&gt; đồ chơi, trò chơi&gt; mô hình đường sắt&gt; N gauge&gt; JR, xe đường sắt")</f>
        <v>Đấu giá&gt; đồ chơi, trò chơi&gt; mô hình đường sắt&gt; N gauge&gt; JR, xe đường sắt</v>
      </c>
      <c r="F667" t="str">
        <f t="shared" ca="1" si="10"/>
        <v>"2084259598" : "JR, xe đường sắt",</v>
      </c>
    </row>
    <row r="668" spans="1:6" ht="15.75" customHeight="1">
      <c r="A668" s="14">
        <v>2084259592</v>
      </c>
      <c r="B668" s="14" t="s">
        <v>7219</v>
      </c>
      <c r="C668" s="14" t="s">
        <v>7270</v>
      </c>
      <c r="D668" s="5" t="str">
        <f ca="1">IFERROR(__xludf.DUMMYFUNCTION("GOOGLETRANSLATE(B668,""ja"",""vi"")"),"chuyến tàu chở hàng")</f>
        <v>chuyến tàu chở hàng</v>
      </c>
      <c r="E668" s="4" t="str">
        <f ca="1">IFERROR(__xludf.DUMMYFUNCTION("GOOGLETRANSLATE(C668,""ja"",""vi"")"),"Đấu giá&gt; đồ chơi, trò chơi&gt; mô hình đường sắt&gt; N gauge&gt; chuyến tàu chở hàng")</f>
        <v>Đấu giá&gt; đồ chơi, trò chơi&gt; mô hình đường sắt&gt; N gauge&gt; chuyến tàu chở hàng</v>
      </c>
      <c r="F668" t="str">
        <f t="shared" ca="1" si="10"/>
        <v>"2084259592" : "chuyến tàu chở hàng",</v>
      </c>
    </row>
    <row r="669" spans="1:6" ht="15.75" customHeight="1">
      <c r="A669" s="14">
        <v>2084259593</v>
      </c>
      <c r="B669" s="14" t="s">
        <v>7227</v>
      </c>
      <c r="C669" s="14" t="s">
        <v>7273</v>
      </c>
      <c r="D669" s="5" t="str">
        <f ca="1">IFERROR(__xludf.DUMMYFUNCTION("GOOGLETRANSLATE(B669,""ja"",""vi"")"),"xe nước ngoài")</f>
        <v>xe nước ngoài</v>
      </c>
      <c r="E669" s="4" t="str">
        <f ca="1">IFERROR(__xludf.DUMMYFUNCTION("GOOGLETRANSLATE(C669,""ja"",""vi"")"),"Đấu giá&gt; đồ chơi, trò chơi&gt; mô hình đường sắt&gt; N gauge&gt; xe nước ngoài")</f>
        <v>Đấu giá&gt; đồ chơi, trò chơi&gt; mô hình đường sắt&gt; N gauge&gt; xe nước ngoài</v>
      </c>
      <c r="F669" t="str">
        <f t="shared" ca="1" si="10"/>
        <v>"2084259593" : "xe nước ngoài",</v>
      </c>
    </row>
    <row r="670" spans="1:6" ht="15.75" customHeight="1">
      <c r="A670" s="14">
        <v>2084259608</v>
      </c>
      <c r="B670" s="14" t="s">
        <v>7275</v>
      </c>
      <c r="C670" s="14" t="s">
        <v>7277</v>
      </c>
      <c r="D670" s="5" t="str">
        <f ca="1">IFERROR(__xludf.DUMMYFUNCTION("GOOGLETRANSLATE(B670,""ja"",""vi"")"),"xe đường sắt tư nhân")</f>
        <v>xe đường sắt tư nhân</v>
      </c>
      <c r="E670" s="4" t="str">
        <f ca="1">IFERROR(__xludf.DUMMYFUNCTION("GOOGLETRANSLATE(C670,""ja"",""vi"")"),"Đấu giá&gt; đồ chơi, trò chơi&gt; mô hình đường sắt&gt; N gauge&gt; xe đường sắt tư nhân")</f>
        <v>Đấu giá&gt; đồ chơi, trò chơi&gt; mô hình đường sắt&gt; N gauge&gt; xe đường sắt tư nhân</v>
      </c>
      <c r="F670" t="str">
        <f t="shared" ca="1" si="10"/>
        <v>"2084259608" : "xe đường sắt tư nhân",</v>
      </c>
    </row>
    <row r="671" spans="1:6" ht="15.75" customHeight="1">
      <c r="A671" s="14">
        <v>2084259609</v>
      </c>
      <c r="B671" s="14" t="s">
        <v>7235</v>
      </c>
      <c r="C671" s="14" t="s">
        <v>7280</v>
      </c>
      <c r="D671" s="5" t="str">
        <f ca="1">IFERROR(__xludf.DUMMYFUNCTION("GOOGLETRANSLATE(B671,""ja"",""vi"")"),"Một xe điện")</f>
        <v>Một xe điện</v>
      </c>
      <c r="E671" s="4" t="str">
        <f ca="1">IFERROR(__xludf.DUMMYFUNCTION("GOOGLETRANSLATE(C671,""ja"",""vi"")"),"Đấu giá&gt; đồ chơi, trò chơi&gt; mô hình đường sắt&gt; N gauge&gt; xe điện")</f>
        <v>Đấu giá&gt; đồ chơi, trò chơi&gt; mô hình đường sắt&gt; N gauge&gt; xe điện</v>
      </c>
      <c r="F671" t="str">
        <f t="shared" ca="1" si="10"/>
        <v>"2084259609" : "Một xe điện",</v>
      </c>
    </row>
    <row r="672" spans="1:6" ht="15.75" customHeight="1">
      <c r="A672" s="14">
        <v>2084259594</v>
      </c>
      <c r="B672" s="14" t="s">
        <v>7240</v>
      </c>
      <c r="C672" s="14" t="s">
        <v>7283</v>
      </c>
      <c r="D672" s="5" t="str">
        <f ca="1">IFERROR(__xludf.DUMMYFUNCTION("GOOGLETRANSLATE(B672,""ja"",""vi"")"),"phụ tùng xe")</f>
        <v>phụ tùng xe</v>
      </c>
      <c r="E672" s="4" t="str">
        <f ca="1">IFERROR(__xludf.DUMMYFUNCTION("GOOGLETRANSLATE(C672,""ja"",""vi"")"),"Đấu giá&gt; đồ chơi, trò chơi&gt; mô hình đường sắt&gt; N gauge&gt; phụ tùng xe")</f>
        <v>Đấu giá&gt; đồ chơi, trò chơi&gt; mô hình đường sắt&gt; N gauge&gt; phụ tùng xe</v>
      </c>
      <c r="F672" t="str">
        <f t="shared" ca="1" si="10"/>
        <v>"2084259594" : "phụ tùng xe",</v>
      </c>
    </row>
    <row r="673" spans="1:6" ht="15.75" customHeight="1">
      <c r="A673" s="14">
        <v>2084259610</v>
      </c>
      <c r="B673" s="14" t="s">
        <v>7245</v>
      </c>
      <c r="C673" s="14" t="s">
        <v>7286</v>
      </c>
      <c r="D673" s="5" t="str">
        <f ca="1">IFERROR(__xludf.DUMMYFUNCTION("GOOGLETRANSLATE(B673,""ja"",""vi"")"),"cấu trúc")</f>
        <v>cấu trúc</v>
      </c>
      <c r="E673" s="4" t="str">
        <f ca="1">IFERROR(__xludf.DUMMYFUNCTION("GOOGLETRANSLATE(C673,""ja"",""vi"")"),"Đấu giá&gt; đồ chơi, trò chơi&gt; mô hình đường sắt&gt; N gauge&gt; cấu trúc")</f>
        <v>Đấu giá&gt; đồ chơi, trò chơi&gt; mô hình đường sắt&gt; N gauge&gt; cấu trúc</v>
      </c>
      <c r="F673" t="str">
        <f t="shared" ca="1" si="10"/>
        <v>"2084259610" : "cấu trúc",</v>
      </c>
    </row>
    <row r="674" spans="1:6" ht="15.75" customHeight="1">
      <c r="A674" s="14">
        <v>2084259616</v>
      </c>
      <c r="B674" s="14" t="s">
        <v>7249</v>
      </c>
      <c r="C674" s="14" t="s">
        <v>7288</v>
      </c>
      <c r="D674" s="5" t="str">
        <f ca="1">IFERROR(__xludf.DUMMYFUNCTION("GOOGLETRANSLATE(B674,""ja"",""vi"")"),"Power Pack")</f>
        <v>Power Pack</v>
      </c>
      <c r="E674" s="4" t="str">
        <f ca="1">IFERROR(__xludf.DUMMYFUNCTION("GOOGLETRANSLATE(C674,""ja"",""vi"")"),"Đấu giá&gt; đồ chơi, trò chơi&gt; mô hình đường sắt&gt; N gauge&gt; gói điện")</f>
        <v>Đấu giá&gt; đồ chơi, trò chơi&gt; mô hình đường sắt&gt; N gauge&gt; gói điện</v>
      </c>
      <c r="F674" t="str">
        <f t="shared" ca="1" si="10"/>
        <v>"2084259616" : "Power Pack",</v>
      </c>
    </row>
    <row r="675" spans="1:6" ht="15.75" customHeight="1">
      <c r="A675" s="14">
        <v>2084259617</v>
      </c>
      <c r="B675" s="14" t="s">
        <v>7252</v>
      </c>
      <c r="C675" s="14" t="s">
        <v>7293</v>
      </c>
      <c r="D675" s="5" t="str">
        <f ca="1">IFERROR(__xludf.DUMMYFUNCTION("GOOGLETRANSLATE(B675,""ja"",""vi"")"),"đường dây")</f>
        <v>đường dây</v>
      </c>
      <c r="E675" s="4" t="str">
        <f ca="1">IFERROR(__xludf.DUMMYFUNCTION("GOOGLETRANSLATE(C675,""ja"",""vi"")"),"Đấu giá&gt; đồ chơi, trò chơi&gt; mô hình đường sắt&gt; N gauge&gt; dòng")</f>
        <v>Đấu giá&gt; đồ chơi, trò chơi&gt; mô hình đường sắt&gt; N gauge&gt; dòng</v>
      </c>
      <c r="F675" t="str">
        <f t="shared" ca="1" si="10"/>
        <v>"2084259617" : "đường dây",</v>
      </c>
    </row>
    <row r="676" spans="1:6" ht="15.75" customHeight="1">
      <c r="A676" s="14">
        <v>2084259618</v>
      </c>
      <c r="B676" s="14" t="s">
        <v>46</v>
      </c>
      <c r="C676" s="14" t="s">
        <v>7295</v>
      </c>
      <c r="D676" s="5" t="str">
        <f ca="1">IFERROR(__xludf.DUMMYFUNCTION("GOOGLETRANSLATE(B676,""ja"",""vi"")"),"nếu không thì")</f>
        <v>nếu không thì</v>
      </c>
      <c r="E676" s="4" t="str">
        <f ca="1">IFERROR(__xludf.DUMMYFUNCTION("GOOGLETRANSLATE(C676,""ja"",""vi"")"),"Đấu giá&gt; đồ chơi, trò chơi&gt; mô hình đường sắt&gt; N gauge&gt; Khác")</f>
        <v>Đấu giá&gt; đồ chơi, trò chơi&gt; mô hình đường sắt&gt; N gauge&gt; Khác</v>
      </c>
      <c r="F676" t="str">
        <f t="shared" ca="1" si="10"/>
        <v>"2084259618" : "nếu không thì",</v>
      </c>
    </row>
    <row r="677" spans="1:6" ht="15.75" customHeight="1">
      <c r="A677" s="14">
        <v>2084048861</v>
      </c>
      <c r="B677" s="14" t="s">
        <v>6832</v>
      </c>
      <c r="C677" s="14" t="s">
        <v>8437</v>
      </c>
      <c r="D677" s="5" t="str">
        <f ca="1">IFERROR(__xludf.DUMMYFUNCTION("GOOGLETRANSLATE(B677,""ja"",""vi"")"),"dụng cụ hút gió")</f>
        <v>dụng cụ hút gió</v>
      </c>
      <c r="E677" s="4" t="str">
        <f ca="1">IFERROR(__xludf.DUMMYFUNCTION("GOOGLETRANSLATE(C677,""ja"",""vi"")"),"Đấu giá&gt; Sở thích, văn hóa&gt; Modeling Vật tư&gt; Tranh Đồ&gt; airbrush")</f>
        <v>Đấu giá&gt; Sở thích, văn hóa&gt; Modeling Vật tư&gt; Tranh Đồ&gt; airbrush</v>
      </c>
      <c r="F677" t="str">
        <f t="shared" ca="1" si="10"/>
        <v>"2084048861" : "dụng cụ hút gió",</v>
      </c>
    </row>
    <row r="678" spans="1:6" ht="15.75" customHeight="1">
      <c r="A678" s="14">
        <v>2084063792</v>
      </c>
      <c r="B678" s="14" t="s">
        <v>8438</v>
      </c>
      <c r="C678" s="14" t="s">
        <v>8439</v>
      </c>
      <c r="D678" s="5" t="str">
        <f ca="1">IFERROR(__xludf.DUMMYFUNCTION("GOOGLETRANSLATE(B678,""ja"",""vi"")"),"Bàn chải, bàn chải")</f>
        <v>Bàn chải, bàn chải</v>
      </c>
      <c r="E678" s="4" t="str">
        <f ca="1">IFERROR(__xludf.DUMMYFUNCTION("GOOGLETRANSLATE(C678,""ja"",""vi"")"),"Đấu giá&gt; Sở thích, văn hóa&gt; nguồn cung cấp mô hình&gt; Painting nguồn cung cấp&gt; bàn chải, bàn chải")</f>
        <v>Đấu giá&gt; Sở thích, văn hóa&gt; nguồn cung cấp mô hình&gt; Painting nguồn cung cấp&gt; bàn chải, bàn chải</v>
      </c>
      <c r="F678" t="str">
        <f t="shared" ca="1" si="10"/>
        <v>"2084063792" : "Bàn chải, bàn chải",</v>
      </c>
    </row>
    <row r="679" spans="1:6" ht="15.75" customHeight="1">
      <c r="A679" s="14">
        <v>2084063794</v>
      </c>
      <c r="B679" s="14" t="s">
        <v>8441</v>
      </c>
      <c r="C679" s="14" t="s">
        <v>8442</v>
      </c>
      <c r="D679" s="5" t="str">
        <f ca="1">IFERROR(__xludf.DUMMYFUNCTION("GOOGLETRANSLATE(B679,""ja"",""vi"")"),"sơn")</f>
        <v>sơn</v>
      </c>
      <c r="E679" s="4" t="str">
        <f ca="1">IFERROR(__xludf.DUMMYFUNCTION("GOOGLETRANSLATE(C679,""ja"",""vi"")"),"Đấu giá&gt; Sở thích, văn hóa&gt; Modeling Vật tư&gt; Tranh Đồ&gt; sơn")</f>
        <v>Đấu giá&gt; Sở thích, văn hóa&gt; Modeling Vật tư&gt; Tranh Đồ&gt; sơn</v>
      </c>
      <c r="F679" t="str">
        <f t="shared" ca="1" si="10"/>
        <v>"2084063794" : "sơn",</v>
      </c>
    </row>
    <row r="680" spans="1:6" ht="15.75" customHeight="1">
      <c r="A680" s="14">
        <v>2084063798</v>
      </c>
      <c r="B680" s="14" t="s">
        <v>46</v>
      </c>
      <c r="C680" s="14" t="s">
        <v>8444</v>
      </c>
      <c r="D680" s="5" t="str">
        <f ca="1">IFERROR(__xludf.DUMMYFUNCTION("GOOGLETRANSLATE(B680,""ja"",""vi"")"),"nếu không thì")</f>
        <v>nếu không thì</v>
      </c>
      <c r="E680" s="4" t="str">
        <f ca="1">IFERROR(__xludf.DUMMYFUNCTION("GOOGLETRANSLATE(C680,""ja"",""vi"")"),"Đấu giá&gt; Sở thích, văn hóa&gt; Modeling Vật tư&gt; Tranh Đồ&gt; Khác")</f>
        <v>Đấu giá&gt; Sở thích, văn hóa&gt; Modeling Vật tư&gt; Tranh Đồ&gt; Khác</v>
      </c>
      <c r="F680" t="str">
        <f t="shared" ca="1" si="10"/>
        <v>"2084063798" : "nếu không thì",</v>
      </c>
    </row>
    <row r="681" spans="1:6" ht="15.75" customHeight="1">
      <c r="A681" s="14">
        <v>2084063796</v>
      </c>
      <c r="B681" s="14" t="s">
        <v>8445</v>
      </c>
      <c r="C681" s="14" t="s">
        <v>8446</v>
      </c>
      <c r="D681" s="5" t="str">
        <f ca="1">IFERROR(__xludf.DUMMYFUNCTION("GOOGLETRANSLATE(B681,""ja"",""vi"")"),"dính")</f>
        <v>dính</v>
      </c>
      <c r="E681" s="4" t="str">
        <f ca="1">IFERROR(__xludf.DUMMYFUNCTION("GOOGLETRANSLATE(C681,""ja"",""vi"")"),"Đấu giá&gt; Sở thích, văn hóa&gt; Mô hình hóa nguồn cung cấp&gt; nguồn cung cấp liên kết&gt; dính")</f>
        <v>Đấu giá&gt; Sở thích, văn hóa&gt; Mô hình hóa nguồn cung cấp&gt; nguồn cung cấp liên kết&gt; dính</v>
      </c>
      <c r="F681" t="str">
        <f t="shared" ca="1" si="10"/>
        <v>"2084063796" : "dính",</v>
      </c>
    </row>
    <row r="682" spans="1:6" ht="15.75" customHeight="1">
      <c r="A682" s="14">
        <v>2084063797</v>
      </c>
      <c r="B682" s="14" t="s">
        <v>46</v>
      </c>
      <c r="C682" s="14" t="s">
        <v>8448</v>
      </c>
      <c r="D682" s="5" t="str">
        <f ca="1">IFERROR(__xludf.DUMMYFUNCTION("GOOGLETRANSLATE(B682,""ja"",""vi"")"),"nếu không thì")</f>
        <v>nếu không thì</v>
      </c>
      <c r="E682" s="4" t="str">
        <f ca="1">IFERROR(__xludf.DUMMYFUNCTION("GOOGLETRANSLATE(C682,""ja"",""vi"")"),"Đấu giá&gt; Sở thích, văn hóa&gt; nguồn cung cấp mô hình hóa&gt; nguồn cung cấp liên kết&gt; Khác")</f>
        <v>Đấu giá&gt; Sở thích, văn hóa&gt; nguồn cung cấp mô hình hóa&gt; nguồn cung cấp liên kết&gt; Khác</v>
      </c>
      <c r="F682" t="str">
        <f t="shared" ca="1" si="10"/>
        <v>"2084063797" : "nếu không thì",</v>
      </c>
    </row>
    <row r="683" spans="1:6" ht="15.75" customHeight="1">
      <c r="A683" s="14">
        <v>2084007955</v>
      </c>
      <c r="B683" s="14" t="s">
        <v>8450</v>
      </c>
      <c r="C683" s="14" t="s">
        <v>8451</v>
      </c>
      <c r="D683" s="5" t="str">
        <f ca="1">IFERROR(__xludf.DUMMYFUNCTION("GOOGLETRANSLATE(B683,""ja"",""vi"")"),"Đối với bộ sưu tập")</f>
        <v>Đối với bộ sưu tập</v>
      </c>
      <c r="E683" s="4" t="str">
        <f ca="1">IFERROR(__xludf.DUMMYFUNCTION("GOOGLETRANSLATE(C683,""ja"",""vi"")"),"Đấu giá&gt; Sở thích, văn hóa&gt; đường sắt&gt; vé&gt; cho bộ sưu tập")</f>
        <v>Đấu giá&gt; Sở thích, văn hóa&gt; đường sắt&gt; vé&gt; cho bộ sưu tập</v>
      </c>
      <c r="F683" t="str">
        <f t="shared" ca="1" si="10"/>
        <v>"2084007955" : "Đối với bộ sưu tập",</v>
      </c>
    </row>
    <row r="684" spans="1:6" ht="15.75" customHeight="1">
      <c r="A684" s="14">
        <v>2084007952</v>
      </c>
      <c r="B684" s="14" t="s">
        <v>8453</v>
      </c>
      <c r="C684" s="14" t="s">
        <v>8454</v>
      </c>
      <c r="D684" s="5" t="str">
        <f ca="1">IFERROR(__xludf.DUMMYFUNCTION("GOOGLETRANSLATE(B684,""ja"",""vi"")"),"Để sử dụng chung")</f>
        <v>Để sử dụng chung</v>
      </c>
      <c r="E684" s="4" t="str">
        <f ca="1">IFERROR(__xludf.DUMMYFUNCTION("GOOGLETRANSLATE(C684,""ja"",""vi"")"),"Đấu giá&gt; Sở thích, văn hóa&gt; đường sắt&gt; vé&gt; để sử dụng chung")</f>
        <v>Đấu giá&gt; Sở thích, văn hóa&gt; đường sắt&gt; vé&gt; để sử dụng chung</v>
      </c>
      <c r="F684" t="str">
        <f t="shared" ca="1" si="10"/>
        <v>"2084007952" : "Để sử dụng chung",</v>
      </c>
    </row>
    <row r="685" spans="1:6" ht="15.75" customHeight="1">
      <c r="A685" s="14">
        <v>2084222920</v>
      </c>
      <c r="B685" s="14" t="s">
        <v>8456</v>
      </c>
      <c r="C685" s="14" t="s">
        <v>8457</v>
      </c>
      <c r="D685" s="5" t="str">
        <f ca="1">IFERROR(__xludf.DUMMYFUNCTION("GOOGLETRANSLATE(B685,""ja"",""vi"")"),"PASMO")</f>
        <v>PASMO</v>
      </c>
      <c r="E685" s="4" t="str">
        <f ca="1">IFERROR(__xludf.DUMMYFUNCTION("GOOGLETRANSLATE(C685,""ja"",""vi"")"),"Đấu giá&gt; vé, chứng từ, đặt phòng khách sạn&gt; Thẻ trả trước&gt; đường sắt&gt; PASMO")</f>
        <v>Đấu giá&gt; vé, chứng từ, đặt phòng khách sạn&gt; Thẻ trả trước&gt; đường sắt&gt; PASMO</v>
      </c>
      <c r="F685" t="str">
        <f t="shared" ca="1" si="10"/>
        <v>"2084222920" : "PASMO",</v>
      </c>
    </row>
    <row r="686" spans="1:6" ht="15.75" customHeight="1">
      <c r="A686" s="14">
        <v>2084007694</v>
      </c>
      <c r="B686" s="14" t="s">
        <v>8459</v>
      </c>
      <c r="C686" s="14" t="s">
        <v>8460</v>
      </c>
      <c r="D686" s="5" t="str">
        <f ca="1">IFERROR(__xludf.DUMMYFUNCTION("GOOGLETRANSLATE(B686,""ja"",""vi"")"),"thẻ Orange")</f>
        <v>thẻ Orange</v>
      </c>
      <c r="E686" s="4" t="str">
        <f ca="1">IFERROR(__xludf.DUMMYFUNCTION("GOOGLETRANSLATE(C686,""ja"",""vi"")"),"Đấu giá&gt; vé, chứng từ, đặt phòng khách sạn&gt; Thẻ trả trước&gt; đường sắt&gt; Orange Thẻ")</f>
        <v>Đấu giá&gt; vé, chứng từ, đặt phòng khách sạn&gt; Thẻ trả trước&gt; đường sắt&gt; Orange Thẻ</v>
      </c>
      <c r="F686" t="str">
        <f t="shared" ca="1" si="10"/>
        <v>"2084007694" : "thẻ Orange",</v>
      </c>
    </row>
    <row r="687" spans="1:6" ht="15.75" customHeight="1">
      <c r="A687" s="14">
        <v>2084048493</v>
      </c>
      <c r="B687" s="14" t="s">
        <v>8464</v>
      </c>
      <c r="C687" s="14" t="s">
        <v>8466</v>
      </c>
      <c r="D687" s="5" t="str">
        <f ca="1">IFERROR(__xludf.DUMMYFUNCTION("GOOGLETRANSLATE(B687,""ja"",""vi"")"),"Suica")</f>
        <v>Suica</v>
      </c>
      <c r="E687" s="4" t="str">
        <f ca="1">IFERROR(__xludf.DUMMYFUNCTION("GOOGLETRANSLATE(C687,""ja"",""vi"")"),"Đấu giá&gt; vé, chứng từ, đặt phòng khách sạn&gt; Thẻ trả trước&gt; đường sắt&gt; Suica")</f>
        <v>Đấu giá&gt; vé, chứng từ, đặt phòng khách sạn&gt; Thẻ trả trước&gt; đường sắt&gt; Suica</v>
      </c>
      <c r="F687" t="str">
        <f t="shared" ca="1" si="10"/>
        <v>"2084048493" : "Suica",</v>
      </c>
    </row>
    <row r="688" spans="1:6" ht="15.75" customHeight="1">
      <c r="A688" s="14">
        <v>2084046715</v>
      </c>
      <c r="B688" s="14" t="s">
        <v>8467</v>
      </c>
      <c r="C688" s="14" t="s">
        <v>8469</v>
      </c>
      <c r="D688" s="5" t="str">
        <f ca="1">IFERROR(__xludf.DUMMYFUNCTION("GOOGLETRANSLATE(B688,""ja"",""vi"")"),"Đường dẫn thẻ net")</f>
        <v>Đường dẫn thẻ net</v>
      </c>
      <c r="E688" s="4" t="str">
        <f ca="1">IFERROR(__xludf.DUMMYFUNCTION("GOOGLETRANSLATE(C688,""ja"",""vi"")"),"Đấu giá&gt; vé, chứng từ, đặt phòng khách sạn&gt; Thẻ trả trước&gt; đường sắt&gt; con đường thẻ net")</f>
        <v>Đấu giá&gt; vé, chứng từ, đặt phòng khách sạn&gt; Thẻ trả trước&gt; đường sắt&gt; con đường thẻ net</v>
      </c>
      <c r="F688" t="str">
        <f t="shared" ca="1" si="10"/>
        <v>"2084046715" : "Đường dẫn thẻ net",</v>
      </c>
    </row>
    <row r="689" spans="1:6" ht="15.75" customHeight="1">
      <c r="A689" s="14">
        <v>2084051817</v>
      </c>
      <c r="B689" s="14" t="s">
        <v>8472</v>
      </c>
      <c r="C689" s="14" t="s">
        <v>8473</v>
      </c>
      <c r="D689" s="5" t="str">
        <f ca="1">IFERROR(__xludf.DUMMYFUNCTION("GOOGLETRANSLATE(B689,""ja"",""vi"")"),"Icoca")</f>
        <v>Icoca</v>
      </c>
      <c r="E689" s="4" t="str">
        <f ca="1">IFERROR(__xludf.DUMMYFUNCTION("GOOGLETRANSLATE(C689,""ja"",""vi"")"),"Đấu giá&gt; vé, chứng từ, đặt phòng khách sạn&gt; Thẻ trả trước&gt; đường sắt&gt; Icoca")</f>
        <v>Đấu giá&gt; vé, chứng từ, đặt phòng khách sạn&gt; Thẻ trả trước&gt; đường sắt&gt; Icoca</v>
      </c>
      <c r="F689" t="str">
        <f t="shared" ca="1" si="10"/>
        <v>"2084051817" : "Icoca",</v>
      </c>
    </row>
    <row r="690" spans="1:6" ht="15.75" customHeight="1">
      <c r="A690" s="14">
        <v>2084046716</v>
      </c>
      <c r="B690" s="14" t="s">
        <v>8476</v>
      </c>
      <c r="C690" s="14" t="s">
        <v>8477</v>
      </c>
      <c r="D690" s="5" t="str">
        <f ca="1">IFERROR(__xludf.DUMMYFUNCTION("GOOGLETRANSLATE(B690,""ja"",""vi"")"),"J qua thẻ")</f>
        <v>J qua thẻ</v>
      </c>
      <c r="E690" s="4" t="str">
        <f ca="1">IFERROR(__xludf.DUMMYFUNCTION("GOOGLETRANSLATE(C690,""ja"",""vi"")"),"Đấu giá&gt; vé, chứng từ, đặt phòng khách sạn&gt; Thẻ trả trước&gt; đường sắt&gt; J qua thẻ")</f>
        <v>Đấu giá&gt; vé, chứng từ, đặt phòng khách sạn&gt; Thẻ trả trước&gt; đường sắt&gt; J qua thẻ</v>
      </c>
      <c r="F690" t="str">
        <f t="shared" ca="1" si="10"/>
        <v>"2084046716" : "J qua thẻ",</v>
      </c>
    </row>
    <row r="691" spans="1:6" ht="15.75" customHeight="1">
      <c r="A691" s="14">
        <v>2084007695</v>
      </c>
      <c r="B691" s="14" t="s">
        <v>8480</v>
      </c>
      <c r="C691" s="14" t="s">
        <v>8481</v>
      </c>
      <c r="D691" s="5" t="str">
        <f ca="1">IFERROR(__xludf.DUMMYFUNCTION("GOOGLETRANSLATE(B691,""ja"",""vi"")"),"thẻ IO")</f>
        <v>thẻ IO</v>
      </c>
      <c r="E691" s="4" t="str">
        <f ca="1">IFERROR(__xludf.DUMMYFUNCTION("GOOGLETRANSLATE(C691,""ja"",""vi"")"),"Đấu giá&gt; vé, chứng từ, đặt phòng khách sạn&gt; Thẻ trả trước&gt; đường sắt&gt; thẻ IO")</f>
        <v>Đấu giá&gt; vé, chứng từ, đặt phòng khách sạn&gt; Thẻ trả trước&gt; đường sắt&gt; thẻ IO</v>
      </c>
      <c r="F691" t="str">
        <f t="shared" ca="1" si="10"/>
        <v>"2084007695" : "thẻ IO",</v>
      </c>
    </row>
    <row r="692" spans="1:6" ht="15.75" customHeight="1">
      <c r="A692" s="14">
        <v>2084047643</v>
      </c>
      <c r="B692" s="14" t="s">
        <v>8484</v>
      </c>
      <c r="C692" s="14" t="s">
        <v>8485</v>
      </c>
      <c r="D692" s="5" t="str">
        <f ca="1">IFERROR(__xludf.DUMMYFUNCTION("GOOGLETRANSLATE(B692,""ja"",""vi"")"),"Surutto KANSAI")</f>
        <v>Surutto KANSAI</v>
      </c>
      <c r="E692" s="4" t="str">
        <f ca="1">IFERROR(__xludf.DUMMYFUNCTION("GOOGLETRANSLATE(C692,""ja"",""vi"")"),"Đấu giá&gt; vé, chứng từ, đặt phòng khách sạn&gt; Thẻ trả trước&gt; đường sắt&gt; Surutto KANSAI")</f>
        <v>Đấu giá&gt; vé, chứng từ, đặt phòng khách sạn&gt; Thẻ trả trước&gt; đường sắt&gt; Surutto KANSAI</v>
      </c>
      <c r="F692" t="str">
        <f t="shared" ca="1" si="10"/>
        <v>"2084047643" : "Surutto KANSAI",</v>
      </c>
    </row>
    <row r="693" spans="1:6" ht="15.75" customHeight="1">
      <c r="A693" s="14">
        <v>2084007700</v>
      </c>
      <c r="B693" s="14" t="s">
        <v>46</v>
      </c>
      <c r="C693" s="14" t="s">
        <v>8488</v>
      </c>
      <c r="D693" s="5" t="str">
        <f ca="1">IFERROR(__xludf.DUMMYFUNCTION("GOOGLETRANSLATE(B693,""ja"",""vi"")"),"nếu không thì")</f>
        <v>nếu không thì</v>
      </c>
      <c r="E693" s="4" t="str">
        <f ca="1">IFERROR(__xludf.DUMMYFUNCTION("GOOGLETRANSLATE(C693,""ja"",""vi"")"),"Đấu giá&gt; vé, chứng từ, đặt phòng khách sạn&gt; Thẻ trả trước&gt; đường sắt&gt; Khác")</f>
        <v>Đấu giá&gt; vé, chứng từ, đặt phòng khách sạn&gt; Thẻ trả trước&gt; đường sắt&gt; Khác</v>
      </c>
      <c r="F693" t="str">
        <f t="shared" ca="1" si="10"/>
        <v>"2084007700" : "nếu không thì",</v>
      </c>
    </row>
    <row r="694" spans="1:6" ht="15.75" customHeight="1">
      <c r="A694" s="14">
        <v>2084007711</v>
      </c>
      <c r="B694" s="14" t="s">
        <v>8491</v>
      </c>
      <c r="C694" s="14" t="s">
        <v>8492</v>
      </c>
      <c r="D694" s="5" t="str">
        <f ca="1">IFERROR(__xludf.DUMMYFUNCTION("GOOGLETRANSLATE(B694,""ja"",""vi"")"),"bảng đích, giày đế bằng cây")</f>
        <v>bảng đích, giày đế bằng cây</v>
      </c>
      <c r="E694" s="4" t="str">
        <f ca="1">IFERROR(__xludf.DUMMYFUNCTION("GOOGLETRANSLATE(C694,""ja"",""vi"")"),"Đấu giá&gt; Sở thích, văn hóa&gt; đường sắt&gt; Bài viết vô dụng, hàng xả&gt; bảng đích, giày đế bằng cây")</f>
        <v>Đấu giá&gt; Sở thích, văn hóa&gt; đường sắt&gt; Bài viết vô dụng, hàng xả&gt; bảng đích, giày đế bằng cây</v>
      </c>
      <c r="F694" t="str">
        <f t="shared" ca="1" si="10"/>
        <v>"2084007711" : "bảng đích, giày đế bằng cây",</v>
      </c>
    </row>
    <row r="695" spans="1:6" ht="15.75" customHeight="1">
      <c r="A695" s="14">
        <v>2084007712</v>
      </c>
      <c r="B695" s="14" t="s">
        <v>8494</v>
      </c>
      <c r="C695" s="14" t="s">
        <v>8495</v>
      </c>
      <c r="D695" s="5" t="str">
        <f ca="1">IFERROR(__xludf.DUMMYFUNCTION("GOOGLETRANSLATE(B695,""ja"",""vi"")"),"rèm Direction")</f>
        <v>rèm Direction</v>
      </c>
      <c r="E695" s="4" t="str">
        <f ca="1">IFERROR(__xludf.DUMMYFUNCTION("GOOGLETRANSLATE(C695,""ja"",""vi"")"),"Đấu giá&gt; Sở thích, văn hóa&gt; đường sắt&gt; Bài viết vô dụng, hàng xả&gt; rèm hướng")</f>
        <v>Đấu giá&gt; Sở thích, văn hóa&gt; đường sắt&gt; Bài viết vô dụng, hàng xả&gt; rèm hướng</v>
      </c>
      <c r="F695" t="str">
        <f t="shared" ca="1" si="10"/>
        <v>"2084007712" : "rèm Direction",</v>
      </c>
    </row>
    <row r="696" spans="1:6" ht="15.75" customHeight="1">
      <c r="A696" s="14">
        <v>2084007713</v>
      </c>
      <c r="B696" s="14" t="s">
        <v>46</v>
      </c>
      <c r="C696" s="14" t="s">
        <v>8497</v>
      </c>
      <c r="D696" s="5" t="str">
        <f ca="1">IFERROR(__xludf.DUMMYFUNCTION("GOOGLETRANSLATE(B696,""ja"",""vi"")"),"nếu không thì")</f>
        <v>nếu không thì</v>
      </c>
      <c r="E696" s="4" t="str">
        <f ca="1">IFERROR(__xludf.DUMMYFUNCTION("GOOGLETRANSLATE(C696,""ja"",""vi"")"),"Đấu giá&gt; Sở thích, văn hóa&gt; đường sắt&gt; Bài viết vô dụng, hàng xả&gt; Khác")</f>
        <v>Đấu giá&gt; Sở thích, văn hóa&gt; đường sắt&gt; Bài viết vô dụng, hàng xả&gt; Khác</v>
      </c>
      <c r="F696" t="str">
        <f t="shared" ca="1" si="10"/>
        <v>"2084007713" : "nếu không thì",</v>
      </c>
    </row>
    <row r="697" spans="1:6" ht="15.75" customHeight="1">
      <c r="A697" s="14">
        <v>2084023874</v>
      </c>
      <c r="B697" s="14" t="s">
        <v>5585</v>
      </c>
      <c r="C697" s="14" t="s">
        <v>5587</v>
      </c>
      <c r="D697" s="5" t="str">
        <f ca="1">IFERROR(__xludf.DUMMYFUNCTION("GOOGLETRANSLATE(B697,""ja"",""vi"")"),"Railway chung")</f>
        <v>Railway chung</v>
      </c>
      <c r="E697" s="4" t="str">
        <f ca="1">IFERROR(__xludf.DUMMYFUNCTION("GOOGLETRANSLATE(C697,""ja"",""vi"")"),"Đấu giá&gt; cuốn sách, tạp chí&gt; sở thích, thể thao, sử dụng thực tế&gt; đường sắt&gt; chung đường sắt")</f>
        <v>Đấu giá&gt; cuốn sách, tạp chí&gt; sở thích, thể thao, sử dụng thực tế&gt; đường sắt&gt; chung đường sắt</v>
      </c>
      <c r="F697" t="str">
        <f t="shared" ca="1" si="10"/>
        <v>"2084023874" : "Railway chung",</v>
      </c>
    </row>
    <row r="698" spans="1:6" ht="15.75" customHeight="1">
      <c r="A698" s="14">
        <v>2084008110</v>
      </c>
      <c r="B698" s="14" t="s">
        <v>1586</v>
      </c>
      <c r="C698" s="14" t="s">
        <v>5592</v>
      </c>
      <c r="D698" s="5" t="str">
        <f ca="1">IFERROR(__xludf.DUMMYFUNCTION("GOOGLETRANSLATE(B698,""ja"",""vi"")"),"tạp chí")</f>
        <v>tạp chí</v>
      </c>
      <c r="E698" s="4" t="str">
        <f ca="1">IFERROR(__xludf.DUMMYFUNCTION("GOOGLETRANSLATE(C698,""ja"",""vi"")"),"Đấu giá&gt; cuốn sách, tạp chí&gt; sở thích, thể thao, sử dụng thực tế&gt; đường sắt&gt; Tạp chí")</f>
        <v>Đấu giá&gt; cuốn sách, tạp chí&gt; sở thích, thể thao, sử dụng thực tế&gt; đường sắt&gt; Tạp chí</v>
      </c>
      <c r="F698" t="str">
        <f t="shared" ca="1" si="10"/>
        <v>"2084008110" : "tạp chí",</v>
      </c>
    </row>
    <row r="699" spans="1:6" ht="15.75" customHeight="1">
      <c r="A699" s="14">
        <v>2084019974</v>
      </c>
      <c r="B699" s="14" t="s">
        <v>8503</v>
      </c>
      <c r="C699" s="14" t="s">
        <v>8504</v>
      </c>
      <c r="D699" s="5" t="str">
        <f ca="1">IFERROR(__xludf.DUMMYFUNCTION("GOOGLETRANSLATE(B699,""ja"",""vi"")"),"quần áo")</f>
        <v>quần áo</v>
      </c>
      <c r="E699" s="4" t="str">
        <f ca="1">IFERROR(__xludf.DUMMYFUNCTION("GOOGLETRANSLATE(C699,""ja"",""vi"")"),"Đấu giá&gt; Sở thích, văn hóa&gt; đường sắt&gt; hàng hóa đường sắt liên quan đến&gt; quần áo")</f>
        <v>Đấu giá&gt; Sở thích, văn hóa&gt; đường sắt&gt; hàng hóa đường sắt liên quan đến&gt; quần áo</v>
      </c>
      <c r="F699" t="str">
        <f t="shared" ca="1" si="10"/>
        <v>"2084019974" : "quần áo",</v>
      </c>
    </row>
    <row r="700" spans="1:6" ht="15.75" customHeight="1">
      <c r="A700" s="14">
        <v>2084007702</v>
      </c>
      <c r="B700" s="14" t="s">
        <v>7739</v>
      </c>
      <c r="C700" s="14" t="s">
        <v>8507</v>
      </c>
      <c r="D700" s="5" t="str">
        <f ca="1">IFERROR(__xludf.DUMMYFUNCTION("GOOGLETRANSLATE(B700,""ja"",""vi"")"),"lịch")</f>
        <v>lịch</v>
      </c>
      <c r="E700" s="4" t="str">
        <f ca="1">IFERROR(__xludf.DUMMYFUNCTION("GOOGLETRANSLATE(C700,""ja"",""vi"")"),"Đấu giá&gt; Sở thích, văn hóa&gt; đường sắt&gt; hàng hóa đường sắt liên quan đến&gt; Lịch")</f>
        <v>Đấu giá&gt; Sở thích, văn hóa&gt; đường sắt&gt; hàng hóa đường sắt liên quan đến&gt; Lịch</v>
      </c>
      <c r="F700" t="str">
        <f t="shared" ca="1" si="10"/>
        <v>"2084007702" : "lịch",</v>
      </c>
    </row>
    <row r="701" spans="1:6" ht="15.75" customHeight="1">
      <c r="A701" s="14">
        <v>2084007801</v>
      </c>
      <c r="B701" s="14" t="s">
        <v>5976</v>
      </c>
      <c r="C701" s="14" t="s">
        <v>8509</v>
      </c>
      <c r="D701" s="5" t="str">
        <f ca="1">IFERROR(__xludf.DUMMYFUNCTION("GOOGLETRANSLATE(B701,""ja"",""vi"")"),"thẻ điện thoại")</f>
        <v>thẻ điện thoại</v>
      </c>
      <c r="E701" s="4" t="str">
        <f ca="1">IFERROR(__xludf.DUMMYFUNCTION("GOOGLETRANSLATE(C701,""ja"",""vi"")"),"Đấu giá&gt; Sở thích, văn hóa&gt; đường sắt&gt; hàng hóa đường sắt liên quan đến&gt; Thẻ điện thoại")</f>
        <v>Đấu giá&gt; Sở thích, văn hóa&gt; đường sắt&gt; hàng hóa đường sắt liên quan đến&gt; Thẻ điện thoại</v>
      </c>
      <c r="F701" t="str">
        <f t="shared" ca="1" si="10"/>
        <v>"2084007801" : "thẻ điện thoại",</v>
      </c>
    </row>
    <row r="702" spans="1:6" ht="15.75" customHeight="1">
      <c r="A702" s="14">
        <v>2084007960</v>
      </c>
      <c r="B702" s="14" t="s">
        <v>8510</v>
      </c>
      <c r="C702" s="14" t="s">
        <v>8512</v>
      </c>
      <c r="D702" s="5" t="str">
        <f ca="1">IFERROR(__xludf.DUMMYFUNCTION("GOOGLETRANSLATE(B702,""ja"",""vi"")"),"Bưu thiếp, thẻ bài")</f>
        <v>Bưu thiếp, thẻ bài</v>
      </c>
      <c r="E702" s="4" t="str">
        <f ca="1">IFERROR(__xludf.DUMMYFUNCTION("GOOGLETRANSLATE(C702,""ja"",""vi"")"),"Đấu giá&gt; Sở thích, văn hóa&gt; đường sắt&gt; hàng hóa đường sắt liên quan đến&gt; hình ảnh bưu thiếp, thẻ bài")</f>
        <v>Đấu giá&gt; Sở thích, văn hóa&gt; đường sắt&gt; hàng hóa đường sắt liên quan đến&gt; hình ảnh bưu thiếp, thẻ bài</v>
      </c>
      <c r="F702" t="str">
        <f t="shared" ca="1" si="10"/>
        <v>"2084007960" : "Bưu thiếp, thẻ bài",</v>
      </c>
    </row>
    <row r="703" spans="1:6" ht="15.75" customHeight="1">
      <c r="A703" s="14">
        <v>2084019975</v>
      </c>
      <c r="B703" s="14" t="s">
        <v>8514</v>
      </c>
      <c r="C703" s="14" t="s">
        <v>8515</v>
      </c>
      <c r="D703" s="5" t="str">
        <f ca="1">IFERROR(__xludf.DUMMYFUNCTION("GOOGLETRANSLATE(B703,""ja"",""vi"")"),"Văn phòng phẩm")</f>
        <v>Văn phòng phẩm</v>
      </c>
      <c r="E703" s="4" t="str">
        <f ca="1">IFERROR(__xludf.DUMMYFUNCTION("GOOGLETRANSLATE(C703,""ja"",""vi"")"),"Đấu giá&gt; Sở thích, văn hóa&gt; đường sắt&gt; hàng hóa đường sắt liên quan đến&gt; Văn phòng phẩm")</f>
        <v>Đấu giá&gt; Sở thích, văn hóa&gt; đường sắt&gt; hàng hóa đường sắt liên quan đến&gt; Văn phòng phẩm</v>
      </c>
      <c r="F703" t="str">
        <f t="shared" ca="1" si="10"/>
        <v>"2084019975" : "Văn phòng phẩm",</v>
      </c>
    </row>
    <row r="704" spans="1:6" ht="15.75" customHeight="1">
      <c r="A704" s="14">
        <v>2084019977</v>
      </c>
      <c r="B704" s="14" t="s">
        <v>8517</v>
      </c>
      <c r="C704" s="14" t="s">
        <v>8519</v>
      </c>
      <c r="D704" s="5" t="str">
        <f ca="1">IFERROR(__xludf.DUMMYFUNCTION("GOOGLETRANSLATE(B704,""ja"",""vi"")"),"Công ty đường sắt bởi")</f>
        <v>Công ty đường sắt bởi</v>
      </c>
      <c r="E704" s="4" t="str">
        <f ca="1">IFERROR(__xludf.DUMMYFUNCTION("GOOGLETRANSLATE(C704,""ja"",""vi"")"),"Đấu giá&gt; Sở thích, văn hóa&gt; đường sắt&gt; hàng hóa đường sắt liên quan đến&gt; đường sắt công ty bởi")</f>
        <v>Đấu giá&gt; Sở thích, văn hóa&gt; đường sắt&gt; hàng hóa đường sắt liên quan đến&gt; đường sắt công ty bởi</v>
      </c>
      <c r="F704" t="str">
        <f t="shared" ca="1" si="10"/>
        <v>"2084019977" : "Công ty đường sắt bởi",</v>
      </c>
    </row>
    <row r="705" spans="1:6" ht="15.75" customHeight="1">
      <c r="A705" s="14">
        <v>2084019976</v>
      </c>
      <c r="B705" s="14" t="s">
        <v>46</v>
      </c>
      <c r="C705" s="14" t="s">
        <v>8522</v>
      </c>
      <c r="D705" s="5" t="str">
        <f ca="1">IFERROR(__xludf.DUMMYFUNCTION("GOOGLETRANSLATE(B705,""ja"",""vi"")"),"nếu không thì")</f>
        <v>nếu không thì</v>
      </c>
      <c r="E705" s="4" t="str">
        <f ca="1">IFERROR(__xludf.DUMMYFUNCTION("GOOGLETRANSLATE(C705,""ja"",""vi"")"),"Đấu giá&gt; Sở thích, văn hóa&gt; đường sắt&gt; hàng hóa đường sắt liên quan đến&gt; Khác")</f>
        <v>Đấu giá&gt; Sở thích, văn hóa&gt; đường sắt&gt; hàng hóa đường sắt liên quan đến&gt; Khác</v>
      </c>
      <c r="F705" t="str">
        <f t="shared" ca="1" si="10"/>
        <v>"2084019976" : "nếu không thì",</v>
      </c>
    </row>
    <row r="706" spans="1:6" ht="15.75" customHeight="1">
      <c r="A706" s="14">
        <v>2084045755</v>
      </c>
      <c r="B706" s="14" t="s">
        <v>5644</v>
      </c>
      <c r="C706" s="14" t="s">
        <v>8524</v>
      </c>
      <c r="D706" s="5" t="str">
        <f ca="1">IFERROR(__xludf.DUMMYFUNCTION("GOOGLETRANSLATE(B706,""ja"",""vi"")"),"nước ngoài")</f>
        <v>nước ngoài</v>
      </c>
      <c r="E706" s="4" t="str">
        <f ca="1">IFERROR(__xludf.DUMMYFUNCTION("GOOGLETRANSLATE(C706,""ja"",""vi"")"),"Đấu giá&gt; vé, chứng từ, đặt phòng khách sạn&gt; vé, vé vận chuyển&gt; Vé máy bay&gt; Overseas")</f>
        <v>Đấu giá&gt; vé, chứng từ, đặt phòng khách sạn&gt; vé, vé vận chuyển&gt; Vé máy bay&gt; Overseas</v>
      </c>
      <c r="F706" t="str">
        <f t="shared" ref="F706:F746" ca="1" si="11">CONCATENATE(CHAR(34)&amp;"",A706,""&amp;CHAR(34)," : ", CHAR(34)&amp;"",D706,""&amp;CHAR(34),",")</f>
        <v>"2084045755" : "nước ngoài",</v>
      </c>
    </row>
    <row r="707" spans="1:6" ht="15.75" customHeight="1">
      <c r="A707" s="14">
        <v>2084045754</v>
      </c>
      <c r="B707" s="14" t="s">
        <v>8527</v>
      </c>
      <c r="C707" s="14" t="s">
        <v>8529</v>
      </c>
      <c r="D707" s="5" t="str">
        <f ca="1">IFERROR(__xludf.DUMMYFUNCTION("GOOGLETRANSLATE(B707,""ja"",""vi"")"),"nội bộ")</f>
        <v>nội bộ</v>
      </c>
      <c r="E707" s="4" t="str">
        <f ca="1">IFERROR(__xludf.DUMMYFUNCTION("GOOGLETRANSLATE(C707,""ja"",""vi"")"),"Đấu giá&gt; vé, chứng từ, đặt phòng khách sạn&gt; vé, vé vận chuyển&gt; Vé máy bay&gt; trong nước")</f>
        <v>Đấu giá&gt; vé, chứng từ, đặt phòng khách sạn&gt; vé, vé vận chuyển&gt; Vé máy bay&gt; trong nước</v>
      </c>
      <c r="F707" t="str">
        <f t="shared" ca="1" si="11"/>
        <v>"2084045754" : "nội bộ",</v>
      </c>
    </row>
    <row r="708" spans="1:6" ht="15.75" customHeight="1">
      <c r="A708" s="14">
        <v>2084208631</v>
      </c>
      <c r="B708" s="14" t="s">
        <v>8530</v>
      </c>
      <c r="C708" s="14" t="s">
        <v>8532</v>
      </c>
      <c r="D708" s="5" t="str">
        <f ca="1">IFERROR(__xludf.DUMMYFUNCTION("GOOGLETRANSLATE(B708,""ja"",""vi"")"),"vé miễn phí, vé giảm giá")</f>
        <v>vé miễn phí, vé giảm giá</v>
      </c>
      <c r="E708" s="4" t="str">
        <f ca="1">IFERROR(__xludf.DUMMYFUNCTION("GOOGLETRANSLATE(C708,""ja"",""vi"")"),"Đấu giá&gt; vé, chứng từ,")</f>
        <v>Đấu giá&gt; vé, chứng từ,</v>
      </c>
      <c r="F708" t="str">
        <f t="shared" ca="1" si="11"/>
        <v>"2084208631" : "vé miễn phí, vé giảm giá",</v>
      </c>
    </row>
    <row r="709" spans="1:6" ht="15.75" customHeight="1">
      <c r="A709" s="14">
        <v>2084023871</v>
      </c>
      <c r="B709" s="14" t="s">
        <v>5512</v>
      </c>
      <c r="C709" s="14" t="s">
        <v>5513</v>
      </c>
      <c r="D709" s="5" t="str">
        <f ca="1">IFERROR(__xludf.DUMMYFUNCTION("GOOGLETRANSLATE(B709,""ja"",""vi"")"),"nói chung máy bay")</f>
        <v>nói chung máy bay</v>
      </c>
      <c r="E709" s="4" t="str">
        <f ca="1">IFERROR(__xludf.DUMMYFUNCTION("GOOGLETRANSLATE(C709,""ja"",""vi"")"),"Đấu giá&gt; cuốn sách, tạp chí&gt; sở thích, thể thao, sử dụng thực tế&gt; Máy bay&gt; chung máy bay")</f>
        <v>Đấu giá&gt; cuốn sách, tạp chí&gt; sở thích, thể thao, sử dụng thực tế&gt; Máy bay&gt; chung máy bay</v>
      </c>
      <c r="F709" t="str">
        <f t="shared" ca="1" si="11"/>
        <v>"2084023871" : "nói chung máy bay",</v>
      </c>
    </row>
    <row r="710" spans="1:6" ht="15.75" customHeight="1">
      <c r="A710" s="14">
        <v>2084008117</v>
      </c>
      <c r="B710" s="14" t="s">
        <v>1586</v>
      </c>
      <c r="C710" s="14" t="s">
        <v>5516</v>
      </c>
      <c r="D710" s="5" t="str">
        <f ca="1">IFERROR(__xludf.DUMMYFUNCTION("GOOGLETRANSLATE(B710,""ja"",""vi"")"),"tạp chí")</f>
        <v>tạp chí</v>
      </c>
      <c r="E710" s="4" t="str">
        <f ca="1">IFERROR(__xludf.DUMMYFUNCTION("GOOGLETRANSLATE(C710,""ja"",""vi"")"),"Đấu giá&gt; cuốn sách, tạp chí&gt; sở thích, thể thao, sử dụng thực tế&gt; Máy bay&gt; Tạp chí")</f>
        <v>Đấu giá&gt; cuốn sách, tạp chí&gt; sở thích, thể thao, sử dụng thực tế&gt; Máy bay&gt; Tạp chí</v>
      </c>
      <c r="F710" t="str">
        <f t="shared" ca="1" si="11"/>
        <v>"2084008117" : "tạp chí",</v>
      </c>
    </row>
    <row r="711" spans="1:6" ht="15.75" customHeight="1">
      <c r="A711" s="14">
        <v>2084019958</v>
      </c>
      <c r="B711" s="14" t="s">
        <v>8503</v>
      </c>
      <c r="C711" s="14" t="s">
        <v>8538</v>
      </c>
      <c r="D711" s="5" t="str">
        <f ca="1">IFERROR(__xludf.DUMMYFUNCTION("GOOGLETRANSLATE(B711,""ja"",""vi"")"),"quần áo")</f>
        <v>quần áo</v>
      </c>
      <c r="E711" s="4" t="str">
        <f ca="1">IFERROR(__xludf.DUMMYFUNCTION("GOOGLETRANSLATE(C711,""ja"",""vi"")"),"Đấu giá&gt; Sở thích, văn hóa&gt; máy bay&gt; hàng hóa hàng không liên quan đến&gt; quần áo")</f>
        <v>Đấu giá&gt; Sở thích, văn hóa&gt; máy bay&gt; hàng hóa hàng không liên quan đến&gt; quần áo</v>
      </c>
      <c r="F711" t="str">
        <f t="shared" ca="1" si="11"/>
        <v>"2084019958" : "quần áo",</v>
      </c>
    </row>
    <row r="712" spans="1:6" ht="15.75" customHeight="1">
      <c r="A712" s="14">
        <v>2084007962</v>
      </c>
      <c r="B712" s="14" t="s">
        <v>7739</v>
      </c>
      <c r="C712" s="14" t="s">
        <v>8540</v>
      </c>
      <c r="D712" s="5" t="str">
        <f ca="1">IFERROR(__xludf.DUMMYFUNCTION("GOOGLETRANSLATE(B712,""ja"",""vi"")"),"lịch")</f>
        <v>lịch</v>
      </c>
      <c r="E712" s="4" t="str">
        <f ca="1">IFERROR(__xludf.DUMMYFUNCTION("GOOGLETRANSLATE(C712,""ja"",""vi"")"),"Đấu giá&gt; Sở thích, văn hóa&gt; máy bay&gt; hàng hóa hàng không liên quan đến&gt; Lịch")</f>
        <v>Đấu giá&gt; Sở thích, văn hóa&gt; máy bay&gt; hàng hóa hàng không liên quan đến&gt; Lịch</v>
      </c>
      <c r="F712" t="str">
        <f t="shared" ca="1" si="11"/>
        <v>"2084007962" : "lịch",</v>
      </c>
    </row>
    <row r="713" spans="1:6" ht="15.75" customHeight="1">
      <c r="A713" s="14">
        <v>2084007949</v>
      </c>
      <c r="B713" s="14" t="s">
        <v>5976</v>
      </c>
      <c r="C713" s="14" t="s">
        <v>8544</v>
      </c>
      <c r="D713" s="5" t="str">
        <f ca="1">IFERROR(__xludf.DUMMYFUNCTION("GOOGLETRANSLATE(B713,""ja"",""vi"")"),"thẻ điện thoại")</f>
        <v>thẻ điện thoại</v>
      </c>
      <c r="E713" s="4" t="str">
        <f ca="1">IFERROR(__xludf.DUMMYFUNCTION("GOOGLETRANSLATE(C713,""ja"",""vi"")"),"Đấu giá&gt; Sở thích, văn hóa&gt; máy bay&gt; hàng hóa hàng không liên quan đến&gt; Thẻ điện thoại")</f>
        <v>Đấu giá&gt; Sở thích, văn hóa&gt; máy bay&gt; hàng hóa hàng không liên quan đến&gt; Thẻ điện thoại</v>
      </c>
      <c r="F713" t="str">
        <f t="shared" ca="1" si="11"/>
        <v>"2084007949" : "thẻ điện thoại",</v>
      </c>
    </row>
    <row r="714" spans="1:6" ht="15.75" customHeight="1">
      <c r="A714" s="14">
        <v>2084007959</v>
      </c>
      <c r="B714" s="14" t="s">
        <v>8510</v>
      </c>
      <c r="C714" s="14" t="s">
        <v>8548</v>
      </c>
      <c r="D714" s="5" t="str">
        <f ca="1">IFERROR(__xludf.DUMMYFUNCTION("GOOGLETRANSLATE(B714,""ja"",""vi"")"),"Bưu thiếp, thẻ bài")</f>
        <v>Bưu thiếp, thẻ bài</v>
      </c>
      <c r="E714" s="4" t="str">
        <f ca="1">IFERROR(__xludf.DUMMYFUNCTION("GOOGLETRANSLATE(C714,""ja"",""vi"")"),"Đấu giá&gt; Sở thích, văn hóa&gt; máy bay&gt; hàng hóa hàng không liên quan đến&gt; hình ảnh bưu thiếp, thẻ bài")</f>
        <v>Đấu giá&gt; Sở thích, văn hóa&gt; máy bay&gt; hàng hóa hàng không liên quan đến&gt; hình ảnh bưu thiếp, thẻ bài</v>
      </c>
      <c r="F714" t="str">
        <f t="shared" ca="1" si="11"/>
        <v>"2084007959" : "Bưu thiếp, thẻ bài",</v>
      </c>
    </row>
    <row r="715" spans="1:6" ht="15.75" customHeight="1">
      <c r="A715" s="14">
        <v>2084019959</v>
      </c>
      <c r="B715" s="14" t="s">
        <v>8514</v>
      </c>
      <c r="C715" s="14" t="s">
        <v>8550</v>
      </c>
      <c r="D715" s="5" t="str">
        <f ca="1">IFERROR(__xludf.DUMMYFUNCTION("GOOGLETRANSLATE(B715,""ja"",""vi"")"),"Văn phòng phẩm")</f>
        <v>Văn phòng phẩm</v>
      </c>
      <c r="E715" s="4" t="str">
        <f ca="1">IFERROR(__xludf.DUMMYFUNCTION("GOOGLETRANSLATE(C715,""ja"",""vi"")"),"Đấu giá&gt; Sở thích, văn hóa&gt; máy bay&gt; hàng hóa hàng không liên quan đến&gt; Văn phòng phẩm")</f>
        <v>Đấu giá&gt; Sở thích, văn hóa&gt; máy bay&gt; hàng hóa hàng không liên quan đến&gt; Văn phòng phẩm</v>
      </c>
      <c r="F715" t="str">
        <f t="shared" ca="1" si="11"/>
        <v>"2084019959" : "Văn phòng phẩm",</v>
      </c>
    </row>
    <row r="716" spans="1:6" ht="15.75" customHeight="1">
      <c r="A716" s="14">
        <v>2084019961</v>
      </c>
      <c r="B716" s="14" t="s">
        <v>8553</v>
      </c>
      <c r="C716" s="14" t="s">
        <v>8555</v>
      </c>
      <c r="D716" s="5" t="str">
        <f ca="1">IFERROR(__xludf.DUMMYFUNCTION("GOOGLETRANSLATE(B716,""ja"",""vi"")"),"Các hãng hàng không bởi")</f>
        <v>Các hãng hàng không bởi</v>
      </c>
      <c r="E716" s="4" t="str">
        <f ca="1">IFERROR(__xludf.DUMMYFUNCTION("GOOGLETRANSLATE(C716,""ja"",""vi"")"),"Đấu giá&gt; Sở thích, văn hóa&gt; máy bay&gt; hàng hóa hàng không liên quan đến&gt; hãng hàng không bởi")</f>
        <v>Đấu giá&gt; Sở thích, văn hóa&gt; máy bay&gt; hàng hóa hàng không liên quan đến&gt; hãng hàng không bởi</v>
      </c>
      <c r="F716" t="str">
        <f t="shared" ca="1" si="11"/>
        <v>"2084019961" : "Các hãng hàng không bởi",</v>
      </c>
    </row>
    <row r="717" spans="1:6" ht="15.75" customHeight="1">
      <c r="A717" s="14">
        <v>2084019960</v>
      </c>
      <c r="B717" s="14" t="s">
        <v>46</v>
      </c>
      <c r="C717" s="14" t="s">
        <v>8557</v>
      </c>
      <c r="D717" s="5" t="str">
        <f ca="1">IFERROR(__xludf.DUMMYFUNCTION("GOOGLETRANSLATE(B717,""ja"",""vi"")"),"nếu không thì")</f>
        <v>nếu không thì</v>
      </c>
      <c r="E717" s="4" t="str">
        <f ca="1">IFERROR(__xludf.DUMMYFUNCTION("GOOGLETRANSLATE(C717,""ja"",""vi"")"),"Đấu giá&gt; Sở thích, văn hóa&gt; máy bay&gt; hàng hóa hàng không liên quan đến&gt; Khác")</f>
        <v>Đấu giá&gt; Sở thích, văn hóa&gt; máy bay&gt; hàng hóa hàng không liên quan đến&gt; Khác</v>
      </c>
      <c r="F717" t="str">
        <f t="shared" ca="1" si="11"/>
        <v>"2084019960" : "nếu không thì",</v>
      </c>
    </row>
    <row r="718" spans="1:6" ht="15.75" customHeight="1">
      <c r="A718" s="14">
        <v>2084036861</v>
      </c>
      <c r="B718" s="14" t="s">
        <v>6248</v>
      </c>
      <c r="C718" s="14" t="s">
        <v>6249</v>
      </c>
      <c r="D718" s="5" t="str">
        <f ca="1">IFERROR(__xludf.DUMMYFUNCTION("GOOGLETRANSLATE(B718,""ja"",""vi"")"),"Handy")</f>
        <v>Handy</v>
      </c>
      <c r="E718" s="4" t="str">
        <f ca="1">IFERROR(__xludf.DUMMYFUNCTION("GOOGLETRANSLATE(C718,""ja"",""vi"")"),"Đấu giá&gt; Sở thích, văn hóa&gt; radio nghiệp dư&gt; thu phát&gt; tiện dụng")</f>
        <v>Đấu giá&gt; Sở thích, văn hóa&gt; radio nghiệp dư&gt; thu phát&gt; tiện dụng</v>
      </c>
      <c r="F718" t="str">
        <f t="shared" ca="1" si="11"/>
        <v>"2084036861" : "Handy",</v>
      </c>
    </row>
    <row r="719" spans="1:6" ht="15.75" customHeight="1">
      <c r="A719" s="14">
        <v>2084036854</v>
      </c>
      <c r="B719" s="14" t="s">
        <v>6250</v>
      </c>
      <c r="C719" s="14" t="s">
        <v>6251</v>
      </c>
      <c r="D719" s="5" t="str">
        <f ca="1">IFERROR(__xludf.DUMMYFUNCTION("GOOGLETRANSLATE(B719,""ja"",""vi"")"),"Mobil")</f>
        <v>Mobil</v>
      </c>
      <c r="E719" s="4" t="str">
        <f ca="1">IFERROR(__xludf.DUMMYFUNCTION("GOOGLETRANSLATE(C719,""ja"",""vi"")"),"Đấu giá&gt; Sở thích, văn hóa&gt; radio nghiệp dư&gt; thu phát&gt; Mobil")</f>
        <v>Đấu giá&gt; Sở thích, văn hóa&gt; radio nghiệp dư&gt; thu phát&gt; Mobil</v>
      </c>
      <c r="F719" t="str">
        <f t="shared" ca="1" si="11"/>
        <v>"2084036854" : "Mobil",</v>
      </c>
    </row>
    <row r="720" spans="1:6" ht="15.75" customHeight="1">
      <c r="A720" s="14">
        <v>2084036843</v>
      </c>
      <c r="B720" s="14" t="s">
        <v>6253</v>
      </c>
      <c r="C720" s="14" t="s">
        <v>6255</v>
      </c>
      <c r="D720" s="5" t="str">
        <f ca="1">IFERROR(__xludf.DUMMYFUNCTION("GOOGLETRANSLATE(B720,""ja"",""vi"")"),"Fixation")</f>
        <v>Fixation</v>
      </c>
      <c r="E720" s="4" t="str">
        <f ca="1">IFERROR(__xludf.DUMMYFUNCTION("GOOGLETRANSLATE(C720,""ja"",""vi"")"),"Đấu giá&gt; Sở thích, văn hóa&gt; radio nghiệp dư&gt; thu phát&gt; cố định")</f>
        <v>Đấu giá&gt; Sở thích, văn hóa&gt; radio nghiệp dư&gt; thu phát&gt; cố định</v>
      </c>
      <c r="F720" t="str">
        <f t="shared" ca="1" si="11"/>
        <v>"2084036843" : "Fixation",</v>
      </c>
    </row>
    <row r="721" spans="1:6" ht="15.75" customHeight="1">
      <c r="A721" s="14">
        <v>2084036865</v>
      </c>
      <c r="B721" s="14" t="s">
        <v>46</v>
      </c>
      <c r="C721" s="14" t="s">
        <v>6257</v>
      </c>
      <c r="D721" s="5" t="str">
        <f ca="1">IFERROR(__xludf.DUMMYFUNCTION("GOOGLETRANSLATE(B721,""ja"",""vi"")"),"nếu không thì")</f>
        <v>nếu không thì</v>
      </c>
      <c r="E721" s="4" t="str">
        <f ca="1">IFERROR(__xludf.DUMMYFUNCTION("GOOGLETRANSLATE(C721,""ja"",""vi"")"),"Đấu giá&gt; Sở thích, văn hóa&gt; nghiệp dư phát thanh&gt; thu phát&gt; Khác")</f>
        <v>Đấu giá&gt; Sở thích, văn hóa&gt; nghiệp dư phát thanh&gt; thu phát&gt; Khác</v>
      </c>
      <c r="F721" t="str">
        <f t="shared" ca="1" si="11"/>
        <v>"2084036865" : "nếu không thì",</v>
      </c>
    </row>
    <row r="722" spans="1:6" ht="15.75" customHeight="1">
      <c r="A722" s="14">
        <v>2084263362</v>
      </c>
      <c r="B722" s="14" t="s">
        <v>2895</v>
      </c>
      <c r="C722" s="14" t="s">
        <v>2896</v>
      </c>
      <c r="D722" s="5" t="str">
        <f ca="1">IFERROR(__xludf.DUMMYFUNCTION("GOOGLETRANSLATE(B722,""ja"",""vi"")"),"LED")</f>
        <v>LED</v>
      </c>
      <c r="E722" s="4" t="str">
        <f ca="1">IFERROR(__xludf.DUMMYFUNCTION("GOOGLETRANSLATE(C722,""ja"",""vi"")"),"Đấu giá&gt; thiết bị điện tử tiêu dùng, AV, camera&gt; Linh kiện điện tử&gt; LED")</f>
        <v>Đấu giá&gt; thiết bị điện tử tiêu dùng, AV, camera&gt; Linh kiện điện tử&gt; LED</v>
      </c>
      <c r="F722" t="str">
        <f t="shared" ca="1" si="11"/>
        <v>"2084263362" : "LED",</v>
      </c>
    </row>
    <row r="723" spans="1:6" ht="15.75" customHeight="1">
      <c r="A723" s="14">
        <v>2084263371</v>
      </c>
      <c r="B723" s="14" t="s">
        <v>2901</v>
      </c>
      <c r="C723" s="14" t="s">
        <v>2902</v>
      </c>
      <c r="D723" s="5" t="str">
        <f ca="1">IFERROR(__xludf.DUMMYFUNCTION("GOOGLETRANSLATE(B723,""ja"",""vi"")"),"cuộn")</f>
        <v>cuộn</v>
      </c>
      <c r="E723" s="4" t="str">
        <f ca="1">IFERROR(__xludf.DUMMYFUNCTION("GOOGLETRANSLATE(C723,""ja"",""vi"")"),"Đấu giá&gt; thiết bị điện tử tiêu dùng, AV, camera&gt; Linh kiện điện tử&gt; cuộn dây")</f>
        <v>Đấu giá&gt; thiết bị điện tử tiêu dùng, AV, camera&gt; Linh kiện điện tử&gt; cuộn dây</v>
      </c>
      <c r="F723" t="str">
        <f t="shared" ca="1" si="11"/>
        <v>"2084263371" : "cuộn",</v>
      </c>
    </row>
    <row r="724" spans="1:6" ht="15.75" customHeight="1">
      <c r="A724" s="14">
        <v>2084263359</v>
      </c>
      <c r="B724" s="14" t="s">
        <v>2908</v>
      </c>
      <c r="C724" s="14" t="s">
        <v>2909</v>
      </c>
      <c r="D724" s="5" t="str">
        <f ca="1">IFERROR(__xludf.DUMMYFUNCTION("GOOGLETRANSLATE(B724,""ja"",""vi"")"),"Condenser")</f>
        <v>Condenser</v>
      </c>
      <c r="E724" s="4" t="str">
        <f ca="1">IFERROR(__xludf.DUMMYFUNCTION("GOOGLETRANSLATE(C724,""ja"",""vi"")"),"Đấu giá&gt; thiết bị điện tử tiêu dùng, AV, camera&gt; Linh kiện điện tử&gt; tụ")</f>
        <v>Đấu giá&gt; thiết bị điện tử tiêu dùng, AV, camera&gt; Linh kiện điện tử&gt; tụ</v>
      </c>
      <c r="F724" t="str">
        <f t="shared" ca="1" si="11"/>
        <v>"2084263359" : "Condenser",</v>
      </c>
    </row>
    <row r="725" spans="1:6" ht="15.75" customHeight="1">
      <c r="A725" s="14">
        <v>2084263365</v>
      </c>
      <c r="B725" s="14" t="s">
        <v>2912</v>
      </c>
      <c r="C725" s="14" t="s">
        <v>2915</v>
      </c>
      <c r="D725" s="5" t="str">
        <f ca="1">IFERROR(__xludf.DUMMYFUNCTION("GOOGLETRANSLATE(B725,""ja"",""vi"")"),"điện trở biến")</f>
        <v>điện trở biến</v>
      </c>
      <c r="E725" s="4" t="str">
        <f ca="1">IFERROR(__xludf.DUMMYFUNCTION("GOOGLETRANSLATE(C725,""ja"",""vi"")"),"Đấu giá&gt; thiết bị điện tử tiêu dùng, AV, camera&gt; Linh kiện điện tử&gt; kháng biến")</f>
        <v>Đấu giá&gt; thiết bị điện tử tiêu dùng, AV, camera&gt; Linh kiện điện tử&gt; kháng biến</v>
      </c>
      <c r="F725" t="str">
        <f t="shared" ca="1" si="11"/>
        <v>"2084263365" : "điện trở biến",</v>
      </c>
    </row>
    <row r="726" spans="1:6" ht="15.75" customHeight="1">
      <c r="A726" s="14">
        <v>2084263364</v>
      </c>
      <c r="B726" s="14" t="s">
        <v>2916</v>
      </c>
      <c r="C726" s="14" t="s">
        <v>2917</v>
      </c>
      <c r="D726" s="5" t="str">
        <f ca="1">IFERROR(__xludf.DUMMYFUNCTION("GOOGLETRANSLATE(B726,""ja"",""vi"")"),"điện trở cố định")</f>
        <v>điện trở cố định</v>
      </c>
      <c r="E726" s="4" t="str">
        <f ca="1">IFERROR(__xludf.DUMMYFUNCTION("GOOGLETRANSLATE(C726,""ja"",""vi"")"),"Đấu giá&gt; thiết bị điện tử tiêu dùng, AV, camera&gt; Linh kiện điện tử&gt; điện trở cố định")</f>
        <v>Đấu giá&gt; thiết bị điện tử tiêu dùng, AV, camera&gt; Linh kiện điện tử&gt; điện trở cố định</v>
      </c>
      <c r="F726" t="str">
        <f t="shared" ca="1" si="11"/>
        <v>"2084263364" : "điện trở cố định",</v>
      </c>
    </row>
    <row r="727" spans="1:6" ht="15.75" customHeight="1">
      <c r="A727" s="14">
        <v>2084263366</v>
      </c>
      <c r="B727" s="14" t="s">
        <v>2922</v>
      </c>
      <c r="C727" s="14" t="s">
        <v>2923</v>
      </c>
      <c r="D727" s="5" t="str">
        <f ca="1">IFERROR(__xludf.DUMMYFUNCTION("GOOGLETRANSLATE(B727,""ja"",""vi"")"),"công tắc")</f>
        <v>công tắc</v>
      </c>
      <c r="E727" s="4" t="str">
        <f ca="1">IFERROR(__xludf.DUMMYFUNCTION("GOOGLETRANSLATE(C727,""ja"",""vi"")"),"Đấu giá&gt; thiết bị điện tử tiêu dùng, AV, camera&gt; Linh kiện điện tử&gt; chuyển đổi")</f>
        <v>Đấu giá&gt; thiết bị điện tử tiêu dùng, AV, camera&gt; Linh kiện điện tử&gt; chuyển đổi</v>
      </c>
      <c r="F727" t="str">
        <f t="shared" ca="1" si="11"/>
        <v>"2084263366" : "công tắc",</v>
      </c>
    </row>
    <row r="728" spans="1:6" ht="15.75" customHeight="1">
      <c r="A728" s="14">
        <v>2084263367</v>
      </c>
      <c r="B728" s="14" t="s">
        <v>2928</v>
      </c>
      <c r="C728" s="14" t="s">
        <v>2930</v>
      </c>
      <c r="D728" s="5" t="str">
        <f ca="1">IFERROR(__xludf.DUMMYFUNCTION("GOOGLETRANSLATE(B728,""ja"",""vi"")"),"Chuyển mạch cung cấp điện")</f>
        <v>Chuyển mạch cung cấp điện</v>
      </c>
      <c r="E728" s="4" t="str">
        <f ca="1">IFERROR(__xludf.DUMMYFUNCTION("GOOGLETRANSLATE(C728,""ja"",""vi"")"),"Đấu giá&gt; thiết bị điện tử tiêu dùng, AV, camera&gt; Linh kiện điện tử&gt; cung Switching điện")</f>
        <v>Đấu giá&gt; thiết bị điện tử tiêu dùng, AV, camera&gt; Linh kiện điện tử&gt; cung Switching điện</v>
      </c>
      <c r="F728" t="str">
        <f t="shared" ca="1" si="11"/>
        <v>"2084263367" : "Chuyển mạch cung cấp điện",</v>
      </c>
    </row>
    <row r="729" spans="1:6" ht="15.75" customHeight="1">
      <c r="A729" s="14">
        <v>2084263361</v>
      </c>
      <c r="B729" s="14" t="s">
        <v>2933</v>
      </c>
      <c r="C729" s="14" t="s">
        <v>2935</v>
      </c>
      <c r="D729" s="5" t="str">
        <f ca="1">IFERROR(__xludf.DUMMYFUNCTION("GOOGLETRANSLATE(B729,""ja"",""vi"")"),"diode")</f>
        <v>diode</v>
      </c>
      <c r="E729" s="4" t="str">
        <f ca="1">IFERROR(__xludf.DUMMYFUNCTION("GOOGLETRANSLATE(C729,""ja"",""vi"")"),"Đấu giá&gt; thiết bị điện tử tiêu dùng, AV, camera&gt; Linh kiện điện tử&gt; Điốt")</f>
        <v>Đấu giá&gt; thiết bị điện tử tiêu dùng, AV, camera&gt; Linh kiện điện tử&gt; Điốt</v>
      </c>
      <c r="F729" t="str">
        <f t="shared" ca="1" si="11"/>
        <v>"2084263361" : "diode",</v>
      </c>
    </row>
    <row r="730" spans="1:6" ht="15.75" customHeight="1">
      <c r="A730" s="14">
        <v>2084263360</v>
      </c>
      <c r="B730" s="14" t="s">
        <v>2939</v>
      </c>
      <c r="C730" s="14" t="s">
        <v>2940</v>
      </c>
      <c r="D730" s="5" t="str">
        <f ca="1">IFERROR(__xludf.DUMMYFUNCTION("GOOGLETRANSLATE(B730,""ja"",""vi"")"),"transistor")</f>
        <v>transistor</v>
      </c>
      <c r="E730" s="4" t="str">
        <f ca="1">IFERROR(__xludf.DUMMYFUNCTION("GOOGLETRANSLATE(C730,""ja"",""vi"")"),"Đấu giá&gt; thiết bị điện tử tiêu dùng, AV, camera&gt; Linh kiện điện tử&gt; Transitor")</f>
        <v>Đấu giá&gt; thiết bị điện tử tiêu dùng, AV, camera&gt; Linh kiện điện tử&gt; Transitor</v>
      </c>
      <c r="F730" t="str">
        <f t="shared" ca="1" si="11"/>
        <v>"2084263360" : "transistor",</v>
      </c>
    </row>
    <row r="731" spans="1:6" ht="15.75" customHeight="1">
      <c r="A731" s="14">
        <v>2084263363</v>
      </c>
      <c r="B731" s="14" t="s">
        <v>2942</v>
      </c>
      <c r="C731" s="14" t="s">
        <v>2944</v>
      </c>
      <c r="D731" s="5" t="str">
        <f ca="1">IFERROR(__xludf.DUMMYFUNCTION("GOOGLETRANSLATE(B731,""ja"",""vi"")"),"varistor")</f>
        <v>varistor</v>
      </c>
      <c r="E731" s="4" t="str">
        <f ca="1">IFERROR(__xludf.DUMMYFUNCTION("GOOGLETRANSLATE(C731,""ja"",""vi"")"),"Đấu giá&gt; thiết bị điện tử tiêu dùng, AV, camera&gt; Linh kiện điện tử&gt; varistor")</f>
        <v>Đấu giá&gt; thiết bị điện tử tiêu dùng, AV, camera&gt; Linh kiện điện tử&gt; varistor</v>
      </c>
      <c r="F731" t="str">
        <f t="shared" ca="1" si="11"/>
        <v>"2084263363" : "varistor",</v>
      </c>
    </row>
    <row r="732" spans="1:6" ht="15.75" customHeight="1">
      <c r="A732" s="14">
        <v>2084263370</v>
      </c>
      <c r="B732" s="14" t="s">
        <v>2946</v>
      </c>
      <c r="C732" s="14" t="s">
        <v>2947</v>
      </c>
      <c r="D732" s="5" t="str">
        <f ca="1">IFERROR(__xludf.DUMMYFUNCTION("GOOGLETRANSLATE(B732,""ja"",""vi"")"),"tản nhiệt")</f>
        <v>tản nhiệt</v>
      </c>
      <c r="E732" s="4" t="str">
        <f ca="1">IFERROR(__xludf.DUMMYFUNCTION("GOOGLETRANSLATE(C732,""ja"",""vi"")"),"Đấu giá&gt; thiết bị điện tử tiêu dùng, AV, camera&gt; Linh kiện điện tử&gt; tản nhiệt")</f>
        <v>Đấu giá&gt; thiết bị điện tử tiêu dùng, AV, camera&gt; Linh kiện điện tử&gt; tản nhiệt</v>
      </c>
      <c r="F732" t="str">
        <f t="shared" ca="1" si="11"/>
        <v>"2084263370" : "tản nhiệt",</v>
      </c>
    </row>
    <row r="733" spans="1:6" ht="15.75" customHeight="1">
      <c r="A733" s="14">
        <v>2084263368</v>
      </c>
      <c r="B733" s="14" t="s">
        <v>2952</v>
      </c>
      <c r="C733" s="14" t="s">
        <v>2953</v>
      </c>
      <c r="D733" s="5" t="str">
        <f ca="1">IFERROR(__xludf.DUMMYFUNCTION("GOOGLETRANSLATE(B733,""ja"",""vi"")"),"cầu chì")</f>
        <v>cầu chì</v>
      </c>
      <c r="E733" s="4" t="str">
        <f ca="1">IFERROR(__xludf.DUMMYFUNCTION("GOOGLETRANSLATE(C733,""ja"",""vi"")"),"Đấu giá&gt; thiết bị điện tử tiêu dùng, AV, camera&gt; Linh kiện điện tử&gt; cầu chì")</f>
        <v>Đấu giá&gt; thiết bị điện tử tiêu dùng, AV, camera&gt; Linh kiện điện tử&gt; cầu chì</v>
      </c>
      <c r="F733" t="str">
        <f t="shared" ca="1" si="11"/>
        <v>"2084263368" : "cầu chì",</v>
      </c>
    </row>
    <row r="734" spans="1:6" ht="15.75" customHeight="1">
      <c r="A734" s="14">
        <v>2084263373</v>
      </c>
      <c r="B734" s="14" t="s">
        <v>2957</v>
      </c>
      <c r="C734" s="14" t="s">
        <v>2958</v>
      </c>
      <c r="D734" s="5" t="str">
        <f ca="1">IFERROR(__xludf.DUMMYFUNCTION("GOOGLETRANSLATE(B734,""ja"",""vi"")"),"bảng mạch in")</f>
        <v>bảng mạch in</v>
      </c>
      <c r="E734" s="4" t="str">
        <f ca="1">IFERROR(__xludf.DUMMYFUNCTION("GOOGLETRANSLATE(C734,""ja"",""vi"")"),"Đấu giá&gt; thiết bị điện tử tiêu dùng, AV, camera&gt; Linh kiện điện tử&gt; bảng mạch in")</f>
        <v>Đấu giá&gt; thiết bị điện tử tiêu dùng, AV, camera&gt; Linh kiện điện tử&gt; bảng mạch in</v>
      </c>
      <c r="F734" t="str">
        <f t="shared" ca="1" si="11"/>
        <v>"2084263373" : "bảng mạch in",</v>
      </c>
    </row>
    <row r="735" spans="1:6" ht="15.75" customHeight="1">
      <c r="A735" s="14">
        <v>2084263369</v>
      </c>
      <c r="B735" s="14" t="s">
        <v>2962</v>
      </c>
      <c r="C735" s="14" t="s">
        <v>2963</v>
      </c>
      <c r="D735" s="5" t="str">
        <f ca="1">IFERROR(__xludf.DUMMYFUNCTION("GOOGLETRANSLATE(B735,""ja"",""vi"")"),"Meter")</f>
        <v>Meter</v>
      </c>
      <c r="E735" s="4" t="str">
        <f ca="1">IFERROR(__xludf.DUMMYFUNCTION("GOOGLETRANSLATE(C735,""ja"",""vi"")"),"Đấu giá&gt; thiết bị điện tử tiêu dùng, AV, camera&gt; Linh kiện điện tử&gt; mét")</f>
        <v>Đấu giá&gt; thiết bị điện tử tiêu dùng, AV, camera&gt; Linh kiện điện tử&gt; mét</v>
      </c>
      <c r="F735" t="str">
        <f t="shared" ca="1" si="11"/>
        <v>"2084263369" : "Meter",</v>
      </c>
    </row>
    <row r="736" spans="1:6" ht="15.75" customHeight="1">
      <c r="A736" s="14">
        <v>2084263372</v>
      </c>
      <c r="B736" s="14" t="s">
        <v>2969</v>
      </c>
      <c r="C736" s="14" t="s">
        <v>2970</v>
      </c>
      <c r="D736" s="5" t="str">
        <f ca="1">IFERROR(__xludf.DUMMYFUNCTION("GOOGLETRANSLATE(B736,""ja"",""vi"")"),"Rơ le")</f>
        <v>Rơ le</v>
      </c>
      <c r="E736" s="4" t="str">
        <f ca="1">IFERROR(__xludf.DUMMYFUNCTION("GOOGLETRANSLATE(C736,""ja"",""vi"")"),"Đấu giá&gt; thiết bị điện tử tiêu dùng, AV, camera&gt; Linh kiện điện tử&gt; Relays")</f>
        <v>Đấu giá&gt; thiết bị điện tử tiêu dùng, AV, camera&gt; Linh kiện điện tử&gt; Relays</v>
      </c>
      <c r="F736" t="str">
        <f t="shared" ca="1" si="11"/>
        <v>"2084263372" : "Rơ le",</v>
      </c>
    </row>
    <row r="737" spans="1:6" ht="15.75" customHeight="1">
      <c r="A737" s="14">
        <v>2084282461</v>
      </c>
      <c r="B737" s="14" t="s">
        <v>2280</v>
      </c>
      <c r="C737" s="14" t="s">
        <v>2974</v>
      </c>
      <c r="D737" s="5" t="str">
        <f ca="1">IFERROR(__xludf.DUMMYFUNCTION("GOOGLETRANSLATE(B737,""ja"",""vi"")"),"kết nối")</f>
        <v>kết nối</v>
      </c>
      <c r="E737" s="4" t="str">
        <f ca="1">IFERROR(__xludf.DUMMYFUNCTION("GOOGLETRANSLATE(C737,""ja"",""vi"")"),"Đấu giá&gt; thiết bị điện tử tiêu dùng, AV, camera&gt; Linh kiện điện tử&gt; Connectors")</f>
        <v>Đấu giá&gt; thiết bị điện tử tiêu dùng, AV, camera&gt; Linh kiện điện tử&gt; Connectors</v>
      </c>
      <c r="F737" t="str">
        <f t="shared" ca="1" si="11"/>
        <v>"2084282461" : "kết nối",</v>
      </c>
    </row>
    <row r="738" spans="1:6" ht="15.75" customHeight="1">
      <c r="A738" s="14">
        <v>2084286804</v>
      </c>
      <c r="B738" s="14" t="s">
        <v>2654</v>
      </c>
      <c r="C738" s="14" t="s">
        <v>2978</v>
      </c>
      <c r="D738" s="5" t="str">
        <f ca="1">IFERROR(__xludf.DUMMYFUNCTION("GOOGLETRANSLATE(B738,""ja"",""vi"")"),"loa")</f>
        <v>loa</v>
      </c>
      <c r="E738" s="4" t="str">
        <f ca="1">IFERROR(__xludf.DUMMYFUNCTION("GOOGLETRANSLATE(C738,""ja"",""vi"")"),"Đấu giá&gt; thiết bị điện tử tiêu dùng, AV, camera&gt; Linh kiện điện tử&gt; Loa")</f>
        <v>Đấu giá&gt; thiết bị điện tử tiêu dùng, AV, camera&gt; Linh kiện điện tử&gt; Loa</v>
      </c>
      <c r="F738" t="str">
        <f t="shared" ca="1" si="11"/>
        <v>"2084286804" : "loa",</v>
      </c>
    </row>
    <row r="739" spans="1:6" ht="15.75" customHeight="1">
      <c r="A739" s="14">
        <v>2084286805</v>
      </c>
      <c r="B739" s="14" t="s">
        <v>2981</v>
      </c>
      <c r="C739" s="14" t="s">
        <v>2983</v>
      </c>
      <c r="D739" s="5" t="str">
        <f ca="1">IFERROR(__xludf.DUMMYFUNCTION("GOOGLETRANSLATE(B739,""ja"",""vi"")"),"Pickup")</f>
        <v>Pickup</v>
      </c>
      <c r="E739" s="4" t="str">
        <f ca="1">IFERROR(__xludf.DUMMYFUNCTION("GOOGLETRANSLATE(C739,""ja"",""vi"")"),"Đấu giá&gt; thiết bị điện tử tiêu dùng, AV, camera&gt; Linh kiện điện tử&gt; đón")</f>
        <v>Đấu giá&gt; thiết bị điện tử tiêu dùng, AV, camera&gt; Linh kiện điện tử&gt; đón</v>
      </c>
      <c r="F739" t="str">
        <f t="shared" ca="1" si="11"/>
        <v>"2084286805" : "Pickup",</v>
      </c>
    </row>
    <row r="740" spans="1:6" ht="15.75" customHeight="1">
      <c r="A740" s="14">
        <v>2084286803</v>
      </c>
      <c r="B740" s="14" t="s">
        <v>2987</v>
      </c>
      <c r="C740" s="14" t="s">
        <v>2989</v>
      </c>
      <c r="D740" s="5" t="str">
        <f ca="1">IFERROR(__xludf.DUMMYFUNCTION("GOOGLETRANSLATE(B740,""ja"",""vi"")"),"mạch tích hợp")</f>
        <v>mạch tích hợp</v>
      </c>
      <c r="E740" s="4" t="str">
        <f ca="1">IFERROR(__xludf.DUMMYFUNCTION("GOOGLETRANSLATE(C740,""ja"",""vi"")"),"Đấu giá&gt; thiết bị điện tử tiêu dùng, AV, camera&gt; Linh kiện điện tử&gt; mạch tích hợp")</f>
        <v>Đấu giá&gt; thiết bị điện tử tiêu dùng, AV, camera&gt; Linh kiện điện tử&gt; mạch tích hợp</v>
      </c>
      <c r="F740" t="str">
        <f t="shared" ca="1" si="11"/>
        <v>"2084286803" : "mạch tích hợp",</v>
      </c>
    </row>
    <row r="741" spans="1:6" ht="15.75" customHeight="1">
      <c r="A741" s="14">
        <v>2084286802</v>
      </c>
      <c r="B741" s="14" t="s">
        <v>2995</v>
      </c>
      <c r="C741" s="14" t="s">
        <v>2997</v>
      </c>
      <c r="D741" s="5" t="str">
        <f ca="1">IFERROR(__xludf.DUMMYFUNCTION("GOOGLETRANSLATE(B741,""ja"",""vi"")"),"khối thiết bị đầu cuối")</f>
        <v>khối thiết bị đầu cuối</v>
      </c>
      <c r="E741" s="4" t="str">
        <f ca="1">IFERROR(__xludf.DUMMYFUNCTION("GOOGLETRANSLATE(C741,""ja"",""vi"")"),"Đấu giá&gt; thiết bị điện tử tiêu dùng, AV, camera&gt; Linh kiện điện tử&gt; khối thiết bị đầu cuối")</f>
        <v>Đấu giá&gt; thiết bị điện tử tiêu dùng, AV, camera&gt; Linh kiện điện tử&gt; khối thiết bị đầu cuối</v>
      </c>
      <c r="F741" t="str">
        <f t="shared" ca="1" si="11"/>
        <v>"2084286802" : "khối thiết bị đầu cuối",</v>
      </c>
    </row>
    <row r="742" spans="1:6" ht="15.75" customHeight="1">
      <c r="A742" s="14">
        <v>2084263374</v>
      </c>
      <c r="B742" s="14" t="s">
        <v>46</v>
      </c>
      <c r="C742" s="14" t="s">
        <v>2999</v>
      </c>
      <c r="D742" s="5" t="str">
        <f ca="1">IFERROR(__xludf.DUMMYFUNCTION("GOOGLETRANSLATE(B742,""ja"",""vi"")"),"nếu không thì")</f>
        <v>nếu không thì</v>
      </c>
      <c r="E742" s="4" t="str">
        <f ca="1">IFERROR(__xludf.DUMMYFUNCTION("GOOGLETRANSLATE(C742,""ja"",""vi"")"),"Đấu giá&gt; thiết bị điện tử tiêu dùng, AV, camera&gt; Linh kiện điện tử&gt; Khác")</f>
        <v>Đấu giá&gt; thiết bị điện tử tiêu dùng, AV, camera&gt; Linh kiện điện tử&gt; Khác</v>
      </c>
      <c r="F742" t="str">
        <f t="shared" ca="1" si="11"/>
        <v>"2084263374" : "nếu không thì",</v>
      </c>
    </row>
    <row r="743" spans="1:6" ht="15.75" customHeight="1">
      <c r="A743" s="14">
        <v>2084048397</v>
      </c>
      <c r="B743" s="14" t="s">
        <v>8602</v>
      </c>
      <c r="C743" s="14" t="s">
        <v>8603</v>
      </c>
      <c r="D743" s="5" t="str">
        <f ca="1">IFERROR(__xludf.DUMMYFUNCTION("GOOGLETRANSLATE(B743,""ja"",""vi"")"),"Đối với Windows")</f>
        <v>Đối với Windows</v>
      </c>
      <c r="E743" s="4" t="str">
        <f ca="1">IFERROR(__xludf.DUMMYFUNCTION("GOOGLETRANSLATE(C743,""ja"",""vi"")"),"Đấu giá&gt; Sở thích, văn hóa&gt; pachinko, pachislot&gt; Trò chơi&gt; cho Windows")</f>
        <v>Đấu giá&gt; Sở thích, văn hóa&gt; pachinko, pachislot&gt; Trò chơi&gt; cho Windows</v>
      </c>
      <c r="F743" t="str">
        <f t="shared" ca="1" si="11"/>
        <v>"2084048397" : "Đối với Windows",</v>
      </c>
    </row>
    <row r="744" spans="1:6" ht="15.75" customHeight="1">
      <c r="A744" s="14">
        <v>2084052362</v>
      </c>
      <c r="B744" s="14" t="s">
        <v>8605</v>
      </c>
      <c r="C744" s="14" t="s">
        <v>8606</v>
      </c>
      <c r="D744" s="5" t="str">
        <f ca="1">IFERROR(__xludf.DUMMYFUNCTION("GOOGLETRANSLATE(B744,""ja"",""vi"")"),"Đối với Super Nintendo Entertainment System")</f>
        <v>Đối với Super Nintendo Entertainment System</v>
      </c>
      <c r="E744" s="4" t="str">
        <f ca="1">IFERROR(__xludf.DUMMYFUNCTION("GOOGLETRANSLATE(C744,""ja"",""vi"")"),"Đấu giá&gt; Sở thích, văn hóa&gt; pachinko, pachislot&gt; Trò chơi&gt; cho Super Nintendo Entertainment System")</f>
        <v>Đấu giá&gt; Sở thích, văn hóa&gt; pachinko, pachislot&gt; Trò chơi&gt; cho Super Nintendo Entertainment System</v>
      </c>
      <c r="F744" t="str">
        <f t="shared" ca="1" si="11"/>
        <v>"2084052362" : "Đối với Super Nintendo Entertainment System",</v>
      </c>
    </row>
    <row r="745" spans="1:6" ht="15.75" customHeight="1">
      <c r="A745" s="14">
        <v>2084052361</v>
      </c>
      <c r="B745" s="14" t="s">
        <v>8610</v>
      </c>
      <c r="C745" s="14" t="s">
        <v>8612</v>
      </c>
      <c r="D745" s="5" t="str">
        <f ca="1">IFERROR(__xludf.DUMMYFUNCTION("GOOGLETRANSLATE(B745,""ja"",""vi"")"),"Cho PlayStation 2")</f>
        <v>Cho PlayStation 2</v>
      </c>
      <c r="E745" s="4" t="str">
        <f ca="1">IFERROR(__xludf.DUMMYFUNCTION("GOOGLETRANSLATE(C745,""ja"",""vi"")"),"Đấu giá&gt; Sở thích, văn hóa&gt; pachinko, pachislot&gt; Trò chơi&gt; cho PlayStation 2")</f>
        <v>Đấu giá&gt; Sở thích, văn hóa&gt; pachinko, pachislot&gt; Trò chơi&gt; cho PlayStation 2</v>
      </c>
      <c r="F745" t="str">
        <f t="shared" ca="1" si="11"/>
        <v>"2084052361" : "Cho PlayStation 2",</v>
      </c>
    </row>
    <row r="746" spans="1:6" ht="15.75" customHeight="1">
      <c r="A746" s="14">
        <v>2084052360</v>
      </c>
      <c r="B746" s="14" t="s">
        <v>8614</v>
      </c>
      <c r="C746" s="14" t="s">
        <v>8615</v>
      </c>
      <c r="D746" s="5" t="str">
        <f ca="1">IFERROR(__xludf.DUMMYFUNCTION("GOOGLETRANSLATE(B746,""ja"",""vi"")"),"cho PlayStation")</f>
        <v>cho PlayStation</v>
      </c>
      <c r="E746" s="4" t="str">
        <f ca="1">IFERROR(__xludf.DUMMYFUNCTION("GOOGLETRANSLATE(C746,""ja"",""vi"")"),"Đấu giá&gt; Sở thích, văn hóa&gt; pachinko, pachislot&gt; Trò chơi&gt; cho PlayStation")</f>
        <v>Đấu giá&gt; Sở thích, văn hóa&gt; pachinko, pachislot&gt; Trò chơi&gt; cho PlayStation</v>
      </c>
      <c r="F746" t="str">
        <f t="shared" ca="1" si="11"/>
        <v>"2084052360" : "cho PlayStation",</v>
      </c>
    </row>
    <row r="747" spans="1:6" ht="15.75" customHeight="1"/>
    <row r="748" spans="1:6" ht="15.75" customHeight="1"/>
    <row r="749" spans="1:6" ht="15.75" customHeight="1"/>
    <row r="750" spans="1:6" ht="15.75" customHeight="1"/>
    <row r="751" spans="1:6" ht="15.75" customHeight="1"/>
    <row r="752" spans="1:6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>
      <selection activeCell="F1" sqref="F1"/>
    </sheetView>
  </sheetViews>
  <sheetFormatPr defaultColWidth="12.59765625" defaultRowHeight="15" customHeight="1"/>
  <cols>
    <col min="1" max="1" width="8.59765625" customWidth="1"/>
    <col min="2" max="2" width="14.3984375" customWidth="1"/>
    <col min="3" max="3" width="32.8984375" customWidth="1"/>
    <col min="4" max="4" width="7.59765625" customWidth="1"/>
    <col min="5" max="5" width="66.69921875" customWidth="1"/>
    <col min="6" max="26" width="7.59765625" customWidth="1"/>
  </cols>
  <sheetData>
    <row r="1" spans="1:6" ht="21.6">
      <c r="A1" s="12">
        <v>2084006130</v>
      </c>
      <c r="B1" s="12" t="s">
        <v>6698</v>
      </c>
      <c r="C1" s="12" t="s">
        <v>6700</v>
      </c>
      <c r="D1" s="5" t="str">
        <f ca="1">IFERROR(__xludf.DUMMYFUNCTION("GOOGLETRANSLATE(B1,""ja"",""vi"")"),"Chùm ảnh, hình ảnh cắt")</f>
        <v>Chùm ảnh, hình ảnh cắt</v>
      </c>
      <c r="E1" s="4" t="str">
        <f ca="1">IFERROR(__xludf.DUMMYFUNCTION("GOOGLETRANSLATE(C1,""ja"",""vi"")"),"Đấu giá&gt; Sở thích, văn hóa&gt; tác phẩm nghệ thuật&gt; Tranh&gt; chùm ảnh, hình ảnh cắt")</f>
        <v>Đấu giá&gt; Sở thích, văn hóa&gt; tác phẩm nghệ thuật&gt; Tranh&gt; chùm ảnh, hình ảnh cắt</v>
      </c>
      <c r="F1" t="str">
        <f ca="1">CONCATENATE(CHAR(34)&amp;"",A1,""&amp;CHAR(34)," : ", CHAR(34)&amp;"",D1,""&amp;CHAR(34),",")</f>
        <v>"2084006130" : "Chùm ảnh, hình ảnh cắt",</v>
      </c>
    </row>
    <row r="2" spans="1:6" ht="21.6">
      <c r="A2" s="12">
        <v>2084006127</v>
      </c>
      <c r="B2" s="12" t="s">
        <v>6702</v>
      </c>
      <c r="C2" s="12" t="s">
        <v>6704</v>
      </c>
      <c r="D2" s="5" t="str">
        <f ca="1">IFERROR(__xludf.DUMMYFUNCTION("GOOGLETRANSLATE(B2,""ja"",""vi"")"),"Acrylic, bột màu")</f>
        <v>Acrylic, bột màu</v>
      </c>
      <c r="E2" s="4" t="str">
        <f ca="1">IFERROR(__xludf.DUMMYFUNCTION("GOOGLETRANSLATE(C2,""ja"",""vi"")"),"Đấu giá&gt; Sở thích, văn hóa&gt; tác phẩm nghệ thuật&gt; Tranh&gt; acrylic, bột màu")</f>
        <v>Đấu giá&gt; Sở thích, văn hóa&gt; tác phẩm nghệ thuật&gt; Tranh&gt; acrylic, bột màu</v>
      </c>
      <c r="F2" t="str">
        <f t="shared" ref="F2:F65" ca="1" si="0">CONCATENATE(CHAR(34)&amp;"",A2,""&amp;CHAR(34)," : ", CHAR(34)&amp;"",D2,""&amp;CHAR(34),",")</f>
        <v>"2084006127" : "Acrylic, bột màu",</v>
      </c>
    </row>
    <row r="3" spans="1:6" ht="21.6">
      <c r="A3" s="12">
        <v>2084006129</v>
      </c>
      <c r="B3" s="12" t="s">
        <v>6707</v>
      </c>
      <c r="C3" s="12" t="s">
        <v>6708</v>
      </c>
      <c r="D3" s="5" t="str">
        <f ca="1">IFERROR(__xludf.DUMMYFUNCTION("GOOGLETRANSLATE(B3,""ja"",""vi"")"),"đồ họa")</f>
        <v>đồ họa</v>
      </c>
      <c r="E3" s="4" t="str">
        <f ca="1">IFERROR(__xludf.DUMMYFUNCTION("GOOGLETRANSLATE(C3,""ja"",""vi"")"),"Đấu giá&gt; Sở thích, văn hóa&gt; tác phẩm nghệ thuật&gt; Tranh&gt; đồ họa")</f>
        <v>Đấu giá&gt; Sở thích, văn hóa&gt; tác phẩm nghệ thuật&gt; Tranh&gt; đồ họa</v>
      </c>
      <c r="F3" t="str">
        <f t="shared" ca="1" si="0"/>
        <v>"2084006129" : "đồ họa",</v>
      </c>
    </row>
    <row r="4" spans="1:6" ht="21.6">
      <c r="A4" s="12">
        <v>2084006128</v>
      </c>
      <c r="B4" s="12" t="s">
        <v>6710</v>
      </c>
      <c r="C4" s="12" t="s">
        <v>6712</v>
      </c>
      <c r="D4" s="5" t="str">
        <f ca="1">IFERROR(__xludf.DUMMYFUNCTION("GOOGLETRANSLATE(B4,""ja"",""vi"")"),"Pastel, hình ảnh crayon")</f>
        <v>Pastel, hình ảnh crayon</v>
      </c>
      <c r="E4" s="4" t="str">
        <f ca="1">IFERROR(__xludf.DUMMYFUNCTION("GOOGLETRANSLATE(C4,""ja"",""vi"")"),"Đấu giá&gt; Sở thích, văn hóa&gt; tác phẩm nghệ thuật&gt; Tranh&gt; pastel, hình ảnh crayon")</f>
        <v>Đấu giá&gt; Sở thích, văn hóa&gt; tác phẩm nghệ thuật&gt; Tranh&gt; pastel, hình ảnh crayon</v>
      </c>
      <c r="F4" t="str">
        <f t="shared" ca="1" si="0"/>
        <v>"2084006128" : "Pastel, hình ảnh crayon",</v>
      </c>
    </row>
    <row r="5" spans="1:6" ht="21.6">
      <c r="A5" s="12">
        <v>20076</v>
      </c>
      <c r="B5" s="12" t="s">
        <v>6714</v>
      </c>
      <c r="C5" s="12" t="s">
        <v>6715</v>
      </c>
      <c r="D5" s="5" t="str">
        <f ca="1">IFERROR(__xludf.DUMMYFUNCTION("GOOGLETRANSLATE(B5,""ja"",""vi"")"),"Vẽ bằng bút chì, than")</f>
        <v>Vẽ bằng bút chì, than</v>
      </c>
      <c r="E5" s="4" t="str">
        <f ca="1">IFERROR(__xludf.DUMMYFUNCTION("GOOGLETRANSLATE(C5,""ja"",""vi"")"),"Đấu giá&gt; Sở thích, văn hóa&gt; tác phẩm nghệ thuật&gt; Tranh&gt; bút chì vẽ, than")</f>
        <v>Đấu giá&gt; Sở thích, văn hóa&gt; tác phẩm nghệ thuật&gt; Tranh&gt; bút chì vẽ, than</v>
      </c>
      <c r="F5" t="str">
        <f t="shared" ca="1" si="0"/>
        <v>"20076" : "Vẽ bằng bút chì, than",</v>
      </c>
    </row>
    <row r="6" spans="1:6" ht="21.6">
      <c r="A6" s="12">
        <v>2084006131</v>
      </c>
      <c r="B6" s="12" t="s">
        <v>6717</v>
      </c>
      <c r="C6" s="12" t="s">
        <v>6718</v>
      </c>
      <c r="D6" s="5" t="str">
        <f ca="1">IFERROR(__xludf.DUMMYFUNCTION("GOOGLETRANSLATE(B6,""ja"",""vi"")"),"Hình ảnh được vẽ bởi con")</f>
        <v>Hình ảnh được vẽ bởi con</v>
      </c>
      <c r="E6" s="4" t="str">
        <f ca="1">IFERROR(__xludf.DUMMYFUNCTION("GOOGLETRANSLATE(C6,""ja"",""vi"")"),"Đấu giá&gt; Sở thích, văn hóa&gt; tác phẩm nghệ thuật&gt; Tranh&gt; Vẽ cho trẻ em")</f>
        <v>Đấu giá&gt; Sở thích, văn hóa&gt; tác phẩm nghệ thuật&gt; Tranh&gt; Vẽ cho trẻ em</v>
      </c>
      <c r="F6" t="str">
        <f t="shared" ca="1" si="0"/>
        <v>"2084006131" : "Hình ảnh được vẽ bởi con",</v>
      </c>
    </row>
    <row r="7" spans="1:6" ht="21.6">
      <c r="A7" s="12">
        <v>2084007420</v>
      </c>
      <c r="B7" s="12" t="s">
        <v>6720</v>
      </c>
      <c r="C7" s="12" t="s">
        <v>6721</v>
      </c>
      <c r="D7" s="5" t="str">
        <f ca="1">IFERROR(__xludf.DUMMYFUNCTION("GOOGLETRANSLATE(B7,""ja"",""vi"")"),"bức tranh chân dung")</f>
        <v>bức tranh chân dung</v>
      </c>
      <c r="E7" s="4" t="str">
        <f ca="1">IFERROR(__xludf.DUMMYFUNCTION("GOOGLETRANSLATE(C7,""ja"",""vi"")"),"Đấu giá&gt; Sở thích, văn hóa&gt; tác phẩm nghệ thuật&gt; Tranh&gt; chân dung")</f>
        <v>Đấu giá&gt; Sở thích, văn hóa&gt; tác phẩm nghệ thuật&gt; Tranh&gt; chân dung</v>
      </c>
      <c r="F7" t="str">
        <f t="shared" ca="1" si="0"/>
        <v>"2084007420" : "bức tranh chân dung",</v>
      </c>
    </row>
    <row r="8" spans="1:6" ht="21.6">
      <c r="A8" s="12">
        <v>2084006126</v>
      </c>
      <c r="B8" s="12" t="s">
        <v>6723</v>
      </c>
      <c r="C8" s="12" t="s">
        <v>6724</v>
      </c>
      <c r="D8" s="5" t="str">
        <f ca="1">IFERROR(__xludf.DUMMYFUNCTION("GOOGLETRANSLATE(B8,""ja"",""vi"")"),"màu nước")</f>
        <v>màu nước</v>
      </c>
      <c r="E8" s="4" t="str">
        <f ca="1">IFERROR(__xludf.DUMMYFUNCTION("GOOGLETRANSLATE(C8,""ja"",""vi"")"),"Đấu giá&gt; Sở thích, văn hóa&gt; tác phẩm nghệ thuật&gt; Tranh&gt; Watercolor")</f>
        <v>Đấu giá&gt; Sở thích, văn hóa&gt; tác phẩm nghệ thuật&gt; Tranh&gt; Watercolor</v>
      </c>
      <c r="F8" t="str">
        <f t="shared" ca="1" si="0"/>
        <v>"2084006126" : "màu nước",</v>
      </c>
    </row>
    <row r="9" spans="1:6" ht="21.6">
      <c r="A9" s="12">
        <v>2084006132</v>
      </c>
      <c r="B9" s="12" t="s">
        <v>6726</v>
      </c>
      <c r="C9" s="12" t="s">
        <v>6727</v>
      </c>
      <c r="D9" s="5" t="str">
        <f ca="1">IFERROR(__xludf.DUMMYFUNCTION("GOOGLETRANSLATE(B9,""ja"",""vi"")"),"sơn mực Ấn Độ")</f>
        <v>sơn mực Ấn Độ</v>
      </c>
      <c r="E9" s="4" t="str">
        <f ca="1">IFERROR(__xludf.DUMMYFUNCTION("GOOGLETRANSLATE(C9,""ja"",""vi"")"),"Đấu giá&gt; Sở thích, văn hóa&gt; tác phẩm nghệ thuật&gt; Tranh&gt; sơn mực")</f>
        <v>Đấu giá&gt; Sở thích, văn hóa&gt; tác phẩm nghệ thuật&gt; Tranh&gt; sơn mực</v>
      </c>
      <c r="F9" t="str">
        <f t="shared" ca="1" si="0"/>
        <v>"2084006132" : "sơn mực Ấn Độ",</v>
      </c>
    </row>
    <row r="10" spans="1:6" ht="21.6">
      <c r="A10" s="12">
        <v>2084006133</v>
      </c>
      <c r="B10" s="12" t="s">
        <v>6728</v>
      </c>
      <c r="C10" s="12" t="s">
        <v>6730</v>
      </c>
      <c r="D10" s="5" t="str">
        <f ca="1">IFERROR(__xludf.DUMMYFUNCTION("GOOGLETRANSLATE(B10,""ja"",""vi"")"),"tranh Nhật Bản")</f>
        <v>tranh Nhật Bản</v>
      </c>
      <c r="E10" s="4" t="str">
        <f ca="1">IFERROR(__xludf.DUMMYFUNCTION("GOOGLETRANSLATE(C10,""ja"",""vi"")"),"Đấu giá&gt; Sở thích, văn hóa&gt; tác phẩm nghệ thuật&gt; Tranh&gt; sơn Nhật Bản")</f>
        <v>Đấu giá&gt; Sở thích, văn hóa&gt; tác phẩm nghệ thuật&gt; Tranh&gt; sơn Nhật Bản</v>
      </c>
      <c r="F10" t="str">
        <f t="shared" ca="1" si="0"/>
        <v>"2084006133" : "tranh Nhật Bản",</v>
      </c>
    </row>
    <row r="11" spans="1:6" ht="21.6">
      <c r="A11" s="12">
        <v>2084049279</v>
      </c>
      <c r="B11" s="12" t="s">
        <v>6731</v>
      </c>
      <c r="C11" s="12" t="s">
        <v>6732</v>
      </c>
      <c r="D11" s="5" t="str">
        <f ca="1">IFERROR(__xludf.DUMMYFUNCTION("GOOGLETRANSLATE(B11,""ja"",""vi"")"),"Ukiyo-e, bản in")</f>
        <v>Ukiyo-e, bản in</v>
      </c>
      <c r="E11" s="4" t="str">
        <f ca="1">IFERROR(__xludf.DUMMYFUNCTION("GOOGLETRANSLATE(C11,""ja"",""vi"")"),"Đấu giá&gt; Sở thích, văn hóa&gt; tác phẩm nghệ thuật&gt; Tranh&gt; ukiyo-e, bản in")</f>
        <v>Đấu giá&gt; Sở thích, văn hóa&gt; tác phẩm nghệ thuật&gt; Tranh&gt; ukiyo-e, bản in</v>
      </c>
      <c r="F11" t="str">
        <f t="shared" ca="1" si="0"/>
        <v>"2084049279" : "Ukiyo-e, bản in",</v>
      </c>
    </row>
    <row r="12" spans="1:6" ht="21.6">
      <c r="A12" s="12">
        <v>2084006125</v>
      </c>
      <c r="B12" s="12" t="s">
        <v>6734</v>
      </c>
      <c r="C12" s="12" t="s">
        <v>6735</v>
      </c>
      <c r="D12" s="5" t="str">
        <f ca="1">IFERROR(__xludf.DUMMYFUNCTION("GOOGLETRANSLATE(B12,""ja"",""vi"")"),"dầu")</f>
        <v>dầu</v>
      </c>
      <c r="E12" s="4" t="str">
        <f ca="1">IFERROR(__xludf.DUMMYFUNCTION("GOOGLETRANSLATE(C12,""ja"",""vi"")"),"Đấu giá&gt; Sở thích, văn hóa&gt; tác phẩm nghệ thuật&gt; Tranh&gt; Dầu")</f>
        <v>Đấu giá&gt; Sở thích, văn hóa&gt; tác phẩm nghệ thuật&gt; Tranh&gt; Dầu</v>
      </c>
      <c r="F12" t="str">
        <f t="shared" ca="1" si="0"/>
        <v>"2084006125" : "dầu",</v>
      </c>
    </row>
    <row r="13" spans="1:6" ht="21.6">
      <c r="A13" s="16">
        <v>2084006120</v>
      </c>
      <c r="B13" s="16" t="s">
        <v>46</v>
      </c>
      <c r="C13" s="16" t="s">
        <v>6737</v>
      </c>
      <c r="D13" s="5" t="str">
        <f ca="1">IFERROR(__xludf.DUMMYFUNCTION("GOOGLETRANSLATE(B13,""ja"",""vi"")"),"nếu không thì")</f>
        <v>nếu không thì</v>
      </c>
      <c r="E13" s="4" t="str">
        <f ca="1">IFERROR(__xludf.DUMMYFUNCTION("GOOGLETRANSLATE(C13,""ja"",""vi"")"),"Đấu giá&gt; Sở thích, văn hóa&gt; tác phẩm nghệ thuật&gt; Tranh&gt; Khác")</f>
        <v>Đấu giá&gt; Sở thích, văn hóa&gt; tác phẩm nghệ thuật&gt; Tranh&gt; Khác</v>
      </c>
      <c r="F13" t="str">
        <f t="shared" ca="1" si="0"/>
        <v>"2084006120" : "nếu không thì",</v>
      </c>
    </row>
    <row r="14" spans="1:6" ht="21.6">
      <c r="A14" s="14">
        <v>2084006150</v>
      </c>
      <c r="B14" s="14" t="s">
        <v>6739</v>
      </c>
      <c r="C14" s="14" t="s">
        <v>6740</v>
      </c>
      <c r="D14" s="5" t="str">
        <f ca="1">IFERROR(__xludf.DUMMYFUNCTION("GOOGLETRANSLATE(B14,""ja"",""vi"")"),"màn hình lụa")</f>
        <v>màn hình lụa</v>
      </c>
      <c r="E14" s="4" t="str">
        <f ca="1">IFERROR(__xludf.DUMMYFUNCTION("GOOGLETRANSLATE(C14,""ja"",""vi"")"),"Đấu giá&gt; Sở thích, văn hóa&gt; tác phẩm nghệ thuật&gt; In&gt; màn hình lụa")</f>
        <v>Đấu giá&gt; Sở thích, văn hóa&gt; tác phẩm nghệ thuật&gt; In&gt; màn hình lụa</v>
      </c>
      <c r="F14" t="str">
        <f t="shared" ca="1" si="0"/>
        <v>"2084006150" : "màn hình lụa",</v>
      </c>
    </row>
    <row r="15" spans="1:6" ht="21.6">
      <c r="A15" s="14">
        <v>2084006151</v>
      </c>
      <c r="B15" s="14" t="s">
        <v>6742</v>
      </c>
      <c r="C15" s="14" t="s">
        <v>6743</v>
      </c>
      <c r="D15" s="5" t="str">
        <f ca="1">IFERROR(__xludf.DUMMYFUNCTION("GOOGLETRANSLATE(B15,""ja"",""vi"")"),"khắc đá, in thạch bản")</f>
        <v>khắc đá, in thạch bản</v>
      </c>
      <c r="E15" s="4" t="str">
        <f ca="1">IFERROR(__xludf.DUMMYFUNCTION("GOOGLETRANSLATE(C15,""ja"",""vi"")"),"Đấu giá&gt; Sở thích, văn hóa&gt; tác phẩm nghệ thuật&gt; In&gt; khắc đá, in thạch bản")</f>
        <v>Đấu giá&gt; Sở thích, văn hóa&gt; tác phẩm nghệ thuật&gt; In&gt; khắc đá, in thạch bản</v>
      </c>
      <c r="F15" t="str">
        <f t="shared" ca="1" si="0"/>
        <v>"2084006151" : "khắc đá, in thạch bản",</v>
      </c>
    </row>
    <row r="16" spans="1:6" ht="21.6">
      <c r="A16" s="14">
        <v>2084006152</v>
      </c>
      <c r="B16" s="14" t="s">
        <v>6744</v>
      </c>
      <c r="C16" s="14" t="s">
        <v>6746</v>
      </c>
      <c r="D16" s="5" t="str">
        <f ca="1">IFERROR(__xludf.DUMMYFUNCTION("GOOGLETRANSLATE(B16,""ja"",""vi"")"),"khắc bản đồng, khắc")</f>
        <v>khắc bản đồng, khắc</v>
      </c>
      <c r="E16" s="4" t="str">
        <f ca="1">IFERROR(__xludf.DUMMYFUNCTION("GOOGLETRANSLATE(C16,""ja"",""vi"")"),"Đấu giá&gt; Sở thích, văn hóa&gt; tác phẩm nghệ thuật&gt; in&gt; bản đồng khắc, khắc")</f>
        <v>Đấu giá&gt; Sở thích, văn hóa&gt; tác phẩm nghệ thuật&gt; in&gt; bản đồng khắc, khắc</v>
      </c>
      <c r="F16" t="str">
        <f t="shared" ca="1" si="0"/>
        <v>"2084006152" : "khắc bản đồng, khắc",</v>
      </c>
    </row>
    <row r="17" spans="1:6" ht="21.6">
      <c r="A17" s="14">
        <v>2084006153</v>
      </c>
      <c r="B17" s="14" t="s">
        <v>6747</v>
      </c>
      <c r="C17" s="14" t="s">
        <v>6748</v>
      </c>
      <c r="D17" s="5" t="str">
        <f ca="1">IFERROR(__xludf.DUMMYFUNCTION("GOOGLETRANSLATE(B17,""ja"",""vi"")"),"khắc gỗ in")</f>
        <v>khắc gỗ in</v>
      </c>
      <c r="E17" s="4" t="str">
        <f ca="1">IFERROR(__xludf.DUMMYFUNCTION("GOOGLETRANSLATE(C17,""ja"",""vi"")"),"Đấu giá&gt; Sở thích, văn hóa&gt; tác phẩm nghệ thuật&gt; In&gt; khắc gỗ")</f>
        <v>Đấu giá&gt; Sở thích, văn hóa&gt; tác phẩm nghệ thuật&gt; In&gt; khắc gỗ</v>
      </c>
      <c r="F17" t="str">
        <f t="shared" ca="1" si="0"/>
        <v>"2084006153" : "khắc gỗ in",</v>
      </c>
    </row>
    <row r="18" spans="1:6" ht="21.6">
      <c r="A18" s="14">
        <v>2084006149</v>
      </c>
      <c r="B18" s="14" t="s">
        <v>46</v>
      </c>
      <c r="C18" s="14" t="s">
        <v>6749</v>
      </c>
      <c r="D18" s="5" t="str">
        <f ca="1">IFERROR(__xludf.DUMMYFUNCTION("GOOGLETRANSLATE(B18,""ja"",""vi"")"),"nếu không thì")</f>
        <v>nếu không thì</v>
      </c>
      <c r="E18" s="4" t="str">
        <f ca="1">IFERROR(__xludf.DUMMYFUNCTION("GOOGLETRANSLATE(C18,""ja"",""vi"")"),"Đấu giá&gt; Sở thích, văn hóa&gt; tác phẩm nghệ thuật&gt; In&gt; Khác")</f>
        <v>Đấu giá&gt; Sở thích, văn hóa&gt; tác phẩm nghệ thuật&gt; In&gt; Khác</v>
      </c>
      <c r="F18" t="str">
        <f t="shared" ca="1" si="0"/>
        <v>"2084006149" : "nếu không thì",</v>
      </c>
    </row>
    <row r="19" spans="1:6" ht="21.6">
      <c r="A19" s="14">
        <v>2084006122</v>
      </c>
      <c r="B19" s="14" t="s">
        <v>6750</v>
      </c>
      <c r="C19" s="14" t="s">
        <v>6751</v>
      </c>
      <c r="D19" s="5" t="str">
        <f ca="1">IFERROR(__xludf.DUMMYFUNCTION("GOOGLETRANSLATE(B19,""ja"",""vi"")"),"đối tượng")</f>
        <v>đối tượng</v>
      </c>
      <c r="E19" s="4" t="str">
        <f ca="1">IFERROR(__xludf.DUMMYFUNCTION("GOOGLETRANSLATE(C19,""ja"",""vi"")"),"Đấu giá&gt; Sở thích, văn hóa&gt; tác phẩm nghệ thuật&gt; điêu khắc, tượng&gt; đối tượng")</f>
        <v>Đấu giá&gt; Sở thích, văn hóa&gt; tác phẩm nghệ thuật&gt; điêu khắc, tượng&gt; đối tượng</v>
      </c>
      <c r="F19" t="str">
        <f t="shared" ca="1" si="0"/>
        <v>"2084006122" : "đối tượng",</v>
      </c>
    </row>
    <row r="20" spans="1:6" ht="21.6">
      <c r="A20" s="14">
        <v>2084006121</v>
      </c>
      <c r="B20" s="14" t="s">
        <v>6752</v>
      </c>
      <c r="C20" s="14" t="s">
        <v>6753</v>
      </c>
      <c r="D20" s="5" t="str">
        <f ca="1">IFERROR(__xludf.DUMMYFUNCTION("GOOGLETRANSLATE(B20,""ja"",""vi"")"),"điêu khắc phương Tây")</f>
        <v>điêu khắc phương Tây</v>
      </c>
      <c r="E20" s="4" t="str">
        <f ca="1">IFERROR(__xludf.DUMMYFUNCTION("GOOGLETRANSLATE(C20,""ja"",""vi"")"),"Đấu giá&gt; Sở thích, văn hóa&gt; tác phẩm nghệ thuật&gt; điêu khắc, các đối tượng&gt; điêu khắc phương Tây")</f>
        <v>Đấu giá&gt; Sở thích, văn hóa&gt; tác phẩm nghệ thuật&gt; điêu khắc, các đối tượng&gt; điêu khắc phương Tây</v>
      </c>
      <c r="F20" t="str">
        <f t="shared" ca="1" si="0"/>
        <v>"2084006121" : "điêu khắc phương Tây",</v>
      </c>
    </row>
    <row r="21" spans="1:6" ht="15.75" customHeight="1">
      <c r="A21" s="14">
        <v>2084006118</v>
      </c>
      <c r="B21" s="14" t="s">
        <v>6754</v>
      </c>
      <c r="C21" s="14" t="s">
        <v>6755</v>
      </c>
      <c r="D21" s="5" t="str">
        <f ca="1">IFERROR(__xludf.DUMMYFUNCTION("GOOGLETRANSLATE(B21,""ja"",""vi"")"),"điêu khắc Oriental")</f>
        <v>điêu khắc Oriental</v>
      </c>
      <c r="E21" s="4" t="str">
        <f ca="1">IFERROR(__xludf.DUMMYFUNCTION("GOOGLETRANSLATE(C21,""ja"",""vi"")"),"Đấu giá&gt; Sở thích, văn hóa&gt; tác phẩm nghệ thuật&gt; điêu khắc, các đối tượng&gt; điêu khắc phương Đông")</f>
        <v>Đấu giá&gt; Sở thích, văn hóa&gt; tác phẩm nghệ thuật&gt; điêu khắc, các đối tượng&gt; điêu khắc phương Đông</v>
      </c>
      <c r="F21" t="str">
        <f t="shared" ca="1" si="0"/>
        <v>"2084006118" : "điêu khắc Oriental",</v>
      </c>
    </row>
    <row r="22" spans="1:6" ht="15.75" customHeight="1">
      <c r="A22" s="14">
        <v>2084024410</v>
      </c>
      <c r="B22" s="14" t="s">
        <v>6756</v>
      </c>
      <c r="C22" s="14" t="s">
        <v>6757</v>
      </c>
      <c r="D22" s="5" t="str">
        <f ca="1">IFERROR(__xludf.DUMMYFUNCTION("GOOGLETRANSLATE(B22,""ja"",""vi"")"),"Bức tượng nhỏ")</f>
        <v>Bức tượng nhỏ</v>
      </c>
      <c r="E22" s="4" t="str">
        <f ca="1">IFERROR(__xludf.DUMMYFUNCTION("GOOGLETRANSLATE(C22,""ja"",""vi"")"),"Đấu giá&gt; Sở thích, văn hóa&gt; tác phẩm nghệ thuật&gt; điêu khắc, các đối tượng&gt; trang trí")</f>
        <v>Đấu giá&gt; Sở thích, văn hóa&gt; tác phẩm nghệ thuật&gt; điêu khắc, các đối tượng&gt; trang trí</v>
      </c>
      <c r="F22" t="str">
        <f t="shared" ca="1" si="0"/>
        <v>"2084024410" : "Bức tượng nhỏ",</v>
      </c>
    </row>
    <row r="23" spans="1:6" ht="15.75" customHeight="1">
      <c r="A23" s="14">
        <v>2084006119</v>
      </c>
      <c r="B23" s="14" t="s">
        <v>46</v>
      </c>
      <c r="C23" s="14" t="s">
        <v>6758</v>
      </c>
      <c r="D23" s="5" t="str">
        <f ca="1">IFERROR(__xludf.DUMMYFUNCTION("GOOGLETRANSLATE(B23,""ja"",""vi"")"),"nếu không thì")</f>
        <v>nếu không thì</v>
      </c>
      <c r="E23" s="4" t="str">
        <f ca="1">IFERROR(__xludf.DUMMYFUNCTION("GOOGLETRANSLATE(C23,""ja"",""vi"")"),"Đấu giá&gt; Sở thích, văn hóa&gt; tác phẩm nghệ thuật&gt; điêu khắc, tượng&gt; Khác")</f>
        <v>Đấu giá&gt; Sở thích, văn hóa&gt; tác phẩm nghệ thuật&gt; điêu khắc, tượng&gt; Khác</v>
      </c>
      <c r="F23" t="str">
        <f t="shared" ca="1" si="0"/>
        <v>"2084006119" : "nếu không thì",</v>
      </c>
    </row>
    <row r="24" spans="1:6" ht="15.75" customHeight="1">
      <c r="A24" s="14">
        <v>20132</v>
      </c>
      <c r="B24" s="14" t="s">
        <v>6759</v>
      </c>
      <c r="C24" s="14" t="s">
        <v>6760</v>
      </c>
      <c r="D24" s="5" t="str">
        <f ca="1">IFERROR(__xludf.DUMMYFUNCTION("GOOGLETRANSLATE(B24,""ja"",""vi"")"),"đồ gốm")</f>
        <v>đồ gốm</v>
      </c>
      <c r="E24" s="4" t="str">
        <f ca="1">IFERROR(__xludf.DUMMYFUNCTION("GOOGLETRANSLATE(C24,""ja"",""vi"")"),"Đấu giá&gt; cổ, bộ sưu tập&gt; thủ công mỹ nghệ&gt; nghệ thuật gốm")</f>
        <v>Đấu giá&gt; cổ, bộ sưu tập&gt; thủ công mỹ nghệ&gt; nghệ thuật gốm</v>
      </c>
      <c r="F24" t="str">
        <f t="shared" ca="1" si="0"/>
        <v>"20132" : "đồ gốm",</v>
      </c>
    </row>
    <row r="25" spans="1:6" ht="15.75" customHeight="1">
      <c r="A25" s="14">
        <v>20240</v>
      </c>
      <c r="B25" s="14" t="s">
        <v>3287</v>
      </c>
      <c r="C25" s="14" t="s">
        <v>6761</v>
      </c>
      <c r="D25" s="5" t="str">
        <f ca="1">IFERROR(__xludf.DUMMYFUNCTION("GOOGLETRANSLATE(B25,""ja"",""vi"")"),"ly")</f>
        <v>ly</v>
      </c>
      <c r="E25" s="4" t="str">
        <f ca="1">IFERROR(__xludf.DUMMYFUNCTION("GOOGLETRANSLATE(C25,""ja"",""vi"")"),"Đấu giá&gt; cổ, bộ sưu tập&gt; thủ công mỹ nghệ&gt; kính")</f>
        <v>Đấu giá&gt; cổ, bộ sưu tập&gt; thủ công mỹ nghệ&gt; kính</v>
      </c>
      <c r="F25" t="str">
        <f t="shared" ca="1" si="0"/>
        <v>"20240" : "ly",</v>
      </c>
    </row>
    <row r="26" spans="1:6" ht="15.75" customHeight="1">
      <c r="A26" s="14">
        <v>2084024113</v>
      </c>
      <c r="B26" s="14" t="s">
        <v>6762</v>
      </c>
      <c r="C26" s="14" t="s">
        <v>6763</v>
      </c>
      <c r="D26" s="5" t="str">
        <f ca="1">IFERROR(__xludf.DUMMYFUNCTION("GOOGLETRANSLATE(B26,""ja"",""vi"")"),"sơn mài")</f>
        <v>sơn mài</v>
      </c>
      <c r="E26" s="4" t="str">
        <f ca="1">IFERROR(__xludf.DUMMYFUNCTION("GOOGLETRANSLATE(C26,""ja"",""vi"")"),"Đấu giá&gt; cổ, bộ sưu tập&gt; thủ công mỹ nghệ&gt; sơn mài")</f>
        <v>Đấu giá&gt; cổ, bộ sưu tập&gt; thủ công mỹ nghệ&gt; sơn mài</v>
      </c>
      <c r="F26" t="str">
        <f t="shared" ca="1" si="0"/>
        <v>"2084024113" : "sơn mài",</v>
      </c>
    </row>
    <row r="27" spans="1:6" ht="15.75" customHeight="1">
      <c r="A27" s="14">
        <v>2084195327</v>
      </c>
      <c r="B27" s="14" t="s">
        <v>6764</v>
      </c>
      <c r="C27" s="14" t="s">
        <v>6765</v>
      </c>
      <c r="D27" s="5" t="str">
        <f ca="1">IFERROR(__xludf.DUMMYFUNCTION("GOOGLETRANSLATE(B27,""ja"",""vi"")"),"hàng thủ công kim loại")</f>
        <v>hàng thủ công kim loại</v>
      </c>
      <c r="E27" s="4" t="str">
        <f ca="1">IFERROR(__xludf.DUMMYFUNCTION("GOOGLETRANSLATE(C27,""ja"",""vi"")"),"Đấu giá&gt; cổ, bộ sưu tập&gt; thủ công mỹ nghệ&gt; thủ công kim loại")</f>
        <v>Đấu giá&gt; cổ, bộ sưu tập&gt; thủ công mỹ nghệ&gt; thủ công kim loại</v>
      </c>
      <c r="F27" t="str">
        <f t="shared" ca="1" si="0"/>
        <v>"2084195327" : "hàng thủ công kim loại",</v>
      </c>
    </row>
    <row r="28" spans="1:6" ht="15.75" customHeight="1">
      <c r="A28" s="14">
        <v>2084057815</v>
      </c>
      <c r="B28" s="14" t="s">
        <v>6766</v>
      </c>
      <c r="C28" s="14" t="s">
        <v>6767</v>
      </c>
      <c r="D28" s="5" t="str">
        <f ca="1">IFERROR(__xludf.DUMMYFUNCTION("GOOGLETRANSLATE(B28,""ja"",""vi"")"),"vành nón")</f>
        <v>vành nón</v>
      </c>
      <c r="E28" s="4" t="str">
        <f ca="1">IFERROR(__xludf.DUMMYFUNCTION("GOOGLETRANSLATE(C28,""ja"",""vi"")"),"Đấu giá&gt; cổ, bộ sưu tập&gt; thủ công mỹ nghệ&gt; vành")</f>
        <v>Đấu giá&gt; cổ, bộ sưu tập&gt; thủ công mỹ nghệ&gt; vành</v>
      </c>
      <c r="F28" t="str">
        <f t="shared" ca="1" si="0"/>
        <v>"2084057815" : "vành nón",</v>
      </c>
    </row>
    <row r="29" spans="1:6" ht="15.75" customHeight="1">
      <c r="A29" s="14">
        <v>2084258274</v>
      </c>
      <c r="B29" s="14" t="s">
        <v>6768</v>
      </c>
      <c r="C29" s="14" t="s">
        <v>6769</v>
      </c>
      <c r="D29" s="5" t="str">
        <f ca="1">IFERROR(__xludf.DUMMYFUNCTION("GOOGLETRANSLATE(B29,""ja"",""vi"")"),"Máy làm đồ gỗ, hàng thủ công tre")</f>
        <v>Máy làm đồ gỗ, hàng thủ công tre</v>
      </c>
      <c r="E29" s="4" t="str">
        <f ca="1">IFERROR(__xludf.DUMMYFUNCTION("GOOGLETRANSLATE(C29,""ja"",""vi"")"),"Đấu giá&gt; cổ, bộ sưu tập&gt; thủ công mỹ nghệ&gt; chế biến gỗ, hàng thủ công tre")</f>
        <v>Đấu giá&gt; cổ, bộ sưu tập&gt; thủ công mỹ nghệ&gt; chế biến gỗ, hàng thủ công tre</v>
      </c>
      <c r="F29" t="str">
        <f t="shared" ca="1" si="0"/>
        <v>"2084258274" : "Máy làm đồ gỗ, hàng thủ công tre",</v>
      </c>
    </row>
    <row r="30" spans="1:6" ht="15.75" customHeight="1">
      <c r="A30" s="14">
        <v>2084024410</v>
      </c>
      <c r="B30" s="14" t="s">
        <v>6756</v>
      </c>
      <c r="C30" s="14" t="s">
        <v>6770</v>
      </c>
      <c r="D30" s="5" t="str">
        <f ca="1">IFERROR(__xludf.DUMMYFUNCTION("GOOGLETRANSLATE(B30,""ja"",""vi"")"),"Bức tượng nhỏ")</f>
        <v>Bức tượng nhỏ</v>
      </c>
      <c r="E30" s="4" t="str">
        <f ca="1">IFERROR(__xludf.DUMMYFUNCTION("GOOGLETRANSLATE(C30,""ja"",""vi"")"),"Đấu giá&gt; cổ, bộ sưu tập&gt; thủ công mỹ nghệ&gt; Bức tượng nhỏ")</f>
        <v>Đấu giá&gt; cổ, bộ sưu tập&gt; thủ công mỹ nghệ&gt; Bức tượng nhỏ</v>
      </c>
      <c r="F30" t="str">
        <f t="shared" ca="1" si="0"/>
        <v>"2084024410" : "Bức tượng nhỏ",</v>
      </c>
    </row>
    <row r="31" spans="1:6" ht="15.75" customHeight="1">
      <c r="A31" s="14">
        <v>2084057811</v>
      </c>
      <c r="B31" s="14" t="s">
        <v>6771</v>
      </c>
      <c r="C31" s="14" t="s">
        <v>6772</v>
      </c>
      <c r="D31" s="5" t="str">
        <f ca="1">IFERROR(__xludf.DUMMYFUNCTION("GOOGLETRANSLATE(B31,""ja"",""vi"")"),"netsuke")</f>
        <v>netsuke</v>
      </c>
      <c r="E31" s="4" t="str">
        <f ca="1">IFERROR(__xludf.DUMMYFUNCTION("GOOGLETRANSLATE(C31,""ja"",""vi"")"),"Đấu giá&gt; cổ, bộ sưu tập&gt; thủ công mỹ nghệ&gt; netsuke")</f>
        <v>Đấu giá&gt; cổ, bộ sưu tập&gt; thủ công mỹ nghệ&gt; netsuke</v>
      </c>
      <c r="F31" t="str">
        <f t="shared" ca="1" si="0"/>
        <v>"2084057811" : "netsuke",</v>
      </c>
    </row>
    <row r="32" spans="1:6" ht="15.75" customHeight="1">
      <c r="A32" s="14">
        <v>2084020063</v>
      </c>
      <c r="B32" s="14" t="s">
        <v>6773</v>
      </c>
      <c r="C32" s="14" t="s">
        <v>6774</v>
      </c>
      <c r="D32" s="5" t="str">
        <f ca="1">IFERROR(__xludf.DUMMYFUNCTION("GOOGLETRANSLATE(B32,""ja"",""vi"")"),"Nhật Bản búp bê")</f>
        <v>Nhật Bản búp bê</v>
      </c>
      <c r="E32" s="4" t="str">
        <f ca="1">IFERROR(__xludf.DUMMYFUNCTION("GOOGLETRANSLATE(C32,""ja"",""vi"")"),"Đấu giá&gt; cổ, bộ sưu tập&gt; thủ công mỹ nghệ&gt; Nhật Bản búp bê")</f>
        <v>Đấu giá&gt; cổ, bộ sưu tập&gt; thủ công mỹ nghệ&gt; Nhật Bản búp bê</v>
      </c>
      <c r="F32" t="str">
        <f t="shared" ca="1" si="0"/>
        <v>"2084020063" : "Nhật Bản búp bê",</v>
      </c>
    </row>
    <row r="33" spans="1:6" ht="15.75" customHeight="1">
      <c r="A33" s="14">
        <v>2084009065</v>
      </c>
      <c r="B33" s="14" t="s">
        <v>6775</v>
      </c>
      <c r="C33" s="14" t="s">
        <v>6776</v>
      </c>
      <c r="D33" s="5" t="str">
        <f ca="1">IFERROR(__xludf.DUMMYFUNCTION("GOOGLETRANSLATE(B33,""ja"",""vi"")"),"Thủ công mỹ nghệ Sách liên quan")</f>
        <v>Thủ công mỹ nghệ Sách liên quan</v>
      </c>
      <c r="E33" s="4" t="str">
        <f ca="1">IFERROR(__xludf.DUMMYFUNCTION("GOOGLETRANSLATE(C33,""ja"",""vi"")"),"Đấu giá&gt; cổ, bộ sưu tập&gt; hàng thủ công&gt; Thủ công mỹ nghệ Sách liên quan")</f>
        <v>Đấu giá&gt; cổ, bộ sưu tập&gt; hàng thủ công&gt; Thủ công mỹ nghệ Sách liên quan</v>
      </c>
      <c r="F33" t="str">
        <f t="shared" ca="1" si="0"/>
        <v>"2084009065" : "Thủ công mỹ nghệ Sách liên quan",</v>
      </c>
    </row>
    <row r="34" spans="1:6" ht="15.75" customHeight="1">
      <c r="A34" s="14">
        <v>2084307788</v>
      </c>
      <c r="B34" s="14" t="s">
        <v>6777</v>
      </c>
      <c r="C34" s="14" t="s">
        <v>6778</v>
      </c>
      <c r="D34" s="5" t="str">
        <f ca="1">IFERROR(__xludf.DUMMYFUNCTION("GOOGLETRANSLATE(B34,""ja"",""vi"")"),"Tranh vẽ trên vải, hàng thủ công cho thuê")</f>
        <v>Tranh vẽ trên vải, hàng thủ công cho thuê</v>
      </c>
      <c r="E34" s="4" t="str">
        <f ca="1">IFERROR(__xludf.DUMMYFUNCTION("GOOGLETRANSLATE(C34,""ja"",""vi"")"),"Đấu giá&gt; cổ, bộ sưu tập&gt; hàng thủ công&gt; Tranh, hàng thủ công cho thuê")</f>
        <v>Đấu giá&gt; cổ, bộ sưu tập&gt; hàng thủ công&gt; Tranh, hàng thủ công cho thuê</v>
      </c>
      <c r="F34" t="str">
        <f t="shared" ca="1" si="0"/>
        <v>"2084307788" : "Tranh vẽ trên vải, hàng thủ công cho thuê",</v>
      </c>
    </row>
    <row r="35" spans="1:6" ht="15.75" customHeight="1">
      <c r="A35" s="14">
        <v>2084236698</v>
      </c>
      <c r="B35" s="14" t="s">
        <v>6779</v>
      </c>
      <c r="C35" s="14" t="s">
        <v>6780</v>
      </c>
      <c r="D35" s="5" t="str">
        <f ca="1">IFERROR(__xludf.DUMMYFUNCTION("GOOGLETRANSLATE(B35,""ja"",""vi"")"),"khung Poster")</f>
        <v>khung Poster</v>
      </c>
      <c r="E35" s="4" t="str">
        <f ca="1">IFERROR(__xludf.DUMMYFUNCTION("GOOGLETRANSLATE(C35,""ja"",""vi"")"),"Đấu giá&gt; Sở thích, văn hóa&gt; Art Supplies&gt; khung hình&gt; khung tấm áp phích")</f>
        <v>Đấu giá&gt; Sở thích, văn hóa&gt; Art Supplies&gt; khung hình&gt; khung tấm áp phích</v>
      </c>
      <c r="F35" t="str">
        <f t="shared" ca="1" si="0"/>
        <v>"2084236698" : "khung Poster",</v>
      </c>
    </row>
    <row r="36" spans="1:6" ht="15.75" customHeight="1">
      <c r="A36" s="14">
        <v>2084236697</v>
      </c>
      <c r="B36" s="14" t="s">
        <v>6781</v>
      </c>
      <c r="C36" s="14" t="s">
        <v>6782</v>
      </c>
      <c r="D36" s="5" t="str">
        <f ca="1">IFERROR(__xludf.DUMMYFUNCTION("GOOGLETRANSLATE(B36,""ja"",""vi"")"),"khung ảnh")</f>
        <v>khung ảnh</v>
      </c>
      <c r="E36" s="4" t="str">
        <f ca="1">IFERROR(__xludf.DUMMYFUNCTION("GOOGLETRANSLATE(C36,""ja"",""vi"")"),"Đấu giá&gt; Sở thích, văn hóa&gt; Art Supplies&gt; khung hình&gt; khung ảnh")</f>
        <v>Đấu giá&gt; Sở thích, văn hóa&gt; Art Supplies&gt; khung hình&gt; khung ảnh</v>
      </c>
      <c r="F36" t="str">
        <f t="shared" ca="1" si="0"/>
        <v>"2084236697" : "khung ảnh",</v>
      </c>
    </row>
    <row r="37" spans="1:6" ht="15.75" customHeight="1">
      <c r="A37" s="14">
        <v>2084236696</v>
      </c>
      <c r="B37" s="14" t="s">
        <v>6783</v>
      </c>
      <c r="C37" s="14" t="s">
        <v>6784</v>
      </c>
      <c r="D37" s="5" t="str">
        <f ca="1">IFERROR(__xludf.DUMMYFUNCTION("GOOGLETRANSLATE(B37,""ja"",""vi"")"),"khung hình màu nước, vẽ khung")</f>
        <v>khung hình màu nước, vẽ khung</v>
      </c>
      <c r="E37" s="4" t="str">
        <f ca="1">IFERROR(__xludf.DUMMYFUNCTION("GOOGLETRANSLATE(C37,""ja"",""vi"")"),"Đấu giá&gt; Sở thích, văn hóa&gt; Art Supplies&gt; khung hình&gt; khung hình màu nước, vẽ khung")</f>
        <v>Đấu giá&gt; Sở thích, văn hóa&gt; Art Supplies&gt; khung hình&gt; khung hình màu nước, vẽ khung</v>
      </c>
      <c r="F37" t="str">
        <f t="shared" ca="1" si="0"/>
        <v>"2084236696" : "khung hình màu nước, vẽ khung",</v>
      </c>
    </row>
    <row r="38" spans="1:6" ht="15.75" customHeight="1">
      <c r="A38" s="14">
        <v>2084236695</v>
      </c>
      <c r="B38" s="14" t="s">
        <v>6785</v>
      </c>
      <c r="C38" s="14" t="s">
        <v>6786</v>
      </c>
      <c r="D38" s="5" t="str">
        <f ca="1">IFERROR(__xludf.DUMMYFUNCTION("GOOGLETRANSLATE(B38,""ja"",""vi"")"),"khung hình dầu")</f>
        <v>khung hình dầu</v>
      </c>
      <c r="E38" s="4" t="str">
        <f ca="1">IFERROR(__xludf.DUMMYFUNCTION("GOOGLETRANSLATE(C38,""ja"",""vi"")"),"Đấu giá&gt; Sở thích, văn hóa&gt; Art Supplies&gt; khung hình&gt; khung hình Dầu")</f>
        <v>Đấu giá&gt; Sở thích, văn hóa&gt; Art Supplies&gt; khung hình&gt; khung hình Dầu</v>
      </c>
      <c r="F38" t="str">
        <f t="shared" ca="1" si="0"/>
        <v>"2084236695" : "khung hình dầu",</v>
      </c>
    </row>
    <row r="39" spans="1:6" ht="15.75" customHeight="1">
      <c r="A39" s="14">
        <v>2084236699</v>
      </c>
      <c r="B39" s="14" t="s">
        <v>46</v>
      </c>
      <c r="C39" s="14" t="s">
        <v>6787</v>
      </c>
      <c r="D39" s="5" t="str">
        <f ca="1">IFERROR(__xludf.DUMMYFUNCTION("GOOGLETRANSLATE(B39,""ja"",""vi"")"),"nếu không thì")</f>
        <v>nếu không thì</v>
      </c>
      <c r="E39" s="4" t="str">
        <f ca="1">IFERROR(__xludf.DUMMYFUNCTION("GOOGLETRANSLATE(C39,""ja"",""vi"")"),"Đấu giá&gt; Sở thích, văn hóa&gt; Art Supplies&gt; khung hình&gt; Khác")</f>
        <v>Đấu giá&gt; Sở thích, văn hóa&gt; Art Supplies&gt; khung hình&gt; Khác</v>
      </c>
      <c r="F39" t="str">
        <f t="shared" ca="1" si="0"/>
        <v>"2084236699" : "nếu không thì",</v>
      </c>
    </row>
    <row r="40" spans="1:6" ht="15.75" customHeight="1">
      <c r="A40" s="14">
        <v>2084060585</v>
      </c>
      <c r="B40" s="14" t="s">
        <v>6788</v>
      </c>
      <c r="C40" s="14" t="s">
        <v>6789</v>
      </c>
      <c r="D40" s="5" t="str">
        <f ca="1">IFERROR(__xludf.DUMMYFUNCTION("GOOGLETRANSLATE(B40,""ja"",""vi"")"),"treo cuộn")</f>
        <v>treo cuộn</v>
      </c>
      <c r="E40" s="4" t="str">
        <f ca="1">IFERROR(__xludf.DUMMYFUNCTION("GOOGLETRANSLATE(C40,""ja"",""vi"")"),"Đấu giá&gt; Sở thích, văn hóa&gt; tác phẩm nghệ thuật&gt; Form&gt; treo cuộn")</f>
        <v>Đấu giá&gt; Sở thích, văn hóa&gt; tác phẩm nghệ thuật&gt; Form&gt; treo cuộn</v>
      </c>
      <c r="F40" t="str">
        <f t="shared" ca="1" si="0"/>
        <v>"2084060585" : "treo cuộn",</v>
      </c>
    </row>
    <row r="41" spans="1:6" ht="15.75" customHeight="1">
      <c r="A41" s="14">
        <v>2084060586</v>
      </c>
      <c r="B41" s="14" t="s">
        <v>6790</v>
      </c>
      <c r="C41" s="14" t="s">
        <v>6791</v>
      </c>
      <c r="D41" s="5" t="str">
        <f ca="1">IFERROR(__xludf.DUMMYFUNCTION("GOOGLETRANSLATE(B41,""ja"",""vi"")"),"giấy màu")</f>
        <v>giấy màu</v>
      </c>
      <c r="E41" s="4" t="str">
        <f ca="1">IFERROR(__xludf.DUMMYFUNCTION("GOOGLETRANSLATE(C41,""ja"",""vi"")"),"Đấu giá&gt; Sở thích, văn hóa&gt; tác phẩm nghệ thuật&gt; Form&gt; giấy màu")</f>
        <v>Đấu giá&gt; Sở thích, văn hóa&gt; tác phẩm nghệ thuật&gt; Form&gt; giấy màu</v>
      </c>
      <c r="F41" t="str">
        <f t="shared" ca="1" si="0"/>
        <v>"2084060586" : "giấy màu",</v>
      </c>
    </row>
    <row r="42" spans="1:6" ht="15.75" customHeight="1">
      <c r="A42" s="14">
        <v>2084060589</v>
      </c>
      <c r="B42" s="14" t="s">
        <v>6792</v>
      </c>
      <c r="C42" s="14" t="s">
        <v>6793</v>
      </c>
      <c r="D42" s="5" t="str">
        <f ca="1">IFERROR(__xludf.DUMMYFUNCTION("GOOGLETRANSLATE(B42,""ja"",""vi"")"),"Fan khuôn mặt")</f>
        <v>Fan khuôn mặt</v>
      </c>
      <c r="E42" s="4" t="str">
        <f ca="1">IFERROR(__xludf.DUMMYFUNCTION("GOOGLETRANSLATE(C42,""ja"",""vi"")"),"Đấu giá&gt; Sở thích, văn hóa&gt; tác phẩm nghệ thuật&gt; Form&gt; bề mặt khu vực")</f>
        <v>Đấu giá&gt; Sở thích, văn hóa&gt; tác phẩm nghệ thuật&gt; Form&gt; bề mặt khu vực</v>
      </c>
      <c r="F42" t="str">
        <f t="shared" ca="1" si="0"/>
        <v>"2084060589" : "Fan khuôn mặt",</v>
      </c>
    </row>
    <row r="43" spans="1:6" ht="15.75" customHeight="1">
      <c r="A43" s="14">
        <v>2084060587</v>
      </c>
      <c r="B43" s="14" t="s">
        <v>6794</v>
      </c>
      <c r="C43" s="14" t="s">
        <v>6795</v>
      </c>
      <c r="D43" s="5" t="str">
        <f ca="1">IFERROR(__xludf.DUMMYFUNCTION("GOOGLETRANSLATE(B43,""ja"",""vi"")"),"dải")</f>
        <v>dải</v>
      </c>
      <c r="E43" s="4" t="str">
        <f ca="1">IFERROR(__xludf.DUMMYFUNCTION("GOOGLETRANSLATE(C43,""ja"",""vi"")"),"Đấu giá&gt; Sở thích, văn hóa&gt; tác phẩm nghệ thuật&gt; Form&gt; dải")</f>
        <v>Đấu giá&gt; Sở thích, văn hóa&gt; tác phẩm nghệ thuật&gt; Form&gt; dải</v>
      </c>
      <c r="F43" t="str">
        <f t="shared" ca="1" si="0"/>
        <v>"2084060587" : "dải",</v>
      </c>
    </row>
    <row r="44" spans="1:6" ht="15.75" customHeight="1">
      <c r="A44" s="14">
        <v>2084060588</v>
      </c>
      <c r="B44" s="14" t="s">
        <v>6796</v>
      </c>
      <c r="C44" s="14" t="s">
        <v>6797</v>
      </c>
      <c r="D44" s="5" t="str">
        <f ca="1">IFERROR(__xludf.DUMMYFUNCTION("GOOGLETRANSLATE(B44,""ja"",""vi"")"),"Trán, Hengaku")</f>
        <v>Trán, Hengaku</v>
      </c>
      <c r="E44" s="4" t="str">
        <f ca="1">IFERROR(__xludf.DUMMYFUNCTION("GOOGLETRANSLATE(C44,""ja"",""vi"")"),"Đấu giá&gt; Sở thích, văn hóa&gt; tác phẩm nghệ thuật&gt; thủ công&gt; lượng, Hengaku")</f>
        <v>Đấu giá&gt; Sở thích, văn hóa&gt; tác phẩm nghệ thuật&gt; thủ công&gt; lượng, Hengaku</v>
      </c>
      <c r="F44" t="str">
        <f t="shared" ca="1" si="0"/>
        <v>"2084060588" : "Trán, Hengaku",</v>
      </c>
    </row>
    <row r="45" spans="1:6" ht="15.75" customHeight="1">
      <c r="A45" s="14">
        <v>2084227016</v>
      </c>
      <c r="B45" s="14" t="s">
        <v>6798</v>
      </c>
      <c r="C45" s="14" t="s">
        <v>6799</v>
      </c>
      <c r="D45" s="5" t="str">
        <f ca="1">IFERROR(__xludf.DUMMYFUNCTION("GOOGLETRANSLATE(B45,""ja"",""vi"")"),"viết bàn chải")</f>
        <v>viết bàn chải</v>
      </c>
      <c r="E45" s="4" t="str">
        <f ca="1">IFERROR(__xludf.DUMMYFUNCTION("GOOGLETRANSLATE(C45,""ja"",""vi"")"),"Đấu giá&gt; Sở thích, văn hóa&gt; tác phẩm nghệ thuật&gt; Form&gt; bàn chải")</f>
        <v>Đấu giá&gt; Sở thích, văn hóa&gt; tác phẩm nghệ thuật&gt; Form&gt; bàn chải</v>
      </c>
      <c r="F45" t="str">
        <f t="shared" ca="1" si="0"/>
        <v>"2084227016" : "viết bàn chải",</v>
      </c>
    </row>
    <row r="46" spans="1:6" ht="15.75" customHeight="1">
      <c r="A46" s="14">
        <v>2084009062</v>
      </c>
      <c r="B46" s="14" t="s">
        <v>1632</v>
      </c>
      <c r="C46" s="14" t="s">
        <v>6800</v>
      </c>
      <c r="D46" s="5" t="str">
        <f ca="1">IFERROR(__xludf.DUMMYFUNCTION("GOOGLETRANSLATE(B46,""ja"",""vi"")"),"điều này")</f>
        <v>điều này</v>
      </c>
      <c r="E46" s="4" t="str">
        <f ca="1">IFERROR(__xludf.DUMMYFUNCTION("GOOGLETRANSLATE(C46,""ja"",""vi"")"),"Đấu giá&gt; Sở thích, văn hóa&gt; tác phẩm nghệ thuật&gt; Form&gt; Sách")</f>
        <v>Đấu giá&gt; Sở thích, văn hóa&gt; tác phẩm nghệ thuật&gt; Form&gt; Sách</v>
      </c>
      <c r="F46" t="str">
        <f t="shared" ca="1" si="0"/>
        <v>"2084009062" : "điều này",</v>
      </c>
    </row>
    <row r="47" spans="1:6" ht="15.75" customHeight="1">
      <c r="A47" s="14">
        <v>2084060590</v>
      </c>
      <c r="B47" s="14" t="s">
        <v>46</v>
      </c>
      <c r="C47" s="14" t="s">
        <v>6801</v>
      </c>
      <c r="D47" s="5" t="str">
        <f ca="1">IFERROR(__xludf.DUMMYFUNCTION("GOOGLETRANSLATE(B47,""ja"",""vi"")"),"nếu không thì")</f>
        <v>nếu không thì</v>
      </c>
      <c r="E47" s="4" t="str">
        <f ca="1">IFERROR(__xludf.DUMMYFUNCTION("GOOGLETRANSLATE(C47,""ja"",""vi"")"),"Đấu giá&gt; Sở thích, văn hóa&gt; tác phẩm nghệ thuật&gt; Form&gt; Khác")</f>
        <v>Đấu giá&gt; Sở thích, văn hóa&gt; tác phẩm nghệ thuật&gt; Form&gt; Khác</v>
      </c>
      <c r="F47" t="str">
        <f t="shared" ca="1" si="0"/>
        <v>"2084060590" : "nếu không thì",</v>
      </c>
    </row>
    <row r="48" spans="1:6" ht="15.75" customHeight="1">
      <c r="A48" s="14">
        <v>2084006198</v>
      </c>
      <c r="B48" s="14" t="s">
        <v>6414</v>
      </c>
      <c r="C48" s="14" t="s">
        <v>6802</v>
      </c>
      <c r="D48" s="5" t="str">
        <f ca="1">IFERROR(__xludf.DUMMYFUNCTION("GOOGLETRANSLATE(B48,""ja"",""vi"")"),"Tài liệu")</f>
        <v>Tài liệu</v>
      </c>
      <c r="E48" s="4" t="str">
        <f ca="1">IFERROR(__xludf.DUMMYFUNCTION("GOOGLETRANSLATE(C48,""ja"",""vi"")"),"Đấu giá&gt; Sở thích, văn hóa&gt; tác phẩm nghệ thuật&gt; nhiếp ảnh nghệ thuật&gt; tài liệu")</f>
        <v>Đấu giá&gt; Sở thích, văn hóa&gt; tác phẩm nghệ thuật&gt; nhiếp ảnh nghệ thuật&gt; tài liệu</v>
      </c>
      <c r="F48" t="str">
        <f t="shared" ca="1" si="0"/>
        <v>"2084006198" : "Tài liệu",</v>
      </c>
    </row>
    <row r="49" spans="1:6" ht="15.75" customHeight="1">
      <c r="A49" s="14">
        <v>2084006197</v>
      </c>
      <c r="B49" s="14" t="s">
        <v>6425</v>
      </c>
      <c r="C49" s="14" t="s">
        <v>6803</v>
      </c>
      <c r="D49" s="5" t="str">
        <f ca="1">IFERROR(__xludf.DUMMYFUNCTION("GOOGLETRANSLATE(B49,""ja"",""vi"")"),"Thiên nhiên, phong cảnh")</f>
        <v>Thiên nhiên, phong cảnh</v>
      </c>
      <c r="E49" s="4" t="str">
        <f ca="1">IFERROR(__xludf.DUMMYFUNCTION("GOOGLETRANSLATE(C49,""ja"",""vi"")"),"Đấu giá&gt; Sở thích, văn hóa&gt; tác phẩm nghệ thuật&gt; nhiếp ảnh nghệ thuật&gt; thiên nhiên, phong cảnh")</f>
        <v>Đấu giá&gt; Sở thích, văn hóa&gt; tác phẩm nghệ thuật&gt; nhiếp ảnh nghệ thuật&gt; thiên nhiên, phong cảnh</v>
      </c>
      <c r="F49" t="str">
        <f t="shared" ca="1" si="0"/>
        <v>"2084006197" : "Thiên nhiên, phong cảnh",</v>
      </c>
    </row>
    <row r="50" spans="1:6" ht="15.75" customHeight="1">
      <c r="A50" s="14">
        <v>21604</v>
      </c>
      <c r="B50" s="14" t="s">
        <v>6804</v>
      </c>
      <c r="C50" s="14" t="s">
        <v>6805</v>
      </c>
      <c r="D50" s="5" t="str">
        <f ca="1">IFERROR(__xludf.DUMMYFUNCTION("GOOGLETRANSLATE(B50,""ja"",""vi"")"),"PHOTO ALBUM")</f>
        <v>PHOTO ALBUM</v>
      </c>
      <c r="E50" s="4" t="str">
        <f ca="1">IFERROR(__xludf.DUMMYFUNCTION("GOOGLETRANSLATE(C50,""ja"",""vi"")"),"Đấu giá&gt; Sở thích, văn hóa&gt; tác phẩm nghệ thuật&gt; nhiếp ảnh nghệ thuật&gt; Hình ảnh")</f>
        <v>Đấu giá&gt; Sở thích, văn hóa&gt; tác phẩm nghệ thuật&gt; nhiếp ảnh nghệ thuật&gt; Hình ảnh</v>
      </c>
      <c r="F50" t="str">
        <f t="shared" ca="1" si="0"/>
        <v>"21604" : "PHOTO ALBUM",</v>
      </c>
    </row>
    <row r="51" spans="1:6" ht="15.75" customHeight="1">
      <c r="A51" s="14">
        <v>2084007421</v>
      </c>
      <c r="B51" s="14" t="s">
        <v>6806</v>
      </c>
      <c r="C51" s="14" t="s">
        <v>6807</v>
      </c>
      <c r="D51" s="5" t="str">
        <f ca="1">IFERROR(__xludf.DUMMYFUNCTION("GOOGLETRANSLATE(B51,""ja"",""vi"")"),"người Photos")</f>
        <v>người Photos</v>
      </c>
      <c r="E51" s="4" t="str">
        <f ca="1">IFERROR(__xludf.DUMMYFUNCTION("GOOGLETRANSLATE(C51,""ja"",""vi"")"),"Đấu giá&gt; Sở thích, văn hóa&gt; tác phẩm nghệ thuật&gt; nhiếp ảnh nghệ thuật&gt; nhiếp ảnh chân dung")</f>
        <v>Đấu giá&gt; Sở thích, văn hóa&gt; tác phẩm nghệ thuật&gt; nhiếp ảnh nghệ thuật&gt; nhiếp ảnh chân dung</v>
      </c>
      <c r="F51" t="str">
        <f t="shared" ca="1" si="0"/>
        <v>"2084007421" : "người Photos",</v>
      </c>
    </row>
    <row r="52" spans="1:6" ht="15.75" customHeight="1">
      <c r="A52" s="14">
        <v>2084006199</v>
      </c>
      <c r="B52" s="14" t="s">
        <v>6430</v>
      </c>
      <c r="C52" s="14" t="s">
        <v>6808</v>
      </c>
      <c r="D52" s="5" t="str">
        <f ca="1">IFERROR(__xludf.DUMMYFUNCTION("GOOGLETRANSLATE(B52,""ja"",""vi"")"),"tĩnh vật")</f>
        <v>tĩnh vật</v>
      </c>
      <c r="E52" s="4" t="str">
        <f ca="1">IFERROR(__xludf.DUMMYFUNCTION("GOOGLETRANSLATE(C52,""ja"",""vi"")"),"Đấu giá&gt; Sở thích, văn hóa&gt; tác phẩm nghệ thuật&gt; nhiếp ảnh nghệ thuật&gt; Still Life")</f>
        <v>Đấu giá&gt; Sở thích, văn hóa&gt; tác phẩm nghệ thuật&gt; nhiếp ảnh nghệ thuật&gt; Still Life</v>
      </c>
      <c r="F52" t="str">
        <f t="shared" ca="1" si="0"/>
        <v>"2084006199" : "tĩnh vật",</v>
      </c>
    </row>
    <row r="53" spans="1:6" ht="15.75" customHeight="1">
      <c r="A53" s="14">
        <v>2084007687</v>
      </c>
      <c r="B53" s="14" t="s">
        <v>4511</v>
      </c>
      <c r="C53" s="14" t="s">
        <v>6809</v>
      </c>
      <c r="D53" s="5" t="str">
        <f ca="1">IFERROR(__xludf.DUMMYFUNCTION("GOOGLETRANSLATE(B53,""ja"",""vi"")"),"đường sắt")</f>
        <v>đường sắt</v>
      </c>
      <c r="E53" s="4" t="str">
        <f ca="1">IFERROR(__xludf.DUMMYFUNCTION("GOOGLETRANSLATE(C53,""ja"",""vi"")"),"Đấu giá&gt; Sở thích, văn hóa&gt; tác phẩm nghệ thuật&gt; nhiếp ảnh nghệ thuật&gt; đường sắt")</f>
        <v>Đấu giá&gt; Sở thích, văn hóa&gt; tác phẩm nghệ thuật&gt; nhiếp ảnh nghệ thuật&gt; đường sắt</v>
      </c>
      <c r="F53" t="str">
        <f t="shared" ca="1" si="0"/>
        <v>"2084007687" : "đường sắt",</v>
      </c>
    </row>
    <row r="54" spans="1:6" ht="15.75" customHeight="1">
      <c r="A54" s="14">
        <v>20104</v>
      </c>
      <c r="B54" s="14" t="s">
        <v>46</v>
      </c>
      <c r="C54" s="14" t="s">
        <v>6810</v>
      </c>
      <c r="D54" s="5" t="str">
        <f ca="1">IFERROR(__xludf.DUMMYFUNCTION("GOOGLETRANSLATE(B54,""ja"",""vi"")"),"nếu không thì")</f>
        <v>nếu không thì</v>
      </c>
      <c r="E54" s="4" t="str">
        <f ca="1">IFERROR(__xludf.DUMMYFUNCTION("GOOGLETRANSLATE(C54,""ja"",""vi"")"),"Đấu giá&gt; Sở thích, văn hóa&gt; tác phẩm nghệ thuật&gt; nhiếp ảnh nghệ thuật&gt; Khác")</f>
        <v>Đấu giá&gt; Sở thích, văn hóa&gt; tác phẩm nghệ thuật&gt; nhiếp ảnh nghệ thuật&gt; Khác</v>
      </c>
      <c r="F54" t="str">
        <f t="shared" ca="1" si="0"/>
        <v>"20104" : "nếu không thì",</v>
      </c>
    </row>
    <row r="55" spans="1:6" ht="15.75" customHeight="1">
      <c r="A55" s="14">
        <v>2084009054</v>
      </c>
      <c r="B55" s="14" t="s">
        <v>4885</v>
      </c>
      <c r="C55" s="14" t="s">
        <v>6811</v>
      </c>
      <c r="D55" s="5" t="str">
        <f ca="1">IFERROR(__xludf.DUMMYFUNCTION("GOOGLETRANSLATE(B55,""ja"",""vi"")"),"hình ảnh")</f>
        <v>hình ảnh</v>
      </c>
      <c r="E55" s="4" t="str">
        <f ca="1">IFERROR(__xludf.DUMMYFUNCTION("GOOGLETRANSLATE(C55,""ja"",""vi"")"),"Đấu giá&gt; Sở thích, văn hóa&gt; tác phẩm nghệ thuật&gt; Sách&gt; Tranh")</f>
        <v>Đấu giá&gt; Sở thích, văn hóa&gt; tác phẩm nghệ thuật&gt; Sách&gt; Tranh</v>
      </c>
      <c r="F55" t="str">
        <f t="shared" ca="1" si="0"/>
        <v>"2084009054" : "hình ảnh",</v>
      </c>
    </row>
    <row r="56" spans="1:6" ht="15.75" customHeight="1">
      <c r="A56" s="14">
        <v>2084009053</v>
      </c>
      <c r="B56" s="14" t="s">
        <v>6812</v>
      </c>
      <c r="C56" s="14" t="s">
        <v>6813</v>
      </c>
      <c r="D56" s="5" t="str">
        <f ca="1">IFERROR(__xludf.DUMMYFUNCTION("GOOGLETRANSLATE(B56,""ja"",""vi"")"),"Nghệ thuật, lịch sử nghệ thuật")</f>
        <v>Nghệ thuật, lịch sử nghệ thuật</v>
      </c>
      <c r="E56" s="4" t="str">
        <f ca="1">IFERROR(__xludf.DUMMYFUNCTION("GOOGLETRANSLATE(C56,""ja"",""vi"")"),"Đấu giá&gt; Sở thích, văn hóa&gt; tác phẩm nghệ thuật&gt; Sách&gt; nghệ thuật, lịch sử nghệ thuật")</f>
        <v>Đấu giá&gt; Sở thích, văn hóa&gt; tác phẩm nghệ thuật&gt; Sách&gt; nghệ thuật, lịch sử nghệ thuật</v>
      </c>
      <c r="F56" t="str">
        <f t="shared" ca="1" si="0"/>
        <v>"2084009053" : "Nghệ thuật, lịch sử nghệ thuật",</v>
      </c>
    </row>
    <row r="57" spans="1:6" ht="15.75" customHeight="1">
      <c r="A57" s="14">
        <v>2084263670</v>
      </c>
      <c r="B57" s="14" t="s">
        <v>5258</v>
      </c>
      <c r="C57" s="14" t="s">
        <v>6814</v>
      </c>
      <c r="D57" s="5" t="str">
        <f ca="1">IFERROR(__xludf.DUMMYFUNCTION("GOOGLETRANSLATE(B57,""ja"",""vi"")"),"sách cũ, tài liệu cũ")</f>
        <v>sách cũ, tài liệu cũ</v>
      </c>
      <c r="E57" s="4" t="str">
        <f ca="1">IFERROR(__xludf.DUMMYFUNCTION("GOOGLETRANSLATE(C57,""ja"",""vi"")"),"Đấu giá&gt; Sở thích, văn hóa&gt; tác phẩm nghệ thuật&gt; Sách&gt; cuốn sách cũ, tài liệu cổ")</f>
        <v>Đấu giá&gt; Sở thích, văn hóa&gt; tác phẩm nghệ thuật&gt; Sách&gt; cuốn sách cũ, tài liệu cổ</v>
      </c>
      <c r="F57" t="str">
        <f t="shared" ca="1" si="0"/>
        <v>"2084263670" : "sách cũ, tài liệu cũ",</v>
      </c>
    </row>
    <row r="58" spans="1:6" ht="15.75" customHeight="1">
      <c r="A58" s="14">
        <v>2084009065</v>
      </c>
      <c r="B58" s="14" t="s">
        <v>4889</v>
      </c>
      <c r="C58" s="14" t="s">
        <v>6815</v>
      </c>
      <c r="D58" s="5" t="str">
        <f ca="1">IFERROR(__xludf.DUMMYFUNCTION("GOOGLETRANSLATE(B58,""ja"",""vi"")"),"đồ thủ công")</f>
        <v>đồ thủ công</v>
      </c>
      <c r="E58" s="4" t="str">
        <f ca="1">IFERROR(__xludf.DUMMYFUNCTION("GOOGLETRANSLATE(C58,""ja"",""vi"")"),"Đấu giá&gt; Sở thích, văn hóa&gt; tác phẩm nghệ thuật&gt; Sách&gt; Thủ công mỹ nghệ")</f>
        <v>Đấu giá&gt; Sở thích, văn hóa&gt; tác phẩm nghệ thuật&gt; Sách&gt; Thủ công mỹ nghệ</v>
      </c>
      <c r="F58" t="str">
        <f t="shared" ca="1" si="0"/>
        <v>"2084009065" : "đồ thủ công",</v>
      </c>
    </row>
    <row r="59" spans="1:6" ht="15.75" customHeight="1">
      <c r="A59" s="14">
        <v>2084009062</v>
      </c>
      <c r="B59" s="14" t="s">
        <v>6816</v>
      </c>
      <c r="C59" s="14" t="s">
        <v>6817</v>
      </c>
      <c r="D59" s="5" t="str">
        <f ca="1">IFERROR(__xludf.DUMMYFUNCTION("GOOGLETRANSLATE(B59,""ja"",""vi"")"),"Thư pháp")</f>
        <v>Thư pháp</v>
      </c>
      <c r="E59" s="4" t="str">
        <f ca="1">IFERROR(__xludf.DUMMYFUNCTION("GOOGLETRANSLATE(C59,""ja"",""vi"")"),"Đấu giá&gt; Sở thích, văn hóa&gt; tác phẩm nghệ thuật&gt; Sách&gt; Thư pháp")</f>
        <v>Đấu giá&gt; Sở thích, văn hóa&gt; tác phẩm nghệ thuật&gt; Sách&gt; Thư pháp</v>
      </c>
      <c r="F59" t="str">
        <f t="shared" ca="1" si="0"/>
        <v>"2084009062" : "Thư pháp",</v>
      </c>
    </row>
    <row r="60" spans="1:6" ht="15.75" customHeight="1">
      <c r="A60" s="14">
        <v>2084009058</v>
      </c>
      <c r="B60" s="14" t="s">
        <v>6818</v>
      </c>
      <c r="C60" s="14" t="s">
        <v>6819</v>
      </c>
      <c r="D60" s="5" t="str">
        <f ca="1">IFERROR(__xludf.DUMMYFUNCTION("GOOGLETRANSLATE(B60,""ja"",""vi"")"),"Printmaking, điêu khắc")</f>
        <v>Printmaking, điêu khắc</v>
      </c>
      <c r="E60" s="4" t="str">
        <f ca="1">IFERROR(__xludf.DUMMYFUNCTION("GOOGLETRANSLATE(C60,""ja"",""vi"")"),"Đấu giá&gt; Sở thích, văn hóa&gt; tác phẩm nghệ thuật&gt; Sách&gt; in, điêu khắc")</f>
        <v>Đấu giá&gt; Sở thích, văn hóa&gt; tác phẩm nghệ thuật&gt; Sách&gt; in, điêu khắc</v>
      </c>
      <c r="F60" t="str">
        <f t="shared" ca="1" si="0"/>
        <v>"2084009058" : "Printmaking, điêu khắc",</v>
      </c>
    </row>
    <row r="61" spans="1:6" ht="15.75" customHeight="1">
      <c r="A61" s="14">
        <v>2084048350</v>
      </c>
      <c r="B61" s="14" t="s">
        <v>4882</v>
      </c>
      <c r="C61" s="14" t="s">
        <v>6820</v>
      </c>
      <c r="D61" s="5" t="str">
        <f ca="1">IFERROR(__xludf.DUMMYFUNCTION("GOOGLETRANSLATE(B61,""ja"",""vi"")"),"Nghệ thuật Nhiếp ảnh")</f>
        <v>Nghệ thuật Nhiếp ảnh</v>
      </c>
      <c r="E61" s="4" t="str">
        <f ca="1">IFERROR(__xludf.DUMMYFUNCTION("GOOGLETRANSLATE(C61,""ja"",""vi"")"),"Đấu giá&gt; Sở thích, văn hóa&gt; tác phẩm nghệ thuật&gt; Sách&gt; Nghệ thuật Nhiếp ảnh")</f>
        <v>Đấu giá&gt; Sở thích, văn hóa&gt; tác phẩm nghệ thuật&gt; Sách&gt; Nghệ thuật Nhiếp ảnh</v>
      </c>
      <c r="F61" t="str">
        <f t="shared" ca="1" si="0"/>
        <v>"2084048350" : "Nghệ thuật Nhiếp ảnh",</v>
      </c>
    </row>
    <row r="62" spans="1:6" ht="15.75" customHeight="1">
      <c r="A62" s="14">
        <v>2084009064</v>
      </c>
      <c r="B62" s="14" t="s">
        <v>6821</v>
      </c>
      <c r="C62" s="14" t="s">
        <v>6822</v>
      </c>
      <c r="D62" s="5" t="str">
        <f ca="1">IFERROR(__xludf.DUMMYFUNCTION("GOOGLETRANSLATE(B62,""ja"",""vi"")"),"ảnh kỹ thuật")</f>
        <v>ảnh kỹ thuật</v>
      </c>
      <c r="E62" s="4" t="str">
        <f ca="1">IFERROR(__xludf.DUMMYFUNCTION("GOOGLETRANSLATE(C62,""ja"",""vi"")"),"Đấu giá&gt; Sở thích, văn hóa&gt; tác phẩm nghệ thuật&gt; Sách&gt; kỹ thuật Hình ảnh")</f>
        <v>Đấu giá&gt; Sở thích, văn hóa&gt; tác phẩm nghệ thuật&gt; Sách&gt; kỹ thuật Hình ảnh</v>
      </c>
      <c r="F62" t="str">
        <f t="shared" ca="1" si="0"/>
        <v>"2084009064" : "ảnh kỹ thuật",</v>
      </c>
    </row>
    <row r="63" spans="1:6" ht="15.75" customHeight="1">
      <c r="A63" s="14">
        <v>21888</v>
      </c>
      <c r="B63" s="14" t="s">
        <v>4882</v>
      </c>
      <c r="C63" s="14" t="s">
        <v>6823</v>
      </c>
      <c r="D63" s="5" t="str">
        <f ca="1">IFERROR(__xludf.DUMMYFUNCTION("GOOGLETRANSLATE(B63,""ja"",""vi"")"),"Nghệ thuật Nhiếp ảnh")</f>
        <v>Nghệ thuật Nhiếp ảnh</v>
      </c>
      <c r="E63" s="4" t="str">
        <f ca="1">IFERROR(__xludf.DUMMYFUNCTION("GOOGLETRANSLATE(C63,""ja"",""vi"")"),"Đấu giá&gt; Sở thích, văn hóa&gt; tác phẩm nghệ thuật&gt; Tạp chí&gt; Nghệ thuật Nhiếp ảnh")</f>
        <v>Đấu giá&gt; Sở thích, văn hóa&gt; tác phẩm nghệ thuật&gt; Tạp chí&gt; Nghệ thuật Nhiếp ảnh</v>
      </c>
      <c r="F63" t="str">
        <f t="shared" ca="1" si="0"/>
        <v>"21888" : "Nghệ thuật Nhiếp ảnh",</v>
      </c>
    </row>
    <row r="64" spans="1:6" ht="15.75" customHeight="1">
      <c r="A64" s="14">
        <v>2084008067</v>
      </c>
      <c r="B64" s="14" t="s">
        <v>4885</v>
      </c>
      <c r="C64" s="14" t="s">
        <v>6827</v>
      </c>
      <c r="D64" s="5" t="str">
        <f ca="1">IFERROR(__xludf.DUMMYFUNCTION("GOOGLETRANSLATE(B64,""ja"",""vi"")"),"hình ảnh")</f>
        <v>hình ảnh</v>
      </c>
      <c r="E64" s="4" t="str">
        <f ca="1">IFERROR(__xludf.DUMMYFUNCTION("GOOGLETRANSLATE(C64,""ja"",""vi"")"),"Đấu giá&gt; Sở thích, văn hóa&gt; tác phẩm nghệ thuật&gt; Tạp chí&gt; Tranh")</f>
        <v>Đấu giá&gt; Sở thích, văn hóa&gt; tác phẩm nghệ thuật&gt; Tạp chí&gt; Tranh</v>
      </c>
      <c r="F64" t="str">
        <f t="shared" ca="1" si="0"/>
        <v>"2084008067" : "hình ảnh",</v>
      </c>
    </row>
    <row r="65" spans="1:6" ht="15.75" customHeight="1">
      <c r="A65" s="14">
        <v>2084048235</v>
      </c>
      <c r="B65" s="14" t="s">
        <v>4877</v>
      </c>
      <c r="C65" s="14" t="s">
        <v>6830</v>
      </c>
      <c r="D65" s="5" t="str">
        <f ca="1">IFERROR(__xludf.DUMMYFUNCTION("GOOGLETRANSLATE(B65,""ja"",""vi"")"),"Nghệ thuật chung")</f>
        <v>Nghệ thuật chung</v>
      </c>
      <c r="E65" s="4" t="str">
        <f ca="1">IFERROR(__xludf.DUMMYFUNCTION("GOOGLETRANSLATE(C65,""ja"",""vi"")"),"Đấu giá&gt; Sở thích, văn hóa&gt; tác phẩm nghệ thuật&gt; Tạp chí&gt; nghệ thuật toàn diện")</f>
        <v>Đấu giá&gt; Sở thích, văn hóa&gt; tác phẩm nghệ thuật&gt; Tạp chí&gt; nghệ thuật toàn diện</v>
      </c>
      <c r="F65" t="str">
        <f t="shared" ca="1" si="0"/>
        <v>"2084048235" : "Nghệ thuật chung",</v>
      </c>
    </row>
    <row r="66" spans="1:6" ht="15.75" customHeight="1">
      <c r="A66" s="14">
        <v>2084236072</v>
      </c>
      <c r="B66" s="14" t="s">
        <v>6968</v>
      </c>
      <c r="C66" s="14" t="s">
        <v>6969</v>
      </c>
      <c r="D66" s="5" t="str">
        <f ca="1">IFERROR(__xludf.DUMMYFUNCTION("GOOGLETRANSLATE(B66,""ja"",""vi"")"),"rack quần áo")</f>
        <v>rack quần áo</v>
      </c>
      <c r="E66" s="4" t="str">
        <f ca="1">IFERROR(__xludf.DUMMYFUNCTION("GOOGLETRANSLATE(C66,""ja"",""vi"")"),"Đấu giá&gt; cổ, bộ sưu tập&gt; nội thất&gt; Nhật Bản&gt; rack quần áo")</f>
        <v>Đấu giá&gt; cổ, bộ sưu tập&gt; nội thất&gt; Nhật Bản&gt; rack quần áo</v>
      </c>
      <c r="F66" t="str">
        <f t="shared" ref="F66:F129" ca="1" si="1">CONCATENATE(CHAR(34)&amp;"",A66,""&amp;CHAR(34)," : ", CHAR(34)&amp;"",D66,""&amp;CHAR(34),",")</f>
        <v>"2084236072" : "rack quần áo",</v>
      </c>
    </row>
    <row r="67" spans="1:6" ht="15.75" customHeight="1">
      <c r="A67" s="14">
        <v>2084236071</v>
      </c>
      <c r="B67" s="14" t="s">
        <v>6974</v>
      </c>
      <c r="C67" s="14" t="s">
        <v>6976</v>
      </c>
      <c r="D67" s="5" t="str">
        <f ca="1">IFERROR(__xludf.DUMMYFUNCTION("GOOGLETRANSLATE(B67,""ja"",""vi"")"),"Một bàn thấp, bàn ăn thấp")</f>
        <v>Một bàn thấp, bàn ăn thấp</v>
      </c>
      <c r="E67" s="4" t="str">
        <f ca="1">IFERROR(__xludf.DUMMYFUNCTION("GOOGLETRANSLATE(C67,""ja"",""vi"")"),"Đấu giá&gt; cổ, bộ sưu tập&gt; nội thất&gt; Nhật Bản&gt; bàn thấp, bàn ăn thấp")</f>
        <v>Đấu giá&gt; cổ, bộ sưu tập&gt; nội thất&gt; Nhật Bản&gt; bàn thấp, bàn ăn thấp</v>
      </c>
      <c r="F67" t="str">
        <f t="shared" ca="1" si="1"/>
        <v>"2084236071" : "Một bàn thấp, bàn ăn thấp",</v>
      </c>
    </row>
    <row r="68" spans="1:6" ht="15.75" customHeight="1">
      <c r="A68" s="14">
        <v>2084236069</v>
      </c>
      <c r="B68" s="14" t="s">
        <v>6978</v>
      </c>
      <c r="C68" s="14" t="s">
        <v>6980</v>
      </c>
      <c r="D68" s="5" t="str">
        <f ca="1">IFERROR(__xludf.DUMMYFUNCTION("GOOGLETRANSLATE(B68,""ja"",""vi"")"),"Ngực của ngăn kéo")</f>
        <v>Ngực của ngăn kéo</v>
      </c>
      <c r="E68" s="4" t="str">
        <f ca="1">IFERROR(__xludf.DUMMYFUNCTION("GOOGLETRANSLATE(C68,""ja"",""vi"")"),"Đấu giá&gt; cổ, bộ sưu tập&gt; nội thất&gt; Nhật Bản&gt; ngực của ngăn kéo")</f>
        <v>Đấu giá&gt; cổ, bộ sưu tập&gt; nội thất&gt; Nhật Bản&gt; ngực của ngăn kéo</v>
      </c>
      <c r="F68" t="str">
        <f t="shared" ca="1" si="1"/>
        <v>"2084236069" : "Ngực của ngăn kéo",</v>
      </c>
    </row>
    <row r="69" spans="1:6" ht="15.75" customHeight="1">
      <c r="A69" s="14">
        <v>2084236070</v>
      </c>
      <c r="B69" s="14" t="s">
        <v>6981</v>
      </c>
      <c r="C69" s="14" t="s">
        <v>6982</v>
      </c>
      <c r="D69" s="5" t="str">
        <f ca="1">IFERROR(__xludf.DUMMYFUNCTION("GOOGLETRANSLATE(B69,""ja"",""vi"")"),"bàn để viết")</f>
        <v>bàn để viết</v>
      </c>
      <c r="E69" s="4" t="str">
        <f ca="1">IFERROR(__xludf.DUMMYFUNCTION("GOOGLETRANSLATE(C69,""ja"",""vi"")"),"Đấu giá&gt; cổ, bộ sưu tập&gt; nội thất&gt; Nhật Bản&gt; bàn làm việc")</f>
        <v>Đấu giá&gt; cổ, bộ sưu tập&gt; nội thất&gt; Nhật Bản&gt; bàn làm việc</v>
      </c>
      <c r="F69" t="str">
        <f t="shared" ca="1" si="1"/>
        <v>"2084236070" : "bàn để viết",</v>
      </c>
    </row>
    <row r="70" spans="1:6" ht="15.75" customHeight="1">
      <c r="A70" s="14">
        <v>2084236073</v>
      </c>
      <c r="B70" s="14" t="s">
        <v>46</v>
      </c>
      <c r="C70" s="14" t="s">
        <v>6983</v>
      </c>
      <c r="D70" s="5" t="str">
        <f ca="1">IFERROR(__xludf.DUMMYFUNCTION("GOOGLETRANSLATE(B70,""ja"",""vi"")"),"nếu không thì")</f>
        <v>nếu không thì</v>
      </c>
      <c r="E70" s="4" t="str">
        <f ca="1">IFERROR(__xludf.DUMMYFUNCTION("GOOGLETRANSLATE(C70,""ja"",""vi"")"),"Đấu giá&gt; cổ, bộ sưu tập&gt; nội thất&gt; Nhật Bản&gt; Khác")</f>
        <v>Đấu giá&gt; cổ, bộ sưu tập&gt; nội thất&gt; Nhật Bản&gt; Khác</v>
      </c>
      <c r="F70" t="str">
        <f t="shared" ca="1" si="1"/>
        <v>"2084236073" : "nếu không thì",</v>
      </c>
    </row>
    <row r="71" spans="1:6" ht="15.75" customHeight="1">
      <c r="A71" s="14">
        <v>2084310195</v>
      </c>
      <c r="B71" s="14" t="s">
        <v>6986</v>
      </c>
      <c r="C71" s="14" t="s">
        <v>6988</v>
      </c>
      <c r="D71" s="5" t="str">
        <f ca="1">IFERROR(__xludf.DUMMYFUNCTION("GOOGLETRANSLATE(B71,""ja"",""vi"")"),"Thanh kiếm, thanh kiếm")</f>
        <v>Thanh kiếm, thanh kiếm</v>
      </c>
      <c r="E71" s="4" t="str">
        <f ca="1">IFERROR(__xludf.DUMMYFUNCTION("GOOGLETRANSLATE(C71,""ja"",""vi"")"),"Đấu giá&gt; cổ, bộ sưu tập&gt; giáp&gt; thanh kiếm Nhật, kiếm&gt; thanh kiếm, thanh kiếm")</f>
        <v>Đấu giá&gt; cổ, bộ sưu tập&gt; giáp&gt; thanh kiếm Nhật, kiếm&gt; thanh kiếm, thanh kiếm</v>
      </c>
      <c r="F71" t="str">
        <f t="shared" ca="1" si="1"/>
        <v>"2084310195" : "Thanh kiếm, thanh kiếm",</v>
      </c>
    </row>
    <row r="72" spans="1:6" ht="15.75" customHeight="1">
      <c r="A72" s="14">
        <v>2084310196</v>
      </c>
      <c r="B72" s="14" t="s">
        <v>6991</v>
      </c>
      <c r="C72" s="14" t="s">
        <v>6993</v>
      </c>
      <c r="D72" s="5" t="str">
        <f ca="1">IFERROR(__xludf.DUMMYFUNCTION("GOOGLETRANSLATE(B72,""ja"",""vi"")"),"Wakizashi, Tanto")</f>
        <v>Wakizashi, Tanto</v>
      </c>
      <c r="E72" s="4" t="str">
        <f ca="1">IFERROR(__xludf.DUMMYFUNCTION("GOOGLETRANSLATE(C72,""ja"",""vi"")"),"Đấu giá&gt; cổ, bộ sưu tập&gt; giáp&gt; thanh kiếm Nhật, kiếm&gt; Wakizashi, Tanto")</f>
        <v>Đấu giá&gt; cổ, bộ sưu tập&gt; giáp&gt; thanh kiếm Nhật, kiếm&gt; Wakizashi, Tanto</v>
      </c>
      <c r="F72" t="str">
        <f t="shared" ca="1" si="1"/>
        <v>"2084310196" : "Wakizashi, Tanto",</v>
      </c>
    </row>
    <row r="73" spans="1:6" ht="15.75" customHeight="1">
      <c r="A73" s="14">
        <v>2084311159</v>
      </c>
      <c r="B73" s="14" t="s">
        <v>6996</v>
      </c>
      <c r="C73" s="14" t="s">
        <v>6997</v>
      </c>
      <c r="D73" s="5" t="str">
        <f ca="1">IFERROR(__xludf.DUMMYFUNCTION("GOOGLETRANSLATE(B73,""ja"",""vi"")"),"Spear, halberd")</f>
        <v>Spear, halberd</v>
      </c>
      <c r="E73" s="4" t="str">
        <f ca="1">IFERROR(__xludf.DUMMYFUNCTION("GOOGLETRANSLATE(C73,""ja"",""vi"")"),"Đấu giá&gt; cổ, bộ sưu tập&gt; giáp&gt; thanh kiếm Nhật, kiếm&gt; giáo, halberd")</f>
        <v>Đấu giá&gt; cổ, bộ sưu tập&gt; giáp&gt; thanh kiếm Nhật, kiếm&gt; giáo, halberd</v>
      </c>
      <c r="F73" t="str">
        <f t="shared" ca="1" si="1"/>
        <v>"2084311159" : "Spear, halberd",</v>
      </c>
    </row>
    <row r="74" spans="1:6" ht="15.75" customHeight="1">
      <c r="A74" s="14">
        <v>2084310197</v>
      </c>
      <c r="B74" s="14" t="s">
        <v>7000</v>
      </c>
      <c r="C74" s="14" t="s">
        <v>7001</v>
      </c>
      <c r="D74" s="5" t="str">
        <f ca="1">IFERROR(__xludf.DUMMYFUNCTION("GOOGLETRANSLATE(B74,""ja"",""vi"")"),"giả gươm")</f>
        <v>giả gươm</v>
      </c>
      <c r="E74" s="4" t="str">
        <f ca="1">IFERROR(__xludf.DUMMYFUNCTION("GOOGLETRANSLATE(C74,""ja"",""vi"")"),"Đấu giá&gt; cổ, bộ sưu tập&gt; giáp&gt; thanh kiếm Nhật, kiếm&gt; giả gươm")</f>
        <v>Đấu giá&gt; cổ, bộ sưu tập&gt; giáp&gt; thanh kiếm Nhật, kiếm&gt; giả gươm</v>
      </c>
      <c r="F74" t="str">
        <f t="shared" ca="1" si="1"/>
        <v>"2084310197" : "giả gươm",</v>
      </c>
    </row>
    <row r="75" spans="1:6" ht="15.75" customHeight="1">
      <c r="A75" s="14">
        <v>2084005732</v>
      </c>
      <c r="B75" s="14" t="s">
        <v>7005</v>
      </c>
      <c r="C75" s="14" t="s">
        <v>7007</v>
      </c>
      <c r="D75" s="5" t="str">
        <f ca="1">IFERROR(__xludf.DUMMYFUNCTION("GOOGLETRANSLATE(B75,""ja"",""vi"")"),"tem thông thường")</f>
        <v>tem thông thường</v>
      </c>
      <c r="E75" s="4" t="str">
        <f ca="1">IFERROR(__xludf.DUMMYFUNCTION("GOOGLETRANSLATE(C75,""ja"",""vi"")"),"Đấu giá&gt; cổ, bộ sưu tập&gt; tem, thẻ bưu chính&gt; Nhật Bản&gt; tem bình thường")</f>
        <v>Đấu giá&gt; cổ, bộ sưu tập&gt; tem, thẻ bưu chính&gt; Nhật Bản&gt; tem bình thường</v>
      </c>
      <c r="F75" t="str">
        <f t="shared" ca="1" si="1"/>
        <v>"2084005732" : "tem thông thường",</v>
      </c>
    </row>
    <row r="76" spans="1:6" ht="15.75" customHeight="1">
      <c r="A76" s="14">
        <v>2084005733</v>
      </c>
      <c r="B76" s="14" t="s">
        <v>7009</v>
      </c>
      <c r="C76" s="14" t="s">
        <v>7011</v>
      </c>
      <c r="D76" s="5" t="str">
        <f ca="1">IFERROR(__xludf.DUMMYFUNCTION("GOOGLETRANSLATE(B76,""ja"",""vi"")"),"tem đặc biệt, tem kỷ niệm")</f>
        <v>tem đặc biệt, tem kỷ niệm</v>
      </c>
      <c r="E76" s="4" t="str">
        <f ca="1">IFERROR(__xludf.DUMMYFUNCTION("GOOGLETRANSLATE(C76,""ja"",""vi"")"),"Đấu giá&gt; cổ, bộ sưu tập&gt; tem, thẻ bưu chính&gt; Nhật Bản&gt; tem đặc biệt, tem kỷ niệm")</f>
        <v>Đấu giá&gt; cổ, bộ sưu tập&gt; tem, thẻ bưu chính&gt; Nhật Bản&gt; tem đặc biệt, tem kỷ niệm</v>
      </c>
      <c r="F76" t="str">
        <f t="shared" ca="1" si="1"/>
        <v>"2084005733" : "tem đặc biệt, tem kỷ niệm",</v>
      </c>
    </row>
    <row r="77" spans="1:6" ht="15.75" customHeight="1">
      <c r="A77" s="14">
        <v>2084005734</v>
      </c>
      <c r="B77" s="14" t="s">
        <v>7015</v>
      </c>
      <c r="C77" s="14" t="s">
        <v>7016</v>
      </c>
      <c r="D77" s="5" t="str">
        <f ca="1">IFERROR(__xludf.DUMMYFUNCTION("GOOGLETRANSLATE(B77,""ja"",""vi"")"),"tem Furusato")</f>
        <v>tem Furusato</v>
      </c>
      <c r="E77" s="4" t="str">
        <f ca="1">IFERROR(__xludf.DUMMYFUNCTION("GOOGLETRANSLATE(C77,""ja"",""vi"")"),"Đấu giá&gt; cổ, bộ sưu tập&gt; tem, thẻ bưu chính&gt; Nhật Bản&gt; tem Furusato")</f>
        <v>Đấu giá&gt; cổ, bộ sưu tập&gt; tem, thẻ bưu chính&gt; Nhật Bản&gt; tem Furusato</v>
      </c>
      <c r="F77" t="str">
        <f t="shared" ca="1" si="1"/>
        <v>"2084005734" : "tem Furusato",</v>
      </c>
    </row>
    <row r="78" spans="1:6" ht="15.75" customHeight="1">
      <c r="A78" s="14">
        <v>26723</v>
      </c>
      <c r="B78" s="14" t="s">
        <v>5641</v>
      </c>
      <c r="C78" s="14" t="s">
        <v>7019</v>
      </c>
      <c r="D78" s="5" t="str">
        <f ca="1">IFERROR(__xludf.DUMMYFUNCTION("GOOGLETRANSLATE(B78,""ja"",""vi"")"),"sơn mài Nhật")</f>
        <v>sơn mài Nhật</v>
      </c>
      <c r="E78" s="4" t="str">
        <f ca="1">IFERROR(__xludf.DUMMYFUNCTION("GOOGLETRANSLATE(C78,""ja"",""vi"")"),"Đấu giá&gt; cổ, bộ sưu tập&gt; tiền&gt; xu&gt; Nhật Bản")</f>
        <v>Đấu giá&gt; cổ, bộ sưu tập&gt; tiền&gt; xu&gt; Nhật Bản</v>
      </c>
      <c r="F78" t="str">
        <f t="shared" ca="1" si="1"/>
        <v>"26723" : "sơn mài Nhật",</v>
      </c>
    </row>
    <row r="79" spans="1:6" ht="15.75" customHeight="1">
      <c r="A79" s="14">
        <v>20636</v>
      </c>
      <c r="B79" s="14" t="s">
        <v>7022</v>
      </c>
      <c r="C79" s="14" t="s">
        <v>7023</v>
      </c>
      <c r="D79" s="5" t="str">
        <f ca="1">IFERROR(__xludf.DUMMYFUNCTION("GOOGLETRANSLATE(B79,""ja"",""vi"")"),"thế giới")</f>
        <v>thế giới</v>
      </c>
      <c r="E79" s="4" t="str">
        <f ca="1">IFERROR(__xludf.DUMMYFUNCTION("GOOGLETRANSLATE(C79,""ja"",""vi"")"),"Đấu giá&gt; cổ, bộ sưu tập&gt; tiền&gt; xu&gt; thế giới")</f>
        <v>Đấu giá&gt; cổ, bộ sưu tập&gt; tiền&gt; xu&gt; thế giới</v>
      </c>
      <c r="F79" t="str">
        <f t="shared" ca="1" si="1"/>
        <v>"20636" : "thế giới",</v>
      </c>
    </row>
    <row r="80" spans="1:6" ht="15.75" customHeight="1">
      <c r="A80" s="14">
        <v>2084292084</v>
      </c>
      <c r="B80" s="14" t="s">
        <v>5641</v>
      </c>
      <c r="C80" s="14" t="s">
        <v>7027</v>
      </c>
      <c r="D80" s="5" t="str">
        <f ca="1">IFERROR(__xludf.DUMMYFUNCTION("GOOGLETRANSLATE(B80,""ja"",""vi"")"),"sơn mài Nhật")</f>
        <v>sơn mài Nhật</v>
      </c>
      <c r="E80" s="4" t="str">
        <f ca="1">IFERROR(__xludf.DUMMYFUNCTION("GOOGLETRANSLATE(C80,""ja"",""vi"")"),"Đấu giá&gt; cổ, bộ sưu tập&gt; tiền&gt; hóa đơn&gt; Nhật Bản")</f>
        <v>Đấu giá&gt; cổ, bộ sưu tập&gt; tiền&gt; hóa đơn&gt; Nhật Bản</v>
      </c>
      <c r="F80" t="str">
        <f t="shared" ca="1" si="1"/>
        <v>"2084292084" : "sơn mài Nhật",</v>
      </c>
    </row>
    <row r="81" spans="1:6" ht="15.75" customHeight="1">
      <c r="A81" s="14">
        <v>2084292085</v>
      </c>
      <c r="B81" s="14" t="s">
        <v>7022</v>
      </c>
      <c r="C81" s="14" t="s">
        <v>7032</v>
      </c>
      <c r="D81" s="5" t="str">
        <f ca="1">IFERROR(__xludf.DUMMYFUNCTION("GOOGLETRANSLATE(B81,""ja"",""vi"")"),"thế giới")</f>
        <v>thế giới</v>
      </c>
      <c r="E81" s="4" t="str">
        <f ca="1">IFERROR(__xludf.DUMMYFUNCTION("GOOGLETRANSLATE(C81,""ja"",""vi"")"),"Đấu giá&gt; cổ, bộ sưu tập&gt; tiền&gt; hóa đơn&gt; Thế giới")</f>
        <v>Đấu giá&gt; cổ, bộ sưu tập&gt; tiền&gt; hóa đơn&gt; Thế giới</v>
      </c>
      <c r="F81" t="str">
        <f t="shared" ca="1" si="1"/>
        <v>"2084292085" : "thế giới",</v>
      </c>
    </row>
    <row r="82" spans="1:6" ht="15.75" customHeight="1">
      <c r="A82" s="14">
        <v>20465</v>
      </c>
      <c r="B82" s="14" t="s">
        <v>7034</v>
      </c>
      <c r="C82" s="14" t="s">
        <v>7036</v>
      </c>
      <c r="D82" s="5" t="str">
        <f ca="1">IFERROR(__xludf.DUMMYFUNCTION("GOOGLETRANSLATE(B82,""ja"",""vi"")"),"bạch kim")</f>
        <v>bạch kim</v>
      </c>
      <c r="E82" s="4" t="str">
        <f ca="1">IFERROR(__xludf.DUMMYFUNCTION("GOOGLETRANSLATE(C82,""ja"",""vi"")"),"Đấu giá&gt; cổ, bộ sưu tập&gt; tiền&gt; Vàng&gt; Platinum")</f>
        <v>Đấu giá&gt; cổ, bộ sưu tập&gt; tiền&gt; Vàng&gt; Platinum</v>
      </c>
      <c r="F82" t="str">
        <f t="shared" ca="1" si="1"/>
        <v>"20465" : "bạch kim",</v>
      </c>
    </row>
    <row r="83" spans="1:6" ht="15.75" customHeight="1">
      <c r="A83" s="14">
        <v>20461</v>
      </c>
      <c r="B83" s="14" t="s">
        <v>7037</v>
      </c>
      <c r="C83" s="14" t="s">
        <v>7039</v>
      </c>
      <c r="D83" s="5" t="str">
        <f ca="1">IFERROR(__xludf.DUMMYFUNCTION("GOOGLETRANSLATE(B83,""ja"",""vi"")"),"vàng")</f>
        <v>vàng</v>
      </c>
      <c r="E83" s="4" t="str">
        <f ca="1">IFERROR(__xludf.DUMMYFUNCTION("GOOGLETRANSLATE(C83,""ja"",""vi"")"),"Đấu giá&gt; cổ, bộ sưu tập&gt; tiền&gt; Vàng&gt; vàng")</f>
        <v>Đấu giá&gt; cổ, bộ sưu tập&gt; tiền&gt; Vàng&gt; vàng</v>
      </c>
      <c r="F83" t="str">
        <f t="shared" ca="1" si="1"/>
        <v>"20461" : "vàng",</v>
      </c>
    </row>
    <row r="84" spans="1:6" ht="15.75" customHeight="1">
      <c r="A84" s="14">
        <v>20457</v>
      </c>
      <c r="B84" s="14" t="s">
        <v>7044</v>
      </c>
      <c r="C84" s="14" t="s">
        <v>7046</v>
      </c>
      <c r="D84" s="5" t="str">
        <f ca="1">IFERROR(__xludf.DUMMYFUNCTION("GOOGLETRANSLATE(B84,""ja"",""vi"")"),"bạc")</f>
        <v>bạc</v>
      </c>
      <c r="E84" s="4" t="str">
        <f ca="1">IFERROR(__xludf.DUMMYFUNCTION("GOOGLETRANSLATE(C84,""ja"",""vi"")"),"Đấu giá&gt; cổ, bộ sưu tập&gt; tiền&gt; Vàng&gt; bạc")</f>
        <v>Đấu giá&gt; cổ, bộ sưu tập&gt; tiền&gt; Vàng&gt; bạc</v>
      </c>
      <c r="F84" t="str">
        <f t="shared" ca="1" si="1"/>
        <v>"20457" : "bạc",</v>
      </c>
    </row>
    <row r="85" spans="1:6" ht="15.75" customHeight="1">
      <c r="A85" s="14">
        <v>2084006158</v>
      </c>
      <c r="B85" s="14" t="s">
        <v>4455</v>
      </c>
      <c r="C85" s="14" t="s">
        <v>7051</v>
      </c>
      <c r="D85" s="5" t="str">
        <f ca="1">IFERROR(__xludf.DUMMYFUNCTION("GOOGLETRANSLATE(B85,""ja"",""vi"")"),"Truyện tranh, hoạt hình")</f>
        <v>Truyện tranh, hoạt hình</v>
      </c>
      <c r="E85" s="4" t="str">
        <f ca="1">IFERROR(__xludf.DUMMYFUNCTION("GOOGLETRANSLATE(C85,""ja"",""vi"")"),"Đấu giá&gt; cổ, bộ sưu tập&gt; vấn đề in&gt; Lịch&gt; truyện tranh, hoạt hình")</f>
        <v>Đấu giá&gt; cổ, bộ sưu tập&gt; vấn đề in&gt; Lịch&gt; truyện tranh, hoạt hình</v>
      </c>
      <c r="F85" t="str">
        <f t="shared" ca="1" si="1"/>
        <v>"2084006158" : "Truyện tranh, hoạt hình",</v>
      </c>
    </row>
    <row r="86" spans="1:6" ht="15.75" customHeight="1">
      <c r="A86" s="14">
        <v>2084006163</v>
      </c>
      <c r="B86" s="14" t="s">
        <v>4471</v>
      </c>
      <c r="C86" s="14" t="s">
        <v>7056</v>
      </c>
      <c r="D86" s="5" t="str">
        <f ca="1">IFERROR(__xludf.DUMMYFUNCTION("GOOGLETRANSLATE(B86,""ja"",""vi"")"),"nhạc sĩ")</f>
        <v>nhạc sĩ</v>
      </c>
      <c r="E86" s="4" t="str">
        <f ca="1">IFERROR(__xludf.DUMMYFUNCTION("GOOGLETRANSLATE(C86,""ja"",""vi"")"),"Đấu giá&gt; cổ, bộ sưu tập&gt; in vấn đề&gt; Lịch&gt; nhạc sĩ")</f>
        <v>Đấu giá&gt; cổ, bộ sưu tập&gt; in vấn đề&gt; Lịch&gt; nhạc sĩ</v>
      </c>
      <c r="F86" t="str">
        <f t="shared" ca="1" si="1"/>
        <v>"2084006163" : "nhạc sĩ",</v>
      </c>
    </row>
    <row r="87" spans="1:6" ht="15.75" customHeight="1">
      <c r="A87" s="14">
        <v>2084283231</v>
      </c>
      <c r="B87" s="14" t="s">
        <v>4885</v>
      </c>
      <c r="C87" s="14" t="s">
        <v>7058</v>
      </c>
      <c r="D87" s="5" t="str">
        <f ca="1">IFERROR(__xludf.DUMMYFUNCTION("GOOGLETRANSLATE(B87,""ja"",""vi"")"),"hình ảnh")</f>
        <v>hình ảnh</v>
      </c>
      <c r="E87" s="4" t="str">
        <f ca="1">IFERROR(__xludf.DUMMYFUNCTION("GOOGLETRANSLATE(C87,""ja"",""vi"")"),"Đấu giá&gt; cổ, bộ sưu tập&gt; in vấn đề&gt; Lịch&gt; Tranh")</f>
        <v>Đấu giá&gt; cổ, bộ sưu tập&gt; in vấn đề&gt; Lịch&gt; Tranh</v>
      </c>
      <c r="F87" t="str">
        <f t="shared" ca="1" si="1"/>
        <v>"2084283231" : "hình ảnh",</v>
      </c>
    </row>
    <row r="88" spans="1:6" ht="15.75" customHeight="1">
      <c r="A88" s="14">
        <v>2084006157</v>
      </c>
      <c r="B88" s="14" t="s">
        <v>4489</v>
      </c>
      <c r="C88" s="14" t="s">
        <v>7064</v>
      </c>
      <c r="D88" s="5" t="str">
        <f ca="1">IFERROR(__xludf.DUMMYFUNCTION("GOOGLETRANSLATE(B88,""ja"",""vi"")"),"Giải trí, tài năng")</f>
        <v>Giải trí, tài năng</v>
      </c>
      <c r="E88" s="4" t="str">
        <f ca="1">IFERROR(__xludf.DUMMYFUNCTION("GOOGLETRANSLATE(C88,""ja"",""vi"")"),"Đấu giá&gt; cổ, bộ sưu tập&gt; vấn đề in&gt; Lịch&gt; giải trí, tài năng")</f>
        <v>Đấu giá&gt; cổ, bộ sưu tập&gt; vấn đề in&gt; Lịch&gt; giải trí, tài năng</v>
      </c>
      <c r="F88" t="str">
        <f t="shared" ca="1" si="1"/>
        <v>"2084006157" : "Giải trí, tài năng",</v>
      </c>
    </row>
    <row r="89" spans="1:6" ht="15.75" customHeight="1">
      <c r="A89" s="14">
        <v>2084007962</v>
      </c>
      <c r="B89" s="14" t="s">
        <v>4494</v>
      </c>
      <c r="C89" s="14" t="s">
        <v>7069</v>
      </c>
      <c r="D89" s="5" t="str">
        <f ca="1">IFERROR(__xludf.DUMMYFUNCTION("GOOGLETRANSLATE(B89,""ja"",""vi"")"),"phi cơ")</f>
        <v>phi cơ</v>
      </c>
      <c r="E89" s="4" t="str">
        <f ca="1">IFERROR(__xludf.DUMMYFUNCTION("GOOGLETRANSLATE(C89,""ja"",""vi"")"),"Đấu giá&gt; cổ, bộ sưu tập&gt; vấn đề in&gt; Lịch&gt; máy bay")</f>
        <v>Đấu giá&gt; cổ, bộ sưu tập&gt; vấn đề in&gt; Lịch&gt; máy bay</v>
      </c>
      <c r="F89" t="str">
        <f t="shared" ca="1" si="1"/>
        <v>"2084007962" : "phi cơ",</v>
      </c>
    </row>
    <row r="90" spans="1:6" ht="15.75" customHeight="1">
      <c r="A90" s="14">
        <v>2084007702</v>
      </c>
      <c r="B90" s="14" t="s">
        <v>4511</v>
      </c>
      <c r="C90" s="14" t="s">
        <v>7076</v>
      </c>
      <c r="D90" s="5" t="str">
        <f ca="1">IFERROR(__xludf.DUMMYFUNCTION("GOOGLETRANSLATE(B90,""ja"",""vi"")"),"đường sắt")</f>
        <v>đường sắt</v>
      </c>
      <c r="E90" s="4" t="str">
        <f ca="1">IFERROR(__xludf.DUMMYFUNCTION("GOOGLETRANSLATE(C90,""ja"",""vi"")"),"Đấu giá&gt; cổ, bộ sưu tập&gt; vấn đề in&gt; Lịch&gt; đường sắt")</f>
        <v>Đấu giá&gt; cổ, bộ sưu tập&gt; vấn đề in&gt; Lịch&gt; đường sắt</v>
      </c>
      <c r="F90" t="str">
        <f t="shared" ca="1" si="1"/>
        <v>"2084007702" : "đường sắt",</v>
      </c>
    </row>
    <row r="91" spans="1:6" ht="15.75" customHeight="1">
      <c r="A91" s="14">
        <v>2084047856</v>
      </c>
      <c r="B91" s="14" t="s">
        <v>4516</v>
      </c>
      <c r="C91" s="14" t="s">
        <v>7082</v>
      </c>
      <c r="D91" s="5" t="str">
        <f ca="1">IFERROR(__xludf.DUMMYFUNCTION("GOOGLETRANSLATE(B91,""ja"",""vi"")"),"động vật")</f>
        <v>động vật</v>
      </c>
      <c r="E91" s="4" t="str">
        <f ca="1">IFERROR(__xludf.DUMMYFUNCTION("GOOGLETRANSLATE(C91,""ja"",""vi"")"),"Đấu giá&gt; cổ, bộ sưu tập&gt; vấn đề in&gt; Lịch&gt; động vật")</f>
        <v>Đấu giá&gt; cổ, bộ sưu tập&gt; vấn đề in&gt; Lịch&gt; động vật</v>
      </c>
      <c r="F91" t="str">
        <f t="shared" ca="1" si="1"/>
        <v>"2084047856" : "động vật",</v>
      </c>
    </row>
    <row r="92" spans="1:6" ht="15.75" customHeight="1">
      <c r="A92" s="14">
        <v>2084049983</v>
      </c>
      <c r="B92" s="14" t="s">
        <v>4520</v>
      </c>
      <c r="C92" s="14" t="s">
        <v>7088</v>
      </c>
      <c r="D92" s="5" t="str">
        <f ca="1">IFERROR(__xludf.DUMMYFUNCTION("GOOGLETRANSLATE(B92,""ja"",""vi"")"),"phong cảnh")</f>
        <v>phong cảnh</v>
      </c>
      <c r="E92" s="4" t="str">
        <f ca="1">IFERROR(__xludf.DUMMYFUNCTION("GOOGLETRANSLATE(C92,""ja"",""vi"")"),"Đấu giá&gt; cổ, bộ sưu tập&gt; vấn đề in&gt; Lịch&gt; cảnh quan")</f>
        <v>Đấu giá&gt; cổ, bộ sưu tập&gt; vấn đề in&gt; Lịch&gt; cảnh quan</v>
      </c>
      <c r="F92" t="str">
        <f t="shared" ca="1" si="1"/>
        <v>"2084049983" : "phong cảnh",</v>
      </c>
    </row>
    <row r="93" spans="1:6" ht="15.75" customHeight="1">
      <c r="A93" s="14">
        <v>2084063473</v>
      </c>
      <c r="B93" s="14" t="s">
        <v>7095</v>
      </c>
      <c r="C93" s="14" t="s">
        <v>7096</v>
      </c>
      <c r="D93" s="5" t="str">
        <f ca="1">IFERROR(__xludf.DUMMYFUNCTION("GOOGLETRANSLATE(B93,""ja"",""vi"")"),"bàn Lịch")</f>
        <v>bàn Lịch</v>
      </c>
      <c r="E93" s="4" t="str">
        <f ca="1">IFERROR(__xludf.DUMMYFUNCTION("GOOGLETRANSLATE(C93,""ja"",""vi"")"),"Đấu giá&gt; cổ, bộ sưu tập&gt; vấn đề in&gt; Lịch&gt; Lịch bàn")</f>
        <v>Đấu giá&gt; cổ, bộ sưu tập&gt; vấn đề in&gt; Lịch&gt; Lịch bàn</v>
      </c>
      <c r="F93" t="str">
        <f t="shared" ca="1" si="1"/>
        <v>"2084063473" : "bàn Lịch",</v>
      </c>
    </row>
    <row r="94" spans="1:6" ht="15.75" customHeight="1">
      <c r="A94" s="14">
        <v>2084006159</v>
      </c>
      <c r="B94" s="14" t="s">
        <v>46</v>
      </c>
      <c r="C94" s="14" t="s">
        <v>7104</v>
      </c>
      <c r="D94" s="5" t="str">
        <f ca="1">IFERROR(__xludf.DUMMYFUNCTION("GOOGLETRANSLATE(B94,""ja"",""vi"")"),"nếu không thì")</f>
        <v>nếu không thì</v>
      </c>
      <c r="E94" s="4" t="str">
        <f ca="1">IFERROR(__xludf.DUMMYFUNCTION("GOOGLETRANSLATE(C94,""ja"",""vi"")"),"Đấu giá&gt; cổ, bộ sưu tập&gt; vấn đề in&gt; Lịch&gt; Khác")</f>
        <v>Đấu giá&gt; cổ, bộ sưu tập&gt; vấn đề in&gt; Lịch&gt; Khác</v>
      </c>
      <c r="F94" t="str">
        <f t="shared" ca="1" si="1"/>
        <v>"2084006159" : "nếu không thì",</v>
      </c>
    </row>
    <row r="95" spans="1:6" ht="15.75" customHeight="1">
      <c r="A95" s="14">
        <v>2084050464</v>
      </c>
      <c r="B95" s="14" t="s">
        <v>4455</v>
      </c>
      <c r="C95" s="14" t="s">
        <v>7109</v>
      </c>
      <c r="D95" s="5" t="str">
        <f ca="1">IFERROR(__xludf.DUMMYFUNCTION("GOOGLETRANSLATE(B95,""ja"",""vi"")"),"Truyện tranh, hoạt hình")</f>
        <v>Truyện tranh, hoạt hình</v>
      </c>
      <c r="E95" s="4" t="str">
        <f ca="1">IFERROR(__xludf.DUMMYFUNCTION("GOOGLETRANSLATE(C95,""ja"",""vi"")"),"Đấu giá&gt; cổ, bộ sưu tập&gt; in vấn đề&gt; tờ rơi&gt; truyện tranh, hoạt hình")</f>
        <v>Đấu giá&gt; cổ, bộ sưu tập&gt; in vấn đề&gt; tờ rơi&gt; truyện tranh, hoạt hình</v>
      </c>
      <c r="F95" t="str">
        <f t="shared" ca="1" si="1"/>
        <v>"2084050464" : "Truyện tranh, hoạt hình",</v>
      </c>
    </row>
    <row r="96" spans="1:6" ht="15.75" customHeight="1">
      <c r="A96" s="14">
        <v>2084006177</v>
      </c>
      <c r="B96" s="14" t="s">
        <v>4471</v>
      </c>
      <c r="C96" s="14" t="s">
        <v>7117</v>
      </c>
      <c r="D96" s="5" t="str">
        <f ca="1">IFERROR(__xludf.DUMMYFUNCTION("GOOGLETRANSLATE(B96,""ja"",""vi"")"),"nhạc sĩ")</f>
        <v>nhạc sĩ</v>
      </c>
      <c r="E96" s="4" t="str">
        <f ca="1">IFERROR(__xludf.DUMMYFUNCTION("GOOGLETRANSLATE(C96,""ja"",""vi"")"),"Đấu giá&gt; cổ, bộ sưu tập&gt; in vấn đề&gt; tờ rơi&gt; nhạc sĩ")</f>
        <v>Đấu giá&gt; cổ, bộ sưu tập&gt; in vấn đề&gt; tờ rơi&gt; nhạc sĩ</v>
      </c>
      <c r="F96" t="str">
        <f t="shared" ca="1" si="1"/>
        <v>"2084006177" : "nhạc sĩ",</v>
      </c>
    </row>
    <row r="97" spans="1:6" ht="15.75" customHeight="1">
      <c r="A97" s="14">
        <v>2084006168</v>
      </c>
      <c r="B97" s="14" t="s">
        <v>4481</v>
      </c>
      <c r="C97" s="14" t="s">
        <v>7126</v>
      </c>
      <c r="D97" s="5" t="str">
        <f ca="1">IFERROR(__xludf.DUMMYFUNCTION("GOOGLETRANSLATE(B97,""ja"",""vi"")"),"phim")</f>
        <v>phim</v>
      </c>
      <c r="E97" s="4" t="str">
        <f ca="1">IFERROR(__xludf.DUMMYFUNCTION("GOOGLETRANSLATE(C97,""ja"",""vi"")"),"Đấu giá&gt; cổ, bộ sưu tập&gt; in vấn đề&gt; tờ rơi&gt; Phim")</f>
        <v>Đấu giá&gt; cổ, bộ sưu tập&gt; in vấn đề&gt; tờ rơi&gt; Phim</v>
      </c>
      <c r="F97" t="str">
        <f t="shared" ca="1" si="1"/>
        <v>"2084006168" : "phim",</v>
      </c>
    </row>
    <row r="98" spans="1:6" ht="15.75" customHeight="1">
      <c r="A98" s="14">
        <v>2084006179</v>
      </c>
      <c r="B98" s="14" t="s">
        <v>46</v>
      </c>
      <c r="C98" s="14" t="s">
        <v>7130</v>
      </c>
      <c r="D98" s="5" t="str">
        <f ca="1">IFERROR(__xludf.DUMMYFUNCTION("GOOGLETRANSLATE(B98,""ja"",""vi"")"),"nếu không thì")</f>
        <v>nếu không thì</v>
      </c>
      <c r="E98" s="4" t="str">
        <f ca="1">IFERROR(__xludf.DUMMYFUNCTION("GOOGLETRANSLATE(C98,""ja"",""vi"")"),"Đấu giá&gt; cổ, bộ sưu tập&gt; vấn đề&gt; tờ rơi&gt; Khác in")</f>
        <v>Đấu giá&gt; cổ, bộ sưu tập&gt; vấn đề&gt; tờ rơi&gt; Khác in</v>
      </c>
      <c r="F98" t="str">
        <f t="shared" ca="1" si="1"/>
        <v>"2084006179" : "nếu không thì",</v>
      </c>
    </row>
    <row r="99" spans="1:6" ht="15.75" customHeight="1">
      <c r="A99" s="14">
        <v>2084006184</v>
      </c>
      <c r="B99" s="14" t="s">
        <v>4455</v>
      </c>
      <c r="C99" s="14" t="s">
        <v>7134</v>
      </c>
      <c r="D99" s="5" t="str">
        <f ca="1">IFERROR(__xludf.DUMMYFUNCTION("GOOGLETRANSLATE(B99,""ja"",""vi"")"),"Truyện tranh, hoạt hình")</f>
        <v>Truyện tranh, hoạt hình</v>
      </c>
      <c r="E99" s="4" t="str">
        <f ca="1">IFERROR(__xludf.DUMMYFUNCTION("GOOGLETRANSLATE(C99,""ja"",""vi"")"),"Đấu giá&gt; cổ, bộ sưu tập&gt; vấn đề in&gt; tấm áp phích&gt; truyện tranh, hoạt hình")</f>
        <v>Đấu giá&gt; cổ, bộ sưu tập&gt; vấn đề in&gt; tấm áp phích&gt; truyện tranh, hoạt hình</v>
      </c>
      <c r="F99" t="str">
        <f t="shared" ca="1" si="1"/>
        <v>"2084006184" : "Truyện tranh, hoạt hình",</v>
      </c>
    </row>
    <row r="100" spans="1:6" ht="15.75" customHeight="1">
      <c r="A100" s="14">
        <v>2084006183</v>
      </c>
      <c r="B100" s="14" t="s">
        <v>6638</v>
      </c>
      <c r="C100" s="14" t="s">
        <v>7141</v>
      </c>
      <c r="D100" s="5" t="str">
        <f ca="1">IFERROR(__xludf.DUMMYFUNCTION("GOOGLETRANSLATE(B100,""ja"",""vi"")"),"năng lực")</f>
        <v>năng lực</v>
      </c>
      <c r="E100" s="4" t="str">
        <f ca="1">IFERROR(__xludf.DUMMYFUNCTION("GOOGLETRANSLATE(C100,""ja"",""vi"")"),"Đấu giá&gt; cổ, bộ sưu tập&gt; vấn đề in&gt; tấm áp phích&gt; Talent")</f>
        <v>Đấu giá&gt; cổ, bộ sưu tập&gt; vấn đề in&gt; tấm áp phích&gt; Talent</v>
      </c>
      <c r="F100" t="str">
        <f t="shared" ca="1" si="1"/>
        <v>"2084006183" : "năng lực",</v>
      </c>
    </row>
    <row r="101" spans="1:6" ht="15.75" customHeight="1">
      <c r="A101" s="14">
        <v>2084005085</v>
      </c>
      <c r="B101" s="14" t="s">
        <v>4471</v>
      </c>
      <c r="C101" s="14" t="s">
        <v>7146</v>
      </c>
      <c r="D101" s="5" t="str">
        <f ca="1">IFERROR(__xludf.DUMMYFUNCTION("GOOGLETRANSLATE(B101,""ja"",""vi"")"),"nhạc sĩ")</f>
        <v>nhạc sĩ</v>
      </c>
      <c r="E101" s="4" t="str">
        <f ca="1">IFERROR(__xludf.DUMMYFUNCTION("GOOGLETRANSLATE(C101,""ja"",""vi"")"),"Đấu giá&gt; cổ, bộ sưu tập&gt; vấn đề in&gt; tấm áp phích&gt; nhạc sĩ")</f>
        <v>Đấu giá&gt; cổ, bộ sưu tập&gt; vấn đề in&gt; tấm áp phích&gt; nhạc sĩ</v>
      </c>
      <c r="F101" t="str">
        <f t="shared" ca="1" si="1"/>
        <v>"2084005085" : "nhạc sĩ",</v>
      </c>
    </row>
    <row r="102" spans="1:6" ht="15.75" customHeight="1">
      <c r="A102" s="14">
        <v>2084006167</v>
      </c>
      <c r="B102" s="14" t="s">
        <v>4481</v>
      </c>
      <c r="C102" s="14" t="s">
        <v>7152</v>
      </c>
      <c r="D102" s="5" t="str">
        <f ca="1">IFERROR(__xludf.DUMMYFUNCTION("GOOGLETRANSLATE(B102,""ja"",""vi"")"),"phim")</f>
        <v>phim</v>
      </c>
      <c r="E102" s="4" t="str">
        <f ca="1">IFERROR(__xludf.DUMMYFUNCTION("GOOGLETRANSLATE(C102,""ja"",""vi"")"),"Đấu giá&gt; cổ, bộ sưu tập&gt; in vấn đề&gt; tấm áp phích&gt; Phim")</f>
        <v>Đấu giá&gt; cổ, bộ sưu tập&gt; in vấn đề&gt; tấm áp phích&gt; Phim</v>
      </c>
      <c r="F102" t="str">
        <f t="shared" ca="1" si="1"/>
        <v>"2084006167" : "phim",</v>
      </c>
    </row>
    <row r="103" spans="1:6" ht="15.75" customHeight="1">
      <c r="A103" s="14">
        <v>42528</v>
      </c>
      <c r="B103" s="14" t="s">
        <v>7158</v>
      </c>
      <c r="C103" s="14" t="s">
        <v>7159</v>
      </c>
      <c r="D103" s="5" t="str">
        <f ca="1">IFERROR(__xludf.DUMMYFUNCTION("GOOGLETRANSLATE(B103,""ja"",""vi"")"),"Khoa học, thiên nhiên")</f>
        <v>Khoa học, thiên nhiên</v>
      </c>
      <c r="E103" s="4" t="str">
        <f ca="1">IFERROR(__xludf.DUMMYFUNCTION("GOOGLETRANSLATE(C103,""ja"",""vi"")"),"Đấu giá&gt; cổ, bộ sưu tập&gt; vấn đề in&gt; tấm áp phích&gt; khoa học, thiên nhiên")</f>
        <v>Đấu giá&gt; cổ, bộ sưu tập&gt; vấn đề in&gt; tấm áp phích&gt; khoa học, thiên nhiên</v>
      </c>
      <c r="F103" t="str">
        <f t="shared" ca="1" si="1"/>
        <v>"42528" : "Khoa học, thiên nhiên",</v>
      </c>
    </row>
    <row r="104" spans="1:6" ht="15.75" customHeight="1">
      <c r="A104" s="14">
        <v>2084032393</v>
      </c>
      <c r="B104" s="14" t="s">
        <v>1319</v>
      </c>
      <c r="C104" s="14" t="s">
        <v>7167</v>
      </c>
      <c r="D104" s="5" t="str">
        <f ca="1">IFERROR(__xludf.DUMMYFUNCTION("GOOGLETRANSLATE(B104,""ja"",""vi"")"),"Bóng chày")</f>
        <v>Bóng chày</v>
      </c>
      <c r="E104" s="4" t="str">
        <f ca="1">IFERROR(__xludf.DUMMYFUNCTION("GOOGLETRANSLATE(C104,""ja"",""vi"")"),"Đấu giá&gt; cổ, bộ sưu tập&gt; vấn đề in&gt; tấm áp phích&gt; bóng chày")</f>
        <v>Đấu giá&gt; cổ, bộ sưu tập&gt; vấn đề in&gt; tấm áp phích&gt; bóng chày</v>
      </c>
      <c r="F104" t="str">
        <f t="shared" ca="1" si="1"/>
        <v>"2084032393" : "Bóng chày",</v>
      </c>
    </row>
    <row r="105" spans="1:6" ht="15.75" customHeight="1">
      <c r="A105" s="14">
        <v>2084006186</v>
      </c>
      <c r="B105" s="14" t="s">
        <v>46</v>
      </c>
      <c r="C105" s="14" t="s">
        <v>7175</v>
      </c>
      <c r="D105" s="5" t="str">
        <f ca="1">IFERROR(__xludf.DUMMYFUNCTION("GOOGLETRANSLATE(B105,""ja"",""vi"")"),"nếu không thì")</f>
        <v>nếu không thì</v>
      </c>
      <c r="E105" s="4" t="str">
        <f ca="1">IFERROR(__xludf.DUMMYFUNCTION("GOOGLETRANSLATE(C105,""ja"",""vi"")"),"Đấu giá&gt; cổ, bộ sưu tập&gt; vấn đề in&gt; tấm áp phích&gt; Khác")</f>
        <v>Đấu giá&gt; cổ, bộ sưu tập&gt; vấn đề in&gt; tấm áp phích&gt; Khác</v>
      </c>
      <c r="F105" t="str">
        <f t="shared" ca="1" si="1"/>
        <v>"2084006186" : "nếu không thì",</v>
      </c>
    </row>
    <row r="106" spans="1:6" ht="15.75" customHeight="1">
      <c r="A106" s="14">
        <v>2084007959</v>
      </c>
      <c r="B106" s="14" t="s">
        <v>4494</v>
      </c>
      <c r="C106" s="14" t="s">
        <v>7181</v>
      </c>
      <c r="D106" s="5" t="str">
        <f ca="1">IFERROR(__xludf.DUMMYFUNCTION("GOOGLETRANSLATE(B106,""ja"",""vi"")"),"phi cơ")</f>
        <v>phi cơ</v>
      </c>
      <c r="E106" s="4" t="str">
        <f ca="1">IFERROR(__xludf.DUMMYFUNCTION("GOOGLETRANSLATE(C106,""ja"",""vi"")"),"Đấu giá&gt; cổ, bộ sưu tập&gt; vấn đề in&gt; hình ảnh bưu thiếp, bưu thiếp&gt; máy bay")</f>
        <v>Đấu giá&gt; cổ, bộ sưu tập&gt; vấn đề in&gt; hình ảnh bưu thiếp, bưu thiếp&gt; máy bay</v>
      </c>
      <c r="F106" t="str">
        <f t="shared" ca="1" si="1"/>
        <v>"2084007959" : "phi cơ",</v>
      </c>
    </row>
    <row r="107" spans="1:6" ht="15.75" customHeight="1">
      <c r="A107" s="14">
        <v>2084007960</v>
      </c>
      <c r="B107" s="14" t="s">
        <v>4511</v>
      </c>
      <c r="C107" s="14" t="s">
        <v>7186</v>
      </c>
      <c r="D107" s="5" t="str">
        <f ca="1">IFERROR(__xludf.DUMMYFUNCTION("GOOGLETRANSLATE(B107,""ja"",""vi"")"),"đường sắt")</f>
        <v>đường sắt</v>
      </c>
      <c r="E107" s="4" t="str">
        <f ca="1">IFERROR(__xludf.DUMMYFUNCTION("GOOGLETRANSLATE(C107,""ja"",""vi"")"),"Đấu giá&gt; cổ, bộ sưu tập&gt; vấn đề in&gt; hình ảnh bưu thiếp, bưu thiếp&gt; đường sắt")</f>
        <v>Đấu giá&gt; cổ, bộ sưu tập&gt; vấn đề in&gt; hình ảnh bưu thiếp, bưu thiếp&gt; đường sắt</v>
      </c>
      <c r="F107" t="str">
        <f t="shared" ca="1" si="1"/>
        <v>"2084007960" : "đường sắt",</v>
      </c>
    </row>
    <row r="108" spans="1:6" ht="15.75" customHeight="1">
      <c r="A108" s="14">
        <v>2084051274</v>
      </c>
      <c r="B108" s="14" t="s">
        <v>4516</v>
      </c>
      <c r="C108" s="14" t="s">
        <v>7193</v>
      </c>
      <c r="D108" s="5" t="str">
        <f ca="1">IFERROR(__xludf.DUMMYFUNCTION("GOOGLETRANSLATE(B108,""ja"",""vi"")"),"động vật")</f>
        <v>động vật</v>
      </c>
      <c r="E108" s="4" t="str">
        <f ca="1">IFERROR(__xludf.DUMMYFUNCTION("GOOGLETRANSLATE(C108,""ja"",""vi"")"),"Đấu giá&gt; cổ, bộ sưu tập&gt; vấn đề in&gt; hình ảnh bưu thiếp, bưu thiếp&gt; động vật")</f>
        <v>Đấu giá&gt; cổ, bộ sưu tập&gt; vấn đề in&gt; hình ảnh bưu thiếp, bưu thiếp&gt; động vật</v>
      </c>
      <c r="F108" t="str">
        <f t="shared" ca="1" si="1"/>
        <v>"2084051274" : "động vật",</v>
      </c>
    </row>
    <row r="109" spans="1:6" ht="15.75" customHeight="1">
      <c r="A109" s="14">
        <v>2084051273</v>
      </c>
      <c r="B109" s="14" t="s">
        <v>7198</v>
      </c>
      <c r="C109" s="14" t="s">
        <v>7201</v>
      </c>
      <c r="D109" s="5" t="str">
        <f ca="1">IFERROR(__xludf.DUMMYFUNCTION("GOOGLETRANSLATE(B109,""ja"",""vi"")"),"Phong cảnh, thiên nhiên")</f>
        <v>Phong cảnh, thiên nhiên</v>
      </c>
      <c r="E109" s="4" t="str">
        <f ca="1">IFERROR(__xludf.DUMMYFUNCTION("GOOGLETRANSLATE(C109,""ja"",""vi"")"),"Đấu giá&gt; cổ, bộ sưu tập&gt; vấn đề in&gt; hình ảnh bưu thiếp, bưu thiếp&gt; phong cảnh, thiên nhiên")</f>
        <v>Đấu giá&gt; cổ, bộ sưu tập&gt; vấn đề in&gt; hình ảnh bưu thiếp, bưu thiếp&gt; phong cảnh, thiên nhiên</v>
      </c>
      <c r="F109" t="str">
        <f t="shared" ca="1" si="1"/>
        <v>"2084051273" : "Phong cảnh, thiên nhiên",</v>
      </c>
    </row>
    <row r="110" spans="1:6" ht="15.75" customHeight="1">
      <c r="A110" s="14">
        <v>2084047814</v>
      </c>
      <c r="B110" s="14" t="s">
        <v>46</v>
      </c>
      <c r="C110" s="14" t="s">
        <v>7207</v>
      </c>
      <c r="D110" s="5" t="str">
        <f ca="1">IFERROR(__xludf.DUMMYFUNCTION("GOOGLETRANSLATE(B110,""ja"",""vi"")"),"nếu không thì")</f>
        <v>nếu không thì</v>
      </c>
      <c r="E110" s="4" t="str">
        <f ca="1">IFERROR(__xludf.DUMMYFUNCTION("GOOGLETRANSLATE(C110,""ja"",""vi"")"),"Đấu giá&gt; cổ, bộ sưu tập&gt; vấn đề in&gt; hình ảnh bưu thiếp, bưu thiếp&gt; Khác")</f>
        <v>Đấu giá&gt; cổ, bộ sưu tập&gt; vấn đề in&gt; hình ảnh bưu thiếp, bưu thiếp&gt; Khác</v>
      </c>
      <c r="F110" t="str">
        <f t="shared" ca="1" si="1"/>
        <v>"2084047814" : "nếu không thì",</v>
      </c>
    </row>
    <row r="111" spans="1:6" ht="15.75" customHeight="1">
      <c r="A111" s="14">
        <v>2084263671</v>
      </c>
      <c r="B111" s="14" t="s">
        <v>7210</v>
      </c>
      <c r="C111" s="14" t="s">
        <v>7211</v>
      </c>
      <c r="D111" s="5" t="str">
        <f ca="1">IFERROR(__xludf.DUMMYFUNCTION("GOOGLETRANSLATE(B111,""ja"",""vi"")"),"sách")</f>
        <v>sách</v>
      </c>
      <c r="E111" s="4" t="str">
        <f ca="1">IFERROR(__xludf.DUMMYFUNCTION("GOOGLETRANSLATE(C111,""ja"",""vi"")"),"Đấu giá&gt; cuốn sách, tạp chí&gt; cuốn sách cũ, tài liệu cổ&gt; Sách")</f>
        <v>Đấu giá&gt; cuốn sách, tạp chí&gt; cuốn sách cũ, tài liệu cổ&gt; Sách</v>
      </c>
      <c r="F111" t="str">
        <f t="shared" ca="1" si="1"/>
        <v>"2084263671" : "sách",</v>
      </c>
    </row>
    <row r="112" spans="1:6" ht="15.75" customHeight="1">
      <c r="A112" s="14">
        <v>2084263672</v>
      </c>
      <c r="B112" s="14" t="s">
        <v>7216</v>
      </c>
      <c r="C112" s="14" t="s">
        <v>7218</v>
      </c>
      <c r="D112" s="5" t="str">
        <f ca="1">IFERROR(__xludf.DUMMYFUNCTION("GOOGLETRANSLATE(B112,""ja"",""vi"")"),"sách")</f>
        <v>sách</v>
      </c>
      <c r="E112" s="4" t="str">
        <f ca="1">IFERROR(__xludf.DUMMYFUNCTION("GOOGLETRANSLATE(C112,""ja"",""vi"")"),"Đấu giá&gt; cuốn sách, tạp chí&gt; cuốn sách cũ, tài liệu cổ&gt; Sách")</f>
        <v>Đấu giá&gt; cuốn sách, tạp chí&gt; cuốn sách cũ, tài liệu cổ&gt; Sách</v>
      </c>
      <c r="F112" t="str">
        <f t="shared" ca="1" si="1"/>
        <v>"2084263672" : "sách",</v>
      </c>
    </row>
    <row r="113" spans="1:6" ht="15.75" customHeight="1">
      <c r="A113" s="14">
        <v>2084008931</v>
      </c>
      <c r="B113" s="14" t="s">
        <v>7221</v>
      </c>
      <c r="C113" s="14" t="s">
        <v>7224</v>
      </c>
      <c r="D113" s="5" t="str">
        <f ca="1">IFERROR(__xludf.DUMMYFUNCTION("GOOGLETRANSLATE(B113,""ja"",""vi"")"),"bản đồ cũ")</f>
        <v>bản đồ cũ</v>
      </c>
      <c r="E113" s="4" t="str">
        <f ca="1">IFERROR(__xludf.DUMMYFUNCTION("GOOGLETRANSLATE(C113,""ja"",""vi"")"),"Đấu giá&gt; cuốn sách, tạp chí&gt; cuốn sách cũ, tài liệu cổ&gt; bản đồ cũ")</f>
        <v>Đấu giá&gt; cuốn sách, tạp chí&gt; cuốn sách cũ, tài liệu cổ&gt; bản đồ cũ</v>
      </c>
      <c r="F113" t="str">
        <f t="shared" ca="1" si="1"/>
        <v>"2084008931" : "bản đồ cũ",</v>
      </c>
    </row>
    <row r="114" spans="1:6" ht="15.75" customHeight="1">
      <c r="A114" s="14">
        <v>2084283228</v>
      </c>
      <c r="B114" s="14" t="s">
        <v>7228</v>
      </c>
      <c r="C114" s="14" t="s">
        <v>7230</v>
      </c>
      <c r="D114" s="5" t="str">
        <f ca="1">IFERROR(__xludf.DUMMYFUNCTION("GOOGLETRANSLATE(B114,""ja"",""vi"")"),"Meiji, Taisho")</f>
        <v>Meiji, Taisho</v>
      </c>
      <c r="E114" s="4" t="str">
        <f ca="1">IFERROR(__xludf.DUMMYFUNCTION("GOOGLETRANSLATE(C114,""ja"",""vi"")"),"Đấu giá&gt; cổ, bộ sưu tập&gt; vấn đề in&gt; báo&gt; Meiji, Taisho")</f>
        <v>Đấu giá&gt; cổ, bộ sưu tập&gt; vấn đề in&gt; báo&gt; Meiji, Taisho</v>
      </c>
      <c r="F114" t="str">
        <f t="shared" ca="1" si="1"/>
        <v>"2084283228" : "Meiji, Taisho",</v>
      </c>
    </row>
    <row r="115" spans="1:6" ht="15.75" customHeight="1">
      <c r="A115" s="14">
        <v>2084283229</v>
      </c>
      <c r="B115" s="14" t="s">
        <v>7234</v>
      </c>
      <c r="C115" s="14" t="s">
        <v>7236</v>
      </c>
      <c r="D115" s="5" t="str">
        <f ca="1">IFERROR(__xludf.DUMMYFUNCTION("GOOGLETRANSLATE(B115,""ja"",""vi"")"),"Showa")</f>
        <v>Showa</v>
      </c>
      <c r="E115" s="4" t="str">
        <f ca="1">IFERROR(__xludf.DUMMYFUNCTION("GOOGLETRANSLATE(C115,""ja"",""vi"")"),"Đấu giá&gt; cổ, bộ sưu tập&gt; vấn đề in&gt; báo&gt; Showa")</f>
        <v>Đấu giá&gt; cổ, bộ sưu tập&gt; vấn đề in&gt; báo&gt; Showa</v>
      </c>
      <c r="F115" t="str">
        <f t="shared" ca="1" si="1"/>
        <v>"2084283229" : "Showa",</v>
      </c>
    </row>
    <row r="116" spans="1:6" ht="15.75" customHeight="1">
      <c r="A116" s="14">
        <v>2084283230</v>
      </c>
      <c r="B116" s="14" t="s">
        <v>7242</v>
      </c>
      <c r="C116" s="14" t="s">
        <v>7243</v>
      </c>
      <c r="D116" s="5" t="str">
        <f ca="1">IFERROR(__xludf.DUMMYFUNCTION("GOOGLETRANSLATE(B116,""ja"",""vi"")"),"Heisei")</f>
        <v>Heisei</v>
      </c>
      <c r="E116" s="4" t="str">
        <f ca="1">IFERROR(__xludf.DUMMYFUNCTION("GOOGLETRANSLATE(C116,""ja"",""vi"")"),"Đấu giá&gt; cổ, bộ sưu tập&gt; vấn đề in&gt; báo&gt; Heisei")</f>
        <v>Đấu giá&gt; cổ, bộ sưu tập&gt; vấn đề in&gt; báo&gt; Heisei</v>
      </c>
      <c r="F116" t="str">
        <f t="shared" ca="1" si="1"/>
        <v>"2084283230" : "Heisei",</v>
      </c>
    </row>
    <row r="117" spans="1:6" ht="15.75" customHeight="1">
      <c r="A117" s="14">
        <v>2084006161</v>
      </c>
      <c r="B117" s="14" t="s">
        <v>4455</v>
      </c>
      <c r="C117" s="14" t="s">
        <v>7248</v>
      </c>
      <c r="D117" s="5" t="str">
        <f ca="1">IFERROR(__xludf.DUMMYFUNCTION("GOOGLETRANSLATE(B117,""ja"",""vi"")"),"Truyện tranh, hoạt hình")</f>
        <v>Truyện tranh, hoạt hình</v>
      </c>
      <c r="E117" s="4" t="str">
        <f ca="1">IFERROR(__xludf.DUMMYFUNCTION("GOOGLETRANSLATE(C117,""ja"",""vi"")"),"Đấu giá&gt; cổ, bộ sưu tập&gt; in vấn đề&gt; mẩu&gt; truyện tranh, hoạt hình")</f>
        <v>Đấu giá&gt; cổ, bộ sưu tập&gt; in vấn đề&gt; mẩu&gt; truyện tranh, hoạt hình</v>
      </c>
      <c r="F117" t="str">
        <f t="shared" ca="1" si="1"/>
        <v>"2084006161" : "Truyện tranh, hoạt hình",</v>
      </c>
    </row>
    <row r="118" spans="1:6" ht="15.75" customHeight="1">
      <c r="A118" s="14">
        <v>2084006160</v>
      </c>
      <c r="B118" s="14" t="s">
        <v>6638</v>
      </c>
      <c r="C118" s="14" t="s">
        <v>7254</v>
      </c>
      <c r="D118" s="5" t="str">
        <f ca="1">IFERROR(__xludf.DUMMYFUNCTION("GOOGLETRANSLATE(B118,""ja"",""vi"")"),"năng lực")</f>
        <v>năng lực</v>
      </c>
      <c r="E118" s="4" t="str">
        <f ca="1">IFERROR(__xludf.DUMMYFUNCTION("GOOGLETRANSLATE(C118,""ja"",""vi"")"),"Đấu giá&gt; cổ, bộ sưu tập&gt; vấn đề in&gt; mẩu&gt; Talent")</f>
        <v>Đấu giá&gt; cổ, bộ sưu tập&gt; vấn đề in&gt; mẩu&gt; Talent</v>
      </c>
      <c r="F118" t="str">
        <f t="shared" ca="1" si="1"/>
        <v>"2084006160" : "năng lực",</v>
      </c>
    </row>
    <row r="119" spans="1:6" ht="15.75" customHeight="1">
      <c r="A119" s="14">
        <v>2084006164</v>
      </c>
      <c r="B119" s="14" t="s">
        <v>4471</v>
      </c>
      <c r="C119" s="14" t="s">
        <v>7261</v>
      </c>
      <c r="D119" s="5" t="str">
        <f ca="1">IFERROR(__xludf.DUMMYFUNCTION("GOOGLETRANSLATE(B119,""ja"",""vi"")"),"nhạc sĩ")</f>
        <v>nhạc sĩ</v>
      </c>
      <c r="E119" s="4" t="str">
        <f ca="1">IFERROR(__xludf.DUMMYFUNCTION("GOOGLETRANSLATE(C119,""ja"",""vi"")"),"Đấu giá&gt; cổ, bộ sưu tập&gt; in vấn đề&gt; mẩu&gt; nhạc sĩ")</f>
        <v>Đấu giá&gt; cổ, bộ sưu tập&gt; in vấn đề&gt; mẩu&gt; nhạc sĩ</v>
      </c>
      <c r="F119" t="str">
        <f t="shared" ca="1" si="1"/>
        <v>"2084006164" : "nhạc sĩ",</v>
      </c>
    </row>
    <row r="120" spans="1:6" ht="15.75" customHeight="1">
      <c r="A120" s="14">
        <v>2084006174</v>
      </c>
      <c r="B120" s="14" t="s">
        <v>4481</v>
      </c>
      <c r="C120" s="14" t="s">
        <v>7268</v>
      </c>
      <c r="D120" s="5" t="str">
        <f ca="1">IFERROR(__xludf.DUMMYFUNCTION("GOOGLETRANSLATE(B120,""ja"",""vi"")"),"phim")</f>
        <v>phim</v>
      </c>
      <c r="E120" s="4" t="str">
        <f ca="1">IFERROR(__xludf.DUMMYFUNCTION("GOOGLETRANSLATE(C120,""ja"",""vi"")"),"Đấu giá&gt; cổ, bộ sưu tập&gt; in vấn đề&gt; mẩu&gt; Phim")</f>
        <v>Đấu giá&gt; cổ, bộ sưu tập&gt; in vấn đề&gt; mẩu&gt; Phim</v>
      </c>
      <c r="F120" t="str">
        <f t="shared" ca="1" si="1"/>
        <v>"2084006174" : "phim",</v>
      </c>
    </row>
    <row r="121" spans="1:6" ht="15.75" customHeight="1">
      <c r="A121" s="14">
        <v>2084006162</v>
      </c>
      <c r="B121" s="14" t="s">
        <v>46</v>
      </c>
      <c r="C121" s="14" t="s">
        <v>7272</v>
      </c>
      <c r="D121" s="5" t="str">
        <f ca="1">IFERROR(__xludf.DUMMYFUNCTION("GOOGLETRANSLATE(B121,""ja"",""vi"")"),"nếu không thì")</f>
        <v>nếu không thì</v>
      </c>
      <c r="E121" s="4" t="str">
        <f ca="1">IFERROR(__xludf.DUMMYFUNCTION("GOOGLETRANSLATE(C121,""ja"",""vi"")"),"Đấu giá&gt; cổ, bộ sưu tập&gt; in vấn đề&gt; mẩu&gt; Khác")</f>
        <v>Đấu giá&gt; cổ, bộ sưu tập&gt; in vấn đề&gt; mẩu&gt; Khác</v>
      </c>
      <c r="F121" t="str">
        <f t="shared" ca="1" si="1"/>
        <v>"2084006162" : "nếu không thì",</v>
      </c>
    </row>
    <row r="122" spans="1:6" ht="15.75" customHeight="1">
      <c r="A122" s="14">
        <v>2084310653</v>
      </c>
      <c r="B122" s="14" t="s">
        <v>7278</v>
      </c>
      <c r="C122" s="14" t="s">
        <v>7279</v>
      </c>
      <c r="D122" s="5" t="str">
        <f ca="1">IFERROR(__xludf.DUMMYFUNCTION("GOOGLETRANSLATE(B122,""ja"",""vi"")"),"Aikatsu")</f>
        <v>Aikatsu</v>
      </c>
      <c r="E122" s="4" t="str">
        <f ca="1">IFERROR(__xludf.DUMMYFUNCTION("GOOGLETRANSLATE(C122,""ja"",""vi"")"),"Đấu giá&gt; Đồ chơi, Trò chơi&gt; Trò chơi&gt; Trading Card Games&gt; Aikatsu")</f>
        <v>Đấu giá&gt; Đồ chơi, Trò chơi&gt; Trò chơi&gt; Trading Card Games&gt; Aikatsu</v>
      </c>
      <c r="F122" t="str">
        <f t="shared" ca="1" si="1"/>
        <v>"2084310653" : "Aikatsu",</v>
      </c>
    </row>
    <row r="123" spans="1:6" ht="15.75" customHeight="1">
      <c r="A123" s="14">
        <v>2084309046</v>
      </c>
      <c r="B123" s="14" t="s">
        <v>7284</v>
      </c>
      <c r="C123" s="14" t="s">
        <v>7285</v>
      </c>
      <c r="D123" s="5" t="str">
        <f ca="1">IFERROR(__xludf.DUMMYFUNCTION("GOOGLETRANSLATE(B123,""ja"",""vi"")"),"ống của chủ sở hữu")</f>
        <v>ống của chủ sở hữu</v>
      </c>
      <c r="E123" s="4" t="str">
        <f ca="1">IFERROR(__xludf.DUMMYFUNCTION("GOOGLETRANSLATE(C123,""ja"",""vi"")"),"Đấu giá&gt; Đồ chơi, Trò chơi&gt; Trò chơi&gt; Trading Card Games&gt; ống của chủ sở hữu")</f>
        <v>Đấu giá&gt; Đồ chơi, Trò chơi&gt; Trò chơi&gt; Trading Card Games&gt; ống của chủ sở hữu</v>
      </c>
      <c r="F123" t="str">
        <f t="shared" ca="1" si="1"/>
        <v>"2084309046" : "ống của chủ sở hữu",</v>
      </c>
    </row>
    <row r="124" spans="1:6" ht="15.75" customHeight="1">
      <c r="A124" s="14">
        <v>2084226772</v>
      </c>
      <c r="B124" s="14" t="s">
        <v>7289</v>
      </c>
      <c r="C124" s="14" t="s">
        <v>7290</v>
      </c>
      <c r="D124" s="5" t="str">
        <f ca="1">IFERROR(__xludf.DUMMYFUNCTION("GOOGLETRANSLATE(B124,""ja"",""vi"")"),"Kirarin Revolution")</f>
        <v>Kirarin Revolution</v>
      </c>
      <c r="E124" s="4" t="str">
        <f ca="1">IFERROR(__xludf.DUMMYFUNCTION("GOOGLETRANSLATE(C124,""ja"",""vi"")"),"Đấu giá&gt; Đồ chơi, Trò chơi&gt; Trò chơi&gt; Trading Card Games&gt; Kirarin Revolution")</f>
        <v>Đấu giá&gt; Đồ chơi, Trò chơi&gt; Trò chơi&gt; Trading Card Games&gt; Kirarin Revolution</v>
      </c>
      <c r="F124" t="str">
        <f t="shared" ca="1" si="1"/>
        <v>"2084226772" : "Kirarin Revolution",</v>
      </c>
    </row>
    <row r="125" spans="1:6" ht="15.75" customHeight="1">
      <c r="A125" s="14">
        <v>2084301203</v>
      </c>
      <c r="B125" s="14" t="s">
        <v>7294</v>
      </c>
      <c r="C125" s="14" t="s">
        <v>7296</v>
      </c>
      <c r="D125" s="5" t="str">
        <f ca="1">IFERROR(__xludf.DUMMYFUNCTION("GOOGLETRANSLATE(B125,""ja"",""vi"")"),"Thẻ Fight !! Vanguard")</f>
        <v>Thẻ Fight !! Vanguard</v>
      </c>
      <c r="E125" s="4" t="str">
        <f ca="1">IFERROR(__xludf.DUMMYFUNCTION("GOOGLETRANSLATE(C125,""ja"",""vi"")"),"Đấu giá&gt; Đồ chơi, Trò chơi&gt; Trò chơi&gt; Trading Card Games&gt; Thẻ Fight !! Vanguard")</f>
        <v>Đấu giá&gt; Đồ chơi, Trò chơi&gt; Trò chơi&gt; Trading Card Games&gt; Thẻ Fight !! Vanguard</v>
      </c>
      <c r="F125" t="str">
        <f t="shared" ca="1" si="1"/>
        <v>"2084301203" : "Thẻ Fight !! Vanguard",</v>
      </c>
    </row>
    <row r="126" spans="1:6" ht="15.75" customHeight="1">
      <c r="A126" s="14">
        <v>2084006019</v>
      </c>
      <c r="B126" s="14" t="s">
        <v>7301</v>
      </c>
      <c r="C126" s="14" t="s">
        <v>7303</v>
      </c>
      <c r="D126" s="5" t="str">
        <f ca="1">IFERROR(__xludf.DUMMYFUNCTION("GOOGLETRANSLATE(B126,""ja"",""vi"")"),"Gundam War")</f>
        <v>Gundam War</v>
      </c>
      <c r="E126" s="4" t="str">
        <f ca="1">IFERROR(__xludf.DUMMYFUNCTION("GOOGLETRANSLATE(C126,""ja"",""vi"")"),"Đấu giá&gt; Đồ chơi, Trò chơi&gt; Trò chơi&gt; Kinh doanh trò chơi thẻ&gt; Gundam War")</f>
        <v>Đấu giá&gt; Đồ chơi, Trò chơi&gt; Trò chơi&gt; Kinh doanh trò chơi thẻ&gt; Gundam War</v>
      </c>
      <c r="F126" t="str">
        <f t="shared" ca="1" si="1"/>
        <v>"2084006019" : "Gundam War",</v>
      </c>
    </row>
    <row r="127" spans="1:6" ht="15.75" customHeight="1">
      <c r="A127" s="14">
        <v>2084305402</v>
      </c>
      <c r="B127" s="14" t="s">
        <v>7308</v>
      </c>
      <c r="C127" s="14" t="s">
        <v>7309</v>
      </c>
      <c r="D127" s="5" t="str">
        <f ca="1">IFERROR(__xludf.DUMMYFUNCTION("GOOGLETRANSLATE(B127,""ja"",""vi"")"),"Gundam Tri Tuổi")</f>
        <v>Gundam Tri Tuổi</v>
      </c>
      <c r="E127" s="4" t="str">
        <f ca="1">IFERROR(__xludf.DUMMYFUNCTION("GOOGLETRANSLATE(C127,""ja"",""vi"")"),"Đấu giá&gt; Đồ chơi, Trò chơi&gt; Trò chơi&gt; Trading Card Games&gt; Gundam Tri Tuổi")</f>
        <v>Đấu giá&gt; Đồ chơi, Trò chơi&gt; Trò chơi&gt; Trading Card Games&gt; Gundam Tri Tuổi</v>
      </c>
      <c r="F127" t="str">
        <f t="shared" ca="1" si="1"/>
        <v>"2084305402" : "Gundam Tri Tuổi",</v>
      </c>
    </row>
    <row r="128" spans="1:6" ht="15.75" customHeight="1">
      <c r="A128" s="14">
        <v>2084310654</v>
      </c>
      <c r="B128" s="14" t="s">
        <v>7312</v>
      </c>
      <c r="C128" s="14" t="s">
        <v>7314</v>
      </c>
      <c r="D128" s="5" t="str">
        <f ca="1">IFERROR(__xludf.DUMMYFUNCTION("GOOGLETRANSLATE(B128,""ja"",""vi"")"),"Vua Pro Wrestling")</f>
        <v>Vua Pro Wrestling</v>
      </c>
      <c r="E128" s="4" t="str">
        <f ca="1">IFERROR(__xludf.DUMMYFUNCTION("GOOGLETRANSLATE(C128,""ja"",""vi"")"),"Đấu giá&gt; Đồ chơi, Trò chơi&gt; Trò chơi&gt; Trading Card Games&gt; Vua Pro Wrestling")</f>
        <v>Đấu giá&gt; Đồ chơi, Trò chơi&gt; Trò chơi&gt; Trading Card Games&gt; Vua Pro Wrestling</v>
      </c>
      <c r="F128" t="str">
        <f t="shared" ca="1" si="1"/>
        <v>"2084310654" : "Vua Pro Wrestling",</v>
      </c>
    </row>
    <row r="129" spans="1:6" ht="15.75" customHeight="1">
      <c r="A129" s="14">
        <v>2084258752</v>
      </c>
      <c r="B129" s="14" t="s">
        <v>7316</v>
      </c>
      <c r="C129" s="14" t="s">
        <v>7318</v>
      </c>
      <c r="D129" s="5" t="str">
        <f ca="1">IFERROR(__xludf.DUMMYFUNCTION("GOOGLETRANSLATE(B129,""ja"",""vi"")"),"cuộc vận động")</f>
        <v>cuộc vận động</v>
      </c>
      <c r="E129" s="4" t="str">
        <f ca="1">IFERROR(__xludf.DUMMYFUNCTION("GOOGLETRANSLATE(C129,""ja"",""vi"")"),"Đấu giá&gt; Đồ chơi, Trò chơi&gt; Trò chơi&gt; Trading Card Games&gt; Crusade")</f>
        <v>Đấu giá&gt; Đồ chơi, Trò chơi&gt; Trò chơi&gt; Trading Card Games&gt; Crusade</v>
      </c>
      <c r="F129" t="str">
        <f t="shared" ca="1" si="1"/>
        <v>"2084258752" : "cuộc vận động",</v>
      </c>
    </row>
    <row r="130" spans="1:6" ht="15.75" customHeight="1">
      <c r="A130" s="14">
        <v>2084239873</v>
      </c>
      <c r="B130" s="14" t="s">
        <v>7320</v>
      </c>
      <c r="C130" s="14" t="s">
        <v>7321</v>
      </c>
      <c r="D130" s="5" t="str">
        <f ca="1">IFERROR(__xludf.DUMMYFUNCTION("GOOGLETRANSLATE(B130,""ja"",""vi"")"),"Rider trận Gamba Ride")</f>
        <v>Rider trận Gamba Ride</v>
      </c>
      <c r="E130" s="4" t="str">
        <f ca="1">IFERROR(__xludf.DUMMYFUNCTION("GOOGLETRANSLATE(C130,""ja"",""vi"")"),"Đấu giá&gt; Đồ chơi, Trò chơi&gt; Trò chơi&gt; Kinh doanh trò chơi thẻ&gt; Kamen Rider trận Gamba Ride")</f>
        <v>Đấu giá&gt; Đồ chơi, Trò chơi&gt; Trò chơi&gt; Kinh doanh trò chơi thẻ&gt; Kamen Rider trận Gamba Ride</v>
      </c>
      <c r="F130" t="str">
        <f t="shared" ref="F130:F193" ca="1" si="2">CONCATENATE(CHAR(34)&amp;"",A130,""&amp;CHAR(34)," : ", CHAR(34)&amp;"",D130,""&amp;CHAR(34),",")</f>
        <v>"2084239873" : "Rider trận Gamba Ride",</v>
      </c>
    </row>
    <row r="131" spans="1:6" ht="15.75" customHeight="1">
      <c r="A131" s="14">
        <v>2084309073</v>
      </c>
      <c r="B131" s="14" t="s">
        <v>7324</v>
      </c>
      <c r="C131" s="14" t="s">
        <v>7326</v>
      </c>
      <c r="D131" s="5" t="str">
        <f ca="1">IFERROR(__xludf.DUMMYFUNCTION("GOOGLETRANSLATE(B131,""ja"",""vi"")"),"Z / X ZX")</f>
        <v>Z / X ZX</v>
      </c>
      <c r="E131" s="4" t="str">
        <f ca="1">IFERROR(__xludf.DUMMYFUNCTION("GOOGLETRANSLATE(C131,""ja"",""vi"")"),"Đấu giá&gt; Đồ chơi, Trò chơi&gt; Trò chơi&gt; Trading Card Games&gt; Z / X ZX")</f>
        <v>Đấu giá&gt; Đồ chơi, Trò chơi&gt; Trò chơi&gt; Trading Card Games&gt; Z / X ZX</v>
      </c>
      <c r="F131" t="str">
        <f t="shared" ca="1" si="2"/>
        <v>"2084309073" : "Z / X ZX",</v>
      </c>
    </row>
    <row r="132" spans="1:6" ht="15.75" customHeight="1">
      <c r="A132" s="14">
        <v>2084255968</v>
      </c>
      <c r="B132" s="14" t="s">
        <v>7329</v>
      </c>
      <c r="C132" s="14" t="s">
        <v>7331</v>
      </c>
      <c r="D132" s="5" t="str">
        <f ca="1">IFERROR(__xludf.DUMMYFUNCTION("GOOGLETRANSLATE(B132,""ja"",""vi"")"),"Super Sentai Trận Daisuo")</f>
        <v>Super Sentai Trận Daisuo</v>
      </c>
      <c r="E132" s="4" t="str">
        <f ca="1">IFERROR(__xludf.DUMMYFUNCTION("GOOGLETRANSLATE(C132,""ja"",""vi"")"),"Đấu giá&gt; Đồ chơi, Trò chơi&gt; Trò chơi&gt; Trading Card Games&gt; Super Sentai Trận Daisuo")</f>
        <v>Đấu giá&gt; Đồ chơi, Trò chơi&gt; Trò chơi&gt; Trading Card Games&gt; Super Sentai Trận Daisuo</v>
      </c>
      <c r="F132" t="str">
        <f t="shared" ca="1" si="2"/>
        <v>"2084255968" : "Super Sentai Trận Daisuo",</v>
      </c>
    </row>
    <row r="133" spans="1:6" ht="15.75" customHeight="1">
      <c r="A133" s="14">
        <v>2084060487</v>
      </c>
      <c r="B133" s="14" t="s">
        <v>7337</v>
      </c>
      <c r="C133" s="14" t="s">
        <v>7339</v>
      </c>
      <c r="D133" s="5" t="str">
        <f ca="1">IFERROR(__xludf.DUMMYFUNCTION("GOOGLETRANSLATE(B133,""ja"",""vi"")"),"Chiến tranh Tam Quốc")</f>
        <v>Chiến tranh Tam Quốc</v>
      </c>
      <c r="E133" s="4" t="str">
        <f ca="1">IFERROR(__xludf.DUMMYFUNCTION("GOOGLETRANSLATE(C133,""ja"",""vi"")"),"Đấu giá&gt; Đồ chơi, Trò chơi&gt; Trò chơi&gt; Trading Card Games&gt; Tam Quốc Chiến tranh")</f>
        <v>Đấu giá&gt; Đồ chơi, Trò chơi&gt; Trò chơi&gt; Trading Card Games&gt; Tam Quốc Chiến tranh</v>
      </c>
      <c r="F133" t="str">
        <f t="shared" ca="1" si="2"/>
        <v>"2084060487" : "Chiến tranh Tam Quốc",</v>
      </c>
    </row>
    <row r="134" spans="1:6" ht="15.75" customHeight="1">
      <c r="A134" s="14">
        <v>2084309075</v>
      </c>
      <c r="B134" s="14" t="s">
        <v>7344</v>
      </c>
      <c r="C134" s="14" t="s">
        <v>7346</v>
      </c>
      <c r="D134" s="5" t="str">
        <f ca="1">IFERROR(__xludf.DUMMYFUNCTION("GOOGLETRANSLATE(B134,""ja"",""vi"")"),"Shinra tất cả các host đầy sao")</f>
        <v>Shinra tất cả các host đầy sao</v>
      </c>
      <c r="E134" s="4" t="str">
        <f ca="1">IFERROR(__xludf.DUMMYFUNCTION("GOOGLETRANSLATE(C134,""ja"",""vi"")"),"Đấu giá&gt; Đồ chơi, Trò chơi&gt; Trò chơi&gt; Trading Card Games&gt; Shinra tất cả các host đầy sao")</f>
        <v>Đấu giá&gt; Đồ chơi, Trò chơi&gt; Trò chơi&gt; Trading Card Games&gt; Shinra tất cả các host đầy sao</v>
      </c>
      <c r="F134" t="str">
        <f t="shared" ca="1" si="2"/>
        <v>"2084309075" : "Shinra tất cả các host đầy sao",</v>
      </c>
    </row>
    <row r="135" spans="1:6" ht="15.75" customHeight="1">
      <c r="A135" s="14">
        <v>2084305403</v>
      </c>
      <c r="B135" s="14" t="s">
        <v>7354</v>
      </c>
      <c r="C135" s="14" t="s">
        <v>7355</v>
      </c>
      <c r="D135" s="5" t="str">
        <f ca="1">IFERROR(__xludf.DUMMYFUNCTION("GOOGLETRANSLATE(B135,""ja"",""vi"")"),"Sengoku chiến")</f>
        <v>Sengoku chiến</v>
      </c>
      <c r="E135" s="4" t="str">
        <f ca="1">IFERROR(__xludf.DUMMYFUNCTION("GOOGLETRANSLATE(C135,""ja"",""vi"")"),"Đấu giá&gt; Đồ chơi, Trò chơi&gt; Trò chơi&gt; Trading Card Game&gt; Chiến tranh Sengoku")</f>
        <v>Đấu giá&gt; Đồ chơi, Trò chơi&gt; Trò chơi&gt; Trading Card Game&gt; Chiến tranh Sengoku</v>
      </c>
      <c r="F135" t="str">
        <f t="shared" ca="1" si="2"/>
        <v>"2084305403" : "Sengoku chiến",</v>
      </c>
    </row>
    <row r="136" spans="1:6" ht="15.75" customHeight="1">
      <c r="A136" s="14">
        <v>2084050457</v>
      </c>
      <c r="B136" s="14" t="s">
        <v>5037</v>
      </c>
      <c r="C136" s="14" t="s">
        <v>7358</v>
      </c>
      <c r="D136" s="5" t="str">
        <f ca="1">IFERROR(__xludf.DUMMYFUNCTION("GOOGLETRANSLATE(B136,""ja"",""vi"")"),"WCCF")</f>
        <v>WCCF</v>
      </c>
      <c r="E136" s="4" t="str">
        <f ca="1">IFERROR(__xludf.DUMMYFUNCTION("GOOGLETRANSLATE(C136,""ja"",""vi"")"),"Đấu giá&gt; Đồ chơi, Trò chơi&gt; Trò chơi&gt; Trading Card Games&gt; WCCF")</f>
        <v>Đấu giá&gt; Đồ chơi, Trò chơi&gt; Trò chơi&gt; Trading Card Games&gt; WCCF</v>
      </c>
      <c r="F136" t="str">
        <f t="shared" ca="1" si="2"/>
        <v>"2084050457" : "WCCF",</v>
      </c>
    </row>
    <row r="137" spans="1:6" ht="15.75" customHeight="1">
      <c r="A137" s="14">
        <v>2084033665</v>
      </c>
      <c r="B137" s="14" t="s">
        <v>992</v>
      </c>
      <c r="C137" s="14" t="s">
        <v>7359</v>
      </c>
      <c r="D137" s="5" t="str">
        <f ca="1">IFERROR(__xludf.DUMMYFUNCTION("GOOGLETRANSLATE(B137,""ja"",""vi"")"),"quái vật kỹ thuật số")</f>
        <v>quái vật kỹ thuật số</v>
      </c>
      <c r="E137" s="4" t="str">
        <f ca="1">IFERROR(__xludf.DUMMYFUNCTION("GOOGLETRANSLATE(C137,""ja"",""vi"")"),"Đấu giá&gt; Đồ chơi, Trò chơi&gt; Trò chơi&gt; Trading Card Game&gt; Monsters kỹ thuật số")</f>
        <v>Đấu giá&gt; Đồ chơi, Trò chơi&gt; Trò chơi&gt; Trading Card Game&gt; Monsters kỹ thuật số</v>
      </c>
      <c r="F137" t="str">
        <f t="shared" ca="1" si="2"/>
        <v>"2084033665" : "quái vật kỹ thuật số",</v>
      </c>
    </row>
    <row r="138" spans="1:6" ht="15.75" customHeight="1">
      <c r="A138" s="14">
        <v>2084049869</v>
      </c>
      <c r="B138" s="14" t="s">
        <v>7360</v>
      </c>
      <c r="C138" s="14" t="s">
        <v>7361</v>
      </c>
      <c r="D138" s="5" t="str">
        <f ca="1">IFERROR(__xludf.DUMMYFUNCTION("GOOGLETRANSLATE(B138,""ja"",""vi"")"),"Duel Masters")</f>
        <v>Duel Masters</v>
      </c>
      <c r="E138" s="4" t="str">
        <f ca="1">IFERROR(__xludf.DUMMYFUNCTION("GOOGLETRANSLATE(C138,""ja"",""vi"")"),"Đấu giá&gt; Đồ chơi, Trò chơi&gt; Trò chơi&gt; Trading Card Games&gt; Duel Masters")</f>
        <v>Đấu giá&gt; Đồ chơi, Trò chơi&gt; Trò chơi&gt; Trading Card Games&gt; Duel Masters</v>
      </c>
      <c r="F138" t="str">
        <f t="shared" ca="1" si="2"/>
        <v>"2084049869" : "Duel Masters",</v>
      </c>
    </row>
    <row r="139" spans="1:6" ht="15.75" customHeight="1">
      <c r="A139" s="14">
        <v>2084305406</v>
      </c>
      <c r="B139" s="14" t="s">
        <v>7362</v>
      </c>
      <c r="C139" s="14" t="s">
        <v>7363</v>
      </c>
      <c r="D139" s="5" t="str">
        <f ca="1">IFERROR(__xludf.DUMMYFUNCTION("GOOGLETRANSLATE(B139,""ja"",""vi"")"),"Trico")</f>
        <v>Trico</v>
      </c>
      <c r="E139" s="4" t="str">
        <f ca="1">IFERROR(__xludf.DUMMYFUNCTION("GOOGLETRANSLATE(C139,""ja"",""vi"")"),"Đấu giá&gt; Đồ chơi, Trò chơi&gt; Trò chơi&gt; Trading Card Games&gt; Trico")</f>
        <v>Đấu giá&gt; Đồ chơi, Trò chơi&gt; Trò chơi&gt; Trading Card Games&gt; Trico</v>
      </c>
      <c r="F139" t="str">
        <f t="shared" ca="1" si="2"/>
        <v>"2084305406" : "Trico",</v>
      </c>
    </row>
    <row r="140" spans="1:6" ht="15.75" customHeight="1">
      <c r="A140" s="14">
        <v>2084019347</v>
      </c>
      <c r="B140" s="14" t="s">
        <v>3166</v>
      </c>
      <c r="C140" s="14" t="s">
        <v>7364</v>
      </c>
      <c r="D140" s="5" t="str">
        <f ca="1">IFERROR(__xludf.DUMMYFUNCTION("GOOGLETRANSLATE(B140,""ja"",""vi"")"),"dragon Quest")</f>
        <v>dragon Quest</v>
      </c>
      <c r="E140" s="4" t="str">
        <f ca="1">IFERROR(__xludf.DUMMYFUNCTION("GOOGLETRANSLATE(C140,""ja"",""vi"")"),"Đấu giá&gt; Đồ chơi, Trò chơi&gt; Trò chơi&gt; Trading Card Games&gt; Dragon Quest")</f>
        <v>Đấu giá&gt; Đồ chơi, Trò chơi&gt; Trò chơi&gt; Trading Card Games&gt; Dragon Quest</v>
      </c>
      <c r="F140" t="str">
        <f t="shared" ca="1" si="2"/>
        <v>"2084019347" : "dragon Quest",</v>
      </c>
    </row>
    <row r="141" spans="1:6" ht="15.75" customHeight="1">
      <c r="A141" s="14">
        <v>2084064426</v>
      </c>
      <c r="B141" s="14" t="s">
        <v>1055</v>
      </c>
      <c r="C141" s="14" t="s">
        <v>7365</v>
      </c>
      <c r="D141" s="5" t="str">
        <f ca="1">IFERROR(__xludf.DUMMYFUNCTION("GOOGLETRANSLATE(B141,""ja"",""vi"")"),"dragon ball")</f>
        <v>dragon ball</v>
      </c>
      <c r="E141" s="4" t="str">
        <f ca="1">IFERROR(__xludf.DUMMYFUNCTION("GOOGLETRANSLATE(C141,""ja"",""vi"")"),"Đấu giá&gt; Đồ chơi, Trò chơi&gt; Trò chơi&gt; Trading Card Games&gt; Dragon Ball")</f>
        <v>Đấu giá&gt; Đồ chơi, Trò chơi&gt; Trò chơi&gt; Trading Card Games&gt; Dragon Ball</v>
      </c>
      <c r="F141" t="str">
        <f t="shared" ca="1" si="2"/>
        <v>"2084064426" : "dragon ball",</v>
      </c>
    </row>
    <row r="142" spans="1:6" ht="15.75" customHeight="1">
      <c r="A142" s="14">
        <v>2084310652</v>
      </c>
      <c r="B142" s="14" t="s">
        <v>7368</v>
      </c>
      <c r="C142" s="14" t="s">
        <v>7369</v>
      </c>
      <c r="D142" s="5" t="str">
        <f ca="1">IFERROR(__xludf.DUMMYFUNCTION("GOOGLETRANSLATE(B142,""ja"",""vi"")"),"Chōsoku Henkei Gyrozetter")</f>
        <v>Chōsoku Henkei Gyrozetter</v>
      </c>
      <c r="E142" s="4" t="str">
        <f ca="1">IFERROR(__xludf.DUMMYFUNCTION("GOOGLETRANSLATE(C142,""ja"",""vi"")"),"Đấu giá&gt; Đồ chơi, Trò chơi&gt; Trò chơi&gt; Trading Card Games&gt; Chōsoku Henkei Gyrozetter")</f>
        <v>Đấu giá&gt; Đồ chơi, Trò chơi&gt; Trò chơi&gt; Trading Card Games&gt; Chōsoku Henkei Gyrozetter</v>
      </c>
      <c r="F142" t="str">
        <f t="shared" ca="1" si="2"/>
        <v>"2084310652" : "Chōsoku Henkei Gyrozetter",</v>
      </c>
    </row>
    <row r="143" spans="1:6" ht="15.75" customHeight="1">
      <c r="A143" s="14">
        <v>2084064427</v>
      </c>
      <c r="B143" s="14" t="s">
        <v>1152</v>
      </c>
      <c r="C143" s="14" t="s">
        <v>7371</v>
      </c>
      <c r="D143" s="5" t="str">
        <f ca="1">IFERROR(__xludf.DUMMYFUNCTION("GOOGLETRANSLATE(B143,""ja"",""vi"")"),"NARUTO")</f>
        <v>NARUTO</v>
      </c>
      <c r="E143" s="4" t="str">
        <f ca="1">IFERROR(__xludf.DUMMYFUNCTION("GOOGLETRANSLATE(C143,""ja"",""vi"")"),"Đấu giá&gt; Đồ chơi, Trò chơi&gt; Trò chơi&gt; Trading Card Games&gt; NARUTO")</f>
        <v>Đấu giá&gt; Đồ chơi, Trò chơi&gt; Trò chơi&gt; Trading Card Games&gt; NARUTO</v>
      </c>
      <c r="F143" t="str">
        <f t="shared" ca="1" si="2"/>
        <v>"2084064427" : "NARUTO",</v>
      </c>
    </row>
    <row r="144" spans="1:6" ht="15.75" customHeight="1">
      <c r="A144" s="14">
        <v>2084239872</v>
      </c>
      <c r="B144" s="14" t="s">
        <v>7374</v>
      </c>
      <c r="C144" s="14" t="s">
        <v>7375</v>
      </c>
      <c r="D144" s="5" t="str">
        <f ca="1">IFERROR(__xludf.DUMMYFUNCTION("GOOGLETRANSLATE(B144,""ja"",""vi"")"),"Trận Spirits")</f>
        <v>Trận Spirits</v>
      </c>
      <c r="E144" s="4" t="str">
        <f ca="1">IFERROR(__xludf.DUMMYFUNCTION("GOOGLETRANSLATE(C144,""ja"",""vi"")"),"Đấu giá&gt; Đồ chơi, Trò chơi&gt; Trò chơi&gt; Trading Card Games&gt; Trận Spirits")</f>
        <v>Đấu giá&gt; Đồ chơi, Trò chơi&gt; Trò chơi&gt; Trading Card Games&gt; Trận Spirits</v>
      </c>
      <c r="F144" t="str">
        <f t="shared" ca="1" si="2"/>
        <v>"2084239872" : "Trận Spirits",</v>
      </c>
    </row>
    <row r="145" spans="1:6" ht="15.75" customHeight="1">
      <c r="A145" s="14">
        <v>2084314542</v>
      </c>
      <c r="B145" s="14" t="s">
        <v>7377</v>
      </c>
      <c r="C145" s="14" t="s">
        <v>7378</v>
      </c>
      <c r="D145" s="5" t="str">
        <f ca="1">IFERROR(__xludf.DUMMYFUNCTION("GOOGLETRANSLATE(B145,""ja"",""vi"")"),"Panini Football League")</f>
        <v>Panini Football League</v>
      </c>
      <c r="E145" s="4" t="str">
        <f ca="1">IFERROR(__xludf.DUMMYFUNCTION("GOOGLETRANSLATE(C145,""ja"",""vi"")"),"Đấu giá&gt; Đồ chơi, Trò chơi&gt; Trò chơi&gt; Trading Card Games&gt; Panini Football League")</f>
        <v>Đấu giá&gt; Đồ chơi, Trò chơi&gt; Trò chơi&gt; Trading Card Games&gt; Panini Football League</v>
      </c>
      <c r="F145" t="str">
        <f t="shared" ca="1" si="2"/>
        <v>"2084314542" : "Panini Football League",</v>
      </c>
    </row>
    <row r="146" spans="1:6" ht="15.75" customHeight="1">
      <c r="A146" s="14">
        <v>2084309076</v>
      </c>
      <c r="B146" s="14" t="s">
        <v>7381</v>
      </c>
      <c r="C146" s="14" t="s">
        <v>7382</v>
      </c>
      <c r="D146" s="5" t="str">
        <f ca="1">IFERROR(__xludf.DUMMYFUNCTION("GOOGLETRANSLATE(B146,""ja"",""vi"")"),"Final Fantasy TCG")</f>
        <v>Final Fantasy TCG</v>
      </c>
      <c r="E146" s="4" t="str">
        <f ca="1">IFERROR(__xludf.DUMMYFUNCTION("GOOGLETRANSLATE(C146,""ja"",""vi"")"),"Đấu giá&gt; Đồ chơi, Trò chơi&gt; Trò chơi&gt; Trading Card Games&gt; Final Fantasy TCG")</f>
        <v>Đấu giá&gt; Đồ chơi, Trò chơi&gt; Trò chơi&gt; Trading Card Games&gt; Final Fantasy TCG</v>
      </c>
      <c r="F146" t="str">
        <f t="shared" ca="1" si="2"/>
        <v>"2084309076" : "Final Fantasy TCG",</v>
      </c>
    </row>
    <row r="147" spans="1:6" ht="15.75" customHeight="1">
      <c r="A147" s="14">
        <v>2084305401</v>
      </c>
      <c r="B147" s="14" t="s">
        <v>7385</v>
      </c>
      <c r="C147" s="14" t="s">
        <v>7386</v>
      </c>
      <c r="D147" s="5" t="str">
        <f ca="1">IFERROR(__xludf.DUMMYFUNCTION("GOOGLETRANSLATE(B147,""ja"",""vi"")"),"Bóng đá All Stars")</f>
        <v>Bóng đá All Stars</v>
      </c>
      <c r="E147" s="4" t="str">
        <f ca="1">IFERROR(__xludf.DUMMYFUNCTION("GOOGLETRANSLATE(C147,""ja"",""vi"")"),"Đấu giá&gt; Đồ chơi, Trò chơi&gt; Trò chơi&gt; Trading Card Games&gt; Football All Stars")</f>
        <v>Đấu giá&gt; Đồ chơi, Trò chơi&gt; Trò chơi&gt; Trading Card Games&gt; Football All Stars</v>
      </c>
      <c r="F147" t="str">
        <f t="shared" ca="1" si="2"/>
        <v>"2084305401" : "Bóng đá All Stars",</v>
      </c>
    </row>
    <row r="148" spans="1:6" ht="15.75" customHeight="1">
      <c r="A148" s="14">
        <v>2084259102</v>
      </c>
      <c r="B148" s="14" t="s">
        <v>7388</v>
      </c>
      <c r="C148" s="14" t="s">
        <v>7389</v>
      </c>
      <c r="D148" s="5" t="str">
        <f ca="1">IFERROR(__xludf.DUMMYFUNCTION("GOOGLETRANSLATE(B148,""ja"",""vi"")"),"Pretty Cure")</f>
        <v>Pretty Cure</v>
      </c>
      <c r="E148" s="4" t="str">
        <f ca="1">IFERROR(__xludf.DUMMYFUNCTION("GOOGLETRANSLATE(C148,""ja"",""vi"")"),"Đấu giá&gt; Đồ chơi, Trò chơi&gt; Trò chơi&gt; Trading Card Games&gt; Pretty Cure")</f>
        <v>Đấu giá&gt; Đồ chơi, Trò chơi&gt; Trò chơi&gt; Trading Card Games&gt; Pretty Cure</v>
      </c>
      <c r="F148" t="str">
        <f t="shared" ca="1" si="2"/>
        <v>"2084259102" : "Pretty Cure",</v>
      </c>
    </row>
    <row r="149" spans="1:6" ht="15.75" customHeight="1">
      <c r="A149" s="14">
        <v>2084305404</v>
      </c>
      <c r="B149" s="14" t="s">
        <v>7392</v>
      </c>
      <c r="C149" s="14" t="s">
        <v>7393</v>
      </c>
      <c r="D149" s="5" t="str">
        <f ca="1">IFERROR(__xludf.DUMMYFUNCTION("GOOGLETRANSLATE(B149,""ja"",""vi"")"),"Prism đá")</f>
        <v>Prism đá</v>
      </c>
      <c r="E149" s="4" t="str">
        <f ca="1">IFERROR(__xludf.DUMMYFUNCTION("GOOGLETRANSLATE(C149,""ja"",""vi"")"),"Đấu giá&gt; Đồ chơi, Trò chơi&gt; Trò chơi&gt; Trading Card Games&gt; Đá lăng kính")</f>
        <v>Đấu giá&gt; Đồ chơi, Trò chơi&gt; Trò chơi&gt; Trading Card Games&gt; Đá lăng kính</v>
      </c>
      <c r="F149" t="str">
        <f t="shared" ca="1" si="2"/>
        <v>"2084305404" : "Prism đá",</v>
      </c>
    </row>
    <row r="150" spans="1:6" ht="15.75" customHeight="1">
      <c r="A150" s="14">
        <v>2084305400</v>
      </c>
      <c r="B150" s="14" t="s">
        <v>7396</v>
      </c>
      <c r="C150" s="14" t="s">
        <v>7398</v>
      </c>
      <c r="D150" s="5" t="str">
        <f ca="1">IFERROR(__xludf.DUMMYFUNCTION("GOOGLETRANSLATE(B150,""ja"",""vi"")"),"Precious Memories")</f>
        <v>Precious Memories</v>
      </c>
      <c r="E150" s="4" t="str">
        <f ca="1">IFERROR(__xludf.DUMMYFUNCTION("GOOGLETRANSLATE(C150,""ja"",""vi"")"),"Đấu giá&gt; Đồ chơi, Trò chơi&gt; Trò chơi&gt; Trading Card Games&gt; Precious Memories")</f>
        <v>Đấu giá&gt; Đồ chơi, Trò chơi&gt; Trò chơi&gt; Trading Card Games&gt; Precious Memories</v>
      </c>
      <c r="F150" t="str">
        <f t="shared" ca="1" si="2"/>
        <v>"2084305400" : "Precious Memories",</v>
      </c>
    </row>
    <row r="151" spans="1:6" ht="15.75" customHeight="1">
      <c r="A151" s="14">
        <v>2084258749</v>
      </c>
      <c r="B151" s="14" t="s">
        <v>7400</v>
      </c>
      <c r="C151" s="14" t="s">
        <v>7402</v>
      </c>
      <c r="D151" s="5" t="str">
        <f ca="1">IFERROR(__xludf.DUMMYFUNCTION("GOOGLETRANSLATE(B151,""ja"",""vi"")"),"Professional Baseball Chủ sở hữu giải")</f>
        <v>Professional Baseball Chủ sở hữu giải</v>
      </c>
      <c r="E151" s="4" t="str">
        <f ca="1">IFERROR(__xludf.DUMMYFUNCTION("GOOGLETRANSLATE(C151,""ja"",""vi"")"),"Đấu giá&gt; Đồ chơi, Trò chơi&gt; Trò chơi&gt; Trading Card Game&gt; Professional Baseball Chủ sở hữu giải")</f>
        <v>Đấu giá&gt; Đồ chơi, Trò chơi&gt; Trò chơi&gt; Trading Card Game&gt; Professional Baseball Chủ sở hữu giải</v>
      </c>
      <c r="F151" t="str">
        <f t="shared" ca="1" si="2"/>
        <v>"2084258749" : "Professional Baseball Chủ sở hữu giải",</v>
      </c>
    </row>
    <row r="152" spans="1:6" ht="15.75" customHeight="1">
      <c r="A152" s="14">
        <v>2084199078</v>
      </c>
      <c r="B152" s="14" t="s">
        <v>7404</v>
      </c>
      <c r="C152" s="14" t="s">
        <v>7406</v>
      </c>
      <c r="D152" s="5" t="str">
        <f ca="1">IFERROR(__xludf.DUMMYFUNCTION("GOOGLETRANSLATE(B152,""ja"",""vi"")"),"Baseball Heroes")</f>
        <v>Baseball Heroes</v>
      </c>
      <c r="E152" s="4" t="str">
        <f ca="1">IFERROR(__xludf.DUMMYFUNCTION("GOOGLETRANSLATE(C152,""ja"",""vi"")"),"Đấu giá&gt; Đồ chơi, Trò chơi&gt; Trò chơi&gt; Trading Card Games&gt; Baseball Heroes")</f>
        <v>Đấu giá&gt; Đồ chơi, Trò chơi&gt; Trò chơi&gt; Trading Card Games&gt; Baseball Heroes</v>
      </c>
      <c r="F152" t="str">
        <f t="shared" ca="1" si="2"/>
        <v>"2084199078" : "Baseball Heroes",</v>
      </c>
    </row>
    <row r="153" spans="1:6" ht="15.75" customHeight="1">
      <c r="A153" s="14">
        <v>2084241343</v>
      </c>
      <c r="B153" s="14" t="s">
        <v>3937</v>
      </c>
      <c r="C153" s="14" t="s">
        <v>7408</v>
      </c>
      <c r="D153" s="5" t="str">
        <f ca="1">IFERROR(__xludf.DUMMYFUNCTION("GOOGLETRANSLATE(B153,""ja"",""vi"")"),"trò chơi thẻ Pokemon")</f>
        <v>trò chơi thẻ Pokemon</v>
      </c>
      <c r="E153" s="4" t="str">
        <f ca="1">IFERROR(__xludf.DUMMYFUNCTION("GOOGLETRANSLATE(C153,""ja"",""vi"")"),"Đấu giá&gt; Đồ chơi, Trò chơi&gt; Trò chơi&gt; Trading Card Games&gt; Pokemon Card Game")</f>
        <v>Đấu giá&gt; Đồ chơi, Trò chơi&gt; Trò chơi&gt; Trading Card Games&gt; Pokemon Card Game</v>
      </c>
      <c r="F153" t="str">
        <f t="shared" ca="1" si="2"/>
        <v>"2084241343" : "trò chơi thẻ Pokemon",</v>
      </c>
    </row>
    <row r="154" spans="1:6" ht="15.75" customHeight="1">
      <c r="A154" s="14">
        <v>2084309055</v>
      </c>
      <c r="B154" s="14" t="s">
        <v>7410</v>
      </c>
      <c r="C154" s="14" t="s">
        <v>7411</v>
      </c>
      <c r="D154" s="5" t="str">
        <f ca="1">IFERROR(__xludf.DUMMYFUNCTION("GOOGLETRANSLATE(B154,""ja"",""vi"")"),"Pokemon Torretta")</f>
        <v>Pokemon Torretta</v>
      </c>
      <c r="E154" s="4" t="str">
        <f ca="1">IFERROR(__xludf.DUMMYFUNCTION("GOOGLETRANSLATE(C154,""ja"",""vi"")"),"Đấu giá&gt; Đồ chơi, Trò chơi&gt; Trò chơi&gt; Trading Card Games&gt; Pokemon Torretta")</f>
        <v>Đấu giá&gt; Đồ chơi, Trò chơi&gt; Trò chơi&gt; Trading Card Games&gt; Pokemon Torretta</v>
      </c>
      <c r="F154" t="str">
        <f t="shared" ca="1" si="2"/>
        <v>"2084309055" : "Pokemon Torretta",</v>
      </c>
    </row>
    <row r="155" spans="1:6" ht="15.75" customHeight="1">
      <c r="A155" s="14">
        <v>2084241344</v>
      </c>
      <c r="B155" s="14" t="s">
        <v>3944</v>
      </c>
      <c r="C155" s="14" t="s">
        <v>7414</v>
      </c>
      <c r="D155" s="5" t="str">
        <f ca="1">IFERROR(__xludf.DUMMYFUNCTION("GOOGLETRANSLATE(B155,""ja"",""vi"")"),"Pokémon Battrio")</f>
        <v>Pokémon Battrio</v>
      </c>
      <c r="E155" s="4" t="str">
        <f ca="1">IFERROR(__xludf.DUMMYFUNCTION("GOOGLETRANSLATE(C155,""ja"",""vi"")"),"Đấu giá&gt; Đồ chơi, Trò chơi&gt; Trò chơi&gt; Trading Card Game&gt; Pokémon Battrio")</f>
        <v>Đấu giá&gt; Đồ chơi, Trò chơi&gt; Trò chơi&gt; Trading Card Game&gt; Pokémon Battrio</v>
      </c>
      <c r="F155" t="str">
        <f t="shared" ca="1" si="2"/>
        <v>"2084241344" : "Pokémon Battrio",</v>
      </c>
    </row>
    <row r="156" spans="1:6" ht="15.75" customHeight="1">
      <c r="A156" s="14">
        <v>2084239871</v>
      </c>
      <c r="B156" s="14" t="s">
        <v>7417</v>
      </c>
      <c r="C156" s="14" t="s">
        <v>7418</v>
      </c>
      <c r="D156" s="5" t="str">
        <f ca="1">IFERROR(__xludf.DUMMYFUNCTION("GOOGLETRANSLATE(B156,""ja"",""vi"")"),"Weiss Schwarz")</f>
        <v>Weiss Schwarz</v>
      </c>
      <c r="E156" s="4" t="str">
        <f ca="1">IFERROR(__xludf.DUMMYFUNCTION("GOOGLETRANSLATE(C156,""ja"",""vi"")"),"Đấu giá&gt; Đồ chơi, Trò chơi&gt; Trò chơi&gt; Card Game Thương mại&gt; Weiss")</f>
        <v>Đấu giá&gt; Đồ chơi, Trò chơi&gt; Trò chơi&gt; Card Game Thương mại&gt; Weiss</v>
      </c>
      <c r="F156" t="str">
        <f t="shared" ca="1" si="2"/>
        <v>"2084239871" : "Weiss Schwarz",</v>
      </c>
    </row>
    <row r="157" spans="1:6" ht="15.75" customHeight="1">
      <c r="A157" s="14">
        <v>2084236675</v>
      </c>
      <c r="B157" s="14" t="s">
        <v>7419</v>
      </c>
      <c r="C157" s="14" t="s">
        <v>7420</v>
      </c>
      <c r="D157" s="5" t="str">
        <f ca="1">IFERROR(__xludf.DUMMYFUNCTION("GOOGLETRANSLATE(B157,""ja"",""vi"")"),"Beasts chiến Animal Kaiser")</f>
        <v>Beasts chiến Animal Kaiser</v>
      </c>
      <c r="E157" s="4" t="str">
        <f ca="1">IFERROR(__xludf.DUMMYFUNCTION("GOOGLETRANSLATE(C157,""ja"",""vi"")"),"Đấu giá&gt; Đồ chơi, Trò chơi&gt; Trò chơi&gt; Trading Card Games&gt; thú chiến Animal Kaiser")</f>
        <v>Đấu giá&gt; Đồ chơi, Trò chơi&gt; Trò chơi&gt; Trading Card Games&gt; thú chiến Animal Kaiser</v>
      </c>
      <c r="F157" t="str">
        <f t="shared" ca="1" si="2"/>
        <v>"2084236675" : "Beasts chiến Animal Kaiser",</v>
      </c>
    </row>
    <row r="158" spans="1:6" ht="15.75" customHeight="1">
      <c r="A158" s="14">
        <v>25828</v>
      </c>
      <c r="B158" s="14" t="s">
        <v>7423</v>
      </c>
      <c r="C158" s="14" t="s">
        <v>7424</v>
      </c>
      <c r="D158" s="5" t="str">
        <f ca="1">IFERROR(__xludf.DUMMYFUNCTION("GOOGLETRANSLATE(B158,""ja"",""vi"")"),"Magic: The Gathering")</f>
        <v>Magic: The Gathering</v>
      </c>
      <c r="E158" s="4" t="str">
        <f ca="1">IFERROR(__xludf.DUMMYFUNCTION("GOOGLETRANSLATE(C158,""ja"",""vi"")"),"Đấu giá&gt; Đồ chơi, Trò chơi&gt; Trò chơi&gt; Trading Card Games&gt; Magic: The Gathering")</f>
        <v>Đấu giá&gt; Đồ chơi, Trò chơi&gt; Trò chơi&gt; Trading Card Games&gt; Magic: The Gathering</v>
      </c>
      <c r="F158" t="str">
        <f t="shared" ca="1" si="2"/>
        <v>"25828" : "Magic: The Gathering",</v>
      </c>
    </row>
    <row r="159" spans="1:6" ht="15.75" customHeight="1">
      <c r="A159" s="14">
        <v>2084005059</v>
      </c>
      <c r="B159" s="14" t="s">
        <v>7426</v>
      </c>
      <c r="C159" s="14" t="s">
        <v>7427</v>
      </c>
      <c r="D159" s="5" t="str">
        <f ca="1">IFERROR(__xludf.DUMMYFUNCTION("GOOGLETRANSLATE(B159,""ja"",""vi"")"),"Yu-Gi-Oh (Konami)")</f>
        <v>Yu-Gi-Oh (Konami)</v>
      </c>
      <c r="E159" s="4" t="str">
        <f ca="1">IFERROR(__xludf.DUMMYFUNCTION("GOOGLETRANSLATE(C159,""ja"",""vi"")"),"Đấu giá&gt; Đồ chơi, Trò chơi&gt; Trò chơi&gt; Trading Card Games&gt; Yu-Gi-Oh (Konami)")</f>
        <v>Đấu giá&gt; Đồ chơi, Trò chơi&gt; Trò chơi&gt; Trading Card Games&gt; Yu-Gi-Oh (Konami)</v>
      </c>
      <c r="F159" t="str">
        <f t="shared" ca="1" si="2"/>
        <v>"2084005059" : "Yu-Gi-Oh (Konami)",</v>
      </c>
    </row>
    <row r="160" spans="1:6" ht="15.75" customHeight="1">
      <c r="A160" s="14">
        <v>2084019440</v>
      </c>
      <c r="B160" s="14" t="s">
        <v>7432</v>
      </c>
      <c r="C160" s="14" t="s">
        <v>7433</v>
      </c>
      <c r="D160" s="5" t="str">
        <f ca="1">IFERROR(__xludf.DUMMYFUNCTION("GOOGLETRANSLATE(B160,""ja"",""vi"")"),"Yu-Gi-Oh (Bandai)")</f>
        <v>Yu-Gi-Oh (Bandai)</v>
      </c>
      <c r="E160" s="4" t="str">
        <f ca="1">IFERROR(__xludf.DUMMYFUNCTION("GOOGLETRANSLATE(C160,""ja"",""vi"")"),"Đấu giá&gt; Đồ chơi, Trò chơi&gt; Trò chơi&gt; Trading Card Games&gt; Yu-Gi-Oh (Bandai)")</f>
        <v>Đấu giá&gt; Đồ chơi, Trò chơi&gt; Trò chơi&gt; Trading Card Games&gt; Yu-Gi-Oh (Bandai)</v>
      </c>
      <c r="F160" t="str">
        <f t="shared" ca="1" si="2"/>
        <v>"2084019440" : "Yu-Gi-Oh (Bandai)",</v>
      </c>
    </row>
    <row r="161" spans="1:6" ht="15.75" customHeight="1">
      <c r="A161" s="14">
        <v>2084314558</v>
      </c>
      <c r="B161" s="14" t="s">
        <v>7437</v>
      </c>
      <c r="C161" s="14" t="s">
        <v>7438</v>
      </c>
      <c r="D161" s="5" t="str">
        <f ca="1">IFERROR(__xludf.DUMMYFUNCTION("GOOGLETRANSLATE(B161,""ja"",""vi"")"),"Spectre Xem")</f>
        <v>Spectre Xem</v>
      </c>
      <c r="E161" s="4" t="str">
        <f ca="1">IFERROR(__xludf.DUMMYFUNCTION("GOOGLETRANSLATE(C161,""ja"",""vi"")"),"Đấu giá&gt; Đồ chơi, Trò chơi&gt; Trò chơi&gt; Trading Card Games&gt; bóng ma xem")</f>
        <v>Đấu giá&gt; Đồ chơi, Trò chơi&gt; Trò chơi&gt; Trading Card Games&gt; bóng ma xem</v>
      </c>
      <c r="F161" t="str">
        <f t="shared" ca="1" si="2"/>
        <v>"2084314558" : "Spectre Xem",</v>
      </c>
    </row>
    <row r="162" spans="1:6" ht="15.75" customHeight="1">
      <c r="A162" s="14">
        <v>20992</v>
      </c>
      <c r="B162" s="14" t="s">
        <v>7445</v>
      </c>
      <c r="C162" s="14" t="s">
        <v>7446</v>
      </c>
      <c r="D162" s="5" t="str">
        <f ca="1">IFERROR(__xludf.DUMMYFUNCTION("GOOGLETRANSLATE(B162,""ja"",""vi"")"),"thẻ giao dịch")</f>
        <v>thẻ giao dịch</v>
      </c>
      <c r="E162" s="4" t="str">
        <f ca="1">IFERROR(__xludf.DUMMYFUNCTION("GOOGLETRANSLATE(C162,""ja"",""vi"")"),"Đấu giá&gt; Đồ chơi, Trò chơi&gt; Trò chơi&gt; Trading Card Games&gt; Thẻ Thương mại")</f>
        <v>Đấu giá&gt; Đồ chơi, Trò chơi&gt; Trò chơi&gt; Trading Card Games&gt; Thẻ Thương mại</v>
      </c>
      <c r="F162" t="str">
        <f t="shared" ca="1" si="2"/>
        <v>"20992" : "thẻ giao dịch",</v>
      </c>
    </row>
    <row r="163" spans="1:6" ht="15.75" customHeight="1">
      <c r="A163" s="14">
        <v>2084215569</v>
      </c>
      <c r="B163" s="14" t="s">
        <v>7450</v>
      </c>
      <c r="C163" s="14" t="s">
        <v>7452</v>
      </c>
      <c r="D163" s="5" t="str">
        <f ca="1">IFERROR(__xludf.DUMMYFUNCTION("GOOGLETRANSLATE(B163,""ja"",""vi"")"),"Lycée")</f>
        <v>Lycée</v>
      </c>
      <c r="E163" s="4" t="str">
        <f ca="1">IFERROR(__xludf.DUMMYFUNCTION("GOOGLETRANSLATE(C163,""ja"",""vi"")"),"Đấu giá&gt; Đồ chơi, Trò chơi&gt; Trò chơi&gt; Trading Card Games&gt; Lise")</f>
        <v>Đấu giá&gt; Đồ chơi, Trò chơi&gt; Trò chơi&gt; Trading Card Games&gt; Lise</v>
      </c>
      <c r="F163" t="str">
        <f t="shared" ca="1" si="2"/>
        <v>"2084215569" : "Lycée",</v>
      </c>
    </row>
    <row r="164" spans="1:6" ht="15.75" customHeight="1">
      <c r="A164" s="14">
        <v>2084236678</v>
      </c>
      <c r="B164" s="14" t="s">
        <v>7456</v>
      </c>
      <c r="C164" s="14" t="s">
        <v>7458</v>
      </c>
      <c r="D164" s="5" t="str">
        <f ca="1">IFERROR(__xludf.DUMMYFUNCTION("GOOGLETRANSLATE(B164,""ja"",""vi"")"),"Rangers Strike")</f>
        <v>Rangers Strike</v>
      </c>
      <c r="E164" s="4" t="str">
        <f ca="1">IFERROR(__xludf.DUMMYFUNCTION("GOOGLETRANSLATE(C164,""ja"",""vi"")"),"Đấu giá&gt; Đồ chơi, Trò chơi&gt; Trò chơi&gt; Trading Card Games&gt; Rangers Strike")</f>
        <v>Đấu giá&gt; Đồ chơi, Trò chơi&gt; Trò chơi&gt; Trading Card Games&gt; Rangers Strike</v>
      </c>
      <c r="F164" t="str">
        <f t="shared" ca="1" si="2"/>
        <v>"2084236678" : "Rangers Strike",</v>
      </c>
    </row>
    <row r="165" spans="1:6" ht="15.75" customHeight="1">
      <c r="A165" s="14">
        <v>2084236676</v>
      </c>
      <c r="B165" s="14" t="s">
        <v>7463</v>
      </c>
      <c r="C165" s="14" t="s">
        <v>7466</v>
      </c>
      <c r="D165" s="5" t="str">
        <f ca="1">IFERROR(__xludf.DUMMYFUNCTION("GOOGLETRANSLATE(B165,""ja"",""vi"")"),"Lord of Vermilion")</f>
        <v>Lord of Vermilion</v>
      </c>
      <c r="E165" s="4" t="str">
        <f ca="1">IFERROR(__xludf.DUMMYFUNCTION("GOOGLETRANSLATE(C165,""ja"",""vi"")"),"Đấu giá&gt; Đồ chơi, Trò chơi&gt; Trò chơi&gt; Trading Card Games&gt; Lord of Vermilion")</f>
        <v>Đấu giá&gt; Đồ chơi, Trò chơi&gt; Trò chơi&gt; Trading Card Games&gt; Lord of Vermilion</v>
      </c>
      <c r="F165" t="str">
        <f t="shared" ca="1" si="2"/>
        <v>"2084236676" : "Lord of Vermilion",</v>
      </c>
    </row>
    <row r="166" spans="1:6" ht="15.75" customHeight="1">
      <c r="A166" s="14">
        <v>2084236680</v>
      </c>
      <c r="B166" s="14" t="s">
        <v>7472</v>
      </c>
      <c r="C166" s="14" t="s">
        <v>7474</v>
      </c>
      <c r="D166" s="5" t="str">
        <f ca="1">IFERROR(__xludf.DUMMYFUNCTION("GOOGLETRANSLATE(B166,""ja"",""vi"")"),"One piece")</f>
        <v>One piece</v>
      </c>
      <c r="E166" s="4" t="str">
        <f ca="1">IFERROR(__xludf.DUMMYFUNCTION("GOOGLETRANSLATE(C166,""ja"",""vi"")"),"Đấu giá&gt; Đồ chơi, Trò chơi&gt; Trò chơi&gt; Trading Card Games&gt; One Piece")</f>
        <v>Đấu giá&gt; Đồ chơi, Trò chơi&gt; Trò chơi&gt; Trading Card Games&gt; One Piece</v>
      </c>
      <c r="F166" t="str">
        <f t="shared" ca="1" si="2"/>
        <v>"2084236680" : "One piece",</v>
      </c>
    </row>
    <row r="167" spans="1:6" ht="15.75" customHeight="1">
      <c r="A167" s="14">
        <v>25832</v>
      </c>
      <c r="B167" s="14" t="s">
        <v>46</v>
      </c>
      <c r="C167" s="14" t="s">
        <v>7480</v>
      </c>
      <c r="D167" s="5" t="str">
        <f ca="1">IFERROR(__xludf.DUMMYFUNCTION("GOOGLETRANSLATE(B167,""ja"",""vi"")"),"nếu không thì")</f>
        <v>nếu không thì</v>
      </c>
      <c r="E167" s="4" t="str">
        <f ca="1">IFERROR(__xludf.DUMMYFUNCTION("GOOGLETRANSLATE(C167,""ja"",""vi"")"),"Đấu giá&gt; Đồ chơi, Trò chơi&gt; Trò chơi&gt; Trading Card Games&gt; Khác")</f>
        <v>Đấu giá&gt; Đồ chơi, Trò chơi&gt; Trò chơi&gt; Trading Card Games&gt; Khác</v>
      </c>
      <c r="F167" t="str">
        <f t="shared" ca="1" si="2"/>
        <v>"25832" : "nếu không thì",</v>
      </c>
    </row>
    <row r="168" spans="1:6" ht="15.75" customHeight="1">
      <c r="A168" s="14">
        <v>2084006032</v>
      </c>
      <c r="B168" s="14" t="s">
        <v>7483</v>
      </c>
      <c r="C168" s="14" t="s">
        <v>7484</v>
      </c>
      <c r="D168" s="5" t="str">
        <f ca="1">IFERROR(__xludf.DUMMYFUNCTION("GOOGLETRANSLATE(B168,""ja"",""vi"")"),"bằng cách làm việc")</f>
        <v>bằng cách làm việc</v>
      </c>
      <c r="E168" s="4" t="str">
        <f ca="1">IFERROR(__xludf.DUMMYFUNCTION("GOOGLETRANSLATE(C168,""ja"",""vi"")"),"Đấu giá&gt; cổ, bộ sưu tập&gt; giao dịch thẻ&gt; truyện tranh, hoạt hình&gt; bởi công việc")</f>
        <v>Đấu giá&gt; cổ, bộ sưu tập&gt; giao dịch thẻ&gt; truyện tranh, hoạt hình&gt; bởi công việc</v>
      </c>
      <c r="F168" t="str">
        <f t="shared" ca="1" si="2"/>
        <v>"2084006032" : "bằng cách làm việc",</v>
      </c>
    </row>
    <row r="169" spans="1:6" ht="15.75" customHeight="1">
      <c r="A169" s="14">
        <v>2084006008</v>
      </c>
      <c r="B169" s="14" t="s">
        <v>7488</v>
      </c>
      <c r="C169" s="14" t="s">
        <v>7490</v>
      </c>
      <c r="D169" s="5" t="str">
        <f ca="1">IFERROR(__xludf.DUMMYFUNCTION("GOOGLETRANSLATE(B169,""ja"",""vi"")"),"thẻ giao dịch truyền hình trò chơi")</f>
        <v>thẻ giao dịch truyền hình trò chơi</v>
      </c>
      <c r="E169" s="4" t="str">
        <f ca="1">IFERROR(__xludf.DUMMYFUNCTION("GOOGLETRANSLATE(C169,""ja"",""vi"")"),"Đấu giá&gt; cổ, bộ sưu tập&gt; giao dịch thẻ&gt; truyện tranh, hoạt hình&gt; trò chơi điện tử giao dịch thẻ")</f>
        <v>Đấu giá&gt; cổ, bộ sưu tập&gt; giao dịch thẻ&gt; truyện tranh, hoạt hình&gt; trò chơi điện tử giao dịch thẻ</v>
      </c>
      <c r="F169" t="str">
        <f t="shared" ca="1" si="2"/>
        <v>"2084006008" : "thẻ giao dịch truyền hình trò chơi",</v>
      </c>
    </row>
    <row r="170" spans="1:6" ht="15.75" customHeight="1">
      <c r="A170" s="14">
        <v>20996</v>
      </c>
      <c r="B170" s="14" t="s">
        <v>1319</v>
      </c>
      <c r="C170" s="14" t="s">
        <v>7496</v>
      </c>
      <c r="D170" s="5" t="str">
        <f ca="1">IFERROR(__xludf.DUMMYFUNCTION("GOOGLETRANSLATE(B170,""ja"",""vi"")"),"Bóng chày")</f>
        <v>Bóng chày</v>
      </c>
      <c r="E170" s="4" t="str">
        <f ca="1">IFERROR(__xludf.DUMMYFUNCTION("GOOGLETRANSLATE(C170,""ja"",""vi"")"),"Đấu giá&gt; cổ, bộ sưu tập&gt; giao dịch thẻ&gt; Thể thao&gt; Bóng chày")</f>
        <v>Đấu giá&gt; cổ, bộ sưu tập&gt; giao dịch thẻ&gt; Thể thao&gt; Bóng chày</v>
      </c>
      <c r="F170" t="str">
        <f t="shared" ca="1" si="2"/>
        <v>"20996" : "Bóng chày",</v>
      </c>
    </row>
    <row r="171" spans="1:6" ht="15.75" customHeight="1">
      <c r="A171" s="14">
        <v>21048</v>
      </c>
      <c r="B171" s="14" t="s">
        <v>1262</v>
      </c>
      <c r="C171" s="14" t="s">
        <v>7502</v>
      </c>
      <c r="D171" s="5" t="str">
        <f ca="1">IFERROR(__xludf.DUMMYFUNCTION("GOOGLETRANSLATE(B171,""ja"",""vi"")"),"bóng đá")</f>
        <v>bóng đá</v>
      </c>
      <c r="E171" s="4" t="str">
        <f ca="1">IFERROR(__xludf.DUMMYFUNCTION("GOOGLETRANSLATE(C171,""ja"",""vi"")"),"Đấu giá&gt; cổ, bộ sưu tập&gt; giao dịch thẻ&gt; Thể thao&gt; Bóng đá")</f>
        <v>Đấu giá&gt; cổ, bộ sưu tập&gt; giao dịch thẻ&gt; Thể thao&gt; Bóng đá</v>
      </c>
      <c r="F171" t="str">
        <f t="shared" ca="1" si="2"/>
        <v>"21048" : "bóng đá",</v>
      </c>
    </row>
    <row r="172" spans="1:6" ht="15.75" customHeight="1">
      <c r="A172" s="14">
        <v>21008</v>
      </c>
      <c r="B172" s="14" t="s">
        <v>1288</v>
      </c>
      <c r="C172" s="14" t="s">
        <v>7508</v>
      </c>
      <c r="D172" s="5" t="str">
        <f ca="1">IFERROR(__xludf.DUMMYFUNCTION("GOOGLETRANSLATE(B172,""ja"",""vi"")"),"Bóng rổ")</f>
        <v>Bóng rổ</v>
      </c>
      <c r="E172" s="4" t="str">
        <f ca="1">IFERROR(__xludf.DUMMYFUNCTION("GOOGLETRANSLATE(C172,""ja"",""vi"")"),"Đấu giá&gt; cổ, bộ sưu tập&gt; giao dịch thẻ&gt; Thể thao&gt; Bóng rổ")</f>
        <v>Đấu giá&gt; cổ, bộ sưu tập&gt; giao dịch thẻ&gt; Thể thao&gt; Bóng rổ</v>
      </c>
      <c r="F172" t="str">
        <f t="shared" ca="1" si="2"/>
        <v>"21008" : "Bóng rổ",</v>
      </c>
    </row>
    <row r="173" spans="1:6" ht="15.75" customHeight="1">
      <c r="A173" s="14">
        <v>40499</v>
      </c>
      <c r="B173" s="14" t="s">
        <v>1311</v>
      </c>
      <c r="C173" s="14" t="s">
        <v>7510</v>
      </c>
      <c r="D173" s="5" t="str">
        <f ca="1">IFERROR(__xludf.DUMMYFUNCTION("GOOGLETRANSLATE(B173,""ja"",""vi"")"),"Võ thuật, Wrestling")</f>
        <v>Võ thuật, Wrestling</v>
      </c>
      <c r="E173" s="4" t="str">
        <f ca="1">IFERROR(__xludf.DUMMYFUNCTION("GOOGLETRANSLATE(C173,""ja"",""vi"")"),"Đấu giá&gt; cổ, bộ sưu tập&gt; thẻ giao dịch&gt; Thể thao&gt; Võ thuật, Wrestling")</f>
        <v>Đấu giá&gt; cổ, bộ sưu tập&gt; thẻ giao dịch&gt; Thể thao&gt; Võ thuật, Wrestling</v>
      </c>
      <c r="F173" t="str">
        <f t="shared" ca="1" si="2"/>
        <v>"40499" : "Võ thuật, Wrestling",</v>
      </c>
    </row>
    <row r="174" spans="1:6" ht="15.75" customHeight="1">
      <c r="A174" s="14">
        <v>2084006004</v>
      </c>
      <c r="B174" s="14" t="s">
        <v>46</v>
      </c>
      <c r="C174" s="14" t="s">
        <v>7515</v>
      </c>
      <c r="D174" s="5" t="str">
        <f ca="1">IFERROR(__xludf.DUMMYFUNCTION("GOOGLETRANSLATE(B174,""ja"",""vi"")"),"nếu không thì")</f>
        <v>nếu không thì</v>
      </c>
      <c r="E174" s="4" t="str">
        <f ca="1">IFERROR(__xludf.DUMMYFUNCTION("GOOGLETRANSLATE(C174,""ja"",""vi"")"),"Đấu giá&gt; cổ, bộ sưu tập&gt; thẻ giao dịch&gt; Thể thao&gt; Khác")</f>
        <v>Đấu giá&gt; cổ, bộ sưu tập&gt; thẻ giao dịch&gt; Thể thao&gt; Khác</v>
      </c>
      <c r="F174" t="str">
        <f t="shared" ca="1" si="2"/>
        <v>"2084006004" : "nếu không thì",</v>
      </c>
    </row>
    <row r="175" spans="1:6" ht="15.75" customHeight="1">
      <c r="A175" s="14">
        <v>2084033790</v>
      </c>
      <c r="B175" s="14" t="s">
        <v>6389</v>
      </c>
      <c r="C175" s="14" t="s">
        <v>7522</v>
      </c>
      <c r="D175" s="5" t="str">
        <f ca="1">IFERROR(__xludf.DUMMYFUNCTION("GOOGLETRANSLATE(B175,""ja"",""vi"")"),"tài năng nữ")</f>
        <v>tài năng nữ</v>
      </c>
      <c r="E175" s="4" t="str">
        <f ca="1">IFERROR(__xludf.DUMMYFUNCTION("GOOGLETRANSLATE(C175,""ja"",""vi"")"),"Đấu giá&gt; cổ, bộ sưu tập&gt; giao dịch thẻ&gt; Talent&gt; Woman tài năng")</f>
        <v>Đấu giá&gt; cổ, bộ sưu tập&gt; giao dịch thẻ&gt; Talent&gt; Woman tài năng</v>
      </c>
      <c r="F175" t="str">
        <f t="shared" ca="1" si="2"/>
        <v>"2084033790" : "tài năng nữ",</v>
      </c>
    </row>
    <row r="176" spans="1:6" ht="15.75" customHeight="1">
      <c r="A176" s="14">
        <v>2084033821</v>
      </c>
      <c r="B176" s="14" t="s">
        <v>6396</v>
      </c>
      <c r="C176" s="14" t="s">
        <v>7524</v>
      </c>
      <c r="D176" s="5" t="str">
        <f ca="1">IFERROR(__xludf.DUMMYFUNCTION("GOOGLETRANSLATE(B176,""ja"",""vi"")"),"Nam Talent")</f>
        <v>Nam Talent</v>
      </c>
      <c r="E176" s="4" t="str">
        <f ca="1">IFERROR(__xludf.DUMMYFUNCTION("GOOGLETRANSLATE(C176,""ja"",""vi"")"),"Đấu giá&gt; cổ, bộ sưu tập&gt; giao dịch thẻ&gt; Talent&gt; Nam Talent")</f>
        <v>Đấu giá&gt; cổ, bộ sưu tập&gt; giao dịch thẻ&gt; Talent&gt; Nam Talent</v>
      </c>
      <c r="F176" t="str">
        <f t="shared" ca="1" si="2"/>
        <v>"2084033821" : "Nam Talent",</v>
      </c>
    </row>
    <row r="177" spans="1:6" ht="15.75" customHeight="1">
      <c r="A177" s="14">
        <v>2084241343</v>
      </c>
      <c r="B177" s="14" t="s">
        <v>3937</v>
      </c>
      <c r="C177" s="14" t="s">
        <v>3939</v>
      </c>
      <c r="D177" s="5" t="str">
        <f ca="1">IFERROR(__xludf.DUMMYFUNCTION("GOOGLETRANSLATE(B177,""ja"",""vi"")"),"trò chơi thẻ Pokemon")</f>
        <v>trò chơi thẻ Pokemon</v>
      </c>
      <c r="E177" s="4" t="str">
        <f ca="1">IFERROR(__xludf.DUMMYFUNCTION("GOOGLETRANSLATE(C177,""ja"",""vi"")"),"Đấu giá&gt; cổ, bộ sưu tập&gt; giao dịch thẻ&gt; video game&gt; Pokemon Card Game")</f>
        <v>Đấu giá&gt; cổ, bộ sưu tập&gt; giao dịch thẻ&gt; video game&gt; Pokemon Card Game</v>
      </c>
      <c r="F177" t="str">
        <f t="shared" ca="1" si="2"/>
        <v>"2084241343" : "trò chơi thẻ Pokemon",</v>
      </c>
    </row>
    <row r="178" spans="1:6" ht="15.75" customHeight="1">
      <c r="A178" s="14">
        <v>2084241344</v>
      </c>
      <c r="B178" s="14" t="s">
        <v>3944</v>
      </c>
      <c r="C178" s="14" t="s">
        <v>3946</v>
      </c>
      <c r="D178" s="5" t="str">
        <f ca="1">IFERROR(__xludf.DUMMYFUNCTION("GOOGLETRANSLATE(B178,""ja"",""vi"")"),"Pokémon Battrio")</f>
        <v>Pokémon Battrio</v>
      </c>
      <c r="E178" s="4" t="str">
        <f ca="1">IFERROR(__xludf.DUMMYFUNCTION("GOOGLETRANSLATE(C178,""ja"",""vi"")"),"Đấu giá&gt; cổ, bộ sưu tập&gt; giao dịch thẻ&gt; video game&gt; Pokémon Battrio")</f>
        <v>Đấu giá&gt; cổ, bộ sưu tập&gt; giao dịch thẻ&gt; video game&gt; Pokémon Battrio</v>
      </c>
      <c r="F178" t="str">
        <f t="shared" ca="1" si="2"/>
        <v>"2084241344" : "Pokémon Battrio",</v>
      </c>
    </row>
    <row r="179" spans="1:6" ht="15.75" customHeight="1">
      <c r="A179" s="14">
        <v>21020</v>
      </c>
      <c r="B179" s="14" t="s">
        <v>3949</v>
      </c>
      <c r="C179" s="14" t="s">
        <v>3950</v>
      </c>
      <c r="D179" s="5" t="str">
        <f ca="1">IFERROR(__xludf.DUMMYFUNCTION("GOOGLETRANSLATE(B179,""ja"",""vi"")"),"Truyện tranh, hoạt hình thẻ giao dịch")</f>
        <v>Truyện tranh, hoạt hình thẻ giao dịch</v>
      </c>
      <c r="E179" s="4" t="str">
        <f ca="1">IFERROR(__xludf.DUMMYFUNCTION("GOOGLETRANSLATE(C179,""ja"",""vi"")"),"Đấu giá&gt; cổ, bộ sưu tập&gt; giao dịch thẻ&gt; video game&gt; truyện tranh, hoạt hình thẻ giao dịch")</f>
        <v>Đấu giá&gt; cổ, bộ sưu tập&gt; giao dịch thẻ&gt; video game&gt; truyện tranh, hoạt hình thẻ giao dịch</v>
      </c>
      <c r="F179" t="str">
        <f t="shared" ca="1" si="2"/>
        <v>"21020" : "Truyện tranh, hoạt hình thẻ giao dịch",</v>
      </c>
    </row>
    <row r="180" spans="1:6" ht="15.75" customHeight="1">
      <c r="A180" s="14">
        <v>2084006018</v>
      </c>
      <c r="B180" s="14" t="s">
        <v>46</v>
      </c>
      <c r="C180" s="14" t="s">
        <v>3957</v>
      </c>
      <c r="D180" s="5" t="str">
        <f ca="1">IFERROR(__xludf.DUMMYFUNCTION("GOOGLETRANSLATE(B180,""ja"",""vi"")"),"nếu không thì")</f>
        <v>nếu không thì</v>
      </c>
      <c r="E180" s="4" t="str">
        <f ca="1">IFERROR(__xludf.DUMMYFUNCTION("GOOGLETRANSLATE(C180,""ja"",""vi"")"),"Đấu giá&gt; cổ, bộ sưu tập&gt; giao dịch thẻ&gt; video game&gt; Khác")</f>
        <v>Đấu giá&gt; cổ, bộ sưu tập&gt; giao dịch thẻ&gt; video game&gt; Khác</v>
      </c>
      <c r="F180" t="str">
        <f t="shared" ca="1" si="2"/>
        <v>"2084006018" : "nếu không thì",</v>
      </c>
    </row>
    <row r="181" spans="1:6" ht="15.75" customHeight="1">
      <c r="A181" s="14">
        <v>2084006027</v>
      </c>
      <c r="B181" s="14" t="s">
        <v>3000</v>
      </c>
      <c r="C181" s="14" t="s">
        <v>7539</v>
      </c>
      <c r="D181" s="5" t="str">
        <f ca="1">IFERROR(__xludf.DUMMYFUNCTION("GOOGLETRANSLATE(B181,""ja"",""vi"")"),"Ultraman")</f>
        <v>Ultraman</v>
      </c>
      <c r="E181" s="4" t="str">
        <f ca="1">IFERROR(__xludf.DUMMYFUNCTION("GOOGLETRANSLATE(C181,""ja"",""vi"")"),"Đấu giá&gt; cổ, bộ sưu tập&gt; giao dịch thẻ&gt; hiệu ứng đặc biệt&gt; Ultraman")</f>
        <v>Đấu giá&gt; cổ, bộ sưu tập&gt; giao dịch thẻ&gt; hiệu ứng đặc biệt&gt; Ultraman</v>
      </c>
      <c r="F181" t="str">
        <f t="shared" ca="1" si="2"/>
        <v>"2084006027" : "Ultraman",</v>
      </c>
    </row>
    <row r="182" spans="1:6" ht="15.75" customHeight="1">
      <c r="A182" s="14">
        <v>2084041519</v>
      </c>
      <c r="B182" s="14" t="s">
        <v>3019</v>
      </c>
      <c r="C182" s="14" t="s">
        <v>7543</v>
      </c>
      <c r="D182" s="5" t="str">
        <f ca="1">IFERROR(__xludf.DUMMYFUNCTION("GOOGLETRANSLATE(B182,""ja"",""vi"")"),"masked Rider")</f>
        <v>masked Rider</v>
      </c>
      <c r="E182" s="4" t="str">
        <f ca="1">IFERROR(__xludf.DUMMYFUNCTION("GOOGLETRANSLATE(C182,""ja"",""vi"")"),"Đấu giá&gt; cổ, bộ sưu tập&gt; giao dịch thẻ&gt; hiệu ứng đặc biệt&gt; Kamen Rider")</f>
        <v>Đấu giá&gt; cổ, bộ sưu tập&gt; giao dịch thẻ&gt; hiệu ứng đặc biệt&gt; Kamen Rider</v>
      </c>
      <c r="F182" t="str">
        <f t="shared" ca="1" si="2"/>
        <v>"2084041519" : "masked Rider",</v>
      </c>
    </row>
    <row r="183" spans="1:6" ht="15.75" customHeight="1">
      <c r="A183" s="14">
        <v>2084048490</v>
      </c>
      <c r="B183" s="14" t="s">
        <v>3027</v>
      </c>
      <c r="C183" s="14" t="s">
        <v>7547</v>
      </c>
      <c r="D183" s="5" t="str">
        <f ca="1">IFERROR(__xludf.DUMMYFUNCTION("GOOGLETRANSLATE(B183,""ja"",""vi"")"),"Sentai Dòng")</f>
        <v>Sentai Dòng</v>
      </c>
      <c r="E183" s="4" t="str">
        <f ca="1">IFERROR(__xludf.DUMMYFUNCTION("GOOGLETRANSLATE(C183,""ja"",""vi"")"),"Đấu giá&gt; cổ, bộ sưu tập&gt; giao dịch thẻ&gt; hiệu ứng đặc biệt&gt; Squadron Dòng")</f>
        <v>Đấu giá&gt; cổ, bộ sưu tập&gt; giao dịch thẻ&gt; hiệu ứng đặc biệt&gt; Squadron Dòng</v>
      </c>
      <c r="F183" t="str">
        <f t="shared" ca="1" si="2"/>
        <v>"2084048490" : "Sentai Dòng",</v>
      </c>
    </row>
    <row r="184" spans="1:6" ht="15.75" customHeight="1">
      <c r="A184" s="14">
        <v>2084006028</v>
      </c>
      <c r="B184" s="14" t="s">
        <v>46</v>
      </c>
      <c r="C184" s="14" t="s">
        <v>7551</v>
      </c>
      <c r="D184" s="5" t="str">
        <f ca="1">IFERROR(__xludf.DUMMYFUNCTION("GOOGLETRANSLATE(B184,""ja"",""vi"")"),"nếu không thì")</f>
        <v>nếu không thì</v>
      </c>
      <c r="E184" s="4" t="str">
        <f ca="1">IFERROR(__xludf.DUMMYFUNCTION("GOOGLETRANSLATE(C184,""ja"",""vi"")"),"Đấu giá&gt; cổ, bộ sưu tập&gt; giao dịch thẻ&gt; hiệu ứng đặc biệt&gt; Khác")</f>
        <v>Đấu giá&gt; cổ, bộ sưu tập&gt; giao dịch thẻ&gt; hiệu ứng đặc biệt&gt; Khác</v>
      </c>
      <c r="F184" t="str">
        <f t="shared" ca="1" si="2"/>
        <v>"2084006028" : "nếu không thì",</v>
      </c>
    </row>
    <row r="185" spans="1:6" ht="15.75" customHeight="1">
      <c r="A185" s="14">
        <v>2084210601</v>
      </c>
      <c r="B185" s="14" t="s">
        <v>7555</v>
      </c>
      <c r="C185" s="14" t="s">
        <v>7556</v>
      </c>
      <c r="D185" s="5" t="str">
        <f ca="1">IFERROR(__xludf.DUMMYFUNCTION("GOOGLETRANSLATE(B185,""ja"",""vi"")"),"Asahi")</f>
        <v>Asahi</v>
      </c>
      <c r="E185" s="4" t="str">
        <f ca="1">IFERROR(__xludf.DUMMYFUNCTION("GOOGLETRANSLATE(C185,""ja"",""vi"")"),"Đấu giá&gt; cổ, bộ sưu tập&gt; quảng cáo, hàng hóa mới lạ&gt; uống&gt; Asahi")</f>
        <v>Đấu giá&gt; cổ, bộ sưu tập&gt; quảng cáo, hàng hóa mới lạ&gt; uống&gt; Asahi</v>
      </c>
      <c r="F185" t="str">
        <f t="shared" ca="1" si="2"/>
        <v>"2084210601" : "Asahi",</v>
      </c>
    </row>
    <row r="186" spans="1:6" ht="15.75" customHeight="1">
      <c r="A186" s="14">
        <v>2084210600</v>
      </c>
      <c r="B186" s="14" t="s">
        <v>7560</v>
      </c>
      <c r="C186" s="14" t="s">
        <v>7562</v>
      </c>
      <c r="D186" s="5" t="str">
        <f ca="1">IFERROR(__xludf.DUMMYFUNCTION("GOOGLETRANSLATE(B186,""ja"",""vi"")"),"Kirin")</f>
        <v>Kirin</v>
      </c>
      <c r="E186" s="4" t="str">
        <f ca="1">IFERROR(__xludf.DUMMYFUNCTION("GOOGLETRANSLATE(C186,""ja"",""vi"")"),"Đấu giá&gt; cổ, bộ sưu tập&gt; quảng cáo, hàng hóa mới lạ&gt; uống&gt; hươu cao cổ")</f>
        <v>Đấu giá&gt; cổ, bộ sưu tập&gt; quảng cáo, hàng hóa mới lạ&gt; uống&gt; hươu cao cổ</v>
      </c>
      <c r="F186" t="str">
        <f t="shared" ca="1" si="2"/>
        <v>"2084210600" : "Kirin",</v>
      </c>
    </row>
    <row r="187" spans="1:6" ht="15.75" customHeight="1">
      <c r="A187" s="14">
        <v>2084210597</v>
      </c>
      <c r="B187" s="14" t="s">
        <v>7564</v>
      </c>
      <c r="C187" s="14" t="s">
        <v>7565</v>
      </c>
      <c r="D187" s="5" t="str">
        <f ca="1">IFERROR(__xludf.DUMMYFUNCTION("GOOGLETRANSLATE(B187,""ja"",""vi"")"),"Coca-Cola")</f>
        <v>Coca-Cola</v>
      </c>
      <c r="E187" s="4" t="str">
        <f ca="1">IFERROR(__xludf.DUMMYFUNCTION("GOOGLETRANSLATE(C187,""ja"",""vi"")"),"Đấu giá&gt; cổ, bộ sưu tập&gt; quảng cáo, hàng hóa mới lạ&gt; uống&gt; Coca-Cola")</f>
        <v>Đấu giá&gt; cổ, bộ sưu tập&gt; quảng cáo, hàng hóa mới lạ&gt; uống&gt; Coca-Cola</v>
      </c>
      <c r="F187" t="str">
        <f t="shared" ca="1" si="2"/>
        <v>"2084210597" : "Coca-Cola",</v>
      </c>
    </row>
    <row r="188" spans="1:6" ht="15.75" customHeight="1">
      <c r="A188" s="14">
        <v>2084210599</v>
      </c>
      <c r="B188" s="14" t="s">
        <v>7568</v>
      </c>
      <c r="C188" s="14" t="s">
        <v>7569</v>
      </c>
      <c r="D188" s="5" t="str">
        <f ca="1">IFERROR(__xludf.DUMMYFUNCTION("GOOGLETRANSLATE(B188,""ja"",""vi"")"),"Suntory")</f>
        <v>Suntory</v>
      </c>
      <c r="E188" s="4" t="str">
        <f ca="1">IFERROR(__xludf.DUMMYFUNCTION("GOOGLETRANSLATE(C188,""ja"",""vi"")"),"Đấu giá&gt; cổ, bộ sưu tập&gt; quảng cáo, hàng hóa mới lạ&gt; uống&gt; Suntory")</f>
        <v>Đấu giá&gt; cổ, bộ sưu tập&gt; quảng cáo, hàng hóa mới lạ&gt; uống&gt; Suntory</v>
      </c>
      <c r="F188" t="str">
        <f t="shared" ca="1" si="2"/>
        <v>"2084210599" : "Suntory",</v>
      </c>
    </row>
    <row r="189" spans="1:6" ht="15.75" customHeight="1">
      <c r="A189" s="14">
        <v>2084210598</v>
      </c>
      <c r="B189" s="14" t="s">
        <v>7572</v>
      </c>
      <c r="C189" s="14" t="s">
        <v>7574</v>
      </c>
      <c r="D189" s="5" t="str">
        <f ca="1">IFERROR(__xludf.DUMMYFUNCTION("GOOGLETRANSLATE(B189,""ja"",""vi"")"),"Pepsi-Cola")</f>
        <v>Pepsi-Cola</v>
      </c>
      <c r="E189" s="4" t="str">
        <f ca="1">IFERROR(__xludf.DUMMYFUNCTION("GOOGLETRANSLATE(C189,""ja"",""vi"")"),"Đấu giá&gt; cổ, bộ sưu tập&gt; quảng cáo, hàng hóa mới lạ&gt; uống&gt; Pepsi-Cola")</f>
        <v>Đấu giá&gt; cổ, bộ sưu tập&gt; quảng cáo, hàng hóa mới lạ&gt; uống&gt; Pepsi-Cola</v>
      </c>
      <c r="F189" t="str">
        <f t="shared" ca="1" si="2"/>
        <v>"2084210598" : "Pepsi-Cola",</v>
      </c>
    </row>
    <row r="190" spans="1:6" ht="15.75" customHeight="1">
      <c r="A190" s="14">
        <v>2084210602</v>
      </c>
      <c r="B190" s="14" t="s">
        <v>46</v>
      </c>
      <c r="C190" s="14" t="s">
        <v>7576</v>
      </c>
      <c r="D190" s="5" t="str">
        <f ca="1">IFERROR(__xludf.DUMMYFUNCTION("GOOGLETRANSLATE(B190,""ja"",""vi"")"),"nếu không thì")</f>
        <v>nếu không thì</v>
      </c>
      <c r="E190" s="4" t="str">
        <f ca="1">IFERROR(__xludf.DUMMYFUNCTION("GOOGLETRANSLATE(C190,""ja"",""vi"")"),"Đấu giá&gt; cổ, bộ sưu tập&gt; quảng cáo, hàng hóa mới lạ&gt; uống&gt; Khác")</f>
        <v>Đấu giá&gt; cổ, bộ sưu tập&gt; quảng cáo, hàng hóa mới lạ&gt; uống&gt; Khác</v>
      </c>
      <c r="F190" t="str">
        <f t="shared" ca="1" si="2"/>
        <v>"2084210602" : "nếu không thì",</v>
      </c>
    </row>
    <row r="191" spans="1:6" ht="15.75" customHeight="1">
      <c r="A191" s="14">
        <v>2084019048</v>
      </c>
      <c r="B191" s="14" t="s">
        <v>7578</v>
      </c>
      <c r="C191" s="14" t="s">
        <v>7580</v>
      </c>
      <c r="D191" s="5" t="str">
        <f ca="1">IFERROR(__xludf.DUMMYFUNCTION("GOOGLETRANSLATE(B191,""ja"",""vi"")"),"đá trần cho đồ trang sức")</f>
        <v>đá trần cho đồ trang sức</v>
      </c>
      <c r="E191" s="4" t="str">
        <f ca="1">IFERROR(__xludf.DUMMYFUNCTION("GOOGLETRANSLATE(C191,""ja"",""vi"")"),"Đấu giá&gt; cổ, bộ sưu tập&gt; khoa học, thiên nhiên&gt; đá, khoáng sản&gt; đá trần cho đồ trang sức")</f>
        <v>Đấu giá&gt; cổ, bộ sưu tập&gt; khoa học, thiên nhiên&gt; đá, khoáng sản&gt; đá trần cho đồ trang sức</v>
      </c>
      <c r="F191" t="str">
        <f t="shared" ca="1" si="2"/>
        <v>"2084019048" : "đá trần cho đồ trang sức",</v>
      </c>
    </row>
    <row r="192" spans="1:6" ht="15.75" customHeight="1">
      <c r="A192" s="14">
        <v>20776</v>
      </c>
      <c r="B192" s="14" t="s">
        <v>7583</v>
      </c>
      <c r="C192" s="14" t="s">
        <v>7585</v>
      </c>
      <c r="D192" s="5" t="str">
        <f ca="1">IFERROR(__xludf.DUMMYFUNCTION("GOOGLETRANSLATE(B192,""ja"",""vi"")"),"đá quý")</f>
        <v>đá quý</v>
      </c>
      <c r="E192" s="4" t="str">
        <f ca="1">IFERROR(__xludf.DUMMYFUNCTION("GOOGLETRANSLATE(C192,""ja"",""vi"")"),"Đấu giá&gt; cổ, bộ sưu tập&gt; khoa học, thiên nhiên&gt; đá, khoáng sản&gt; đá quý")</f>
        <v>Đấu giá&gt; cổ, bộ sưu tập&gt; khoa học, thiên nhiên&gt; đá, khoáng sản&gt; đá quý</v>
      </c>
      <c r="F192" t="str">
        <f t="shared" ca="1" si="2"/>
        <v>"20776" : "đá quý",</v>
      </c>
    </row>
    <row r="193" spans="1:6" ht="15.75" customHeight="1">
      <c r="A193" s="14">
        <v>20780</v>
      </c>
      <c r="B193" s="14" t="s">
        <v>7587</v>
      </c>
      <c r="C193" s="14" t="s">
        <v>7588</v>
      </c>
      <c r="D193" s="5" t="str">
        <f ca="1">IFERROR(__xludf.DUMMYFUNCTION("GOOGLETRANSLATE(B193,""ja"",""vi"")"),"vẫn thiết")</f>
        <v>vẫn thiết</v>
      </c>
      <c r="E193" s="4" t="str">
        <f ca="1">IFERROR(__xludf.DUMMYFUNCTION("GOOGLETRANSLATE(C193,""ja"",""vi"")"),"Đấu giá&gt; cổ, bộ sưu tập&gt; khoa học, thiên nhiên&gt; đá, khoáng sản&gt; thiên thạch")</f>
        <v>Đấu giá&gt; cổ, bộ sưu tập&gt; khoa học, thiên nhiên&gt; đá, khoáng sản&gt; thiên thạch</v>
      </c>
      <c r="F193" t="str">
        <f t="shared" ca="1" si="2"/>
        <v>"20780" : "vẫn thiết",</v>
      </c>
    </row>
    <row r="194" spans="1:6" ht="15.75" customHeight="1">
      <c r="A194" s="14">
        <v>20784</v>
      </c>
      <c r="B194" s="14" t="s">
        <v>46</v>
      </c>
      <c r="C194" s="14" t="s">
        <v>7592</v>
      </c>
      <c r="D194" s="5" t="str">
        <f ca="1">IFERROR(__xludf.DUMMYFUNCTION("GOOGLETRANSLATE(B194,""ja"",""vi"")"),"nếu không thì")</f>
        <v>nếu không thì</v>
      </c>
      <c r="E194" s="4" t="str">
        <f ca="1">IFERROR(__xludf.DUMMYFUNCTION("GOOGLETRANSLATE(C194,""ja"",""vi"")"),"Đấu giá&gt; cổ, bộ sưu tập&gt; khoa học, thiên nhiên&gt; đá, khoáng sản&gt; Khác")</f>
        <v>Đấu giá&gt; cổ, bộ sưu tập&gt; khoa học, thiên nhiên&gt; đá, khoáng sản&gt; Khác</v>
      </c>
      <c r="F194" t="str">
        <f t="shared" ref="F194:F257" ca="1" si="3">CONCATENATE(CHAR(34)&amp;"",A194,""&amp;CHAR(34)," : ", CHAR(34)&amp;"",D194,""&amp;CHAR(34),",")</f>
        <v>"20784" : "nếu không thì",</v>
      </c>
    </row>
    <row r="195" spans="1:6" ht="15.75" customHeight="1">
      <c r="A195" s="14">
        <v>2084009013</v>
      </c>
      <c r="B195" s="14" t="s">
        <v>5923</v>
      </c>
      <c r="C195" s="14" t="s">
        <v>5925</v>
      </c>
      <c r="D195" s="5" t="str">
        <f ca="1">IFERROR(__xludf.DUMMYFUNCTION("GOOGLETRANSLATE(B195,""ja"",""vi"")"),"hóa học")</f>
        <v>hóa học</v>
      </c>
      <c r="E195" s="4" t="str">
        <f ca="1">IFERROR(__xludf.DUMMYFUNCTION("GOOGLETRANSLATE(C195,""ja"",""vi"")"),"Đấu giá&gt; cuốn sách, tạp chí&gt; khoa học tự nhiên và công nghệ&gt; hóa học")</f>
        <v>Đấu giá&gt; cuốn sách, tạp chí&gt; khoa học tự nhiên và công nghệ&gt; hóa học</v>
      </c>
      <c r="F195" t="str">
        <f t="shared" ca="1" si="3"/>
        <v>"2084009013" : "hóa học",</v>
      </c>
    </row>
    <row r="196" spans="1:6" ht="15.75" customHeight="1">
      <c r="A196" s="14">
        <v>2084009012</v>
      </c>
      <c r="B196" s="14" t="s">
        <v>5667</v>
      </c>
      <c r="C196" s="14" t="s">
        <v>5928</v>
      </c>
      <c r="D196" s="5" t="str">
        <f ca="1">IFERROR(__xludf.DUMMYFUNCTION("GOOGLETRANSLATE(B196,""ja"",""vi"")"),"khoa học")</f>
        <v>khoa học</v>
      </c>
      <c r="E196" s="4" t="str">
        <f ca="1">IFERROR(__xludf.DUMMYFUNCTION("GOOGLETRANSLATE(C196,""ja"",""vi"")"),"Đấu giá&gt; cuốn sách, tạp chí&gt; khoa học tự nhiên và công nghệ&gt; Khoa học")</f>
        <v>Đấu giá&gt; cuốn sách, tạp chí&gt; khoa học tự nhiên và công nghệ&gt; Khoa học</v>
      </c>
      <c r="F196" t="str">
        <f t="shared" ca="1" si="3"/>
        <v>"2084009012" : "khoa học",</v>
      </c>
    </row>
    <row r="197" spans="1:6" ht="15.75" customHeight="1">
      <c r="A197" s="14">
        <v>2084009014</v>
      </c>
      <c r="B197" s="14" t="s">
        <v>5931</v>
      </c>
      <c r="C197" s="14" t="s">
        <v>5933</v>
      </c>
      <c r="D197" s="5" t="str">
        <f ca="1">IFERROR(__xludf.DUMMYFUNCTION("GOOGLETRANSLATE(B197,""ja"",""vi"")"),"môi trường")</f>
        <v>môi trường</v>
      </c>
      <c r="E197" s="4" t="str">
        <f ca="1">IFERROR(__xludf.DUMMYFUNCTION("GOOGLETRANSLATE(C197,""ja"",""vi"")"),"Đấu giá&gt; cuốn sách, tạp chí&gt; khoa học tự nhiên và công nghệ&gt; Môi trường")</f>
        <v>Đấu giá&gt; cuốn sách, tạp chí&gt; khoa học tự nhiên và công nghệ&gt; Môi trường</v>
      </c>
      <c r="F197" t="str">
        <f t="shared" ca="1" si="3"/>
        <v>"2084009014" : "môi trường",</v>
      </c>
    </row>
    <row r="198" spans="1:6" ht="15.75" customHeight="1">
      <c r="A198" s="14">
        <v>2084009021</v>
      </c>
      <c r="B198" s="14" t="s">
        <v>5936</v>
      </c>
      <c r="C198" s="14" t="s">
        <v>5938</v>
      </c>
      <c r="D198" s="5" t="str">
        <f ca="1">IFERROR(__xludf.DUMMYFUNCTION("GOOGLETRANSLATE(B198,""ja"",""vi"")"),"kỹ thuật")</f>
        <v>kỹ thuật</v>
      </c>
      <c r="E198" s="4" t="str">
        <f ca="1">IFERROR(__xludf.DUMMYFUNCTION("GOOGLETRANSLATE(C198,""ja"",""vi"")"),"Đấu giá&gt; cuốn sách, tạp chí&gt; khoa học tự nhiên và công nghệ&gt; kỹ thuật")</f>
        <v>Đấu giá&gt; cuốn sách, tạp chí&gt; khoa học tự nhiên và công nghệ&gt; kỹ thuật</v>
      </c>
      <c r="F198" t="str">
        <f t="shared" ca="1" si="3"/>
        <v>"2084009021" : "kỹ thuật",</v>
      </c>
    </row>
    <row r="199" spans="1:6" ht="15.75" customHeight="1">
      <c r="A199" s="14">
        <v>2084008153</v>
      </c>
      <c r="B199" s="14" t="s">
        <v>1586</v>
      </c>
      <c r="C199" s="14" t="s">
        <v>5941</v>
      </c>
      <c r="D199" s="5" t="str">
        <f ca="1">IFERROR(__xludf.DUMMYFUNCTION("GOOGLETRANSLATE(B199,""ja"",""vi"")"),"tạp chí")</f>
        <v>tạp chí</v>
      </c>
      <c r="E199" s="4" t="str">
        <f ca="1">IFERROR(__xludf.DUMMYFUNCTION("GOOGLETRANSLATE(C199,""ja"",""vi"")"),"Đấu giá&gt; cuốn sách, tạp chí&gt; khoa học tự nhiên và công nghệ&gt; Tạp chí")</f>
        <v>Đấu giá&gt; cuốn sách, tạp chí&gt; khoa học tự nhiên và công nghệ&gt; Tạp chí</v>
      </c>
      <c r="F199" t="str">
        <f t="shared" ca="1" si="3"/>
        <v>"2084008153" : "tạp chí",</v>
      </c>
    </row>
    <row r="200" spans="1:6" ht="15.75" customHeight="1">
      <c r="A200" s="14">
        <v>2084009015</v>
      </c>
      <c r="B200" s="14" t="s">
        <v>5946</v>
      </c>
      <c r="C200" s="14" t="s">
        <v>5947</v>
      </c>
      <c r="D200" s="5" t="str">
        <f ca="1">IFERROR(__xludf.DUMMYFUNCTION("GOOGLETRANSLATE(B200,""ja"",""vi"")"),"toán học")</f>
        <v>toán học</v>
      </c>
      <c r="E200" s="4" t="str">
        <f ca="1">IFERROR(__xludf.DUMMYFUNCTION("GOOGLETRANSLATE(C200,""ja"",""vi"")"),"Đấu giá&gt; cuốn sách, tạp chí&gt; khoa học tự nhiên và công nghệ&gt; Toán học")</f>
        <v>Đấu giá&gt; cuốn sách, tạp chí&gt; khoa học tự nhiên và công nghệ&gt; Toán học</v>
      </c>
      <c r="F200" t="str">
        <f t="shared" ca="1" si="3"/>
        <v>"2084009015" : "toán học",</v>
      </c>
    </row>
    <row r="201" spans="1:6" ht="15.75" customHeight="1">
      <c r="A201" s="14">
        <v>2084009016</v>
      </c>
      <c r="B201" s="14" t="s">
        <v>5952</v>
      </c>
      <c r="C201" s="14" t="s">
        <v>5953</v>
      </c>
      <c r="D201" s="5" t="str">
        <f ca="1">IFERROR(__xludf.DUMMYFUNCTION("GOOGLETRANSLATE(B201,""ja"",""vi"")"),"sinh học")</f>
        <v>sinh học</v>
      </c>
      <c r="E201" s="4" t="str">
        <f ca="1">IFERROR(__xludf.DUMMYFUNCTION("GOOGLETRANSLATE(C201,""ja"",""vi"")"),"Đấu giá&gt; cuốn sách, tạp chí&gt; khoa học tự nhiên và công nghệ&gt; sinh học")</f>
        <v>Đấu giá&gt; cuốn sách, tạp chí&gt; khoa học tự nhiên và công nghệ&gt; sinh học</v>
      </c>
      <c r="F201" t="str">
        <f t="shared" ca="1" si="3"/>
        <v>"2084009016" : "sinh học",</v>
      </c>
    </row>
    <row r="202" spans="1:6" ht="15.75" customHeight="1">
      <c r="A202" s="14">
        <v>2084009017</v>
      </c>
      <c r="B202" s="14" t="s">
        <v>5957</v>
      </c>
      <c r="C202" s="14" t="s">
        <v>5960</v>
      </c>
      <c r="D202" s="5" t="str">
        <f ca="1">IFERROR(__xludf.DUMMYFUNCTION("GOOGLETRANSLATE(B202,""ja"",""vi"")"),"Khoa học Trái đất")</f>
        <v>Khoa học Trái đất</v>
      </c>
      <c r="E202" s="4" t="str">
        <f ca="1">IFERROR(__xludf.DUMMYFUNCTION("GOOGLETRANSLATE(C202,""ja"",""vi"")"),"Đấu giá&gt; cuốn sách, tạp chí&gt; khoa học tự nhiên và công nghệ&gt; Khoa học Trái đất")</f>
        <v>Đấu giá&gt; cuốn sách, tạp chí&gt; khoa học tự nhiên và công nghệ&gt; Khoa học Trái đất</v>
      </c>
      <c r="F202" t="str">
        <f t="shared" ca="1" si="3"/>
        <v>"2084009017" : "Khoa học Trái đất",</v>
      </c>
    </row>
    <row r="203" spans="1:6" ht="15.75" customHeight="1">
      <c r="A203" s="14">
        <v>2084009018</v>
      </c>
      <c r="B203" s="14" t="s">
        <v>5962</v>
      </c>
      <c r="C203" s="14" t="s">
        <v>5963</v>
      </c>
      <c r="D203" s="5" t="str">
        <f ca="1">IFERROR(__xludf.DUMMYFUNCTION("GOOGLETRANSLATE(B203,""ja"",""vi"")"),"Thiên văn học, vũ trụ")</f>
        <v>Thiên văn học, vũ trụ</v>
      </c>
      <c r="E203" s="4" t="str">
        <f ca="1">IFERROR(__xludf.DUMMYFUNCTION("GOOGLETRANSLATE(C203,""ja"",""vi"")"),"Đấu giá&gt; cuốn sách, tạp chí&gt; khoa học tự nhiên và công nghệ&gt; Thiên văn học, vũ trụ")</f>
        <v>Đấu giá&gt; cuốn sách, tạp chí&gt; khoa học tự nhiên và công nghệ&gt; Thiên văn học, vũ trụ</v>
      </c>
      <c r="F203" t="str">
        <f t="shared" ca="1" si="3"/>
        <v>"2084009018" : "Thiên văn học, vũ trụ",</v>
      </c>
    </row>
    <row r="204" spans="1:6" ht="15.75" customHeight="1">
      <c r="A204" s="14">
        <v>2084009019</v>
      </c>
      <c r="B204" s="14" t="s">
        <v>5967</v>
      </c>
      <c r="C204" s="14" t="s">
        <v>5968</v>
      </c>
      <c r="D204" s="5" t="str">
        <f ca="1">IFERROR(__xludf.DUMMYFUNCTION("GOOGLETRANSLATE(B204,""ja"",""vi"")"),"nông nghiệp")</f>
        <v>nông nghiệp</v>
      </c>
      <c r="E204" s="4" t="str">
        <f ca="1">IFERROR(__xludf.DUMMYFUNCTION("GOOGLETRANSLATE(C204,""ja"",""vi"")"),"Đấu giá&gt; cuốn sách, tạp chí&gt; khoa học tự nhiên và công nghệ&gt; Nông nghiệp")</f>
        <v>Đấu giá&gt; cuốn sách, tạp chí&gt; khoa học tự nhiên và công nghệ&gt; Nông nghiệp</v>
      </c>
      <c r="F204" t="str">
        <f t="shared" ca="1" si="3"/>
        <v>"2084009019" : "nông nghiệp",</v>
      </c>
    </row>
    <row r="205" spans="1:6" ht="15.75" customHeight="1">
      <c r="A205" s="14">
        <v>2084009020</v>
      </c>
      <c r="B205" s="14" t="s">
        <v>5971</v>
      </c>
      <c r="C205" s="14" t="s">
        <v>5972</v>
      </c>
      <c r="D205" s="5" t="str">
        <f ca="1">IFERROR(__xludf.DUMMYFUNCTION("GOOGLETRANSLATE(B205,""ja"",""vi"")"),"vật lý")</f>
        <v>vật lý</v>
      </c>
      <c r="E205" s="4" t="str">
        <f ca="1">IFERROR(__xludf.DUMMYFUNCTION("GOOGLETRANSLATE(C205,""ja"",""vi"")"),"Đấu giá&gt; cuốn sách, tạp chí&gt; khoa học tự nhiên và công nghệ&gt; Vật lý")</f>
        <v>Đấu giá&gt; cuốn sách, tạp chí&gt; khoa học tự nhiên và công nghệ&gt; Vật lý</v>
      </c>
      <c r="F205" t="str">
        <f t="shared" ca="1" si="3"/>
        <v>"2084009020" : "vật lý",</v>
      </c>
    </row>
    <row r="206" spans="1:6" ht="15.75" customHeight="1">
      <c r="A206" s="14">
        <v>2084224178</v>
      </c>
      <c r="B206" s="14" t="s">
        <v>1162</v>
      </c>
      <c r="C206" s="14" t="s">
        <v>7622</v>
      </c>
      <c r="D206" s="5" t="str">
        <f ca="1">IFERROR(__xludf.DUMMYFUNCTION("GOOGLETRANSLATE(B206,""ja"",""vi"")"),"cổ điển")</f>
        <v>cổ điển</v>
      </c>
      <c r="E206" s="4" t="str">
        <f ca="1">IFERROR(__xludf.DUMMYFUNCTION("GOOGLETRANSLATE(C206,""ja"",""vi"")"),"Đấu giá&gt; cổ, bộ sưu tập&gt; máy hát&gt; SP phiên bản&gt; cổ điển")</f>
        <v>Đấu giá&gt; cổ, bộ sưu tập&gt; máy hát&gt; SP phiên bản&gt; cổ điển</v>
      </c>
      <c r="F206" t="str">
        <f t="shared" ca="1" si="3"/>
        <v>"2084224178" : "cổ điển",</v>
      </c>
    </row>
    <row r="207" spans="1:6" ht="15.75" customHeight="1">
      <c r="A207" s="14">
        <v>2084224179</v>
      </c>
      <c r="B207" s="14" t="s">
        <v>1176</v>
      </c>
      <c r="C207" s="14" t="s">
        <v>7627</v>
      </c>
      <c r="D207" s="5" t="str">
        <f ca="1">IFERROR(__xludf.DUMMYFUNCTION("GOOGLETRANSLATE(B207,""ja"",""vi"")"),"nhạc jazz")</f>
        <v>nhạc jazz</v>
      </c>
      <c r="E207" s="4" t="str">
        <f ca="1">IFERROR(__xludf.DUMMYFUNCTION("GOOGLETRANSLATE(C207,""ja"",""vi"")"),"Đấu giá&gt; cổ, bộ sưu tập&gt; máy hát&gt; SP Máy móc&gt; Jazz")</f>
        <v>Đấu giá&gt; cổ, bộ sưu tập&gt; máy hát&gt; SP Máy móc&gt; Jazz</v>
      </c>
      <c r="F207" t="str">
        <f t="shared" ca="1" si="3"/>
        <v>"2084224179" : "nhạc jazz",</v>
      </c>
    </row>
    <row r="208" spans="1:6" ht="15.75" customHeight="1">
      <c r="A208" s="14">
        <v>2084224180</v>
      </c>
      <c r="B208" s="14" t="s">
        <v>46</v>
      </c>
      <c r="C208" s="14" t="s">
        <v>7630</v>
      </c>
      <c r="D208" s="5" t="str">
        <f ca="1">IFERROR(__xludf.DUMMYFUNCTION("GOOGLETRANSLATE(B208,""ja"",""vi"")"),"nếu không thì")</f>
        <v>nếu không thì</v>
      </c>
      <c r="E208" s="4" t="str">
        <f ca="1">IFERROR(__xludf.DUMMYFUNCTION("GOOGLETRANSLATE(C208,""ja"",""vi"")"),"Đấu giá&gt; cổ, bộ sưu tập&gt; máy hát&gt; SP Máy móc&gt; Khác")</f>
        <v>Đấu giá&gt; cổ, bộ sưu tập&gt; máy hát&gt; SP Máy móc&gt; Khác</v>
      </c>
      <c r="F208" t="str">
        <f t="shared" ca="1" si="3"/>
        <v>"2084224180" : "nếu không thì",</v>
      </c>
    </row>
    <row r="209" spans="1:6" ht="15.75" customHeight="1">
      <c r="A209" s="14">
        <v>26224</v>
      </c>
      <c r="B209" s="14" t="s">
        <v>1685</v>
      </c>
      <c r="C209" s="14" t="s">
        <v>7635</v>
      </c>
      <c r="D209" s="5" t="str">
        <f ca="1">IFERROR(__xludf.DUMMYFUNCTION("GOOGLETRANSLATE(B209,""ja"",""vi"")"),"phụ kiện")</f>
        <v>phụ kiện</v>
      </c>
      <c r="E209" s="4" t="str">
        <f ca="1">IFERROR(__xludf.DUMMYFUNCTION("GOOGLETRANSLATE(C209,""ja"",""vi"")"),"Đấu giá&gt; cổ, bộ sưu tập&gt; Phương tiện đi lại&gt; Xe đạp&gt; Phụ kiện")</f>
        <v>Đấu giá&gt; cổ, bộ sưu tập&gt; Phương tiện đi lại&gt; Xe đạp&gt; Phụ kiện</v>
      </c>
      <c r="F209" t="str">
        <f t="shared" ca="1" si="3"/>
        <v>"26224" : "phụ kiện",</v>
      </c>
    </row>
    <row r="210" spans="1:6" ht="15.75" customHeight="1">
      <c r="A210" s="14">
        <v>2084303082</v>
      </c>
      <c r="B210" s="14" t="s">
        <v>7638</v>
      </c>
      <c r="C210" s="14" t="s">
        <v>7640</v>
      </c>
      <c r="D210" s="5" t="str">
        <f ca="1">IFERROR(__xludf.DUMMYFUNCTION("GOOGLETRANSLATE(B210,""ja"",""vi"")"),"Phụ Vintage")</f>
        <v>Phụ Vintage</v>
      </c>
      <c r="E210" s="4" t="str">
        <f ca="1">IFERROR(__xludf.DUMMYFUNCTION("GOOGLETRANSLATE(C210,""ja"",""vi"")"),"Đấu giá&gt; cổ, bộ sưu tập&gt; Phương tiện đi lại&gt; Xe đạp&gt; Linh kiện Vintage")</f>
        <v>Đấu giá&gt; cổ, bộ sưu tập&gt; Phương tiện đi lại&gt; Xe đạp&gt; Linh kiện Vintage</v>
      </c>
      <c r="F210" t="str">
        <f t="shared" ca="1" si="3"/>
        <v>"2084303082" : "Phụ Vintage",</v>
      </c>
    </row>
    <row r="211" spans="1:6" ht="15.75" customHeight="1">
      <c r="A211" s="14">
        <v>26246</v>
      </c>
      <c r="B211" s="14" t="s">
        <v>7643</v>
      </c>
      <c r="C211" s="14" t="s">
        <v>7644</v>
      </c>
      <c r="D211" s="5" t="str">
        <f ca="1">IFERROR(__xludf.DUMMYFUNCTION("GOOGLETRANSLATE(B211,""ja"",""vi"")"),"cơ thể")</f>
        <v>cơ thể</v>
      </c>
      <c r="E211" s="4" t="str">
        <f ca="1">IFERROR(__xludf.DUMMYFUNCTION("GOOGLETRANSLATE(C211,""ja"",""vi"")"),"Đấu giá&gt; cổ, bộ sưu tập&gt; Phương tiện đi lại&gt; Xe đạp&gt; cơ thể")</f>
        <v>Đấu giá&gt; cổ, bộ sưu tập&gt; Phương tiện đi lại&gt; Xe đạp&gt; cơ thể</v>
      </c>
      <c r="F211" t="str">
        <f t="shared" ca="1" si="3"/>
        <v>"26246" : "cơ thể",</v>
      </c>
    </row>
    <row r="212" spans="1:6" ht="15.75" customHeight="1">
      <c r="A212" s="14">
        <v>2084063766</v>
      </c>
      <c r="B212" s="14" t="s">
        <v>7648</v>
      </c>
      <c r="C212" s="14" t="s">
        <v>7650</v>
      </c>
      <c r="D212" s="5" t="str">
        <f ca="1">IFERROR(__xludf.DUMMYFUNCTION("GOOGLETRANSLATE(B212,""ja"",""vi"")"),"The Aristocats")</f>
        <v>The Aristocats</v>
      </c>
      <c r="E212" s="4" t="str">
        <f ca="1">IFERROR(__xludf.DUMMYFUNCTION("GOOGLETRANSLATE(C212,""ja"",""vi"")"),"Đấu giá&gt; Đồ chơi, trò chơi&gt; thú nhồi bông&gt; Nhân vật&gt; Disney&gt; The Aristocats")</f>
        <v>Đấu giá&gt; Đồ chơi, trò chơi&gt; thú nhồi bông&gt; Nhân vật&gt; Disney&gt; The Aristocats</v>
      </c>
      <c r="F212" t="str">
        <f t="shared" ca="1" si="3"/>
        <v>"2084063766" : "The Aristocats",</v>
      </c>
    </row>
    <row r="213" spans="1:6" ht="15.75" customHeight="1">
      <c r="A213" s="14">
        <v>40537</v>
      </c>
      <c r="B213" s="14" t="s">
        <v>7653</v>
      </c>
      <c r="C213" s="14" t="s">
        <v>7656</v>
      </c>
      <c r="D213" s="5" t="str">
        <f ca="1">IFERROR(__xludf.DUMMYFUNCTION("GOOGLETRANSLATE(B213,""ja"",""vi"")"),"Winnie the Pooh")</f>
        <v>Winnie the Pooh</v>
      </c>
      <c r="E213" s="4" t="str">
        <f ca="1">IFERROR(__xludf.DUMMYFUNCTION("GOOGLETRANSLATE(C213,""ja"",""vi"")"),"Đấu giá&gt; Đồ chơi, trò chơi&gt; thú nhồi bông&gt; Nhân vật&gt; Disney&gt; Winnie the Pooh")</f>
        <v>Đấu giá&gt; Đồ chơi, trò chơi&gt; thú nhồi bông&gt; Nhân vật&gt; Disney&gt; Winnie the Pooh</v>
      </c>
      <c r="F213" t="str">
        <f t="shared" ca="1" si="3"/>
        <v>"40537" : "Winnie the Pooh",</v>
      </c>
    </row>
    <row r="214" spans="1:6" ht="15.75" customHeight="1">
      <c r="A214" s="14">
        <v>2084020115</v>
      </c>
      <c r="B214" s="14" t="s">
        <v>7660</v>
      </c>
      <c r="C214" s="14" t="s">
        <v>7662</v>
      </c>
      <c r="D214" s="5" t="str">
        <f ca="1">IFERROR(__xludf.DUMMYFUNCTION("GOOGLETRANSLATE(B214,""ja"",""vi"")"),"Goofy")</f>
        <v>Goofy</v>
      </c>
      <c r="E214" s="4" t="str">
        <f ca="1">IFERROR(__xludf.DUMMYFUNCTION("GOOGLETRANSLATE(C214,""ja"",""vi"")"),"Đấu giá&gt; Đồ chơi, trò chơi&gt; thú nhồi bông&gt; Nhân vật&gt; Disney&gt; Goofy")</f>
        <v>Đấu giá&gt; Đồ chơi, trò chơi&gt; thú nhồi bông&gt; Nhân vật&gt; Disney&gt; Goofy</v>
      </c>
      <c r="F214" t="str">
        <f t="shared" ca="1" si="3"/>
        <v>"2084020115" : "Goofy",</v>
      </c>
    </row>
    <row r="215" spans="1:6" ht="15.75" customHeight="1">
      <c r="A215" s="14">
        <v>2084259289</v>
      </c>
      <c r="B215" s="14" t="s">
        <v>7665</v>
      </c>
      <c r="C215" s="14" t="s">
        <v>7667</v>
      </c>
      <c r="D215" s="5" t="str">
        <f ca="1">IFERROR(__xludf.DUMMYFUNCTION("GOOGLETRANSLATE(B215,""ja"",""vi"")"),"Sherry Mei")</f>
        <v>Sherry Mei</v>
      </c>
      <c r="E215" s="4" t="str">
        <f ca="1">IFERROR(__xludf.DUMMYFUNCTION("GOOGLETRANSLATE(C215,""ja"",""vi"")"),"Đấu giá&gt; Đồ chơi, trò chơi&gt; thú nhồi bông&gt; Nhân vật&gt; Disney&gt; Shelley Mei")</f>
        <v>Đấu giá&gt; Đồ chơi, trò chơi&gt; thú nhồi bông&gt; Nhân vật&gt; Disney&gt; Shelley Mei</v>
      </c>
      <c r="F215" t="str">
        <f t="shared" ca="1" si="3"/>
        <v>"2084259289" : "Sherry Mei",</v>
      </c>
    </row>
    <row r="216" spans="1:6" ht="15.75" customHeight="1">
      <c r="A216" s="14">
        <v>2084240474</v>
      </c>
      <c r="B216" s="14" t="s">
        <v>7671</v>
      </c>
      <c r="C216" s="14" t="s">
        <v>7673</v>
      </c>
      <c r="D216" s="5" t="str">
        <f ca="1">IFERROR(__xludf.DUMMYFUNCTION("GOOGLETRANSLATE(B216,""ja"",""vi"")"),"Duffy")</f>
        <v>Duffy</v>
      </c>
      <c r="E216" s="4" t="str">
        <f ca="1">IFERROR(__xludf.DUMMYFUNCTION("GOOGLETRANSLATE(C216,""ja"",""vi"")"),"Đấu giá&gt; Đồ chơi, trò chơi&gt; thú nhồi bông&gt; Nhân vật&gt; Disney&gt; Duffy")</f>
        <v>Đấu giá&gt; Đồ chơi, trò chơi&gt; thú nhồi bông&gt; Nhân vật&gt; Disney&gt; Duffy</v>
      </c>
      <c r="F216" t="str">
        <f t="shared" ca="1" si="3"/>
        <v>"2084240474" : "Duffy",</v>
      </c>
    </row>
    <row r="217" spans="1:6" ht="15.75" customHeight="1">
      <c r="A217" s="14">
        <v>2084020116</v>
      </c>
      <c r="B217" s="14" t="s">
        <v>7677</v>
      </c>
      <c r="C217" s="14" t="s">
        <v>7678</v>
      </c>
      <c r="D217" s="5" t="str">
        <f ca="1">IFERROR(__xludf.DUMMYFUNCTION("GOOGLETRANSLATE(B217,""ja"",""vi"")"),"Dumbo")</f>
        <v>Dumbo</v>
      </c>
      <c r="E217" s="4" t="str">
        <f ca="1">IFERROR(__xludf.DUMMYFUNCTION("GOOGLETRANSLATE(C217,""ja"",""vi"")"),"Đấu giá&gt; Đồ chơi, trò chơi&gt; thú nhồi bông&gt; Nhân vật&gt; Disney&gt; Dumbo")</f>
        <v>Đấu giá&gt; Đồ chơi, trò chơi&gt; thú nhồi bông&gt; Nhân vật&gt; Disney&gt; Dumbo</v>
      </c>
      <c r="F217" t="str">
        <f t="shared" ca="1" si="3"/>
        <v>"2084020116" : "Dumbo",</v>
      </c>
    </row>
    <row r="218" spans="1:6" ht="15.75" customHeight="1">
      <c r="A218" s="14">
        <v>2084020117</v>
      </c>
      <c r="B218" s="14" t="s">
        <v>7682</v>
      </c>
      <c r="C218" s="14" t="s">
        <v>7683</v>
      </c>
      <c r="D218" s="5" t="str">
        <f ca="1">IFERROR(__xludf.DUMMYFUNCTION("GOOGLETRANSLATE(B218,""ja"",""vi"")"),"Chip &amp; Dale")</f>
        <v>Chip &amp; Dale</v>
      </c>
      <c r="E218" s="4" t="str">
        <f ca="1">IFERROR(__xludf.DUMMYFUNCTION("GOOGLETRANSLATE(C218,""ja"",""vi"")"),"Đấu giá&gt; Đồ chơi, trò chơi&gt; thú nhồi bông&gt; Nhân vật&gt; Disney&gt; Chip &amp; Dale")</f>
        <v>Đấu giá&gt; Đồ chơi, trò chơi&gt; thú nhồi bông&gt; Nhân vật&gt; Disney&gt; Chip &amp; Dale</v>
      </c>
      <c r="F218" t="str">
        <f t="shared" ca="1" si="3"/>
        <v>"2084020117" : "Chip &amp; Dale",</v>
      </c>
    </row>
    <row r="219" spans="1:6" ht="15.75" customHeight="1">
      <c r="A219" s="14">
        <v>2084063765</v>
      </c>
      <c r="B219" s="14" t="s">
        <v>1021</v>
      </c>
      <c r="C219" s="14" t="s">
        <v>7690</v>
      </c>
      <c r="D219" s="5" t="str">
        <f ca="1">IFERROR(__xludf.DUMMYFUNCTION("GOOGLETRANSLATE(B219,""ja"",""vi"")"),"Toy Story")</f>
        <v>Toy Story</v>
      </c>
      <c r="E219" s="4" t="str">
        <f ca="1">IFERROR(__xludf.DUMMYFUNCTION("GOOGLETRANSLATE(C219,""ja"",""vi"")"),"Đấu giá&gt; Đồ chơi, trò chơi&gt; thú nhồi bông&gt; Nhân vật&gt; Disney&gt; Toy Story")</f>
        <v>Đấu giá&gt; Đồ chơi, trò chơi&gt; thú nhồi bông&gt; Nhân vật&gt; Disney&gt; Toy Story</v>
      </c>
      <c r="F219" t="str">
        <f t="shared" ca="1" si="3"/>
        <v>"2084063765" : "Toy Story",</v>
      </c>
    </row>
    <row r="220" spans="1:6" ht="15.75" customHeight="1">
      <c r="A220" s="14">
        <v>2084020118</v>
      </c>
      <c r="B220" s="14" t="s">
        <v>7695</v>
      </c>
      <c r="C220" s="14" t="s">
        <v>7696</v>
      </c>
      <c r="D220" s="5" t="str">
        <f ca="1">IFERROR(__xludf.DUMMYFUNCTION("GOOGLETRANSLATE(B220,""ja"",""vi"")"),"Donald Duck")</f>
        <v>Donald Duck</v>
      </c>
      <c r="E220" s="4" t="str">
        <f ca="1">IFERROR(__xludf.DUMMYFUNCTION("GOOGLETRANSLATE(C220,""ja"",""vi"")"),"Đấu giá&gt; Đồ chơi, trò chơi&gt; thú nhồi bông&gt; Nhân vật&gt; Disney&gt; Vịt Donald")</f>
        <v>Đấu giá&gt; Đồ chơi, trò chơi&gt; thú nhồi bông&gt; Nhân vật&gt; Disney&gt; Vịt Donald</v>
      </c>
      <c r="F220" t="str">
        <f t="shared" ca="1" si="3"/>
        <v>"2084020118" : "Donald Duck",</v>
      </c>
    </row>
    <row r="221" spans="1:6" ht="15.75" customHeight="1">
      <c r="A221" s="14">
        <v>2084020119</v>
      </c>
      <c r="B221" s="14" t="s">
        <v>7700</v>
      </c>
      <c r="C221" s="14" t="s">
        <v>7702</v>
      </c>
      <c r="D221" s="5" t="str">
        <f ca="1">IFERROR(__xludf.DUMMYFUNCTION("GOOGLETRANSLATE(B221,""ja"",""vi"")"),"Bambi")</f>
        <v>Bambi</v>
      </c>
      <c r="E221" s="4" t="str">
        <f ca="1">IFERROR(__xludf.DUMMYFUNCTION("GOOGLETRANSLATE(C221,""ja"",""vi"")"),"Đấu giá&gt; Đồ chơi, trò chơi&gt; thú nhồi bông&gt; Nhân vật&gt; Disney&gt; Bambi")</f>
        <v>Đấu giá&gt; Đồ chơi, trò chơi&gt; thú nhồi bông&gt; Nhân vật&gt; Disney&gt; Bambi</v>
      </c>
      <c r="F221" t="str">
        <f t="shared" ca="1" si="3"/>
        <v>"2084020119" : "Bambi",</v>
      </c>
    </row>
    <row r="222" spans="1:6" ht="15.75" customHeight="1">
      <c r="A222" s="14">
        <v>2084020122</v>
      </c>
      <c r="B222" s="14" t="s">
        <v>7705</v>
      </c>
      <c r="C222" s="14" t="s">
        <v>7707</v>
      </c>
      <c r="D222" s="5" t="str">
        <f ca="1">IFERROR(__xludf.DUMMYFUNCTION("GOOGLETRANSLATE(B222,""ja"",""vi"")"),"sao Điêm vương")</f>
        <v>sao Điêm vương</v>
      </c>
      <c r="E222" s="4" t="str">
        <f ca="1">IFERROR(__xludf.DUMMYFUNCTION("GOOGLETRANSLATE(C222,""ja"",""vi"")"),"Đấu giá&gt; Đồ chơi, trò chơi&gt; thú nhồi bông&gt; Nhân vật&gt; Disney&gt; Sao Diêm Vương")</f>
        <v>Đấu giá&gt; Đồ chơi, trò chơi&gt; thú nhồi bông&gt; Nhân vật&gt; Disney&gt; Sao Diêm Vương</v>
      </c>
      <c r="F222" t="str">
        <f t="shared" ca="1" si="3"/>
        <v>"2084020122" : "sao Điêm vương",</v>
      </c>
    </row>
    <row r="223" spans="1:6" ht="15.75" customHeight="1">
      <c r="A223" s="14">
        <v>2084020123</v>
      </c>
      <c r="B223" s="14" t="s">
        <v>1512</v>
      </c>
      <c r="C223" s="14" t="s">
        <v>7710</v>
      </c>
      <c r="D223" s="5" t="str">
        <f ca="1">IFERROR(__xludf.DUMMYFUNCTION("GOOGLETRANSLATE(B223,""ja"",""vi"")"),"Mickey Mouse")</f>
        <v>Mickey Mouse</v>
      </c>
      <c r="E223" s="4" t="str">
        <f ca="1">IFERROR(__xludf.DUMMYFUNCTION("GOOGLETRANSLATE(C223,""ja"",""vi"")"),"Đấu giá&gt; Đồ chơi, trò chơi&gt; thú nhồi bông&gt; Nhân vật&gt; Disney&gt; Mickey Mouse")</f>
        <v>Đấu giá&gt; Đồ chơi, trò chơi&gt; thú nhồi bông&gt; Nhân vật&gt; Disney&gt; Mickey Mouse</v>
      </c>
      <c r="F223" t="str">
        <f t="shared" ca="1" si="3"/>
        <v>"2084020123" : "Mickey Mouse",</v>
      </c>
    </row>
    <row r="224" spans="1:6" ht="15.75" customHeight="1">
      <c r="A224" s="14">
        <v>2084020124</v>
      </c>
      <c r="B224" s="14" t="s">
        <v>7713</v>
      </c>
      <c r="C224" s="14" t="s">
        <v>7715</v>
      </c>
      <c r="D224" s="5" t="str">
        <f ca="1">IFERROR(__xludf.DUMMYFUNCTION("GOOGLETRANSLATE(B224,""ja"",""vi"")"),"chuột Minnie")</f>
        <v>chuột Minnie</v>
      </c>
      <c r="E224" s="4" t="str">
        <f ca="1">IFERROR(__xludf.DUMMYFUNCTION("GOOGLETRANSLATE(C224,""ja"",""vi"")"),"Đấu giá&gt; Đồ chơi, trò chơi&gt; thú nhồi bông&gt; Nhân vật&gt; Disney&gt; Chuột Minnie")</f>
        <v>Đấu giá&gt; Đồ chơi, trò chơi&gt; thú nhồi bông&gt; Nhân vật&gt; Disney&gt; Chuột Minnie</v>
      </c>
      <c r="F224" t="str">
        <f t="shared" ca="1" si="3"/>
        <v>"2084020124" : "chuột Minnie",</v>
      </c>
    </row>
    <row r="225" spans="1:6" ht="15.75" customHeight="1">
      <c r="A225" s="14">
        <v>2084310504</v>
      </c>
      <c r="B225" s="14" t="s">
        <v>7719</v>
      </c>
      <c r="C225" s="14" t="s">
        <v>7720</v>
      </c>
      <c r="D225" s="5" t="str">
        <f ca="1">IFERROR(__xludf.DUMMYFUNCTION("GOOGLETRANSLATE(B225,""ja"",""vi"")"),"Yunibeashiti")</f>
        <v>Yunibeashiti</v>
      </c>
      <c r="E225" s="4" t="str">
        <f ca="1">IFERROR(__xludf.DUMMYFUNCTION("GOOGLETRANSLATE(C225,""ja"",""vi"")"),"Đấu giá&gt; Đồ chơi, trò chơi&gt; thú nhồi bông&gt; Nhân vật&gt; Disney&gt; Yunibeashiti")</f>
        <v>Đấu giá&gt; Đồ chơi, trò chơi&gt; thú nhồi bông&gt; Nhân vật&gt; Disney&gt; Yunibeashiti</v>
      </c>
      <c r="F225" t="str">
        <f t="shared" ca="1" si="3"/>
        <v>"2084310504" : "Yunibeashiti",</v>
      </c>
    </row>
    <row r="226" spans="1:6" ht="15.75" customHeight="1">
      <c r="A226" s="14">
        <v>2084063764</v>
      </c>
      <c r="B226" s="14" t="s">
        <v>7723</v>
      </c>
      <c r="C226" s="14" t="s">
        <v>7724</v>
      </c>
      <c r="D226" s="5" t="str">
        <f ca="1">IFERROR(__xludf.DUMMYFUNCTION("GOOGLETRANSLATE(B226,""ja"",""vi"")"),"Lilo &amp; Stitch")</f>
        <v>Lilo &amp; Stitch</v>
      </c>
      <c r="E226" s="4" t="str">
        <f ca="1">IFERROR(__xludf.DUMMYFUNCTION("GOOGLETRANSLATE(C226,""ja"",""vi"")"),"Đấu giá&gt; Đồ chơi, trò chơi&gt; thú nhồi bông&gt; Nhân vật&gt; Disney&gt; Lilo &amp; Stitch")</f>
        <v>Đấu giá&gt; Đồ chơi, trò chơi&gt; thú nhồi bông&gt; Nhân vật&gt; Disney&gt; Lilo &amp; Stitch</v>
      </c>
      <c r="F226" t="str">
        <f t="shared" ca="1" si="3"/>
        <v>"2084063764" : "Lilo &amp; Stitch",</v>
      </c>
    </row>
    <row r="227" spans="1:6" ht="15.75" customHeight="1">
      <c r="A227" s="14">
        <v>2084039620</v>
      </c>
      <c r="B227" s="14" t="s">
        <v>7728</v>
      </c>
      <c r="C227" s="14" t="s">
        <v>7730</v>
      </c>
      <c r="D227" s="5" t="str">
        <f ca="1">IFERROR(__xludf.DUMMYFUNCTION("GOOGLETRANSLATE(B227,""ja"",""vi"")"),"Bạch tuyết")</f>
        <v>Bạch tuyết</v>
      </c>
      <c r="E227" s="4" t="str">
        <f ca="1">IFERROR(__xludf.DUMMYFUNCTION("GOOGLETRANSLATE(C227,""ja"",""vi"")"),"Đấu giá&gt; Đồ chơi, trò chơi&gt; thú nhồi bông&gt; Nhân vật&gt; Disney&gt; Bạch Tuyết")</f>
        <v>Đấu giá&gt; Đồ chơi, trò chơi&gt; thú nhồi bông&gt; Nhân vật&gt; Disney&gt; Bạch Tuyết</v>
      </c>
      <c r="F227" t="str">
        <f t="shared" ca="1" si="3"/>
        <v>"2084039620" : "Bạch tuyết",</v>
      </c>
    </row>
    <row r="228" spans="1:6" ht="15.75" customHeight="1">
      <c r="A228" s="14">
        <v>2084020125</v>
      </c>
      <c r="B228" s="14" t="s">
        <v>46</v>
      </c>
      <c r="C228" s="14" t="s">
        <v>7735</v>
      </c>
      <c r="D228" s="5" t="str">
        <f ca="1">IFERROR(__xludf.DUMMYFUNCTION("GOOGLETRANSLATE(B228,""ja"",""vi"")"),"nếu không thì")</f>
        <v>nếu không thì</v>
      </c>
      <c r="E228" s="4" t="str">
        <f ca="1">IFERROR(__xludf.DUMMYFUNCTION("GOOGLETRANSLATE(C228,""ja"",""vi"")"),"Đấu giá&gt; Đồ chơi, trò chơi&gt; thú nhồi bông&gt; Nhân vật&gt; Disney&gt; Khác")</f>
        <v>Đấu giá&gt; Đồ chơi, trò chơi&gt; thú nhồi bông&gt; Nhân vật&gt; Disney&gt; Khác</v>
      </c>
      <c r="F228" t="str">
        <f t="shared" ca="1" si="3"/>
        <v>"2084020125" : "nếu không thì",</v>
      </c>
    </row>
    <row r="229" spans="1:6" ht="15.75" customHeight="1">
      <c r="A229" s="14">
        <v>2084020025</v>
      </c>
      <c r="B229" s="14" t="s">
        <v>7738</v>
      </c>
      <c r="C229" s="14" t="s">
        <v>7740</v>
      </c>
      <c r="D229" s="5" t="str">
        <f ca="1">IFERROR(__xludf.DUMMYFUNCTION("GOOGLETRANSLATE(B229,""ja"",""vi"")"),"101 Dalmatians")</f>
        <v>101 Dalmatians</v>
      </c>
      <c r="E229" s="4" t="str">
        <f ca="1">IFERROR(__xludf.DUMMYFUNCTION("GOOGLETRANSLATE(C229,""ja"",""vi"")"),"Đấu giá&gt; đồ chơi, trò chơi&gt; búp bê, búp bê nhân vật&gt; nhân vật búp bê&gt; Disney&gt; 101 Dalmatians")</f>
        <v>Đấu giá&gt; đồ chơi, trò chơi&gt; búp bê, búp bê nhân vật&gt; nhân vật búp bê&gt; Disney&gt; 101 Dalmatians</v>
      </c>
      <c r="F229" t="str">
        <f t="shared" ca="1" si="3"/>
        <v>"2084020025" : "101 Dalmatians",</v>
      </c>
    </row>
    <row r="230" spans="1:6" ht="15.75" customHeight="1">
      <c r="A230" s="14">
        <v>2084063672</v>
      </c>
      <c r="B230" s="14" t="s">
        <v>7743</v>
      </c>
      <c r="C230" s="14" t="s">
        <v>7744</v>
      </c>
      <c r="D230" s="5" t="str">
        <f ca="1">IFERROR(__xludf.DUMMYFUNCTION("GOOGLETRANSLATE(B230,""ja"",""vi"")"),"Ông Incredibles")</f>
        <v>Ông Incredibles</v>
      </c>
      <c r="E230" s="4" t="str">
        <f ca="1">IFERROR(__xludf.DUMMYFUNCTION("GOOGLETRANSLATE(C230,""ja"",""vi"")"),"Đấu giá&gt; đồ chơi, trò chơi&gt; búp bê, búp bê nhân vật&gt; nhân vật búp bê&gt; Disney&gt; Ông Incredibles")</f>
        <v>Đấu giá&gt; đồ chơi, trò chơi&gt; búp bê, búp bê nhân vật&gt; nhân vật búp bê&gt; Disney&gt; Ông Incredibles</v>
      </c>
      <c r="F230" t="str">
        <f t="shared" ca="1" si="3"/>
        <v>"2084063672" : "Ông Incredibles",</v>
      </c>
    </row>
    <row r="231" spans="1:6" ht="15.75" customHeight="1">
      <c r="A231" s="14">
        <v>2084020017</v>
      </c>
      <c r="B231" s="14" t="s">
        <v>7653</v>
      </c>
      <c r="C231" s="14" t="s">
        <v>7748</v>
      </c>
      <c r="D231" s="5" t="str">
        <f ca="1">IFERROR(__xludf.DUMMYFUNCTION("GOOGLETRANSLATE(B231,""ja"",""vi"")"),"Winnie the Pooh")</f>
        <v>Winnie the Pooh</v>
      </c>
      <c r="E231" s="4" t="str">
        <f ca="1">IFERROR(__xludf.DUMMYFUNCTION("GOOGLETRANSLATE(C231,""ja"",""vi"")"),"Đấu giá&gt; đồ chơi, trò chơi&gt; búp bê, búp bê nhân vật&gt; nhân vật búp bê&gt; Disney&gt; Winnie the Pooh")</f>
        <v>Đấu giá&gt; đồ chơi, trò chơi&gt; búp bê, búp bê nhân vật&gt; nhân vật búp bê&gt; Disney&gt; Winnie the Pooh</v>
      </c>
      <c r="F231" t="str">
        <f t="shared" ca="1" si="3"/>
        <v>"2084020017" : "Winnie the Pooh",</v>
      </c>
    </row>
    <row r="232" spans="1:6" ht="15.75" customHeight="1">
      <c r="A232" s="14">
        <v>2084242866</v>
      </c>
      <c r="B232" s="14" t="s">
        <v>7750</v>
      </c>
      <c r="C232" s="14" t="s">
        <v>7752</v>
      </c>
      <c r="D232" s="5" t="str">
        <f ca="1">IFERROR(__xludf.DUMMYFUNCTION("GOOGLETRANSLATE(B232,""ja"",""vi"")"),"Ô tô")</f>
        <v>Ô tô</v>
      </c>
      <c r="E232" s="4" t="str">
        <f ca="1">IFERROR(__xludf.DUMMYFUNCTION("GOOGLETRANSLATE(C232,""ja"",""vi"")"),"Đấu giá&gt; đồ chơi, trò chơi&gt; búp bê, búp bê nhân vật&gt; nhân vật búp bê&gt; Disney&gt; Ô tô")</f>
        <v>Đấu giá&gt; đồ chơi, trò chơi&gt; búp bê, búp bê nhân vật&gt; nhân vật búp bê&gt; Disney&gt; Ô tô</v>
      </c>
      <c r="F232" t="str">
        <f t="shared" ca="1" si="3"/>
        <v>"2084242866" : "Ô tô",</v>
      </c>
    </row>
    <row r="233" spans="1:6" ht="15.75" customHeight="1">
      <c r="A233" s="14">
        <v>2084020018</v>
      </c>
      <c r="B233" s="14" t="s">
        <v>7660</v>
      </c>
      <c r="C233" s="14" t="s">
        <v>7756</v>
      </c>
      <c r="D233" s="5" t="str">
        <f ca="1">IFERROR(__xludf.DUMMYFUNCTION("GOOGLETRANSLATE(B233,""ja"",""vi"")"),"Goofy")</f>
        <v>Goofy</v>
      </c>
      <c r="E233" s="4" t="str">
        <f ca="1">IFERROR(__xludf.DUMMYFUNCTION("GOOGLETRANSLATE(C233,""ja"",""vi"")"),"Đấu giá&gt; đồ chơi, trò chơi&gt; búp bê, búp bê nhân vật&gt; nhân vật búp bê&gt; Disney&gt; Goofy")</f>
        <v>Đấu giá&gt; đồ chơi, trò chơi&gt; búp bê, búp bê nhân vật&gt; nhân vật búp bê&gt; Disney&gt; Goofy</v>
      </c>
      <c r="F233" t="str">
        <f t="shared" ca="1" si="3"/>
        <v>"2084020018" : "Goofy",</v>
      </c>
    </row>
    <row r="234" spans="1:6" ht="15.75" customHeight="1">
      <c r="A234" s="14">
        <v>2084020019</v>
      </c>
      <c r="B234" s="14" t="s">
        <v>7677</v>
      </c>
      <c r="C234" s="14" t="s">
        <v>7759</v>
      </c>
      <c r="D234" s="5" t="str">
        <f ca="1">IFERROR(__xludf.DUMMYFUNCTION("GOOGLETRANSLATE(B234,""ja"",""vi"")"),"Dumbo")</f>
        <v>Dumbo</v>
      </c>
      <c r="E234" s="4" t="str">
        <f ca="1">IFERROR(__xludf.DUMMYFUNCTION("GOOGLETRANSLATE(C234,""ja"",""vi"")"),"Đấu giá&gt; đồ chơi, trò chơi&gt; búp bê, búp bê nhân vật&gt; nhân vật búp bê&gt; Disney&gt; Dumbo")</f>
        <v>Đấu giá&gt; đồ chơi, trò chơi&gt; búp bê, búp bê nhân vật&gt; nhân vật búp bê&gt; Disney&gt; Dumbo</v>
      </c>
      <c r="F234" t="str">
        <f t="shared" ca="1" si="3"/>
        <v>"2084020019" : "Dumbo",</v>
      </c>
    </row>
    <row r="235" spans="1:6" ht="15.75" customHeight="1">
      <c r="A235" s="14">
        <v>2084020020</v>
      </c>
      <c r="B235" s="14" t="s">
        <v>7762</v>
      </c>
      <c r="C235" s="14" t="s">
        <v>7763</v>
      </c>
      <c r="D235" s="5" t="str">
        <f ca="1">IFERROR(__xludf.DUMMYFUNCTION("GOOGLETRANSLATE(B235,""ja"",""vi"")"),"Chip &amp; Dale")</f>
        <v>Chip &amp; Dale</v>
      </c>
      <c r="E235" s="4" t="str">
        <f ca="1">IFERROR(__xludf.DUMMYFUNCTION("GOOGLETRANSLATE(C235,""ja"",""vi"")"),"Đấu giá&gt; đồ chơi, trò chơi&gt; búp bê, búp bê nhân vật&gt; nhân vật búp bê&gt; Disney&gt; Chip &amp; Dale")</f>
        <v>Đấu giá&gt; đồ chơi, trò chơi&gt; búp bê, búp bê nhân vật&gt; nhân vật búp bê&gt; Disney&gt; Chip &amp; Dale</v>
      </c>
      <c r="F235" t="str">
        <f t="shared" ca="1" si="3"/>
        <v>"2084020020" : "Chip &amp; Dale",</v>
      </c>
    </row>
    <row r="236" spans="1:6" ht="15.75" customHeight="1">
      <c r="A236" s="14">
        <v>2084020030</v>
      </c>
      <c r="B236" s="14" t="s">
        <v>1021</v>
      </c>
      <c r="C236" s="14" t="s">
        <v>7767</v>
      </c>
      <c r="D236" s="5" t="str">
        <f ca="1">IFERROR(__xludf.DUMMYFUNCTION("GOOGLETRANSLATE(B236,""ja"",""vi"")"),"Toy Story")</f>
        <v>Toy Story</v>
      </c>
      <c r="E236" s="4" t="str">
        <f ca="1">IFERROR(__xludf.DUMMYFUNCTION("GOOGLETRANSLATE(C236,""ja"",""vi"")"),"Đấu giá&gt; đồ chơi, trò chơi&gt; búp bê, búp bê nhân vật&gt; nhân vật búp bê&gt; Disney&gt; Toy Story")</f>
        <v>Đấu giá&gt; đồ chơi, trò chơi&gt; búp bê, búp bê nhân vật&gt; nhân vật búp bê&gt; Disney&gt; Toy Story</v>
      </c>
      <c r="F236" t="str">
        <f t="shared" ca="1" si="3"/>
        <v>"2084020030" : "Toy Story",</v>
      </c>
    </row>
    <row r="237" spans="1:6" ht="15.75" customHeight="1">
      <c r="A237" s="14">
        <v>2084020022</v>
      </c>
      <c r="B237" s="14" t="s">
        <v>7695</v>
      </c>
      <c r="C237" s="14" t="s">
        <v>7769</v>
      </c>
      <c r="D237" s="5" t="str">
        <f ca="1">IFERROR(__xludf.DUMMYFUNCTION("GOOGLETRANSLATE(B237,""ja"",""vi"")"),"Donald Duck")</f>
        <v>Donald Duck</v>
      </c>
      <c r="E237" s="4" t="str">
        <f ca="1">IFERROR(__xludf.DUMMYFUNCTION("GOOGLETRANSLATE(C237,""ja"",""vi"")"),"Đấu giá&gt; đồ chơi, trò chơi&gt; búp bê, búp bê nhân vật&gt; nhân vật búp bê&gt; Disney&gt; Vịt Donald")</f>
        <v>Đấu giá&gt; đồ chơi, trò chơi&gt; búp bê, búp bê nhân vật&gt; nhân vật búp bê&gt; Disney&gt; Vịt Donald</v>
      </c>
      <c r="F237" t="str">
        <f t="shared" ca="1" si="3"/>
        <v>"2084020022" : "Donald Duck",</v>
      </c>
    </row>
    <row r="238" spans="1:6" ht="15.75" customHeight="1">
      <c r="A238" s="14">
        <v>2084063675</v>
      </c>
      <c r="B238" s="14" t="s">
        <v>7772</v>
      </c>
      <c r="C238" s="14" t="s">
        <v>7773</v>
      </c>
      <c r="D238" s="5" t="str">
        <f ca="1">IFERROR(__xludf.DUMMYFUNCTION("GOOGLETRANSLATE(B238,""ja"",""vi"")"),"A Bug Cuộc sống")</f>
        <v>A Bug Cuộc sống</v>
      </c>
      <c r="E238" s="4" t="str">
        <f ca="1">IFERROR(__xludf.DUMMYFUNCTION("GOOGLETRANSLATE(C238,""ja"",""vi"")"),"Đấu giá&gt; đồ chơi, trò chơi&gt; búp bê, búp bê nhân vật&gt; nhân vật búp bê&gt; Disney&gt; A Bug Cuộc sống")</f>
        <v>Đấu giá&gt; đồ chơi, trò chơi&gt; búp bê, búp bê nhân vật&gt; nhân vật búp bê&gt; Disney&gt; A Bug Cuộc sống</v>
      </c>
      <c r="F238" t="str">
        <f t="shared" ca="1" si="3"/>
        <v>"2084063675" : "A Bug Cuộc sống",</v>
      </c>
    </row>
    <row r="239" spans="1:6" ht="15.75" customHeight="1">
      <c r="A239" s="14">
        <v>2084020023</v>
      </c>
      <c r="B239" s="14" t="s">
        <v>7700</v>
      </c>
      <c r="C239" s="14" t="s">
        <v>7776</v>
      </c>
      <c r="D239" s="5" t="str">
        <f ca="1">IFERROR(__xludf.DUMMYFUNCTION("GOOGLETRANSLATE(B239,""ja"",""vi"")"),"Bambi")</f>
        <v>Bambi</v>
      </c>
      <c r="E239" s="4" t="str">
        <f ca="1">IFERROR(__xludf.DUMMYFUNCTION("GOOGLETRANSLATE(C239,""ja"",""vi"")"),"Đấu giá&gt; đồ chơi, trò chơi&gt; búp bê, búp bê nhân vật&gt; nhân vật búp bê&gt; Disney&gt; Bambi")</f>
        <v>Đấu giá&gt; đồ chơi, trò chơi&gt; búp bê, búp bê nhân vật&gt; nhân vật búp bê&gt; Disney&gt; Bambi</v>
      </c>
      <c r="F239" t="str">
        <f t="shared" ca="1" si="3"/>
        <v>"2084020023" : "Bambi",</v>
      </c>
    </row>
    <row r="240" spans="1:6" ht="15.75" customHeight="1">
      <c r="A240" s="14">
        <v>2084020021</v>
      </c>
      <c r="B240" s="14" t="s">
        <v>7778</v>
      </c>
      <c r="C240" s="14" t="s">
        <v>7779</v>
      </c>
      <c r="D240" s="5" t="str">
        <f ca="1">IFERROR(__xludf.DUMMYFUNCTION("GOOGLETRANSLATE(B240,""ja"",""vi"")"),"Peter Pan")</f>
        <v>Peter Pan</v>
      </c>
      <c r="E240" s="4" t="str">
        <f ca="1">IFERROR(__xludf.DUMMYFUNCTION("GOOGLETRANSLATE(C240,""ja"",""vi"")"),"Đấu giá&gt; đồ chơi, trò chơi&gt; búp bê, búp bê nhân vật&gt; nhân vật búp bê&gt; Disney&gt; Peter Pan")</f>
        <v>Đấu giá&gt; đồ chơi, trò chơi&gt; búp bê, búp bê nhân vật&gt; nhân vật búp bê&gt; Disney&gt; Peter Pan</v>
      </c>
      <c r="F240" t="str">
        <f t="shared" ca="1" si="3"/>
        <v>"2084020021" : "Peter Pan",</v>
      </c>
    </row>
    <row r="241" spans="1:6" ht="15.75" customHeight="1">
      <c r="A241" s="14">
        <v>2084020024</v>
      </c>
      <c r="B241" s="14" t="s">
        <v>7782</v>
      </c>
      <c r="C241" s="14" t="s">
        <v>7783</v>
      </c>
      <c r="D241" s="5" t="str">
        <f ca="1">IFERROR(__xludf.DUMMYFUNCTION("GOOGLETRANSLATE(B241,""ja"",""vi"")"),"Pinocchio")</f>
        <v>Pinocchio</v>
      </c>
      <c r="E241" s="4" t="str">
        <f ca="1">IFERROR(__xludf.DUMMYFUNCTION("GOOGLETRANSLATE(C241,""ja"",""vi"")"),"Đấu giá&gt; đồ chơi, trò chơi&gt; búp bê, búp bê nhân vật&gt; nhân vật búp bê&gt; Disney&gt; Pinocchio")</f>
        <v>Đấu giá&gt; đồ chơi, trò chơi&gt; búp bê, búp bê nhân vật&gt; nhân vật búp bê&gt; Disney&gt; Pinocchio</v>
      </c>
      <c r="F241" t="str">
        <f t="shared" ca="1" si="3"/>
        <v>"2084020024" : "Pinocchio",</v>
      </c>
    </row>
    <row r="242" spans="1:6" ht="15.75" customHeight="1">
      <c r="A242" s="14">
        <v>2084063673</v>
      </c>
      <c r="B242" s="14" t="s">
        <v>7785</v>
      </c>
      <c r="C242" s="14" t="s">
        <v>7787</v>
      </c>
      <c r="D242" s="5" t="str">
        <f ca="1">IFERROR(__xludf.DUMMYFUNCTION("GOOGLETRANSLATE(B242,""ja"",""vi"")"),"Finding nemo")</f>
        <v>Finding nemo</v>
      </c>
      <c r="E242" s="4" t="str">
        <f ca="1">IFERROR(__xludf.DUMMYFUNCTION("GOOGLETRANSLATE(C242,""ja"",""vi"")"),"Đấu giá&gt; đồ chơi, trò chơi&gt; búp bê, búp bê nhân vật&gt; nhân vật búp bê&gt; Disney&gt; Finding Nemo")</f>
        <v>Đấu giá&gt; đồ chơi, trò chơi&gt; búp bê, búp bê nhân vật&gt; nhân vật búp bê&gt; Disney&gt; Finding Nemo</v>
      </c>
      <c r="F242" t="str">
        <f t="shared" ca="1" si="3"/>
        <v>"2084063673" : "Finding nemo",</v>
      </c>
    </row>
    <row r="243" spans="1:6" ht="15.75" customHeight="1">
      <c r="A243" s="14">
        <v>2084020026</v>
      </c>
      <c r="B243" s="14" t="s">
        <v>7705</v>
      </c>
      <c r="C243" s="14" t="s">
        <v>7790</v>
      </c>
      <c r="D243" s="5" t="str">
        <f ca="1">IFERROR(__xludf.DUMMYFUNCTION("GOOGLETRANSLATE(B243,""ja"",""vi"")"),"sao Điêm vương")</f>
        <v>sao Điêm vương</v>
      </c>
      <c r="E243" s="4" t="str">
        <f ca="1">IFERROR(__xludf.DUMMYFUNCTION("GOOGLETRANSLATE(C243,""ja"",""vi"")"),"Đấu giá&gt; đồ chơi, trò chơi&gt; búp bê, búp bê nhân vật&gt; nhân vật búp bê&gt; Disney&gt; Sao Diêm Vương")</f>
        <v>Đấu giá&gt; đồ chơi, trò chơi&gt; búp bê, búp bê nhân vật&gt; nhân vật búp bê&gt; Disney&gt; Sao Diêm Vương</v>
      </c>
      <c r="F243" t="str">
        <f t="shared" ca="1" si="3"/>
        <v>"2084020026" : "sao Điêm vương",</v>
      </c>
    </row>
    <row r="244" spans="1:6" ht="15.75" customHeight="1">
      <c r="A244" s="14">
        <v>2084020027</v>
      </c>
      <c r="B244" s="14" t="s">
        <v>1512</v>
      </c>
      <c r="C244" s="14" t="s">
        <v>7792</v>
      </c>
      <c r="D244" s="5" t="str">
        <f ca="1">IFERROR(__xludf.DUMMYFUNCTION("GOOGLETRANSLATE(B244,""ja"",""vi"")"),"Mickey Mouse")</f>
        <v>Mickey Mouse</v>
      </c>
      <c r="E244" s="4" t="str">
        <f ca="1">IFERROR(__xludf.DUMMYFUNCTION("GOOGLETRANSLATE(C244,""ja"",""vi"")"),"Đấu giá&gt; đồ chơi, trò chơi&gt; búp bê, búp bê nhân vật&gt; nhân vật búp bê&gt; Disney&gt; Mickey Mouse")</f>
        <v>Đấu giá&gt; đồ chơi, trò chơi&gt; búp bê, búp bê nhân vật&gt; nhân vật búp bê&gt; Disney&gt; Mickey Mouse</v>
      </c>
      <c r="F244" t="str">
        <f t="shared" ca="1" si="3"/>
        <v>"2084020027" : "Mickey Mouse",</v>
      </c>
    </row>
    <row r="245" spans="1:6" ht="15.75" customHeight="1">
      <c r="A245" s="14">
        <v>2084020028</v>
      </c>
      <c r="B245" s="14" t="s">
        <v>7713</v>
      </c>
      <c r="C245" s="14" t="s">
        <v>7795</v>
      </c>
      <c r="D245" s="5" t="str">
        <f ca="1">IFERROR(__xludf.DUMMYFUNCTION("GOOGLETRANSLATE(B245,""ja"",""vi"")"),"chuột Minnie")</f>
        <v>chuột Minnie</v>
      </c>
      <c r="E245" s="4" t="str">
        <f ca="1">IFERROR(__xludf.DUMMYFUNCTION("GOOGLETRANSLATE(C245,""ja"",""vi"")"),"Đấu giá&gt; đồ chơi, trò chơi&gt; búp bê, búp bê nhân vật&gt; nhân vật búp bê&gt; Disney&gt; Chuột Minnie")</f>
        <v>Đấu giá&gt; đồ chơi, trò chơi&gt; búp bê, búp bê nhân vật&gt; nhân vật búp bê&gt; Disney&gt; Chuột Minnie</v>
      </c>
      <c r="F245" t="str">
        <f t="shared" ca="1" si="3"/>
        <v>"2084020028" : "chuột Minnie",</v>
      </c>
    </row>
    <row r="246" spans="1:6" ht="15.75" customHeight="1">
      <c r="A246" s="14">
        <v>2084242867</v>
      </c>
      <c r="B246" s="14" t="s">
        <v>7798</v>
      </c>
      <c r="C246" s="14" t="s">
        <v>7799</v>
      </c>
      <c r="D246" s="5" t="str">
        <f ca="1">IFERROR(__xludf.DUMMYFUNCTION("GOOGLETRANSLATE(B246,""ja"",""vi"")"),"Monsters, Inc.")</f>
        <v>Monsters, Inc.</v>
      </c>
      <c r="E246" s="4" t="str">
        <f ca="1">IFERROR(__xludf.DUMMYFUNCTION("GOOGLETRANSLATE(C246,""ja"",""vi"")"),"Đấu giá&gt; đồ chơi, trò chơi&gt; búp bê, búp bê nhân vật&gt; nhân vật búp bê&gt; Disney&gt; Monsters, Inc.")</f>
        <v>Đấu giá&gt; đồ chơi, trò chơi&gt; búp bê, búp bê nhân vật&gt; nhân vật búp bê&gt; Disney&gt; Monsters, Inc.</v>
      </c>
      <c r="F246" t="str">
        <f t="shared" ca="1" si="3"/>
        <v>"2084242867" : "Monsters, Inc.",</v>
      </c>
    </row>
    <row r="247" spans="1:6" ht="15.75" customHeight="1">
      <c r="A247" s="14">
        <v>2084020029</v>
      </c>
      <c r="B247" s="14" t="s">
        <v>7801</v>
      </c>
      <c r="C247" s="14" t="s">
        <v>7802</v>
      </c>
      <c r="D247" s="5" t="str">
        <f ca="1">IFERROR(__xludf.DUMMYFUNCTION("GOOGLETRANSLATE(B247,""ja"",""vi"")"),"The Little Mermaid")</f>
        <v>The Little Mermaid</v>
      </c>
      <c r="E247" s="4" t="str">
        <f ca="1">IFERROR(__xludf.DUMMYFUNCTION("GOOGLETRANSLATE(C247,""ja"",""vi"")"),"Đấu giá&gt; đồ chơi, trò chơi&gt; búp bê, búp bê nhân vật&gt; nhân vật búp bê&gt; Disney&gt; The Little Mermaid")</f>
        <v>Đấu giá&gt; đồ chơi, trò chơi&gt; búp bê, búp bê nhân vật&gt; nhân vật búp bê&gt; Disney&gt; The Little Mermaid</v>
      </c>
      <c r="F247" t="str">
        <f t="shared" ca="1" si="3"/>
        <v>"2084020029" : "The Little Mermaid",</v>
      </c>
    </row>
    <row r="248" spans="1:6" ht="15.75" customHeight="1">
      <c r="A248" s="14">
        <v>2084063674</v>
      </c>
      <c r="B248" s="14" t="s">
        <v>7723</v>
      </c>
      <c r="C248" s="14" t="s">
        <v>7805</v>
      </c>
      <c r="D248" s="5" t="str">
        <f ca="1">IFERROR(__xludf.DUMMYFUNCTION("GOOGLETRANSLATE(B248,""ja"",""vi"")"),"Lilo &amp; Stitch")</f>
        <v>Lilo &amp; Stitch</v>
      </c>
      <c r="E248" s="4" t="str">
        <f ca="1">IFERROR(__xludf.DUMMYFUNCTION("GOOGLETRANSLATE(C248,""ja"",""vi"")"),"Đấu giá&gt; đồ chơi, trò chơi&gt; búp bê, búp bê nhân vật&gt; nhân vật búp bê&gt; Disney&gt; Lilo &amp; Stitch")</f>
        <v>Đấu giá&gt; đồ chơi, trò chơi&gt; búp bê, búp bê nhân vật&gt; nhân vật búp bê&gt; Disney&gt; Lilo &amp; Stitch</v>
      </c>
      <c r="F248" t="str">
        <f t="shared" ca="1" si="3"/>
        <v>"2084063674" : "Lilo &amp; Stitch",</v>
      </c>
    </row>
    <row r="249" spans="1:6" ht="15.75" customHeight="1">
      <c r="A249" s="14">
        <v>2084020031</v>
      </c>
      <c r="B249" s="14" t="s">
        <v>46</v>
      </c>
      <c r="C249" s="14" t="s">
        <v>7807</v>
      </c>
      <c r="D249" s="5" t="str">
        <f ca="1">IFERROR(__xludf.DUMMYFUNCTION("GOOGLETRANSLATE(B249,""ja"",""vi"")"),"nếu không thì")</f>
        <v>nếu không thì</v>
      </c>
      <c r="E249" s="4" t="str">
        <f ca="1">IFERROR(__xludf.DUMMYFUNCTION("GOOGLETRANSLATE(C249,""ja"",""vi"")"),"Đấu giá&gt; đồ chơi, trò chơi&gt; búp bê, búp bê nhân vật&gt; nhân vật búp bê&gt; Disney&gt; Khác")</f>
        <v>Đấu giá&gt; đồ chơi, trò chơi&gt; búp bê, búp bê nhân vật&gt; nhân vật búp bê&gt; Disney&gt; Khác</v>
      </c>
      <c r="F249" t="str">
        <f t="shared" ca="1" si="3"/>
        <v>"2084020031" : "nếu không thì",</v>
      </c>
    </row>
    <row r="250" spans="1:6" ht="15.75" customHeight="1">
      <c r="A250" s="14">
        <v>2084040778</v>
      </c>
      <c r="B250" s="14" t="s">
        <v>7738</v>
      </c>
      <c r="C250" s="14" t="s">
        <v>7810</v>
      </c>
      <c r="D250" s="5" t="str">
        <f ca="1">IFERROR(__xludf.DUMMYFUNCTION("GOOGLETRANSLATE(B250,""ja"",""vi"")"),"101 Dalmatians")</f>
        <v>101 Dalmatians</v>
      </c>
      <c r="E250" s="4" t="str">
        <f ca="1">IFERROR(__xludf.DUMMYFUNCTION("GOOGLETRANSLATE(C250,""ja"",""vi"")"),"Đấu giá&gt; cổ, bộ sưu tập&gt; hàng linh tinh&gt; huy hiệu pin&gt; Disney&gt; 101 Dalmatians")</f>
        <v>Đấu giá&gt; cổ, bộ sưu tập&gt; hàng linh tinh&gt; huy hiệu pin&gt; Disney&gt; 101 Dalmatians</v>
      </c>
      <c r="F250" t="str">
        <f t="shared" ca="1" si="3"/>
        <v>"2084040778" : "101 Dalmatians",</v>
      </c>
    </row>
    <row r="251" spans="1:6" ht="15.75" customHeight="1">
      <c r="A251" s="14">
        <v>2084040779</v>
      </c>
      <c r="B251" s="14" t="s">
        <v>7653</v>
      </c>
      <c r="C251" s="14" t="s">
        <v>7812</v>
      </c>
      <c r="D251" s="5" t="str">
        <f ca="1">IFERROR(__xludf.DUMMYFUNCTION("GOOGLETRANSLATE(B251,""ja"",""vi"")"),"Winnie the Pooh")</f>
        <v>Winnie the Pooh</v>
      </c>
      <c r="E251" s="4" t="str">
        <f ca="1">IFERROR(__xludf.DUMMYFUNCTION("GOOGLETRANSLATE(C251,""ja"",""vi"")"),"Đấu giá&gt; cổ, bộ sưu tập&gt; hàng linh tinh&gt; huy hiệu pin&gt; Disney&gt; Winnie the Pooh")</f>
        <v>Đấu giá&gt; cổ, bộ sưu tập&gt; hàng linh tinh&gt; huy hiệu pin&gt; Disney&gt; Winnie the Pooh</v>
      </c>
      <c r="F251" t="str">
        <f t="shared" ca="1" si="3"/>
        <v>"2084040779" : "Winnie the Pooh",</v>
      </c>
    </row>
    <row r="252" spans="1:6" ht="15.75" customHeight="1">
      <c r="A252" s="14">
        <v>2084040801</v>
      </c>
      <c r="B252" s="14" t="s">
        <v>7815</v>
      </c>
      <c r="C252" s="14" t="s">
        <v>7817</v>
      </c>
      <c r="D252" s="5" t="str">
        <f ca="1">IFERROR(__xludf.DUMMYFUNCTION("GOOGLETRANSLATE(B252,""ja"",""vi"")"),"Aladdin")</f>
        <v>Aladdin</v>
      </c>
      <c r="E252" s="4" t="str">
        <f ca="1">IFERROR(__xludf.DUMMYFUNCTION("GOOGLETRANSLATE(C252,""ja"",""vi"")"),"Đấu giá&gt; cổ, bộ sưu tập&gt; hàng linh tinh&gt; huy hiệu pin&gt; Disney&gt; Aladdin")</f>
        <v>Đấu giá&gt; cổ, bộ sưu tập&gt; hàng linh tinh&gt; huy hiệu pin&gt; Disney&gt; Aladdin</v>
      </c>
      <c r="F252" t="str">
        <f t="shared" ca="1" si="3"/>
        <v>"2084040801" : "Aladdin",</v>
      </c>
    </row>
    <row r="253" spans="1:6" ht="15.75" customHeight="1">
      <c r="A253" s="14">
        <v>2084040780</v>
      </c>
      <c r="B253" s="14" t="s">
        <v>7660</v>
      </c>
      <c r="C253" s="14" t="s">
        <v>7819</v>
      </c>
      <c r="D253" s="5" t="str">
        <f ca="1">IFERROR(__xludf.DUMMYFUNCTION("GOOGLETRANSLATE(B253,""ja"",""vi"")"),"Goofy")</f>
        <v>Goofy</v>
      </c>
      <c r="E253" s="4" t="str">
        <f ca="1">IFERROR(__xludf.DUMMYFUNCTION("GOOGLETRANSLATE(C253,""ja"",""vi"")"),"Đấu giá&gt; cổ, bộ sưu tập&gt; hàng linh tinh&gt; huy hiệu pin&gt; Disney&gt; Goofy")</f>
        <v>Đấu giá&gt; cổ, bộ sưu tập&gt; hàng linh tinh&gt; huy hiệu pin&gt; Disney&gt; Goofy</v>
      </c>
      <c r="F253" t="str">
        <f t="shared" ca="1" si="3"/>
        <v>"2084040780" : "Goofy",</v>
      </c>
    </row>
    <row r="254" spans="1:6" ht="15.75" customHeight="1">
      <c r="A254" s="14">
        <v>2084040798</v>
      </c>
      <c r="B254" s="14" t="s">
        <v>7822</v>
      </c>
      <c r="C254" s="14" t="s">
        <v>7823</v>
      </c>
      <c r="D254" s="5" t="str">
        <f ca="1">IFERROR(__xludf.DUMMYFUNCTION("GOOGLETRANSLATE(B254,""ja"",""vi"")"),"Tarzan")</f>
        <v>Tarzan</v>
      </c>
      <c r="E254" s="4" t="str">
        <f ca="1">IFERROR(__xludf.DUMMYFUNCTION("GOOGLETRANSLATE(C254,""ja"",""vi"")"),"Đấu giá&gt; cổ, bộ sưu tập&gt; hàng linh tinh&gt; huy hiệu pin&gt; Disney&gt; Tarzan")</f>
        <v>Đấu giá&gt; cổ, bộ sưu tập&gt; hàng linh tinh&gt; huy hiệu pin&gt; Disney&gt; Tarzan</v>
      </c>
      <c r="F254" t="str">
        <f t="shared" ca="1" si="3"/>
        <v>"2084040798" : "Tarzan",</v>
      </c>
    </row>
    <row r="255" spans="1:6" ht="15.75" customHeight="1">
      <c r="A255" s="14">
        <v>2084040808</v>
      </c>
      <c r="B255" s="14" t="s">
        <v>7825</v>
      </c>
      <c r="C255" s="14" t="s">
        <v>7826</v>
      </c>
      <c r="D255" s="5" t="str">
        <f ca="1">IFERROR(__xludf.DUMMYFUNCTION("GOOGLETRANSLATE(B255,""ja"",""vi"")"),"Dinosaur")</f>
        <v>Dinosaur</v>
      </c>
      <c r="E255" s="4" t="str">
        <f ca="1">IFERROR(__xludf.DUMMYFUNCTION("GOOGLETRANSLATE(C255,""ja"",""vi"")"),"Đấu giá&gt; cổ, bộ sưu tập&gt; hàng linh tinh&gt; huy hiệu pin&gt; Disney&gt; Dinosaur")</f>
        <v>Đấu giá&gt; cổ, bộ sưu tập&gt; hàng linh tinh&gt; huy hiệu pin&gt; Disney&gt; Dinosaur</v>
      </c>
      <c r="F255" t="str">
        <f t="shared" ca="1" si="3"/>
        <v>"2084040808" : "Dinosaur",</v>
      </c>
    </row>
    <row r="256" spans="1:6" ht="15.75" customHeight="1">
      <c r="A256" s="14">
        <v>2084040784</v>
      </c>
      <c r="B256" s="14" t="s">
        <v>7677</v>
      </c>
      <c r="C256" s="14" t="s">
        <v>7829</v>
      </c>
      <c r="D256" s="5" t="str">
        <f ca="1">IFERROR(__xludf.DUMMYFUNCTION("GOOGLETRANSLATE(B256,""ja"",""vi"")"),"Dumbo")</f>
        <v>Dumbo</v>
      </c>
      <c r="E256" s="4" t="str">
        <f ca="1">IFERROR(__xludf.DUMMYFUNCTION("GOOGLETRANSLATE(C256,""ja"",""vi"")"),"Đấu giá&gt; cổ, bộ sưu tập&gt; hàng linh tinh&gt; huy hiệu pin&gt; Disney&gt; Dumbo")</f>
        <v>Đấu giá&gt; cổ, bộ sưu tập&gt; hàng linh tinh&gt; huy hiệu pin&gt; Disney&gt; Dumbo</v>
      </c>
      <c r="F256" t="str">
        <f t="shared" ca="1" si="3"/>
        <v>"2084040784" : "Dumbo",</v>
      </c>
    </row>
    <row r="257" spans="1:6" ht="15.75" customHeight="1">
      <c r="A257" s="14">
        <v>2084040785</v>
      </c>
      <c r="B257" s="14" t="s">
        <v>7762</v>
      </c>
      <c r="C257" s="14" t="s">
        <v>7833</v>
      </c>
      <c r="D257" s="5" t="str">
        <f ca="1">IFERROR(__xludf.DUMMYFUNCTION("GOOGLETRANSLATE(B257,""ja"",""vi"")"),"Chip &amp; Dale")</f>
        <v>Chip &amp; Dale</v>
      </c>
      <c r="E257" s="4" t="str">
        <f ca="1">IFERROR(__xludf.DUMMYFUNCTION("GOOGLETRANSLATE(C257,""ja"",""vi"")"),"Đấu giá&gt; cổ, bộ sưu tập&gt; hàng linh tinh&gt; huy hiệu pin&gt; Disney&gt; Chip &amp; Dale")</f>
        <v>Đấu giá&gt; cổ, bộ sưu tập&gt; hàng linh tinh&gt; huy hiệu pin&gt; Disney&gt; Chip &amp; Dale</v>
      </c>
      <c r="F257" t="str">
        <f t="shared" ca="1" si="3"/>
        <v>"2084040785" : "Chip &amp; Dale",</v>
      </c>
    </row>
    <row r="258" spans="1:6" ht="15.75" customHeight="1">
      <c r="A258" s="14">
        <v>2084040800</v>
      </c>
      <c r="B258" s="14" t="s">
        <v>1021</v>
      </c>
      <c r="C258" s="14" t="s">
        <v>7835</v>
      </c>
      <c r="D258" s="5" t="str">
        <f ca="1">IFERROR(__xludf.DUMMYFUNCTION("GOOGLETRANSLATE(B258,""ja"",""vi"")"),"Toy Story")</f>
        <v>Toy Story</v>
      </c>
      <c r="E258" s="4" t="str">
        <f ca="1">IFERROR(__xludf.DUMMYFUNCTION("GOOGLETRANSLATE(C258,""ja"",""vi"")"),"Đấu giá&gt; cổ, bộ sưu tập&gt; hàng linh tinh&gt; huy hiệu pin&gt; Disney&gt; Toy Story")</f>
        <v>Đấu giá&gt; cổ, bộ sưu tập&gt; hàng linh tinh&gt; huy hiệu pin&gt; Disney&gt; Toy Story</v>
      </c>
      <c r="F258" t="str">
        <f t="shared" ref="F258:F321" ca="1" si="4">CONCATENATE(CHAR(34)&amp;"",A258,""&amp;CHAR(34)," : ", CHAR(34)&amp;"",D258,""&amp;CHAR(34),",")</f>
        <v>"2084040800" : "Toy Story",</v>
      </c>
    </row>
    <row r="259" spans="1:6" ht="15.75" customHeight="1">
      <c r="A259" s="14">
        <v>2084040786</v>
      </c>
      <c r="B259" s="14" t="s">
        <v>7695</v>
      </c>
      <c r="C259" s="14" t="s">
        <v>7838</v>
      </c>
      <c r="D259" s="5" t="str">
        <f ca="1">IFERROR(__xludf.DUMMYFUNCTION("GOOGLETRANSLATE(B259,""ja"",""vi"")"),"Donald Duck")</f>
        <v>Donald Duck</v>
      </c>
      <c r="E259" s="4" t="str">
        <f ca="1">IFERROR(__xludf.DUMMYFUNCTION("GOOGLETRANSLATE(C259,""ja"",""vi"")"),"Đấu giá&gt; cổ, bộ sưu tập&gt; hàng linh tinh&gt; huy hiệu pin&gt; Disney&gt; Vịt Donald")</f>
        <v>Đấu giá&gt; cổ, bộ sưu tập&gt; hàng linh tinh&gt; huy hiệu pin&gt; Disney&gt; Vịt Donald</v>
      </c>
      <c r="F259" t="str">
        <f t="shared" ca="1" si="4"/>
        <v>"2084040786" : "Donald Duck",</v>
      </c>
    </row>
    <row r="260" spans="1:6" ht="15.75" customHeight="1">
      <c r="A260" s="14">
        <v>2084040802</v>
      </c>
      <c r="B260" s="14" t="s">
        <v>7840</v>
      </c>
      <c r="C260" s="14" t="s">
        <v>7841</v>
      </c>
      <c r="D260" s="5" t="str">
        <f ca="1">IFERROR(__xludf.DUMMYFUNCTION("GOOGLETRANSLATE(B260,""ja"",""vi"")"),"Các Thằng gù của Notre Dame")</f>
        <v>Các Thằng gù của Notre Dame</v>
      </c>
      <c r="E260" s="4" t="str">
        <f ca="1">IFERROR(__xludf.DUMMYFUNCTION("GOOGLETRANSLATE(C260,""ja"",""vi"")"),"Đấu giá&gt; cổ, bộ sưu tập&gt; hàng linh tinh&gt; huy hiệu pin&gt; Disney&gt; Các Thằng gù của Notre Dame")</f>
        <v>Đấu giá&gt; cổ, bộ sưu tập&gt; hàng linh tinh&gt; huy hiệu pin&gt; Disney&gt; Các Thằng gù của Notre Dame</v>
      </c>
      <c r="F260" t="str">
        <f t="shared" ca="1" si="4"/>
        <v>"2084040802" : "Các Thằng gù của Notre Dame",</v>
      </c>
    </row>
    <row r="261" spans="1:6" ht="15.75" customHeight="1">
      <c r="A261" s="14">
        <v>2084040803</v>
      </c>
      <c r="B261" s="14" t="s">
        <v>7772</v>
      </c>
      <c r="C261" s="14" t="s">
        <v>7844</v>
      </c>
      <c r="D261" s="5" t="str">
        <f ca="1">IFERROR(__xludf.DUMMYFUNCTION("GOOGLETRANSLATE(B261,""ja"",""vi"")"),"A Bug Cuộc sống")</f>
        <v>A Bug Cuộc sống</v>
      </c>
      <c r="E261" s="4" t="str">
        <f ca="1">IFERROR(__xludf.DUMMYFUNCTION("GOOGLETRANSLATE(C261,""ja"",""vi"")"),"Đấu giá&gt; cổ, bộ sưu tập&gt; hàng linh tinh&gt; huy hiệu pin&gt; Disney&gt; A Bug Cuộc sống")</f>
        <v>Đấu giá&gt; cổ, bộ sưu tập&gt; hàng linh tinh&gt; huy hiệu pin&gt; Disney&gt; A Bug Cuộc sống</v>
      </c>
      <c r="F261" t="str">
        <f t="shared" ca="1" si="4"/>
        <v>"2084040803" : "A Bug Cuộc sống",</v>
      </c>
    </row>
    <row r="262" spans="1:6" ht="15.75" customHeight="1">
      <c r="A262" s="14">
        <v>2084040787</v>
      </c>
      <c r="B262" s="14" t="s">
        <v>7700</v>
      </c>
      <c r="C262" s="14" t="s">
        <v>7846</v>
      </c>
      <c r="D262" s="5" t="str">
        <f ca="1">IFERROR(__xludf.DUMMYFUNCTION("GOOGLETRANSLATE(B262,""ja"",""vi"")"),"Bambi")</f>
        <v>Bambi</v>
      </c>
      <c r="E262" s="4" t="str">
        <f ca="1">IFERROR(__xludf.DUMMYFUNCTION("GOOGLETRANSLATE(C262,""ja"",""vi"")"),"Đấu giá&gt; cổ, bộ sưu tập&gt; hàng linh tinh&gt; huy hiệu pin&gt; Disney&gt; Bambi")</f>
        <v>Đấu giá&gt; cổ, bộ sưu tập&gt; hàng linh tinh&gt; huy hiệu pin&gt; Disney&gt; Bambi</v>
      </c>
      <c r="F262" t="str">
        <f t="shared" ca="1" si="4"/>
        <v>"2084040787" : "Bambi",</v>
      </c>
    </row>
    <row r="263" spans="1:6" ht="15.75" customHeight="1">
      <c r="A263" s="14">
        <v>2084040809</v>
      </c>
      <c r="B263" s="14" t="s">
        <v>7778</v>
      </c>
      <c r="C263" s="14" t="s">
        <v>7849</v>
      </c>
      <c r="D263" s="5" t="str">
        <f ca="1">IFERROR(__xludf.DUMMYFUNCTION("GOOGLETRANSLATE(B263,""ja"",""vi"")"),"Peter Pan")</f>
        <v>Peter Pan</v>
      </c>
      <c r="E263" s="4" t="str">
        <f ca="1">IFERROR(__xludf.DUMMYFUNCTION("GOOGLETRANSLATE(C263,""ja"",""vi"")"),"Đấu giá&gt; cổ, bộ sưu tập&gt; hàng linh tinh&gt; huy hiệu pin&gt; Disney&gt; Peter Pan")</f>
        <v>Đấu giá&gt; cổ, bộ sưu tập&gt; hàng linh tinh&gt; huy hiệu pin&gt; Disney&gt; Peter Pan</v>
      </c>
      <c r="F263" t="str">
        <f t="shared" ca="1" si="4"/>
        <v>"2084040809" : "Peter Pan",</v>
      </c>
    </row>
    <row r="264" spans="1:6" ht="15.75" customHeight="1">
      <c r="A264" s="14">
        <v>2084040789</v>
      </c>
      <c r="B264" s="14" t="s">
        <v>7782</v>
      </c>
      <c r="C264" s="14" t="s">
        <v>7852</v>
      </c>
      <c r="D264" s="5" t="str">
        <f ca="1">IFERROR(__xludf.DUMMYFUNCTION("GOOGLETRANSLATE(B264,""ja"",""vi"")"),"Pinocchio")</f>
        <v>Pinocchio</v>
      </c>
      <c r="E264" s="4" t="str">
        <f ca="1">IFERROR(__xludf.DUMMYFUNCTION("GOOGLETRANSLATE(C264,""ja"",""vi"")"),"Đấu giá&gt; cổ, bộ sưu tập&gt; hàng linh tinh&gt; huy hiệu pin&gt; Disney&gt; Pinocchio")</f>
        <v>Đấu giá&gt; cổ, bộ sưu tập&gt; hàng linh tinh&gt; huy hiệu pin&gt; Disney&gt; Pinocchio</v>
      </c>
      <c r="F264" t="str">
        <f t="shared" ca="1" si="4"/>
        <v>"2084040789" : "Pinocchio",</v>
      </c>
    </row>
    <row r="265" spans="1:6" ht="15.75" customHeight="1">
      <c r="A265" s="14">
        <v>2084040781</v>
      </c>
      <c r="B265" s="14" t="s">
        <v>7705</v>
      </c>
      <c r="C265" s="14" t="s">
        <v>7855</v>
      </c>
      <c r="D265" s="5" t="str">
        <f ca="1">IFERROR(__xludf.DUMMYFUNCTION("GOOGLETRANSLATE(B265,""ja"",""vi"")"),"sao Điêm vương")</f>
        <v>sao Điêm vương</v>
      </c>
      <c r="E265" s="4" t="str">
        <f ca="1">IFERROR(__xludf.DUMMYFUNCTION("GOOGLETRANSLATE(C265,""ja"",""vi"")"),"Đấu giá&gt; cổ, bộ sưu tập&gt; hàng linh tinh&gt; huy hiệu pin&gt; Disney&gt; Sao Diêm Vương")</f>
        <v>Đấu giá&gt; cổ, bộ sưu tập&gt; hàng linh tinh&gt; huy hiệu pin&gt; Disney&gt; Sao Diêm Vương</v>
      </c>
      <c r="F265" t="str">
        <f t="shared" ca="1" si="4"/>
        <v>"2084040781" : "sao Điêm vương",</v>
      </c>
    </row>
    <row r="266" spans="1:6" ht="15.75" customHeight="1">
      <c r="A266" s="14">
        <v>2084040807</v>
      </c>
      <c r="B266" s="14" t="s">
        <v>7859</v>
      </c>
      <c r="C266" s="14" t="s">
        <v>7860</v>
      </c>
      <c r="D266" s="5" t="str">
        <f ca="1">IFERROR(__xludf.DUMMYFUNCTION("GOOGLETRANSLATE(B266,""ja"",""vi"")"),"Hercules")</f>
        <v>Hercules</v>
      </c>
      <c r="E266" s="4" t="str">
        <f ca="1">IFERROR(__xludf.DUMMYFUNCTION("GOOGLETRANSLATE(C266,""ja"",""vi"")"),"Đấu giá&gt; cổ, bộ sưu tập&gt; hàng linh tinh&gt; huy hiệu pin&gt; Disney&gt; Hercules")</f>
        <v>Đấu giá&gt; cổ, bộ sưu tập&gt; hàng linh tinh&gt; huy hiệu pin&gt; Disney&gt; Hercules</v>
      </c>
      <c r="F266" t="str">
        <f t="shared" ca="1" si="4"/>
        <v>"2084040807" : "Hercules",</v>
      </c>
    </row>
    <row r="267" spans="1:6" ht="15.75" customHeight="1">
      <c r="A267" s="14">
        <v>2084040782</v>
      </c>
      <c r="B267" s="14" t="s">
        <v>1512</v>
      </c>
      <c r="C267" s="14" t="s">
        <v>7864</v>
      </c>
      <c r="D267" s="5" t="str">
        <f ca="1">IFERROR(__xludf.DUMMYFUNCTION("GOOGLETRANSLATE(B267,""ja"",""vi"")"),"Mickey Mouse")</f>
        <v>Mickey Mouse</v>
      </c>
      <c r="E267" s="4" t="str">
        <f ca="1">IFERROR(__xludf.DUMMYFUNCTION("GOOGLETRANSLATE(C267,""ja"",""vi"")"),"Đấu giá&gt; cổ, bộ sưu tập&gt; hàng linh tinh&gt; huy hiệu pin&gt; Disney&gt; Mickey Mouse")</f>
        <v>Đấu giá&gt; cổ, bộ sưu tập&gt; hàng linh tinh&gt; huy hiệu pin&gt; Disney&gt; Mickey Mouse</v>
      </c>
      <c r="F267" t="str">
        <f t="shared" ca="1" si="4"/>
        <v>"2084040782" : "Mickey Mouse",</v>
      </c>
    </row>
    <row r="268" spans="1:6" ht="15.75" customHeight="1">
      <c r="A268" s="14">
        <v>2084040783</v>
      </c>
      <c r="B268" s="14" t="s">
        <v>7713</v>
      </c>
      <c r="C268" s="14" t="s">
        <v>7867</v>
      </c>
      <c r="D268" s="5" t="str">
        <f ca="1">IFERROR(__xludf.DUMMYFUNCTION("GOOGLETRANSLATE(B268,""ja"",""vi"")"),"chuột Minnie")</f>
        <v>chuột Minnie</v>
      </c>
      <c r="E268" s="4" t="str">
        <f ca="1">IFERROR(__xludf.DUMMYFUNCTION("GOOGLETRANSLATE(C268,""ja"",""vi"")"),"Đấu giá&gt; cổ, bộ sưu tập&gt; hàng linh tinh&gt; huy hiệu pin&gt; Disney&gt; Chuột Minnie")</f>
        <v>Đấu giá&gt; cổ, bộ sưu tập&gt; hàng linh tinh&gt; huy hiệu pin&gt; Disney&gt; Chuột Minnie</v>
      </c>
      <c r="F268" t="str">
        <f t="shared" ca="1" si="4"/>
        <v>"2084040783" : "chuột Minnie",</v>
      </c>
    </row>
    <row r="269" spans="1:6" ht="15.75" customHeight="1">
      <c r="A269" s="14">
        <v>2084040799</v>
      </c>
      <c r="B269" s="14" t="s">
        <v>7871</v>
      </c>
      <c r="C269" s="14" t="s">
        <v>7873</v>
      </c>
      <c r="D269" s="5" t="str">
        <f ca="1">IFERROR(__xludf.DUMMYFUNCTION("GOOGLETRANSLATE(B269,""ja"",""vi"")"),"Moulin")</f>
        <v>Moulin</v>
      </c>
      <c r="E269" s="4" t="str">
        <f ca="1">IFERROR(__xludf.DUMMYFUNCTION("GOOGLETRANSLATE(C269,""ja"",""vi"")"),"Đấu giá&gt; cổ, bộ sưu tập&gt; hàng linh tinh&gt; huy hiệu pin&gt; Disney&gt; Hoa Mộc Lan")</f>
        <v>Đấu giá&gt; cổ, bộ sưu tập&gt; hàng linh tinh&gt; huy hiệu pin&gt; Disney&gt; Hoa Mộc Lan</v>
      </c>
      <c r="F269" t="str">
        <f t="shared" ca="1" si="4"/>
        <v>"2084040799" : "Moulin",</v>
      </c>
    </row>
    <row r="270" spans="1:6" ht="15.75" customHeight="1">
      <c r="A270" s="14">
        <v>2084040805</v>
      </c>
      <c r="B270" s="14" t="s">
        <v>7876</v>
      </c>
      <c r="C270" s="14" t="s">
        <v>7878</v>
      </c>
      <c r="D270" s="5" t="str">
        <f ca="1">IFERROR(__xludf.DUMMYFUNCTION("GOOGLETRANSLATE(B270,""ja"",""vi"")"),"The Lion King")</f>
        <v>The Lion King</v>
      </c>
      <c r="E270" s="4" t="str">
        <f ca="1">IFERROR(__xludf.DUMMYFUNCTION("GOOGLETRANSLATE(C270,""ja"",""vi"")"),"Đấu giá&gt; cổ, bộ sưu tập&gt; hàng linh tinh&gt; huy hiệu pin&gt; Disney&gt; The Lion King")</f>
        <v>Đấu giá&gt; cổ, bộ sưu tập&gt; hàng linh tinh&gt; huy hiệu pin&gt; Disney&gt; The Lion King</v>
      </c>
      <c r="F270" t="str">
        <f t="shared" ca="1" si="4"/>
        <v>"2084040805" : "The Lion King",</v>
      </c>
    </row>
    <row r="271" spans="1:6" ht="15.75" customHeight="1">
      <c r="A271" s="14">
        <v>2084040804</v>
      </c>
      <c r="B271" s="14" t="s">
        <v>7801</v>
      </c>
      <c r="C271" s="14" t="s">
        <v>7882</v>
      </c>
      <c r="D271" s="5" t="str">
        <f ca="1">IFERROR(__xludf.DUMMYFUNCTION("GOOGLETRANSLATE(B271,""ja"",""vi"")"),"The Little Mermaid")</f>
        <v>The Little Mermaid</v>
      </c>
      <c r="E271" s="4" t="str">
        <f ca="1">IFERROR(__xludf.DUMMYFUNCTION("GOOGLETRANSLATE(C271,""ja"",""vi"")"),"Đấu giá&gt; cổ, bộ sưu tập&gt; hàng linh tinh&gt; huy hiệu pin&gt; Disney&gt; The Little Mermaid")</f>
        <v>Đấu giá&gt; cổ, bộ sưu tập&gt; hàng linh tinh&gt; huy hiệu pin&gt; Disney&gt; The Little Mermaid</v>
      </c>
      <c r="F271" t="str">
        <f t="shared" ca="1" si="4"/>
        <v>"2084040804" : "The Little Mermaid",</v>
      </c>
    </row>
    <row r="272" spans="1:6" ht="15.75" customHeight="1">
      <c r="A272" s="14">
        <v>2084040792</v>
      </c>
      <c r="B272" s="14" t="s">
        <v>7728</v>
      </c>
      <c r="C272" s="14" t="s">
        <v>7885</v>
      </c>
      <c r="D272" s="5" t="str">
        <f ca="1">IFERROR(__xludf.DUMMYFUNCTION("GOOGLETRANSLATE(B272,""ja"",""vi"")"),"Bạch tuyết")</f>
        <v>Bạch tuyết</v>
      </c>
      <c r="E272" s="4" t="str">
        <f ca="1">IFERROR(__xludf.DUMMYFUNCTION("GOOGLETRANSLATE(C272,""ja"",""vi"")"),"Đấu giá&gt; cổ, bộ sưu tập&gt; hàng linh tinh&gt; huy hiệu pin&gt; Disney&gt; Bạch Tuyết")</f>
        <v>Đấu giá&gt; cổ, bộ sưu tập&gt; hàng linh tinh&gt; huy hiệu pin&gt; Disney&gt; Bạch Tuyết</v>
      </c>
      <c r="F272" t="str">
        <f t="shared" ca="1" si="4"/>
        <v>"2084040792" : "Bạch tuyết",</v>
      </c>
    </row>
    <row r="273" spans="1:6" ht="15.75" customHeight="1">
      <c r="A273" s="14">
        <v>2084040806</v>
      </c>
      <c r="B273" s="14" t="s">
        <v>7887</v>
      </c>
      <c r="C273" s="14" t="s">
        <v>7888</v>
      </c>
      <c r="D273" s="5" t="str">
        <f ca="1">IFERROR(__xludf.DUMMYFUNCTION("GOOGLETRANSLATE(B273,""ja"",""vi"")"),"Beauty and the Beast")</f>
        <v>Beauty and the Beast</v>
      </c>
      <c r="E273" s="4" t="str">
        <f ca="1">IFERROR(__xludf.DUMMYFUNCTION("GOOGLETRANSLATE(C273,""ja"",""vi"")"),"Đấu giá&gt; cổ, bộ sưu tập&gt; hàng linh tinh&gt; huy hiệu pin&gt; Disney&gt; Beauty and the Beast")</f>
        <v>Đấu giá&gt; cổ, bộ sưu tập&gt; hàng linh tinh&gt; huy hiệu pin&gt; Disney&gt; Beauty and the Beast</v>
      </c>
      <c r="F273" t="str">
        <f t="shared" ca="1" si="4"/>
        <v>"2084040806" : "Beauty and the Beast",</v>
      </c>
    </row>
    <row r="274" spans="1:6" ht="15.75" customHeight="1">
      <c r="A274" s="14">
        <v>2084040813</v>
      </c>
      <c r="B274" s="14" t="s">
        <v>46</v>
      </c>
      <c r="C274" s="14" t="s">
        <v>7889</v>
      </c>
      <c r="D274" s="5" t="str">
        <f ca="1">IFERROR(__xludf.DUMMYFUNCTION("GOOGLETRANSLATE(B274,""ja"",""vi"")"),"nếu không thì")</f>
        <v>nếu không thì</v>
      </c>
      <c r="E274" s="4" t="str">
        <f ca="1">IFERROR(__xludf.DUMMYFUNCTION("GOOGLETRANSLATE(C274,""ja"",""vi"")"),"Đấu giá&gt; cổ, bộ sưu tập&gt; hàng linh tinh&gt; huy hiệu pin&gt; Disney&gt; Khác")</f>
        <v>Đấu giá&gt; cổ, bộ sưu tập&gt; hàng linh tinh&gt; huy hiệu pin&gt; Disney&gt; Khác</v>
      </c>
      <c r="F274" t="str">
        <f t="shared" ca="1" si="4"/>
        <v>"2084040813" : "nếu không thì",</v>
      </c>
    </row>
    <row r="275" spans="1:6" ht="15.75" customHeight="1">
      <c r="A275" s="14">
        <v>2084019392</v>
      </c>
      <c r="B275" s="14" t="s">
        <v>7890</v>
      </c>
      <c r="C275" s="14" t="s">
        <v>7891</v>
      </c>
      <c r="D275" s="5" t="str">
        <f ca="1">IFERROR(__xludf.DUMMYFUNCTION("GOOGLETRANSLATE(B275,""ja"",""vi"")"),"101 (one-o-one)")</f>
        <v>101 (one-o-one)</v>
      </c>
      <c r="E275" s="4" t="str">
        <f ca="1">IFERROR(__xludf.DUMMYFUNCTION("GOOGLETRANSLATE(C275,""ja"",""vi"")"),"Đấu giá&gt; đồ chơi, trò chơi&gt; fast-food đồ chơi&gt; McDonald&gt; Disney&gt; 101 (one-o-one)")</f>
        <v>Đấu giá&gt; đồ chơi, trò chơi&gt; fast-food đồ chơi&gt; McDonald&gt; Disney&gt; 101 (one-o-one)</v>
      </c>
      <c r="F275" t="str">
        <f t="shared" ca="1" si="4"/>
        <v>"2084019392" : "101 (one-o-one)",</v>
      </c>
    </row>
    <row r="276" spans="1:6" ht="15.75" customHeight="1">
      <c r="A276" s="14">
        <v>2084019396</v>
      </c>
      <c r="B276" s="14" t="s">
        <v>7653</v>
      </c>
      <c r="C276" s="14" t="s">
        <v>7892</v>
      </c>
      <c r="D276" s="5" t="str">
        <f ca="1">IFERROR(__xludf.DUMMYFUNCTION("GOOGLETRANSLATE(B276,""ja"",""vi"")"),"Winnie the Pooh")</f>
        <v>Winnie the Pooh</v>
      </c>
      <c r="E276" s="4" t="str">
        <f ca="1">IFERROR(__xludf.DUMMYFUNCTION("GOOGLETRANSLATE(C276,""ja"",""vi"")"),"Đấu giá&gt; đồ chơi, trò chơi&gt; fast-food đồ chơi&gt; McDonald&gt; Disney&gt; Winnie the Pooh")</f>
        <v>Đấu giá&gt; đồ chơi, trò chơi&gt; fast-food đồ chơi&gt; McDonald&gt; Disney&gt; Winnie the Pooh</v>
      </c>
      <c r="F276" t="str">
        <f t="shared" ca="1" si="4"/>
        <v>"2084019396" : "Winnie the Pooh",</v>
      </c>
    </row>
    <row r="277" spans="1:6" ht="15.75" customHeight="1">
      <c r="A277" s="14">
        <v>2084019395</v>
      </c>
      <c r="B277" s="14" t="s">
        <v>7815</v>
      </c>
      <c r="C277" s="14" t="s">
        <v>7893</v>
      </c>
      <c r="D277" s="5" t="str">
        <f ca="1">IFERROR(__xludf.DUMMYFUNCTION("GOOGLETRANSLATE(B277,""ja"",""vi"")"),"Aladdin")</f>
        <v>Aladdin</v>
      </c>
      <c r="E277" s="4" t="str">
        <f ca="1">IFERROR(__xludf.DUMMYFUNCTION("GOOGLETRANSLATE(C277,""ja"",""vi"")"),"Đấu giá&gt; đồ chơi, trò chơi&gt; đồ chơi thức ăn nhanh&gt; McDonald&gt; Disney&gt; Aladdin")</f>
        <v>Đấu giá&gt; đồ chơi, trò chơi&gt; đồ chơi thức ăn nhanh&gt; McDonald&gt; Disney&gt; Aladdin</v>
      </c>
      <c r="F277" t="str">
        <f t="shared" ca="1" si="4"/>
        <v>"2084019395" : "Aladdin",</v>
      </c>
    </row>
    <row r="278" spans="1:6" ht="15.75" customHeight="1">
      <c r="A278" s="14">
        <v>2084019393</v>
      </c>
      <c r="B278" s="14" t="s">
        <v>7660</v>
      </c>
      <c r="C278" s="14" t="s">
        <v>7894</v>
      </c>
      <c r="D278" s="5" t="str">
        <f ca="1">IFERROR(__xludf.DUMMYFUNCTION("GOOGLETRANSLATE(B278,""ja"",""vi"")"),"Goofy")</f>
        <v>Goofy</v>
      </c>
      <c r="E278" s="4" t="str">
        <f ca="1">IFERROR(__xludf.DUMMYFUNCTION("GOOGLETRANSLATE(C278,""ja"",""vi"")"),"Đấu giá&gt; đồ chơi, trò chơi&gt; đồ chơi thức ăn nhanh&gt; McDonald&gt; Disney&gt; Goofy")</f>
        <v>Đấu giá&gt; đồ chơi, trò chơi&gt; đồ chơi thức ăn nhanh&gt; McDonald&gt; Disney&gt; Goofy</v>
      </c>
      <c r="F278" t="str">
        <f t="shared" ca="1" si="4"/>
        <v>"2084019393" : "Goofy",</v>
      </c>
    </row>
    <row r="279" spans="1:6" ht="15.75" customHeight="1">
      <c r="A279" s="14">
        <v>2084019407</v>
      </c>
      <c r="B279" s="14" t="s">
        <v>7822</v>
      </c>
      <c r="C279" s="14" t="s">
        <v>7895</v>
      </c>
      <c r="D279" s="5" t="str">
        <f ca="1">IFERROR(__xludf.DUMMYFUNCTION("GOOGLETRANSLATE(B279,""ja"",""vi"")"),"Tarzan")</f>
        <v>Tarzan</v>
      </c>
      <c r="E279" s="4" t="str">
        <f ca="1">IFERROR(__xludf.DUMMYFUNCTION("GOOGLETRANSLATE(C279,""ja"",""vi"")"),"Đấu giá&gt; đồ chơi, trò chơi&gt; đồ chơi thức ăn nhanh&gt; McDonald&gt; Disney&gt; Tarzan")</f>
        <v>Đấu giá&gt; đồ chơi, trò chơi&gt; đồ chơi thức ăn nhanh&gt; McDonald&gt; Disney&gt; Tarzan</v>
      </c>
      <c r="F279" t="str">
        <f t="shared" ca="1" si="4"/>
        <v>"2084019407" : "Tarzan",</v>
      </c>
    </row>
    <row r="280" spans="1:6" ht="15.75" customHeight="1">
      <c r="A280" s="14">
        <v>2084019409</v>
      </c>
      <c r="B280" s="14" t="s">
        <v>7825</v>
      </c>
      <c r="C280" s="14" t="s">
        <v>7896</v>
      </c>
      <c r="D280" s="5" t="str">
        <f ca="1">IFERROR(__xludf.DUMMYFUNCTION("GOOGLETRANSLATE(B280,""ja"",""vi"")"),"Dinosaur")</f>
        <v>Dinosaur</v>
      </c>
      <c r="E280" s="4" t="str">
        <f ca="1">IFERROR(__xludf.DUMMYFUNCTION("GOOGLETRANSLATE(C280,""ja"",""vi"")"),"Đấu giá&gt; đồ chơi, trò chơi&gt; fast-food đồ chơi&gt; McDonald&gt; Disney&gt; Dinosaur")</f>
        <v>Đấu giá&gt; đồ chơi, trò chơi&gt; fast-food đồ chơi&gt; McDonald&gt; Disney&gt; Dinosaur</v>
      </c>
      <c r="F280" t="str">
        <f t="shared" ca="1" si="4"/>
        <v>"2084019409" : "Dinosaur",</v>
      </c>
    </row>
    <row r="281" spans="1:6" ht="15.75" customHeight="1">
      <c r="A281" s="14">
        <v>2084019391</v>
      </c>
      <c r="B281" s="14" t="s">
        <v>1021</v>
      </c>
      <c r="C281" s="14" t="s">
        <v>7897</v>
      </c>
      <c r="D281" s="5" t="str">
        <f ca="1">IFERROR(__xludf.DUMMYFUNCTION("GOOGLETRANSLATE(B281,""ja"",""vi"")"),"Toy Story")</f>
        <v>Toy Story</v>
      </c>
      <c r="E281" s="4" t="str">
        <f ca="1">IFERROR(__xludf.DUMMYFUNCTION("GOOGLETRANSLATE(C281,""ja"",""vi"")"),"Đấu giá&gt; đồ chơi, trò chơi&gt; đồ chơi thức ăn nhanh&gt; McDonald&gt; Disney&gt; Toy Story")</f>
        <v>Đấu giá&gt; đồ chơi, trò chơi&gt; đồ chơi thức ăn nhanh&gt; McDonald&gt; Disney&gt; Toy Story</v>
      </c>
      <c r="F281" t="str">
        <f t="shared" ca="1" si="4"/>
        <v>"2084019391" : "Toy Story",</v>
      </c>
    </row>
    <row r="282" spans="1:6" ht="15.75" customHeight="1">
      <c r="A282" s="14">
        <v>2084019401</v>
      </c>
      <c r="B282" s="14" t="s">
        <v>7898</v>
      </c>
      <c r="C282" s="14" t="s">
        <v>7899</v>
      </c>
      <c r="D282" s="5" t="str">
        <f ca="1">IFERROR(__xludf.DUMMYFUNCTION("GOOGLETRANSLATE(B282,""ja"",""vi"")"),"Donald Duck")</f>
        <v>Donald Duck</v>
      </c>
      <c r="E282" s="4" t="str">
        <f ca="1">IFERROR(__xludf.DUMMYFUNCTION("GOOGLETRANSLATE(C282,""ja"",""vi"")"),"Đấu giá&gt; đồ chơi, trò chơi&gt; fast-food đồ chơi&gt; McDonald&gt; Disney&gt; Vịt Donald")</f>
        <v>Đấu giá&gt; đồ chơi, trò chơi&gt; fast-food đồ chơi&gt; McDonald&gt; Disney&gt; Vịt Donald</v>
      </c>
      <c r="F282" t="str">
        <f t="shared" ca="1" si="4"/>
        <v>"2084019401" : "Donald Duck",</v>
      </c>
    </row>
    <row r="283" spans="1:6" ht="15.75" customHeight="1">
      <c r="A283" s="14">
        <v>2084019405</v>
      </c>
      <c r="B283" s="14" t="s">
        <v>7840</v>
      </c>
      <c r="C283" s="14" t="s">
        <v>7901</v>
      </c>
      <c r="D283" s="5" t="str">
        <f ca="1">IFERROR(__xludf.DUMMYFUNCTION("GOOGLETRANSLATE(B283,""ja"",""vi"")"),"Các Thằng gù của Notre Dame")</f>
        <v>Các Thằng gù của Notre Dame</v>
      </c>
      <c r="E283" s="4" t="str">
        <f ca="1">IFERROR(__xludf.DUMMYFUNCTION("GOOGLETRANSLATE(C283,""ja"",""vi"")"),"Đấu giá&gt; đồ chơi, trò chơi&gt; fast-food đồ chơi&gt; McDonald&gt; Disney&gt; Các Thằng gù của Notre Dame")</f>
        <v>Đấu giá&gt; đồ chơi, trò chơi&gt; fast-food đồ chơi&gt; McDonald&gt; Disney&gt; Các Thằng gù của Notre Dame</v>
      </c>
      <c r="F283" t="str">
        <f t="shared" ca="1" si="4"/>
        <v>"2084019405" : "Các Thằng gù của Notre Dame",</v>
      </c>
    </row>
    <row r="284" spans="1:6" ht="15.75" customHeight="1">
      <c r="A284" s="14">
        <v>2084019406</v>
      </c>
      <c r="B284" s="14" t="s">
        <v>7772</v>
      </c>
      <c r="C284" s="14" t="s">
        <v>7905</v>
      </c>
      <c r="D284" s="5" t="str">
        <f ca="1">IFERROR(__xludf.DUMMYFUNCTION("GOOGLETRANSLATE(B284,""ja"",""vi"")"),"A Bug Cuộc sống")</f>
        <v>A Bug Cuộc sống</v>
      </c>
      <c r="E284" s="4" t="str">
        <f ca="1">IFERROR(__xludf.DUMMYFUNCTION("GOOGLETRANSLATE(C284,""ja"",""vi"")"),"Đấu giá&gt; đồ chơi, trò chơi&gt; fast-food đồ chơi&gt; McDonald&gt; Disney&gt; A Bug Cuộc sống")</f>
        <v>Đấu giá&gt; đồ chơi, trò chơi&gt; fast-food đồ chơi&gt; McDonald&gt; Disney&gt; A Bug Cuộc sống</v>
      </c>
      <c r="F284" t="str">
        <f t="shared" ca="1" si="4"/>
        <v>"2084019406" : "A Bug Cuộc sống",</v>
      </c>
    </row>
    <row r="285" spans="1:6" ht="15.75" customHeight="1">
      <c r="A285" s="14">
        <v>2084019400</v>
      </c>
      <c r="B285" s="14" t="s">
        <v>7907</v>
      </c>
      <c r="C285" s="14" t="s">
        <v>7909</v>
      </c>
      <c r="D285" s="5" t="str">
        <f ca="1">IFERROR(__xludf.DUMMYFUNCTION("GOOGLETRANSLATE(B285,""ja"",""vi"")"),"Flubber")</f>
        <v>Flubber</v>
      </c>
      <c r="E285" s="4" t="str">
        <f ca="1">IFERROR(__xludf.DUMMYFUNCTION("GOOGLETRANSLATE(C285,""ja"",""vi"")"),"Đấu giá&gt; đồ chơi, trò chơi&gt; đồ chơi thức ăn nhanh&gt; McDonald&gt; Disney&gt; Flubber")</f>
        <v>Đấu giá&gt; đồ chơi, trò chơi&gt; đồ chơi thức ăn nhanh&gt; McDonald&gt; Disney&gt; Flubber</v>
      </c>
      <c r="F285" t="str">
        <f t="shared" ca="1" si="4"/>
        <v>"2084019400" : "Flubber",</v>
      </c>
    </row>
    <row r="286" spans="1:6" ht="15.75" customHeight="1">
      <c r="A286" s="14">
        <v>2084019399</v>
      </c>
      <c r="B286" s="14" t="s">
        <v>7705</v>
      </c>
      <c r="C286" s="14" t="s">
        <v>7913</v>
      </c>
      <c r="D286" s="5" t="str">
        <f ca="1">IFERROR(__xludf.DUMMYFUNCTION("GOOGLETRANSLATE(B286,""ja"",""vi"")"),"sao Điêm vương")</f>
        <v>sao Điêm vương</v>
      </c>
      <c r="E286" s="4" t="str">
        <f ca="1">IFERROR(__xludf.DUMMYFUNCTION("GOOGLETRANSLATE(C286,""ja"",""vi"")"),"Đấu giá&gt; đồ chơi, trò chơi&gt; đồ chơi thức ăn nhanh&gt; McDonald&gt; Disney&gt; Sao Diêm Vương")</f>
        <v>Đấu giá&gt; đồ chơi, trò chơi&gt; đồ chơi thức ăn nhanh&gt; McDonald&gt; Disney&gt; Sao Diêm Vương</v>
      </c>
      <c r="F286" t="str">
        <f t="shared" ca="1" si="4"/>
        <v>"2084019399" : "sao Điêm vương",</v>
      </c>
    </row>
    <row r="287" spans="1:6" ht="15.75" customHeight="1">
      <c r="A287" s="14">
        <v>2084019403</v>
      </c>
      <c r="B287" s="14" t="s">
        <v>7859</v>
      </c>
      <c r="C287" s="14" t="s">
        <v>7917</v>
      </c>
      <c r="D287" s="5" t="str">
        <f ca="1">IFERROR(__xludf.DUMMYFUNCTION("GOOGLETRANSLATE(B287,""ja"",""vi"")"),"Hercules")</f>
        <v>Hercules</v>
      </c>
      <c r="E287" s="4" t="str">
        <f ca="1">IFERROR(__xludf.DUMMYFUNCTION("GOOGLETRANSLATE(C287,""ja"",""vi"")"),"Đấu giá&gt; đồ chơi, trò chơi&gt; đồ chơi thức ăn nhanh&gt; McDonald&gt; Disney&gt; Hercules")</f>
        <v>Đấu giá&gt; đồ chơi, trò chơi&gt; đồ chơi thức ăn nhanh&gt; McDonald&gt; Disney&gt; Hercules</v>
      </c>
      <c r="F287" t="str">
        <f t="shared" ca="1" si="4"/>
        <v>"2084019403" : "Hercules",</v>
      </c>
    </row>
    <row r="288" spans="1:6" ht="15.75" customHeight="1">
      <c r="A288" s="14">
        <v>2084019398</v>
      </c>
      <c r="B288" s="14" t="s">
        <v>1512</v>
      </c>
      <c r="C288" s="14" t="s">
        <v>7921</v>
      </c>
      <c r="D288" s="5" t="str">
        <f ca="1">IFERROR(__xludf.DUMMYFUNCTION("GOOGLETRANSLATE(B288,""ja"",""vi"")"),"Mickey Mouse")</f>
        <v>Mickey Mouse</v>
      </c>
      <c r="E288" s="4" t="str">
        <f ca="1">IFERROR(__xludf.DUMMYFUNCTION("GOOGLETRANSLATE(C288,""ja"",""vi"")"),"Đấu giá&gt; đồ chơi, trò chơi&gt; đồ chơi thức ăn nhanh&gt; McDonald&gt; Disney&gt; Mickey Mouse")</f>
        <v>Đấu giá&gt; đồ chơi, trò chơi&gt; đồ chơi thức ăn nhanh&gt; McDonald&gt; Disney&gt; Mickey Mouse</v>
      </c>
      <c r="F288" t="str">
        <f t="shared" ca="1" si="4"/>
        <v>"2084019398" : "Mickey Mouse",</v>
      </c>
    </row>
    <row r="289" spans="1:6" ht="15.75" customHeight="1">
      <c r="A289" s="14">
        <v>2084019402</v>
      </c>
      <c r="B289" s="14" t="s">
        <v>7713</v>
      </c>
      <c r="C289" s="14" t="s">
        <v>7924</v>
      </c>
      <c r="D289" s="5" t="str">
        <f ca="1">IFERROR(__xludf.DUMMYFUNCTION("GOOGLETRANSLATE(B289,""ja"",""vi"")"),"chuột Minnie")</f>
        <v>chuột Minnie</v>
      </c>
      <c r="E289" s="4" t="str">
        <f ca="1">IFERROR(__xludf.DUMMYFUNCTION("GOOGLETRANSLATE(C289,""ja"",""vi"")"),"Đấu giá&gt; đồ chơi, trò chơi&gt; đồ chơi thức ăn nhanh&gt; McDonald&gt; Disney&gt; Chuột Minnie")</f>
        <v>Đấu giá&gt; đồ chơi, trò chơi&gt; đồ chơi thức ăn nhanh&gt; McDonald&gt; Disney&gt; Chuột Minnie</v>
      </c>
      <c r="F289" t="str">
        <f t="shared" ca="1" si="4"/>
        <v>"2084019402" : "chuột Minnie",</v>
      </c>
    </row>
    <row r="290" spans="1:6" ht="15.75" customHeight="1">
      <c r="A290" s="14">
        <v>2084019408</v>
      </c>
      <c r="B290" s="14" t="s">
        <v>7871</v>
      </c>
      <c r="C290" s="14" t="s">
        <v>7928</v>
      </c>
      <c r="D290" s="5" t="str">
        <f ca="1">IFERROR(__xludf.DUMMYFUNCTION("GOOGLETRANSLATE(B290,""ja"",""vi"")"),"Moulin")</f>
        <v>Moulin</v>
      </c>
      <c r="E290" s="4" t="str">
        <f ca="1">IFERROR(__xludf.DUMMYFUNCTION("GOOGLETRANSLATE(C290,""ja"",""vi"")"),"Đấu giá&gt; đồ chơi, trò chơi&gt; đồ chơi thức ăn nhanh&gt; McDonald&gt; Disney&gt; Hoa Mộc Lan")</f>
        <v>Đấu giá&gt; đồ chơi, trò chơi&gt; đồ chơi thức ăn nhanh&gt; McDonald&gt; Disney&gt; Hoa Mộc Lan</v>
      </c>
      <c r="F290" t="str">
        <f t="shared" ca="1" si="4"/>
        <v>"2084019408" : "Moulin",</v>
      </c>
    </row>
    <row r="291" spans="1:6" ht="15.75" customHeight="1">
      <c r="A291" s="14">
        <v>2084019397</v>
      </c>
      <c r="B291" s="14" t="s">
        <v>7876</v>
      </c>
      <c r="C291" s="14" t="s">
        <v>7932</v>
      </c>
      <c r="D291" s="5" t="str">
        <f ca="1">IFERROR(__xludf.DUMMYFUNCTION("GOOGLETRANSLATE(B291,""ja"",""vi"")"),"The Lion King")</f>
        <v>The Lion King</v>
      </c>
      <c r="E291" s="4" t="str">
        <f ca="1">IFERROR(__xludf.DUMMYFUNCTION("GOOGLETRANSLATE(C291,""ja"",""vi"")"),"Đấu giá&gt; đồ chơi, trò chơi&gt; fast-food đồ chơi&gt; McDonald&gt; Disney&gt; The Lion King")</f>
        <v>Đấu giá&gt; đồ chơi, trò chơi&gt; fast-food đồ chơi&gt; McDonald&gt; Disney&gt; The Lion King</v>
      </c>
      <c r="F291" t="str">
        <f t="shared" ca="1" si="4"/>
        <v>"2084019397" : "The Lion King",</v>
      </c>
    </row>
    <row r="292" spans="1:6" ht="15.75" customHeight="1">
      <c r="A292" s="14">
        <v>2084019394</v>
      </c>
      <c r="B292" s="14" t="s">
        <v>7801</v>
      </c>
      <c r="C292" s="14" t="s">
        <v>7936</v>
      </c>
      <c r="D292" s="5" t="str">
        <f ca="1">IFERROR(__xludf.DUMMYFUNCTION("GOOGLETRANSLATE(B292,""ja"",""vi"")"),"The Little Mermaid")</f>
        <v>The Little Mermaid</v>
      </c>
      <c r="E292" s="4" t="str">
        <f ca="1">IFERROR(__xludf.DUMMYFUNCTION("GOOGLETRANSLATE(C292,""ja"",""vi"")"),"Đấu giá&gt; đồ chơi, trò chơi&gt; fast-food đồ chơi&gt; McDonald&gt; Disney&gt; The Little Mermaid")</f>
        <v>Đấu giá&gt; đồ chơi, trò chơi&gt; fast-food đồ chơi&gt; McDonald&gt; Disney&gt; The Little Mermaid</v>
      </c>
      <c r="F292" t="str">
        <f t="shared" ca="1" si="4"/>
        <v>"2084019394" : "The Little Mermaid",</v>
      </c>
    </row>
    <row r="293" spans="1:6" ht="15.75" customHeight="1">
      <c r="A293" s="14">
        <v>2084019404</v>
      </c>
      <c r="B293" s="14" t="s">
        <v>7887</v>
      </c>
      <c r="C293" s="14" t="s">
        <v>7940</v>
      </c>
      <c r="D293" s="5" t="str">
        <f ca="1">IFERROR(__xludf.DUMMYFUNCTION("GOOGLETRANSLATE(B293,""ja"",""vi"")"),"Beauty and the Beast")</f>
        <v>Beauty and the Beast</v>
      </c>
      <c r="E293" s="4" t="str">
        <f ca="1">IFERROR(__xludf.DUMMYFUNCTION("GOOGLETRANSLATE(C293,""ja"",""vi"")"),"Đấu giá&gt; đồ chơi, trò chơi&gt; đồ chơi thức ăn nhanh&gt; McDonald&gt; Disney&gt; Beauty and the Beast")</f>
        <v>Đấu giá&gt; đồ chơi, trò chơi&gt; đồ chơi thức ăn nhanh&gt; McDonald&gt; Disney&gt; Beauty and the Beast</v>
      </c>
      <c r="F293" t="str">
        <f t="shared" ca="1" si="4"/>
        <v>"2084019404" : "Beauty and the Beast",</v>
      </c>
    </row>
    <row r="294" spans="1:6" ht="15.75" customHeight="1">
      <c r="A294" s="14">
        <v>2084019410</v>
      </c>
      <c r="B294" s="14" t="s">
        <v>46</v>
      </c>
      <c r="C294" s="14" t="s">
        <v>7945</v>
      </c>
      <c r="D294" s="5" t="str">
        <f ca="1">IFERROR(__xludf.DUMMYFUNCTION("GOOGLETRANSLATE(B294,""ja"",""vi"")"),"nếu không thì")</f>
        <v>nếu không thì</v>
      </c>
      <c r="E294" s="4" t="str">
        <f ca="1">IFERROR(__xludf.DUMMYFUNCTION("GOOGLETRANSLATE(C294,""ja"",""vi"")"),"Đấu giá&gt; đồ chơi, trò chơi&gt; fast-food đồ chơi&gt; McDonald&gt; Disney&gt; Khác")</f>
        <v>Đấu giá&gt; đồ chơi, trò chơi&gt; fast-food đồ chơi&gt; McDonald&gt; Disney&gt; Khác</v>
      </c>
      <c r="F294" t="str">
        <f t="shared" ca="1" si="4"/>
        <v>"2084019410" : "nếu không thì",</v>
      </c>
    </row>
    <row r="295" spans="1:6" ht="15.75" customHeight="1">
      <c r="A295" s="14">
        <v>2084040561</v>
      </c>
      <c r="B295" s="14" t="s">
        <v>3242</v>
      </c>
      <c r="C295" s="14" t="s">
        <v>3245</v>
      </c>
      <c r="D295" s="5" t="str">
        <f ca="1">IFERROR(__xludf.DUMMYFUNCTION("GOOGLETRANSLATE(B295,""ja"",""vi"")"),"Friday the 13th")</f>
        <v>Friday the 13th</v>
      </c>
      <c r="E295" s="4" t="str">
        <f ca="1">IFERROR(__xludf.DUMMYFUNCTION("GOOGLETRANSLATE(C295,""ja"",""vi"")"),"Đấu giá&gt; đồ chơi, trò chơi&gt; hình&gt; SF, tưởng tượng, kinh dị&gt; Friday the 13th")</f>
        <v>Đấu giá&gt; đồ chơi, trò chơi&gt; hình&gt; SF, tưởng tượng, kinh dị&gt; Friday the 13th</v>
      </c>
      <c r="F295" t="str">
        <f t="shared" ca="1" si="4"/>
        <v>"2084040561" : "Friday the 13th",</v>
      </c>
    </row>
    <row r="296" spans="1:6" ht="15.75" customHeight="1">
      <c r="A296" s="14">
        <v>2084242884</v>
      </c>
      <c r="B296" s="14" t="s">
        <v>3252</v>
      </c>
      <c r="C296" s="14" t="s">
        <v>3256</v>
      </c>
      <c r="D296" s="5" t="str">
        <f ca="1">IFERROR(__xludf.DUMMYFUNCTION("GOOGLETRANSLATE(B296,""ja"",""vi"")"),"iron Man")</f>
        <v>iron Man</v>
      </c>
      <c r="E296" s="4" t="str">
        <f ca="1">IFERROR(__xludf.DUMMYFUNCTION("GOOGLETRANSLATE(C296,""ja"",""vi"")"),"Đấu giá&gt; đồ chơi, trò chơi&gt; hình&gt; SF, tưởng tượng, kinh dị&gt; Iron Man")</f>
        <v>Đấu giá&gt; đồ chơi, trò chơi&gt; hình&gt; SF, tưởng tượng, kinh dị&gt; Iron Man</v>
      </c>
      <c r="F296" t="str">
        <f t="shared" ca="1" si="4"/>
        <v>"2084242884" : "iron Man",</v>
      </c>
    </row>
    <row r="297" spans="1:6" ht="15.75" customHeight="1">
      <c r="A297" s="14">
        <v>2084040558</v>
      </c>
      <c r="B297" s="14" t="s">
        <v>3263</v>
      </c>
      <c r="C297" s="14" t="s">
        <v>3265</v>
      </c>
      <c r="D297" s="5" t="str">
        <f ca="1">IFERROR(__xludf.DUMMYFUNCTION("GOOGLETRANSLATE(B297,""ja"",""vi"")"),"Alien")</f>
        <v>Alien</v>
      </c>
      <c r="E297" s="4" t="str">
        <f ca="1">IFERROR(__xludf.DUMMYFUNCTION("GOOGLETRANSLATE(C297,""ja"",""vi"")"),"Đấu giá&gt; đồ chơi, trò chơi&gt; hình&gt; SF, tưởng tượng, kinh dị&gt; Alien")</f>
        <v>Đấu giá&gt; đồ chơi, trò chơi&gt; hình&gt; SF, tưởng tượng, kinh dị&gt; Alien</v>
      </c>
      <c r="F297" t="str">
        <f t="shared" ca="1" si="4"/>
        <v>"2084040558" : "Alien",</v>
      </c>
    </row>
    <row r="298" spans="1:6" ht="15.75" customHeight="1">
      <c r="A298" s="14">
        <v>2084040560</v>
      </c>
      <c r="B298" s="14" t="s">
        <v>3271</v>
      </c>
      <c r="C298" s="14" t="s">
        <v>3273</v>
      </c>
      <c r="D298" s="5" t="str">
        <f ca="1">IFERROR(__xludf.DUMMYFUNCTION("GOOGLETRANSLATE(B298,""ja"",""vi"")"),"Nightmare on Elm Street")</f>
        <v>Nightmare on Elm Street</v>
      </c>
      <c r="E298" s="4" t="str">
        <f ca="1">IFERROR(__xludf.DUMMYFUNCTION("GOOGLETRANSLATE(C298,""ja"",""vi"")"),"Đấu giá&gt; đồ chơi, trò chơi&gt; hình&gt; SF, tưởng tượng, kinh dị&gt; Nightmare on Elm Street")</f>
        <v>Đấu giá&gt; đồ chơi, trò chơi&gt; hình&gt; SF, tưởng tượng, kinh dị&gt; Nightmare on Elm Street</v>
      </c>
      <c r="F298" t="str">
        <f t="shared" ca="1" si="4"/>
        <v>"2084040560" : "Nightmare on Elm Street",</v>
      </c>
    </row>
    <row r="299" spans="1:6" ht="15.75" customHeight="1">
      <c r="A299" s="14">
        <v>2084040585</v>
      </c>
      <c r="B299" s="14" t="s">
        <v>3278</v>
      </c>
      <c r="C299" s="14" t="s">
        <v>3280</v>
      </c>
      <c r="D299" s="5" t="str">
        <f ca="1">IFERROR(__xludf.DUMMYFUNCTION("GOOGLETRANSLATE(B299,""ja"",""vi"")"),"The Nightmare Before Christmas")</f>
        <v>The Nightmare Before Christmas</v>
      </c>
      <c r="E299" s="4" t="str">
        <f ca="1">IFERROR(__xludf.DUMMYFUNCTION("GOOGLETRANSLATE(C299,""ja"",""vi"")"),"Đấu giá&gt; đồ chơi, trò chơi&gt; hình&gt; SF, tưởng tượng, kinh dị&gt; The Nightmare Before Christmas")</f>
        <v>Đấu giá&gt; đồ chơi, trò chơi&gt; hình&gt; SF, tưởng tượng, kinh dị&gt; The Nightmare Before Christmas</v>
      </c>
      <c r="F299" t="str">
        <f t="shared" ca="1" si="4"/>
        <v>"2084040585" : "The Nightmare Before Christmas",</v>
      </c>
    </row>
    <row r="300" spans="1:6" ht="15.75" customHeight="1">
      <c r="A300" s="14">
        <v>40577</v>
      </c>
      <c r="B300" s="14" t="s">
        <v>3286</v>
      </c>
      <c r="C300" s="14" t="s">
        <v>3288</v>
      </c>
      <c r="D300" s="5" t="str">
        <f ca="1">IFERROR(__xludf.DUMMYFUNCTION("GOOGLETRANSLATE(B300,""ja"",""vi"")"),"Star Wars loạt")</f>
        <v>Star Wars loạt</v>
      </c>
      <c r="E300" s="4" t="str">
        <f ca="1">IFERROR(__xludf.DUMMYFUNCTION("GOOGLETRANSLATE(C300,""ja"",""vi"")"),"Đấu giá&gt; đồ chơi, trò chơi&gt; hình&gt; SF, tưởng tượng, kinh dị&gt; Star Wars loạt")</f>
        <v>Đấu giá&gt; đồ chơi, trò chơi&gt; hình&gt; SF, tưởng tượng, kinh dị&gt; Star Wars loạt</v>
      </c>
      <c r="F300" t="str">
        <f t="shared" ca="1" si="4"/>
        <v>"40577" : "Star Wars loạt",</v>
      </c>
    </row>
    <row r="301" spans="1:6" ht="15.75" customHeight="1">
      <c r="A301" s="14">
        <v>2084023848</v>
      </c>
      <c r="B301" s="14" t="s">
        <v>3293</v>
      </c>
      <c r="C301" s="14" t="s">
        <v>3295</v>
      </c>
      <c r="D301" s="5" t="str">
        <f ca="1">IFERROR(__xludf.DUMMYFUNCTION("GOOGLETRANSLATE(B301,""ja"",""vi"")"),"star trek")</f>
        <v>star trek</v>
      </c>
      <c r="E301" s="4" t="str">
        <f ca="1">IFERROR(__xludf.DUMMYFUNCTION("GOOGLETRANSLATE(C301,""ja"",""vi"")"),"Đấu giá&gt; đồ chơi, trò chơi&gt; hình&gt; SF, tưởng tượng, kinh dị&gt; Star Trek")</f>
        <v>Đấu giá&gt; đồ chơi, trò chơi&gt; hình&gt; SF, tưởng tượng, kinh dị&gt; Star Trek</v>
      </c>
      <c r="F301" t="str">
        <f t="shared" ca="1" si="4"/>
        <v>"2084023848" : "star trek",</v>
      </c>
    </row>
    <row r="302" spans="1:6" ht="15.75" customHeight="1">
      <c r="A302" s="14">
        <v>2084242883</v>
      </c>
      <c r="B302" s="14" t="s">
        <v>3299</v>
      </c>
      <c r="C302" s="14" t="s">
        <v>3300</v>
      </c>
      <c r="D302" s="5" t="str">
        <f ca="1">IFERROR(__xludf.DUMMYFUNCTION("GOOGLETRANSLATE(B302,""ja"",""vi"")"),"Terminator")</f>
        <v>Terminator</v>
      </c>
      <c r="E302" s="4" t="str">
        <f ca="1">IFERROR(__xludf.DUMMYFUNCTION("GOOGLETRANSLATE(C302,""ja"",""vi"")"),"Đấu giá&gt; đồ chơi, trò chơi&gt; hình&gt; SF, tưởng tượng, kinh dị&gt; terminator")</f>
        <v>Đấu giá&gt; đồ chơi, trò chơi&gt; hình&gt; SF, tưởng tượng, kinh dị&gt; terminator</v>
      </c>
      <c r="F302" t="str">
        <f t="shared" ca="1" si="4"/>
        <v>"2084242883" : "Terminator",</v>
      </c>
    </row>
    <row r="303" spans="1:6" ht="15.75" customHeight="1">
      <c r="A303" s="14">
        <v>2084040559</v>
      </c>
      <c r="B303" s="14" t="s">
        <v>3303</v>
      </c>
      <c r="C303" s="14" t="s">
        <v>3304</v>
      </c>
      <c r="D303" s="5" t="str">
        <f ca="1">IFERROR(__xludf.DUMMYFUNCTION("GOOGLETRANSLATE(B303,""ja"",""vi"")"),"Predator")</f>
        <v>Predator</v>
      </c>
      <c r="E303" s="4" t="str">
        <f ca="1">IFERROR(__xludf.DUMMYFUNCTION("GOOGLETRANSLATE(C303,""ja"",""vi"")"),"Đấu giá&gt; đồ chơi, trò chơi&gt; hình&gt; SF, tưởng tượng, kinh dị&gt; Predator")</f>
        <v>Đấu giá&gt; đồ chơi, trò chơi&gt; hình&gt; SF, tưởng tượng, kinh dị&gt; Predator</v>
      </c>
      <c r="F303" t="str">
        <f t="shared" ca="1" si="4"/>
        <v>"2084040559" : "Predator",</v>
      </c>
    </row>
    <row r="304" spans="1:6" ht="15.75" customHeight="1">
      <c r="A304" s="14">
        <v>2084040563</v>
      </c>
      <c r="B304" s="14" t="s">
        <v>3308</v>
      </c>
      <c r="C304" s="14" t="s">
        <v>3309</v>
      </c>
      <c r="D304" s="5" t="str">
        <f ca="1">IFERROR(__xludf.DUMMYFUNCTION("GOOGLETRANSLATE(B304,""ja"",""vi"")"),"Planet of the Apes")</f>
        <v>Planet of the Apes</v>
      </c>
      <c r="E304" s="4" t="str">
        <f ca="1">IFERROR(__xludf.DUMMYFUNCTION("GOOGLETRANSLATE(C304,""ja"",""vi"")"),"Đấu giá&gt; đồ chơi, trò chơi&gt; hình&gt; SF, tưởng tượng, kinh dị&gt; Planet of the Apes")</f>
        <v>Đấu giá&gt; đồ chơi, trò chơi&gt; hình&gt; SF, tưởng tượng, kinh dị&gt; Planet of the Apes</v>
      </c>
      <c r="F304" t="str">
        <f t="shared" ca="1" si="4"/>
        <v>"2084040563" : "Planet of the Apes",</v>
      </c>
    </row>
    <row r="305" spans="1:6" ht="15.75" customHeight="1">
      <c r="A305" s="14">
        <v>2084046903</v>
      </c>
      <c r="B305" s="14" t="s">
        <v>46</v>
      </c>
      <c r="C305" s="14" t="s">
        <v>3313</v>
      </c>
      <c r="D305" s="5" t="str">
        <f ca="1">IFERROR(__xludf.DUMMYFUNCTION("GOOGLETRANSLATE(B305,""ja"",""vi"")"),"nếu không thì")</f>
        <v>nếu không thì</v>
      </c>
      <c r="E305" s="4" t="str">
        <f ca="1">IFERROR(__xludf.DUMMYFUNCTION("GOOGLETRANSLATE(C305,""ja"",""vi"")"),"Đấu giá&gt; đồ chơi, trò chơi&gt; hình&gt; SF, tưởng tượng, kinh dị&gt; Khác")</f>
        <v>Đấu giá&gt; đồ chơi, trò chơi&gt; hình&gt; SF, tưởng tượng, kinh dị&gt; Khác</v>
      </c>
      <c r="F305" t="str">
        <f t="shared" ca="1" si="4"/>
        <v>"2084046903" : "nếu không thì",</v>
      </c>
    </row>
    <row r="306" spans="1:6" ht="15.75" customHeight="1">
      <c r="A306" s="14">
        <v>26042</v>
      </c>
      <c r="B306" s="14" t="s">
        <v>3286</v>
      </c>
      <c r="C306" s="14" t="s">
        <v>7977</v>
      </c>
      <c r="D306" s="5" t="str">
        <f ca="1">IFERROR(__xludf.DUMMYFUNCTION("GOOGLETRANSLATE(B306,""ja"",""vi"")"),"Star Wars loạt")</f>
        <v>Star Wars loạt</v>
      </c>
      <c r="E306" s="4" t="str">
        <f ca="1">IFERROR(__xludf.DUMMYFUNCTION("GOOGLETRANSLATE(C306,""ja"",""vi"")"),"Đấu giá&gt; đồ chơi, trò chơi&gt; SF&gt; Star Wars loạt")</f>
        <v>Đấu giá&gt; đồ chơi, trò chơi&gt; SF&gt; Star Wars loạt</v>
      </c>
      <c r="F306" t="str">
        <f t="shared" ca="1" si="4"/>
        <v>"26042" : "Star Wars loạt",</v>
      </c>
    </row>
    <row r="307" spans="1:6" ht="15.75" customHeight="1">
      <c r="A307" s="14">
        <v>26046</v>
      </c>
      <c r="B307" s="14" t="s">
        <v>46</v>
      </c>
      <c r="C307" s="14" t="s">
        <v>7980</v>
      </c>
      <c r="D307" s="5" t="str">
        <f ca="1">IFERROR(__xludf.DUMMYFUNCTION("GOOGLETRANSLATE(B307,""ja"",""vi"")"),"nếu không thì")</f>
        <v>nếu không thì</v>
      </c>
      <c r="E307" s="4" t="str">
        <f ca="1">IFERROR(__xludf.DUMMYFUNCTION("GOOGLETRANSLATE(C307,""ja"",""vi"")"),"Đấu giá&gt; đồ chơi, trò chơi&gt; SF&gt; Khác")</f>
        <v>Đấu giá&gt; đồ chơi, trò chơi&gt; SF&gt; Khác</v>
      </c>
      <c r="F307" t="str">
        <f t="shared" ca="1" si="4"/>
        <v>"26046" : "nếu không thì",</v>
      </c>
    </row>
    <row r="308" spans="1:6" ht="15.75" customHeight="1">
      <c r="A308" s="14">
        <v>2084037556</v>
      </c>
      <c r="B308" s="14" t="s">
        <v>2241</v>
      </c>
      <c r="C308" s="14" t="s">
        <v>7982</v>
      </c>
      <c r="D308" s="5" t="str">
        <f ca="1">IFERROR(__xludf.DUMMYFUNCTION("GOOGLETRANSLATE(B308,""ja"",""vi"")"),"chung")</f>
        <v>chung</v>
      </c>
      <c r="E308" s="4" t="str">
        <f ca="1">IFERROR(__xludf.DUMMYFUNCTION("GOOGLETRANSLATE(C308,""ja"",""vi"")"),"Đấu giá&gt; cổ, bộ sưu tập&gt; hàng linh tinh&gt; móc chìa khóa&gt; chung")</f>
        <v>Đấu giá&gt; cổ, bộ sưu tập&gt; hàng linh tinh&gt; móc chìa khóa&gt; chung</v>
      </c>
      <c r="F308" t="str">
        <f t="shared" ca="1" si="4"/>
        <v>"2084037556" : "chung",</v>
      </c>
    </row>
    <row r="309" spans="1:6" ht="15.75" customHeight="1">
      <c r="A309" s="14">
        <v>2084037554</v>
      </c>
      <c r="B309" s="14" t="s">
        <v>4452</v>
      </c>
      <c r="C309" s="14" t="s">
        <v>7983</v>
      </c>
      <c r="D309" s="5" t="str">
        <f ca="1">IFERROR(__xludf.DUMMYFUNCTION("GOOGLETRANSLATE(B309,""ja"",""vi"")"),"nhân vật")</f>
        <v>nhân vật</v>
      </c>
      <c r="E309" s="4" t="str">
        <f ca="1">IFERROR(__xludf.DUMMYFUNCTION("GOOGLETRANSLATE(C309,""ja"",""vi"")"),"Đấu giá&gt; cổ, bộ sưu tập&gt; hàng linh tinh&gt; móc chìa khóa&gt; Character")</f>
        <v>Đấu giá&gt; cổ, bộ sưu tập&gt; hàng linh tinh&gt; móc chìa khóa&gt; Character</v>
      </c>
      <c r="F309" t="str">
        <f t="shared" ca="1" si="4"/>
        <v>"2084037554" : "nhân vật",</v>
      </c>
    </row>
    <row r="310" spans="1:6" ht="15.75" customHeight="1">
      <c r="A310" s="14">
        <v>2084037544</v>
      </c>
      <c r="B310" s="14" t="s">
        <v>4455</v>
      </c>
      <c r="C310" s="14" t="s">
        <v>7984</v>
      </c>
      <c r="D310" s="5" t="str">
        <f ca="1">IFERROR(__xludf.DUMMYFUNCTION("GOOGLETRANSLATE(B310,""ja"",""vi"")"),"Truyện tranh, hoạt hình")</f>
        <v>Truyện tranh, hoạt hình</v>
      </c>
      <c r="E310" s="4" t="str">
        <f ca="1">IFERROR(__xludf.DUMMYFUNCTION("GOOGLETRANSLATE(C310,""ja"",""vi"")"),"Đấu giá&gt; cổ, bộ sưu tập&gt; hàng linh tinh&gt; móc chìa khóa&gt; truyện tranh, hoạt hình")</f>
        <v>Đấu giá&gt; cổ, bộ sưu tập&gt; hàng linh tinh&gt; móc chìa khóa&gt; truyện tranh, hoạt hình</v>
      </c>
      <c r="F310" t="str">
        <f t="shared" ca="1" si="4"/>
        <v>"2084037544" : "Truyện tranh, hoạt hình",</v>
      </c>
    </row>
    <row r="311" spans="1:6" ht="15.75" customHeight="1">
      <c r="A311" s="14">
        <v>2084037536</v>
      </c>
      <c r="B311" s="14" t="s">
        <v>7985</v>
      </c>
      <c r="C311" s="14" t="s">
        <v>7986</v>
      </c>
      <c r="D311" s="5" t="str">
        <f ca="1">IFERROR(__xludf.DUMMYFUNCTION("GOOGLETRANSLATE(B311,""ja"",""vi"")"),"Talent, nhạc sĩ")</f>
        <v>Talent, nhạc sĩ</v>
      </c>
      <c r="E311" s="4" t="str">
        <f ca="1">IFERROR(__xludf.DUMMYFUNCTION("GOOGLETRANSLATE(C311,""ja"",""vi"")"),"Đấu giá&gt; cổ, bộ sưu tập&gt; hàng linh tinh&gt; móc chìa khóa&gt; tài năng, nhạc sĩ")</f>
        <v>Đấu giá&gt; cổ, bộ sưu tập&gt; hàng linh tinh&gt; móc chìa khóa&gt; tài năng, nhạc sĩ</v>
      </c>
      <c r="F311" t="str">
        <f t="shared" ca="1" si="4"/>
        <v>"2084037536" : "Talent, nhạc sĩ",</v>
      </c>
    </row>
    <row r="312" spans="1:6" ht="15.75" customHeight="1">
      <c r="A312" s="14">
        <v>2084037538</v>
      </c>
      <c r="B312" s="14" t="s">
        <v>7987</v>
      </c>
      <c r="C312" s="14" t="s">
        <v>7988</v>
      </c>
      <c r="D312" s="5" t="str">
        <f ca="1">IFERROR(__xludf.DUMMYFUNCTION("GOOGLETRANSLATE(B312,""ja"",""vi"")"),"Nhãn hiệu")</f>
        <v>Nhãn hiệu</v>
      </c>
      <c r="E312" s="4" t="str">
        <f ca="1">IFERROR(__xludf.DUMMYFUNCTION("GOOGLETRANSLATE(C312,""ja"",""vi"")"),"Đấu giá&gt; cổ, bộ sưu tập&gt; hàng linh tinh&gt; móc chìa khóa&gt; thương hiệu")</f>
        <v>Đấu giá&gt; cổ, bộ sưu tập&gt; hàng linh tinh&gt; móc chìa khóa&gt; thương hiệu</v>
      </c>
      <c r="F312" t="str">
        <f t="shared" ca="1" si="4"/>
        <v>"2084037538" : "Nhãn hiệu",</v>
      </c>
    </row>
    <row r="313" spans="1:6" ht="15.75" customHeight="1">
      <c r="A313" s="14">
        <v>2084236962</v>
      </c>
      <c r="B313" s="14" t="s">
        <v>7989</v>
      </c>
      <c r="C313" s="14" t="s">
        <v>7990</v>
      </c>
      <c r="D313" s="5" t="str">
        <f ca="1">IFERROR(__xludf.DUMMYFUNCTION("GOOGLETRANSLATE(B313,""ja"",""vi"")"),"làm bằng tay")</f>
        <v>làm bằng tay</v>
      </c>
      <c r="E313" s="4" t="str">
        <f ca="1">IFERROR(__xludf.DUMMYFUNCTION("GOOGLETRANSLATE(C313,""ja"",""vi"")"),"Đấu giá&gt; cổ, bộ sưu tập&gt; hàng linh tinh&gt; móc chìa khóa&gt; handmade")</f>
        <v>Đấu giá&gt; cổ, bộ sưu tập&gt; hàng linh tinh&gt; móc chìa khóa&gt; handmade</v>
      </c>
      <c r="F313" t="str">
        <f t="shared" ca="1" si="4"/>
        <v>"2084236962" : "làm bằng tay",</v>
      </c>
    </row>
    <row r="314" spans="1:6" ht="15.75" customHeight="1">
      <c r="A314" s="14">
        <v>2084019981</v>
      </c>
      <c r="B314" s="14" t="s">
        <v>5031</v>
      </c>
      <c r="C314" s="14" t="s">
        <v>7991</v>
      </c>
      <c r="D314" s="5" t="str">
        <f ca="1">IFERROR(__xludf.DUMMYFUNCTION("GOOGLETRANSLATE(B314,""ja"",""vi"")"),"xe mô tô")</f>
        <v>xe mô tô</v>
      </c>
      <c r="E314" s="4" t="str">
        <f ca="1">IFERROR(__xludf.DUMMYFUNCTION("GOOGLETRANSLATE(C314,""ja"",""vi"")"),"Đấu giá&gt; cổ, bộ sưu tập&gt; hàng linh tinh&gt; móc chìa khóa&gt; xe máy")</f>
        <v>Đấu giá&gt; cổ, bộ sưu tập&gt; hàng linh tinh&gt; móc chìa khóa&gt; xe máy</v>
      </c>
      <c r="F314" t="str">
        <f t="shared" ca="1" si="4"/>
        <v>"2084019981" : "xe mô tô",</v>
      </c>
    </row>
    <row r="315" spans="1:6" ht="15.75" customHeight="1">
      <c r="A315" s="14">
        <v>2084005812</v>
      </c>
      <c r="B315" s="14" t="s">
        <v>4496</v>
      </c>
      <c r="C315" s="14" t="s">
        <v>7992</v>
      </c>
      <c r="D315" s="5" t="str">
        <f ca="1">IFERROR(__xludf.DUMMYFUNCTION("GOOGLETRANSLATE(B315,""ja"",""vi"")"),"xe hơi")</f>
        <v>xe hơi</v>
      </c>
      <c r="E315" s="4" t="str">
        <f ca="1">IFERROR(__xludf.DUMMYFUNCTION("GOOGLETRANSLATE(C315,""ja"",""vi"")"),"Đấu giá&gt; cổ, bộ sưu tập&gt; hàng linh tinh&gt; móc chìa khóa&gt; Ô tô")</f>
        <v>Đấu giá&gt; cổ, bộ sưu tập&gt; hàng linh tinh&gt; móc chìa khóa&gt; Ô tô</v>
      </c>
      <c r="F315" t="str">
        <f t="shared" ca="1" si="4"/>
        <v>"2084005812" : "xe hơi",</v>
      </c>
    </row>
    <row r="316" spans="1:6" ht="15.75" customHeight="1">
      <c r="A316" s="14">
        <v>2084006021</v>
      </c>
      <c r="B316" s="14" t="s">
        <v>4455</v>
      </c>
      <c r="C316" s="14" t="s">
        <v>7993</v>
      </c>
      <c r="D316" s="5" t="str">
        <f ca="1">IFERROR(__xludf.DUMMYFUNCTION("GOOGLETRANSLATE(B316,""ja"",""vi"")"),"Truyện tranh, hoạt hình")</f>
        <v>Truyện tranh, hoạt hình</v>
      </c>
      <c r="E316" s="4" t="str">
        <f ca="1">IFERROR(__xludf.DUMMYFUNCTION("GOOGLETRANSLATE(C316,""ja"",""vi"")"),"Đấu giá&gt; cổ, bộ sưu tập&gt; hàng linh tinh&gt; dán&gt; truyện tranh, hoạt hình")</f>
        <v>Đấu giá&gt; cổ, bộ sưu tập&gt; hàng linh tinh&gt; dán&gt; truyện tranh, hoạt hình</v>
      </c>
      <c r="F316" t="str">
        <f t="shared" ca="1" si="4"/>
        <v>"2084006021" : "Truyện tranh, hoạt hình",</v>
      </c>
    </row>
    <row r="317" spans="1:6" ht="15.75" customHeight="1">
      <c r="A317" s="14">
        <v>2084047076</v>
      </c>
      <c r="B317" s="14" t="s">
        <v>6638</v>
      </c>
      <c r="C317" s="14" t="s">
        <v>7994</v>
      </c>
      <c r="D317" s="5" t="str">
        <f ca="1">IFERROR(__xludf.DUMMYFUNCTION("GOOGLETRANSLATE(B317,""ja"",""vi"")"),"năng lực")</f>
        <v>năng lực</v>
      </c>
      <c r="E317" s="4" t="str">
        <f ca="1">IFERROR(__xludf.DUMMYFUNCTION("GOOGLETRANSLATE(C317,""ja"",""vi"")"),"Đấu giá&gt; cổ, bộ sưu tập&gt; hàng linh tinh&gt; dán&gt; Talent")</f>
        <v>Đấu giá&gt; cổ, bộ sưu tập&gt; hàng linh tinh&gt; dán&gt; Talent</v>
      </c>
      <c r="F317" t="str">
        <f t="shared" ca="1" si="4"/>
        <v>"2084047076" : "năng lực",</v>
      </c>
    </row>
    <row r="318" spans="1:6" ht="15.75" customHeight="1">
      <c r="A318" s="14">
        <v>2084005054</v>
      </c>
      <c r="B318" s="14" t="s">
        <v>7995</v>
      </c>
      <c r="C318" s="14" t="s">
        <v>7996</v>
      </c>
      <c r="D318" s="5" t="str">
        <f ca="1">IFERROR(__xludf.DUMMYFUNCTION("GOOGLETRANSLATE(B318,""ja"",""vi"")"),"Bikkuriman")</f>
        <v>Bikkuriman</v>
      </c>
      <c r="E318" s="4" t="str">
        <f ca="1">IFERROR(__xludf.DUMMYFUNCTION("GOOGLETRANSLATE(C318,""ja"",""vi"")"),"Đấu giá&gt; cổ, bộ sưu tập&gt; hàng linh tinh&gt; dán&gt; Bikkuriman")</f>
        <v>Đấu giá&gt; cổ, bộ sưu tập&gt; hàng linh tinh&gt; dán&gt; Bikkuriman</v>
      </c>
      <c r="F318" t="str">
        <f t="shared" ca="1" si="4"/>
        <v>"2084005054" : "Bikkuriman",</v>
      </c>
    </row>
    <row r="319" spans="1:6" ht="15.75" customHeight="1">
      <c r="A319" s="14">
        <v>42206</v>
      </c>
      <c r="B319" s="14" t="s">
        <v>4471</v>
      </c>
      <c r="C319" s="14" t="s">
        <v>7997</v>
      </c>
      <c r="D319" s="5" t="str">
        <f ca="1">IFERROR(__xludf.DUMMYFUNCTION("GOOGLETRANSLATE(B319,""ja"",""vi"")"),"nhạc sĩ")</f>
        <v>nhạc sĩ</v>
      </c>
      <c r="E319" s="4" t="str">
        <f ca="1">IFERROR(__xludf.DUMMYFUNCTION("GOOGLETRANSLATE(C319,""ja"",""vi"")"),"Đấu giá&gt; cổ, bộ sưu tập&gt; hàng linh tinh&gt; dán&gt; nhạc sĩ")</f>
        <v>Đấu giá&gt; cổ, bộ sưu tập&gt; hàng linh tinh&gt; dán&gt; nhạc sĩ</v>
      </c>
      <c r="F319" t="str">
        <f t="shared" ca="1" si="4"/>
        <v>"42206" : "nhạc sĩ",</v>
      </c>
    </row>
    <row r="320" spans="1:6" ht="15.75" customHeight="1">
      <c r="A320" s="14">
        <v>26074</v>
      </c>
      <c r="B320" s="14" t="s">
        <v>46</v>
      </c>
      <c r="C320" s="14" t="s">
        <v>7998</v>
      </c>
      <c r="D320" s="5" t="str">
        <f ca="1">IFERROR(__xludf.DUMMYFUNCTION("GOOGLETRANSLATE(B320,""ja"",""vi"")"),"nếu không thì")</f>
        <v>nếu không thì</v>
      </c>
      <c r="E320" s="4" t="str">
        <f ca="1">IFERROR(__xludf.DUMMYFUNCTION("GOOGLETRANSLATE(C320,""ja"",""vi"")"),"Đấu giá&gt; cổ, bộ sưu tập&gt; hàng linh tinh&gt; dán&gt; Khác")</f>
        <v>Đấu giá&gt; cổ, bộ sưu tập&gt; hàng linh tinh&gt; dán&gt; Khác</v>
      </c>
      <c r="F320" t="str">
        <f t="shared" ca="1" si="4"/>
        <v>"26074" : "nếu không thì",</v>
      </c>
    </row>
    <row r="321" spans="1:6" ht="15.75" customHeight="1">
      <c r="A321" s="14">
        <v>2084005121</v>
      </c>
      <c r="B321" s="14" t="s">
        <v>4452</v>
      </c>
      <c r="C321" s="14" t="s">
        <v>4453</v>
      </c>
      <c r="D321" s="5" t="str">
        <f ca="1">IFERROR(__xludf.DUMMYFUNCTION("GOOGLETRANSLATE(B321,""ja"",""vi"")"),"nhân vật")</f>
        <v>nhân vật</v>
      </c>
      <c r="E321" s="4" t="str">
        <f ca="1">IFERROR(__xludf.DUMMYFUNCTION("GOOGLETRANSLATE(C321,""ja"",""vi"")"),"Đấu giá&gt; vé, chứng từ, đặt phòng khách sạn&gt; Thẻ trả trước&gt; Thẻ điện thoại&gt; Nhân vật")</f>
        <v>Đấu giá&gt; vé, chứng từ, đặt phòng khách sạn&gt; Thẻ trả trước&gt; Thẻ điện thoại&gt; Nhân vật</v>
      </c>
      <c r="F321" t="str">
        <f t="shared" ca="1" si="4"/>
        <v>"2084005121" : "nhân vật",</v>
      </c>
    </row>
    <row r="322" spans="1:6" ht="15.75" customHeight="1">
      <c r="A322" s="14">
        <v>2084005120</v>
      </c>
      <c r="B322" s="14" t="s">
        <v>4455</v>
      </c>
      <c r="C322" s="14" t="s">
        <v>4456</v>
      </c>
      <c r="D322" s="5" t="str">
        <f ca="1">IFERROR(__xludf.DUMMYFUNCTION("GOOGLETRANSLATE(B322,""ja"",""vi"")"),"Truyện tranh, hoạt hình")</f>
        <v>Truyện tranh, hoạt hình</v>
      </c>
      <c r="E322" s="4" t="str">
        <f ca="1">IFERROR(__xludf.DUMMYFUNCTION("GOOGLETRANSLATE(C322,""ja"",""vi"")"),"Đấu giá&gt; vé, chứng từ, đặt phòng khách sạn&gt; Thẻ trả trước&gt; Thẻ điện thoại&gt; truyện tranh, hoạt hình")</f>
        <v>Đấu giá&gt; vé, chứng từ, đặt phòng khách sạn&gt; Thẻ trả trước&gt; Thẻ điện thoại&gt; truyện tranh, hoạt hình</v>
      </c>
      <c r="F322" t="str">
        <f t="shared" ref="F322:F385" ca="1" si="5">CONCATENATE(CHAR(34)&amp;"",A322,""&amp;CHAR(34)," : ", CHAR(34)&amp;"",D322,""&amp;CHAR(34),",")</f>
        <v>"2084005120" : "Truyện tranh, hoạt hình",</v>
      </c>
    </row>
    <row r="323" spans="1:6" ht="15.75" customHeight="1">
      <c r="A323" s="14">
        <v>2084005113</v>
      </c>
      <c r="B323" s="14" t="s">
        <v>4458</v>
      </c>
      <c r="C323" s="14" t="s">
        <v>4459</v>
      </c>
      <c r="D323" s="5" t="str">
        <f ca="1">IFERROR(__xludf.DUMMYFUNCTION("GOOGLETRANSLATE(B323,""ja"",""vi"")"),"thể thao")</f>
        <v>thể thao</v>
      </c>
      <c r="E323" s="4" t="str">
        <f ca="1">IFERROR(__xludf.DUMMYFUNCTION("GOOGLETRANSLATE(C323,""ja"",""vi"")"),"Đấu giá&gt; vé, chứng từ, đặt phòng khách sạn&gt; Thẻ trả trước&gt; Thẻ điện thoại&gt; Thể Thao")</f>
        <v>Đấu giá&gt; vé, chứng từ, đặt phòng khách sạn&gt; Thẻ trả trước&gt; Thẻ điện thoại&gt; Thể Thao</v>
      </c>
      <c r="F323" t="str">
        <f t="shared" ca="1" si="5"/>
        <v>"2084005113" : "thể thao",</v>
      </c>
    </row>
    <row r="324" spans="1:6" ht="15.75" customHeight="1">
      <c r="A324" s="14">
        <v>2084005119</v>
      </c>
      <c r="B324" s="14" t="s">
        <v>4463</v>
      </c>
      <c r="C324" s="14" t="s">
        <v>4464</v>
      </c>
      <c r="D324" s="5" t="str">
        <f ca="1">IFERROR(__xludf.DUMMYFUNCTION("GOOGLETRANSLATE(B324,""ja"",""vi"")"),"Mã số trò chơi")</f>
        <v>Mã số trò chơi</v>
      </c>
      <c r="E324" s="4" t="str">
        <f ca="1">IFERROR(__xludf.DUMMYFUNCTION("GOOGLETRANSLATE(C324,""ja"",""vi"")"),"Đấu giá&gt; vé, chứng từ, đặt phòng khách sạn&gt; Thẻ trả trước&gt; Thẻ điện thoại&gt; video game")</f>
        <v>Đấu giá&gt; vé, chứng từ, đặt phòng khách sạn&gt; Thẻ trả trước&gt; Thẻ điện thoại&gt; video game</v>
      </c>
      <c r="F324" t="str">
        <f t="shared" ca="1" si="5"/>
        <v>"2084005119" : "Mã số trò chơi",</v>
      </c>
    </row>
    <row r="325" spans="1:6" ht="15.75" customHeight="1">
      <c r="A325" s="14">
        <v>2084005123</v>
      </c>
      <c r="B325" s="14" t="s">
        <v>4468</v>
      </c>
      <c r="C325" s="14" t="s">
        <v>4469</v>
      </c>
      <c r="D325" s="5" t="str">
        <f ca="1">IFERROR(__xludf.DUMMYFUNCTION("GOOGLETRANSLATE(B325,""ja"",""vi"")"),"chương trình truyền hình")</f>
        <v>chương trình truyền hình</v>
      </c>
      <c r="E325" s="4" t="str">
        <f ca="1">IFERROR(__xludf.DUMMYFUNCTION("GOOGLETRANSLATE(C325,""ja"",""vi"")"),"Đấu giá&gt; vé, chứng từ, đặt phòng khách sạn&gt; Thẻ trả trước&gt; Thẻ điện thoại&gt; chương trình truyền hình")</f>
        <v>Đấu giá&gt; vé, chứng từ, đặt phòng khách sạn&gt; Thẻ trả trước&gt; Thẻ điện thoại&gt; chương trình truyền hình</v>
      </c>
      <c r="F325" t="str">
        <f t="shared" ca="1" si="5"/>
        <v>"2084005123" : "chương trình truyền hình",</v>
      </c>
    </row>
    <row r="326" spans="1:6" ht="15.75" customHeight="1">
      <c r="A326" s="14">
        <v>2084005105</v>
      </c>
      <c r="B326" s="14" t="s">
        <v>4471</v>
      </c>
      <c r="C326" s="14" t="s">
        <v>4472</v>
      </c>
      <c r="D326" s="5" t="str">
        <f ca="1">IFERROR(__xludf.DUMMYFUNCTION("GOOGLETRANSLATE(B326,""ja"",""vi"")"),"nhạc sĩ")</f>
        <v>nhạc sĩ</v>
      </c>
      <c r="E326" s="4" t="str">
        <f ca="1">IFERROR(__xludf.DUMMYFUNCTION("GOOGLETRANSLATE(C326,""ja"",""vi"")"),"Đấu giá&gt; vé, chứng từ, đặt phòng khách sạn&gt; Thẻ trả trước&gt; Thẻ điện thoại&gt; nhạc sĩ")</f>
        <v>Đấu giá&gt; vé, chứng từ, đặt phòng khách sạn&gt; Thẻ trả trước&gt; Thẻ điện thoại&gt; nhạc sĩ</v>
      </c>
      <c r="F326" t="str">
        <f t="shared" ca="1" si="5"/>
        <v>"2084005105" : "nhạc sĩ",</v>
      </c>
    </row>
    <row r="327" spans="1:6" ht="15.75" customHeight="1">
      <c r="A327" s="14">
        <v>2084005124</v>
      </c>
      <c r="B327" s="14" t="s">
        <v>4476</v>
      </c>
      <c r="C327" s="14" t="s">
        <v>4477</v>
      </c>
      <c r="D327" s="5" t="str">
        <f ca="1">IFERROR(__xludf.DUMMYFUNCTION("GOOGLETRANSLATE(B327,""ja"",""vi"")"),"chương trình phát thanh")</f>
        <v>chương trình phát thanh</v>
      </c>
      <c r="E327" s="4" t="str">
        <f ca="1">IFERROR(__xludf.DUMMYFUNCTION("GOOGLETRANSLATE(C327,""ja"",""vi"")"),"Đấu giá&gt; vé, chứng từ, đặt phòng khách sạn&gt; Thẻ trả trước&gt; Thẻ điện thoại&gt; chương trình phát thanh")</f>
        <v>Đấu giá&gt; vé, chứng từ, đặt phòng khách sạn&gt; Thẻ trả trước&gt; Thẻ điện thoại&gt; chương trình phát thanh</v>
      </c>
      <c r="F327" t="str">
        <f t="shared" ca="1" si="5"/>
        <v>"2084005124" : "chương trình phát thanh",</v>
      </c>
    </row>
    <row r="328" spans="1:6" ht="15.75" customHeight="1">
      <c r="A328" s="14">
        <v>2084005122</v>
      </c>
      <c r="B328" s="14" t="s">
        <v>4481</v>
      </c>
      <c r="C328" s="14" t="s">
        <v>4482</v>
      </c>
      <c r="D328" s="5" t="str">
        <f ca="1">IFERROR(__xludf.DUMMYFUNCTION("GOOGLETRANSLATE(B328,""ja"",""vi"")"),"phim")</f>
        <v>phim</v>
      </c>
      <c r="E328" s="4" t="str">
        <f ca="1">IFERROR(__xludf.DUMMYFUNCTION("GOOGLETRANSLATE(C328,""ja"",""vi"")"),"Đấu giá&gt; vé, chứng từ, đặt phòng khách sạn&gt; Thẻ trả trước&gt; Thẻ điện thoại&gt; Phim")</f>
        <v>Đấu giá&gt; vé, chứng từ, đặt phòng khách sạn&gt; Thẻ trả trước&gt; Thẻ điện thoại&gt; Phim</v>
      </c>
      <c r="F328" t="str">
        <f t="shared" ca="1" si="5"/>
        <v>"2084005122" : "phim",</v>
      </c>
    </row>
    <row r="329" spans="1:6" ht="15.75" customHeight="1">
      <c r="A329" s="14">
        <v>2084048484</v>
      </c>
      <c r="B329" s="14" t="s">
        <v>4484</v>
      </c>
      <c r="C329" s="14" t="s">
        <v>4486</v>
      </c>
      <c r="D329" s="5" t="str">
        <f ca="1">IFERROR(__xludf.DUMMYFUNCTION("GOOGLETRANSLATE(B329,""ja"",""vi"")"),"Nghệ thuật, Nghệ thuật")</f>
        <v>Nghệ thuật, Nghệ thuật</v>
      </c>
      <c r="E329" s="4" t="str">
        <f ca="1">IFERROR(__xludf.DUMMYFUNCTION("GOOGLETRANSLATE(C329,""ja"",""vi"")"),"Đấu giá&gt; vé, chứng từ, đặt phòng khách sạn&gt; Thẻ trả trước&gt; Thẻ điện thoại&gt; Nghệ thuật, Nghệ thuật")</f>
        <v>Đấu giá&gt; vé, chứng từ, đặt phòng khách sạn&gt; Thẻ trả trước&gt; Thẻ điện thoại&gt; Nghệ thuật, Nghệ thuật</v>
      </c>
      <c r="F329" t="str">
        <f t="shared" ca="1" si="5"/>
        <v>"2084048484" : "Nghệ thuật, Nghệ thuật",</v>
      </c>
    </row>
    <row r="330" spans="1:6" ht="15.75" customHeight="1">
      <c r="A330" s="14">
        <v>2084005109</v>
      </c>
      <c r="B330" s="14" t="s">
        <v>4489</v>
      </c>
      <c r="C330" s="14" t="s">
        <v>4490</v>
      </c>
      <c r="D330" s="5" t="str">
        <f ca="1">IFERROR(__xludf.DUMMYFUNCTION("GOOGLETRANSLATE(B330,""ja"",""vi"")"),"Giải trí, tài năng")</f>
        <v>Giải trí, tài năng</v>
      </c>
      <c r="E330" s="4" t="str">
        <f ca="1">IFERROR(__xludf.DUMMYFUNCTION("GOOGLETRANSLATE(C330,""ja"",""vi"")"),"Đấu giá&gt; vé, chứng từ, đặt phòng khách sạn&gt; Thẻ trả trước&gt; Thẻ điện thoại&gt; giải trí, tài năng")</f>
        <v>Đấu giá&gt; vé, chứng từ, đặt phòng khách sạn&gt; Thẻ trả trước&gt; Thẻ điện thoại&gt; giải trí, tài năng</v>
      </c>
      <c r="F330" t="str">
        <f t="shared" ca="1" si="5"/>
        <v>"2084005109" : "Giải trí, tài năng",</v>
      </c>
    </row>
    <row r="331" spans="1:6" ht="15.75" customHeight="1">
      <c r="A331" s="14">
        <v>2084007949</v>
      </c>
      <c r="B331" s="14" t="s">
        <v>4494</v>
      </c>
      <c r="C331" s="14" t="s">
        <v>4495</v>
      </c>
      <c r="D331" s="5" t="str">
        <f ca="1">IFERROR(__xludf.DUMMYFUNCTION("GOOGLETRANSLATE(B331,""ja"",""vi"")"),"phi cơ")</f>
        <v>phi cơ</v>
      </c>
      <c r="E331" s="4" t="str">
        <f ca="1">IFERROR(__xludf.DUMMYFUNCTION("GOOGLETRANSLATE(C331,""ja"",""vi"")"),"Đấu giá&gt; vé, chứng từ, đặt phòng khách sạn&gt; Thẻ trả trước&gt; Thẻ điện thoại&gt; máy bay")</f>
        <v>Đấu giá&gt; vé, chứng từ, đặt phòng khách sạn&gt; Thẻ trả trước&gt; Thẻ điện thoại&gt; máy bay</v>
      </c>
      <c r="F331" t="str">
        <f t="shared" ca="1" si="5"/>
        <v>"2084007949" : "phi cơ",</v>
      </c>
    </row>
    <row r="332" spans="1:6" ht="15.75" customHeight="1">
      <c r="A332" s="14">
        <v>2084007950</v>
      </c>
      <c r="B332" s="14" t="s">
        <v>4496</v>
      </c>
      <c r="C332" s="14" t="s">
        <v>4499</v>
      </c>
      <c r="D332" s="5" t="str">
        <f ca="1">IFERROR(__xludf.DUMMYFUNCTION("GOOGLETRANSLATE(B332,""ja"",""vi"")"),"xe hơi")</f>
        <v>xe hơi</v>
      </c>
      <c r="E332" s="4" t="str">
        <f ca="1">IFERROR(__xludf.DUMMYFUNCTION("GOOGLETRANSLATE(C332,""ja"",""vi"")"),"Đấu giá&gt; vé, chứng từ, đặt phòng khách sạn&gt; Thẻ trả trước&gt; Thẻ điện thoại&gt; Ô tô")</f>
        <v>Đấu giá&gt; vé, chứng từ, đặt phòng khách sạn&gt; Thẻ trả trước&gt; Thẻ điện thoại&gt; Ô tô</v>
      </c>
      <c r="F332" t="str">
        <f t="shared" ca="1" si="5"/>
        <v>"2084007950" : "xe hơi",</v>
      </c>
    </row>
    <row r="333" spans="1:6" ht="15.75" customHeight="1">
      <c r="A333" s="14">
        <v>2084048482</v>
      </c>
      <c r="B333" s="14" t="s">
        <v>4501</v>
      </c>
      <c r="C333" s="14" t="s">
        <v>4503</v>
      </c>
      <c r="D333" s="5" t="str">
        <f ca="1">IFERROR(__xludf.DUMMYFUNCTION("GOOGLETRANSLATE(B333,""ja"",""vi"")"),"cây")</f>
        <v>cây</v>
      </c>
      <c r="E333" s="4" t="str">
        <f ca="1">IFERROR(__xludf.DUMMYFUNCTION("GOOGLETRANSLATE(C333,""ja"",""vi"")"),"Đấu giá&gt; vé, chứng từ, đặt phòng khách sạn&gt; Thẻ trả trước&gt; Thẻ điện thoại&gt; nhà máy")</f>
        <v>Đấu giá&gt; vé, chứng từ, đặt phòng khách sạn&gt; Thẻ trả trước&gt; Thẻ điện thoại&gt; nhà máy</v>
      </c>
      <c r="F333" t="str">
        <f t="shared" ca="1" si="5"/>
        <v>"2084048482" : "cây",</v>
      </c>
    </row>
    <row r="334" spans="1:6" ht="15.75" customHeight="1">
      <c r="A334" s="14">
        <v>2084005104</v>
      </c>
      <c r="B334" s="14" t="s">
        <v>3972</v>
      </c>
      <c r="C334" s="14" t="s">
        <v>4508</v>
      </c>
      <c r="D334" s="5" t="str">
        <f ca="1">IFERROR(__xludf.DUMMYFUNCTION("GOOGLETRANSLATE(B334,""ja"",""vi"")"),"diễn viên Đài phát thanh")</f>
        <v>diễn viên Đài phát thanh</v>
      </c>
      <c r="E334" s="4" t="str">
        <f ca="1">IFERROR(__xludf.DUMMYFUNCTION("GOOGLETRANSLATE(C334,""ja"",""vi"")"),"Đấu giá&gt; vé, chứng từ, đặt phòng khách sạn&gt; Thẻ trả trước&gt; Thẻ điện thoại&gt; Diễn viên lồng tiếng")</f>
        <v>Đấu giá&gt; vé, chứng từ, đặt phòng khách sạn&gt; Thẻ trả trước&gt; Thẻ điện thoại&gt; Diễn viên lồng tiếng</v>
      </c>
      <c r="F334" t="str">
        <f t="shared" ca="1" si="5"/>
        <v>"2084005104" : "diễn viên Đài phát thanh",</v>
      </c>
    </row>
    <row r="335" spans="1:6" ht="15.75" customHeight="1">
      <c r="A335" s="14">
        <v>2084007801</v>
      </c>
      <c r="B335" s="14" t="s">
        <v>4511</v>
      </c>
      <c r="C335" s="14" t="s">
        <v>4512</v>
      </c>
      <c r="D335" s="5" t="str">
        <f ca="1">IFERROR(__xludf.DUMMYFUNCTION("GOOGLETRANSLATE(B335,""ja"",""vi"")"),"đường sắt")</f>
        <v>đường sắt</v>
      </c>
      <c r="E335" s="4" t="str">
        <f ca="1">IFERROR(__xludf.DUMMYFUNCTION("GOOGLETRANSLATE(C335,""ja"",""vi"")"),"Đấu giá&gt; vé, chứng từ, đặt phòng khách sạn&gt; Thẻ trả trước&gt; Thẻ điện thoại&gt; đường sắt")</f>
        <v>Đấu giá&gt; vé, chứng từ, đặt phòng khách sạn&gt; Thẻ trả trước&gt; Thẻ điện thoại&gt; đường sắt</v>
      </c>
      <c r="F335" t="str">
        <f t="shared" ca="1" si="5"/>
        <v>"2084007801" : "đường sắt",</v>
      </c>
    </row>
    <row r="336" spans="1:6" ht="15.75" customHeight="1">
      <c r="A336" s="14">
        <v>2084048481</v>
      </c>
      <c r="B336" s="14" t="s">
        <v>4516</v>
      </c>
      <c r="C336" s="14" t="s">
        <v>4517</v>
      </c>
      <c r="D336" s="5" t="str">
        <f ca="1">IFERROR(__xludf.DUMMYFUNCTION("GOOGLETRANSLATE(B336,""ja"",""vi"")"),"động vật")</f>
        <v>động vật</v>
      </c>
      <c r="E336" s="4" t="str">
        <f ca="1">IFERROR(__xludf.DUMMYFUNCTION("GOOGLETRANSLATE(C336,""ja"",""vi"")"),"Đấu giá&gt; vé, chứng từ, đặt phòng khách sạn&gt; Thẻ trả trước&gt; Thẻ điện thoại&gt; động vật")</f>
        <v>Đấu giá&gt; vé, chứng từ, đặt phòng khách sạn&gt; Thẻ trả trước&gt; Thẻ điện thoại&gt; động vật</v>
      </c>
      <c r="F336" t="str">
        <f t="shared" ca="1" si="5"/>
        <v>"2084048481" : "động vật",</v>
      </c>
    </row>
    <row r="337" spans="1:6" ht="15.75" customHeight="1">
      <c r="A337" s="14">
        <v>2084048483</v>
      </c>
      <c r="B337" s="14" t="s">
        <v>4520</v>
      </c>
      <c r="C337" s="14" t="s">
        <v>4522</v>
      </c>
      <c r="D337" s="5" t="str">
        <f ca="1">IFERROR(__xludf.DUMMYFUNCTION("GOOGLETRANSLATE(B337,""ja"",""vi"")"),"phong cảnh")</f>
        <v>phong cảnh</v>
      </c>
      <c r="E337" s="4" t="str">
        <f ca="1">IFERROR(__xludf.DUMMYFUNCTION("GOOGLETRANSLATE(C337,""ja"",""vi"")"),"Đấu giá&gt; vé, chứng từ, đặt phòng khách sạn&gt; Thẻ trả trước&gt; Thẻ điện thoại&gt; phong cảnh")</f>
        <v>Đấu giá&gt; vé, chứng từ, đặt phòng khách sạn&gt; Thẻ trả trước&gt; Thẻ điện thoại&gt; phong cảnh</v>
      </c>
      <c r="F337" t="str">
        <f t="shared" ca="1" si="5"/>
        <v>"2084048483" : "phong cảnh",</v>
      </c>
    </row>
    <row r="338" spans="1:6" ht="15.75" customHeight="1">
      <c r="A338" s="14">
        <v>2084005125</v>
      </c>
      <c r="B338" s="14" t="s">
        <v>46</v>
      </c>
      <c r="C338" s="14" t="s">
        <v>4525</v>
      </c>
      <c r="D338" s="5" t="str">
        <f ca="1">IFERROR(__xludf.DUMMYFUNCTION("GOOGLETRANSLATE(B338,""ja"",""vi"")"),"nếu không thì")</f>
        <v>nếu không thì</v>
      </c>
      <c r="E338" s="4" t="str">
        <f ca="1">IFERROR(__xludf.DUMMYFUNCTION("GOOGLETRANSLATE(C338,""ja"",""vi"")"),"Đấu giá&gt; vé, chứng từ, đặt phòng khách sạn&gt; Thẻ trả trước&gt; Thẻ điện thoại&gt; Khác")</f>
        <v>Đấu giá&gt; vé, chứng từ, đặt phòng khách sạn&gt; Thẻ trả trước&gt; Thẻ điện thoại&gt; Khác</v>
      </c>
      <c r="F338" t="str">
        <f t="shared" ca="1" si="5"/>
        <v>"2084005125" : "nếu không thì",</v>
      </c>
    </row>
    <row r="339" spans="1:6" ht="15.75" customHeight="1">
      <c r="A339" s="14">
        <v>44364</v>
      </c>
      <c r="B339" s="14" t="s">
        <v>2828</v>
      </c>
      <c r="C339" s="14" t="s">
        <v>7999</v>
      </c>
      <c r="D339" s="5" t="str">
        <f ca="1">IFERROR(__xludf.DUMMYFUNCTION("GOOGLETRANSLATE(B339,""ja"",""vi"")"),"Disney")</f>
        <v>Disney</v>
      </c>
      <c r="E339" s="4" t="str">
        <f ca="1">IFERROR(__xludf.DUMMYFUNCTION("GOOGLETRANSLATE(C339,""ja"",""vi"")"),"Đấu giá&gt; cổ, bộ sưu tập&gt; hàng linh tinh&gt; huy hiệu pin&gt; Disney")</f>
        <v>Đấu giá&gt; cổ, bộ sưu tập&gt; hàng linh tinh&gt; huy hiệu pin&gt; Disney</v>
      </c>
      <c r="F339" t="str">
        <f t="shared" ca="1" si="5"/>
        <v>"44364" : "Disney",</v>
      </c>
    </row>
    <row r="340" spans="1:6" ht="15.75" customHeight="1">
      <c r="A340" s="14">
        <v>2084047567</v>
      </c>
      <c r="B340" s="14" t="s">
        <v>1262</v>
      </c>
      <c r="C340" s="14" t="s">
        <v>8000</v>
      </c>
      <c r="D340" s="5" t="str">
        <f ca="1">IFERROR(__xludf.DUMMYFUNCTION("GOOGLETRANSLATE(B340,""ja"",""vi"")"),"bóng đá")</f>
        <v>bóng đá</v>
      </c>
      <c r="E340" s="4" t="str">
        <f ca="1">IFERROR(__xludf.DUMMYFUNCTION("GOOGLETRANSLATE(C340,""ja"",""vi"")"),"Đấu giá&gt; cổ, bộ sưu tập&gt; hàng linh tinh&gt; huy hiệu pin&gt; Bóng đá")</f>
        <v>Đấu giá&gt; cổ, bộ sưu tập&gt; hàng linh tinh&gt; huy hiệu pin&gt; Bóng đá</v>
      </c>
      <c r="F340" t="str">
        <f t="shared" ca="1" si="5"/>
        <v>"2084047567" : "bóng đá",</v>
      </c>
    </row>
    <row r="341" spans="1:6" ht="15.75" customHeight="1">
      <c r="A341" s="14">
        <v>2084312401</v>
      </c>
      <c r="B341" s="14" t="s">
        <v>46</v>
      </c>
      <c r="C341" s="14" t="s">
        <v>8001</v>
      </c>
      <c r="D341" s="5" t="str">
        <f ca="1">IFERROR(__xludf.DUMMYFUNCTION("GOOGLETRANSLATE(B341,""ja"",""vi"")"),"nếu không thì")</f>
        <v>nếu không thì</v>
      </c>
      <c r="E341" s="4" t="str">
        <f ca="1">IFERROR(__xludf.DUMMYFUNCTION("GOOGLETRANSLATE(C341,""ja"",""vi"")"),"Đấu giá&gt; cổ, bộ sưu tập&gt; hàng linh tinh&gt; huy hiệu pin&gt; Khác")</f>
        <v>Đấu giá&gt; cổ, bộ sưu tập&gt; hàng linh tinh&gt; huy hiệu pin&gt; Khác</v>
      </c>
      <c r="F341" t="str">
        <f t="shared" ca="1" si="5"/>
        <v>"2084312401" : "nếu không thì",</v>
      </c>
    </row>
    <row r="342" spans="1:6" ht="15.75" customHeight="1">
      <c r="A342" s="14">
        <v>2084058466</v>
      </c>
      <c r="B342" s="14" t="s">
        <v>8002</v>
      </c>
      <c r="C342" s="14" t="s">
        <v>8003</v>
      </c>
      <c r="D342" s="5" t="str">
        <f ca="1">IFERROR(__xludf.DUMMYFUNCTION("GOOGLETRANSLATE(B342,""ja"",""vi"")"),"miệng")</f>
        <v>miệng</v>
      </c>
      <c r="E342" s="4" t="str">
        <f ca="1">IFERROR(__xludf.DUMMYFUNCTION("GOOGLETRANSLATE(C342,""ja"",""vi"")"),"Đấu giá&gt; cổ, bộ sưu tập&gt; hàng linh tinh&gt; cháy Vua&gt; cốc")</f>
        <v>Đấu giá&gt; cổ, bộ sưu tập&gt; hàng linh tinh&gt; cháy Vua&gt; cốc</v>
      </c>
      <c r="F342" t="str">
        <f t="shared" ca="1" si="5"/>
        <v>"2084058466" : "miệng",</v>
      </c>
    </row>
    <row r="343" spans="1:6" ht="15.75" customHeight="1">
      <c r="A343" s="14">
        <v>2084058465</v>
      </c>
      <c r="B343" s="14" t="s">
        <v>8004</v>
      </c>
      <c r="C343" s="14" t="s">
        <v>8005</v>
      </c>
      <c r="D343" s="5" t="str">
        <f ca="1">IFERROR(__xludf.DUMMYFUNCTION("GOOGLETRANSLATE(B343,""ja"",""vi"")"),"Cup và chiếc đĩa")</f>
        <v>Cup và chiếc đĩa</v>
      </c>
      <c r="E343" s="4" t="str">
        <f ca="1">IFERROR(__xludf.DUMMYFUNCTION("GOOGLETRANSLATE(C343,""ja"",""vi"")"),"Đấu giá&gt; cổ, bộ sưu tập&gt; hàng linh tinh&gt; cháy Vua&gt; tách và đĩa")</f>
        <v>Đấu giá&gt; cổ, bộ sưu tập&gt; hàng linh tinh&gt; cháy Vua&gt; tách và đĩa</v>
      </c>
      <c r="F343" t="str">
        <f t="shared" ca="1" si="5"/>
        <v>"2084058465" : "Cup và chiếc đĩa",</v>
      </c>
    </row>
    <row r="344" spans="1:6" ht="15.75" customHeight="1">
      <c r="A344" s="14">
        <v>2084058464</v>
      </c>
      <c r="B344" s="14" t="s">
        <v>8008</v>
      </c>
      <c r="C344" s="14" t="s">
        <v>8009</v>
      </c>
      <c r="D344" s="5" t="str">
        <f ca="1">IFERROR(__xludf.DUMMYFUNCTION("GOOGLETRANSLATE(B344,""ja"",""vi"")"),"Tấm, món ăn")</f>
        <v>Tấm, món ăn</v>
      </c>
      <c r="E344" s="4" t="str">
        <f ca="1">IFERROR(__xludf.DUMMYFUNCTION("GOOGLETRANSLATE(C344,""ja"",""vi"")"),"Đấu giá&gt; cổ, bộ sưu tập&gt; hàng linh tinh&gt; cháy Vua&gt; tấm, món ăn")</f>
        <v>Đấu giá&gt; cổ, bộ sưu tập&gt; hàng linh tinh&gt; cháy Vua&gt; tấm, món ăn</v>
      </c>
      <c r="F344" t="str">
        <f t="shared" ca="1" si="5"/>
        <v>"2084058464" : "Tấm, món ăn",</v>
      </c>
    </row>
    <row r="345" spans="1:6" ht="15.75" customHeight="1">
      <c r="A345" s="14">
        <v>2084058463</v>
      </c>
      <c r="B345" s="14" t="s">
        <v>8012</v>
      </c>
      <c r="C345" s="14" t="s">
        <v>8013</v>
      </c>
      <c r="D345" s="5" t="str">
        <f ca="1">IFERROR(__xludf.DUMMYFUNCTION("GOOGLETRANSLATE(B345,""ja"",""vi"")"),"bát")</f>
        <v>bát</v>
      </c>
      <c r="E345" s="4" t="str">
        <f ca="1">IFERROR(__xludf.DUMMYFUNCTION("GOOGLETRANSLATE(C345,""ja"",""vi"")"),"Đấu giá&gt; cổ, bộ sưu tập&gt; hàng linh tinh&gt; cháy Vua&gt; bát")</f>
        <v>Đấu giá&gt; cổ, bộ sưu tập&gt; hàng linh tinh&gt; cháy Vua&gt; bát</v>
      </c>
      <c r="F345" t="str">
        <f t="shared" ca="1" si="5"/>
        <v>"2084058463" : "bát",</v>
      </c>
    </row>
    <row r="346" spans="1:6" ht="15.75" customHeight="1">
      <c r="A346" s="14">
        <v>2084058467</v>
      </c>
      <c r="B346" s="14" t="s">
        <v>46</v>
      </c>
      <c r="C346" s="14" t="s">
        <v>8017</v>
      </c>
      <c r="D346" s="5" t="str">
        <f ca="1">IFERROR(__xludf.DUMMYFUNCTION("GOOGLETRANSLATE(B346,""ja"",""vi"")"),"nếu không thì")</f>
        <v>nếu không thì</v>
      </c>
      <c r="E346" s="4" t="str">
        <f ca="1">IFERROR(__xludf.DUMMYFUNCTION("GOOGLETRANSLATE(C346,""ja"",""vi"")"),"Đấu giá&gt; cổ, bộ sưu tập&gt; hàng linh tinh&gt; cháy Vua&gt; Khác")</f>
        <v>Đấu giá&gt; cổ, bộ sưu tập&gt; hàng linh tinh&gt; cháy Vua&gt; Khác</v>
      </c>
      <c r="F346" t="str">
        <f t="shared" ca="1" si="5"/>
        <v>"2084058467" : "nếu không thì",</v>
      </c>
    </row>
    <row r="347" spans="1:6" ht="15.75" customHeight="1">
      <c r="A347" s="14">
        <v>2084236074</v>
      </c>
      <c r="B347" s="14" t="s">
        <v>5641</v>
      </c>
      <c r="C347" s="14" t="s">
        <v>8021</v>
      </c>
      <c r="D347" s="5" t="str">
        <f ca="1">IFERROR(__xludf.DUMMYFUNCTION("GOOGLETRANSLATE(B347,""ja"",""vi"")"),"sơn mài Nhật")</f>
        <v>sơn mài Nhật</v>
      </c>
      <c r="E347" s="4" t="str">
        <f ca="1">IFERROR(__xludf.DUMMYFUNCTION("GOOGLETRANSLATE(C347,""ja"",""vi"")"),"Đấu giá&gt; cổ, bộ sưu tập&gt; nội thất&gt; Nhật Bản")</f>
        <v>Đấu giá&gt; cổ, bộ sưu tập&gt; nội thất&gt; Nhật Bản</v>
      </c>
      <c r="F347" t="str">
        <f t="shared" ca="1" si="5"/>
        <v>"2084236074" : "sơn mài Nhật",</v>
      </c>
    </row>
    <row r="348" spans="1:6" ht="15.75" customHeight="1">
      <c r="A348" s="14">
        <v>2084236075</v>
      </c>
      <c r="B348" s="14" t="s">
        <v>8025</v>
      </c>
      <c r="C348" s="14" t="s">
        <v>8026</v>
      </c>
      <c r="D348" s="5" t="str">
        <f ca="1">IFERROR(__xludf.DUMMYFUNCTION("GOOGLETRANSLATE(B348,""ja"",""vi"")"),"Á châu")</f>
        <v>Á châu</v>
      </c>
      <c r="E348" s="4" t="str">
        <f ca="1">IFERROR(__xludf.DUMMYFUNCTION("GOOGLETRANSLATE(C348,""ja"",""vi"")"),"Đấu giá&gt; cổ, bộ sưu tập&gt; nội thất&gt; Châu Á")</f>
        <v>Đấu giá&gt; cổ, bộ sưu tập&gt; nội thất&gt; Châu Á</v>
      </c>
      <c r="F348" t="str">
        <f t="shared" ca="1" si="5"/>
        <v>"2084236075" : "Á châu",</v>
      </c>
    </row>
    <row r="349" spans="1:6" ht="15.75" customHeight="1">
      <c r="A349" s="14">
        <v>2084236076</v>
      </c>
      <c r="B349" s="14" t="s">
        <v>8030</v>
      </c>
      <c r="C349" s="14" t="s">
        <v>8032</v>
      </c>
      <c r="D349" s="5" t="str">
        <f ca="1">IFERROR(__xludf.DUMMYFUNCTION("GOOGLETRANSLATE(B349,""ja"",""vi"")"),"tây")</f>
        <v>tây</v>
      </c>
      <c r="E349" s="4" t="str">
        <f ca="1">IFERROR(__xludf.DUMMYFUNCTION("GOOGLETRANSLATE(C349,""ja"",""vi"")"),"Đấu giá&gt; cổ, bộ sưu tập&gt; nội thất&gt; Tây")</f>
        <v>Đấu giá&gt; cổ, bộ sưu tập&gt; nội thất&gt; Tây</v>
      </c>
      <c r="F349" t="str">
        <f t="shared" ca="1" si="5"/>
        <v>"2084236076" : "tây",</v>
      </c>
    </row>
    <row r="350" spans="1:6" ht="15.75" customHeight="1">
      <c r="A350" s="14">
        <v>2084263156</v>
      </c>
      <c r="B350" s="14" t="s">
        <v>8037</v>
      </c>
      <c r="C350" s="14" t="s">
        <v>8038</v>
      </c>
      <c r="D350" s="5" t="str">
        <f ca="1">IFERROR(__xludf.DUMMYFUNCTION("GOOGLETRANSLATE(B350,""ja"",""vi"")"),"đồ đạc cửa hàng")</f>
        <v>đồ đạc cửa hàng</v>
      </c>
      <c r="E350" s="4" t="str">
        <f ca="1">IFERROR(__xludf.DUMMYFUNCTION("GOOGLETRANSLATE(C350,""ja"",""vi"")"),"Đấu giá&gt; cổ, bộ sưu tập&gt; nội thất&gt; đồ đạc cửa hàng")</f>
        <v>Đấu giá&gt; cổ, bộ sưu tập&gt; nội thất&gt; đồ đạc cửa hàng</v>
      </c>
      <c r="F350" t="str">
        <f t="shared" ca="1" si="5"/>
        <v>"2084263156" : "đồ đạc cửa hàng",</v>
      </c>
    </row>
    <row r="351" spans="1:6" ht="15.75" customHeight="1">
      <c r="A351" s="14">
        <v>2084047512</v>
      </c>
      <c r="B351" s="14" t="s">
        <v>8042</v>
      </c>
      <c r="C351" s="14" t="s">
        <v>8044</v>
      </c>
      <c r="D351" s="5" t="str">
        <f ca="1">IFERROR(__xludf.DUMMYFUNCTION("GOOGLETRANSLATE(B351,""ja"",""vi"")"),"túi nhỏ đựng thuốc")</f>
        <v>túi nhỏ đựng thuốc</v>
      </c>
      <c r="E351" s="4" t="str">
        <f ca="1">IFERROR(__xludf.DUMMYFUNCTION("GOOGLETRANSLATE(C351,""ja"",""vi"")"),"Đấu giá&gt; cổ, bộ sưu tập&gt; hàng linh tinh&gt; hàng hút thuốc&gt; túi thuốc lá")</f>
        <v>Đấu giá&gt; cổ, bộ sưu tập&gt; hàng linh tinh&gt; hàng hút thuốc&gt; túi thuốc lá</v>
      </c>
      <c r="F351" t="str">
        <f t="shared" ca="1" si="5"/>
        <v>"2084047512" : "túi nhỏ đựng thuốc",</v>
      </c>
    </row>
    <row r="352" spans="1:6" ht="15.75" customHeight="1">
      <c r="A352" s="14">
        <v>26140</v>
      </c>
      <c r="B352" s="14" t="s">
        <v>8046</v>
      </c>
      <c r="C352" s="14" t="s">
        <v>8048</v>
      </c>
      <c r="D352" s="5" t="str">
        <f ca="1">IFERROR(__xludf.DUMMYFUNCTION("GOOGLETRANSLATE(B352,""ja"",""vi"")"),"ống")</f>
        <v>ống</v>
      </c>
      <c r="E352" s="4" t="str">
        <f ca="1">IFERROR(__xludf.DUMMYFUNCTION("GOOGLETRANSLATE(C352,""ja"",""vi"")"),"Đấu giá&gt; cổ, bộ sưu tập&gt; hàng linh tinh&gt; hàng hút thuốc&gt; ống")</f>
        <v>Đấu giá&gt; cổ, bộ sưu tập&gt; hàng linh tinh&gt; hàng hút thuốc&gt; ống</v>
      </c>
      <c r="F352" t="str">
        <f t="shared" ca="1" si="5"/>
        <v>"26140" : "ống",</v>
      </c>
    </row>
    <row r="353" spans="1:6" ht="15.75" customHeight="1">
      <c r="A353" s="14">
        <v>26138</v>
      </c>
      <c r="B353" s="14" t="s">
        <v>7519</v>
      </c>
      <c r="C353" s="14" t="s">
        <v>8053</v>
      </c>
      <c r="D353" s="5" t="str">
        <f ca="1">IFERROR(__xludf.DUMMYFUNCTION("GOOGLETRANSLATE(B353,""ja"",""vi"")"),"Writer")</f>
        <v>Writer</v>
      </c>
      <c r="E353" s="4" t="str">
        <f ca="1">IFERROR(__xludf.DUMMYFUNCTION("GOOGLETRANSLATE(C353,""ja"",""vi"")"),"Đấu giá&gt; cổ, bộ sưu tập&gt; hàng linh tinh&gt; hàng hút thuốc&gt; nhẹ")</f>
        <v>Đấu giá&gt; cổ, bộ sưu tập&gt; hàng linh tinh&gt; hàng hút thuốc&gt; nhẹ</v>
      </c>
      <c r="F353" t="str">
        <f t="shared" ca="1" si="5"/>
        <v>"26138" : "Writer",</v>
      </c>
    </row>
    <row r="354" spans="1:6" ht="15.75" customHeight="1">
      <c r="A354" s="14">
        <v>26128</v>
      </c>
      <c r="B354" s="14" t="s">
        <v>8056</v>
      </c>
      <c r="C354" s="14" t="s">
        <v>8058</v>
      </c>
      <c r="D354" s="5" t="str">
        <f ca="1">IFERROR(__xludf.DUMMYFUNCTION("GOOGLETRANSLATE(B354,""ja"",""vi"")"),"cái gạt tàn")</f>
        <v>cái gạt tàn</v>
      </c>
      <c r="E354" s="4" t="str">
        <f ca="1">IFERROR(__xludf.DUMMYFUNCTION("GOOGLETRANSLATE(C354,""ja"",""vi"")"),"Đấu giá&gt; cổ, bộ sưu tập&gt; hàng linh tinh&gt; hàng hút thuốc&gt; gạt tàn")</f>
        <v>Đấu giá&gt; cổ, bộ sưu tập&gt; hàng linh tinh&gt; hàng hút thuốc&gt; gạt tàn</v>
      </c>
      <c r="F354" t="str">
        <f t="shared" ca="1" si="5"/>
        <v>"26128" : "cái gạt tàn",</v>
      </c>
    </row>
    <row r="355" spans="1:6" ht="15.75" customHeight="1">
      <c r="A355" s="14">
        <v>26136</v>
      </c>
      <c r="B355" s="14" t="s">
        <v>8061</v>
      </c>
      <c r="C355" s="14" t="s">
        <v>8062</v>
      </c>
      <c r="D355" s="5" t="str">
        <f ca="1">IFERROR(__xludf.DUMMYFUNCTION("GOOGLETRANSLATE(B355,""ja"",""vi"")"),"nguồn cung cấp Cigar")</f>
        <v>nguồn cung cấp Cigar</v>
      </c>
      <c r="E355" s="4" t="str">
        <f ca="1">IFERROR(__xludf.DUMMYFUNCTION("GOOGLETRANSLATE(C355,""ja"",""vi"")"),"Đấu giá&gt; cổ, bộ sưu tập&gt; hàng linh tinh&gt; hàng hút thuốc&gt; nguồn cung cấp xì gà")</f>
        <v>Đấu giá&gt; cổ, bộ sưu tập&gt; hàng linh tinh&gt; hàng hút thuốc&gt; nguồn cung cấp xì gà</v>
      </c>
      <c r="F355" t="str">
        <f t="shared" ca="1" si="5"/>
        <v>"26136" : "nguồn cung cấp Cigar",</v>
      </c>
    </row>
    <row r="356" spans="1:6" ht="15.75" customHeight="1">
      <c r="A356" s="14">
        <v>26144</v>
      </c>
      <c r="B356" s="14" t="s">
        <v>46</v>
      </c>
      <c r="C356" s="14" t="s">
        <v>8065</v>
      </c>
      <c r="D356" s="5" t="str">
        <f ca="1">IFERROR(__xludf.DUMMYFUNCTION("GOOGLETRANSLATE(B356,""ja"",""vi"")"),"nếu không thì")</f>
        <v>nếu không thì</v>
      </c>
      <c r="E356" s="4" t="str">
        <f ca="1">IFERROR(__xludf.DUMMYFUNCTION("GOOGLETRANSLATE(C356,""ja"",""vi"")"),"Đấu giá&gt; cổ, bộ sưu tập&gt; hàng linh tinh&gt; hàng hút thuốc&gt; Khác")</f>
        <v>Đấu giá&gt; cổ, bộ sưu tập&gt; hàng linh tinh&gt; hàng hút thuốc&gt; Khác</v>
      </c>
      <c r="F356" t="str">
        <f t="shared" ca="1" si="5"/>
        <v>"26144" : "nếu không thì",</v>
      </c>
    </row>
    <row r="357" spans="1:6" ht="15.75" customHeight="1">
      <c r="A357" s="14">
        <v>27675</v>
      </c>
      <c r="B357" s="14" t="s">
        <v>8067</v>
      </c>
      <c r="C357" s="14" t="s">
        <v>8068</v>
      </c>
      <c r="D357" s="5" t="str">
        <f ca="1">IFERROR(__xludf.DUMMYFUNCTION("GOOGLETRANSLATE(B357,""ja"",""vi"")"),"tinplate")</f>
        <v>tinplate</v>
      </c>
      <c r="E357" s="4" t="str">
        <f ca="1">IFERROR(__xludf.DUMMYFUNCTION("GOOGLETRANSLATE(C357,""ja"",""vi"")"),"Đấu giá&gt; đồ chơi, trò chơi&gt; Vintage&gt; thiếc")</f>
        <v>Đấu giá&gt; đồ chơi, trò chơi&gt; Vintage&gt; thiếc</v>
      </c>
      <c r="F357" t="str">
        <f t="shared" ca="1" si="5"/>
        <v>"27675" : "tinplate",</v>
      </c>
    </row>
    <row r="358" spans="1:6" ht="15.75" customHeight="1">
      <c r="A358" s="14">
        <v>2084310547</v>
      </c>
      <c r="B358" s="14" t="s">
        <v>8072</v>
      </c>
      <c r="C358" s="14" t="s">
        <v>8074</v>
      </c>
      <c r="D358" s="5" t="str">
        <f ca="1">IFERROR(__xludf.DUMMYFUNCTION("GOOGLETRANSLATE(B358,""ja"",""vi"")"),"mềm Vinyl")</f>
        <v>mềm Vinyl</v>
      </c>
      <c r="E358" s="4" t="str">
        <f ca="1">IFERROR(__xludf.DUMMYFUNCTION("GOOGLETRANSLATE(C358,""ja"",""vi"")"),"Đấu giá&gt; đồ chơi, trò chơi&gt; Vintage&gt; mềm Vinyl")</f>
        <v>Đấu giá&gt; đồ chơi, trò chơi&gt; Vintage&gt; mềm Vinyl</v>
      </c>
      <c r="F358" t="str">
        <f t="shared" ca="1" si="5"/>
        <v>"2084310547" : "mềm Vinyl",</v>
      </c>
    </row>
    <row r="359" spans="1:6" ht="15.75" customHeight="1">
      <c r="A359" s="14">
        <v>2084310548</v>
      </c>
      <c r="B359" s="14" t="s">
        <v>8076</v>
      </c>
      <c r="C359" s="14" t="s">
        <v>8078</v>
      </c>
      <c r="D359" s="5" t="str">
        <f ca="1">IFERROR(__xludf.DUMMYFUNCTION("GOOGLETRANSLATE(B359,""ja"",""vi"")"),"Superalloy")</f>
        <v>Superalloy</v>
      </c>
      <c r="E359" s="4" t="str">
        <f ca="1">IFERROR(__xludf.DUMMYFUNCTION("GOOGLETRANSLATE(C359,""ja"",""vi"")"),"Đấu giá&gt; đồ chơi, trò chơi&gt; Vintage&gt; siêu hợp kim")</f>
        <v>Đấu giá&gt; đồ chơi, trò chơi&gt; Vintage&gt; siêu hợp kim</v>
      </c>
      <c r="F359" t="str">
        <f t="shared" ca="1" si="5"/>
        <v>"2084310548" : "Superalloy",</v>
      </c>
    </row>
    <row r="360" spans="1:6" ht="15.75" customHeight="1">
      <c r="A360" s="14">
        <v>27683</v>
      </c>
      <c r="B360" s="14" t="s">
        <v>3410</v>
      </c>
      <c r="C360" s="14" t="s">
        <v>8082</v>
      </c>
      <c r="D360" s="5" t="str">
        <f ca="1">IFERROR(__xludf.DUMMYFUNCTION("GOOGLETRANSLATE(B360,""ja"",""vi"")"),"xe cộ")</f>
        <v>xe cộ</v>
      </c>
      <c r="E360" s="4" t="str">
        <f ca="1">IFERROR(__xludf.DUMMYFUNCTION("GOOGLETRANSLATE(C360,""ja"",""vi"")"),"Đấu giá&gt; đồ chơi, trò chơi&gt; Vintage&gt; Phương tiện đi lại")</f>
        <v>Đấu giá&gt; đồ chơi, trò chơi&gt; Vintage&gt; Phương tiện đi lại</v>
      </c>
      <c r="F360" t="str">
        <f t="shared" ca="1" si="5"/>
        <v>"27683" : "xe cộ",</v>
      </c>
    </row>
    <row r="361" spans="1:6" ht="15.75" customHeight="1">
      <c r="A361" s="14">
        <v>27695</v>
      </c>
      <c r="B361" s="14" t="s">
        <v>8085</v>
      </c>
      <c r="C361" s="14" t="s">
        <v>8087</v>
      </c>
      <c r="D361" s="5" t="str">
        <f ca="1">IFERROR(__xludf.DUMMYFUNCTION("GOOGLETRANSLATE(B361,""ja"",""vi"")"),"mánh lới quảng cáo điện")</f>
        <v>mánh lới quảng cáo điện</v>
      </c>
      <c r="E361" s="4" t="str">
        <f ca="1">IFERROR(__xludf.DUMMYFUNCTION("GOOGLETRANSLATE(C361,""ja"",""vi"")"),"Đấu giá&gt; đồ chơi, trò chơi&gt; Vintage&gt; mánh lới quảng cáo điện")</f>
        <v>Đấu giá&gt; đồ chơi, trò chơi&gt; Vintage&gt; mánh lới quảng cáo điện</v>
      </c>
      <c r="F361" t="str">
        <f t="shared" ca="1" si="5"/>
        <v>"27695" : "mánh lới quảng cáo điện",</v>
      </c>
    </row>
    <row r="362" spans="1:6" ht="15.75" customHeight="1">
      <c r="A362" s="14">
        <v>27717</v>
      </c>
      <c r="B362" s="14" t="s">
        <v>46</v>
      </c>
      <c r="C362" s="14" t="s">
        <v>8092</v>
      </c>
      <c r="D362" s="5" t="str">
        <f ca="1">IFERROR(__xludf.DUMMYFUNCTION("GOOGLETRANSLATE(B362,""ja"",""vi"")"),"nếu không thì")</f>
        <v>nếu không thì</v>
      </c>
      <c r="E362" s="4" t="str">
        <f ca="1">IFERROR(__xludf.DUMMYFUNCTION("GOOGLETRANSLATE(C362,""ja"",""vi"")"),"Đấu giá&gt; đồ chơi, trò chơi&gt; Vintage&gt; Khác")</f>
        <v>Đấu giá&gt; đồ chơi, trò chơi&gt; Vintage&gt; Khác</v>
      </c>
      <c r="F362" t="str">
        <f t="shared" ca="1" si="5"/>
        <v>"27717" : "nếu không thì",</v>
      </c>
    </row>
    <row r="363" spans="1:6" ht="15.75" customHeight="1">
      <c r="A363" s="14">
        <v>2084040706</v>
      </c>
      <c r="B363" s="14" t="s">
        <v>7298</v>
      </c>
      <c r="C363" s="14" t="s">
        <v>7300</v>
      </c>
      <c r="D363" s="5" t="str">
        <f ca="1">IFERROR(__xludf.DUMMYFUNCTION("GOOGLETRANSLATE(B363,""ja"",""vi"")"),"người máy")</f>
        <v>người máy</v>
      </c>
      <c r="E363" s="4" t="str">
        <f ca="1">IFERROR(__xludf.DUMMYFUNCTION("GOOGLETRANSLATE(C363,""ja"",""vi"")"),"Đấu giá&gt; đồ chơi, trò chơi&gt; Vintage&gt; thiếc&gt; Robot")</f>
        <v>Đấu giá&gt; đồ chơi, trò chơi&gt; Vintage&gt; thiếc&gt; Robot</v>
      </c>
      <c r="F363" t="str">
        <f t="shared" ca="1" si="5"/>
        <v>"2084040706" : "người máy",</v>
      </c>
    </row>
    <row r="364" spans="1:6" ht="15.75" customHeight="1">
      <c r="A364" s="14">
        <v>2084040705</v>
      </c>
      <c r="B364" s="14" t="s">
        <v>7302</v>
      </c>
      <c r="C364" s="14" t="s">
        <v>7304</v>
      </c>
      <c r="D364" s="5" t="str">
        <f ca="1">IFERROR(__xludf.DUMMYFUNCTION("GOOGLETRANSLATE(B364,""ja"",""vi"")"),"con người")</f>
        <v>con người</v>
      </c>
      <c r="E364" s="4" t="str">
        <f ca="1">IFERROR(__xludf.DUMMYFUNCTION("GOOGLETRANSLATE(C364,""ja"",""vi"")"),"Đấu giá&gt; đồ chơi, trò chơi&gt; Vintage&gt; thiếc&gt; Nhân")</f>
        <v>Đấu giá&gt; đồ chơi, trò chơi&gt; Vintage&gt; thiếc&gt; Nhân</v>
      </c>
      <c r="F364" t="str">
        <f t="shared" ca="1" si="5"/>
        <v>"2084040705" : "con người",</v>
      </c>
    </row>
    <row r="365" spans="1:6" ht="15.75" customHeight="1">
      <c r="A365" s="14">
        <v>2084040704</v>
      </c>
      <c r="B365" s="14" t="s">
        <v>4516</v>
      </c>
      <c r="C365" s="14" t="s">
        <v>7307</v>
      </c>
      <c r="D365" s="5" t="str">
        <f ca="1">IFERROR(__xludf.DUMMYFUNCTION("GOOGLETRANSLATE(B365,""ja"",""vi"")"),"động vật")</f>
        <v>động vật</v>
      </c>
      <c r="E365" s="4" t="str">
        <f ca="1">IFERROR(__xludf.DUMMYFUNCTION("GOOGLETRANSLATE(C365,""ja"",""vi"")"),"Đấu giá&gt; đồ chơi, trò chơi&gt; Vintage&gt; tấm thiếc&gt; động vật")</f>
        <v>Đấu giá&gt; đồ chơi, trò chơi&gt; Vintage&gt; tấm thiếc&gt; động vật</v>
      </c>
      <c r="F365" t="str">
        <f t="shared" ca="1" si="5"/>
        <v>"2084040704" : "động vật",</v>
      </c>
    </row>
    <row r="366" spans="1:6" ht="15.75" customHeight="1">
      <c r="A366" s="14">
        <v>2084040699</v>
      </c>
      <c r="B366" s="14" t="s">
        <v>3410</v>
      </c>
      <c r="C366" s="14" t="s">
        <v>7310</v>
      </c>
      <c r="D366" s="5" t="str">
        <f ca="1">IFERROR(__xludf.DUMMYFUNCTION("GOOGLETRANSLATE(B366,""ja"",""vi"")"),"xe cộ")</f>
        <v>xe cộ</v>
      </c>
      <c r="E366" s="4" t="str">
        <f ca="1">IFERROR(__xludf.DUMMYFUNCTION("GOOGLETRANSLATE(C366,""ja"",""vi"")"),"Đấu giá&gt; đồ chơi, trò chơi&gt; Vintage&gt; tấm thiếc&gt; xe")</f>
        <v>Đấu giá&gt; đồ chơi, trò chơi&gt; Vintage&gt; tấm thiếc&gt; xe</v>
      </c>
      <c r="F366" t="str">
        <f t="shared" ca="1" si="5"/>
        <v>"2084040699" : "xe cộ",</v>
      </c>
    </row>
    <row r="367" spans="1:6" ht="15.75" customHeight="1">
      <c r="A367" s="14">
        <v>2084040707</v>
      </c>
      <c r="B367" s="14" t="s">
        <v>46</v>
      </c>
      <c r="C367" s="14" t="s">
        <v>7311</v>
      </c>
      <c r="D367" s="5" t="str">
        <f ca="1">IFERROR(__xludf.DUMMYFUNCTION("GOOGLETRANSLATE(B367,""ja"",""vi"")"),"nếu không thì")</f>
        <v>nếu không thì</v>
      </c>
      <c r="E367" s="4" t="str">
        <f ca="1">IFERROR(__xludf.DUMMYFUNCTION("GOOGLETRANSLATE(C367,""ja"",""vi"")"),"Đấu giá&gt; đồ chơi, trò chơi&gt; Vintage&gt; thiếc&gt; Khác")</f>
        <v>Đấu giá&gt; đồ chơi, trò chơi&gt; Vintage&gt; thiếc&gt; Khác</v>
      </c>
      <c r="F367" t="str">
        <f t="shared" ca="1" si="5"/>
        <v>"2084040707" : "nếu không thì",</v>
      </c>
    </row>
    <row r="368" spans="1:6" ht="15.75" customHeight="1">
      <c r="A368" s="14">
        <v>2084040377</v>
      </c>
      <c r="B368" s="14" t="s">
        <v>8111</v>
      </c>
      <c r="C368" s="14" t="s">
        <v>8112</v>
      </c>
      <c r="D368" s="5" t="str">
        <f ca="1">IFERROR(__xludf.DUMMYFUNCTION("GOOGLETRANSLATE(B368,""ja"",""vi"")"),"Postpet")</f>
        <v>Postpet</v>
      </c>
      <c r="E368" s="4" t="str">
        <f ca="1">IFERROR(__xludf.DUMMYFUNCTION("GOOGLETRANSLATE(C368,""ja"",""vi"")"),"Đấu giá&gt; vé, chứng từ, đặt phòng khách sạn&gt; Thẻ trả trước&gt; Thẻ điện thoại&gt; Nhân vật&gt; Postpet")</f>
        <v>Đấu giá&gt; vé, chứng từ, đặt phòng khách sạn&gt; Thẻ trả trước&gt; Thẻ điện thoại&gt; Nhân vật&gt; Postpet</v>
      </c>
      <c r="F368" t="str">
        <f t="shared" ca="1" si="5"/>
        <v>"2084040377" : "Postpet",</v>
      </c>
    </row>
    <row r="369" spans="1:6" ht="15.75" customHeight="1">
      <c r="A369" s="14">
        <v>2084040382</v>
      </c>
      <c r="B369" s="14" t="s">
        <v>8116</v>
      </c>
      <c r="C369" s="14" t="s">
        <v>8118</v>
      </c>
      <c r="D369" s="5" t="str">
        <f ca="1">IFERROR(__xludf.DUMMYFUNCTION("GOOGLETRANSLATE(B369,""ja"",""vi"")"),"Thomas Engine xe tăng")</f>
        <v>Thomas Engine xe tăng</v>
      </c>
      <c r="E369" s="4" t="str">
        <f ca="1">IFERROR(__xludf.DUMMYFUNCTION("GOOGLETRANSLATE(C369,""ja"",""vi"")"),"Đấu giá&gt; vé, chứng từ, đặt phòng khách sạn&gt; Thẻ trả trước&gt; Thẻ điện thoại&gt; Nhân vật&gt; Thomas Tank Engine")</f>
        <v>Đấu giá&gt; vé, chứng từ, đặt phòng khách sạn&gt; Thẻ trả trước&gt; Thẻ điện thoại&gt; Nhân vật&gt; Thomas Tank Engine</v>
      </c>
      <c r="F369" t="str">
        <f t="shared" ca="1" si="5"/>
        <v>"2084040382" : "Thomas Engine xe tăng",</v>
      </c>
    </row>
    <row r="370" spans="1:6" ht="15.75" customHeight="1">
      <c r="A370" s="14">
        <v>2084040387</v>
      </c>
      <c r="B370" s="14" t="s">
        <v>3429</v>
      </c>
      <c r="C370" s="14" t="s">
        <v>8123</v>
      </c>
      <c r="D370" s="5" t="str">
        <f ca="1">IFERROR(__xludf.DUMMYFUNCTION("GOOGLETRANSLATE(B370,""ja"",""vi"")"),"Paddington Gấu")</f>
        <v>Paddington Gấu</v>
      </c>
      <c r="E370" s="4" t="str">
        <f ca="1">IFERROR(__xludf.DUMMYFUNCTION("GOOGLETRANSLATE(C370,""ja"",""vi"")"),"Đấu giá&gt; vé, chứng từ, đặt phòng khách sạn&gt; Thẻ trả trước&gt; Thẻ điện thoại&gt; Nhân vật&gt; Paddington Gấu")</f>
        <v>Đấu giá&gt; vé, chứng từ, đặt phòng khách sạn&gt; Thẻ trả trước&gt; Thẻ điện thoại&gt; Nhân vật&gt; Paddington Gấu</v>
      </c>
      <c r="F370" t="str">
        <f t="shared" ca="1" si="5"/>
        <v>"2084040387" : "Paddington Gấu",</v>
      </c>
    </row>
    <row r="371" spans="1:6" ht="15.75" customHeight="1">
      <c r="A371" s="14">
        <v>2084040372</v>
      </c>
      <c r="B371" s="14" t="s">
        <v>8126</v>
      </c>
      <c r="C371" s="14" t="s">
        <v>8128</v>
      </c>
      <c r="D371" s="5" t="str">
        <f ca="1">IFERROR(__xludf.DUMMYFUNCTION("GOOGLETRANSLATE(B371,""ja"",""vi"")"),"Kerokerokeroppi")</f>
        <v>Kerokerokeroppi</v>
      </c>
      <c r="E371" s="4" t="str">
        <f ca="1">IFERROR(__xludf.DUMMYFUNCTION("GOOGLETRANSLATE(C371,""ja"",""vi"")"),"Đấu giá&gt; vé, chứng từ, đặt phòng khách sạn&gt; Thẻ trả trước&gt; Thẻ điện thoại&gt; Nhân vật&gt; Kerokerokeroppi")</f>
        <v>Đấu giá&gt; vé, chứng từ, đặt phòng khách sạn&gt; Thẻ trả trước&gt; Thẻ điện thoại&gt; Nhân vật&gt; Kerokerokeroppi</v>
      </c>
      <c r="F371" t="str">
        <f t="shared" ca="1" si="5"/>
        <v>"2084040372" : "Kerokerokeroppi",</v>
      </c>
    </row>
    <row r="372" spans="1:6" ht="15.75" customHeight="1">
      <c r="A372" s="14">
        <v>2084040369</v>
      </c>
      <c r="B372" s="14" t="s">
        <v>8132</v>
      </c>
      <c r="C372" s="14" t="s">
        <v>8133</v>
      </c>
      <c r="D372" s="5" t="str">
        <f ca="1">IFERROR(__xludf.DUMMYFUNCTION("GOOGLETRANSLATE(B372,""ja"",""vi"")"),"Gạo Susumu-kun (Ajinomoto)")</f>
        <v>Gạo Susumu-kun (Ajinomoto)</v>
      </c>
      <c r="E372" s="4" t="str">
        <f ca="1">IFERROR(__xludf.DUMMYFUNCTION("GOOGLETRANSLATE(C372,""ja"",""vi"")"),"Đấu giá&gt; vé, chứng từ, đặt phòng khách sạn&gt; Thẻ trả trước&gt; Thẻ điện thoại&gt; Nhân vật&gt; gạo Susumu-kun (Ajinomoto)")</f>
        <v>Đấu giá&gt; vé, chứng từ, đặt phòng khách sạn&gt; Thẻ trả trước&gt; Thẻ điện thoại&gt; Nhân vật&gt; gạo Susumu-kun (Ajinomoto)</v>
      </c>
      <c r="F372" t="str">
        <f t="shared" ca="1" si="5"/>
        <v>"2084040369" : "Gạo Susumu-kun (Ajinomoto)",</v>
      </c>
    </row>
    <row r="373" spans="1:6" ht="15.75" customHeight="1">
      <c r="A373" s="14">
        <v>2084040367</v>
      </c>
      <c r="B373" s="14" t="s">
        <v>8137</v>
      </c>
      <c r="C373" s="14" t="s">
        <v>8139</v>
      </c>
      <c r="D373" s="5" t="str">
        <f ca="1">IFERROR(__xludf.DUMMYFUNCTION("GOOGLETRANSLATE(B373,""ja"",""vi"")"),"Không người lái kun (ACOM)")</f>
        <v>Không người lái kun (ACOM)</v>
      </c>
      <c r="E373" s="4" t="str">
        <f ca="1">IFERROR(__xludf.DUMMYFUNCTION("GOOGLETRANSLATE(C373,""ja"",""vi"")"),"Đấu giá&gt; vé, chứng từ, đặt phòng khách sạn&gt; Thẻ trả trước&gt; Thẻ điện thoại&gt; Nhân vật&gt; không người lái kun (ACOM)")</f>
        <v>Đấu giá&gt; vé, chứng từ, đặt phòng khách sạn&gt; Thẻ trả trước&gt; Thẻ điện thoại&gt; Nhân vật&gt; không người lái kun (ACOM)</v>
      </c>
      <c r="F373" t="str">
        <f t="shared" ca="1" si="5"/>
        <v>"2084040367" : "Không người lái kun (ACOM)",</v>
      </c>
    </row>
    <row r="374" spans="1:6" ht="15.75" customHeight="1">
      <c r="A374" s="14">
        <v>2084040386</v>
      </c>
      <c r="B374" s="14" t="s">
        <v>8141</v>
      </c>
      <c r="C374" s="14" t="s">
        <v>8144</v>
      </c>
      <c r="D374" s="5" t="str">
        <f ca="1">IFERROR(__xludf.DUMMYFUNCTION("GOOGLETRANSLATE(B374,""ja"",""vi"")"),"Wallace &amp; Gromit")</f>
        <v>Wallace &amp; Gromit</v>
      </c>
      <c r="E374" s="4" t="str">
        <f ca="1">IFERROR(__xludf.DUMMYFUNCTION("GOOGLETRANSLATE(C374,""ja"",""vi"")"),"Đấu giá&gt; vé, chứng từ, đặt phòng khách sạn&gt; Thẻ trả trước&gt; Thẻ điện thoại&gt; Nhân vật&gt; Wallace &amp; Gromit")</f>
        <v>Đấu giá&gt; vé, chứng từ, đặt phòng khách sạn&gt; Thẻ trả trước&gt; Thẻ điện thoại&gt; Nhân vật&gt; Wallace &amp; Gromit</v>
      </c>
      <c r="F374" t="str">
        <f t="shared" ca="1" si="5"/>
        <v>"2084040386" : "Wallace &amp; Gromit",</v>
      </c>
    </row>
    <row r="375" spans="1:6" ht="15.75" customHeight="1">
      <c r="A375" s="14">
        <v>2084040365</v>
      </c>
      <c r="B375" s="14" t="s">
        <v>8146</v>
      </c>
      <c r="C375" s="14" t="s">
        <v>8147</v>
      </c>
      <c r="D375" s="5" t="str">
        <f ca="1">IFERROR(__xludf.DUMMYFUNCTION("GOOGLETRANSLATE(B375,""ja"",""vi"")"),"Carl (Karl)")</f>
        <v>Carl (Karl)</v>
      </c>
      <c r="E375" s="4" t="str">
        <f ca="1">IFERROR(__xludf.DUMMYFUNCTION("GOOGLETRANSLATE(C375,""ja"",""vi"")"),"Đấu giá&gt; vé, chứng từ, đặt phòng khách sạn&gt; Thẻ trả trước&gt; Thẻ điện thoại&gt; Nhân vật&gt; Carl (Karl)")</f>
        <v>Đấu giá&gt; vé, chứng từ, đặt phòng khách sạn&gt; Thẻ trả trước&gt; Thẻ điện thoại&gt; Nhân vật&gt; Carl (Karl)</v>
      </c>
      <c r="F375" t="str">
        <f t="shared" ca="1" si="5"/>
        <v>"2084040365" : "Carl (Karl)",</v>
      </c>
    </row>
    <row r="376" spans="1:6" ht="15.75" customHeight="1">
      <c r="A376" s="14">
        <v>2084040384</v>
      </c>
      <c r="B376" s="14" t="s">
        <v>7553</v>
      </c>
      <c r="C376" s="14" t="s">
        <v>8151</v>
      </c>
      <c r="D376" s="5" t="str">
        <f ca="1">IFERROR(__xludf.DUMMYFUNCTION("GOOGLETRANSLATE(B376,""ja"",""vi"")"),"Gachapin, Mook")</f>
        <v>Gachapin, Mook</v>
      </c>
      <c r="E376" s="4" t="str">
        <f ca="1">IFERROR(__xludf.DUMMYFUNCTION("GOOGLETRANSLATE(C376,""ja"",""vi"")"),"Đấu giá&gt; vé, chứng từ, đặt phòng khách sạn&gt; Thẻ trả trước&gt; Thẻ điện thoại&gt; Nhân vật&gt; Gachapin, Mook")</f>
        <v>Đấu giá&gt; vé, chứng từ, đặt phòng khách sạn&gt; Thẻ trả trước&gt; Thẻ điện thoại&gt; Nhân vật&gt; Gachapin, Mook</v>
      </c>
      <c r="F376" t="str">
        <f t="shared" ca="1" si="5"/>
        <v>"2084040384" : "Gachapin, Mook",</v>
      </c>
    </row>
    <row r="377" spans="1:6" ht="15.75" customHeight="1">
      <c r="A377" s="14">
        <v>2084040380</v>
      </c>
      <c r="B377" s="14" t="s">
        <v>3495</v>
      </c>
      <c r="C377" s="14" t="s">
        <v>8155</v>
      </c>
      <c r="D377" s="5" t="str">
        <f ca="1">IFERROR(__xludf.DUMMYFUNCTION("GOOGLETRANSLATE(B377,""ja"",""vi"")"),"Kewpie")</f>
        <v>Kewpie</v>
      </c>
      <c r="E377" s="4" t="str">
        <f ca="1">IFERROR(__xludf.DUMMYFUNCTION("GOOGLETRANSLATE(C377,""ja"",""vi"")"),"Đấu giá&gt; vé, chứng từ, đặt phòng khách sạn&gt; Thẻ trả trước&gt; Thẻ điện thoại&gt; Nhân vật&gt; Kewpie")</f>
        <v>Đấu giá&gt; vé, chứng từ, đặt phòng khách sạn&gt; Thẻ trả trước&gt; Thẻ điện thoại&gt; Nhân vật&gt; Kewpie</v>
      </c>
      <c r="F377" t="str">
        <f t="shared" ca="1" si="5"/>
        <v>"2084040380" : "Kewpie",</v>
      </c>
    </row>
    <row r="378" spans="1:6" ht="15.75" customHeight="1">
      <c r="A378" s="14">
        <v>2084040360</v>
      </c>
      <c r="B378" s="14" t="s">
        <v>8157</v>
      </c>
      <c r="C378" s="14" t="s">
        <v>8159</v>
      </c>
      <c r="D378" s="5" t="str">
        <f ca="1">IFERROR(__xludf.DUMMYFUNCTION("GOOGLETRANSLATE(B378,""ja"",""vi"")"),"Kyoro chan (quả bóng sôcôla)")</f>
        <v>Kyoro chan (quả bóng sôcôla)</v>
      </c>
      <c r="E378" s="4" t="str">
        <f ca="1">IFERROR(__xludf.DUMMYFUNCTION("GOOGLETRANSLATE(C378,""ja"",""vi"")"),"Đấu giá&gt; vé, chứng từ, đặt phòng khách sạn&gt; Thẻ trả trước&gt; Thẻ điện thoại&gt; Nhân vật&gt; xem xung quanh-chan (quả bóng sôcôla)")</f>
        <v>Đấu giá&gt; vé, chứng từ, đặt phòng khách sạn&gt; Thẻ trả trước&gt; Thẻ điện thoại&gt; Nhân vật&gt; xem xung quanh-chan (quả bóng sôcôla)</v>
      </c>
      <c r="F378" t="str">
        <f t="shared" ca="1" si="5"/>
        <v>"2084040360" : "Kyoro chan (quả bóng sôcôla)",</v>
      </c>
    </row>
    <row r="379" spans="1:6" ht="15.75" customHeight="1">
      <c r="A379" s="14">
        <v>2084040381</v>
      </c>
      <c r="B379" s="14" t="s">
        <v>3518</v>
      </c>
      <c r="C379" s="14" t="s">
        <v>8163</v>
      </c>
      <c r="D379" s="5" t="str">
        <f ca="1">IFERROR(__xludf.DUMMYFUNCTION("GOOGLETRANSLATE(B379,""ja"",""vi"")"),"Ken Ken")</f>
        <v>Ken Ken</v>
      </c>
      <c r="E379" s="4" t="str">
        <f ca="1">IFERROR(__xludf.DUMMYFUNCTION("GOOGLETRANSLATE(C379,""ja"",""vi"")"),"Đấu giá&gt; vé, chứng từ, đặt phòng khách sạn&gt; Thẻ trả trước&gt; Thẻ điện thoại&gt; Nhân vật&gt; Ken Ken")</f>
        <v>Đấu giá&gt; vé, chứng từ, đặt phòng khách sạn&gt; Thẻ trả trước&gt; Thẻ điện thoại&gt; Nhân vật&gt; Ken Ken</v>
      </c>
      <c r="F379" t="str">
        <f t="shared" ca="1" si="5"/>
        <v>"2084040381" : "Ken Ken",</v>
      </c>
    </row>
    <row r="380" spans="1:6" ht="15.75" customHeight="1">
      <c r="A380" s="14">
        <v>2084040385</v>
      </c>
      <c r="B380" s="14" t="s">
        <v>8166</v>
      </c>
      <c r="C380" s="14" t="s">
        <v>8167</v>
      </c>
      <c r="D380" s="5" t="str">
        <f ca="1">IFERROR(__xludf.DUMMYFUNCTION("GOOGLETRANSLATE(B380,""ja"",""vi"")"),"Connie Chan")</f>
        <v>Connie Chan</v>
      </c>
      <c r="E380" s="4" t="str">
        <f ca="1">IFERROR(__xludf.DUMMYFUNCTION("GOOGLETRANSLATE(C380,""ja"",""vi"")"),"Đấu giá&gt; vé, chứng từ, đặt phòng khách sạn&gt; Thẻ trả trước&gt; Thẻ điện thoại&gt; Nhân vật&gt; Connie Chan")</f>
        <v>Đấu giá&gt; vé, chứng từ, đặt phòng khách sạn&gt; Thẻ trả trước&gt; Thẻ điện thoại&gt; Nhân vật&gt; Connie Chan</v>
      </c>
      <c r="F380" t="str">
        <f t="shared" ca="1" si="5"/>
        <v>"2084040385" : "Connie Chan",</v>
      </c>
    </row>
    <row r="381" spans="1:6" ht="15.75" customHeight="1">
      <c r="A381" s="14">
        <v>2084040388</v>
      </c>
      <c r="B381" s="14" t="s">
        <v>8170</v>
      </c>
      <c r="C381" s="14" t="s">
        <v>8171</v>
      </c>
      <c r="D381" s="5" t="str">
        <f ca="1">IFERROR(__xludf.DUMMYFUNCTION("GOOGLETRANSLATE(B381,""ja"",""vi"")"),"sấm Bunny")</f>
        <v>sấm Bunny</v>
      </c>
      <c r="E381" s="4" t="str">
        <f ca="1">IFERROR(__xludf.DUMMYFUNCTION("GOOGLETRANSLATE(C381,""ja"",""vi"")"),"Đấu giá&gt; vé, chứng từ, đặt phòng khách sạn&gt; Thẻ trả trước&gt; Thẻ điện thoại&gt; Nhân vật&gt; Sấm Bunny")</f>
        <v>Đấu giá&gt; vé, chứng từ, đặt phòng khách sạn&gt; Thẻ trả trước&gt; Thẻ điện thoại&gt; Nhân vật&gt; Sấm Bunny</v>
      </c>
      <c r="F381" t="str">
        <f t="shared" ca="1" si="5"/>
        <v>"2084040388" : "sấm Bunny",</v>
      </c>
    </row>
    <row r="382" spans="1:6" ht="15.75" customHeight="1">
      <c r="A382" s="14">
        <v>2084040359</v>
      </c>
      <c r="B382" s="14" t="s">
        <v>8174</v>
      </c>
      <c r="C382" s="14" t="s">
        <v>8175</v>
      </c>
      <c r="D382" s="5" t="str">
        <f ca="1">IFERROR(__xludf.DUMMYFUNCTION("GOOGLETRANSLATE(B382,""ja"",""vi"")"),"Stuart Little")</f>
        <v>Stuart Little</v>
      </c>
      <c r="E382" s="4" t="str">
        <f ca="1">IFERROR(__xludf.DUMMYFUNCTION("GOOGLETRANSLATE(C382,""ja"",""vi"")"),"Đấu giá&gt; vé, chứng từ, đặt phòng khách sạn&gt; Thẻ trả trước&gt; Thẻ điện thoại&gt; Nhân vật&gt; Stuart Little")</f>
        <v>Đấu giá&gt; vé, chứng từ, đặt phòng khách sạn&gt; Thẻ trả trước&gt; Thẻ điện thoại&gt; Nhân vật&gt; Stuart Little</v>
      </c>
      <c r="F382" t="str">
        <f t="shared" ca="1" si="5"/>
        <v>"2084040359" : "Stuart Little",</v>
      </c>
    </row>
    <row r="383" spans="1:6" ht="15.75" customHeight="1">
      <c r="A383" s="14">
        <v>2084040376</v>
      </c>
      <c r="B383" s="14" t="s">
        <v>3546</v>
      </c>
      <c r="C383" s="14" t="s">
        <v>8177</v>
      </c>
      <c r="D383" s="5" t="str">
        <f ca="1">IFERROR(__xludf.DUMMYFUNCTION("GOOGLETRANSLATE(B383,""ja"",""vi"")"),"Sesame Street")</f>
        <v>Sesame Street</v>
      </c>
      <c r="E383" s="4" t="str">
        <f ca="1">IFERROR(__xludf.DUMMYFUNCTION("GOOGLETRANSLATE(C383,""ja"",""vi"")"),"Đấu giá&gt; vé, chứng từ, đặt phòng khách sạn&gt; Thẻ trả trước&gt; Thẻ điện thoại&gt; Nhân vật&gt; Sesame Street")</f>
        <v>Đấu giá&gt; vé, chứng từ, đặt phòng khách sạn&gt; Thẻ trả trước&gt; Thẻ điện thoại&gt; Nhân vật&gt; Sesame Street</v>
      </c>
      <c r="F383" t="str">
        <f t="shared" ca="1" si="5"/>
        <v>"2084040376" : "Sesame Street",</v>
      </c>
    </row>
    <row r="384" spans="1:6" ht="15.75" customHeight="1">
      <c r="A384" s="14">
        <v>2084040364</v>
      </c>
      <c r="B384" s="14" t="s">
        <v>8180</v>
      </c>
      <c r="C384" s="14" t="s">
        <v>8181</v>
      </c>
      <c r="D384" s="5" t="str">
        <f ca="1">IFERROR(__xludf.DUMMYFUNCTION("GOOGLETRANSLATE(B384,""ja"",""vi"")"),"Chạm Bác (Fujitsu)")</f>
        <v>Chạm Bác (Fujitsu)</v>
      </c>
      <c r="E384" s="4" t="str">
        <f ca="1">IFERROR(__xludf.DUMMYFUNCTION("GOOGLETRANSLATE(C384,""ja"",""vi"")"),"Đấu giá&gt; vé, chứng từ, đặt phòng khách sạn&gt; Thẻ trả trước&gt; Thẻ điện thoại&gt; Nhân vật&gt; chạm Bác (Fujitsu)")</f>
        <v>Đấu giá&gt; vé, chứng từ, đặt phòng khách sạn&gt; Thẻ trả trước&gt; Thẻ điện thoại&gt; Nhân vật&gt; chạm Bác (Fujitsu)</v>
      </c>
      <c r="F384" t="str">
        <f t="shared" ca="1" si="5"/>
        <v>"2084040364" : "Chạm Bác (Fujitsu)",</v>
      </c>
    </row>
    <row r="385" spans="1:6" ht="15.75" customHeight="1">
      <c r="A385" s="14">
        <v>2084040356</v>
      </c>
      <c r="B385" s="14" t="s">
        <v>8184</v>
      </c>
      <c r="C385" s="14" t="s">
        <v>8186</v>
      </c>
      <c r="D385" s="5" t="str">
        <f ca="1">IFERROR(__xludf.DUMMYFUNCTION("GOOGLETRANSLATE(B385,""ja"",""vi"")"),"Tintin")</f>
        <v>Tintin</v>
      </c>
      <c r="E385" s="4" t="str">
        <f ca="1">IFERROR(__xludf.DUMMYFUNCTION("GOOGLETRANSLATE(C385,""ja"",""vi"")"),"Đấu giá&gt; vé, chứng từ, đặt phòng khách sạn&gt; Thẻ trả trước&gt; Thẻ điện thoại&gt; Nhân vật&gt; Tintin")</f>
        <v>Đấu giá&gt; vé, chứng từ, đặt phòng khách sạn&gt; Thẻ trả trước&gt; Thẻ điện thoại&gt; Nhân vật&gt; Tintin</v>
      </c>
      <c r="F385" t="str">
        <f t="shared" ca="1" si="5"/>
        <v>"2084040356" : "Tintin",</v>
      </c>
    </row>
    <row r="386" spans="1:6" ht="15.75" customHeight="1">
      <c r="A386" s="14">
        <v>2084040370</v>
      </c>
      <c r="B386" s="14" t="s">
        <v>2828</v>
      </c>
      <c r="C386" s="14" t="s">
        <v>8190</v>
      </c>
      <c r="D386" s="5" t="str">
        <f ca="1">IFERROR(__xludf.DUMMYFUNCTION("GOOGLETRANSLATE(B386,""ja"",""vi"")"),"Disney")</f>
        <v>Disney</v>
      </c>
      <c r="E386" s="4" t="str">
        <f ca="1">IFERROR(__xludf.DUMMYFUNCTION("GOOGLETRANSLATE(C386,""ja"",""vi"")"),"Đấu giá&gt; vé, chứng từ, đặt phòng khách sạn&gt; Thẻ trả trước&gt; Thẻ điện thoại&gt; Nhân vật&gt; Disney")</f>
        <v>Đấu giá&gt; vé, chứng từ, đặt phòng khách sạn&gt; Thẻ trả trước&gt; Thẻ điện thoại&gt; Nhân vật&gt; Disney</v>
      </c>
      <c r="F386" t="str">
        <f t="shared" ref="F386:F449" ca="1" si="6">CONCATENATE(CHAR(34)&amp;"",A386,""&amp;CHAR(34)," : ", CHAR(34)&amp;"",D386,""&amp;CHAR(34),",")</f>
        <v>"2084040370" : "Disney",</v>
      </c>
    </row>
    <row r="387" spans="1:6" ht="15.75" customHeight="1">
      <c r="A387" s="14">
        <v>2084040366</v>
      </c>
      <c r="B387" s="14" t="s">
        <v>8193</v>
      </c>
      <c r="C387" s="14" t="s">
        <v>8194</v>
      </c>
      <c r="D387" s="5" t="str">
        <f ca="1">IFERROR(__xludf.DUMMYFUNCTION("GOOGLETRANSLATE(B387,""ja"",""vi"")"),"Kẹp (Victor)")</f>
        <v>Kẹp (Victor)</v>
      </c>
      <c r="E387" s="4" t="str">
        <f ca="1">IFERROR(__xludf.DUMMYFUNCTION("GOOGLETRANSLATE(C387,""ja"",""vi"")"),"Đấu giá&gt; vé, chứng từ, đặt phòng khách sạn&gt; Thẻ trả trước&gt; Thẻ điện thoại&gt; Nhân vật&gt; Kìm (Victor)")</f>
        <v>Đấu giá&gt; vé, chứng từ, đặt phòng khách sạn&gt; Thẻ trả trước&gt; Thẻ điện thoại&gt; Nhân vật&gt; Kìm (Victor)</v>
      </c>
      <c r="F387" t="str">
        <f t="shared" ca="1" si="6"/>
        <v>"2084040366" : "Kẹp (Victor)",</v>
      </c>
    </row>
    <row r="388" spans="1:6" ht="15.75" customHeight="1">
      <c r="A388" s="14">
        <v>2084040358</v>
      </c>
      <c r="B388" s="14" t="s">
        <v>8198</v>
      </c>
      <c r="C388" s="14" t="s">
        <v>8199</v>
      </c>
      <c r="D388" s="5" t="str">
        <f ca="1">IFERROR(__xludf.DUMMYFUNCTION("GOOGLETRANSLATE(B388,""ja"",""vi"")"),"trạm Hatchipotchi")</f>
        <v>trạm Hatchipotchi</v>
      </c>
      <c r="E388" s="4" t="str">
        <f ca="1">IFERROR(__xludf.DUMMYFUNCTION("GOOGLETRANSLATE(C388,""ja"",""vi"")"),"Đấu giá&gt; vé, chứng từ, đặt phòng khách sạn&gt; Thẻ trả trước&gt; Thẻ điện thoại&gt; Nhân vật&gt; Trạm Hatchipotchi")</f>
        <v>Đấu giá&gt; vé, chứng từ, đặt phòng khách sạn&gt; Thẻ trả trước&gt; Thẻ điện thoại&gt; Nhân vật&gt; Trạm Hatchipotchi</v>
      </c>
      <c r="F388" t="str">
        <f t="shared" ca="1" si="6"/>
        <v>"2084040358" : "trạm Hatchipotchi",</v>
      </c>
    </row>
    <row r="389" spans="1:6" ht="15.75" customHeight="1">
      <c r="A389" s="14">
        <v>2084040371</v>
      </c>
      <c r="B389" s="14" t="s">
        <v>1265</v>
      </c>
      <c r="C389" s="14" t="s">
        <v>8204</v>
      </c>
      <c r="D389" s="5" t="str">
        <f ca="1">IFERROR(__xludf.DUMMYFUNCTION("GOOGLETRANSLATE(B389,""ja"",""vi"")"),"Hello Kitty")</f>
        <v>Hello Kitty</v>
      </c>
      <c r="E389" s="4" t="str">
        <f ca="1">IFERROR(__xludf.DUMMYFUNCTION("GOOGLETRANSLATE(C389,""ja"",""vi"")"),"Đấu giá&gt; vé, chứng từ, đặt phòng khách sạn&gt; Thẻ trả trước&gt; Thẻ điện thoại&gt; Nhân vật&gt; Hello Kitty")</f>
        <v>Đấu giá&gt; vé, chứng từ, đặt phòng khách sạn&gt; Thẻ trả trước&gt; Thẻ điện thoại&gt; Nhân vật&gt; Hello Kitty</v>
      </c>
      <c r="F389" t="str">
        <f t="shared" ca="1" si="6"/>
        <v>"2084040371" : "Hello Kitty",</v>
      </c>
    </row>
    <row r="390" spans="1:6" ht="15.75" customHeight="1">
      <c r="A390" s="14">
        <v>2084040375</v>
      </c>
      <c r="B390" s="14" t="s">
        <v>3589</v>
      </c>
      <c r="C390" s="14" t="s">
        <v>8207</v>
      </c>
      <c r="D390" s="5" t="str">
        <f ca="1">IFERROR(__xludf.DUMMYFUNCTION("GOOGLETRANSLATE(B390,""ja"",""vi"")"),"Peter Rabbit")</f>
        <v>Peter Rabbit</v>
      </c>
      <c r="E390" s="4" t="str">
        <f ca="1">IFERROR(__xludf.DUMMYFUNCTION("GOOGLETRANSLATE(C390,""ja"",""vi"")"),"Đấu giá&gt; vé, chứng từ, đặt phòng khách sạn&gt; Thẻ trả trước&gt; Thẻ điện thoại&gt; Nhân vật&gt; Peter Rabbit")</f>
        <v>Đấu giá&gt; vé, chứng từ, đặt phòng khách sạn&gt; Thẻ trả trước&gt; Thẻ điện thoại&gt; Nhân vật&gt; Peter Rabbit</v>
      </c>
      <c r="F390" t="str">
        <f t="shared" ca="1" si="6"/>
        <v>"2084040375" : "Peter Rabbit",</v>
      </c>
    </row>
    <row r="391" spans="1:6" ht="15.75" customHeight="1">
      <c r="A391" s="14">
        <v>2084040374</v>
      </c>
      <c r="B391" s="14" t="s">
        <v>3607</v>
      </c>
      <c r="C391" s="14" t="s">
        <v>8210</v>
      </c>
      <c r="D391" s="5" t="str">
        <f ca="1">IFERROR(__xludf.DUMMYFUNCTION("GOOGLETRANSLATE(B391,""ja"",""vi"")"),"Pingu")</f>
        <v>Pingu</v>
      </c>
      <c r="E391" s="4" t="str">
        <f ca="1">IFERROR(__xludf.DUMMYFUNCTION("GOOGLETRANSLATE(C391,""ja"",""vi"")"),"Đấu giá&gt; vé, chứng từ, đặt phòng khách sạn&gt; Thẻ trả trước&gt; Thẻ điện thoại&gt; Nhân vật&gt; Pingu")</f>
        <v>Đấu giá&gt; vé, chứng từ, đặt phòng khách sạn&gt; Thẻ trả trước&gt; Thẻ điện thoại&gt; Nhân vật&gt; Pingu</v>
      </c>
      <c r="F391" t="str">
        <f t="shared" ca="1" si="6"/>
        <v>"2084040374" : "Pingu",</v>
      </c>
    </row>
    <row r="392" spans="1:6" ht="15.75" customHeight="1">
      <c r="A392" s="14">
        <v>2084040362</v>
      </c>
      <c r="B392" s="14" t="s">
        <v>8214</v>
      </c>
      <c r="C392" s="14" t="s">
        <v>8216</v>
      </c>
      <c r="D392" s="5" t="str">
        <f ca="1">IFERROR(__xludf.DUMMYFUNCTION("GOOGLETRANSLATE(B392,""ja"",""vi"")"),"Peko-chan (Fujiya)")</f>
        <v>Peko-chan (Fujiya)</v>
      </c>
      <c r="E392" s="4" t="str">
        <f ca="1">IFERROR(__xludf.DUMMYFUNCTION("GOOGLETRANSLATE(C392,""ja"",""vi"")"),"Đấu giá&gt; vé, chứng từ, đặt phòng khách sạn&gt; Thẻ trả trước&gt; Thẻ điện thoại&gt; Nhân vật&gt; Peko-chan (Fujiya)")</f>
        <v>Đấu giá&gt; vé, chứng từ, đặt phòng khách sạn&gt; Thẻ trả trước&gt; Thẻ điện thoại&gt; Nhân vật&gt; Peko-chan (Fujiya)</v>
      </c>
      <c r="F392" t="str">
        <f t="shared" ca="1" si="6"/>
        <v>"2084040362" : "Peko-chan (Fujiya)",</v>
      </c>
    </row>
    <row r="393" spans="1:6" ht="15.75" customHeight="1">
      <c r="A393" s="14">
        <v>2084040363</v>
      </c>
      <c r="B393" s="14" t="s">
        <v>8219</v>
      </c>
      <c r="C393" s="14" t="s">
        <v>8220</v>
      </c>
      <c r="D393" s="5" t="str">
        <f ca="1">IFERROR(__xludf.DUMMYFUNCTION("GOOGLETRANSLATE(B393,""ja"",""vi"")"),"Pepushiman (Pepsi)")</f>
        <v>Pepushiman (Pepsi)</v>
      </c>
      <c r="E393" s="4" t="str">
        <f ca="1">IFERROR(__xludf.DUMMYFUNCTION("GOOGLETRANSLATE(C393,""ja"",""vi"")"),"Đấu giá&gt; vé, chứng từ, đặt phòng khách sạn&gt; Thẻ trả trước&gt; Thẻ điện thoại&gt; Nhân vật&gt; Pepushiman (Pepsi)")</f>
        <v>Đấu giá&gt; vé, chứng từ, đặt phòng khách sạn&gt; Thẻ trả trước&gt; Thẻ điện thoại&gt; Nhân vật&gt; Pepushiman (Pepsi)</v>
      </c>
      <c r="F393" t="str">
        <f t="shared" ca="1" si="6"/>
        <v>"2084040363" : "Pepushiman (Pepsi)",</v>
      </c>
    </row>
    <row r="394" spans="1:6" ht="15.75" customHeight="1">
      <c r="A394" s="14">
        <v>2084040383</v>
      </c>
      <c r="B394" s="14" t="s">
        <v>8224</v>
      </c>
      <c r="C394" s="14" t="s">
        <v>8225</v>
      </c>
      <c r="D394" s="5" t="str">
        <f ca="1">IFERROR(__xludf.DUMMYFUNCTION("GOOGLETRANSLATE(B394,""ja"",""vi"")"),"Pochakko")</f>
        <v>Pochakko</v>
      </c>
      <c r="E394" s="4" t="str">
        <f ca="1">IFERROR(__xludf.DUMMYFUNCTION("GOOGLETRANSLATE(C394,""ja"",""vi"")"),"Đấu giá&gt; vé, chứng từ, đặt phòng khách sạn&gt; Thẻ trả trước&gt; Thẻ điện thoại&gt; Nhân vật&gt; Pochakko")</f>
        <v>Đấu giá&gt; vé, chứng từ, đặt phòng khách sạn&gt; Thẻ trả trước&gt; Thẻ điện thoại&gt; Nhân vật&gt; Pochakko</v>
      </c>
      <c r="F394" t="str">
        <f t="shared" ca="1" si="6"/>
        <v>"2084040383" : "Pochakko",</v>
      </c>
    </row>
    <row r="395" spans="1:6" ht="15.75" customHeight="1">
      <c r="A395" s="14">
        <v>2084040379</v>
      </c>
      <c r="B395" s="14" t="s">
        <v>3637</v>
      </c>
      <c r="C395" s="14" t="s">
        <v>8230</v>
      </c>
      <c r="D395" s="5" t="str">
        <f ca="1">IFERROR(__xludf.DUMMYFUNCTION("GOOGLETRANSLATE(B395,""ja"",""vi"")"),"Popeye")</f>
        <v>Popeye</v>
      </c>
      <c r="E395" s="4" t="str">
        <f ca="1">IFERROR(__xludf.DUMMYFUNCTION("GOOGLETRANSLATE(C395,""ja"",""vi"")"),"Đấu giá&gt; vé, chứng từ, đặt phòng khách sạn&gt; Thẻ trả trước&gt; Thẻ điện thoại&gt; Nhân vật&gt; Popeye")</f>
        <v>Đấu giá&gt; vé, chứng từ, đặt phòng khách sạn&gt; Thẻ trả trước&gt; Thẻ điện thoại&gt; Nhân vật&gt; Popeye</v>
      </c>
      <c r="F395" t="str">
        <f t="shared" ca="1" si="6"/>
        <v>"2084040379" : "Popeye",</v>
      </c>
    </row>
    <row r="396" spans="1:6" ht="15.75" customHeight="1">
      <c r="A396" s="14">
        <v>2084040368</v>
      </c>
      <c r="B396" s="14" t="s">
        <v>8233</v>
      </c>
      <c r="C396" s="14" t="s">
        <v>8235</v>
      </c>
      <c r="D396" s="5" t="str">
        <f ca="1">IFERROR(__xludf.DUMMYFUNCTION("GOOGLETRANSLATE(B396,""ja"",""vi"")"),"Marble Dalmatians (sô cô la bằng đá cẩm thạch)")</f>
        <v>Marble Dalmatians (sô cô la bằng đá cẩm thạch)</v>
      </c>
      <c r="E396" s="4" t="str">
        <f ca="1">IFERROR(__xludf.DUMMYFUNCTION("GOOGLETRANSLATE(C396,""ja"",""vi"")"),"Đấu giá&gt; vé, chứng từ, đặt phòng khách sạn&gt; Thẻ trả trước&gt; Thẻ điện thoại&gt; Nhân vật&gt; Marble Dalmatians (đá cẩm thạch sô cô la)")</f>
        <v>Đấu giá&gt; vé, chứng từ, đặt phòng khách sạn&gt; Thẻ trả trước&gt; Thẻ điện thoại&gt; Nhân vật&gt; Marble Dalmatians (đá cẩm thạch sô cô la)</v>
      </c>
      <c r="F396" t="str">
        <f t="shared" ca="1" si="6"/>
        <v>"2084040368" : "Marble Dalmatians (sô cô la bằng đá cẩm thạch)",</v>
      </c>
    </row>
    <row r="397" spans="1:6" ht="15.75" customHeight="1">
      <c r="A397" s="14">
        <v>2084040378</v>
      </c>
      <c r="B397" s="14" t="s">
        <v>8238</v>
      </c>
      <c r="C397" s="14" t="s">
        <v>8239</v>
      </c>
      <c r="D397" s="5" t="str">
        <f ca="1">IFERROR(__xludf.DUMMYFUNCTION("GOOGLETRANSLATE(B397,""ja"",""vi"")"),"My Melody")</f>
        <v>My Melody</v>
      </c>
      <c r="E397" s="4" t="str">
        <f ca="1">IFERROR(__xludf.DUMMYFUNCTION("GOOGLETRANSLATE(C397,""ja"",""vi"")"),"Đấu giá&gt; vé, chứng từ, đặt phòng khách sạn&gt; Thẻ trả trước&gt; Thẻ điện thoại&gt; Nhân vật&gt; My Melody")</f>
        <v>Đấu giá&gt; vé, chứng từ, đặt phòng khách sạn&gt; Thẻ trả trước&gt; Thẻ điện thoại&gt; Nhân vật&gt; My Melody</v>
      </c>
      <c r="F397" t="str">
        <f t="shared" ca="1" si="6"/>
        <v>"2084040378" : "My Melody",</v>
      </c>
    </row>
    <row r="398" spans="1:6" ht="15.75" customHeight="1">
      <c r="A398" s="14">
        <v>2084040373</v>
      </c>
      <c r="B398" s="14" t="s">
        <v>3646</v>
      </c>
      <c r="C398" s="14" t="s">
        <v>8244</v>
      </c>
      <c r="D398" s="5" t="str">
        <f ca="1">IFERROR(__xludf.DUMMYFUNCTION("GOOGLETRANSLATE(B398,""ja"",""vi"")"),"Miffy")</f>
        <v>Miffy</v>
      </c>
      <c r="E398" s="4" t="str">
        <f ca="1">IFERROR(__xludf.DUMMYFUNCTION("GOOGLETRANSLATE(C398,""ja"",""vi"")"),"Đấu giá&gt; vé, chứng từ, đặt phòng khách sạn&gt; Thẻ trả trước&gt; Thẻ điện thoại&gt; Nhân vật&gt; Miffy")</f>
        <v>Đấu giá&gt; vé, chứng từ, đặt phòng khách sạn&gt; Thẻ trả trước&gt; Thẻ điện thoại&gt; Nhân vật&gt; Miffy</v>
      </c>
      <c r="F398" t="str">
        <f t="shared" ca="1" si="6"/>
        <v>"2084040373" : "Miffy",</v>
      </c>
    </row>
    <row r="399" spans="1:6" ht="15.75" customHeight="1">
      <c r="A399" s="14">
        <v>2084040357</v>
      </c>
      <c r="B399" s="14" t="s">
        <v>8248</v>
      </c>
      <c r="C399" s="14" t="s">
        <v>8249</v>
      </c>
      <c r="D399" s="5" t="str">
        <f ca="1">IFERROR(__xludf.DUMMYFUNCTION("GOOGLETRANSLATE(B399,""ja"",""vi"")"),"Yang Fang, Ma Bow")</f>
        <v>Yang Fang, Ma Bow</v>
      </c>
      <c r="E399" s="4" t="str">
        <f ca="1">IFERROR(__xludf.DUMMYFUNCTION("GOOGLETRANSLATE(C399,""ja"",""vi"")"),"Đấu giá&gt; vé, chứng từ, đặt phòng khách sạn&gt; Thẻ trả trước&gt; Thẻ điện thoại&gt; Nhân vật&gt; Yan Fang, Ma Bow")</f>
        <v>Đấu giá&gt; vé, chứng từ, đặt phòng khách sạn&gt; Thẻ trả trước&gt; Thẻ điện thoại&gt; Nhân vật&gt; Yan Fang, Ma Bow</v>
      </c>
      <c r="F399" t="str">
        <f t="shared" ca="1" si="6"/>
        <v>"2084040357" : "Yang Fang, Ma Bow",</v>
      </c>
    </row>
    <row r="400" spans="1:6" ht="15.75" customHeight="1">
      <c r="A400" s="14">
        <v>2084040361</v>
      </c>
      <c r="B400" s="14" t="s">
        <v>46</v>
      </c>
      <c r="C400" s="14" t="s">
        <v>8251</v>
      </c>
      <c r="D400" s="5" t="str">
        <f ca="1">IFERROR(__xludf.DUMMYFUNCTION("GOOGLETRANSLATE(B400,""ja"",""vi"")"),"nếu không thì")</f>
        <v>nếu không thì</v>
      </c>
      <c r="E400" s="4" t="str">
        <f ca="1">IFERROR(__xludf.DUMMYFUNCTION("GOOGLETRANSLATE(C400,""ja"",""vi"")"),"Đấu giá&gt; vé, chứng từ, đặt phòng khách sạn&gt; Thẻ trả trước&gt; Thẻ điện thoại&gt; Nhân vật&gt; Khác")</f>
        <v>Đấu giá&gt; vé, chứng từ, đặt phòng khách sạn&gt; Thẻ trả trước&gt; Thẻ điện thoại&gt; Nhân vật&gt; Khác</v>
      </c>
      <c r="F400" t="str">
        <f t="shared" ca="1" si="6"/>
        <v>"2084040361" : "nếu không thì",</v>
      </c>
    </row>
    <row r="401" spans="1:6" ht="15.75" customHeight="1">
      <c r="A401" s="14">
        <v>2084034193</v>
      </c>
      <c r="B401" s="14" t="s">
        <v>554</v>
      </c>
      <c r="C401" s="14" t="s">
        <v>8252</v>
      </c>
      <c r="D401" s="5" t="str">
        <f ca="1">IFERROR(__xludf.DUMMYFUNCTION("GOOGLETRANSLATE(B401,""ja"",""vi"")"),"hàng nitơ")</f>
        <v>hàng nitơ</v>
      </c>
      <c r="E401" s="4" t="str">
        <f ca="1">IFERROR(__xludf.DUMMYFUNCTION("GOOGLETRANSLATE(C401,""ja"",""vi"")"),"Đấu giá&gt; vé, chứng từ, đặt phòng khách sạn&gt; Thẻ trả trước&gt; Thẻ điện thoại&gt; truyện tranh, hoạt hình&gt; hàng nitơ")</f>
        <v>Đấu giá&gt; vé, chứng từ, đặt phòng khách sạn&gt; Thẻ trả trước&gt; Thẻ điện thoại&gt; truyện tranh, hoạt hình&gt; hàng nitơ</v>
      </c>
      <c r="F401" t="str">
        <f t="shared" ca="1" si="6"/>
        <v>"2084034193" : "hàng nitơ",</v>
      </c>
    </row>
    <row r="402" spans="1:6" ht="15.75" customHeight="1">
      <c r="A402" s="14">
        <v>2084037044</v>
      </c>
      <c r="B402" s="14" t="s">
        <v>562</v>
      </c>
      <c r="C402" s="14" t="s">
        <v>8253</v>
      </c>
      <c r="D402" s="5" t="str">
        <f ca="1">IFERROR(__xludf.DUMMYFUNCTION("GOOGLETRANSLATE(B402,""ja"",""vi"")"),"hoặc hàng")</f>
        <v>hoặc hàng</v>
      </c>
      <c r="E402" s="4" t="str">
        <f ca="1">IFERROR(__xludf.DUMMYFUNCTION("GOOGLETRANSLATE(C402,""ja"",""vi"")"),"Đấu giá&gt; vé, chứng từ, đặt phòng khách sạn&gt; Thẻ trả trước&gt; Thẻ điện thoại&gt; truyện tranh, hoạt hình&gt; hoặc hàng")</f>
        <v>Đấu giá&gt; vé, chứng từ, đặt phòng khách sạn&gt; Thẻ trả trước&gt; Thẻ điện thoại&gt; truyện tranh, hoạt hình&gt; hoặc hàng</v>
      </c>
      <c r="F402" t="str">
        <f t="shared" ca="1" si="6"/>
        <v>"2084037044" : "hoặc hàng",</v>
      </c>
    </row>
    <row r="403" spans="1:6" ht="15.75" customHeight="1">
      <c r="A403" s="14">
        <v>2084034212</v>
      </c>
      <c r="B403" s="14" t="s">
        <v>570</v>
      </c>
      <c r="C403" s="14" t="s">
        <v>8254</v>
      </c>
      <c r="D403" s="5" t="str">
        <f ca="1">IFERROR(__xludf.DUMMYFUNCTION("GOOGLETRANSLATE(B403,""ja"",""vi"")"),"Các chữ s")</f>
        <v>Các chữ s</v>
      </c>
      <c r="E403" s="4" t="str">
        <f ca="1">IFERROR(__xludf.DUMMYFUNCTION("GOOGLETRANSLATE(C403,""ja"",""vi"")"),"Đấu giá&gt; vé, chứng từ, đặt phòng khách sạn&gt; Thẻ trả trước&gt; Thẻ điện thoại&gt; truyện tranh, hoạt hình&gt; chữ s")</f>
        <v>Đấu giá&gt; vé, chứng từ, đặt phòng khách sạn&gt; Thẻ trả trước&gt; Thẻ điện thoại&gt; truyện tranh, hoạt hình&gt; chữ s</v>
      </c>
      <c r="F403" t="str">
        <f t="shared" ca="1" si="6"/>
        <v>"2084034212" : "Các chữ s",</v>
      </c>
    </row>
    <row r="404" spans="1:6" ht="15.75" customHeight="1">
      <c r="A404" s="14">
        <v>2084034221</v>
      </c>
      <c r="B404" s="14" t="s">
        <v>578</v>
      </c>
      <c r="C404" s="14" t="s">
        <v>8255</v>
      </c>
      <c r="D404" s="5" t="str">
        <f ca="1">IFERROR(__xludf.DUMMYFUNCTION("GOOGLETRANSLATE(B404,""ja"",""vi"")"),"Tagyo")</f>
        <v>Tagyo</v>
      </c>
      <c r="E404" s="4" t="str">
        <f ca="1">IFERROR(__xludf.DUMMYFUNCTION("GOOGLETRANSLATE(C404,""ja"",""vi"")"),"Đấu giá&gt; vé, chứng từ, đặt phòng khách sạn&gt; Thẻ trả trước&gt; Thẻ điện thoại&gt; truyện tranh, hoạt hình&gt; Tagyo")</f>
        <v>Đấu giá&gt; vé, chứng từ, đặt phòng khách sạn&gt; Thẻ trả trước&gt; Thẻ điện thoại&gt; truyện tranh, hoạt hình&gt; Tagyo</v>
      </c>
      <c r="F404" t="str">
        <f t="shared" ca="1" si="6"/>
        <v>"2084034221" : "Tagyo",</v>
      </c>
    </row>
    <row r="405" spans="1:6" ht="15.75" customHeight="1">
      <c r="A405" s="14">
        <v>2084034230</v>
      </c>
      <c r="B405" s="14" t="s">
        <v>587</v>
      </c>
      <c r="C405" s="14" t="s">
        <v>8256</v>
      </c>
      <c r="D405" s="5" t="str">
        <f ca="1">IFERROR(__xludf.DUMMYFUNCTION("GOOGLETRANSLATE(B405,""ja"",""vi"")"),"Một dòng")</f>
        <v>Một dòng</v>
      </c>
      <c r="E405" s="4" t="str">
        <f ca="1">IFERROR(__xludf.DUMMYFUNCTION("GOOGLETRANSLATE(C405,""ja"",""vi"")"),"Đấu giá&gt; vé, chứng từ, đặt phòng khách sạn&gt; Thẻ trả trước&gt; Thẻ điện thoại&gt; truyện tranh, hoạt hình&gt; hàng")</f>
        <v>Đấu giá&gt; vé, chứng từ, đặt phòng khách sạn&gt; Thẻ trả trước&gt; Thẻ điện thoại&gt; truyện tranh, hoạt hình&gt; hàng</v>
      </c>
      <c r="F405" t="str">
        <f t="shared" ca="1" si="6"/>
        <v>"2084034230" : "Một dòng",</v>
      </c>
    </row>
    <row r="406" spans="1:6" ht="15.75" customHeight="1">
      <c r="A406" s="14">
        <v>2084037167</v>
      </c>
      <c r="B406" s="14" t="s">
        <v>592</v>
      </c>
      <c r="C406" s="14" t="s">
        <v>8257</v>
      </c>
      <c r="D406" s="5" t="str">
        <f ca="1">IFERROR(__xludf.DUMMYFUNCTION("GOOGLETRANSLATE(B406,""ja"",""vi"")"),"hàng")</f>
        <v>hàng</v>
      </c>
      <c r="E406" s="4" t="str">
        <f ca="1">IFERROR(__xludf.DUMMYFUNCTION("GOOGLETRANSLATE(C406,""ja"",""vi"")"),"Đấu giá&gt; vé, chứng từ, đặt phòng khách sạn&gt; Thẻ trả trước&gt; Thẻ điện thoại&gt; truyện tranh, hoạt hình&gt; liên tiếp")</f>
        <v>Đấu giá&gt; vé, chứng từ, đặt phòng khách sạn&gt; Thẻ trả trước&gt; Thẻ điện thoại&gt; truyện tranh, hoạt hình&gt; liên tiếp</v>
      </c>
      <c r="F406" t="str">
        <f t="shared" ca="1" si="6"/>
        <v>"2084037167" : "hàng",</v>
      </c>
    </row>
    <row r="407" spans="1:6" ht="15.75" customHeight="1">
      <c r="A407" s="14">
        <v>2084034248</v>
      </c>
      <c r="B407" s="14" t="s">
        <v>600</v>
      </c>
      <c r="C407" s="14" t="s">
        <v>8258</v>
      </c>
      <c r="D407" s="5" t="str">
        <f ca="1">IFERROR(__xludf.DUMMYFUNCTION("GOOGLETRANSLATE(B407,""ja"",""vi"")"),"hoặc dòng")</f>
        <v>hoặc dòng</v>
      </c>
      <c r="E407" s="4" t="str">
        <f ca="1">IFERROR(__xludf.DUMMYFUNCTION("GOOGLETRANSLATE(C407,""ja"",""vi"")"),"Đấu giá&gt; vé, chứng từ, đặt phòng khách sạn&gt; Thẻ trả trước&gt; Thẻ điện thoại&gt; truyện tranh, hoạt hình&gt; hoặc hàng")</f>
        <v>Đấu giá&gt; vé, chứng từ, đặt phòng khách sạn&gt; Thẻ trả trước&gt; Thẻ điện thoại&gt; truyện tranh, hoạt hình&gt; hoặc hàng</v>
      </c>
      <c r="F407" t="str">
        <f t="shared" ca="1" si="6"/>
        <v>"2084034248" : "hoặc dòng",</v>
      </c>
    </row>
    <row r="408" spans="1:6" ht="15.75" customHeight="1">
      <c r="A408" s="14">
        <v>2084034257</v>
      </c>
      <c r="B408" s="14" t="s">
        <v>608</v>
      </c>
      <c r="C408" s="14" t="s">
        <v>8259</v>
      </c>
      <c r="D408" s="5" t="str">
        <f ca="1">IFERROR(__xludf.DUMMYFUNCTION("GOOGLETRANSLATE(B408,""ja"",""vi"")"),"hoặc hàng")</f>
        <v>hoặc hàng</v>
      </c>
      <c r="E408" s="4" t="str">
        <f ca="1">IFERROR(__xludf.DUMMYFUNCTION("GOOGLETRANSLATE(C408,""ja"",""vi"")"),"Đấu giá&gt; vé, chứng từ, đặt phòng khách sạn&gt; Thẻ trả trước&gt; Thẻ điện thoại&gt; truyện tranh, hoạt hình&gt; hoặc hàng")</f>
        <v>Đấu giá&gt; vé, chứng từ, đặt phòng khách sạn&gt; Thẻ trả trước&gt; Thẻ điện thoại&gt; truyện tranh, hoạt hình&gt; hoặc hàng</v>
      </c>
      <c r="F408" t="str">
        <f t="shared" ca="1" si="6"/>
        <v>"2084034257" : "hoặc hàng",</v>
      </c>
    </row>
    <row r="409" spans="1:6" ht="15.75" customHeight="1">
      <c r="A409" s="14">
        <v>2084034266</v>
      </c>
      <c r="B409" s="14" t="s">
        <v>689</v>
      </c>
      <c r="C409" s="14" t="s">
        <v>8260</v>
      </c>
      <c r="D409" s="5" t="str">
        <f ca="1">IFERROR(__xludf.DUMMYFUNCTION("GOOGLETRANSLATE(B409,""ja"",""vi"")"),"Racovian")</f>
        <v>Racovian</v>
      </c>
      <c r="E409" s="4" t="str">
        <f ca="1">IFERROR(__xludf.DUMMYFUNCTION("GOOGLETRANSLATE(C409,""ja"",""vi"")"),"Đấu giá&gt; vé, chứng từ, đặt phòng khách sạn&gt; Thẻ trả trước&gt; Thẻ điện thoại&gt; truyện tranh, hoạt hình&gt; Racovian")</f>
        <v>Đấu giá&gt; vé, chứng từ, đặt phòng khách sạn&gt; Thẻ trả trước&gt; Thẻ điện thoại&gt; truyện tranh, hoạt hình&gt; Racovian</v>
      </c>
      <c r="F409" t="str">
        <f t="shared" ca="1" si="6"/>
        <v>"2084034266" : "Racovian",</v>
      </c>
    </row>
    <row r="410" spans="1:6" ht="15.75" customHeight="1">
      <c r="A410" s="14">
        <v>2084034274</v>
      </c>
      <c r="B410" s="14" t="s">
        <v>696</v>
      </c>
      <c r="C410" s="14" t="s">
        <v>8261</v>
      </c>
      <c r="D410" s="5" t="str">
        <f ca="1">IFERROR(__xludf.DUMMYFUNCTION("GOOGLETRANSLATE(B410,""ja"",""vi"")"),"tôi hàng")</f>
        <v>tôi hàng</v>
      </c>
      <c r="E410" s="4" t="str">
        <f ca="1">IFERROR(__xludf.DUMMYFUNCTION("GOOGLETRANSLATE(C410,""ja"",""vi"")"),"Đấu giá&gt; vé, chứng từ, đặt phòng khách sạn&gt; Thẻ trả trước&gt; Thẻ điện thoại&gt; truyện tranh, hoạt hình&gt; Tôi dòng")</f>
        <v>Đấu giá&gt; vé, chứng từ, đặt phòng khách sạn&gt; Thẻ trả trước&gt; Thẻ điện thoại&gt; truyện tranh, hoạt hình&gt; Tôi dòng</v>
      </c>
      <c r="F410" t="str">
        <f t="shared" ca="1" si="6"/>
        <v>"2084034274" : "tôi hàng",</v>
      </c>
    </row>
    <row r="411" spans="1:6" ht="15.75" customHeight="1">
      <c r="A411" s="14">
        <v>2084005203</v>
      </c>
      <c r="B411" s="14" t="s">
        <v>5690</v>
      </c>
      <c r="C411" s="14" t="s">
        <v>8262</v>
      </c>
      <c r="D411" s="5" t="str">
        <f ca="1">IFERROR(__xludf.DUMMYFUNCTION("GOOGLETRANSLATE(B411,""ja"",""vi"")"),"đua xe")</f>
        <v>đua xe</v>
      </c>
      <c r="E411" s="4" t="str">
        <f ca="1">IFERROR(__xludf.DUMMYFUNCTION("GOOGLETRANSLATE(C411,""ja"",""vi"")"),"Đấu giá&gt; vé, chứng từ, đặt phòng khách sạn&gt; Thẻ trả trước&gt; Thẻ điện thoại&gt; Thể thao&gt; đua xe")</f>
        <v>Đấu giá&gt; vé, chứng từ, đặt phòng khách sạn&gt; Thẻ trả trước&gt; Thẻ điện thoại&gt; Thể thao&gt; đua xe</v>
      </c>
      <c r="F411" t="str">
        <f t="shared" ca="1" si="6"/>
        <v>"2084005203" : "đua xe",</v>
      </c>
    </row>
    <row r="412" spans="1:6" ht="15.75" customHeight="1">
      <c r="A412" s="14">
        <v>2084005115</v>
      </c>
      <c r="B412" s="14" t="s">
        <v>1262</v>
      </c>
      <c r="C412" s="14" t="s">
        <v>8263</v>
      </c>
      <c r="D412" s="5" t="str">
        <f ca="1">IFERROR(__xludf.DUMMYFUNCTION("GOOGLETRANSLATE(B412,""ja"",""vi"")"),"bóng đá")</f>
        <v>bóng đá</v>
      </c>
      <c r="E412" s="4" t="str">
        <f ca="1">IFERROR(__xludf.DUMMYFUNCTION("GOOGLETRANSLATE(C412,""ja"",""vi"")"),"Đấu giá&gt; vé, chứng từ, đặt phòng khách sạn&gt; Thẻ trả trước&gt; Thẻ điện thoại&gt; Thể thao&gt; Bóng đá")</f>
        <v>Đấu giá&gt; vé, chứng từ, đặt phòng khách sạn&gt; Thẻ trả trước&gt; Thẻ điện thoại&gt; Thể thao&gt; Bóng đá</v>
      </c>
      <c r="F412" t="str">
        <f t="shared" ca="1" si="6"/>
        <v>"2084005115" : "bóng đá",</v>
      </c>
    </row>
    <row r="413" spans="1:6" ht="15.75" customHeight="1">
      <c r="A413" s="14">
        <v>2084005117</v>
      </c>
      <c r="B413" s="14" t="s">
        <v>1288</v>
      </c>
      <c r="C413" s="14" t="s">
        <v>8264</v>
      </c>
      <c r="D413" s="5" t="str">
        <f ca="1">IFERROR(__xludf.DUMMYFUNCTION("GOOGLETRANSLATE(B413,""ja"",""vi"")"),"Bóng rổ")</f>
        <v>Bóng rổ</v>
      </c>
      <c r="E413" s="4" t="str">
        <f ca="1">IFERROR(__xludf.DUMMYFUNCTION("GOOGLETRANSLATE(C413,""ja"",""vi"")"),"Đấu giá&gt; vé, chứng từ, đặt phòng khách sạn&gt; Thẻ trả trước&gt; Thẻ điện thoại&gt; Thể thao&gt; Bóng rổ")</f>
        <v>Đấu giá&gt; vé, chứng từ, đặt phòng khách sạn&gt; Thẻ trả trước&gt; Thẻ điện thoại&gt; Thể thao&gt; Bóng rổ</v>
      </c>
      <c r="F413" t="str">
        <f t="shared" ca="1" si="6"/>
        <v>"2084005117" : "Bóng rổ",</v>
      </c>
    </row>
    <row r="414" spans="1:6" ht="15.75" customHeight="1">
      <c r="A414" s="14">
        <v>2084048505</v>
      </c>
      <c r="B414" s="14" t="s">
        <v>5841</v>
      </c>
      <c r="C414" s="14" t="s">
        <v>8265</v>
      </c>
      <c r="D414" s="5" t="str">
        <f ca="1">IFERROR(__xludf.DUMMYFUNCTION("GOOGLETRANSLATE(B414,""ja"",""vi"")"),"xuồng máy")</f>
        <v>xuồng máy</v>
      </c>
      <c r="E414" s="4" t="str">
        <f ca="1">IFERROR(__xludf.DUMMYFUNCTION("GOOGLETRANSLATE(C414,""ja"",""vi"")"),"Đấu giá&gt; vé, chứng từ, đặt phòng khách sạn&gt; Thẻ trả trước&gt; Thẻ điện thoại&gt; Thể thao&gt; Thuyền đua")</f>
        <v>Đấu giá&gt; vé, chứng từ, đặt phòng khách sạn&gt; Thẻ trả trước&gt; Thẻ điện thoại&gt; Thể thao&gt; Thuyền đua</v>
      </c>
      <c r="F414" t="str">
        <f t="shared" ca="1" si="6"/>
        <v>"2084048505" : "xuồng máy",</v>
      </c>
    </row>
    <row r="415" spans="1:6" ht="15.75" customHeight="1">
      <c r="A415" s="14">
        <v>2084005116</v>
      </c>
      <c r="B415" s="14" t="s">
        <v>5420</v>
      </c>
      <c r="C415" s="14" t="s">
        <v>8266</v>
      </c>
      <c r="D415" s="5" t="str">
        <f ca="1">IFERROR(__xludf.DUMMYFUNCTION("GOOGLETRANSLATE(B415,""ja"",""vi"")"),"horseracing")</f>
        <v>horseracing</v>
      </c>
      <c r="E415" s="4" t="str">
        <f ca="1">IFERROR(__xludf.DUMMYFUNCTION("GOOGLETRANSLATE(C415,""ja"",""vi"")"),"Đấu giá&gt; vé, chứng từ, đặt phòng khách sạn&gt; Thẻ trả trước&gt; Thẻ điện thoại&gt; Thể thao&gt; Đua ngựa")</f>
        <v>Đấu giá&gt; vé, chứng từ, đặt phòng khách sạn&gt; Thẻ trả trước&gt; Thẻ điện thoại&gt; Thể thao&gt; Đua ngựa</v>
      </c>
      <c r="F415" t="str">
        <f t="shared" ca="1" si="6"/>
        <v>"2084005116" : "horseracing",</v>
      </c>
    </row>
    <row r="416" spans="1:6" ht="15.75" customHeight="1">
      <c r="A416" s="14">
        <v>2084048511</v>
      </c>
      <c r="B416" s="14" t="s">
        <v>8267</v>
      </c>
      <c r="C416" s="14" t="s">
        <v>8268</v>
      </c>
      <c r="D416" s="5" t="str">
        <f ca="1">IFERROR(__xludf.DUMMYFUNCTION("GOOGLETRANSLATE(B416,""ja"",""vi"")"),"cuộc đua xe đạp")</f>
        <v>cuộc đua xe đạp</v>
      </c>
      <c r="E416" s="4" t="str">
        <f ca="1">IFERROR(__xludf.DUMMYFUNCTION("GOOGLETRANSLATE(C416,""ja"",""vi"")"),"Đấu giá&gt; vé, chứng từ, đặt phòng khách sạn&gt; Thẻ trả trước&gt; Thẻ điện thoại&gt; thể thao&gt; cuộc đua xe đạp")</f>
        <v>Đấu giá&gt; vé, chứng từ, đặt phòng khách sạn&gt; Thẻ trả trước&gt; Thẻ điện thoại&gt; thể thao&gt; cuộc đua xe đạp</v>
      </c>
      <c r="F416" t="str">
        <f t="shared" ca="1" si="6"/>
        <v>"2084048511" : "cuộc đua xe đạp",</v>
      </c>
    </row>
    <row r="417" spans="1:6" ht="15.75" customHeight="1">
      <c r="A417" s="14">
        <v>2084005114</v>
      </c>
      <c r="B417" s="14" t="s">
        <v>1319</v>
      </c>
      <c r="C417" s="14" t="s">
        <v>8269</v>
      </c>
      <c r="D417" s="5" t="str">
        <f ca="1">IFERROR(__xludf.DUMMYFUNCTION("GOOGLETRANSLATE(B417,""ja"",""vi"")"),"Bóng chày")</f>
        <v>Bóng chày</v>
      </c>
      <c r="E417" s="4" t="str">
        <f ca="1">IFERROR(__xludf.DUMMYFUNCTION("GOOGLETRANSLATE(C417,""ja"",""vi"")"),"Đấu giá&gt; vé, chứng từ, đặt phòng khách sạn&gt; Thẻ trả trước&gt; Thẻ điện thoại&gt; Thể thao&gt; Bóng chày")</f>
        <v>Đấu giá&gt; vé, chứng từ, đặt phòng khách sạn&gt; Thẻ trả trước&gt; Thẻ điện thoại&gt; Thể thao&gt; Bóng chày</v>
      </c>
      <c r="F417" t="str">
        <f t="shared" ca="1" si="6"/>
        <v>"2084005114" : "Bóng chày",</v>
      </c>
    </row>
    <row r="418" spans="1:6" ht="15.75" customHeight="1">
      <c r="A418" s="14">
        <v>2084005118</v>
      </c>
      <c r="B418" s="14" t="s">
        <v>46</v>
      </c>
      <c r="C418" s="14" t="s">
        <v>8270</v>
      </c>
      <c r="D418" s="5" t="str">
        <f ca="1">IFERROR(__xludf.DUMMYFUNCTION("GOOGLETRANSLATE(B418,""ja"",""vi"")"),"nếu không thì")</f>
        <v>nếu không thì</v>
      </c>
      <c r="E418" s="4" t="str">
        <f ca="1">IFERROR(__xludf.DUMMYFUNCTION("GOOGLETRANSLATE(C418,""ja"",""vi"")"),"Đấu giá&gt; vé, chứng từ, đặt phòng khách sạn&gt; Thẻ trả trước&gt; Thẻ điện thoại&gt; Thể thao&gt; Khác")</f>
        <v>Đấu giá&gt; vé, chứng từ, đặt phòng khách sạn&gt; Thẻ trả trước&gt; Thẻ điện thoại&gt; Thể thao&gt; Khác</v>
      </c>
      <c r="F418" t="str">
        <f t="shared" ca="1" si="6"/>
        <v>"2084005118" : "nếu không thì",</v>
      </c>
    </row>
    <row r="419" spans="1:6" ht="15.75" customHeight="1">
      <c r="A419" s="14">
        <v>2084005108</v>
      </c>
      <c r="B419" s="14" t="s">
        <v>1771</v>
      </c>
      <c r="C419" s="14" t="s">
        <v>1772</v>
      </c>
      <c r="D419" s="5" t="str">
        <f ca="1">IFERROR(__xludf.DUMMYFUNCTION("GOOGLETRANSLATE(B419,""ja"",""vi"")"),"nhóm")</f>
        <v>nhóm</v>
      </c>
      <c r="E419" s="4" t="str">
        <f ca="1">IFERROR(__xludf.DUMMYFUNCTION("GOOGLETRANSLATE(C419,""ja"",""vi"")"),"Đấu giá&gt; vé, chứng từ, đặt phòng khách sạn&gt; Thẻ trả trước&gt; Thẻ điện thoại&gt; nhạc sĩ&gt; nhóm")</f>
        <v>Đấu giá&gt; vé, chứng từ, đặt phòng khách sạn&gt; Thẻ trả trước&gt; Thẻ điện thoại&gt; nhạc sĩ&gt; nhóm</v>
      </c>
      <c r="F419" t="str">
        <f t="shared" ca="1" si="6"/>
        <v>"2084005108" : "nhóm",</v>
      </c>
    </row>
    <row r="420" spans="1:6" ht="15.75" customHeight="1">
      <c r="A420" s="14">
        <v>2084005107</v>
      </c>
      <c r="B420" s="14" t="s">
        <v>1778</v>
      </c>
      <c r="C420" s="14" t="s">
        <v>1781</v>
      </c>
      <c r="D420" s="5" t="str">
        <f ca="1">IFERROR(__xludf.DUMMYFUNCTION("GOOGLETRANSLATE(B420,""ja"",""vi"")"),"đàn bà")</f>
        <v>đàn bà</v>
      </c>
      <c r="E420" s="4" t="str">
        <f ca="1">IFERROR(__xludf.DUMMYFUNCTION("GOOGLETRANSLATE(C420,""ja"",""vi"")"),"Đấu giá&gt; vé, chứng từ, đặt phòng khách sạn&gt; Thẻ trả trước&gt; Thẻ điện thoại&gt; nhạc sĩ&gt; phụ nữ")</f>
        <v>Đấu giá&gt; vé, chứng từ, đặt phòng khách sạn&gt; Thẻ trả trước&gt; Thẻ điện thoại&gt; nhạc sĩ&gt; phụ nữ</v>
      </c>
      <c r="F420" t="str">
        <f t="shared" ca="1" si="6"/>
        <v>"2084005107" : "đàn bà",</v>
      </c>
    </row>
    <row r="421" spans="1:6" ht="15.75" customHeight="1">
      <c r="A421" s="14">
        <v>2084005106</v>
      </c>
      <c r="B421" s="14" t="s">
        <v>1787</v>
      </c>
      <c r="C421" s="14" t="s">
        <v>1789</v>
      </c>
      <c r="D421" s="5" t="str">
        <f ca="1">IFERROR(__xludf.DUMMYFUNCTION("GOOGLETRANSLATE(B421,""ja"",""vi"")"),"người")</f>
        <v>người</v>
      </c>
      <c r="E421" s="4" t="str">
        <f ca="1">IFERROR(__xludf.DUMMYFUNCTION("GOOGLETRANSLATE(C421,""ja"",""vi"")"),"Đấu giá&gt; vé, chứng từ, đặt phòng khách sạn&gt; Thẻ trả trước&gt; Thẻ điện thoại&gt; nhạc sĩ&gt; Đàn ông")</f>
        <v>Đấu giá&gt; vé, chứng từ, đặt phòng khách sạn&gt; Thẻ trả trước&gt; Thẻ điện thoại&gt; nhạc sĩ&gt; Đàn ông</v>
      </c>
      <c r="F421" t="str">
        <f t="shared" ca="1" si="6"/>
        <v>"2084005106" : "người",</v>
      </c>
    </row>
    <row r="422" spans="1:6" ht="15.75" customHeight="1">
      <c r="A422" s="14">
        <v>2084039834</v>
      </c>
      <c r="B422" s="14" t="s">
        <v>3835</v>
      </c>
      <c r="C422" s="14" t="s">
        <v>6219</v>
      </c>
      <c r="D422" s="5" t="str">
        <f ca="1">IFERROR(__xludf.DUMMYFUNCTION("GOOGLETRANSLATE(B422,""ja"",""vi"")"),"SF, Viễn tưởng")</f>
        <v>SF, Viễn tưởng</v>
      </c>
      <c r="E422" s="4" t="str">
        <f ca="1">IFERROR(__xludf.DUMMYFUNCTION("GOOGLETRANSLATE(C422,""ja"",""vi"")"),"Đấu giá&gt; vé, chứng từ, đặt phòng khách sạn&gt; Thẻ trả trước&gt; Thẻ điện thoại&gt; phim&gt; SF, Viễn tưởng")</f>
        <v>Đấu giá&gt; vé, chứng từ, đặt phòng khách sạn&gt; Thẻ trả trước&gt; Thẻ điện thoại&gt; phim&gt; SF, Viễn tưởng</v>
      </c>
      <c r="F422" t="str">
        <f t="shared" ca="1" si="6"/>
        <v>"2084039834" : "SF, Viễn tưởng",</v>
      </c>
    </row>
    <row r="423" spans="1:6" ht="15.75" customHeight="1">
      <c r="A423" s="14">
        <v>2084039836</v>
      </c>
      <c r="B423" s="14" t="s">
        <v>3842</v>
      </c>
      <c r="C423" s="14" t="s">
        <v>6221</v>
      </c>
      <c r="D423" s="5" t="str">
        <f ca="1">IFERROR(__xludf.DUMMYFUNCTION("GOOGLETRANSLATE(B423,""ja"",""vi"")"),"Hành động, phiêu lưu")</f>
        <v>Hành động, phiêu lưu</v>
      </c>
      <c r="E423" s="4" t="str">
        <f ca="1">IFERROR(__xludf.DUMMYFUNCTION("GOOGLETRANSLATE(C423,""ja"",""vi"")"),"Đấu giá&gt; vé, chứng từ, đặt phòng khách sạn&gt; Thẻ trả trước&gt; Thẻ điện thoại&gt; phim&gt; hành động, phiêu lưu")</f>
        <v>Đấu giá&gt; vé, chứng từ, đặt phòng khách sạn&gt; Thẻ trả trước&gt; Thẻ điện thoại&gt; phim&gt; hành động, phiêu lưu</v>
      </c>
      <c r="F423" t="str">
        <f t="shared" ca="1" si="6"/>
        <v>"2084039836" : "Hành động, phiêu lưu",</v>
      </c>
    </row>
    <row r="424" spans="1:6" ht="15.75" customHeight="1">
      <c r="A424" s="14">
        <v>2084039837</v>
      </c>
      <c r="B424" s="14" t="s">
        <v>3855</v>
      </c>
      <c r="C424" s="14" t="s">
        <v>6223</v>
      </c>
      <c r="D424" s="5" t="str">
        <f ca="1">IFERROR(__xludf.DUMMYFUNCTION("GOOGLETRANSLATE(B424,""ja"",""vi"")"),"hài kịch")</f>
        <v>hài kịch</v>
      </c>
      <c r="E424" s="4" t="str">
        <f ca="1">IFERROR(__xludf.DUMMYFUNCTION("GOOGLETRANSLATE(C424,""ja"",""vi"")"),"Đấu giá&gt; vé, chứng từ, đặt phòng khách sạn&gt; Thẻ trả trước&gt; Thẻ điện thoại&gt; Điện ảnh&gt; Comedy")</f>
        <v>Đấu giá&gt; vé, chứng từ, đặt phòng khách sạn&gt; Thẻ trả trước&gt; Thẻ điện thoại&gt; Điện ảnh&gt; Comedy</v>
      </c>
      <c r="F424" t="str">
        <f t="shared" ca="1" si="6"/>
        <v>"2084039837" : "hài kịch",</v>
      </c>
    </row>
    <row r="425" spans="1:6" ht="15.75" customHeight="1">
      <c r="A425" s="14">
        <v>2084039839</v>
      </c>
      <c r="B425" s="14" t="s">
        <v>5590</v>
      </c>
      <c r="C425" s="14" t="s">
        <v>6226</v>
      </c>
      <c r="D425" s="5" t="str">
        <f ca="1">IFERROR(__xludf.DUMMYFUNCTION("GOOGLETRANSLATE(B425,""ja"",""vi"")"),"Phim tài liệu")</f>
        <v>Phim tài liệu</v>
      </c>
      <c r="E425" s="4" t="str">
        <f ca="1">IFERROR(__xludf.DUMMYFUNCTION("GOOGLETRANSLATE(C425,""ja"",""vi"")"),"Đấu giá&gt; vé, chứng từ, đặt phòng khách sạn&gt; Thẻ trả trước&gt; Thẻ điện thoại&gt; phim&gt; phim tài liệu")</f>
        <v>Đấu giá&gt; vé, chứng từ, đặt phòng khách sạn&gt; Thẻ trả trước&gt; Thẻ điện thoại&gt; phim&gt; phim tài liệu</v>
      </c>
      <c r="F425" t="str">
        <f t="shared" ca="1" si="6"/>
        <v>"2084039839" : "Phim tài liệu",</v>
      </c>
    </row>
    <row r="426" spans="1:6" ht="15.75" customHeight="1">
      <c r="A426" s="14">
        <v>2084039840</v>
      </c>
      <c r="B426" s="14" t="s">
        <v>6212</v>
      </c>
      <c r="C426" s="14" t="s">
        <v>6228</v>
      </c>
      <c r="D426" s="5" t="str">
        <f ca="1">IFERROR(__xludf.DUMMYFUNCTION("GOOGLETRANSLATE(B426,""ja"",""vi"")"),"Kinh dị, hồi hộp")</f>
        <v>Kinh dị, hồi hộp</v>
      </c>
      <c r="E426" s="4" t="str">
        <f ca="1">IFERROR(__xludf.DUMMYFUNCTION("GOOGLETRANSLATE(C426,""ja"",""vi"")"),"Đấu giá&gt; vé, chứng từ, đặt phòng khách sạn&gt; Thẻ trả trước&gt; Thẻ điện thoại&gt; phim&gt; kinh dị, hồi hộp")</f>
        <v>Đấu giá&gt; vé, chứng từ, đặt phòng khách sạn&gt; Thẻ trả trước&gt; Thẻ điện thoại&gt; phim&gt; kinh dị, hồi hộp</v>
      </c>
      <c r="F426" t="str">
        <f t="shared" ca="1" si="6"/>
        <v>"2084039840" : "Kinh dị, hồi hộp",</v>
      </c>
    </row>
    <row r="427" spans="1:6" ht="15.75" customHeight="1">
      <c r="A427" s="14">
        <v>2084039838</v>
      </c>
      <c r="B427" s="14" t="s">
        <v>1207</v>
      </c>
      <c r="C427" s="14" t="s">
        <v>6231</v>
      </c>
      <c r="D427" s="5" t="str">
        <f ca="1">IFERROR(__xludf.DUMMYFUNCTION("GOOGLETRANSLATE(B427,""ja"",""vi"")"),"nhạc")</f>
        <v>nhạc</v>
      </c>
      <c r="E427" s="4" t="str">
        <f ca="1">IFERROR(__xludf.DUMMYFUNCTION("GOOGLETRANSLATE(C427,""ja"",""vi"")"),"Đấu giá&gt; vé, chứng từ, đặt phòng khách sạn&gt; Thẻ trả trước&gt; Thẻ điện thoại&gt; phim&gt; Nhạc")</f>
        <v>Đấu giá&gt; vé, chứng từ, đặt phòng khách sạn&gt; Thẻ trả trước&gt; Thẻ điện thoại&gt; phim&gt; Nhạc</v>
      </c>
      <c r="F427" t="str">
        <f t="shared" ca="1" si="6"/>
        <v>"2084039838" : "nhạc",</v>
      </c>
    </row>
    <row r="428" spans="1:6" ht="15.75" customHeight="1">
      <c r="A428" s="14">
        <v>2084039835</v>
      </c>
      <c r="B428" s="14" t="s">
        <v>46</v>
      </c>
      <c r="C428" s="14" t="s">
        <v>6234</v>
      </c>
      <c r="D428" s="5" t="str">
        <f ca="1">IFERROR(__xludf.DUMMYFUNCTION("GOOGLETRANSLATE(B428,""ja"",""vi"")"),"nếu không thì")</f>
        <v>nếu không thì</v>
      </c>
      <c r="E428" s="4" t="str">
        <f ca="1">IFERROR(__xludf.DUMMYFUNCTION("GOOGLETRANSLATE(C428,""ja"",""vi"")"),"Đấu giá&gt; vé, chứng từ, đặt phòng khách sạn&gt; Thẻ trả trước&gt; Thẻ điện thoại&gt; Điện ảnh&gt; Khác")</f>
        <v>Đấu giá&gt; vé, chứng từ, đặt phòng khách sạn&gt; Thẻ trả trước&gt; Thẻ điện thoại&gt; Điện ảnh&gt; Khác</v>
      </c>
      <c r="F428" t="str">
        <f t="shared" ca="1" si="6"/>
        <v>"2084039835" : "nếu không thì",</v>
      </c>
    </row>
    <row r="429" spans="1:6" ht="15.75" customHeight="1">
      <c r="A429" s="14">
        <v>2084005112</v>
      </c>
      <c r="B429" s="14" t="s">
        <v>1771</v>
      </c>
      <c r="C429" s="14" t="s">
        <v>8292</v>
      </c>
      <c r="D429" s="5" t="str">
        <f ca="1">IFERROR(__xludf.DUMMYFUNCTION("GOOGLETRANSLATE(B429,""ja"",""vi"")"),"nhóm")</f>
        <v>nhóm</v>
      </c>
      <c r="E429" s="4" t="str">
        <f ca="1">IFERROR(__xludf.DUMMYFUNCTION("GOOGLETRANSLATE(C429,""ja"",""vi"")"),"Đấu giá&gt; vé, chứng từ, đặt phòng khách sạn&gt; Thẻ trả trước&gt; Thẻ điện thoại&gt; giải trí, tài năng&gt; Nhóm")</f>
        <v>Đấu giá&gt; vé, chứng từ, đặt phòng khách sạn&gt; Thẻ trả trước&gt; Thẻ điện thoại&gt; giải trí, tài năng&gt; Nhóm</v>
      </c>
      <c r="F429" t="str">
        <f t="shared" ca="1" si="6"/>
        <v>"2084005112" : "nhóm",</v>
      </c>
    </row>
    <row r="430" spans="1:6" ht="15.75" customHeight="1">
      <c r="A430" s="14">
        <v>2084005111</v>
      </c>
      <c r="B430" s="14" t="s">
        <v>6389</v>
      </c>
      <c r="C430" s="14" t="s">
        <v>8295</v>
      </c>
      <c r="D430" s="5" t="str">
        <f ca="1">IFERROR(__xludf.DUMMYFUNCTION("GOOGLETRANSLATE(B430,""ja"",""vi"")"),"tài năng nữ")</f>
        <v>tài năng nữ</v>
      </c>
      <c r="E430" s="4" t="str">
        <f ca="1">IFERROR(__xludf.DUMMYFUNCTION("GOOGLETRANSLATE(C430,""ja"",""vi"")"),"Đấu giá&gt; vé, chứng từ, đặt phòng khách sạn&gt; Thẻ trả trước&gt; Thẻ điện thoại&gt; giải trí, tài năng&gt; tài năng nữ")</f>
        <v>Đấu giá&gt; vé, chứng từ, đặt phòng khách sạn&gt; Thẻ trả trước&gt; Thẻ điện thoại&gt; giải trí, tài năng&gt; tài năng nữ</v>
      </c>
      <c r="F430" t="str">
        <f t="shared" ca="1" si="6"/>
        <v>"2084005111" : "tài năng nữ",</v>
      </c>
    </row>
    <row r="431" spans="1:6" ht="15.75" customHeight="1">
      <c r="A431" s="14">
        <v>2084005110</v>
      </c>
      <c r="B431" s="14" t="s">
        <v>6396</v>
      </c>
      <c r="C431" s="14" t="s">
        <v>8299</v>
      </c>
      <c r="D431" s="5" t="str">
        <f ca="1">IFERROR(__xludf.DUMMYFUNCTION("GOOGLETRANSLATE(B431,""ja"",""vi"")"),"Nam Talent")</f>
        <v>Nam Talent</v>
      </c>
      <c r="E431" s="4" t="str">
        <f ca="1">IFERROR(__xludf.DUMMYFUNCTION("GOOGLETRANSLATE(C431,""ja"",""vi"")"),"Đấu giá&gt; vé, chứng từ, đặt phòng khách sạn&gt; Thẻ trả trước&gt; Thẻ điện thoại&gt; giải trí, Talent&gt; Nam Talent")</f>
        <v>Đấu giá&gt; vé, chứng từ, đặt phòng khách sạn&gt; Thẻ trả trước&gt; Thẻ điện thoại&gt; giải trí, Talent&gt; Nam Talent</v>
      </c>
      <c r="F431" t="str">
        <f t="shared" ca="1" si="6"/>
        <v>"2084005110" : "Nam Talent",</v>
      </c>
    </row>
    <row r="432" spans="1:6" ht="15.75" customHeight="1">
      <c r="A432" s="14">
        <v>2084040574</v>
      </c>
      <c r="B432" s="14" t="s">
        <v>2664</v>
      </c>
      <c r="C432" s="14" t="s">
        <v>2666</v>
      </c>
      <c r="D432" s="5" t="str">
        <f ca="1">IFERROR(__xludf.DUMMYFUNCTION("GOOGLETRANSLATE(B432,""ja"",""vi"")"),"AKIRA")</f>
        <v>AKIRA</v>
      </c>
      <c r="E432" s="4" t="str">
        <f ca="1">IFERROR(__xludf.DUMMYFUNCTION("GOOGLETRANSLATE(C432,""ja"",""vi"")"),"Đấu giá&gt; đồ chơi, trò chơi&gt; hình&gt; truyện tranh, hoạt hình&gt; AKIRA")</f>
        <v>Đấu giá&gt; đồ chơi, trò chơi&gt; hình&gt; truyện tranh, hoạt hình&gt; AKIRA</v>
      </c>
      <c r="F432" t="str">
        <f t="shared" ca="1" si="6"/>
        <v>"2084040574" : "AKIRA",</v>
      </c>
    </row>
    <row r="433" spans="1:6" ht="15.75" customHeight="1">
      <c r="A433" s="14">
        <v>2084305367</v>
      </c>
      <c r="B433" s="14" t="s">
        <v>2675</v>
      </c>
      <c r="C433" s="14" t="s">
        <v>2676</v>
      </c>
      <c r="D433" s="5" t="str">
        <f ca="1">IFERROR(__xludf.DUMMYFUNCTION("GOOGLETRANSLATE(B433,""ja"",""vi"")"),"IS &lt;Infinite Stratos&gt;")</f>
        <v>IS &lt;Infinite Stratos&gt;</v>
      </c>
      <c r="E433" s="4" t="str">
        <f ca="1">IFERROR(__xludf.DUMMYFUNCTION("GOOGLETRANSLATE(C433,""ja"",""vi"")"),"Đấu giá&gt; đồ chơi, trò chơi&gt; hình&gt; truyện tranh, hoạt hình&gt; IS &lt;Infinite Stratos&gt;")</f>
        <v>Đấu giá&gt; đồ chơi, trò chơi&gt; hình&gt; truyện tranh, hoạt hình&gt; IS &lt;Infinite Stratos&gt;</v>
      </c>
      <c r="F433" t="str">
        <f t="shared" ca="1" si="6"/>
        <v>"2084305367" : "IS &lt;Infinite Stratos&gt;",</v>
      </c>
    </row>
    <row r="434" spans="1:6" ht="15.75" customHeight="1">
      <c r="A434" s="14">
        <v>2084023784</v>
      </c>
      <c r="B434" s="14" t="s">
        <v>122</v>
      </c>
      <c r="C434" s="14" t="s">
        <v>2682</v>
      </c>
      <c r="D434" s="5" t="str">
        <f ca="1">IFERROR(__xludf.DUMMYFUNCTION("GOOGLETRANSLATE(B434,""ja"",""vi"")"),"Urusei Yatsura")</f>
        <v>Urusei Yatsura</v>
      </c>
      <c r="E434" s="4" t="str">
        <f ca="1">IFERROR(__xludf.DUMMYFUNCTION("GOOGLETRANSLATE(C434,""ja"",""vi"")"),"Đấu giá&gt; đồ chơi, trò chơi&gt; hình&gt; truyện tranh, hoạt hình&gt; Urusei Yatsura")</f>
        <v>Đấu giá&gt; đồ chơi, trò chơi&gt; hình&gt; truyện tranh, hoạt hình&gt; Urusei Yatsura</v>
      </c>
      <c r="F434" t="str">
        <f t="shared" ca="1" si="6"/>
        <v>"2084023784" : "Urusei Yatsura",</v>
      </c>
    </row>
    <row r="435" spans="1:6" ht="15.75" customHeight="1">
      <c r="A435" s="14">
        <v>2084222804</v>
      </c>
      <c r="B435" s="14" t="s">
        <v>2687</v>
      </c>
      <c r="C435" s="14" t="s">
        <v>2688</v>
      </c>
      <c r="D435" s="5" t="str">
        <f ca="1">IFERROR(__xludf.DUMMYFUNCTION("GOOGLETRANSLATE(B435,""ja"",""vi"")"),"Ikki")</f>
        <v>Ikki</v>
      </c>
      <c r="E435" s="4" t="str">
        <f ca="1">IFERROR(__xludf.DUMMYFUNCTION("GOOGLETRANSLATE(C435,""ja"",""vi"")"),"Đấu giá&gt; đồ chơi, trò chơi&gt; hình&gt; truyện tranh, hoạt hình&gt; Ikki")</f>
        <v>Đấu giá&gt; đồ chơi, trò chơi&gt; hình&gt; truyện tranh, hoạt hình&gt; Ikki</v>
      </c>
      <c r="F435" t="str">
        <f t="shared" ca="1" si="6"/>
        <v>"2084222804" : "Ikki",</v>
      </c>
    </row>
    <row r="436" spans="1:6" ht="15.75" customHeight="1">
      <c r="A436" s="14">
        <v>2084040580</v>
      </c>
      <c r="B436" s="14" t="s">
        <v>273</v>
      </c>
      <c r="C436" s="14" t="s">
        <v>2692</v>
      </c>
      <c r="D436" s="5" t="str">
        <f ca="1">IFERROR(__xludf.DUMMYFUNCTION("GOOGLETRANSLATE(B436,""ja"",""vi"")"),"Space Battleship Yamato")</f>
        <v>Space Battleship Yamato</v>
      </c>
      <c r="E436" s="4" t="str">
        <f ca="1">IFERROR(__xludf.DUMMYFUNCTION("GOOGLETRANSLATE(C436,""ja"",""vi"")"),"Đấu giá&gt; đồ chơi, trò chơi&gt; hình&gt; truyện tranh, hoạt hình&gt; Space Battleship Yamato")</f>
        <v>Đấu giá&gt; đồ chơi, trò chơi&gt; hình&gt; truyện tranh, hoạt hình&gt; Space Battleship Yamato</v>
      </c>
      <c r="F436" t="str">
        <f t="shared" ca="1" si="6"/>
        <v>"2084040580" : "Space Battleship Yamato",</v>
      </c>
    </row>
    <row r="437" spans="1:6" ht="15.75" customHeight="1">
      <c r="A437" s="14">
        <v>2084315983</v>
      </c>
      <c r="B437" s="14" t="s">
        <v>148</v>
      </c>
      <c r="C437" s="14" t="s">
        <v>2698</v>
      </c>
      <c r="D437" s="5" t="str">
        <f ca="1">IFERROR(__xludf.DUMMYFUNCTION("GOOGLETRANSLATE(B437,""ja"",""vi"")"),"Osomatsu của")</f>
        <v>Osomatsu của</v>
      </c>
      <c r="E437" s="4" t="str">
        <f ca="1">IFERROR(__xludf.DUMMYFUNCTION("GOOGLETRANSLATE(C437,""ja"",""vi"")"),"Đấu giá&gt; đồ chơi, trò chơi&gt; hình&gt; truyện tranh, hoạt hình&gt; Osomatsu của")</f>
        <v>Đấu giá&gt; đồ chơi, trò chơi&gt; hình&gt; truyện tranh, hoạt hình&gt; Osomatsu của</v>
      </c>
      <c r="F437" t="str">
        <f t="shared" ca="1" si="6"/>
        <v>"2084315983" : "Osomatsu của",</v>
      </c>
    </row>
    <row r="438" spans="1:6" ht="15.75" customHeight="1">
      <c r="A438" s="14">
        <v>2084305368</v>
      </c>
      <c r="B438" s="14" t="s">
        <v>2702</v>
      </c>
      <c r="C438" s="14" t="s">
        <v>2705</v>
      </c>
      <c r="D438" s="5" t="str">
        <f ca="1">IFERROR(__xludf.DUMMYFUNCTION("GOOGLETRANSLATE(B438,""ja"",""vi"")"),"Chị không có lý do rất dễ thương")</f>
        <v>Chị không có lý do rất dễ thương</v>
      </c>
      <c r="E438" s="4" t="str">
        <f ca="1">IFERROR(__xludf.DUMMYFUNCTION("GOOGLETRANSLATE(C438,""ja"",""vi"")"),"Đấu giá&gt; đồ chơi, trò chơi&gt; hình&gt; truyện tranh, hoạt hình&gt; chị không có lý do rất dễ thương")</f>
        <v>Đấu giá&gt; đồ chơi, trò chơi&gt; hình&gt; truyện tranh, hoạt hình&gt; chị không có lý do rất dễ thương</v>
      </c>
      <c r="F438" t="str">
        <f t="shared" ca="1" si="6"/>
        <v>"2084305368" : "Chị không có lý do rất dễ thương",</v>
      </c>
    </row>
    <row r="439" spans="1:6" ht="15.75" customHeight="1">
      <c r="A439" s="14">
        <v>2084259896</v>
      </c>
      <c r="B439" s="14" t="s">
        <v>372</v>
      </c>
      <c r="C439" s="14" t="s">
        <v>2713</v>
      </c>
      <c r="D439" s="5" t="str">
        <f ca="1">IFERROR(__xludf.DUMMYFUNCTION("GOOGLETRANSLATE(B439,""ja"",""vi"")"),"K-ON!")</f>
        <v>K-ON!</v>
      </c>
      <c r="E439" s="4" t="str">
        <f ca="1">IFERROR(__xludf.DUMMYFUNCTION("GOOGLETRANSLATE(C439,""ja"",""vi"")"),"Đấu giá&gt; đồ chơi, trò chơi&gt; hình&gt; truyện tranh, phim hoạt hình&gt; K-ON!")</f>
        <v>Đấu giá&gt; đồ chơi, trò chơi&gt; hình&gt; truyện tranh, phim hoạt hình&gt; K-ON!</v>
      </c>
      <c r="F439" t="str">
        <f t="shared" ca="1" si="6"/>
        <v>"2084259896" : "K-ON!",</v>
      </c>
    </row>
    <row r="440" spans="1:6" ht="15.75" customHeight="1">
      <c r="A440" s="14">
        <v>2084023728</v>
      </c>
      <c r="B440" s="14" t="s">
        <v>436</v>
      </c>
      <c r="C440" s="14" t="s">
        <v>2718</v>
      </c>
      <c r="D440" s="5" t="str">
        <f ca="1">IFERROR(__xludf.DUMMYFUNCTION("GOOGLETRANSLATE(B440,""ja"",""vi"")"),"Gundam")</f>
        <v>Gundam</v>
      </c>
      <c r="E440" s="4" t="str">
        <f ca="1">IFERROR(__xludf.DUMMYFUNCTION("GOOGLETRANSLATE(C440,""ja"",""vi"")"),"Đấu giá&gt; đồ chơi, trò chơi&gt; hình&gt; truyện tranh, phim hoạt hình&gt; Gundam")</f>
        <v>Đấu giá&gt; đồ chơi, trò chơi&gt; hình&gt; truyện tranh, phim hoạt hình&gt; Gundam</v>
      </c>
      <c r="F440" t="str">
        <f t="shared" ca="1" si="6"/>
        <v>"2084023728" : "Gundam",</v>
      </c>
    </row>
    <row r="441" spans="1:6" ht="15.75" customHeight="1">
      <c r="A441" s="14">
        <v>2084040582</v>
      </c>
      <c r="B441" s="14" t="s">
        <v>482</v>
      </c>
      <c r="C441" s="14" t="s">
        <v>2724</v>
      </c>
      <c r="D441" s="5" t="str">
        <f ca="1">IFERROR(__xludf.DUMMYFUNCTION("GOOGLETRANSLATE(B441,""ja"",""vi"")"),"Cutie Honey")</f>
        <v>Cutie Honey</v>
      </c>
      <c r="E441" s="4" t="str">
        <f ca="1">IFERROR(__xludf.DUMMYFUNCTION("GOOGLETRANSLATE(C441,""ja"",""vi"")"),"Đấu giá&gt; đồ chơi, trò chơi&gt; hình&gt; truyện tranh, hoạt hình&gt; Cutie Honey")</f>
        <v>Đấu giá&gt; đồ chơi, trò chơi&gt; hình&gt; truyện tranh, hoạt hình&gt; Cutie Honey</v>
      </c>
      <c r="F441" t="str">
        <f t="shared" ca="1" si="6"/>
        <v>"2084040582" : "Cutie Honey",</v>
      </c>
    </row>
    <row r="442" spans="1:6" ht="15.75" customHeight="1">
      <c r="A442" s="14">
        <v>2084023766</v>
      </c>
      <c r="B442" s="14" t="s">
        <v>489</v>
      </c>
      <c r="C442" s="14" t="s">
        <v>2730</v>
      </c>
      <c r="D442" s="5" t="str">
        <f ca="1">IFERROR(__xludf.DUMMYFUNCTION("GOOGLETRANSLATE(B442,""ja"",""vi"")"),"Kinnikuman")</f>
        <v>Kinnikuman</v>
      </c>
      <c r="E442" s="4" t="str">
        <f ca="1">IFERROR(__xludf.DUMMYFUNCTION("GOOGLETRANSLATE(C442,""ja"",""vi"")"),"Đấu giá&gt; đồ chơi, trò chơi&gt; hình&gt; truyện tranh, phim hoạt hình&gt; Kinnikuman")</f>
        <v>Đấu giá&gt; đồ chơi, trò chơi&gt; hình&gt; truyện tranh, phim hoạt hình&gt; Kinnikuman</v>
      </c>
      <c r="F442" t="str">
        <f t="shared" ca="1" si="6"/>
        <v>"2084023766" : "Kinnikuman",</v>
      </c>
    </row>
    <row r="443" spans="1:6" ht="15.75" customHeight="1">
      <c r="A443" s="14">
        <v>2084236114</v>
      </c>
      <c r="B443" s="14" t="s">
        <v>2736</v>
      </c>
      <c r="C443" s="14" t="s">
        <v>2738</v>
      </c>
      <c r="D443" s="5" t="str">
        <f ca="1">IFERROR(__xludf.DUMMYFUNCTION("GOOGLETRANSLATE(B443,""ja"",""vi"")"),"Đóng WORST")</f>
        <v>Đóng WORST</v>
      </c>
      <c r="E443" s="4" t="str">
        <f ca="1">IFERROR(__xludf.DUMMYFUNCTION("GOOGLETRANSLATE(C443,""ja"",""vi"")"),"Đấu giá&gt; đồ chơi, trò chơi&gt; hình&gt; truyện tranh, hoạt hình&gt; close WORST")</f>
        <v>Đấu giá&gt; đồ chơi, trò chơi&gt; hình&gt; truyện tranh, hoạt hình&gt; close WORST</v>
      </c>
      <c r="F443" t="str">
        <f t="shared" ca="1" si="6"/>
        <v>"2084236114" : "Đóng WORST",</v>
      </c>
    </row>
    <row r="444" spans="1:6" ht="15.75" customHeight="1">
      <c r="A444" s="14">
        <v>2084062241</v>
      </c>
      <c r="B444" s="14" t="s">
        <v>2743</v>
      </c>
      <c r="C444" s="14" t="s">
        <v>2745</v>
      </c>
      <c r="D444" s="5" t="str">
        <f ca="1">IFERROR(__xludf.DUMMYFUNCTION("GOOGLETRANSLATE(B444,""ja"",""vi"")"),"Keroro")</f>
        <v>Keroro</v>
      </c>
      <c r="E444" s="4" t="str">
        <f ca="1">IFERROR(__xludf.DUMMYFUNCTION("GOOGLETRANSLATE(C444,""ja"",""vi"")"),"Đấu giá&gt; đồ chơi, trò chơi&gt; hình&gt; truyện tranh, hoạt hình&gt; Trung sĩ Keroro")</f>
        <v>Đấu giá&gt; đồ chơi, trò chơi&gt; hình&gt; truyện tranh, hoạt hình&gt; Trung sĩ Keroro</v>
      </c>
      <c r="F444" t="str">
        <f t="shared" ca="1" si="6"/>
        <v>"2084062241" : "Keroro",</v>
      </c>
    </row>
    <row r="445" spans="1:6" ht="15.75" customHeight="1">
      <c r="A445" s="14">
        <v>2084236120</v>
      </c>
      <c r="B445" s="14" t="s">
        <v>2751</v>
      </c>
      <c r="C445" s="14" t="s">
        <v>2752</v>
      </c>
      <c r="D445" s="5" t="str">
        <f ca="1">IFERROR(__xludf.DUMMYFUNCTION("GOOGLETRANSLATE(B445,""ja"",""vi"")"),"Code Geass")</f>
        <v>Code Geass</v>
      </c>
      <c r="E445" s="4" t="str">
        <f ca="1">IFERROR(__xludf.DUMMYFUNCTION("GOOGLETRANSLATE(C445,""ja"",""vi"")"),"Đấu giá&gt; đồ chơi, trò chơi&gt; hình&gt; truyện tranh, hoạt hình&gt; Code Geass")</f>
        <v>Đấu giá&gt; đồ chơi, trò chơi&gt; hình&gt; truyện tranh, hoạt hình&gt; Code Geass</v>
      </c>
      <c r="F445" t="str">
        <f t="shared" ca="1" si="6"/>
        <v>"2084236120" : "Code Geass",</v>
      </c>
    </row>
    <row r="446" spans="1:6" ht="15.75" customHeight="1">
      <c r="A446" s="14">
        <v>2084236116</v>
      </c>
      <c r="B446" s="14" t="s">
        <v>2758</v>
      </c>
      <c r="C446" s="14" t="s">
        <v>2760</v>
      </c>
      <c r="D446" s="5" t="str">
        <f ca="1">IFERROR(__xludf.DUMMYFUNCTION("GOOGLETRANSLATE(B446,""ja"",""vi"")"),"Hitman Reborn!")</f>
        <v>Hitman Reborn!</v>
      </c>
      <c r="E446" s="4" t="str">
        <f ca="1">IFERROR(__xludf.DUMMYFUNCTION("GOOGLETRANSLATE(C446,""ja"",""vi"")"),"Đấu giá&gt; đồ chơi, trò chơi&gt; hình&gt; truyện tranh, hoạt hình&gt; Hitman Reborn!")</f>
        <v>Đấu giá&gt; đồ chơi, trò chơi&gt; hình&gt; truyện tranh, hoạt hình&gt; Hitman Reborn!</v>
      </c>
      <c r="F446" t="str">
        <f t="shared" ca="1" si="6"/>
        <v>"2084236116" : "Hitman Reborn!",</v>
      </c>
    </row>
    <row r="447" spans="1:6" ht="15.75" customHeight="1">
      <c r="A447" s="14">
        <v>2084236106</v>
      </c>
      <c r="B447" s="14" t="s">
        <v>613</v>
      </c>
      <c r="C447" s="14" t="s">
        <v>2766</v>
      </c>
      <c r="D447" s="5" t="str">
        <f ca="1">IFERROR(__xludf.DUMMYFUNCTION("GOOGLETRANSLATE(B447,""ja"",""vi"")"),"Gintama")</f>
        <v>Gintama</v>
      </c>
      <c r="E447" s="4" t="str">
        <f ca="1">IFERROR(__xludf.DUMMYFUNCTION("GOOGLETRANSLATE(C447,""ja"",""vi"")"),"Đấu giá&gt; đồ chơi, trò chơi&gt; hình&gt; truyện tranh, phim hoạt hình&gt; Gintama")</f>
        <v>Đấu giá&gt; đồ chơi, trò chơi&gt; hình&gt; truyện tranh, phim hoạt hình&gt; Gintama</v>
      </c>
      <c r="F447" t="str">
        <f t="shared" ca="1" si="6"/>
        <v>"2084236106" : "Gintama",</v>
      </c>
    </row>
    <row r="448" spans="1:6" ht="15.75" customHeight="1">
      <c r="A448" s="14">
        <v>2084040583</v>
      </c>
      <c r="B448" s="14" t="s">
        <v>734</v>
      </c>
      <c r="C448" s="14" t="s">
        <v>2774</v>
      </c>
      <c r="D448" s="5" t="str">
        <f ca="1">IFERROR(__xludf.DUMMYFUNCTION("GOOGLETRANSLATE(B448,""ja"",""vi"")"),"Bizarre Adventure JoJo")</f>
        <v>Bizarre Adventure JoJo</v>
      </c>
      <c r="E448" s="4" t="str">
        <f ca="1">IFERROR(__xludf.DUMMYFUNCTION("GOOGLETRANSLATE(C448,""ja"",""vi"")"),"Đấu giá&gt; đồ chơi, trò chơi&gt; hình&gt; truyện tranh, phim hoạt hình&gt; Bizarre Adventure JoJo")</f>
        <v>Đấu giá&gt; đồ chơi, trò chơi&gt; hình&gt; truyện tranh, phim hoạt hình&gt; Bizarre Adventure JoJo</v>
      </c>
      <c r="F448" t="str">
        <f t="shared" ca="1" si="6"/>
        <v>"2084040583" : "Bizarre Adventure JoJo",</v>
      </c>
    </row>
    <row r="449" spans="1:6" ht="15.75" customHeight="1">
      <c r="A449" s="14">
        <v>2084305376</v>
      </c>
      <c r="B449" s="14" t="s">
        <v>741</v>
      </c>
      <c r="C449" s="14" t="s">
        <v>2781</v>
      </c>
      <c r="D449" s="5" t="str">
        <f ca="1">IFERROR(__xludf.DUMMYFUNCTION("GOOGLETRANSLATE(B449,""ja"",""vi"")"),"Strike Witches")</f>
        <v>Strike Witches</v>
      </c>
      <c r="E449" s="4" t="str">
        <f ca="1">IFERROR(__xludf.DUMMYFUNCTION("GOOGLETRANSLATE(C449,""ja"",""vi"")"),"Đấu giá&gt; đồ chơi, trò chơi&gt; hình&gt; truyện tranh, hoạt hình&gt; Strike Witches")</f>
        <v>Đấu giá&gt; đồ chơi, trò chơi&gt; hình&gt; truyện tranh, hoạt hình&gt; Strike Witches</v>
      </c>
      <c r="F449" t="str">
        <f t="shared" ca="1" si="6"/>
        <v>"2084305376" : "Strike Witches",</v>
      </c>
    </row>
    <row r="450" spans="1:6" ht="15.75" customHeight="1">
      <c r="A450" s="14">
        <v>2084236111</v>
      </c>
      <c r="B450" s="14" t="s">
        <v>2790</v>
      </c>
      <c r="C450" s="14" t="s">
        <v>2791</v>
      </c>
      <c r="D450" s="5" t="str">
        <f ca="1">IFERROR(__xludf.DUMMYFUNCTION("GOOGLETRANSLATE(B450,""ja"",""vi"")"),"Shana")</f>
        <v>Shana</v>
      </c>
      <c r="E450" s="4" t="str">
        <f ca="1">IFERROR(__xludf.DUMMYFUNCTION("GOOGLETRANSLATE(C450,""ja"",""vi"")"),"Đấu giá&gt; đồ chơi, trò chơi&gt; hình&gt; truyện tranh, hoạt hình&gt; Shana")</f>
        <v>Đấu giá&gt; đồ chơi, trò chơi&gt; hình&gt; truyện tranh, hoạt hình&gt; Shana</v>
      </c>
      <c r="F450" t="str">
        <f t="shared" ref="F450:F513" ca="1" si="7">CONCATENATE(CHAR(34)&amp;"",A450,""&amp;CHAR(34)," : ", CHAR(34)&amp;"",D450,""&amp;CHAR(34),",")</f>
        <v>"2084236111" : "Shana",</v>
      </c>
    </row>
    <row r="451" spans="1:6" ht="15.75" customHeight="1">
      <c r="A451" s="14">
        <v>2084305375</v>
      </c>
      <c r="B451" s="14" t="s">
        <v>2797</v>
      </c>
      <c r="C451" s="14" t="s">
        <v>2799</v>
      </c>
      <c r="D451" s="5" t="str">
        <f ca="1">IFERROR(__xludf.DUMMYFUNCTION("GOOGLETRANSLATE(B451,""ja"",""vi"")"),"Xâm lược !? Squid con gái")</f>
        <v>Xâm lược !? Squid con gái</v>
      </c>
      <c r="E451" s="4" t="str">
        <f ca="1">IFERROR(__xludf.DUMMYFUNCTION("GOOGLETRANSLATE(C451,""ja"",""vi"")"),"Đấu giá&gt; đồ chơi, trò chơi&gt; hình&gt; truyện tranh, phim hoạt hình&gt; xâm lược !? Squid con gái")</f>
        <v>Đấu giá&gt; đồ chơi, trò chơi&gt; hình&gt; truyện tranh, phim hoạt hình&gt; xâm lược !? Squid con gái</v>
      </c>
      <c r="F451" t="str">
        <f t="shared" ca="1" si="7"/>
        <v>"2084305375" : "Xâm lược !? Squid con gái",</v>
      </c>
    </row>
    <row r="452" spans="1:6" ht="15.75" customHeight="1">
      <c r="A452" s="14">
        <v>2084023785</v>
      </c>
      <c r="B452" s="14" t="s">
        <v>826</v>
      </c>
      <c r="C452" s="14" t="s">
        <v>2804</v>
      </c>
      <c r="D452" s="5" t="str">
        <f ca="1">IFERROR(__xludf.DUMMYFUNCTION("GOOGLETRANSLATE(B452,""ja"",""vi"")"),"Neon Genesis Evangelion")</f>
        <v>Neon Genesis Evangelion</v>
      </c>
      <c r="E452" s="4" t="str">
        <f ca="1">IFERROR(__xludf.DUMMYFUNCTION("GOOGLETRANSLATE(C452,""ja"",""vi"")"),"Đấu giá&gt; đồ chơi, trò chơi&gt; hình&gt; truyện tranh, phim hoạt hình&gt; Evangelion")</f>
        <v>Đấu giá&gt; đồ chơi, trò chơi&gt; hình&gt; truyện tranh, phim hoạt hình&gt; Evangelion</v>
      </c>
      <c r="F452" t="str">
        <f t="shared" ca="1" si="7"/>
        <v>"2084023785" : "Neon Genesis Evangelion",</v>
      </c>
    </row>
    <row r="453" spans="1:6" ht="15.75" customHeight="1">
      <c r="A453" s="14">
        <v>2084195224</v>
      </c>
      <c r="B453" s="14" t="s">
        <v>842</v>
      </c>
      <c r="C453" s="14" t="s">
        <v>2807</v>
      </c>
      <c r="D453" s="5" t="str">
        <f ca="1">IFERROR(__xludf.DUMMYFUNCTION("GOOGLETRANSLATE(B453,""ja"",""vi"")"),"Saint Seiya")</f>
        <v>Saint Seiya</v>
      </c>
      <c r="E453" s="4" t="str">
        <f ca="1">IFERROR(__xludf.DUMMYFUNCTION("GOOGLETRANSLATE(C453,""ja"",""vi"")"),"Đấu giá&gt; đồ chơi, trò chơi&gt; hình&gt; truyện tranh, phim hoạt hình&gt; Saint Seiya")</f>
        <v>Đấu giá&gt; đồ chơi, trò chơi&gt; hình&gt; truyện tranh, phim hoạt hình&gt; Saint Seiya</v>
      </c>
      <c r="F453" t="str">
        <f t="shared" ca="1" si="7"/>
        <v>"2084195224" : "Saint Seiya",</v>
      </c>
    </row>
    <row r="454" spans="1:6" ht="15.75" customHeight="1">
      <c r="A454" s="14">
        <v>2084222803</v>
      </c>
      <c r="B454" s="14" t="s">
        <v>873</v>
      </c>
      <c r="C454" s="14" t="s">
        <v>2811</v>
      </c>
      <c r="D454" s="5" t="str">
        <f ca="1">IFERROR(__xludf.DUMMYFUNCTION("GOOGLETRANSLATE(B454,""ja"",""vi"")"),"The Melancholy")</f>
        <v>The Melancholy</v>
      </c>
      <c r="E454" s="4" t="str">
        <f ca="1">IFERROR(__xludf.DUMMYFUNCTION("GOOGLETRANSLATE(C454,""ja"",""vi"")"),"Đấu giá&gt; đồ chơi, trò chơi&gt; hình&gt; truyện tranh, hoạt hình&gt; The Melancholy")</f>
        <v>Đấu giá&gt; đồ chơi, trò chơi&gt; hình&gt; truyện tranh, hoạt hình&gt; The Melancholy</v>
      </c>
      <c r="F454" t="str">
        <f t="shared" ca="1" si="7"/>
        <v>"2084222803" : "The Melancholy",</v>
      </c>
    </row>
    <row r="455" spans="1:6" ht="15.75" customHeight="1">
      <c r="A455" s="14">
        <v>2084305377</v>
      </c>
      <c r="B455" s="14" t="s">
        <v>880</v>
      </c>
      <c r="C455" s="14" t="s">
        <v>2816</v>
      </c>
      <c r="D455" s="5" t="str">
        <f ca="1">IFERROR(__xludf.DUMMYFUNCTION("GOOGLETRANSLATE(B455,""ja"",""vi"")"),"TIGER &amp; BUNNY")</f>
        <v>TIGER &amp; BUNNY</v>
      </c>
      <c r="E455" s="4" t="str">
        <f ca="1">IFERROR(__xludf.DUMMYFUNCTION("GOOGLETRANSLATE(C455,""ja"",""vi"")"),"Đấu giá&gt; đồ chơi, trò chơi&gt; hình&gt; truyện tranh, hoạt hình&gt; TIGER &amp; BUNNY")</f>
        <v>Đấu giá&gt; đồ chơi, trò chơi&gt; hình&gt; truyện tranh, hoạt hình&gt; TIGER &amp; BUNNY</v>
      </c>
      <c r="F455" t="str">
        <f t="shared" ca="1" si="7"/>
        <v>"2084305377" : "TIGER &amp; BUNNY",</v>
      </c>
    </row>
    <row r="456" spans="1:6" ht="15.75" customHeight="1">
      <c r="A456" s="14">
        <v>2084236123</v>
      </c>
      <c r="B456" s="14" t="s">
        <v>887</v>
      </c>
      <c r="C456" s="14" t="s">
        <v>2820</v>
      </c>
      <c r="D456" s="5" t="str">
        <f ca="1">IFERROR(__xludf.DUMMYFUNCTION("GOOGLETRANSLATE(B456,""ja"",""vi"")"),"Ru Để TÌNH YÊU")</f>
        <v>Ru Để TÌNH YÊU</v>
      </c>
      <c r="E456" s="4" t="str">
        <f ca="1">IFERROR(__xludf.DUMMYFUNCTION("GOOGLETRANSLATE(C456,""ja"",""vi"")"),"Đấu giá&gt; đồ chơi, trò chơi&gt; hình&gt; truyện tranh, phim hoạt hình Ru&gt; Để TÌNH YÊU")</f>
        <v>Đấu giá&gt; đồ chơi, trò chơi&gt; hình&gt; truyện tranh, phim hoạt hình Ru&gt; Để TÌNH YÊU</v>
      </c>
      <c r="F456" t="str">
        <f t="shared" ca="1" si="7"/>
        <v>"2084236123" : "Ru Để TÌNH YÊU",</v>
      </c>
    </row>
    <row r="457" spans="1:6" ht="15.75" customHeight="1">
      <c r="A457" s="14">
        <v>2084305378</v>
      </c>
      <c r="B457" s="14" t="s">
        <v>2823</v>
      </c>
      <c r="C457" s="14" t="s">
        <v>2824</v>
      </c>
      <c r="D457" s="5" t="str">
        <f ca="1">IFERROR(__xludf.DUMMYFUNCTION("GOOGLETRANSLATE(B457,""ja"",""vi"")"),"Rằng có (danh sách cấm, Railgun)")</f>
        <v>Rằng có (danh sách cấm, Railgun)</v>
      </c>
      <c r="E457" s="4" t="str">
        <f ca="1">IFERROR(__xludf.DUMMYFUNCTION("GOOGLETRANSLATE(C457,""ja"",""vi"")"),"Đấu giá&gt; đồ chơi, trò chơi&gt; hình&gt; truyện tranh, có những hình ảnh động&gt; (danh sách cấm, Railgun)")</f>
        <v>Đấu giá&gt; đồ chơi, trò chơi&gt; hình&gt; truyện tranh, có những hình ảnh động&gt; (danh sách cấm, Railgun)</v>
      </c>
      <c r="F457" t="str">
        <f t="shared" ca="1" si="7"/>
        <v>"2084305378" : "Rằng có (danh sách cấm, Railgun)",</v>
      </c>
    </row>
    <row r="458" spans="1:6" ht="15.75" customHeight="1">
      <c r="A458" s="14">
        <v>2084063730</v>
      </c>
      <c r="B458" s="14" t="s">
        <v>2828</v>
      </c>
      <c r="C458" s="14" t="s">
        <v>2830</v>
      </c>
      <c r="D458" s="5" t="str">
        <f ca="1">IFERROR(__xludf.DUMMYFUNCTION("GOOGLETRANSLATE(B458,""ja"",""vi"")"),"Disney")</f>
        <v>Disney</v>
      </c>
      <c r="E458" s="4" t="str">
        <f ca="1">IFERROR(__xludf.DUMMYFUNCTION("GOOGLETRANSLATE(C458,""ja"",""vi"")"),"Đấu giá&gt; đồ chơi, trò chơi&gt; hình&gt; truyện tranh, hoạt hình&gt; Disney")</f>
        <v>Đấu giá&gt; đồ chơi, trò chơi&gt; hình&gt; truyện tranh, hoạt hình&gt; Disney</v>
      </c>
      <c r="F458" t="str">
        <f t="shared" ca="1" si="7"/>
        <v>"2084063730" : "Disney",</v>
      </c>
    </row>
    <row r="459" spans="1:6" ht="15.75" customHeight="1">
      <c r="A459" s="14">
        <v>2084023765</v>
      </c>
      <c r="B459" s="14" t="s">
        <v>1007</v>
      </c>
      <c r="C459" s="14" t="s">
        <v>2835</v>
      </c>
      <c r="D459" s="5" t="str">
        <f ca="1">IFERROR(__xludf.DUMMYFUNCTION("GOOGLETRANSLATE(B459,""ja"",""vi"")"),"devilman")</f>
        <v>devilman</v>
      </c>
      <c r="E459" s="4" t="str">
        <f ca="1">IFERROR(__xludf.DUMMYFUNCTION("GOOGLETRANSLATE(C459,""ja"",""vi"")"),"Đấu giá&gt; đồ chơi, trò chơi&gt; hình&gt; truyện tranh, hoạt hình&gt; devil man")</f>
        <v>Đấu giá&gt; đồ chơi, trò chơi&gt; hình&gt; truyện tranh, hoạt hình&gt; devil man</v>
      </c>
      <c r="F459" t="str">
        <f t="shared" ca="1" si="7"/>
        <v>"2084023765" : "devilman",</v>
      </c>
    </row>
    <row r="460" spans="1:6" ht="15.75" customHeight="1">
      <c r="A460" s="14">
        <v>2084040584</v>
      </c>
      <c r="B460" s="14" t="s">
        <v>1055</v>
      </c>
      <c r="C460" s="14" t="s">
        <v>2842</v>
      </c>
      <c r="D460" s="5" t="str">
        <f ca="1">IFERROR(__xludf.DUMMYFUNCTION("GOOGLETRANSLATE(B460,""ja"",""vi"")"),"dragon ball")</f>
        <v>dragon ball</v>
      </c>
      <c r="E460" s="4" t="str">
        <f ca="1">IFERROR(__xludf.DUMMYFUNCTION("GOOGLETRANSLATE(C460,""ja"",""vi"")"),"Đấu giá&gt; đồ chơi, trò chơi&gt; hình&gt; truyện tranh, phim hoạt hình&gt; Dragon Ball")</f>
        <v>Đấu giá&gt; đồ chơi, trò chơi&gt; hình&gt; truyện tranh, phim hoạt hình&gt; Dragon Ball</v>
      </c>
      <c r="F460" t="str">
        <f t="shared" ca="1" si="7"/>
        <v>"2084040584" : "dragon ball",</v>
      </c>
    </row>
    <row r="461" spans="1:6" ht="15.75" customHeight="1">
      <c r="A461" s="14">
        <v>2084023769</v>
      </c>
      <c r="B461" s="14" t="s">
        <v>1086</v>
      </c>
      <c r="C461" s="14" t="s">
        <v>2847</v>
      </c>
      <c r="D461" s="5" t="str">
        <f ca="1">IFERROR(__xludf.DUMMYFUNCTION("GOOGLETRANSLATE(B461,""ja"",""vi"")"),"Tetsujin 28-go")</f>
        <v>Tetsujin 28-go</v>
      </c>
      <c r="E461" s="4" t="str">
        <f ca="1">IFERROR(__xludf.DUMMYFUNCTION("GOOGLETRANSLATE(C461,""ja"",""vi"")"),"Đấu giá&gt; đồ chơi, trò chơi&gt; hình&gt; truyện tranh, hoạt hình&gt; Tetsujin 28-go")</f>
        <v>Đấu giá&gt; đồ chơi, trò chơi&gt; hình&gt; truyện tranh, hoạt hình&gt; Tetsujin 28-go</v>
      </c>
      <c r="F461" t="str">
        <f t="shared" ca="1" si="7"/>
        <v>"2084023769" : "Tetsujin 28-go",</v>
      </c>
    </row>
    <row r="462" spans="1:6" ht="15.75" customHeight="1">
      <c r="A462" s="14">
        <v>2084023768</v>
      </c>
      <c r="B462" s="14" t="s">
        <v>1093</v>
      </c>
      <c r="C462" s="14" t="s">
        <v>2851</v>
      </c>
      <c r="D462" s="5" t="str">
        <f ca="1">IFERROR(__xludf.DUMMYFUNCTION("GOOGLETRANSLATE(B462,""ja"",""vi"")"),"ASTRO BOY")</f>
        <v>ASTRO BOY</v>
      </c>
      <c r="E462" s="4" t="str">
        <f ca="1">IFERROR(__xludf.DUMMYFUNCTION("GOOGLETRANSLATE(C462,""ja"",""vi"")"),"Đấu giá&gt; đồ chơi, trò chơi&gt; hình&gt; truyện tranh, phim hoạt hình&gt; Astro Boy")</f>
        <v>Đấu giá&gt; đồ chơi, trò chơi&gt; hình&gt; truyện tranh, phim hoạt hình&gt; Astro Boy</v>
      </c>
      <c r="F462" t="str">
        <f t="shared" ca="1" si="7"/>
        <v>"2084023768" : "ASTRO BOY",</v>
      </c>
    </row>
    <row r="463" spans="1:6" ht="15.75" customHeight="1">
      <c r="A463" s="14">
        <v>2084239889</v>
      </c>
      <c r="B463" s="14" t="s">
        <v>2853</v>
      </c>
      <c r="C463" s="14" t="s">
        <v>2855</v>
      </c>
      <c r="D463" s="5" t="str">
        <f ca="1">IFERROR(__xludf.DUMMYFUNCTION("GOOGLETRANSLATE(B463,""ja"",""vi"")"),"Gurren Lagann")</f>
        <v>Gurren Lagann</v>
      </c>
      <c r="E463" s="4" t="str">
        <f ca="1">IFERROR(__xludf.DUMMYFUNCTION("GOOGLETRANSLATE(C463,""ja"",""vi"")"),"Đấu giá&gt; đồ chơi, trò chơi&gt; hình&gt; truyện tranh, hoạt hình&gt; Gurren Lagann")</f>
        <v>Đấu giá&gt; đồ chơi, trò chơi&gt; hình&gt; truyện tranh, hoạt hình&gt; Gurren Lagann</v>
      </c>
      <c r="F463" t="str">
        <f t="shared" ca="1" si="7"/>
        <v>"2084239889" : "Gurren Lagann",</v>
      </c>
    </row>
    <row r="464" spans="1:6" ht="15.75" customHeight="1">
      <c r="A464" s="14">
        <v>2084222807</v>
      </c>
      <c r="B464" s="14" t="s">
        <v>2859</v>
      </c>
      <c r="C464" s="14" t="s">
        <v>2860</v>
      </c>
      <c r="D464" s="5" t="str">
        <f ca="1">IFERROR(__xludf.DUMMYFUNCTION("GOOGLETRANSLATE(B464,""ja"",""vi"")"),"Tenjou Tenge")</f>
        <v>Tenjou Tenge</v>
      </c>
      <c r="E464" s="4" t="str">
        <f ca="1">IFERROR(__xludf.DUMMYFUNCTION("GOOGLETRANSLATE(C464,""ja"",""vi"")"),"Đấu giá&gt; đồ chơi, trò chơi&gt; hình&gt; truyện tranh, hoạt hình&gt; Tenge")</f>
        <v>Đấu giá&gt; đồ chơi, trò chơi&gt; hình&gt; truyện tranh, hoạt hình&gt; Tenge</v>
      </c>
      <c r="F464" t="str">
        <f t="shared" ca="1" si="7"/>
        <v>"2084222807" : "Tenjou Tenge",</v>
      </c>
    </row>
    <row r="465" spans="1:6" ht="15.75" customHeight="1">
      <c r="A465" s="14">
        <v>2084236113</v>
      </c>
      <c r="B465" s="14" t="s">
        <v>1152</v>
      </c>
      <c r="C465" s="14" t="s">
        <v>2865</v>
      </c>
      <c r="D465" s="5" t="str">
        <f ca="1">IFERROR(__xludf.DUMMYFUNCTION("GOOGLETRANSLATE(B465,""ja"",""vi"")"),"NARUTO")</f>
        <v>NARUTO</v>
      </c>
      <c r="E465" s="4" t="str">
        <f ca="1">IFERROR(__xludf.DUMMYFUNCTION("GOOGLETRANSLATE(C465,""ja"",""vi"")"),"Đấu giá&gt; đồ chơi, trò chơi&gt; hình&gt; truyện tranh, hoạt hình&gt; NARUTO")</f>
        <v>Đấu giá&gt; đồ chơi, trò chơi&gt; hình&gt; truyện tranh, hoạt hình&gt; NARUTO</v>
      </c>
      <c r="F465" t="str">
        <f t="shared" ca="1" si="7"/>
        <v>"2084236113" : "NARUTO",</v>
      </c>
    </row>
    <row r="466" spans="1:6" ht="15.75" customHeight="1">
      <c r="A466" s="14">
        <v>2084305379</v>
      </c>
      <c r="B466" s="14" t="s">
        <v>1168</v>
      </c>
      <c r="C466" s="14" t="s">
        <v>2871</v>
      </c>
      <c r="D466" s="5" t="str">
        <f ca="1">IFERROR(__xludf.DUMMYFUNCTION("GOOGLETRANSLATE(B466,""ja"",""vi"")"),"Natsume Yuujin Chou")</f>
        <v>Natsume Yuujin Chou</v>
      </c>
      <c r="E466" s="4" t="str">
        <f ca="1">IFERROR(__xludf.DUMMYFUNCTION("GOOGLETRANSLATE(C466,""ja"",""vi"")"),"Đấu giá&gt; đồ chơi, trò chơi&gt; hình&gt; truyện tranh, hoạt hình&gt; Natsume Yuujin Chou")</f>
        <v>Đấu giá&gt; đồ chơi, trò chơi&gt; hình&gt; truyện tranh, hoạt hình&gt; Natsume Yuujin Chou</v>
      </c>
      <c r="F466" t="str">
        <f t="shared" ca="1" si="7"/>
        <v>"2084305379" : "Natsume Yuujin Chou",</v>
      </c>
    </row>
    <row r="467" spans="1:6" ht="15.75" customHeight="1">
      <c r="A467" s="14">
        <v>2084241346</v>
      </c>
      <c r="B467" s="14" t="s">
        <v>1202</v>
      </c>
      <c r="C467" s="14" t="s">
        <v>2877</v>
      </c>
      <c r="D467" s="5" t="str">
        <f ca="1">IFERROR(__xludf.DUMMYFUNCTION("GOOGLETRANSLATE(B467,""ja"",""vi"")"),"THUỐC TẨY")</f>
        <v>THUỐC TẨY</v>
      </c>
      <c r="E467" s="4" t="str">
        <f ca="1">IFERROR(__xludf.DUMMYFUNCTION("GOOGLETRANSLATE(C467,""ja"",""vi"")"),"Đấu giá&gt; đồ chơi, trò chơi&gt; hình&gt; truyện tranh, phim hoạt hình&gt; BLEACH")</f>
        <v>Đấu giá&gt; đồ chơi, trò chơi&gt; hình&gt; truyện tranh, phim hoạt hình&gt; BLEACH</v>
      </c>
      <c r="F467" t="str">
        <f t="shared" ca="1" si="7"/>
        <v>"2084241346" : "THUỐC TẨY",</v>
      </c>
    </row>
    <row r="468" spans="1:6" ht="15.75" customHeight="1">
      <c r="A468" s="14">
        <v>2084236118</v>
      </c>
      <c r="B468" s="14" t="s">
        <v>2882</v>
      </c>
      <c r="C468" s="14" t="s">
        <v>2883</v>
      </c>
      <c r="D468" s="5" t="str">
        <f ca="1">IFERROR(__xludf.DUMMYFUNCTION("GOOGLETRANSLATE(B468,""ja"",""vi"")"),"số phận")</f>
        <v>số phận</v>
      </c>
      <c r="E468" s="4" t="str">
        <f ca="1">IFERROR(__xludf.DUMMYFUNCTION("GOOGLETRANSLATE(C468,""ja"",""vi"")"),"Đấu giá&gt; đồ chơi, trò chơi&gt; hình&gt; truyện tranh, phim hoạt hình&gt; Fate")</f>
        <v>Đấu giá&gt; đồ chơi, trò chơi&gt; hình&gt; truyện tranh, phim hoạt hình&gt; Fate</v>
      </c>
      <c r="F468" t="str">
        <f t="shared" ca="1" si="7"/>
        <v>"2084236118" : "số phận",</v>
      </c>
    </row>
    <row r="469" spans="1:6" ht="15.75" customHeight="1">
      <c r="A469" s="14">
        <v>2084242880</v>
      </c>
      <c r="B469" s="14" t="s">
        <v>1331</v>
      </c>
      <c r="C469" s="14" t="s">
        <v>2886</v>
      </c>
      <c r="D469" s="5" t="str">
        <f ca="1">IFERROR(__xludf.DUMMYFUNCTION("GOOGLETRANSLATE(B469,""ja"",""vi"")"),"Pretty Cure")</f>
        <v>Pretty Cure</v>
      </c>
      <c r="E469" s="4" t="str">
        <f ca="1">IFERROR(__xludf.DUMMYFUNCTION("GOOGLETRANSLATE(C469,""ja"",""vi"")"),"Đấu giá&gt; đồ chơi, trò chơi&gt; hình&gt; truyện tranh, phim hoạt hình&gt; Pretty Cure")</f>
        <v>Đấu giá&gt; đồ chơi, trò chơi&gt; hình&gt; truyện tranh, phim hoạt hình&gt; Pretty Cure</v>
      </c>
      <c r="F469" t="str">
        <f t="shared" ca="1" si="7"/>
        <v>"2084242880" : "Pretty Cure",</v>
      </c>
    </row>
    <row r="470" spans="1:6" ht="15.75" customHeight="1">
      <c r="A470" s="14">
        <v>2084305380</v>
      </c>
      <c r="B470" s="14" t="s">
        <v>2892</v>
      </c>
      <c r="C470" s="14" t="s">
        <v>2893</v>
      </c>
      <c r="D470" s="5" t="str">
        <f ca="1">IFERROR(__xludf.DUMMYFUNCTION("GOOGLETRANSLATE(B470,""ja"",""vi"")"),"Bakemonogatari, câu chuyện sai sự thật")</f>
        <v>Bakemonogatari, câu chuyện sai sự thật</v>
      </c>
      <c r="E470" s="4" t="str">
        <f ca="1">IFERROR(__xludf.DUMMYFUNCTION("GOOGLETRANSLATE(C470,""ja"",""vi"")"),"Đấu giá&gt; đồ chơi, trò chơi&gt; hình&gt; truyện tranh, hoạt hình&gt; Bakemonogatari, câu chuyện sai sự thật")</f>
        <v>Đấu giá&gt; đồ chơi, trò chơi&gt; hình&gt; truyện tranh, hoạt hình&gt; Bakemonogatari, câu chuyện sai sự thật</v>
      </c>
      <c r="F470" t="str">
        <f t="shared" ca="1" si="7"/>
        <v>"2084305380" : "Bakemonogatari, câu chuyện sai sự thật",</v>
      </c>
    </row>
    <row r="471" spans="1:6" ht="15.75" customHeight="1">
      <c r="A471" s="14">
        <v>2084242879</v>
      </c>
      <c r="B471" s="14" t="s">
        <v>1392</v>
      </c>
      <c r="C471" s="14" t="s">
        <v>2899</v>
      </c>
      <c r="D471" s="5" t="str">
        <f ca="1">IFERROR(__xludf.DUMMYFUNCTION("GOOGLETRANSLATE(B471,""ja"",""vi"")"),"Fullmetal Alchemist")</f>
        <v>Fullmetal Alchemist</v>
      </c>
      <c r="E471" s="4" t="str">
        <f ca="1">IFERROR(__xludf.DUMMYFUNCTION("GOOGLETRANSLATE(C471,""ja"",""vi"")"),"Đấu giá&gt; đồ chơi, trò chơi&gt; hình&gt; truyện tranh, hoạt hình&gt; Full Metal Alchemist")</f>
        <v>Đấu giá&gt; đồ chơi, trò chơi&gt; hình&gt; truyện tranh, hoạt hình&gt; Full Metal Alchemist</v>
      </c>
      <c r="F471" t="str">
        <f t="shared" ca="1" si="7"/>
        <v>"2084242879" : "Fullmetal Alchemist",</v>
      </c>
    </row>
    <row r="472" spans="1:6" ht="15.75" customHeight="1">
      <c r="A472" s="14">
        <v>2084239888</v>
      </c>
      <c r="B472" s="14" t="s">
        <v>2904</v>
      </c>
      <c r="C472" s="14" t="s">
        <v>2906</v>
      </c>
      <c r="D472" s="5" t="str">
        <f ca="1">IFERROR(__xludf.DUMMYFUNCTION("GOOGLETRANSLATE(B472,""ja"",""vi"")"),"Hatsune miku")</f>
        <v>Hatsune miku</v>
      </c>
      <c r="E472" s="4" t="str">
        <f ca="1">IFERROR(__xludf.DUMMYFUNCTION("GOOGLETRANSLATE(C472,""ja"",""vi"")"),"Đấu giá&gt; đồ chơi, trò chơi&gt; hình&gt; truyện tranh, phim hoạt hình&gt; Hatsune Miku")</f>
        <v>Đấu giá&gt; đồ chơi, trò chơi&gt; hình&gt; truyện tranh, phim hoạt hình&gt; Hatsune Miku</v>
      </c>
      <c r="F472" t="str">
        <f t="shared" ca="1" si="7"/>
        <v>"2084239888" : "Hatsune miku",</v>
      </c>
    </row>
    <row r="473" spans="1:6" ht="15.75" customHeight="1">
      <c r="A473" s="14">
        <v>2084023788</v>
      </c>
      <c r="B473" s="14" t="s">
        <v>2910</v>
      </c>
      <c r="C473" s="14" t="s">
        <v>2911</v>
      </c>
      <c r="D473" s="5" t="str">
        <f ca="1">IFERROR(__xludf.DUMMYFUNCTION("GOOGLETRANSLATE(B473,""ja"",""vi"")"),"Khá Soldier Sailor Moon")</f>
        <v>Khá Soldier Sailor Moon</v>
      </c>
      <c r="E473" s="4" t="str">
        <f ca="1">IFERROR(__xludf.DUMMYFUNCTION("GOOGLETRANSLATE(C473,""ja"",""vi"")"),"Đấu giá&gt; đồ chơi, trò chơi&gt; hình&gt; truyện tranh, phim hoạt hình&gt; Sailor Moon")</f>
        <v>Đấu giá&gt; đồ chơi, trò chơi&gt; hình&gt; truyện tranh, phim hoạt hình&gt; Sailor Moon</v>
      </c>
      <c r="F473" t="str">
        <f t="shared" ca="1" si="7"/>
        <v>"2084023788" : "Khá Soldier Sailor Moon",</v>
      </c>
    </row>
    <row r="474" spans="1:6" ht="15.75" customHeight="1">
      <c r="A474" s="14">
        <v>2084236115</v>
      </c>
      <c r="B474" s="14" t="s">
        <v>1447</v>
      </c>
      <c r="C474" s="14" t="s">
        <v>2920</v>
      </c>
      <c r="D474" s="5" t="str">
        <f ca="1">IFERROR(__xludf.DUMMYFUNCTION("GOOGLETRANSLATE(B474,""ja"",""vi"")"),"Fist of the North Star")</f>
        <v>Fist of the North Star</v>
      </c>
      <c r="E474" s="4" t="str">
        <f ca="1">IFERROR(__xludf.DUMMYFUNCTION("GOOGLETRANSLATE(C474,""ja"",""vi"")"),"Đấu giá&gt; đồ chơi, trò chơi&gt; hình&gt; truyện tranh, hoạt hình&gt; Fist of The North Star của")</f>
        <v>Đấu giá&gt; đồ chơi, trò chơi&gt; hình&gt; truyện tranh, hoạt hình&gt; Fist of The North Star của</v>
      </c>
      <c r="F474" t="str">
        <f t="shared" ca="1" si="7"/>
        <v>"2084236115" : "Fist of the North Star",</v>
      </c>
    </row>
    <row r="475" spans="1:6" ht="15.75" customHeight="1">
      <c r="A475" s="14">
        <v>2084305381</v>
      </c>
      <c r="B475" s="14" t="s">
        <v>2925</v>
      </c>
      <c r="C475" s="14" t="s">
        <v>2927</v>
      </c>
      <c r="D475" s="5" t="str">
        <f ca="1">IFERROR(__xludf.DUMMYFUNCTION("GOOGLETRANSLATE(B475,""ja"",""vi"")"),"Macross F")</f>
        <v>Macross F</v>
      </c>
      <c r="E475" s="4" t="str">
        <f ca="1">IFERROR(__xludf.DUMMYFUNCTION("GOOGLETRANSLATE(C475,""ja"",""vi"")"),"Đấu giá&gt; đồ chơi, trò chơi&gt; hình&gt; truyện tranh, hoạt hình&gt; Macross F")</f>
        <v>Đấu giá&gt; đồ chơi, trò chơi&gt; hình&gt; truyện tranh, hoạt hình&gt; Macross F</v>
      </c>
      <c r="F475" t="str">
        <f t="shared" ca="1" si="7"/>
        <v>"2084305381" : "Macross F",</v>
      </c>
    </row>
    <row r="476" spans="1:6" ht="15.75" customHeight="1">
      <c r="A476" s="14">
        <v>2084305382</v>
      </c>
      <c r="B476" s="14" t="s">
        <v>1576</v>
      </c>
      <c r="C476" s="14" t="s">
        <v>2934</v>
      </c>
      <c r="D476" s="5" t="str">
        <f ca="1">IFERROR(__xludf.DUMMYFUNCTION("GOOGLETRANSLATE(B476,""ja"",""vi"")"),"Magical Girl Madoka ☆ Magica")</f>
        <v>Magical Girl Madoka ☆ Magica</v>
      </c>
      <c r="E476" s="4" t="str">
        <f ca="1">IFERROR(__xludf.DUMMYFUNCTION("GOOGLETRANSLATE(C476,""ja"",""vi"")"),"Đấu giá&gt; đồ chơi, trò chơi&gt; hình&gt; truyện tranh, phim hoạt hình&gt; Magical Girl Madoka ☆ Magica")</f>
        <v>Đấu giá&gt; đồ chơi, trò chơi&gt; hình&gt; truyện tranh, phim hoạt hình&gt; Magical Girl Madoka ☆ Magica</v>
      </c>
      <c r="F476" t="str">
        <f t="shared" ca="1" si="7"/>
        <v>"2084305382" : "Magical Girl Madoka ☆ Magica",</v>
      </c>
    </row>
    <row r="477" spans="1:6" ht="15.75" customHeight="1">
      <c r="A477" s="14">
        <v>2084236119</v>
      </c>
      <c r="B477" s="14" t="s">
        <v>1588</v>
      </c>
      <c r="C477" s="14" t="s">
        <v>2941</v>
      </c>
      <c r="D477" s="5" t="str">
        <f ca="1">IFERROR(__xludf.DUMMYFUNCTION("GOOGLETRANSLATE(B477,""ja"",""vi"")"),"Magical Girl Lyrical")</f>
        <v>Magical Girl Lyrical</v>
      </c>
      <c r="E477" s="4" t="str">
        <f ca="1">IFERROR(__xludf.DUMMYFUNCTION("GOOGLETRANSLATE(C477,""ja"",""vi"")"),"Đấu giá&gt; đồ chơi, trò chơi&gt; hình&gt; truyện tranh, phim hoạt hình&gt; Magical Girl Lyrical")</f>
        <v>Đấu giá&gt; đồ chơi, trò chơi&gt; hình&gt; truyện tranh, phim hoạt hình&gt; Magical Girl Lyrical</v>
      </c>
      <c r="F477" t="str">
        <f t="shared" ca="1" si="7"/>
        <v>"2084236119" : "Magical Girl Lyrical",</v>
      </c>
    </row>
    <row r="478" spans="1:6" ht="15.75" customHeight="1">
      <c r="A478" s="14">
        <v>2084236108</v>
      </c>
      <c r="B478" s="14" t="s">
        <v>2948</v>
      </c>
      <c r="C478" s="14" t="s">
        <v>2949</v>
      </c>
      <c r="D478" s="5" t="str">
        <f ca="1">IFERROR(__xludf.DUMMYFUNCTION("GOOGLETRANSLATE(B478,""ja"",""vi"")"),"Yatterman")</f>
        <v>Yatterman</v>
      </c>
      <c r="E478" s="4" t="str">
        <f ca="1">IFERROR(__xludf.DUMMYFUNCTION("GOOGLETRANSLATE(C478,""ja"",""vi"")"),"Đấu giá&gt; đồ chơi, trò chơi&gt; hình&gt; truyện tranh, hoạt hình&gt; Yatterman")</f>
        <v>Đấu giá&gt; đồ chơi, trò chơi&gt; hình&gt; truyện tranh, hoạt hình&gt; Yatterman</v>
      </c>
      <c r="F478" t="str">
        <f t="shared" ca="1" si="7"/>
        <v>"2084236108" : "Yatterman",</v>
      </c>
    </row>
    <row r="479" spans="1:6" ht="15.75" customHeight="1">
      <c r="A479" s="14">
        <v>2084236117</v>
      </c>
      <c r="B479" s="14" t="s">
        <v>2954</v>
      </c>
      <c r="C479" s="14" t="s">
        <v>2955</v>
      </c>
      <c r="D479" s="5" t="str">
        <f ca="1">IFERROR(__xludf.DUMMYFUNCTION("GOOGLETRANSLATE(B479,""ja"",""vi"")"),"Lucky ☆ Star")</f>
        <v>Lucky ☆ Star</v>
      </c>
      <c r="E479" s="4" t="str">
        <f ca="1">IFERROR(__xludf.DUMMYFUNCTION("GOOGLETRANSLATE(C479,""ja"",""vi"")"),"Đấu giá&gt; đồ chơi, trò chơi&gt; hình&gt; truyện tranh, hoạt hình&gt; Lucky ☆ Star")</f>
        <v>Đấu giá&gt; đồ chơi, trò chơi&gt; hình&gt; truyện tranh, hoạt hình&gt; Lucky ☆ Star</v>
      </c>
      <c r="F479" t="str">
        <f t="shared" ca="1" si="7"/>
        <v>"2084236117" : "Lucky ☆ Star",</v>
      </c>
    </row>
    <row r="480" spans="1:6" ht="15.75" customHeight="1">
      <c r="A480" s="14">
        <v>2084023783</v>
      </c>
      <c r="B480" s="14" t="s">
        <v>1740</v>
      </c>
      <c r="C480" s="14" t="s">
        <v>2960</v>
      </c>
      <c r="D480" s="5" t="str">
        <f ca="1">IFERROR(__xludf.DUMMYFUNCTION("GOOGLETRANSLATE(B480,""ja"",""vi"")"),"Lupin III")</f>
        <v>Lupin III</v>
      </c>
      <c r="E480" s="4" t="str">
        <f ca="1">IFERROR(__xludf.DUMMYFUNCTION("GOOGLETRANSLATE(C480,""ja"",""vi"")"),"Đấu giá&gt; đồ chơi, trò chơi&gt; hình&gt; truyện tranh, phim hoạt hình&gt; Lupin the Third")</f>
        <v>Đấu giá&gt; đồ chơi, trò chơi&gt; hình&gt; truyện tranh, phim hoạt hình&gt; Lupin the Third</v>
      </c>
      <c r="F480" t="str">
        <f t="shared" ca="1" si="7"/>
        <v>"2084023783" : "Lupin III",</v>
      </c>
    </row>
    <row r="481" spans="1:6" ht="15.75" customHeight="1">
      <c r="A481" s="14">
        <v>2084023719</v>
      </c>
      <c r="B481" s="14" t="s">
        <v>2966</v>
      </c>
      <c r="C481" s="14" t="s">
        <v>2967</v>
      </c>
      <c r="D481" s="5" t="str">
        <f ca="1">IFERROR(__xludf.DUMMYFUNCTION("GOOGLETRANSLATE(B481,""ja"",""vi"")"),"anh hùng Robot")</f>
        <v>anh hùng Robot</v>
      </c>
      <c r="E481" s="4" t="str">
        <f ca="1">IFERROR(__xludf.DUMMYFUNCTION("GOOGLETRANSLATE(C481,""ja"",""vi"")"),"Đấu giá&gt; đồ chơi, trò chơi&gt; hình&gt; truyện tranh, phim hoạt hình&gt; Robot Anh hùng")</f>
        <v>Đấu giá&gt; đồ chơi, trò chơi&gt; hình&gt; truyện tranh, phim hoạt hình&gt; Robot Anh hùng</v>
      </c>
      <c r="F481" t="str">
        <f t="shared" ca="1" si="7"/>
        <v>"2084023719" : "anh hùng Robot",</v>
      </c>
    </row>
    <row r="482" spans="1:6" ht="15.75" customHeight="1">
      <c r="A482" s="14">
        <v>2084040581</v>
      </c>
      <c r="B482" s="14" t="s">
        <v>1791</v>
      </c>
      <c r="C482" s="14" t="s">
        <v>2971</v>
      </c>
      <c r="D482" s="5" t="str">
        <f ca="1">IFERROR(__xludf.DUMMYFUNCTION("GOOGLETRANSLATE(B482,""ja"",""vi"")"),"ONE PIECE")</f>
        <v>ONE PIECE</v>
      </c>
      <c r="E482" s="4" t="str">
        <f ca="1">IFERROR(__xludf.DUMMYFUNCTION("GOOGLETRANSLATE(C482,""ja"",""vi"")"),"Đấu giá&gt; đồ chơi, trò chơi&gt; hình&gt; truyện tranh, phim hoạt hình&gt; ONE PIECE")</f>
        <v>Đấu giá&gt; đồ chơi, trò chơi&gt; hình&gt; truyện tranh, phim hoạt hình&gt; ONE PIECE</v>
      </c>
      <c r="F482" t="str">
        <f t="shared" ca="1" si="7"/>
        <v>"2084040581" : "ONE PIECE",</v>
      </c>
    </row>
    <row r="483" spans="1:6" ht="15.75" customHeight="1">
      <c r="A483" s="14">
        <v>2084023789</v>
      </c>
      <c r="B483" s="14" t="s">
        <v>46</v>
      </c>
      <c r="C483" s="14" t="s">
        <v>2975</v>
      </c>
      <c r="D483" s="5" t="str">
        <f ca="1">IFERROR(__xludf.DUMMYFUNCTION("GOOGLETRANSLATE(B483,""ja"",""vi"")"),"nếu không thì")</f>
        <v>nếu không thì</v>
      </c>
      <c r="E483" s="4" t="str">
        <f ca="1">IFERROR(__xludf.DUMMYFUNCTION("GOOGLETRANSLATE(C483,""ja"",""vi"")"),"Đấu giá&gt; đồ chơi, trò chơi&gt; hình&gt; truyện tranh, hoạt hình&gt; Khác")</f>
        <v>Đấu giá&gt; đồ chơi, trò chơi&gt; hình&gt; truyện tranh, hoạt hình&gt; Khác</v>
      </c>
      <c r="F483" t="str">
        <f t="shared" ca="1" si="7"/>
        <v>"2084023789" : "nếu không thì",</v>
      </c>
    </row>
    <row r="484" spans="1:6" ht="15.75" customHeight="1">
      <c r="A484" s="14">
        <v>2084023721</v>
      </c>
      <c r="B484" s="14" t="s">
        <v>2979</v>
      </c>
      <c r="C484" s="14" t="s">
        <v>2980</v>
      </c>
      <c r="D484" s="5" t="str">
        <f ca="1">IFERROR(__xludf.DUMMYFUNCTION("GOOGLETRANSLATE(B484,""ja"",""vi"")"),"Kikaider")</f>
        <v>Kikaider</v>
      </c>
      <c r="E484" s="4" t="str">
        <f ca="1">IFERROR(__xludf.DUMMYFUNCTION("GOOGLETRANSLATE(C484,""ja"",""vi"")"),"Đấu giá&gt; đồ chơi, trò chơi&gt; hình&gt; hiệu ứng đặc biệt&gt; Kikaider")</f>
        <v>Đấu giá&gt; đồ chơi, trò chơi&gt; hình&gt; hiệu ứng đặc biệt&gt; Kikaider</v>
      </c>
      <c r="F484" t="str">
        <f t="shared" ca="1" si="7"/>
        <v>"2084023721" : "Kikaider",</v>
      </c>
    </row>
    <row r="485" spans="1:6" ht="15.75" customHeight="1">
      <c r="A485" s="14">
        <v>2084023722</v>
      </c>
      <c r="B485" s="14" t="s">
        <v>2985</v>
      </c>
      <c r="C485" s="14" t="s">
        <v>2986</v>
      </c>
      <c r="D485" s="5" t="str">
        <f ca="1">IFERROR(__xludf.DUMMYFUNCTION("GOOGLETRANSLATE(B485,""ja"",""vi"")"),"Robot thám")</f>
        <v>Robot thám</v>
      </c>
      <c r="E485" s="4" t="str">
        <f ca="1">IFERROR(__xludf.DUMMYFUNCTION("GOOGLETRANSLATE(C485,""ja"",""vi"")"),"Đấu giá&gt; đồ chơi, trò chơi&gt; hình&gt; hiệu ứng đặc biệt&gt; Robot Thám")</f>
        <v>Đấu giá&gt; đồ chơi, trò chơi&gt; hình&gt; hiệu ứng đặc biệt&gt; Robot Thám</v>
      </c>
      <c r="F485" t="str">
        <f t="shared" ca="1" si="7"/>
        <v>"2084023722" : "Robot thám",</v>
      </c>
    </row>
    <row r="486" spans="1:6" ht="15.75" customHeight="1">
      <c r="A486" s="14">
        <v>2084023723</v>
      </c>
      <c r="B486" s="14" t="s">
        <v>2992</v>
      </c>
      <c r="C486" s="14" t="s">
        <v>2993</v>
      </c>
      <c r="D486" s="5" t="str">
        <f ca="1">IFERROR(__xludf.DUMMYFUNCTION("GOOGLETRANSLATE(B486,""ja"",""vi"")"),"Kikaider 01")</f>
        <v>Kikaider 01</v>
      </c>
      <c r="E486" s="4" t="str">
        <f ca="1">IFERROR(__xludf.DUMMYFUNCTION("GOOGLETRANSLATE(C486,""ja"",""vi"")"),"Đấu giá&gt; đồ chơi, trò chơi&gt; hình&gt; hiệu ứng đặc biệt&gt; Kikaider 01")</f>
        <v>Đấu giá&gt; đồ chơi, trò chơi&gt; hình&gt; hiệu ứng đặc biệt&gt; Kikaider 01</v>
      </c>
      <c r="F486" t="str">
        <f t="shared" ca="1" si="7"/>
        <v>"2084023723" : "Kikaider 01",</v>
      </c>
    </row>
    <row r="487" spans="1:6" ht="15.75" customHeight="1">
      <c r="A487" s="14">
        <v>2084023623</v>
      </c>
      <c r="B487" s="14" t="s">
        <v>3000</v>
      </c>
      <c r="C487" s="14" t="s">
        <v>3001</v>
      </c>
      <c r="D487" s="5" t="str">
        <f ca="1">IFERROR(__xludf.DUMMYFUNCTION("GOOGLETRANSLATE(B487,""ja"",""vi"")"),"Ultraman")</f>
        <v>Ultraman</v>
      </c>
      <c r="E487" s="4" t="str">
        <f ca="1">IFERROR(__xludf.DUMMYFUNCTION("GOOGLETRANSLATE(C487,""ja"",""vi"")"),"Đấu giá&gt; đồ chơi, trò chơi&gt; hình&gt; hiệu ứng đặc biệt&gt; Ultraman")</f>
        <v>Đấu giá&gt; đồ chơi, trò chơi&gt; hình&gt; hiệu ứng đặc biệt&gt; Ultraman</v>
      </c>
      <c r="F487" t="str">
        <f t="shared" ca="1" si="7"/>
        <v>"2084023623" : "Ultraman",</v>
      </c>
    </row>
    <row r="488" spans="1:6" ht="15.75" customHeight="1">
      <c r="A488" s="14">
        <v>2084023745</v>
      </c>
      <c r="B488" s="14" t="s">
        <v>3007</v>
      </c>
      <c r="C488" s="14" t="s">
        <v>3008</v>
      </c>
      <c r="D488" s="5" t="str">
        <f ca="1">IFERROR(__xludf.DUMMYFUNCTION("GOOGLETRANSLATE(B488,""ja"",""vi"")"),"Godzilla, con quái vật")</f>
        <v>Godzilla, con quái vật</v>
      </c>
      <c r="E488" s="4" t="str">
        <f ca="1">IFERROR(__xludf.DUMMYFUNCTION("GOOGLETRANSLATE(C488,""ja"",""vi"")"),"Đấu giá&gt; đồ chơi, trò chơi&gt; hình&gt; hiệu ứng đặc biệt&gt; Godzilla, quái vật")</f>
        <v>Đấu giá&gt; đồ chơi, trò chơi&gt; hình&gt; hiệu ứng đặc biệt&gt; Godzilla, quái vật</v>
      </c>
      <c r="F488" t="str">
        <f t="shared" ca="1" si="7"/>
        <v>"2084023745" : "Godzilla, con quái vật",</v>
      </c>
    </row>
    <row r="489" spans="1:6" ht="15.75" customHeight="1">
      <c r="A489" s="14">
        <v>2084023694</v>
      </c>
      <c r="B489" s="14" t="s">
        <v>3013</v>
      </c>
      <c r="C489" s="14" t="s">
        <v>3014</v>
      </c>
      <c r="D489" s="5" t="str">
        <f ca="1">IFERROR(__xludf.DUMMYFUNCTION("GOOGLETRANSLATE(B489,""ja"",""vi"")"),"kim loại Dòng")</f>
        <v>kim loại Dòng</v>
      </c>
      <c r="E489" s="4" t="str">
        <f ca="1">IFERROR(__xludf.DUMMYFUNCTION("GOOGLETRANSLATE(C489,""ja"",""vi"")"),"Đấu giá&gt; đồ chơi, trò chơi&gt; hình&gt; hiệu ứng đặc biệt&gt; kim loại Dòng")</f>
        <v>Đấu giá&gt; đồ chơi, trò chơi&gt; hình&gt; hiệu ứng đặc biệt&gt; kim loại Dòng</v>
      </c>
      <c r="F489" t="str">
        <f t="shared" ca="1" si="7"/>
        <v>"2084023694" : "kim loại Dòng",</v>
      </c>
    </row>
    <row r="490" spans="1:6" ht="15.75" customHeight="1">
      <c r="A490" s="14">
        <v>2084023644</v>
      </c>
      <c r="B490" s="14" t="s">
        <v>3019</v>
      </c>
      <c r="C490" s="14" t="s">
        <v>3021</v>
      </c>
      <c r="D490" s="5" t="str">
        <f ca="1">IFERROR(__xludf.DUMMYFUNCTION("GOOGLETRANSLATE(B490,""ja"",""vi"")"),"masked Rider")</f>
        <v>masked Rider</v>
      </c>
      <c r="E490" s="4" t="str">
        <f ca="1">IFERROR(__xludf.DUMMYFUNCTION("GOOGLETRANSLATE(C490,""ja"",""vi"")"),"Đấu giá&gt; đồ chơi, trò chơi&gt; hình&gt; hiệu ứng đặc biệt&gt; Kamen Rider")</f>
        <v>Đấu giá&gt; đồ chơi, trò chơi&gt; hình&gt; hiệu ứng đặc biệt&gt; Kamen Rider</v>
      </c>
      <c r="F490" t="str">
        <f t="shared" ca="1" si="7"/>
        <v>"2084023644" : "masked Rider",</v>
      </c>
    </row>
    <row r="491" spans="1:6" ht="15.75" customHeight="1">
      <c r="A491" s="14">
        <v>2084023661</v>
      </c>
      <c r="B491" s="14" t="s">
        <v>3027</v>
      </c>
      <c r="C491" s="14" t="s">
        <v>3028</v>
      </c>
      <c r="D491" s="5" t="str">
        <f ca="1">IFERROR(__xludf.DUMMYFUNCTION("GOOGLETRANSLATE(B491,""ja"",""vi"")"),"Sentai Dòng")</f>
        <v>Sentai Dòng</v>
      </c>
      <c r="E491" s="4" t="str">
        <f ca="1">IFERROR(__xludf.DUMMYFUNCTION("GOOGLETRANSLATE(C491,""ja"",""vi"")"),"Đấu giá&gt; đồ chơi, trò chơi&gt; hình&gt; hiệu ứng đặc biệt&gt; Squadron Dòng")</f>
        <v>Đấu giá&gt; đồ chơi, trò chơi&gt; hình&gt; hiệu ứng đặc biệt&gt; Squadron Dòng</v>
      </c>
      <c r="F491" t="str">
        <f t="shared" ca="1" si="7"/>
        <v>"2084023661" : "Sentai Dòng",</v>
      </c>
    </row>
    <row r="492" spans="1:6" ht="15.75" customHeight="1">
      <c r="A492" s="14">
        <v>2084023719</v>
      </c>
      <c r="B492" s="14" t="s">
        <v>2966</v>
      </c>
      <c r="C492" s="14" t="s">
        <v>3037</v>
      </c>
      <c r="D492" s="5" t="str">
        <f ca="1">IFERROR(__xludf.DUMMYFUNCTION("GOOGLETRANSLATE(B492,""ja"",""vi"")"),"anh hùng Robot")</f>
        <v>anh hùng Robot</v>
      </c>
      <c r="E492" s="4" t="str">
        <f ca="1">IFERROR(__xludf.DUMMYFUNCTION("GOOGLETRANSLATE(C492,""ja"",""vi"")"),"Đấu giá&gt; đồ chơi, trò chơi&gt; hình&gt; hiệu ứng đặc biệt&gt; anh hùng Robot")</f>
        <v>Đấu giá&gt; đồ chơi, trò chơi&gt; hình&gt; hiệu ứng đặc biệt&gt; anh hùng Robot</v>
      </c>
      <c r="F492" t="str">
        <f t="shared" ca="1" si="7"/>
        <v>"2084023719" : "anh hùng Robot",</v>
      </c>
    </row>
    <row r="493" spans="1:6" ht="15.75" customHeight="1">
      <c r="A493" s="14">
        <v>2084047373</v>
      </c>
      <c r="B493" s="14" t="s">
        <v>46</v>
      </c>
      <c r="C493" s="14" t="s">
        <v>3048</v>
      </c>
      <c r="D493" s="5" t="str">
        <f ca="1">IFERROR(__xludf.DUMMYFUNCTION("GOOGLETRANSLATE(B493,""ja"",""vi"")"),"nếu không thì")</f>
        <v>nếu không thì</v>
      </c>
      <c r="E493" s="4" t="str">
        <f ca="1">IFERROR(__xludf.DUMMYFUNCTION("GOOGLETRANSLATE(C493,""ja"",""vi"")"),"Đấu giá&gt; đồ chơi, trò chơi&gt; hình&gt; hiệu ứng đặc biệt&gt; Khác")</f>
        <v>Đấu giá&gt; đồ chơi, trò chơi&gt; hình&gt; hiệu ứng đặc biệt&gt; Khác</v>
      </c>
      <c r="F493" t="str">
        <f t="shared" ca="1" si="7"/>
        <v>"2084047373" : "nếu không thì",</v>
      </c>
    </row>
    <row r="494" spans="1:6" ht="15.75" customHeight="1">
      <c r="A494" s="14">
        <v>2084236103</v>
      </c>
      <c r="B494" s="14" t="s">
        <v>3052</v>
      </c>
      <c r="C494" s="14" t="s">
        <v>3055</v>
      </c>
      <c r="D494" s="5" t="str">
        <f ca="1">IFERROR(__xludf.DUMMYFUNCTION("GOOGLETRANSLATE(B494,""ja"",""vi"")"),"Chào mừng bạn đến Pia Carrot")</f>
        <v>Chào mừng bạn đến Pia Carrot</v>
      </c>
      <c r="E494" s="4" t="str">
        <f ca="1">IFERROR(__xludf.DUMMYFUNCTION("GOOGLETRANSLATE(C494,""ja"",""vi"")"),"Đấu giá&gt; Đồ chơi, trò chơi&gt; Hình&gt; Chào mừng bạn đến với nhân vật trò chơi&gt; Pia Carrot")</f>
        <v>Đấu giá&gt; Đồ chơi, trò chơi&gt; Hình&gt; Chào mừng bạn đến với nhân vật trò chơi&gt; Pia Carrot</v>
      </c>
      <c r="F494" t="str">
        <f t="shared" ca="1" si="7"/>
        <v>"2084236103" : "Chào mừng bạn đến Pia Carrot",</v>
      </c>
    </row>
    <row r="495" spans="1:6" ht="15.75" customHeight="1">
      <c r="A495" s="14">
        <v>2084236102</v>
      </c>
      <c r="B495" s="14" t="s">
        <v>3058</v>
      </c>
      <c r="C495" s="14" t="s">
        <v>3061</v>
      </c>
      <c r="D495" s="5" t="str">
        <f ca="1">IFERROR(__xludf.DUMMYFUNCTION("GOOGLETRANSLATE(B495,""ja"",""vi"")"),"ToHeart2")</f>
        <v>ToHeart2</v>
      </c>
      <c r="E495" s="4" t="str">
        <f ca="1">IFERROR(__xludf.DUMMYFUNCTION("GOOGLETRANSLATE(C495,""ja"",""vi"")"),"Đấu giá&gt; đồ chơi, trò chơi&gt; hình&gt; nhân vật game&gt; ToHeart2")</f>
        <v>Đấu giá&gt; đồ chơi, trò chơi&gt; hình&gt; nhân vật game&gt; ToHeart2</v>
      </c>
      <c r="F495" t="str">
        <f t="shared" ca="1" si="7"/>
        <v>"2084236102" : "ToHeart2",</v>
      </c>
    </row>
    <row r="496" spans="1:6" ht="15.75" customHeight="1">
      <c r="A496" s="14">
        <v>2084305391</v>
      </c>
      <c r="B496" s="14" t="s">
        <v>653</v>
      </c>
      <c r="C496" s="14" t="s">
        <v>3066</v>
      </c>
      <c r="D496" s="5" t="str">
        <f ca="1">IFERROR(__xludf.DUMMYFUNCTION("GOOGLETRANSLATE(B496,""ja"",""vi"")"),"siêu Sonico")</f>
        <v>siêu Sonico</v>
      </c>
      <c r="E496" s="4" t="str">
        <f ca="1">IFERROR(__xludf.DUMMYFUNCTION("GOOGLETRANSLATE(C496,""ja"",""vi"")"),"Đấu giá&gt; đồ chơi, trò chơi&gt; hình&gt; nhân vật game&gt; Super Sonico")</f>
        <v>Đấu giá&gt; đồ chơi, trò chơi&gt; hình&gt; nhân vật game&gt; Super Sonico</v>
      </c>
      <c r="F496" t="str">
        <f t="shared" ca="1" si="7"/>
        <v>"2084305391" : "siêu Sonico",</v>
      </c>
    </row>
    <row r="497" spans="1:6" ht="15.75" customHeight="1">
      <c r="A497" s="14">
        <v>2084040566</v>
      </c>
      <c r="B497" s="14" t="s">
        <v>908</v>
      </c>
      <c r="C497" s="14" t="s">
        <v>3074</v>
      </c>
      <c r="D497" s="5" t="str">
        <f ca="1">IFERROR(__xludf.DUMMYFUNCTION("GOOGLETRANSLATE(B497,""ja"",""vi"")"),"Memorial Tokimeki")</f>
        <v>Memorial Tokimeki</v>
      </c>
      <c r="E497" s="4" t="str">
        <f ca="1">IFERROR(__xludf.DUMMYFUNCTION("GOOGLETRANSLATE(C497,""ja"",""vi"")"),"Đấu giá&gt; đồ chơi, trò chơi&gt; hình&gt; nhân vật game&gt; Tokimeki Memorial")</f>
        <v>Đấu giá&gt; đồ chơi, trò chơi&gt; hình&gt; nhân vật game&gt; Tokimeki Memorial</v>
      </c>
      <c r="F497" t="str">
        <f t="shared" ca="1" si="7"/>
        <v>"2084040566" : "Memorial Tokimeki",</v>
      </c>
    </row>
    <row r="498" spans="1:6" ht="15.75" customHeight="1">
      <c r="A498" s="14">
        <v>2084239890</v>
      </c>
      <c r="B498" s="14" t="s">
        <v>3080</v>
      </c>
      <c r="C498" s="14" t="s">
        <v>3081</v>
      </c>
      <c r="D498" s="5" t="str">
        <f ca="1">IFERROR(__xludf.DUMMYFUNCTION("GOOGLETRANSLATE(B498,""ja"",""vi"")"),"Idol Thạc sĩ")</f>
        <v>Idol Thạc sĩ</v>
      </c>
      <c r="E498" s="4" t="str">
        <f ca="1">IFERROR(__xludf.DUMMYFUNCTION("GOOGLETRANSLATE(C498,""ja"",""vi"")"),"Đấu giá&gt; đồ chơi, trò chơi&gt; hình&gt; nhân vật game&gt; The Idol Thạc sĩ")</f>
        <v>Đấu giá&gt; đồ chơi, trò chơi&gt; hình&gt; nhân vật game&gt; The Idol Thạc sĩ</v>
      </c>
      <c r="F498" t="str">
        <f t="shared" ca="1" si="7"/>
        <v>"2084239890" : "Idol Thạc sĩ",</v>
      </c>
    </row>
    <row r="499" spans="1:6" ht="15.75" customHeight="1">
      <c r="A499" s="14">
        <v>2084048365</v>
      </c>
      <c r="B499" s="14" t="s">
        <v>3087</v>
      </c>
      <c r="C499" s="14" t="s">
        <v>3088</v>
      </c>
      <c r="D499" s="5" t="str">
        <f ca="1">IFERROR(__xludf.DUMMYFUNCTION("GOOGLETRANSLATE(B499,""ja"",""vi"")"),"KINGDOM HEARTS")</f>
        <v>KINGDOM HEARTS</v>
      </c>
      <c r="E499" s="4" t="str">
        <f ca="1">IFERROR(__xludf.DUMMYFUNCTION("GOOGLETRANSLATE(C499,""ja"",""vi"")"),"Đấu giá&gt; đồ chơi, trò chơi&gt; hình&gt; nhân vật game&gt; Kingdom Hearts")</f>
        <v>Đấu giá&gt; đồ chơi, trò chơi&gt; hình&gt; nhân vật game&gt; Kingdom Hearts</v>
      </c>
      <c r="F499" t="str">
        <f t="shared" ca="1" si="7"/>
        <v>"2084048365" : "KINGDOM HEARTS",</v>
      </c>
    </row>
    <row r="500" spans="1:6" ht="15.75" customHeight="1">
      <c r="A500" s="14">
        <v>2084236100</v>
      </c>
      <c r="B500" s="14" t="s">
        <v>3093</v>
      </c>
      <c r="C500" s="14" t="s">
        <v>3094</v>
      </c>
      <c r="D500" s="5" t="str">
        <f ca="1">IFERROR(__xludf.DUMMYFUNCTION("GOOGLETRANSLATE(B500,""ja"",""vi"")"),"Blade Queen")</f>
        <v>Blade Queen</v>
      </c>
      <c r="E500" s="4" t="str">
        <f ca="1">IFERROR(__xludf.DUMMYFUNCTION("GOOGLETRANSLATE(C500,""ja"",""vi"")"),"Đấu giá&gt; đồ chơi, trò chơi&gt; hình&gt; nhân vật game&gt; Queen Blade")</f>
        <v>Đấu giá&gt; đồ chơi, trò chơi&gt; hình&gt; nhân vật game&gt; Queen Blade</v>
      </c>
      <c r="F500" t="str">
        <f t="shared" ca="1" si="7"/>
        <v>"2084236100" : "Blade Queen",</v>
      </c>
    </row>
    <row r="501" spans="1:6" ht="15.75" customHeight="1">
      <c r="A501" s="14">
        <v>2084040565</v>
      </c>
      <c r="B501" s="14" t="s">
        <v>2061</v>
      </c>
      <c r="C501" s="14" t="s">
        <v>3099</v>
      </c>
      <c r="D501" s="5" t="str">
        <f ca="1">IFERROR(__xludf.DUMMYFUNCTION("GOOGLETRANSLATE(B501,""ja"",""vi"")"),"Sakura Wars")</f>
        <v>Sakura Wars</v>
      </c>
      <c r="E501" s="4" t="str">
        <f ca="1">IFERROR(__xludf.DUMMYFUNCTION("GOOGLETRANSLATE(C501,""ja"",""vi"")"),"Đấu giá&gt; đồ chơi, trò chơi&gt; hình&gt; nhân vật game&gt; Sakura Wars")</f>
        <v>Đấu giá&gt; đồ chơi, trò chơi&gt; hình&gt; nhân vật game&gt; Sakura Wars</v>
      </c>
      <c r="F501" t="str">
        <f t="shared" ca="1" si="7"/>
        <v>"2084040565" : "Sakura Wars",</v>
      </c>
    </row>
    <row r="502" spans="1:6" ht="15.75" customHeight="1">
      <c r="A502" s="14">
        <v>2084236105</v>
      </c>
      <c r="B502" s="14" t="s">
        <v>3105</v>
      </c>
      <c r="C502" s="14" t="s">
        <v>3106</v>
      </c>
      <c r="D502" s="5" t="str">
        <f ca="1">IFERROR(__xludf.DUMMYFUNCTION("GOOGLETRANSLATE(B502,""ja"",""vi"")"),"Samurai Spirits")</f>
        <v>Samurai Spirits</v>
      </c>
      <c r="E502" s="4" t="str">
        <f ca="1">IFERROR(__xludf.DUMMYFUNCTION("GOOGLETRANSLATE(C502,""ja"",""vi"")"),"Đấu giá&gt; đồ chơi, trò chơi&gt; hình&gt; nhân vật game&gt; Samurai Spirits")</f>
        <v>Đấu giá&gt; đồ chơi, trò chơi&gt; hình&gt; nhân vật game&gt; Samurai Spirits</v>
      </c>
      <c r="F502" t="str">
        <f t="shared" ca="1" si="7"/>
        <v>"2084236105" : "Samurai Spirits",</v>
      </c>
    </row>
    <row r="503" spans="1:6" ht="15.75" customHeight="1">
      <c r="A503" s="14">
        <v>2084236101</v>
      </c>
      <c r="B503" s="14" t="s">
        <v>3111</v>
      </c>
      <c r="C503" s="14" t="s">
        <v>3112</v>
      </c>
      <c r="D503" s="5" t="str">
        <f ca="1">IFERROR(__xludf.DUMMYFUNCTION("GOOGLETRANSLATE(B503,""ja"",""vi"")"),"Shining gió")</f>
        <v>Shining gió</v>
      </c>
      <c r="E503" s="4" t="str">
        <f ca="1">IFERROR(__xludf.DUMMYFUNCTION("GOOGLETRANSLATE(C503,""ja"",""vi"")"),"Đấu giá&gt; đồ chơi, trò chơi&gt; hình&gt; nhân vật game&gt; Shining Gió")</f>
        <v>Đấu giá&gt; đồ chơi, trò chơi&gt; hình&gt; nhân vật game&gt; Shining Gió</v>
      </c>
      <c r="F503" t="str">
        <f t="shared" ca="1" si="7"/>
        <v>"2084236101" : "Shining gió",</v>
      </c>
    </row>
    <row r="504" spans="1:6" ht="15.75" customHeight="1">
      <c r="A504" s="14">
        <v>2084222830</v>
      </c>
      <c r="B504" s="14" t="s">
        <v>3118</v>
      </c>
      <c r="C504" s="14" t="s">
        <v>3120</v>
      </c>
      <c r="D504" s="5" t="str">
        <f ca="1">IFERROR(__xludf.DUMMYFUNCTION("GOOGLETRANSLATE(B504,""ja"",""vi"")"),"super Mario")</f>
        <v>super Mario</v>
      </c>
      <c r="E504" s="4" t="str">
        <f ca="1">IFERROR(__xludf.DUMMYFUNCTION("GOOGLETRANSLATE(C504,""ja"",""vi"")"),"Đấu giá&gt; đồ chơi, trò chơi&gt; hình&gt; nhân vật game&gt; Super Mario")</f>
        <v>Đấu giá&gt; đồ chơi, trò chơi&gt; hình&gt; nhân vật game&gt; Super Mario</v>
      </c>
      <c r="F504" t="str">
        <f t="shared" ca="1" si="7"/>
        <v>"2084222830" : "super Mario",</v>
      </c>
    </row>
    <row r="505" spans="1:6" ht="15.75" customHeight="1">
      <c r="A505" s="14">
        <v>2084236104</v>
      </c>
      <c r="B505" s="14" t="s">
        <v>3127</v>
      </c>
      <c r="C505" s="14" t="s">
        <v>3128</v>
      </c>
      <c r="D505" s="5" t="str">
        <f ca="1">IFERROR(__xludf.DUMMYFUNCTION("GOOGLETRANSLATE(B505,""ja"",""vi"")"),"Super Robot Wars")</f>
        <v>Super Robot Wars</v>
      </c>
      <c r="E505" s="4" t="str">
        <f ca="1">IFERROR(__xludf.DUMMYFUNCTION("GOOGLETRANSLATE(C505,""ja"",""vi"")"),"Đấu giá&gt; đồ chơi, trò chơi&gt; hình&gt; nhân vật game&gt; Super Robot Wars")</f>
        <v>Đấu giá&gt; đồ chơi, trò chơi&gt; hình&gt; nhân vật game&gt; Super Robot Wars</v>
      </c>
      <c r="F505" t="str">
        <f t="shared" ca="1" si="7"/>
        <v>"2084236104" : "Super Robot Wars",</v>
      </c>
    </row>
    <row r="506" spans="1:6" ht="15.75" customHeight="1">
      <c r="A506" s="14">
        <v>2084236580</v>
      </c>
      <c r="B506" s="14" t="s">
        <v>3134</v>
      </c>
      <c r="C506" s="14" t="s">
        <v>3136</v>
      </c>
      <c r="D506" s="5" t="str">
        <f ca="1">IFERROR(__xludf.DUMMYFUNCTION("GOOGLETRANSLATE(B506,""ja"",""vi"")"),"street fighter")</f>
        <v>street fighter</v>
      </c>
      <c r="E506" s="4" t="str">
        <f ca="1">IFERROR(__xludf.DUMMYFUNCTION("GOOGLETRANSLATE(C506,""ja"",""vi"")"),"Đấu giá&gt; đồ chơi, trò chơi&gt; hình&gt; nhân vật game&gt; Street Fighter")</f>
        <v>Đấu giá&gt; đồ chơi, trò chơi&gt; hình&gt; nhân vật game&gt; Street Fighter</v>
      </c>
      <c r="F506" t="str">
        <f t="shared" ca="1" si="7"/>
        <v>"2084236580" : "street fighter",</v>
      </c>
    </row>
    <row r="507" spans="1:6" ht="15.75" customHeight="1">
      <c r="A507" s="14">
        <v>2084040567</v>
      </c>
      <c r="B507" s="14" t="s">
        <v>3142</v>
      </c>
      <c r="C507" s="14" t="s">
        <v>3144</v>
      </c>
      <c r="D507" s="5" t="str">
        <f ca="1">IFERROR(__xludf.DUMMYFUNCTION("GOOGLETRANSLATE(B507,""ja"",""vi"")"),"sentimental Graffiti")</f>
        <v>sentimental Graffiti</v>
      </c>
      <c r="E507" s="4" t="str">
        <f ca="1">IFERROR(__xludf.DUMMYFUNCTION("GOOGLETRANSLATE(C507,""ja"",""vi"")"),"Đấu giá&gt; đồ chơi, trò chơi&gt; hình&gt; nhân vật game&gt; Sentimental Graffiti")</f>
        <v>Đấu giá&gt; đồ chơi, trò chơi&gt; hình&gt; nhân vật game&gt; Sentimental Graffiti</v>
      </c>
      <c r="F507" t="str">
        <f t="shared" ca="1" si="7"/>
        <v>"2084040567" : "sentimental Graffiti",</v>
      </c>
    </row>
    <row r="508" spans="1:6" ht="15.75" customHeight="1">
      <c r="A508" s="14">
        <v>2084040569</v>
      </c>
      <c r="B508" s="14" t="s">
        <v>992</v>
      </c>
      <c r="C508" s="14" t="s">
        <v>3153</v>
      </c>
      <c r="D508" s="5" t="str">
        <f ca="1">IFERROR(__xludf.DUMMYFUNCTION("GOOGLETRANSLATE(B508,""ja"",""vi"")"),"quái vật kỹ thuật số")</f>
        <v>quái vật kỹ thuật số</v>
      </c>
      <c r="E508" s="4" t="str">
        <f ca="1">IFERROR(__xludf.DUMMYFUNCTION("GOOGLETRANSLATE(C508,""ja"",""vi"")"),"Đấu giá&gt; đồ chơi, trò chơi&gt; hình&gt; trò chơi nhân vật&gt; Monsters kỹ thuật số")</f>
        <v>Đấu giá&gt; đồ chơi, trò chơi&gt; hình&gt; trò chơi nhân vật&gt; Monsters kỹ thuật số</v>
      </c>
      <c r="F508" t="str">
        <f t="shared" ca="1" si="7"/>
        <v>"2084040569" : "quái vật kỹ thuật số",</v>
      </c>
    </row>
    <row r="509" spans="1:6" ht="15.75" customHeight="1">
      <c r="A509" s="14">
        <v>2084063700</v>
      </c>
      <c r="B509" s="14" t="s">
        <v>3157</v>
      </c>
      <c r="C509" s="14" t="s">
        <v>3160</v>
      </c>
      <c r="D509" s="5" t="str">
        <f ca="1">IFERROR(__xludf.DUMMYFUNCTION("GOOGLETRANSLATE(B509,""ja"",""vi"")"),"Dead or Alive")</f>
        <v>Dead or Alive</v>
      </c>
      <c r="E509" s="4" t="str">
        <f ca="1">IFERROR(__xludf.DUMMYFUNCTION("GOOGLETRANSLATE(C509,""ja"",""vi"")"),"Đấu giá&gt; đồ chơi, trò chơi&gt; hình&gt; nhân vật game&gt; Dead or Alive")</f>
        <v>Đấu giá&gt; đồ chơi, trò chơi&gt; hình&gt; nhân vật game&gt; Dead or Alive</v>
      </c>
      <c r="F509" t="str">
        <f t="shared" ca="1" si="7"/>
        <v>"2084063700" : "Dead or Alive",</v>
      </c>
    </row>
    <row r="510" spans="1:6" ht="15.75" customHeight="1">
      <c r="A510" s="14">
        <v>2084063703</v>
      </c>
      <c r="B510" s="14" t="s">
        <v>3166</v>
      </c>
      <c r="C510" s="14" t="s">
        <v>3168</v>
      </c>
      <c r="D510" s="5" t="str">
        <f ca="1">IFERROR(__xludf.DUMMYFUNCTION("GOOGLETRANSLATE(B510,""ja"",""vi"")"),"dragon Quest")</f>
        <v>dragon Quest</v>
      </c>
      <c r="E510" s="4" t="str">
        <f ca="1">IFERROR(__xludf.DUMMYFUNCTION("GOOGLETRANSLATE(C510,""ja"",""vi"")"),"Đấu giá&gt; đồ chơi, trò chơi&gt; hình&gt; nhân vật game&gt; Dragon Quest")</f>
        <v>Đấu giá&gt; đồ chơi, trò chơi&gt; hình&gt; nhân vật game&gt; Dragon Quest</v>
      </c>
      <c r="F510" t="str">
        <f t="shared" ca="1" si="7"/>
        <v>"2084063703" : "dragon Quest",</v>
      </c>
    </row>
    <row r="511" spans="1:6" ht="15.75" customHeight="1">
      <c r="A511" s="14">
        <v>2084040568</v>
      </c>
      <c r="B511" s="14" t="s">
        <v>3174</v>
      </c>
      <c r="C511" s="14" t="s">
        <v>3176</v>
      </c>
      <c r="D511" s="5" t="str">
        <f ca="1">IFERROR(__xludf.DUMMYFUNCTION("GOOGLETRANSLATE(B511,""ja"",""vi"")"),"Final fantasy")</f>
        <v>Final fantasy</v>
      </c>
      <c r="E511" s="4" t="str">
        <f ca="1">IFERROR(__xludf.DUMMYFUNCTION("GOOGLETRANSLATE(C511,""ja"",""vi"")"),"Đấu giá&gt; đồ chơi, trò chơi&gt; hình&gt; nhân vật game&gt; Final Fantasy")</f>
        <v>Đấu giá&gt; đồ chơi, trò chơi&gt; hình&gt; nhân vật game&gt; Final Fantasy</v>
      </c>
      <c r="F511" t="str">
        <f t="shared" ca="1" si="7"/>
        <v>"2084040568" : "Final fantasy",</v>
      </c>
    </row>
    <row r="512" spans="1:6" ht="15.75" customHeight="1">
      <c r="A512" s="14">
        <v>2084305394</v>
      </c>
      <c r="B512" s="14" t="s">
        <v>3183</v>
      </c>
      <c r="C512" s="14" t="s">
        <v>3185</v>
      </c>
      <c r="D512" s="5" t="str">
        <f ca="1">IFERROR(__xludf.DUMMYFUNCTION("GOOGLETRANSLATE(B512,""ja"",""vi"")"),"Persona loạt")</f>
        <v>Persona loạt</v>
      </c>
      <c r="E512" s="4" t="str">
        <f ca="1">IFERROR(__xludf.DUMMYFUNCTION("GOOGLETRANSLATE(C512,""ja"",""vi"")"),"Đấu giá&gt; đồ chơi, trò chơi&gt; hình&gt; trò chơi nhân vật&gt; Persona loạt")</f>
        <v>Đấu giá&gt; đồ chơi, trò chơi&gt; hình&gt; trò chơi nhân vật&gt; Persona loạt</v>
      </c>
      <c r="F512" t="str">
        <f t="shared" ca="1" si="7"/>
        <v>"2084305394" : "Persona loạt",</v>
      </c>
    </row>
    <row r="513" spans="1:6" ht="15.75" customHeight="1">
      <c r="A513" s="14">
        <v>2084236581</v>
      </c>
      <c r="B513" s="14" t="s">
        <v>3191</v>
      </c>
      <c r="C513" s="14" t="s">
        <v>3192</v>
      </c>
      <c r="D513" s="5" t="str">
        <f ca="1">IFERROR(__xludf.DUMMYFUNCTION("GOOGLETRANSLATE(B513,""ja"",""vi"")"),"monster Hunter")</f>
        <v>monster Hunter</v>
      </c>
      <c r="E513" s="4" t="str">
        <f ca="1">IFERROR(__xludf.DUMMYFUNCTION("GOOGLETRANSLATE(C513,""ja"",""vi"")"),"Đấu giá&gt; đồ chơi, trò chơi&gt; hình&gt; trò chơi nhân vật&gt; Monster Hunter")</f>
        <v>Đấu giá&gt; đồ chơi, trò chơi&gt; hình&gt; trò chơi nhân vật&gt; Monster Hunter</v>
      </c>
      <c r="F513" t="str">
        <f t="shared" ca="1" si="7"/>
        <v>"2084236581" : "monster Hunter",</v>
      </c>
    </row>
    <row r="514" spans="1:6" ht="15.75" customHeight="1">
      <c r="A514" s="14">
        <v>2084305395</v>
      </c>
      <c r="B514" s="14" t="s">
        <v>3200</v>
      </c>
      <c r="C514" s="14" t="s">
        <v>3201</v>
      </c>
      <c r="D514" s="5" t="str">
        <f ca="1">IFERROR(__xludf.DUMMYFUNCTION("GOOGLETRANSLATE(B514,""ja"",""vi"")"),"love Plus")</f>
        <v>love Plus</v>
      </c>
      <c r="E514" s="4" t="str">
        <f ca="1">IFERROR(__xludf.DUMMYFUNCTION("GOOGLETRANSLATE(C514,""ja"",""vi"")"),"Đấu giá&gt; đồ chơi, trò chơi&gt; hình&gt; nhân vật game&gt; Love Plus")</f>
        <v>Đấu giá&gt; đồ chơi, trò chơi&gt; hình&gt; nhân vật game&gt; Love Plus</v>
      </c>
      <c r="F514" t="str">
        <f t="shared" ref="F514:F577" ca="1" si="8">CONCATENATE(CHAR(34)&amp;"",A514,""&amp;CHAR(34)," : ", CHAR(34)&amp;"",D514,""&amp;CHAR(34),",")</f>
        <v>"2084305395" : "love Plus",</v>
      </c>
    </row>
    <row r="515" spans="1:6" ht="15.75" customHeight="1">
      <c r="A515" s="14">
        <v>2084239892</v>
      </c>
      <c r="B515" s="14" t="s">
        <v>3208</v>
      </c>
      <c r="C515" s="14" t="s">
        <v>3210</v>
      </c>
      <c r="D515" s="5" t="str">
        <f ca="1">IFERROR(__xludf.DUMMYFUNCTION("GOOGLETRANSLATE(B515,""ja"",""vi"")"),"Little Busters!")</f>
        <v>Little Busters!</v>
      </c>
      <c r="E515" s="4" t="str">
        <f ca="1">IFERROR(__xludf.DUMMYFUNCTION("GOOGLETRANSLATE(C515,""ja"",""vi"")"),"Đấu giá&gt; đồ chơi, trò chơi&gt; hình&gt; trò chơi nhân vật&gt; Little Busters!")</f>
        <v>Đấu giá&gt; đồ chơi, trò chơi&gt; hình&gt; trò chơi nhân vật&gt; Little Busters!</v>
      </c>
      <c r="F515" t="str">
        <f t="shared" ca="1" si="8"/>
        <v>"2084239892" : "Little Busters!",</v>
      </c>
    </row>
    <row r="516" spans="1:6" ht="15.75" customHeight="1">
      <c r="A516" s="14">
        <v>2084242881</v>
      </c>
      <c r="B516" s="14" t="s">
        <v>851</v>
      </c>
      <c r="C516" s="14" t="s">
        <v>3215</v>
      </c>
      <c r="D516" s="5" t="str">
        <f ca="1">IFERROR(__xludf.DUMMYFUNCTION("GOOGLETRANSLATE(B516,""ja"",""vi"")"),"Sengoku Basara")</f>
        <v>Sengoku Basara</v>
      </c>
      <c r="E516" s="4" t="str">
        <f ca="1">IFERROR(__xludf.DUMMYFUNCTION("GOOGLETRANSLATE(C516,""ja"",""vi"")"),"Đấu giá&gt; đồ chơi, trò chơi&gt; hình&gt; nhân vật game&gt; Sengoku BASABA")</f>
        <v>Đấu giá&gt; đồ chơi, trò chơi&gt; hình&gt; nhân vật game&gt; Sengoku BASABA</v>
      </c>
      <c r="F516" t="str">
        <f t="shared" ca="1" si="8"/>
        <v>"2084242881" : "Sengoku Basara",</v>
      </c>
    </row>
    <row r="517" spans="1:6" ht="15.75" customHeight="1">
      <c r="A517" s="14">
        <v>2084242882</v>
      </c>
      <c r="B517" s="14" t="s">
        <v>1142</v>
      </c>
      <c r="C517" s="14" t="s">
        <v>3222</v>
      </c>
      <c r="D517" s="5" t="str">
        <f ca="1">IFERROR(__xludf.DUMMYFUNCTION("GOOGLETRANSLATE(B517,""ja"",""vi"")"),"Dự án Đông")</f>
        <v>Dự án Đông</v>
      </c>
      <c r="E517" s="4" t="str">
        <f ca="1">IFERROR(__xludf.DUMMYFUNCTION("GOOGLETRANSLATE(C517,""ja"",""vi"")"),"Đấu giá&gt; đồ chơi, trò chơi&gt; hình&gt; nhân vật game&gt; Touhou Project")</f>
        <v>Đấu giá&gt; đồ chơi, trò chơi&gt; hình&gt; nhân vật game&gt; Touhou Project</v>
      </c>
      <c r="F517" t="str">
        <f t="shared" ca="1" si="8"/>
        <v>"2084242882" : "Dự án Đông",</v>
      </c>
    </row>
    <row r="518" spans="1:6" ht="15.75" customHeight="1">
      <c r="A518" s="14">
        <v>2084236099</v>
      </c>
      <c r="B518" s="14" t="s">
        <v>3228</v>
      </c>
      <c r="C518" s="14" t="s">
        <v>3229</v>
      </c>
      <c r="D518" s="5" t="str">
        <f ca="1">IFERROR(__xludf.DUMMYFUNCTION("GOOGLETRANSLATE(B518,""ja"",""vi"")"),"vũ trang Shinki")</f>
        <v>vũ trang Shinki</v>
      </c>
      <c r="E518" s="4" t="str">
        <f ca="1">IFERROR(__xludf.DUMMYFUNCTION("GOOGLETRANSLATE(C518,""ja"",""vi"")"),"Đấu giá&gt; đồ chơi, trò chơi&gt; hình&gt; nhân vật game&gt; trang Shinki")</f>
        <v>Đấu giá&gt; đồ chơi, trò chơi&gt; hình&gt; nhân vật game&gt; trang Shinki</v>
      </c>
      <c r="F518" t="str">
        <f t="shared" ca="1" si="8"/>
        <v>"2084236099" : "vũ trang Shinki",</v>
      </c>
    </row>
    <row r="519" spans="1:6" ht="15.75" customHeight="1">
      <c r="A519" s="14">
        <v>2084040570</v>
      </c>
      <c r="B519" s="14" t="s">
        <v>46</v>
      </c>
      <c r="C519" s="14" t="s">
        <v>3236</v>
      </c>
      <c r="D519" s="5" t="str">
        <f ca="1">IFERROR(__xludf.DUMMYFUNCTION("GOOGLETRANSLATE(B519,""ja"",""vi"")"),"nếu không thì")</f>
        <v>nếu không thì</v>
      </c>
      <c r="E519" s="4" t="str">
        <f ca="1">IFERROR(__xludf.DUMMYFUNCTION("GOOGLETRANSLATE(C519,""ja"",""vi"")"),"Đấu giá&gt; đồ chơi, trò chơi&gt; hình&gt; nhân vật trò chơi&gt; Khác")</f>
        <v>Đấu giá&gt; đồ chơi, trò chơi&gt; hình&gt; nhân vật trò chơi&gt; Khác</v>
      </c>
      <c r="F519" t="str">
        <f t="shared" ca="1" si="8"/>
        <v>"2084040570" : "nếu không thì",</v>
      </c>
    </row>
    <row r="520" spans="1:6" ht="15.75" customHeight="1">
      <c r="A520" s="14">
        <v>2084040561</v>
      </c>
      <c r="B520" s="14" t="s">
        <v>3242</v>
      </c>
      <c r="C520" s="14" t="s">
        <v>3245</v>
      </c>
      <c r="D520" s="5" t="str">
        <f ca="1">IFERROR(__xludf.DUMMYFUNCTION("GOOGLETRANSLATE(B520,""ja"",""vi"")"),"Friday the 13th")</f>
        <v>Friday the 13th</v>
      </c>
      <c r="E520" s="4" t="str">
        <f ca="1">IFERROR(__xludf.DUMMYFUNCTION("GOOGLETRANSLATE(C520,""ja"",""vi"")"),"Đấu giá&gt; đồ chơi, trò chơi&gt; hình&gt; SF, tưởng tượng, kinh dị&gt; Friday the 13th")</f>
        <v>Đấu giá&gt; đồ chơi, trò chơi&gt; hình&gt; SF, tưởng tượng, kinh dị&gt; Friday the 13th</v>
      </c>
      <c r="F520" t="str">
        <f t="shared" ca="1" si="8"/>
        <v>"2084040561" : "Friday the 13th",</v>
      </c>
    </row>
    <row r="521" spans="1:6" ht="15.75" customHeight="1">
      <c r="A521" s="14">
        <v>2084242884</v>
      </c>
      <c r="B521" s="14" t="s">
        <v>3252</v>
      </c>
      <c r="C521" s="14" t="s">
        <v>3256</v>
      </c>
      <c r="D521" s="5" t="str">
        <f ca="1">IFERROR(__xludf.DUMMYFUNCTION("GOOGLETRANSLATE(B521,""ja"",""vi"")"),"iron Man")</f>
        <v>iron Man</v>
      </c>
      <c r="E521" s="4" t="str">
        <f ca="1">IFERROR(__xludf.DUMMYFUNCTION("GOOGLETRANSLATE(C521,""ja"",""vi"")"),"Đấu giá&gt; đồ chơi, trò chơi&gt; hình&gt; SF, tưởng tượng, kinh dị&gt; Iron Man")</f>
        <v>Đấu giá&gt; đồ chơi, trò chơi&gt; hình&gt; SF, tưởng tượng, kinh dị&gt; Iron Man</v>
      </c>
      <c r="F521" t="str">
        <f t="shared" ca="1" si="8"/>
        <v>"2084242884" : "iron Man",</v>
      </c>
    </row>
    <row r="522" spans="1:6" ht="15.75" customHeight="1">
      <c r="A522" s="14">
        <v>2084040558</v>
      </c>
      <c r="B522" s="14" t="s">
        <v>3263</v>
      </c>
      <c r="C522" s="14" t="s">
        <v>3265</v>
      </c>
      <c r="D522" s="5" t="str">
        <f ca="1">IFERROR(__xludf.DUMMYFUNCTION("GOOGLETRANSLATE(B522,""ja"",""vi"")"),"Alien")</f>
        <v>Alien</v>
      </c>
      <c r="E522" s="4" t="str">
        <f ca="1">IFERROR(__xludf.DUMMYFUNCTION("GOOGLETRANSLATE(C522,""ja"",""vi"")"),"Đấu giá&gt; đồ chơi, trò chơi&gt; hình&gt; SF, tưởng tượng, kinh dị&gt; Alien")</f>
        <v>Đấu giá&gt; đồ chơi, trò chơi&gt; hình&gt; SF, tưởng tượng, kinh dị&gt; Alien</v>
      </c>
      <c r="F522" t="str">
        <f t="shared" ca="1" si="8"/>
        <v>"2084040558" : "Alien",</v>
      </c>
    </row>
    <row r="523" spans="1:6" ht="15.75" customHeight="1">
      <c r="A523" s="14">
        <v>2084040560</v>
      </c>
      <c r="B523" s="14" t="s">
        <v>3271</v>
      </c>
      <c r="C523" s="14" t="s">
        <v>3273</v>
      </c>
      <c r="D523" s="5" t="str">
        <f ca="1">IFERROR(__xludf.DUMMYFUNCTION("GOOGLETRANSLATE(B523,""ja"",""vi"")"),"Nightmare on Elm Street")</f>
        <v>Nightmare on Elm Street</v>
      </c>
      <c r="E523" s="4" t="str">
        <f ca="1">IFERROR(__xludf.DUMMYFUNCTION("GOOGLETRANSLATE(C523,""ja"",""vi"")"),"Đấu giá&gt; đồ chơi, trò chơi&gt; hình&gt; SF, tưởng tượng, kinh dị&gt; Nightmare on Elm Street")</f>
        <v>Đấu giá&gt; đồ chơi, trò chơi&gt; hình&gt; SF, tưởng tượng, kinh dị&gt; Nightmare on Elm Street</v>
      </c>
      <c r="F523" t="str">
        <f t="shared" ca="1" si="8"/>
        <v>"2084040560" : "Nightmare on Elm Street",</v>
      </c>
    </row>
    <row r="524" spans="1:6" ht="15.75" customHeight="1">
      <c r="A524" s="14">
        <v>2084040585</v>
      </c>
      <c r="B524" s="14" t="s">
        <v>3278</v>
      </c>
      <c r="C524" s="14" t="s">
        <v>3280</v>
      </c>
      <c r="D524" s="5" t="str">
        <f ca="1">IFERROR(__xludf.DUMMYFUNCTION("GOOGLETRANSLATE(B524,""ja"",""vi"")"),"The Nightmare Before Christmas")</f>
        <v>The Nightmare Before Christmas</v>
      </c>
      <c r="E524" s="4" t="str">
        <f ca="1">IFERROR(__xludf.DUMMYFUNCTION("GOOGLETRANSLATE(C524,""ja"",""vi"")"),"Đấu giá&gt; đồ chơi, trò chơi&gt; hình&gt; SF, tưởng tượng, kinh dị&gt; The Nightmare Before Christmas")</f>
        <v>Đấu giá&gt; đồ chơi, trò chơi&gt; hình&gt; SF, tưởng tượng, kinh dị&gt; The Nightmare Before Christmas</v>
      </c>
      <c r="F524" t="str">
        <f t="shared" ca="1" si="8"/>
        <v>"2084040585" : "The Nightmare Before Christmas",</v>
      </c>
    </row>
    <row r="525" spans="1:6" ht="15.75" customHeight="1">
      <c r="A525" s="14">
        <v>40577</v>
      </c>
      <c r="B525" s="14" t="s">
        <v>3286</v>
      </c>
      <c r="C525" s="14" t="s">
        <v>3288</v>
      </c>
      <c r="D525" s="5" t="str">
        <f ca="1">IFERROR(__xludf.DUMMYFUNCTION("GOOGLETRANSLATE(B525,""ja"",""vi"")"),"Star Wars loạt")</f>
        <v>Star Wars loạt</v>
      </c>
      <c r="E525" s="4" t="str">
        <f ca="1">IFERROR(__xludf.DUMMYFUNCTION("GOOGLETRANSLATE(C525,""ja"",""vi"")"),"Đấu giá&gt; đồ chơi, trò chơi&gt; hình&gt; SF, tưởng tượng, kinh dị&gt; Star Wars loạt")</f>
        <v>Đấu giá&gt; đồ chơi, trò chơi&gt; hình&gt; SF, tưởng tượng, kinh dị&gt; Star Wars loạt</v>
      </c>
      <c r="F525" t="str">
        <f t="shared" ca="1" si="8"/>
        <v>"40577" : "Star Wars loạt",</v>
      </c>
    </row>
    <row r="526" spans="1:6" ht="15.75" customHeight="1">
      <c r="A526" s="14">
        <v>2084023848</v>
      </c>
      <c r="B526" s="14" t="s">
        <v>3293</v>
      </c>
      <c r="C526" s="14" t="s">
        <v>3295</v>
      </c>
      <c r="D526" s="5" t="str">
        <f ca="1">IFERROR(__xludf.DUMMYFUNCTION("GOOGLETRANSLATE(B526,""ja"",""vi"")"),"star trek")</f>
        <v>star trek</v>
      </c>
      <c r="E526" s="4" t="str">
        <f ca="1">IFERROR(__xludf.DUMMYFUNCTION("GOOGLETRANSLATE(C526,""ja"",""vi"")"),"Đấu giá&gt; đồ chơi, trò chơi&gt; hình&gt; SF, tưởng tượng, kinh dị&gt; Star Trek")</f>
        <v>Đấu giá&gt; đồ chơi, trò chơi&gt; hình&gt; SF, tưởng tượng, kinh dị&gt; Star Trek</v>
      </c>
      <c r="F526" t="str">
        <f t="shared" ca="1" si="8"/>
        <v>"2084023848" : "star trek",</v>
      </c>
    </row>
    <row r="527" spans="1:6" ht="15.75" customHeight="1">
      <c r="A527" s="14">
        <v>2084242883</v>
      </c>
      <c r="B527" s="14" t="s">
        <v>3299</v>
      </c>
      <c r="C527" s="14" t="s">
        <v>3300</v>
      </c>
      <c r="D527" s="5" t="str">
        <f ca="1">IFERROR(__xludf.DUMMYFUNCTION("GOOGLETRANSLATE(B527,""ja"",""vi"")"),"Terminator")</f>
        <v>Terminator</v>
      </c>
      <c r="E527" s="4" t="str">
        <f ca="1">IFERROR(__xludf.DUMMYFUNCTION("GOOGLETRANSLATE(C527,""ja"",""vi"")"),"Đấu giá&gt; đồ chơi, trò chơi&gt; hình&gt; SF, tưởng tượng, kinh dị&gt; terminator")</f>
        <v>Đấu giá&gt; đồ chơi, trò chơi&gt; hình&gt; SF, tưởng tượng, kinh dị&gt; terminator</v>
      </c>
      <c r="F527" t="str">
        <f t="shared" ca="1" si="8"/>
        <v>"2084242883" : "Terminator",</v>
      </c>
    </row>
    <row r="528" spans="1:6" ht="15.75" customHeight="1">
      <c r="A528" s="14">
        <v>2084040559</v>
      </c>
      <c r="B528" s="14" t="s">
        <v>3303</v>
      </c>
      <c r="C528" s="14" t="s">
        <v>3304</v>
      </c>
      <c r="D528" s="5" t="str">
        <f ca="1">IFERROR(__xludf.DUMMYFUNCTION("GOOGLETRANSLATE(B528,""ja"",""vi"")"),"Predator")</f>
        <v>Predator</v>
      </c>
      <c r="E528" s="4" t="str">
        <f ca="1">IFERROR(__xludf.DUMMYFUNCTION("GOOGLETRANSLATE(C528,""ja"",""vi"")"),"Đấu giá&gt; đồ chơi, trò chơi&gt; hình&gt; SF, tưởng tượng, kinh dị&gt; Predator")</f>
        <v>Đấu giá&gt; đồ chơi, trò chơi&gt; hình&gt; SF, tưởng tượng, kinh dị&gt; Predator</v>
      </c>
      <c r="F528" t="str">
        <f t="shared" ca="1" si="8"/>
        <v>"2084040559" : "Predator",</v>
      </c>
    </row>
    <row r="529" spans="1:6" ht="15.75" customHeight="1">
      <c r="A529" s="14">
        <v>2084040563</v>
      </c>
      <c r="B529" s="14" t="s">
        <v>3308</v>
      </c>
      <c r="C529" s="14" t="s">
        <v>3309</v>
      </c>
      <c r="D529" s="5" t="str">
        <f ca="1">IFERROR(__xludf.DUMMYFUNCTION("GOOGLETRANSLATE(B529,""ja"",""vi"")"),"Planet of the Apes")</f>
        <v>Planet of the Apes</v>
      </c>
      <c r="E529" s="4" t="str">
        <f ca="1">IFERROR(__xludf.DUMMYFUNCTION("GOOGLETRANSLATE(C529,""ja"",""vi"")"),"Đấu giá&gt; đồ chơi, trò chơi&gt; hình&gt; SF, tưởng tượng, kinh dị&gt; Planet of the Apes")</f>
        <v>Đấu giá&gt; đồ chơi, trò chơi&gt; hình&gt; SF, tưởng tượng, kinh dị&gt; Planet of the Apes</v>
      </c>
      <c r="F529" t="str">
        <f t="shared" ca="1" si="8"/>
        <v>"2084040563" : "Planet of the Apes",</v>
      </c>
    </row>
    <row r="530" spans="1:6" ht="15.75" customHeight="1">
      <c r="A530" s="14">
        <v>2084046903</v>
      </c>
      <c r="B530" s="14" t="s">
        <v>46</v>
      </c>
      <c r="C530" s="14" t="s">
        <v>3313</v>
      </c>
      <c r="D530" s="5" t="str">
        <f ca="1">IFERROR(__xludf.DUMMYFUNCTION("GOOGLETRANSLATE(B530,""ja"",""vi"")"),"nếu không thì")</f>
        <v>nếu không thì</v>
      </c>
      <c r="E530" s="4" t="str">
        <f ca="1">IFERROR(__xludf.DUMMYFUNCTION("GOOGLETRANSLATE(C530,""ja"",""vi"")"),"Đấu giá&gt; đồ chơi, trò chơi&gt; hình&gt; SF, tưởng tượng, kinh dị&gt; Khác")</f>
        <v>Đấu giá&gt; đồ chơi, trò chơi&gt; hình&gt; SF, tưởng tượng, kinh dị&gt; Khác</v>
      </c>
      <c r="F530" t="str">
        <f t="shared" ca="1" si="8"/>
        <v>"2084046903" : "nếu không thì",</v>
      </c>
    </row>
    <row r="531" spans="1:6" ht="15.75" customHeight="1">
      <c r="A531" s="14">
        <v>2084023775</v>
      </c>
      <c r="B531" s="14" t="s">
        <v>3317</v>
      </c>
      <c r="C531" s="14" t="s">
        <v>3318</v>
      </c>
      <c r="D531" s="5" t="str">
        <f ca="1">IFERROR(__xludf.DUMMYFUNCTION("GOOGLETRANSLATE(B531,""ja"",""vi"")"),"X-Men")</f>
        <v>X-Men</v>
      </c>
      <c r="E531" s="4" t="str">
        <f ca="1">IFERROR(__xludf.DUMMYFUNCTION("GOOGLETRANSLATE(C531,""ja"",""vi"")"),"Đấu giá&gt; Đồ chơi, trò chơi&gt; Hình&gt; Mỹ truyện tranh&gt; X-Men")</f>
        <v>Đấu giá&gt; Đồ chơi, trò chơi&gt; Hình&gt; Mỹ truyện tranh&gt; X-Men</v>
      </c>
      <c r="F531" t="str">
        <f t="shared" ca="1" si="8"/>
        <v>"2084023775" : "X-Men",</v>
      </c>
    </row>
    <row r="532" spans="1:6" ht="15.75" customHeight="1">
      <c r="A532" s="14">
        <v>2084023772</v>
      </c>
      <c r="B532" s="14" t="s">
        <v>3322</v>
      </c>
      <c r="C532" s="14" t="s">
        <v>3324</v>
      </c>
      <c r="D532" s="5" t="str">
        <f ca="1">IFERROR(__xludf.DUMMYFUNCTION("GOOGLETRANSLATE(B532,""ja"",""vi"")"),"siêu nhân")</f>
        <v>siêu nhân</v>
      </c>
      <c r="E532" s="4" t="str">
        <f ca="1">IFERROR(__xludf.DUMMYFUNCTION("GOOGLETRANSLATE(C532,""ja"",""vi"")"),"Đấu giá&gt; Đồ chơi, trò chơi&gt; Hình&gt; truyện tranh Mỹ&gt; Superman")</f>
        <v>Đấu giá&gt; Đồ chơi, trò chơi&gt; Hình&gt; truyện tranh Mỹ&gt; Superman</v>
      </c>
      <c r="F532" t="str">
        <f t="shared" ca="1" si="8"/>
        <v>"2084023772" : "siêu nhân",</v>
      </c>
    </row>
    <row r="533" spans="1:6" ht="15.75" customHeight="1">
      <c r="A533" s="14">
        <v>2084023771</v>
      </c>
      <c r="B533" s="14" t="s">
        <v>3327</v>
      </c>
      <c r="C533" s="14" t="s">
        <v>3328</v>
      </c>
      <c r="D533" s="5" t="str">
        <f ca="1">IFERROR(__xludf.DUMMYFUNCTION("GOOGLETRANSLATE(B533,""ja"",""vi"")"),"Spider man")</f>
        <v>Spider man</v>
      </c>
      <c r="E533" s="4" t="str">
        <f ca="1">IFERROR(__xludf.DUMMYFUNCTION("GOOGLETRANSLATE(C533,""ja"",""vi"")"),"Đấu giá&gt; Đồ chơi, trò chơi&gt; Hình&gt; Mỹ truyện tranh&gt; Spider-Man")</f>
        <v>Đấu giá&gt; Đồ chơi, trò chơi&gt; Hình&gt; Mỹ truyện tranh&gt; Spider-Man</v>
      </c>
      <c r="F533" t="str">
        <f t="shared" ca="1" si="8"/>
        <v>"2084023771" : "Spider man",</v>
      </c>
    </row>
    <row r="534" spans="1:6" ht="15.75" customHeight="1">
      <c r="A534" s="14">
        <v>2084040694</v>
      </c>
      <c r="B534" s="14" t="s">
        <v>3333</v>
      </c>
      <c r="C534" s="14" t="s">
        <v>3335</v>
      </c>
      <c r="D534" s="5" t="str">
        <f ca="1">IFERROR(__xludf.DUMMYFUNCTION("GOOGLETRANSLATE(B534,""ja"",""vi"")"),"đẻ trứng")</f>
        <v>đẻ trứng</v>
      </c>
      <c r="E534" s="4" t="str">
        <f ca="1">IFERROR(__xludf.DUMMYFUNCTION("GOOGLETRANSLATE(C534,""ja"",""vi"")"),"Đấu giá&gt; Đồ chơi, trò chơi&gt; Hình&gt; Mỹ truyện tranh&gt; spawn")</f>
        <v>Đấu giá&gt; Đồ chơi, trò chơi&gt; Hình&gt; Mỹ truyện tranh&gt; spawn</v>
      </c>
      <c r="F534" t="str">
        <f t="shared" ca="1" si="8"/>
        <v>"2084040694" : "đẻ trứng",</v>
      </c>
    </row>
    <row r="535" spans="1:6" ht="15.75" customHeight="1">
      <c r="A535" s="14">
        <v>2084023773</v>
      </c>
      <c r="B535" s="14" t="s">
        <v>3342</v>
      </c>
      <c r="C535" s="14" t="s">
        <v>3344</v>
      </c>
      <c r="D535" s="5" t="str">
        <f ca="1">IFERROR(__xludf.DUMMYFUNCTION("GOOGLETRANSLATE(B535,""ja"",""vi"")"),"người phi thường")</f>
        <v>người phi thường</v>
      </c>
      <c r="E535" s="4" t="str">
        <f ca="1">IFERROR(__xludf.DUMMYFUNCTION("GOOGLETRANSLATE(C535,""ja"",""vi"")"),"Đấu giá&gt; Đồ chơi, trò chơi&gt; Hình&gt; truyện tranh Mỹ&gt; Batman")</f>
        <v>Đấu giá&gt; Đồ chơi, trò chơi&gt; Hình&gt; truyện tranh Mỹ&gt; Batman</v>
      </c>
      <c r="F535" t="str">
        <f t="shared" ca="1" si="8"/>
        <v>"2084023773" : "người phi thường",</v>
      </c>
    </row>
    <row r="536" spans="1:6" ht="15.75" customHeight="1">
      <c r="A536" s="14">
        <v>2084023777</v>
      </c>
      <c r="B536" s="14" t="s">
        <v>46</v>
      </c>
      <c r="C536" s="14" t="s">
        <v>3350</v>
      </c>
      <c r="D536" s="5" t="str">
        <f ca="1">IFERROR(__xludf.DUMMYFUNCTION("GOOGLETRANSLATE(B536,""ja"",""vi"")"),"nếu không thì")</f>
        <v>nếu không thì</v>
      </c>
      <c r="E536" s="4" t="str">
        <f ca="1">IFERROR(__xludf.DUMMYFUNCTION("GOOGLETRANSLATE(C536,""ja"",""vi"")"),"Đấu giá&gt; Đồ chơi, trò chơi&gt; Hình&gt; truyện tranh Mỹ&gt; Khác")</f>
        <v>Đấu giá&gt; Đồ chơi, trò chơi&gt; Hình&gt; truyện tranh Mỹ&gt; Khác</v>
      </c>
      <c r="F536" t="str">
        <f t="shared" ca="1" si="8"/>
        <v>"2084023777" : "nếu không thì",</v>
      </c>
    </row>
    <row r="537" spans="1:6" ht="15.75" customHeight="1">
      <c r="A537" s="14">
        <v>2084023792</v>
      </c>
      <c r="B537" s="14" t="s">
        <v>1262</v>
      </c>
      <c r="C537" s="14" t="s">
        <v>3356</v>
      </c>
      <c r="D537" s="5" t="str">
        <f ca="1">IFERROR(__xludf.DUMMYFUNCTION("GOOGLETRANSLATE(B537,""ja"",""vi"")"),"bóng đá")</f>
        <v>bóng đá</v>
      </c>
      <c r="E537" s="4" t="str">
        <f ca="1">IFERROR(__xludf.DUMMYFUNCTION("GOOGLETRANSLATE(C537,""ja"",""vi"")"),"Đấu giá&gt; Đồ chơi, trò chơi&gt; Hình&gt; Thể thao&gt; Bóng đá")</f>
        <v>Đấu giá&gt; Đồ chơi, trò chơi&gt; Hình&gt; Thể thao&gt; Bóng đá</v>
      </c>
      <c r="F537" t="str">
        <f t="shared" ca="1" si="8"/>
        <v>"2084023792" : "bóng đá",</v>
      </c>
    </row>
    <row r="538" spans="1:6" ht="15.75" customHeight="1">
      <c r="A538" s="14">
        <v>2084023793</v>
      </c>
      <c r="B538" s="14" t="s">
        <v>3362</v>
      </c>
      <c r="C538" s="14" t="s">
        <v>3363</v>
      </c>
      <c r="D538" s="5" t="str">
        <f ca="1">IFERROR(__xludf.DUMMYFUNCTION("GOOGLETRANSLATE(B538,""ja"",""vi"")"),"cái giỏ")</f>
        <v>cái giỏ</v>
      </c>
      <c r="E538" s="4" t="str">
        <f ca="1">IFERROR(__xludf.DUMMYFUNCTION("GOOGLETRANSLATE(C538,""ja"",""vi"")"),"Đấu giá&gt; Đồ chơi, trò chơi&gt; Hình&gt; Thể Thao&gt; giỏ")</f>
        <v>Đấu giá&gt; Đồ chơi, trò chơi&gt; Hình&gt; Thể Thao&gt; giỏ</v>
      </c>
      <c r="F538" t="str">
        <f t="shared" ca="1" si="8"/>
        <v>"2084023793" : "cái giỏ",</v>
      </c>
    </row>
    <row r="539" spans="1:6" ht="15.75" customHeight="1">
      <c r="A539" s="14">
        <v>2084023790</v>
      </c>
      <c r="B539" s="14" t="s">
        <v>3368</v>
      </c>
      <c r="C539" s="14" t="s">
        <v>3369</v>
      </c>
      <c r="D539" s="5" t="str">
        <f ca="1">IFERROR(__xludf.DUMMYFUNCTION("GOOGLETRANSLATE(B539,""ja"",""vi"")"),"Đấu vật, võ thuật")</f>
        <v>Đấu vật, võ thuật</v>
      </c>
      <c r="E539" s="4" t="str">
        <f ca="1">IFERROR(__xludf.DUMMYFUNCTION("GOOGLETRANSLATE(C539,""ja"",""vi"")"),"Đấu giá&gt; Đồ chơi, trò chơi&gt; Hình&gt; Thể thao&gt; Pro Wrestling, Võ")</f>
        <v>Đấu giá&gt; Đồ chơi, trò chơi&gt; Hình&gt; Thể thao&gt; Pro Wrestling, Võ</v>
      </c>
      <c r="F539" t="str">
        <f t="shared" ca="1" si="8"/>
        <v>"2084023790" : "Đấu vật, võ thuật",</v>
      </c>
    </row>
    <row r="540" spans="1:6" ht="15.75" customHeight="1">
      <c r="A540" s="14">
        <v>2084023791</v>
      </c>
      <c r="B540" s="14" t="s">
        <v>3375</v>
      </c>
      <c r="C540" s="14" t="s">
        <v>3377</v>
      </c>
      <c r="D540" s="5" t="str">
        <f ca="1">IFERROR(__xludf.DUMMYFUNCTION("GOOGLETRANSLATE(B540,""ja"",""vi"")"),"bóng chày chuyên nghiệp")</f>
        <v>bóng chày chuyên nghiệp</v>
      </c>
      <c r="E540" s="4" t="str">
        <f ca="1">IFERROR(__xludf.DUMMYFUNCTION("GOOGLETRANSLATE(C540,""ja"",""vi"")"),"Đấu giá&gt; Đồ chơi, trò chơi&gt; Hình&gt; Thể thao&gt; Bóng chày")</f>
        <v>Đấu giá&gt; Đồ chơi, trò chơi&gt; Hình&gt; Thể thao&gt; Bóng chày</v>
      </c>
      <c r="F540" t="str">
        <f t="shared" ca="1" si="8"/>
        <v>"2084023791" : "bóng chày chuyên nghiệp",</v>
      </c>
    </row>
    <row r="541" spans="1:6" ht="15.75" customHeight="1">
      <c r="A541" s="14">
        <v>2084023794</v>
      </c>
      <c r="B541" s="14" t="s">
        <v>46</v>
      </c>
      <c r="C541" s="14" t="s">
        <v>3384</v>
      </c>
      <c r="D541" s="5" t="str">
        <f ca="1">IFERROR(__xludf.DUMMYFUNCTION("GOOGLETRANSLATE(B541,""ja"",""vi"")"),"nếu không thì")</f>
        <v>nếu không thì</v>
      </c>
      <c r="E541" s="4" t="str">
        <f ca="1">IFERROR(__xludf.DUMMYFUNCTION("GOOGLETRANSLATE(C541,""ja"",""vi"")"),"Đấu giá&gt; Đồ chơi, trò chơi&gt; Hình&gt; Thể Thao&gt; Khác")</f>
        <v>Đấu giá&gt; Đồ chơi, trò chơi&gt; Hình&gt; Thể Thao&gt; Khác</v>
      </c>
      <c r="F541" t="str">
        <f t="shared" ca="1" si="8"/>
        <v>"2084023794" : "nếu không thì",</v>
      </c>
    </row>
    <row r="542" spans="1:6" ht="15.75" customHeight="1">
      <c r="A542" s="14">
        <v>2084023610</v>
      </c>
      <c r="B542" s="14" t="s">
        <v>3388</v>
      </c>
      <c r="C542" s="14" t="s">
        <v>3390</v>
      </c>
      <c r="D542" s="5" t="str">
        <f ca="1">IFERROR(__xludf.DUMMYFUNCTION("GOOGLETRANSLATE(B542,""ja"",""vi"")"),"G.I. Joe")</f>
        <v>G.I. Joe</v>
      </c>
      <c r="E542" s="4" t="str">
        <f ca="1">IFERROR(__xludf.DUMMYFUNCTION("GOOGLETRANSLATE(C542,""ja"",""vi"")"),"Đấu giá&gt; Đồ chơi, trò chơi&gt; Hình&gt; Quân sự&gt; G.I. Joe")</f>
        <v>Đấu giá&gt; Đồ chơi, trò chơi&gt; Hình&gt; Quân sự&gt; G.I. Joe</v>
      </c>
      <c r="F542" t="str">
        <f t="shared" ca="1" si="8"/>
        <v>"2084023610" : "G.I. Joe",</v>
      </c>
    </row>
    <row r="543" spans="1:6" ht="15.75" customHeight="1">
      <c r="A543" s="14">
        <v>2084236098</v>
      </c>
      <c r="B543" s="14" t="s">
        <v>3396</v>
      </c>
      <c r="C543" s="14" t="s">
        <v>3397</v>
      </c>
      <c r="D543" s="5" t="str">
        <f ca="1">IFERROR(__xludf.DUMMYFUNCTION("GOOGLETRANSLATE(B543,""ja"",""vi"")"),"Cô gái làm mát")</f>
        <v>Cô gái làm mát</v>
      </c>
      <c r="E543" s="4" t="str">
        <f ca="1">IFERROR(__xludf.DUMMYFUNCTION("GOOGLETRANSLATE(C543,""ja"",""vi"")"),"Đấu giá&gt; Đồ chơi, trò chơi&gt; Hình&gt; Quân sự&gt; Cool Girl")</f>
        <v>Đấu giá&gt; Đồ chơi, trò chơi&gt; Hình&gt; Quân sự&gt; Cool Girl</v>
      </c>
      <c r="F543" t="str">
        <f t="shared" ca="1" si="8"/>
        <v>"2084236098" : "Cô gái làm mát",</v>
      </c>
    </row>
    <row r="544" spans="1:6" ht="15.75" customHeight="1">
      <c r="A544" s="14">
        <v>2084023618</v>
      </c>
      <c r="B544" s="14" t="s">
        <v>3403</v>
      </c>
      <c r="C544" s="14" t="s">
        <v>3404</v>
      </c>
      <c r="D544" s="5" t="str">
        <f ca="1">IFERROR(__xludf.DUMMYFUNCTION("GOOGLETRANSLATE(B544,""ja"",""vi"")"),"quân phục, quần áo")</f>
        <v>quân phục, quần áo</v>
      </c>
      <c r="E544" s="4" t="str">
        <f ca="1">IFERROR(__xludf.DUMMYFUNCTION("GOOGLETRANSLATE(C544,""ja"",""vi"")"),"Đấu giá&gt; Đồ chơi, trò chơi&gt; Hình&gt; Quân sự&gt; quân phục, quần áo")</f>
        <v>Đấu giá&gt; Đồ chơi, trò chơi&gt; Hình&gt; Quân sự&gt; quân phục, quần áo</v>
      </c>
      <c r="F544" t="str">
        <f t="shared" ca="1" si="8"/>
        <v>"2084023618" : "quân phục, quần áo",</v>
      </c>
    </row>
    <row r="545" spans="1:6" ht="15.75" customHeight="1">
      <c r="A545" s="14">
        <v>2084023620</v>
      </c>
      <c r="B545" s="14" t="s">
        <v>3410</v>
      </c>
      <c r="C545" s="14" t="s">
        <v>3411</v>
      </c>
      <c r="D545" s="5" t="str">
        <f ca="1">IFERROR(__xludf.DUMMYFUNCTION("GOOGLETRANSLATE(B545,""ja"",""vi"")"),"xe cộ")</f>
        <v>xe cộ</v>
      </c>
      <c r="E545" s="4" t="str">
        <f ca="1">IFERROR(__xludf.DUMMYFUNCTION("GOOGLETRANSLATE(C545,""ja"",""vi"")"),"Đấu giá&gt; Đồ chơi, trò chơi&gt; Hình&gt; Quân sự&gt; Phương tiện đi lại")</f>
        <v>Đấu giá&gt; Đồ chơi, trò chơi&gt; Hình&gt; Quân sự&gt; Phương tiện đi lại</v>
      </c>
      <c r="F545" t="str">
        <f t="shared" ca="1" si="8"/>
        <v>"2084023620" : "xe cộ",</v>
      </c>
    </row>
    <row r="546" spans="1:6" ht="15.75" customHeight="1">
      <c r="A546" s="14">
        <v>2084023619</v>
      </c>
      <c r="B546" s="14" t="s">
        <v>3416</v>
      </c>
      <c r="C546" s="14" t="s">
        <v>3418</v>
      </c>
      <c r="D546" s="5" t="str">
        <f ca="1">IFERROR(__xludf.DUMMYFUNCTION("GOOGLETRANSLATE(B546,""ja"",""vi"")"),"Vũ khí, thiết bị cá nhân")</f>
        <v>Vũ khí, thiết bị cá nhân</v>
      </c>
      <c r="E546" s="4" t="str">
        <f ca="1">IFERROR(__xludf.DUMMYFUNCTION("GOOGLETRANSLATE(C546,""ja"",""vi"")"),"Đấu giá&gt; Đồ chơi, trò chơi&gt; Hình&gt; Quân sự&gt; Vũ khí, trang thiết bị cá nhân")</f>
        <v>Đấu giá&gt; Đồ chơi, trò chơi&gt; Hình&gt; Quân sự&gt; Vũ khí, trang thiết bị cá nhân</v>
      </c>
      <c r="F546" t="str">
        <f t="shared" ca="1" si="8"/>
        <v>"2084023619" : "Vũ khí, thiết bị cá nhân",</v>
      </c>
    </row>
    <row r="547" spans="1:6" ht="15.75" customHeight="1">
      <c r="A547" s="14">
        <v>2084023621</v>
      </c>
      <c r="B547" s="14" t="s">
        <v>46</v>
      </c>
      <c r="C547" s="14" t="s">
        <v>3423</v>
      </c>
      <c r="D547" s="5" t="str">
        <f ca="1">IFERROR(__xludf.DUMMYFUNCTION("GOOGLETRANSLATE(B547,""ja"",""vi"")"),"nếu không thì")</f>
        <v>nếu không thì</v>
      </c>
      <c r="E547" s="4" t="str">
        <f ca="1">IFERROR(__xludf.DUMMYFUNCTION("GOOGLETRANSLATE(C547,""ja"",""vi"")"),"Đấu giá&gt; Đồ chơi, trò chơi&gt; Hình&gt; Quân sự&gt; Khác")</f>
        <v>Đấu giá&gt; Đồ chơi, trò chơi&gt; Hình&gt; Quân sự&gt; Khác</v>
      </c>
      <c r="F547" t="str">
        <f t="shared" ca="1" si="8"/>
        <v>"2084023621" : "nếu không thì",</v>
      </c>
    </row>
    <row r="548" spans="1:6" ht="15.75" customHeight="1">
      <c r="A548" s="14">
        <v>2084020055</v>
      </c>
      <c r="B548" s="14" t="s">
        <v>3429</v>
      </c>
      <c r="C548" s="14" t="s">
        <v>3430</v>
      </c>
      <c r="D548" s="5" t="str">
        <f ca="1">IFERROR(__xludf.DUMMYFUNCTION("GOOGLETRANSLATE(B548,""ja"",""vi"")"),"Paddington Gấu")</f>
        <v>Paddington Gấu</v>
      </c>
      <c r="E548" s="4" t="str">
        <f ca="1">IFERROR(__xludf.DUMMYFUNCTION("GOOGLETRANSLATE(C548,""ja"",""vi"")"),"Đấu giá&gt; đồ chơi, trò chơi&gt; búp bê, búp bê nhân vật&gt; nhân vật búp bê&gt; Paddington Gấu")</f>
        <v>Đấu giá&gt; đồ chơi, trò chơi&gt; búp bê, búp bê nhân vật&gt; nhân vật búp bê&gt; Paddington Gấu</v>
      </c>
      <c r="F548" t="str">
        <f t="shared" ca="1" si="8"/>
        <v>"2084020055" : "Paddington Gấu",</v>
      </c>
    </row>
    <row r="549" spans="1:6" ht="15.75" customHeight="1">
      <c r="A549" s="14">
        <v>2084020052</v>
      </c>
      <c r="B549" s="14" t="s">
        <v>3434</v>
      </c>
      <c r="C549" s="14" t="s">
        <v>3436</v>
      </c>
      <c r="D549" s="5" t="str">
        <f ca="1">IFERROR(__xludf.DUMMYFUNCTION("GOOGLETRANSLATE(B549,""ja"",""vi"")"),"Babar voi")</f>
        <v>Babar voi</v>
      </c>
      <c r="E549" s="4" t="str">
        <f ca="1">IFERROR(__xludf.DUMMYFUNCTION("GOOGLETRANSLATE(C549,""ja"",""vi"")"),"Đấu giá&gt; đồ chơi, trò chơi&gt; búp bê, búp bê nhân vật&gt; nhân vật búp bê&gt; voi Babar")</f>
        <v>Đấu giá&gt; đồ chơi, trò chơi&gt; búp bê, búp bê nhân vật&gt; nhân vật búp bê&gt; voi Babar</v>
      </c>
      <c r="F549" t="str">
        <f t="shared" ca="1" si="8"/>
        <v>"2084020052" : "Babar voi",</v>
      </c>
    </row>
    <row r="550" spans="1:6" ht="15.75" customHeight="1">
      <c r="A550" s="14">
        <v>2084020034</v>
      </c>
      <c r="B550" s="14" t="s">
        <v>3441</v>
      </c>
      <c r="C550" s="14" t="s">
        <v>3444</v>
      </c>
      <c r="D550" s="5" t="str">
        <f ca="1">IFERROR(__xludf.DUMMYFUNCTION("GOOGLETRANSLATE(B550,""ja"",""vi"")"),"Tarepanda")</f>
        <v>Tarepanda</v>
      </c>
      <c r="E550" s="4" t="str">
        <f ca="1">IFERROR(__xludf.DUMMYFUNCTION("GOOGLETRANSLATE(C550,""ja"",""vi"")"),"Đấu giá&gt; đồ chơi, trò chơi&gt; búp bê, búp bê nhân vật&gt; nhân vật búp bê&gt; tarepanda")</f>
        <v>Đấu giá&gt; đồ chơi, trò chơi&gt; búp bê, búp bê nhân vật&gt; nhân vật búp bê&gt; tarepanda</v>
      </c>
      <c r="F550" t="str">
        <f t="shared" ca="1" si="8"/>
        <v>"2084020034" : "Tarepanda",</v>
      </c>
    </row>
    <row r="551" spans="1:6" ht="15.75" customHeight="1">
      <c r="A551" s="14">
        <v>2084020035</v>
      </c>
      <c r="B551" s="14" t="s">
        <v>922</v>
      </c>
      <c r="C551" s="14" t="s">
        <v>3450</v>
      </c>
      <c r="D551" s="5" t="str">
        <f ca="1">IFERROR(__xludf.DUMMYFUNCTION("GOOGLETRANSLATE(B551,""ja"",""vi"")"),"My Neighbor Totoro")</f>
        <v>My Neighbor Totoro</v>
      </c>
      <c r="E551" s="4" t="str">
        <f ca="1">IFERROR(__xludf.DUMMYFUNCTION("GOOGLETRANSLATE(C551,""ja"",""vi"")"),"Đấu giá&gt; đồ chơi, trò chơi&gt; búp bê, búp bê nhân vật&gt; nhân vật búp bê&gt; My Neighbor Totoro")</f>
        <v>Đấu giá&gt; đồ chơi, trò chơi&gt; búp bê, búp bê nhân vật&gt; nhân vật búp bê&gt; My Neighbor Totoro</v>
      </c>
      <c r="F551" t="str">
        <f t="shared" ca="1" si="8"/>
        <v>"2084020035" : "My Neighbor Totoro",</v>
      </c>
    </row>
    <row r="552" spans="1:6" ht="15.75" customHeight="1">
      <c r="A552" s="14">
        <v>2084020061</v>
      </c>
      <c r="B552" s="14" t="s">
        <v>3454</v>
      </c>
      <c r="C552" s="14" t="s">
        <v>3456</v>
      </c>
      <c r="D552" s="5" t="str">
        <f ca="1">IFERROR(__xludf.DUMMYFUNCTION("GOOGLETRANSLATE(B552,""ja"",""vi"")"),"Dokodemoissyo")</f>
        <v>Dokodemoissyo</v>
      </c>
      <c r="E552" s="4" t="str">
        <f ca="1">IFERROR(__xludf.DUMMYFUNCTION("GOOGLETRANSLATE(C552,""ja"",""vi"")"),"Đấu giá&gt; đồ chơi, trò chơi&gt; búp bê, búp bê nhân vật&gt; nhân vật búp bê&gt; Dokodemoissyo")</f>
        <v>Đấu giá&gt; đồ chơi, trò chơi&gt; búp bê, búp bê nhân vật&gt; nhân vật búp bê&gt; Dokodemoissyo</v>
      </c>
      <c r="F552" t="str">
        <f t="shared" ca="1" si="8"/>
        <v>"2084020061" : "Dokodemoissyo",</v>
      </c>
    </row>
    <row r="553" spans="1:6" ht="15.75" customHeight="1">
      <c r="A553" s="14">
        <v>2084020056</v>
      </c>
      <c r="B553" s="14" t="s">
        <v>3460</v>
      </c>
      <c r="C553" s="14" t="s">
        <v>3461</v>
      </c>
      <c r="D553" s="5" t="str">
        <f ca="1">IFERROR(__xludf.DUMMYFUNCTION("GOOGLETRANSLATE(B553,""ja"",""vi"")"),"Curious George")</f>
        <v>Curious George</v>
      </c>
      <c r="E553" s="4" t="str">
        <f ca="1">IFERROR(__xludf.DUMMYFUNCTION("GOOGLETRANSLATE(C553,""ja"",""vi"")"),"Đấu giá&gt; đồ chơi, trò chơi&gt; búp bê, búp bê nhân vật&gt; nhân vật búp bê&gt; Curious George")</f>
        <v>Đấu giá&gt; đồ chơi, trò chơi&gt; búp bê, búp bê nhân vật&gt; nhân vật búp bê&gt; Curious George</v>
      </c>
      <c r="F553" t="str">
        <f t="shared" ca="1" si="8"/>
        <v>"2084020056" : "Curious George",</v>
      </c>
    </row>
    <row r="554" spans="1:6" ht="15.75" customHeight="1">
      <c r="A554" s="14">
        <v>2084020050</v>
      </c>
      <c r="B554" s="14" t="s">
        <v>210</v>
      </c>
      <c r="C554" s="14" t="s">
        <v>3465</v>
      </c>
      <c r="D554" s="5" t="str">
        <f ca="1">IFERROR(__xludf.DUMMYFUNCTION("GOOGLETRANSLATE(B554,""ja"",""vi"")"),"Anpanman")</f>
        <v>Anpanman</v>
      </c>
      <c r="E554" s="4" t="str">
        <f ca="1">IFERROR(__xludf.DUMMYFUNCTION("GOOGLETRANSLATE(C554,""ja"",""vi"")"),"Đấu giá&gt; đồ chơi, trò chơi&gt; búp bê, búp bê nhân vật&gt; nhân vật búp bê&gt; Anpanman")</f>
        <v>Đấu giá&gt; đồ chơi, trò chơi&gt; búp bê, búp bê nhân vật&gt; nhân vật búp bê&gt; Anpanman</v>
      </c>
      <c r="F554" t="str">
        <f t="shared" ca="1" si="8"/>
        <v>"2084020050" : "Anpanman",</v>
      </c>
    </row>
    <row r="555" spans="1:6" ht="15.75" customHeight="1">
      <c r="A555" s="14">
        <v>2084020042</v>
      </c>
      <c r="B555" s="14" t="s">
        <v>3468</v>
      </c>
      <c r="C555" s="14" t="s">
        <v>3469</v>
      </c>
      <c r="D555" s="5" t="str">
        <f ca="1">IFERROR(__xludf.DUMMYFUNCTION("GOOGLETRANSLATE(B555,""ja"",""vi"")"),"chim gõ kiến")</f>
        <v>chim gõ kiến</v>
      </c>
      <c r="E555" s="4" t="str">
        <f ca="1">IFERROR(__xludf.DUMMYFUNCTION("GOOGLETRANSLATE(C555,""ja"",""vi"")"),"Đấu giá&gt; đồ chơi, trò chơi&gt; búp bê, búp bê nhân vật&gt; nhân vật búp bê&gt; chim gõ kiến")</f>
        <v>Đấu giá&gt; đồ chơi, trò chơi&gt; búp bê, búp bê nhân vật&gt; nhân vật búp bê&gt; chim gõ kiến</v>
      </c>
      <c r="F555" t="str">
        <f t="shared" ca="1" si="8"/>
        <v>"2084020042" : "chim gõ kiến",</v>
      </c>
    </row>
    <row r="556" spans="1:6" ht="15.75" customHeight="1">
      <c r="A556" s="14">
        <v>2084020047</v>
      </c>
      <c r="B556" s="14" t="s">
        <v>3473</v>
      </c>
      <c r="C556" s="14" t="s">
        <v>3474</v>
      </c>
      <c r="D556" s="5" t="str">
        <f ca="1">IFERROR(__xludf.DUMMYFUNCTION("GOOGLETRANSLATE(B556,""ja"",""vi"")"),"Q Taro của ma")</f>
        <v>Q Taro của ma</v>
      </c>
      <c r="E556" s="4" t="str">
        <f ca="1">IFERROR(__xludf.DUMMYFUNCTION("GOOGLETRANSLATE(C556,""ja"",""vi"")"),"Đấu giá&gt; đồ chơi, trò chơi&gt; búp bê, Q Taro của búp bê nhân vật&gt; nhân vật búp bê&gt; ma")</f>
        <v>Đấu giá&gt; đồ chơi, trò chơi&gt; búp bê, Q Taro của búp bê nhân vật&gt; nhân vật búp bê&gt; ma</v>
      </c>
      <c r="F556" t="str">
        <f t="shared" ca="1" si="8"/>
        <v>"2084020047" : "Q Taro của ma",</v>
      </c>
    </row>
    <row r="557" spans="1:6" ht="15.75" customHeight="1">
      <c r="A557" s="14">
        <v>2084020036</v>
      </c>
      <c r="B557" s="14" t="s">
        <v>3479</v>
      </c>
      <c r="C557" s="14" t="s">
        <v>3481</v>
      </c>
      <c r="D557" s="5" t="str">
        <f ca="1">IFERROR(__xludf.DUMMYFUNCTION("GOOGLETRANSLATE(B557,""ja"",""vi"")"),"Garfield")</f>
        <v>Garfield</v>
      </c>
      <c r="E557" s="4" t="str">
        <f ca="1">IFERROR(__xludf.DUMMYFUNCTION("GOOGLETRANSLATE(C557,""ja"",""vi"")"),"Đấu giá&gt; đồ chơi, trò chơi&gt; búp bê, búp bê nhân vật&gt; nhân vật búp bê&gt; Garfield")</f>
        <v>Đấu giá&gt; đồ chơi, trò chơi&gt; búp bê, búp bê nhân vật&gt; nhân vật búp bê&gt; Garfield</v>
      </c>
      <c r="F557" t="str">
        <f t="shared" ca="1" si="8"/>
        <v>"2084020036" : "Garfield",</v>
      </c>
    </row>
    <row r="558" spans="1:6" ht="15.75" customHeight="1">
      <c r="A558" s="14">
        <v>2084020037</v>
      </c>
      <c r="B558" s="14" t="s">
        <v>3488</v>
      </c>
      <c r="C558" s="14" t="s">
        <v>3489</v>
      </c>
      <c r="D558" s="5" t="str">
        <f ca="1">IFERROR(__xludf.DUMMYFUNCTION("GOOGLETRANSLATE(B558,""ja"",""vi"")"),"Casper")</f>
        <v>Casper</v>
      </c>
      <c r="E558" s="4" t="str">
        <f ca="1">IFERROR(__xludf.DUMMYFUNCTION("GOOGLETRANSLATE(C558,""ja"",""vi"")"),"Đấu giá&gt; đồ chơi, trò chơi&gt; búp bê, búp bê nhân vật&gt; nhân vật búp bê&gt; Casper")</f>
        <v>Đấu giá&gt; đồ chơi, trò chơi&gt; búp bê, búp bê nhân vật&gt; nhân vật búp bê&gt; Casper</v>
      </c>
      <c r="F558" t="str">
        <f t="shared" ca="1" si="8"/>
        <v>"2084020037" : "Casper",</v>
      </c>
    </row>
    <row r="559" spans="1:6" ht="15.75" customHeight="1">
      <c r="A559" s="14">
        <v>2084020016</v>
      </c>
      <c r="B559" s="14" t="s">
        <v>3495</v>
      </c>
      <c r="C559" s="14" t="s">
        <v>3498</v>
      </c>
      <c r="D559" s="5" t="str">
        <f ca="1">IFERROR(__xludf.DUMMYFUNCTION("GOOGLETRANSLATE(B559,""ja"",""vi"")"),"Kewpie")</f>
        <v>Kewpie</v>
      </c>
      <c r="E559" s="4" t="str">
        <f ca="1">IFERROR(__xludf.DUMMYFUNCTION("GOOGLETRANSLATE(C559,""ja"",""vi"")"),"Đấu giá&gt; đồ chơi, trò chơi&gt; búp bê, búp bê nhân vật&gt; nhân vật búp bê&gt; Kewpie")</f>
        <v>Đấu giá&gt; đồ chơi, trò chơi&gt; búp bê, búp bê nhân vật&gt; nhân vật búp bê&gt; Kewpie</v>
      </c>
      <c r="F559" t="str">
        <f t="shared" ca="1" si="8"/>
        <v>"2084020016" : "Kewpie",</v>
      </c>
    </row>
    <row r="560" spans="1:6" ht="15.75" customHeight="1">
      <c r="A560" s="14">
        <v>2084048015</v>
      </c>
      <c r="B560" s="14" t="s">
        <v>3502</v>
      </c>
      <c r="C560" s="14" t="s">
        <v>3505</v>
      </c>
      <c r="D560" s="5" t="str">
        <f ca="1">IFERROR(__xludf.DUMMYFUNCTION("GOOGLETRANSLATE(B560,""ja"",""vi"")"),"Kubrick, gạch trần")</f>
        <v>Kubrick, gạch trần</v>
      </c>
      <c r="E560" s="4" t="str">
        <f ca="1">IFERROR(__xludf.DUMMYFUNCTION("GOOGLETRANSLATE(C560,""ja"",""vi"")"),"Đấu giá&gt; đồ chơi, trò chơi&gt; búp bê, búp bê nhân vật&gt; nhân vật búp bê&gt; Kubrick, gạch trần")</f>
        <v>Đấu giá&gt; đồ chơi, trò chơi&gt; búp bê, búp bê nhân vật&gt; nhân vật búp bê&gt; Kubrick, gạch trần</v>
      </c>
      <c r="F560" t="str">
        <f t="shared" ca="1" si="8"/>
        <v>"2084048015" : "Kubrick, gạch trần",</v>
      </c>
    </row>
    <row r="561" spans="1:6" ht="15.75" customHeight="1">
      <c r="A561" s="14">
        <v>2084020058</v>
      </c>
      <c r="B561" s="14" t="s">
        <v>3511</v>
      </c>
      <c r="C561" s="14" t="s">
        <v>3512</v>
      </c>
      <c r="D561" s="5" t="str">
        <f ca="1">IFERROR(__xludf.DUMMYFUNCTION("GOOGLETRANSLATE(B561,""ja"",""vi"")"),"Gremlin")</f>
        <v>Gremlin</v>
      </c>
      <c r="E561" s="4" t="str">
        <f ca="1">IFERROR(__xludf.DUMMYFUNCTION("GOOGLETRANSLATE(C561,""ja"",""vi"")"),"Đấu giá&gt; đồ chơi, trò chơi&gt; búp bê, búp bê nhân vật&gt; nhân vật búp bê&gt; Gremlin")</f>
        <v>Đấu giá&gt; đồ chơi, trò chơi&gt; búp bê, búp bê nhân vật&gt; nhân vật búp bê&gt; Gremlin</v>
      </c>
      <c r="F561" t="str">
        <f t="shared" ca="1" si="8"/>
        <v>"2084020058" : "Gremlin",</v>
      </c>
    </row>
    <row r="562" spans="1:6" ht="15.75" customHeight="1">
      <c r="A562" s="14">
        <v>2084020043</v>
      </c>
      <c r="B562" s="14" t="s">
        <v>3518</v>
      </c>
      <c r="C562" s="14" t="s">
        <v>3519</v>
      </c>
      <c r="D562" s="5" t="str">
        <f ca="1">IFERROR(__xludf.DUMMYFUNCTION("GOOGLETRANSLATE(B562,""ja"",""vi"")"),"Ken Ken")</f>
        <v>Ken Ken</v>
      </c>
      <c r="E562" s="4" t="str">
        <f ca="1">IFERROR(__xludf.DUMMYFUNCTION("GOOGLETRANSLATE(C562,""ja"",""vi"")"),"Đấu giá&gt; đồ chơi, trò chơi&gt; búp bê, búp bê nhân vật&gt; nhân vật búp bê&gt; Ken Ken")</f>
        <v>Đấu giá&gt; đồ chơi, trò chơi&gt; búp bê, búp bê nhân vật&gt; nhân vật búp bê&gt; Ken Ken</v>
      </c>
      <c r="F562" t="str">
        <f t="shared" ca="1" si="8"/>
        <v>"2084020043" : "Ken Ken",</v>
      </c>
    </row>
    <row r="563" spans="1:6" ht="15.75" customHeight="1">
      <c r="A563" s="14">
        <v>2084005261</v>
      </c>
      <c r="B563" s="14" t="s">
        <v>3526</v>
      </c>
      <c r="C563" s="14" t="s">
        <v>3528</v>
      </c>
      <c r="D563" s="5" t="str">
        <f ca="1">IFERROR(__xludf.DUMMYFUNCTION("GOOGLETRANSLATE(B563,""ja"",""vi"")"),"Gia đình Sylvanian")</f>
        <v>Gia đình Sylvanian</v>
      </c>
      <c r="E563" s="4" t="str">
        <f ca="1">IFERROR(__xludf.DUMMYFUNCTION("GOOGLETRANSLATE(C563,""ja"",""vi"")"),"Đấu giá&gt; đồ chơi, trò chơi&gt; búp bê, búp bê nhân vật&gt; nhân vật búp bê&gt; Gia đình Sylvanian")</f>
        <v>Đấu giá&gt; đồ chơi, trò chơi&gt; búp bê, búp bê nhân vật&gt; nhân vật búp bê&gt; Gia đình Sylvanian</v>
      </c>
      <c r="F563" t="str">
        <f t="shared" ca="1" si="8"/>
        <v>"2084005261" : "Gia đình Sylvanian",</v>
      </c>
    </row>
    <row r="564" spans="1:6" ht="15.75" customHeight="1">
      <c r="A564" s="14">
        <v>2084020051</v>
      </c>
      <c r="B564" s="14" t="s">
        <v>3534</v>
      </c>
      <c r="C564" s="14" t="s">
        <v>3535</v>
      </c>
      <c r="D564" s="5" t="str">
        <f ca="1">IFERROR(__xludf.DUMMYFUNCTION("GOOGLETRANSLATE(B564,""ja"",""vi"")"),"người tuyết được nắn")</f>
        <v>người tuyết được nắn</v>
      </c>
      <c r="E564" s="4" t="str">
        <f ca="1">IFERROR(__xludf.DUMMYFUNCTION("GOOGLETRANSLATE(C564,""ja"",""vi"")"),"Đấu giá&gt; đồ chơi, trò chơi&gt; búp bê, búp bê nhân vật&gt; nhân vật búp bê&gt; snowman")</f>
        <v>Đấu giá&gt; đồ chơi, trò chơi&gt; búp bê, búp bê nhân vật&gt; nhân vật búp bê&gt; snowman</v>
      </c>
      <c r="F564" t="str">
        <f t="shared" ca="1" si="8"/>
        <v>"2084020051" : "người tuyết được nắn",</v>
      </c>
    </row>
    <row r="565" spans="1:6" ht="15.75" customHeight="1">
      <c r="A565" s="14">
        <v>2084034100</v>
      </c>
      <c r="B565" s="14" t="s">
        <v>3541</v>
      </c>
      <c r="C565" s="14" t="s">
        <v>3542</v>
      </c>
      <c r="D565" s="5" t="str">
        <f ca="1">IFERROR(__xludf.DUMMYFUNCTION("GOOGLETRANSLATE(B565,""ja"",""vi"")"),"The Smurfs")</f>
        <v>The Smurfs</v>
      </c>
      <c r="E565" s="4" t="str">
        <f ca="1">IFERROR(__xludf.DUMMYFUNCTION("GOOGLETRANSLATE(C565,""ja"",""vi"")"),"Đấu giá&gt; đồ chơi, trò chơi&gt; búp bê, búp bê nhân vật&gt; nhân vật búp bê&gt; The Smurfs")</f>
        <v>Đấu giá&gt; đồ chơi, trò chơi&gt; búp bê, búp bê nhân vật&gt; nhân vật búp bê&gt; The Smurfs</v>
      </c>
      <c r="F565" t="str">
        <f t="shared" ca="1" si="8"/>
        <v>"2084034100" : "The Smurfs",</v>
      </c>
    </row>
    <row r="566" spans="1:6" ht="15.75" customHeight="1">
      <c r="A566" s="14">
        <v>2084020044</v>
      </c>
      <c r="B566" s="14" t="s">
        <v>3546</v>
      </c>
      <c r="C566" s="14" t="s">
        <v>3547</v>
      </c>
      <c r="D566" s="5" t="str">
        <f ca="1">IFERROR(__xludf.DUMMYFUNCTION("GOOGLETRANSLATE(B566,""ja"",""vi"")"),"Sesame Street")</f>
        <v>Sesame Street</v>
      </c>
      <c r="E566" s="4" t="str">
        <f ca="1">IFERROR(__xludf.DUMMYFUNCTION("GOOGLETRANSLATE(C566,""ja"",""vi"")"),"Đấu giá&gt; đồ chơi, trò chơi&gt; búp bê, búp bê nhân vật&gt; nhân vật búp bê&gt; Sesame Street")</f>
        <v>Đấu giá&gt; đồ chơi, trò chơi&gt; búp bê, búp bê nhân vật&gt; nhân vật búp bê&gt; Sesame Street</v>
      </c>
      <c r="F566" t="str">
        <f t="shared" ca="1" si="8"/>
        <v>"2084020044" : "Sesame Street",</v>
      </c>
    </row>
    <row r="567" spans="1:6" ht="15.75" customHeight="1">
      <c r="A567" s="14">
        <v>2084040586</v>
      </c>
      <c r="B567" s="14" t="s">
        <v>3553</v>
      </c>
      <c r="C567" s="14" t="s">
        <v>3555</v>
      </c>
      <c r="D567" s="5" t="str">
        <f ca="1">IFERROR(__xludf.DUMMYFUNCTION("GOOGLETRANSLATE(B567,""ja"",""vi"")"),"Hug-chan")</f>
        <v>Hug-chan</v>
      </c>
      <c r="E567" s="4" t="str">
        <f ca="1">IFERROR(__xludf.DUMMYFUNCTION("GOOGLETRANSLATE(C567,""ja"",""vi"")"),"Đấu giá&gt; đồ chơi, trò chơi&gt; búp bê, búp bê nhân vật&gt; nhân vật búp bê&gt; ôm-chan")</f>
        <v>Đấu giá&gt; đồ chơi, trò chơi&gt; búp bê, búp bê nhân vật&gt; nhân vật búp bê&gt; ôm-chan</v>
      </c>
      <c r="F567" t="str">
        <f t="shared" ca="1" si="8"/>
        <v>"2084040586" : "Hug-chan",</v>
      </c>
    </row>
    <row r="568" spans="1:6" ht="15.75" customHeight="1">
      <c r="A568" s="14">
        <v>2084020045</v>
      </c>
      <c r="B568" s="14" t="s">
        <v>3559</v>
      </c>
      <c r="C568" s="14" t="s">
        <v>3561</v>
      </c>
      <c r="D568" s="5" t="str">
        <f ca="1">IFERROR(__xludf.DUMMYFUNCTION("GOOGLETRANSLATE(B568,""ja"",""vi"")"),"Teletubbies")</f>
        <v>Teletubbies</v>
      </c>
      <c r="E568" s="4" t="str">
        <f ca="1">IFERROR(__xludf.DUMMYFUNCTION("GOOGLETRANSLATE(C568,""ja"",""vi"")"),"Đấu giá&gt; đồ chơi, trò chơi&gt; búp bê, búp bê nhân vật&gt; nhân vật búp bê&gt; Teletubbies")</f>
        <v>Đấu giá&gt; đồ chơi, trò chơi&gt; búp bê, búp bê nhân vật&gt; nhân vật búp bê&gt; Teletubbies</v>
      </c>
      <c r="F568" t="str">
        <f t="shared" ca="1" si="8"/>
        <v>"2084020045" : "Teletubbies",</v>
      </c>
    </row>
    <row r="569" spans="1:6" ht="15.75" customHeight="1">
      <c r="A569" s="14">
        <v>27587</v>
      </c>
      <c r="B569" s="14" t="s">
        <v>2828</v>
      </c>
      <c r="C569" s="14" t="s">
        <v>3567</v>
      </c>
      <c r="D569" s="5" t="str">
        <f ca="1">IFERROR(__xludf.DUMMYFUNCTION("GOOGLETRANSLATE(B569,""ja"",""vi"")"),"Disney")</f>
        <v>Disney</v>
      </c>
      <c r="E569" s="4" t="str">
        <f ca="1">IFERROR(__xludf.DUMMYFUNCTION("GOOGLETRANSLATE(C569,""ja"",""vi"")"),"Đấu giá&gt; đồ chơi, trò chơi&gt; búp bê, búp bê nhân vật&gt; nhân vật búp bê&gt; Disney")</f>
        <v>Đấu giá&gt; đồ chơi, trò chơi&gt; búp bê, búp bê nhân vật&gt; nhân vật búp bê&gt; Disney</v>
      </c>
      <c r="F569" t="str">
        <f t="shared" ca="1" si="8"/>
        <v>"27587" : "Disney",</v>
      </c>
    </row>
    <row r="570" spans="1:6" ht="15.75" customHeight="1">
      <c r="A570" s="14">
        <v>2084020046</v>
      </c>
      <c r="B570" s="14" t="s">
        <v>3571</v>
      </c>
      <c r="C570" s="14" t="s">
        <v>3572</v>
      </c>
      <c r="D570" s="5" t="str">
        <f ca="1">IFERROR(__xludf.DUMMYFUNCTION("GOOGLETRANSLATE(B570,""ja"",""vi"")"),"topo Gigio")</f>
        <v>topo Gigio</v>
      </c>
      <c r="E570" s="4" t="str">
        <f ca="1">IFERROR(__xludf.DUMMYFUNCTION("GOOGLETRANSLATE(C570,""ja"",""vi"")"),"Đấu giá&gt; đồ chơi, trò chơi&gt; búp bê, búp bê nhân vật&gt; nhân vật búp bê&gt; Topo Gigio")</f>
        <v>Đấu giá&gt; đồ chơi, trò chơi&gt; búp bê, búp bê nhân vật&gt; nhân vật búp bê&gt; Topo Gigio</v>
      </c>
      <c r="F570" t="str">
        <f t="shared" ca="1" si="8"/>
        <v>"2084020046" : "topo Gigio",</v>
      </c>
    </row>
    <row r="571" spans="1:6" ht="15.75" customHeight="1">
      <c r="A571" s="14">
        <v>2084020041</v>
      </c>
      <c r="B571" s="14" t="s">
        <v>3575</v>
      </c>
      <c r="C571" s="14" t="s">
        <v>3576</v>
      </c>
      <c r="D571" s="5" t="str">
        <f ca="1">IFERROR(__xludf.DUMMYFUNCTION("GOOGLETRANSLATE(B571,""ja"",""vi"")"),"Tom &amp; Jerry")</f>
        <v>Tom &amp; Jerry</v>
      </c>
      <c r="E571" s="4" t="str">
        <f ca="1">IFERROR(__xludf.DUMMYFUNCTION("GOOGLETRANSLATE(C571,""ja"",""vi"")"),"Đấu giá&gt; đồ chơi, trò chơi&gt; búp bê, búp bê nhân vật&gt; nhân vật búp bê&gt; Tom &amp; Jerry")</f>
        <v>Đấu giá&gt; đồ chơi, trò chơi&gt; búp bê, búp bê nhân vật&gt; nhân vật búp bê&gt; Tom &amp; Jerry</v>
      </c>
      <c r="F571" t="str">
        <f t="shared" ca="1" si="8"/>
        <v>"2084020041" : "Tom &amp; Jerry",</v>
      </c>
    </row>
    <row r="572" spans="1:6" ht="15.75" customHeight="1">
      <c r="A572" s="14">
        <v>2084020048</v>
      </c>
      <c r="B572" s="14" t="s">
        <v>1049</v>
      </c>
      <c r="C572" s="14" t="s">
        <v>3579</v>
      </c>
      <c r="D572" s="5" t="str">
        <f ca="1">IFERROR(__xludf.DUMMYFUNCTION("GOOGLETRANSLATE(B572,""ja"",""vi"")"),"Doraemon")</f>
        <v>Doraemon</v>
      </c>
      <c r="E572" s="4" t="str">
        <f ca="1">IFERROR(__xludf.DUMMYFUNCTION("GOOGLETRANSLATE(C572,""ja"",""vi"")"),"Đấu giá&gt; đồ chơi, trò chơi&gt; búp bê, búp bê nhân vật&gt; nhân vật búp bê&gt; Doraemon")</f>
        <v>Đấu giá&gt; đồ chơi, trò chơi&gt; búp bê, búp bê nhân vật&gt; nhân vật búp bê&gt; Doraemon</v>
      </c>
      <c r="F572" t="str">
        <f t="shared" ca="1" si="8"/>
        <v>"2084020048" : "Doraemon",</v>
      </c>
    </row>
    <row r="573" spans="1:6" ht="15.75" customHeight="1">
      <c r="A573" s="14">
        <v>2084020033</v>
      </c>
      <c r="B573" s="14" t="s">
        <v>1265</v>
      </c>
      <c r="C573" s="14" t="s">
        <v>3582</v>
      </c>
      <c r="D573" s="5" t="str">
        <f ca="1">IFERROR(__xludf.DUMMYFUNCTION("GOOGLETRANSLATE(B573,""ja"",""vi"")"),"Hello Kitty")</f>
        <v>Hello Kitty</v>
      </c>
      <c r="E573" s="4" t="str">
        <f ca="1">IFERROR(__xludf.DUMMYFUNCTION("GOOGLETRANSLATE(C573,""ja"",""vi"")"),"Đấu giá&gt; đồ chơi, trò chơi&gt; búp bê, búp bê nhân vật&gt; nhân vật búp bê&gt; Hello Kitty")</f>
        <v>Đấu giá&gt; đồ chơi, trò chơi&gt; búp bê, búp bê nhân vật&gt; nhân vật búp bê&gt; Hello Kitty</v>
      </c>
      <c r="F573" t="str">
        <f t="shared" ca="1" si="8"/>
        <v>"2084020033" : "Hello Kitty",</v>
      </c>
    </row>
    <row r="574" spans="1:6" ht="15.75" customHeight="1">
      <c r="A574" s="14">
        <v>2084020057</v>
      </c>
      <c r="B574" s="14" t="s">
        <v>3585</v>
      </c>
      <c r="C574" s="14" t="s">
        <v>3586</v>
      </c>
      <c r="D574" s="5" t="str">
        <f ca="1">IFERROR(__xludf.DUMMYFUNCTION("GOOGLETRANSLATE(B574,""ja"",""vi"")"),"Barbapapa")</f>
        <v>Barbapapa</v>
      </c>
      <c r="E574" s="4" t="str">
        <f ca="1">IFERROR(__xludf.DUMMYFUNCTION("GOOGLETRANSLATE(C574,""ja"",""vi"")"),"Đấu giá&gt; đồ chơi, trò chơi&gt; búp bê, búp bê nhân vật&gt; nhân vật búp bê&gt; Barbapapa")</f>
        <v>Đấu giá&gt; đồ chơi, trò chơi&gt; búp bê, búp bê nhân vật&gt; nhân vật búp bê&gt; Barbapapa</v>
      </c>
      <c r="F574" t="str">
        <f t="shared" ca="1" si="8"/>
        <v>"2084020057" : "Barbapapa",</v>
      </c>
    </row>
    <row r="575" spans="1:6" ht="15.75" customHeight="1">
      <c r="A575" s="14">
        <v>2084020053</v>
      </c>
      <c r="B575" s="14" t="s">
        <v>3589</v>
      </c>
      <c r="C575" s="14" t="s">
        <v>3590</v>
      </c>
      <c r="D575" s="5" t="str">
        <f ca="1">IFERROR(__xludf.DUMMYFUNCTION("GOOGLETRANSLATE(B575,""ja"",""vi"")"),"Peter Rabbit")</f>
        <v>Peter Rabbit</v>
      </c>
      <c r="E575" s="4" t="str">
        <f ca="1">IFERROR(__xludf.DUMMYFUNCTION("GOOGLETRANSLATE(C575,""ja"",""vi"")"),"Đấu giá&gt; đồ chơi, trò chơi&gt; búp bê, búp bê nhân vật&gt; nhân vật búp bê&gt; Peter Rabbit")</f>
        <v>Đấu giá&gt; đồ chơi, trò chơi&gt; búp bê, búp bê nhân vật&gt; nhân vật búp bê&gt; Peter Rabbit</v>
      </c>
      <c r="F575" t="str">
        <f t="shared" ca="1" si="8"/>
        <v>"2084020053" : "Peter Rabbit",</v>
      </c>
    </row>
    <row r="576" spans="1:6" ht="15.75" customHeight="1">
      <c r="A576" s="14">
        <v>25966</v>
      </c>
      <c r="B576" s="14" t="s">
        <v>3595</v>
      </c>
      <c r="C576" s="14" t="s">
        <v>3597</v>
      </c>
      <c r="D576" s="5" t="str">
        <f ca="1">IFERROR(__xludf.DUMMYFUNCTION("GOOGLETRANSLATE(B576,""ja"",""vi"")"),"Đậu phộng, Snoopy")</f>
        <v>Đậu phộng, Snoopy</v>
      </c>
      <c r="E576" s="4" t="str">
        <f ca="1">IFERROR(__xludf.DUMMYFUNCTION("GOOGLETRANSLATE(C576,""ja"",""vi"")"),"Đấu giá&gt; đồ chơi, trò chơi&gt; búp bê, búp bê nhân vật&gt; nhân vật búp bê&gt; Đậu phộng, Snoopy")</f>
        <v>Đấu giá&gt; đồ chơi, trò chơi&gt; búp bê, búp bê nhân vật&gt; nhân vật búp bê&gt; Đậu phộng, Snoopy</v>
      </c>
      <c r="F576" t="str">
        <f t="shared" ca="1" si="8"/>
        <v>"25966" : "Đậu phộng, Snoopy",</v>
      </c>
    </row>
    <row r="577" spans="1:6" ht="15.75" customHeight="1">
      <c r="A577" s="14">
        <v>2084020040</v>
      </c>
      <c r="B577" s="14" t="s">
        <v>3603</v>
      </c>
      <c r="C577" s="14" t="s">
        <v>3605</v>
      </c>
      <c r="D577" s="5" t="str">
        <f ca="1">IFERROR(__xludf.DUMMYFUNCTION("GOOGLETRANSLATE(B577,""ja"",""vi"")"),"pink Panther")</f>
        <v>pink Panther</v>
      </c>
      <c r="E577" s="4" t="str">
        <f ca="1">IFERROR(__xludf.DUMMYFUNCTION("GOOGLETRANSLATE(C577,""ja"",""vi"")"),"Đấu giá&gt; đồ chơi, trò chơi&gt; búp bê, búp bê nhân vật&gt; nhân vật búp bê&gt; Pink Panther")</f>
        <v>Đấu giá&gt; đồ chơi, trò chơi&gt; búp bê, búp bê nhân vật&gt; nhân vật búp bê&gt; Pink Panther</v>
      </c>
      <c r="F577" t="str">
        <f t="shared" ca="1" si="8"/>
        <v>"2084020040" : "pink Panther",</v>
      </c>
    </row>
    <row r="578" spans="1:6" ht="15.75" customHeight="1">
      <c r="A578" s="14">
        <v>2084020039</v>
      </c>
      <c r="B578" s="14" t="s">
        <v>3607</v>
      </c>
      <c r="C578" s="14" t="s">
        <v>3610</v>
      </c>
      <c r="D578" s="5" t="str">
        <f ca="1">IFERROR(__xludf.DUMMYFUNCTION("GOOGLETRANSLATE(B578,""ja"",""vi"")"),"Pingu")</f>
        <v>Pingu</v>
      </c>
      <c r="E578" s="4" t="str">
        <f ca="1">IFERROR(__xludf.DUMMYFUNCTION("GOOGLETRANSLATE(C578,""ja"",""vi"")"),"Đấu giá&gt; đồ chơi, trò chơi&gt; búp bê, búp bê nhân vật&gt; nhân vật búp bê&gt; Pingu")</f>
        <v>Đấu giá&gt; đồ chơi, trò chơi&gt; búp bê, búp bê nhân vật&gt; nhân vật búp bê&gt; Pingu</v>
      </c>
      <c r="F578" t="str">
        <f t="shared" ref="F578:F614" ca="1" si="9">CONCATENATE(CHAR(34)&amp;"",A578,""&amp;CHAR(34)," : ", CHAR(34)&amp;"",D578,""&amp;CHAR(34),",")</f>
        <v>"2084020039" : "Pingu",</v>
      </c>
    </row>
    <row r="579" spans="1:6" ht="15.75" customHeight="1">
      <c r="A579" s="14">
        <v>2084020059</v>
      </c>
      <c r="B579" s="14" t="s">
        <v>3615</v>
      </c>
      <c r="C579" s="14" t="s">
        <v>3616</v>
      </c>
      <c r="D579" s="5" t="str">
        <f ca="1">IFERROR(__xludf.DUMMYFUNCTION("GOOGLETRANSLATE(B579,""ja"",""vi"")"),"vảy mủn trên da người bịnh")</f>
        <v>vảy mủn trên da người bịnh</v>
      </c>
      <c r="E579" s="4" t="str">
        <f ca="1">IFERROR(__xludf.DUMMYFUNCTION("GOOGLETRANSLATE(C579,""ja"",""vi"")"),"Đấu giá&gt; đồ chơi, trò chơi&gt; búp bê, búp bê nhân vật&gt; nhân vật búp bê&gt; furfur")</f>
        <v>Đấu giá&gt; đồ chơi, trò chơi&gt; búp bê, búp bê nhân vật&gt; nhân vật búp bê&gt; furfur</v>
      </c>
      <c r="F579" t="str">
        <f t="shared" ca="1" si="9"/>
        <v>"2084020059" : "vảy mủn trên da người bịnh",</v>
      </c>
    </row>
    <row r="580" spans="1:6" ht="15.75" customHeight="1">
      <c r="A580" s="14">
        <v>2084046540</v>
      </c>
      <c r="B580" s="14" t="s">
        <v>3622</v>
      </c>
      <c r="C580" s="14" t="s">
        <v>3623</v>
      </c>
      <c r="D580" s="5" t="str">
        <f ca="1">IFERROR(__xludf.DUMMYFUNCTION("GOOGLETRANSLATE(B580,""ja"",""vi"")"),"Bryce")</f>
        <v>Bryce</v>
      </c>
      <c r="E580" s="4" t="str">
        <f ca="1">IFERROR(__xludf.DUMMYFUNCTION("GOOGLETRANSLATE(C580,""ja"",""vi"")"),"Đấu giá&gt; đồ chơi, trò chơi&gt; búp bê, búp bê nhân vật&gt; nhân vật búp bê&gt; Blythe")</f>
        <v>Đấu giá&gt; đồ chơi, trò chơi&gt; búp bê, búp bê nhân vật&gt; nhân vật búp bê&gt; Blythe</v>
      </c>
      <c r="F580" t="str">
        <f t="shared" ca="1" si="9"/>
        <v>"2084046540" : "Bryce",</v>
      </c>
    </row>
    <row r="581" spans="1:6" ht="15.75" customHeight="1">
      <c r="A581" s="14">
        <v>2084049982</v>
      </c>
      <c r="B581" s="14" t="s">
        <v>3628</v>
      </c>
      <c r="C581" s="14" t="s">
        <v>3630</v>
      </c>
      <c r="D581" s="5" t="str">
        <f ca="1">IFERROR(__xludf.DUMMYFUNCTION("GOOGLETRANSLATE(B581,""ja"",""vi"")"),"Pullip")</f>
        <v>Pullip</v>
      </c>
      <c r="E581" s="4" t="str">
        <f ca="1">IFERROR(__xludf.DUMMYFUNCTION("GOOGLETRANSLATE(C581,""ja"",""vi"")"),"Đấu giá&gt; đồ chơi, trò chơi&gt; búp bê, búp bê nhân vật&gt; nhân vật búp bê&gt; Pullip")</f>
        <v>Đấu giá&gt; đồ chơi, trò chơi&gt; búp bê, búp bê nhân vật&gt; nhân vật búp bê&gt; Pullip</v>
      </c>
      <c r="F581" t="str">
        <f t="shared" ca="1" si="9"/>
        <v>"2084049982" : "Pullip",</v>
      </c>
    </row>
    <row r="582" spans="1:6" ht="15.75" customHeight="1">
      <c r="A582" s="14">
        <v>2084020060</v>
      </c>
      <c r="B582" s="14" t="s">
        <v>1382</v>
      </c>
      <c r="C582" s="14" t="s">
        <v>3633</v>
      </c>
      <c r="D582" s="5" t="str">
        <f ca="1">IFERROR(__xludf.DUMMYFUNCTION("GOOGLETRANSLATE(B582,""ja"",""vi"")"),"Pokemon")</f>
        <v>Pokemon</v>
      </c>
      <c r="E582" s="4" t="str">
        <f ca="1">IFERROR(__xludf.DUMMYFUNCTION("GOOGLETRANSLATE(C582,""ja"",""vi"")"),"Đấu giá&gt; đồ chơi, trò chơi&gt; búp bê, búp bê nhân vật&gt; nhân vật búp bê&gt; Pokemon")</f>
        <v>Đấu giá&gt; đồ chơi, trò chơi&gt; búp bê, búp bê nhân vật&gt; nhân vật búp bê&gt; Pokemon</v>
      </c>
      <c r="F582" t="str">
        <f t="shared" ca="1" si="9"/>
        <v>"2084020060" : "Pokemon",</v>
      </c>
    </row>
    <row r="583" spans="1:6" ht="15.75" customHeight="1">
      <c r="A583" s="14">
        <v>2084020038</v>
      </c>
      <c r="B583" s="14" t="s">
        <v>3637</v>
      </c>
      <c r="C583" s="14" t="s">
        <v>3640</v>
      </c>
      <c r="D583" s="5" t="str">
        <f ca="1">IFERROR(__xludf.DUMMYFUNCTION("GOOGLETRANSLATE(B583,""ja"",""vi"")"),"Popeye")</f>
        <v>Popeye</v>
      </c>
      <c r="E583" s="4" t="str">
        <f ca="1">IFERROR(__xludf.DUMMYFUNCTION("GOOGLETRANSLATE(C583,""ja"",""vi"")"),"Đấu giá&gt; đồ chơi, trò chơi&gt; búp bê, búp bê nhân vật&gt; nhân vật búp bê&gt; Popeye")</f>
        <v>Đấu giá&gt; đồ chơi, trò chơi&gt; búp bê, búp bê nhân vật&gt; nhân vật búp bê&gt; Popeye</v>
      </c>
      <c r="F583" t="str">
        <f t="shared" ca="1" si="9"/>
        <v>"2084020038" : "Popeye",</v>
      </c>
    </row>
    <row r="584" spans="1:6" ht="15.75" customHeight="1">
      <c r="A584" s="14">
        <v>2084020054</v>
      </c>
      <c r="B584" s="14" t="s">
        <v>3646</v>
      </c>
      <c r="C584" s="14" t="s">
        <v>3648</v>
      </c>
      <c r="D584" s="5" t="str">
        <f ca="1">IFERROR(__xludf.DUMMYFUNCTION("GOOGLETRANSLATE(B584,""ja"",""vi"")"),"Miffy")</f>
        <v>Miffy</v>
      </c>
      <c r="E584" s="4" t="str">
        <f ca="1">IFERROR(__xludf.DUMMYFUNCTION("GOOGLETRANSLATE(C584,""ja"",""vi"")"),"Đấu giá&gt; đồ chơi, trò chơi&gt; búp bê, búp bê nhân vật&gt; nhân vật búp bê&gt; Miffy")</f>
        <v>Đấu giá&gt; đồ chơi, trò chơi&gt; búp bê, búp bê nhân vật&gt; nhân vật búp bê&gt; Miffy</v>
      </c>
      <c r="F584" t="str">
        <f t="shared" ca="1" si="9"/>
        <v>"2084020054" : "Miffy",</v>
      </c>
    </row>
    <row r="585" spans="1:6" ht="15.75" customHeight="1">
      <c r="A585" s="14">
        <v>2084020049</v>
      </c>
      <c r="B585" s="14" t="s">
        <v>1517</v>
      </c>
      <c r="C585" s="14" t="s">
        <v>3654</v>
      </c>
      <c r="D585" s="5" t="str">
        <f ca="1">IFERROR(__xludf.DUMMYFUNCTION("GOOGLETRANSLATE(B585,""ja"",""vi"")"),"Moomin")</f>
        <v>Moomin</v>
      </c>
      <c r="E585" s="4" t="str">
        <f ca="1">IFERROR(__xludf.DUMMYFUNCTION("GOOGLETRANSLATE(C585,""ja"",""vi"")"),"Đấu giá&gt; đồ chơi, trò chơi&gt; búp bê, búp bê nhân vật&gt; nhân vật búp bê&gt; Moomin")</f>
        <v>Đấu giá&gt; đồ chơi, trò chơi&gt; búp bê, búp bê nhân vật&gt; nhân vật búp bê&gt; Moomin</v>
      </c>
      <c r="F585" t="str">
        <f t="shared" ca="1" si="9"/>
        <v>"2084020049" : "Moomin",</v>
      </c>
    </row>
    <row r="586" spans="1:6" ht="15.75" customHeight="1">
      <c r="A586" s="14">
        <v>2084020062</v>
      </c>
      <c r="B586" s="14" t="s">
        <v>46</v>
      </c>
      <c r="C586" s="14" t="s">
        <v>3660</v>
      </c>
      <c r="D586" s="5" t="str">
        <f ca="1">IFERROR(__xludf.DUMMYFUNCTION("GOOGLETRANSLATE(B586,""ja"",""vi"")"),"nếu không thì")</f>
        <v>nếu không thì</v>
      </c>
      <c r="E586" s="4" t="str">
        <f ca="1">IFERROR(__xludf.DUMMYFUNCTION("GOOGLETRANSLATE(C586,""ja"",""vi"")"),"Đấu giá&gt; đồ chơi, trò chơi&gt; búp bê, búp bê nhân vật&gt; nhân vật búp bê&gt; Khác")</f>
        <v>Đấu giá&gt; đồ chơi, trò chơi&gt; búp bê, búp bê nhân vật&gt; nhân vật búp bê&gt; Khác</v>
      </c>
      <c r="F586" t="str">
        <f t="shared" ca="1" si="9"/>
        <v>"2084020062" : "nếu không thì",</v>
      </c>
    </row>
    <row r="587" spans="1:6" ht="15.75" customHeight="1">
      <c r="A587" s="14">
        <v>2084006414</v>
      </c>
      <c r="B587" s="14" t="s">
        <v>7412</v>
      </c>
      <c r="C587" s="14" t="s">
        <v>7413</v>
      </c>
      <c r="D587" s="5" t="str">
        <f ca="1">IFERROR(__xludf.DUMMYFUNCTION("GOOGLETRANSLATE(B587,""ja"",""vi"")"),"súng điện")</f>
        <v>súng điện</v>
      </c>
      <c r="E587" s="4" t="str">
        <f ca="1">IFERROR(__xludf.DUMMYFUNCTION("GOOGLETRANSLATE(C587,""ja"",""vi"")"),"Đấu giá&gt; Sở thích, văn hóa&gt; quân sự&gt; súng đồ chơi&gt; súng điện")</f>
        <v>Đấu giá&gt; Sở thích, văn hóa&gt; quân sự&gt; súng đồ chơi&gt; súng điện</v>
      </c>
      <c r="F587" t="str">
        <f t="shared" ca="1" si="9"/>
        <v>"2084006414" : "súng điện",</v>
      </c>
    </row>
    <row r="588" spans="1:6" ht="15.75" customHeight="1">
      <c r="A588" s="14">
        <v>2084006415</v>
      </c>
      <c r="B588" s="14" t="s">
        <v>7415</v>
      </c>
      <c r="C588" s="14" t="s">
        <v>7416</v>
      </c>
      <c r="D588" s="5" t="str">
        <f ca="1">IFERROR(__xludf.DUMMYFUNCTION("GOOGLETRANSLATE(B588,""ja"",""vi"")"),"súng gas")</f>
        <v>súng gas</v>
      </c>
      <c r="E588" s="4" t="str">
        <f ca="1">IFERROR(__xludf.DUMMYFUNCTION("GOOGLETRANSLATE(C588,""ja"",""vi"")"),"Đấu giá&gt; Sở thích, văn hóa&gt; quân sự&gt; súng đồ chơi&gt; súng gas")</f>
        <v>Đấu giá&gt; Sở thích, văn hóa&gt; quân sự&gt; súng đồ chơi&gt; súng gas</v>
      </c>
      <c r="F588" t="str">
        <f t="shared" ca="1" si="9"/>
        <v>"2084006415" : "súng gas",</v>
      </c>
    </row>
    <row r="589" spans="1:6" ht="15.75" customHeight="1">
      <c r="A589" s="14">
        <v>2084006416</v>
      </c>
      <c r="B589" s="14" t="s">
        <v>7421</v>
      </c>
      <c r="C589" s="14" t="s">
        <v>7422</v>
      </c>
      <c r="D589" s="5" t="str">
        <f ca="1">IFERROR(__xludf.DUMMYFUNCTION("GOOGLETRANSLATE(B589,""ja"",""vi"")"),"súng hơi")</f>
        <v>súng hơi</v>
      </c>
      <c r="E589" s="4" t="str">
        <f ca="1">IFERROR(__xludf.DUMMYFUNCTION("GOOGLETRANSLATE(C589,""ja"",""vi"")"),"Đấu giá&gt; Sở thích, văn hóa&gt; quân sự&gt; súng đồ chơi&gt; súng hơi")</f>
        <v>Đấu giá&gt; Sở thích, văn hóa&gt; quân sự&gt; súng đồ chơi&gt; súng hơi</v>
      </c>
      <c r="F589" t="str">
        <f t="shared" ca="1" si="9"/>
        <v>"2084006416" : "súng hơi",</v>
      </c>
    </row>
    <row r="590" spans="1:6" ht="15.75" customHeight="1">
      <c r="A590" s="14">
        <v>2084006417</v>
      </c>
      <c r="B590" s="14" t="s">
        <v>1612</v>
      </c>
      <c r="C590" s="14" t="s">
        <v>7425</v>
      </c>
      <c r="D590" s="5" t="str">
        <f ca="1">IFERROR(__xludf.DUMMYFUNCTION("GOOGLETRANSLATE(B590,""ja"",""vi"")"),"bộ phận")</f>
        <v>bộ phận</v>
      </c>
      <c r="E590" s="4" t="str">
        <f ca="1">IFERROR(__xludf.DUMMYFUNCTION("GOOGLETRANSLATE(C590,""ja"",""vi"")"),"Đấu giá&gt; Sở thích, văn hóa&gt; quân sự&gt; súng đồ chơi&gt; phụ tùng")</f>
        <v>Đấu giá&gt; Sở thích, văn hóa&gt; quân sự&gt; súng đồ chơi&gt; phụ tùng</v>
      </c>
      <c r="F590" t="str">
        <f t="shared" ca="1" si="9"/>
        <v>"2084006417" : "bộ phận",</v>
      </c>
    </row>
    <row r="591" spans="1:6" ht="15.75" customHeight="1">
      <c r="A591" s="14">
        <v>2084006413</v>
      </c>
      <c r="B591" s="14" t="s">
        <v>7428</v>
      </c>
      <c r="C591" s="14" t="s">
        <v>7430</v>
      </c>
      <c r="D591" s="5" t="str">
        <f ca="1">IFERROR(__xludf.DUMMYFUNCTION("GOOGLETRANSLATE(B591,""ja"",""vi"")"),"Modelguns")</f>
        <v>Modelguns</v>
      </c>
      <c r="E591" s="4" t="str">
        <f ca="1">IFERROR(__xludf.DUMMYFUNCTION("GOOGLETRANSLATE(C591,""ja"",""vi"")"),"Đấu giá&gt; Sở thích, văn hóa&gt; quân sự&gt; súng đồ chơi&gt; súng mô hình")</f>
        <v>Đấu giá&gt; Sở thích, văn hóa&gt; quân sự&gt; súng đồ chơi&gt; súng mô hình</v>
      </c>
      <c r="F591" t="str">
        <f t="shared" ca="1" si="9"/>
        <v>"2084006413" : "Modelguns",</v>
      </c>
    </row>
    <row r="592" spans="1:6" ht="15.75" customHeight="1">
      <c r="A592" s="14">
        <v>2084006412</v>
      </c>
      <c r="B592" s="14" t="s">
        <v>46</v>
      </c>
      <c r="C592" s="14" t="s">
        <v>7436</v>
      </c>
      <c r="D592" s="5" t="str">
        <f ca="1">IFERROR(__xludf.DUMMYFUNCTION("GOOGLETRANSLATE(B592,""ja"",""vi"")"),"nếu không thì")</f>
        <v>nếu không thì</v>
      </c>
      <c r="E592" s="4" t="str">
        <f ca="1">IFERROR(__xludf.DUMMYFUNCTION("GOOGLETRANSLATE(C592,""ja"",""vi"")"),"Đấu giá&gt; Sở thích, văn hóa&gt; quân sự&gt; súng đồ chơi&gt; Khác")</f>
        <v>Đấu giá&gt; Sở thích, văn hóa&gt; quân sự&gt; súng đồ chơi&gt; Khác</v>
      </c>
      <c r="F592" t="str">
        <f t="shared" ca="1" si="9"/>
        <v>"2084006412" : "nếu không thì",</v>
      </c>
    </row>
    <row r="593" spans="1:6" ht="15.75" customHeight="1">
      <c r="A593" s="14">
        <v>2084005559</v>
      </c>
      <c r="B593" s="14" t="s">
        <v>7441</v>
      </c>
      <c r="C593" s="14" t="s">
        <v>7442</v>
      </c>
      <c r="D593" s="5" t="str">
        <f ca="1">IFERROR(__xludf.DUMMYFUNCTION("GOOGLETRANSLATE(B593,""ja"",""vi"")"),"mũ bảo hiểm")</f>
        <v>mũ bảo hiểm</v>
      </c>
      <c r="E593" s="4" t="str">
        <f ca="1">IFERROR(__xludf.DUMMYFUNCTION("GOOGLETRANSLATE(C593,""ja"",""vi"")"),"Đấu giá&gt; Sở thích, văn hóa&gt; quân sự&gt; thiết bị cá nhân&gt; mũ bảo hiểm")</f>
        <v>Đấu giá&gt; Sở thích, văn hóa&gt; quân sự&gt; thiết bị cá nhân&gt; mũ bảo hiểm</v>
      </c>
      <c r="F593" t="str">
        <f t="shared" ca="1" si="9"/>
        <v>"2084005559" : "mũ bảo hiểm",</v>
      </c>
    </row>
    <row r="594" spans="1:6" ht="15.75" customHeight="1">
      <c r="A594" s="14">
        <v>2084005560</v>
      </c>
      <c r="B594" s="14" t="s">
        <v>7449</v>
      </c>
      <c r="C594" s="14" t="s">
        <v>7451</v>
      </c>
      <c r="D594" s="5" t="str">
        <f ca="1">IFERROR(__xludf.DUMMYFUNCTION("GOOGLETRANSLATE(B594,""ja"",""vi"")"),"mũ")</f>
        <v>mũ</v>
      </c>
      <c r="E594" s="4" t="str">
        <f ca="1">IFERROR(__xludf.DUMMYFUNCTION("GOOGLETRANSLATE(C594,""ja"",""vi"")"),"Đấu giá&gt; Sở thích, văn hóa&gt; quân sự&gt; thiết bị cá nhân&gt; mũ")</f>
        <v>Đấu giá&gt; Sở thích, văn hóa&gt; quân sự&gt; thiết bị cá nhân&gt; mũ</v>
      </c>
      <c r="F594" t="str">
        <f t="shared" ca="1" si="9"/>
        <v>"2084005560" : "mũ",</v>
      </c>
    </row>
    <row r="595" spans="1:6" ht="15.75" customHeight="1">
      <c r="A595" s="14">
        <v>2084005556</v>
      </c>
      <c r="B595" s="14" t="s">
        <v>7454</v>
      </c>
      <c r="C595" s="14" t="s">
        <v>7457</v>
      </c>
      <c r="D595" s="5" t="str">
        <f ca="1">IFERROR(__xludf.DUMMYFUNCTION("GOOGLETRANSLATE(B595,""ja"",""vi"")"),"đồng dạng")</f>
        <v>đồng dạng</v>
      </c>
      <c r="E595" s="4" t="str">
        <f ca="1">IFERROR(__xludf.DUMMYFUNCTION("GOOGLETRANSLATE(C595,""ja"",""vi"")"),"Đấu giá&gt; Sở thích, văn hóa&gt; quân sự&gt; thiết bị cá nhân&gt; Đồng phục")</f>
        <v>Đấu giá&gt; Sở thích, văn hóa&gt; quân sự&gt; thiết bị cá nhân&gt; Đồng phục</v>
      </c>
      <c r="F595" t="str">
        <f t="shared" ca="1" si="9"/>
        <v>"2084005556" : "đồng dạng",</v>
      </c>
    </row>
    <row r="596" spans="1:6" ht="15.75" customHeight="1">
      <c r="A596" s="14">
        <v>2084005557</v>
      </c>
      <c r="B596" s="14" t="s">
        <v>7461</v>
      </c>
      <c r="C596" s="14" t="s">
        <v>7464</v>
      </c>
      <c r="D596" s="5" t="str">
        <f ca="1">IFERROR(__xludf.DUMMYFUNCTION("GOOGLETRANSLATE(B596,""ja"",""vi"")"),"đồng phục chiến đấu")</f>
        <v>đồng phục chiến đấu</v>
      </c>
      <c r="E596" s="4" t="str">
        <f ca="1">IFERROR(__xludf.DUMMYFUNCTION("GOOGLETRANSLATE(C596,""ja"",""vi"")"),"Đấu giá&gt; Sở thích, văn hóa&gt; quân sự&gt; thiết bị cá nhân&gt; Đồng phục công chiến đấu")</f>
        <v>Đấu giá&gt; Sở thích, văn hóa&gt; quân sự&gt; thiết bị cá nhân&gt; Đồng phục công chiến đấu</v>
      </c>
      <c r="F596" t="str">
        <f t="shared" ca="1" si="9"/>
        <v>"2084005557" : "đồng phục chiến đấu",</v>
      </c>
    </row>
    <row r="597" spans="1:6" ht="15.75" customHeight="1">
      <c r="A597" s="14">
        <v>2084052333</v>
      </c>
      <c r="B597" s="14" t="s">
        <v>7469</v>
      </c>
      <c r="C597" s="14" t="s">
        <v>7470</v>
      </c>
      <c r="D597" s="5" t="str">
        <f ca="1">IFERROR(__xludf.DUMMYFUNCTION("GOOGLETRANSLATE(B597,""ja"",""vi"")"),"áo khoác bay")</f>
        <v>áo khoác bay</v>
      </c>
      <c r="E597" s="4" t="str">
        <f ca="1">IFERROR(__xludf.DUMMYFUNCTION("GOOGLETRANSLATE(C597,""ja"",""vi"")"),"Đấu giá&gt; Sở thích, văn hóa&gt; quân sự&gt; thiết bị cá nhân&gt; áo khoác chuyến bay")</f>
        <v>Đấu giá&gt; Sở thích, văn hóa&gt; quân sự&gt; thiết bị cá nhân&gt; áo khoác chuyến bay</v>
      </c>
      <c r="F597" t="str">
        <f t="shared" ca="1" si="9"/>
        <v>"2084052333" : "áo khoác bay",</v>
      </c>
    </row>
    <row r="598" spans="1:6" ht="15.75" customHeight="1">
      <c r="A598" s="14">
        <v>2084005565</v>
      </c>
      <c r="B598" s="14" t="s">
        <v>7476</v>
      </c>
      <c r="C598" s="14" t="s">
        <v>7478</v>
      </c>
      <c r="D598" s="5" t="str">
        <f ca="1">IFERROR(__xludf.DUMMYFUNCTION("GOOGLETRANSLATE(B598,""ja"",""vi"")"),"Một T-shirt")</f>
        <v>Một T-shirt</v>
      </c>
      <c r="E598" s="4" t="str">
        <f ca="1">IFERROR(__xludf.DUMMYFUNCTION("GOOGLETRANSLATE(C598,""ja"",""vi"")"),"Đấu giá&gt; Sở thích, văn hóa&gt; quân sự&gt; thiết bị cá nhân&gt; T-Shirts")</f>
        <v>Đấu giá&gt; Sở thích, văn hóa&gt; quân sự&gt; thiết bị cá nhân&gt; T-Shirts</v>
      </c>
      <c r="F598" t="str">
        <f t="shared" ca="1" si="9"/>
        <v>"2084005565" : "Một T-shirt",</v>
      </c>
    </row>
    <row r="599" spans="1:6" ht="15.75" customHeight="1">
      <c r="A599" s="14">
        <v>2084259204</v>
      </c>
      <c r="B599" s="14" t="s">
        <v>7485</v>
      </c>
      <c r="C599" s="14" t="s">
        <v>7486</v>
      </c>
      <c r="D599" s="5" t="str">
        <f ca="1">IFERROR(__xludf.DUMMYFUNCTION("GOOGLETRANSLATE(B599,""ja"",""vi"")"),"quần")</f>
        <v>quần</v>
      </c>
      <c r="E599" s="4" t="str">
        <f ca="1">IFERROR(__xludf.DUMMYFUNCTION("GOOGLETRANSLATE(C599,""ja"",""vi"")"),"Đấu giá&gt; Sở thích, văn hóa&gt; quân sự&gt; thiết bị cá nhân&gt; quần")</f>
        <v>Đấu giá&gt; Sở thích, văn hóa&gt; quân sự&gt; thiết bị cá nhân&gt; quần</v>
      </c>
      <c r="F599" t="str">
        <f t="shared" ca="1" si="9"/>
        <v>"2084259204" : "quần",</v>
      </c>
    </row>
    <row r="600" spans="1:6" ht="15.75" customHeight="1">
      <c r="A600" s="14">
        <v>2084005558</v>
      </c>
      <c r="B600" s="14" t="s">
        <v>7493</v>
      </c>
      <c r="C600" s="14" t="s">
        <v>7494</v>
      </c>
      <c r="D600" s="5" t="str">
        <f ca="1">IFERROR(__xludf.DUMMYFUNCTION("GOOGLETRANSLATE(B600,""ja"",""vi"")"),"đôi giày")</f>
        <v>đôi giày</v>
      </c>
      <c r="E600" s="4" t="str">
        <f ca="1">IFERROR(__xludf.DUMMYFUNCTION("GOOGLETRANSLATE(C600,""ja"",""vi"")"),"Đấu giá&gt; Sở thích, văn hóa&gt; quân sự&gt; thiết bị cá nhân&gt; giày")</f>
        <v>Đấu giá&gt; Sở thích, văn hóa&gt; quân sự&gt; thiết bị cá nhân&gt; giày</v>
      </c>
      <c r="F600" t="str">
        <f t="shared" ca="1" si="9"/>
        <v>"2084005558" : "đôi giày",</v>
      </c>
    </row>
    <row r="601" spans="1:6" ht="15.75" customHeight="1">
      <c r="A601" s="14">
        <v>2084005562</v>
      </c>
      <c r="B601" s="14" t="s">
        <v>7499</v>
      </c>
      <c r="C601" s="14" t="s">
        <v>7501</v>
      </c>
      <c r="D601" s="5" t="str">
        <f ca="1">IFERROR(__xludf.DUMMYFUNCTION("GOOGLETRANSLATE(B601,""ja"",""vi"")"),"tạp chí túi")</f>
        <v>tạp chí túi</v>
      </c>
      <c r="E601" s="4" t="str">
        <f ca="1">IFERROR(__xludf.DUMMYFUNCTION("GOOGLETRANSLATE(C601,""ja"",""vi"")"),"Đấu giá&gt; Sở thích, văn hóa&gt; quân sự&gt; thiết bị cá nhân&gt; tạp chí túi")</f>
        <v>Đấu giá&gt; Sở thích, văn hóa&gt; quân sự&gt; thiết bị cá nhân&gt; tạp chí túi</v>
      </c>
      <c r="F601" t="str">
        <f t="shared" ca="1" si="9"/>
        <v>"2084005562" : "tạp chí túi",</v>
      </c>
    </row>
    <row r="602" spans="1:6" ht="15.75" customHeight="1">
      <c r="A602" s="14">
        <v>2084005561</v>
      </c>
      <c r="B602" s="14" t="s">
        <v>7505</v>
      </c>
      <c r="C602" s="14" t="s">
        <v>7506</v>
      </c>
      <c r="D602" s="5" t="str">
        <f ca="1">IFERROR(__xludf.DUMMYFUNCTION("GOOGLETRANSLATE(B602,""ja"",""vi"")"),"dây buộc súng")</f>
        <v>dây buộc súng</v>
      </c>
      <c r="E602" s="4" t="str">
        <f ca="1">IFERROR(__xludf.DUMMYFUNCTION("GOOGLETRANSLATE(C602,""ja"",""vi"")"),"Đấu giá&gt; Sở thích, văn hóa&gt; quân sự&gt; thiết bị cá nhân&gt; dây buộc súng")</f>
        <v>Đấu giá&gt; Sở thích, văn hóa&gt; quân sự&gt; thiết bị cá nhân&gt; dây buộc súng</v>
      </c>
      <c r="F602" t="str">
        <f t="shared" ca="1" si="9"/>
        <v>"2084005561" : "dây buộc súng",</v>
      </c>
    </row>
    <row r="603" spans="1:6" ht="15.75" customHeight="1">
      <c r="A603" s="14">
        <v>2084005563</v>
      </c>
      <c r="B603" s="14" t="s">
        <v>46</v>
      </c>
      <c r="C603" s="14" t="s">
        <v>7512</v>
      </c>
      <c r="D603" s="5" t="str">
        <f ca="1">IFERROR(__xludf.DUMMYFUNCTION("GOOGLETRANSLATE(B603,""ja"",""vi"")"),"nếu không thì")</f>
        <v>nếu không thì</v>
      </c>
      <c r="E603" s="4" t="str">
        <f ca="1">IFERROR(__xludf.DUMMYFUNCTION("GOOGLETRANSLATE(C603,""ja"",""vi"")"),"Đấu giá&gt; Sở thích, văn hóa&gt; quân sự&gt; thiết bị cá nhân&gt; Khác")</f>
        <v>Đấu giá&gt; Sở thích, văn hóa&gt; quân sự&gt; thiết bị cá nhân&gt; Khác</v>
      </c>
      <c r="F603" t="str">
        <f t="shared" ca="1" si="9"/>
        <v>"2084005563" : "nếu không thì",</v>
      </c>
    </row>
    <row r="604" spans="1:6" ht="15.75" customHeight="1">
      <c r="A604" s="14">
        <v>2084005565</v>
      </c>
      <c r="B604" s="14" t="s">
        <v>7476</v>
      </c>
      <c r="C604" s="14" t="s">
        <v>7516</v>
      </c>
      <c r="D604" s="5" t="str">
        <f ca="1">IFERROR(__xludf.DUMMYFUNCTION("GOOGLETRANSLATE(B604,""ja"",""vi"")"),"Một T-shirt")</f>
        <v>Một T-shirt</v>
      </c>
      <c r="E604" s="4" t="str">
        <f ca="1">IFERROR(__xludf.DUMMYFUNCTION("GOOGLETRANSLATE(C604,""ja"",""vi"")"),"Đấu giá&gt; Sở thích, văn hóa&gt; Quân sự&gt; phụ kiện, phụ kiện&gt; T-Shirts")</f>
        <v>Đấu giá&gt; Sở thích, văn hóa&gt; Quân sự&gt; phụ kiện, phụ kiện&gt; T-Shirts</v>
      </c>
      <c r="F604" t="str">
        <f t="shared" ca="1" si="9"/>
        <v>"2084005565" : "Một T-shirt",</v>
      </c>
    </row>
    <row r="605" spans="1:6" ht="15.75" customHeight="1">
      <c r="A605" s="14">
        <v>2084005566</v>
      </c>
      <c r="B605" s="14" t="s">
        <v>7519</v>
      </c>
      <c r="C605" s="14" t="s">
        <v>7521</v>
      </c>
      <c r="D605" s="5" t="str">
        <f ca="1">IFERROR(__xludf.DUMMYFUNCTION("GOOGLETRANSLATE(B605,""ja"",""vi"")"),"Writer")</f>
        <v>Writer</v>
      </c>
      <c r="E605" s="4" t="str">
        <f ca="1">IFERROR(__xludf.DUMMYFUNCTION("GOOGLETRANSLATE(C605,""ja"",""vi"")"),"Đấu giá&gt; Sở thích, văn hóa&gt; Quân sự&gt; phụ kiện, phụ kiện&gt; nhà văn")</f>
        <v>Đấu giá&gt; Sở thích, văn hóa&gt; Quân sự&gt; phụ kiện, phụ kiện&gt; nhà văn</v>
      </c>
      <c r="F605" t="str">
        <f t="shared" ca="1" si="9"/>
        <v>"2084005566" : "Writer",</v>
      </c>
    </row>
    <row r="606" spans="1:6" ht="15.75" customHeight="1">
      <c r="A606" s="14">
        <v>2084005568</v>
      </c>
      <c r="B606" s="14" t="s">
        <v>7525</v>
      </c>
      <c r="C606" s="14" t="s">
        <v>7527</v>
      </c>
      <c r="D606" s="5" t="str">
        <f ca="1">IFERROR(__xludf.DUMMYFUNCTION("GOOGLETRANSLATE(B606,""ja"",""vi"")"),"biểu tượng")</f>
        <v>biểu tượng</v>
      </c>
      <c r="E606" s="4" t="str">
        <f ca="1">IFERROR(__xludf.DUMMYFUNCTION("GOOGLETRANSLATE(C606,""ja"",""vi"")"),"Đấu giá&gt; Sở thích, văn hóa&gt; Quân sự&gt; phụ kiện, phụ kiện&gt; biểu tượng")</f>
        <v>Đấu giá&gt; Sở thích, văn hóa&gt; Quân sự&gt; phụ kiện, phụ kiện&gt; biểu tượng</v>
      </c>
      <c r="F606" t="str">
        <f t="shared" ca="1" si="9"/>
        <v>"2084005568" : "biểu tượng",</v>
      </c>
    </row>
    <row r="607" spans="1:6" ht="15.75" customHeight="1">
      <c r="A607" s="14">
        <v>2084005567</v>
      </c>
      <c r="B607" s="14" t="s">
        <v>7530</v>
      </c>
      <c r="C607" s="14" t="s">
        <v>7531</v>
      </c>
      <c r="D607" s="5" t="str">
        <f ca="1">IFERROR(__xludf.DUMMYFUNCTION("GOOGLETRANSLATE(B607,""ja"",""vi"")"),"Xem")</f>
        <v>Xem</v>
      </c>
      <c r="E607" s="4" t="str">
        <f ca="1">IFERROR(__xludf.DUMMYFUNCTION("GOOGLETRANSLATE(C607,""ja"",""vi"")"),"Đấu giá&gt; Sở thích, văn hóa&gt; Quân sự&gt; phụ kiện, phụ kiện&gt; đồng hồ")</f>
        <v>Đấu giá&gt; Sở thích, văn hóa&gt; Quân sự&gt; phụ kiện, phụ kiện&gt; đồng hồ</v>
      </c>
      <c r="F607" t="str">
        <f t="shared" ca="1" si="9"/>
        <v>"2084005567" : "Xem",</v>
      </c>
    </row>
    <row r="608" spans="1:6" ht="15.75" customHeight="1">
      <c r="A608" s="14">
        <v>2084005572</v>
      </c>
      <c r="B608" s="14" t="s">
        <v>46</v>
      </c>
      <c r="C608" s="14" t="s">
        <v>7534</v>
      </c>
      <c r="D608" s="5" t="str">
        <f ca="1">IFERROR(__xludf.DUMMYFUNCTION("GOOGLETRANSLATE(B608,""ja"",""vi"")"),"nếu không thì")</f>
        <v>nếu không thì</v>
      </c>
      <c r="E608" s="4" t="str">
        <f ca="1">IFERROR(__xludf.DUMMYFUNCTION("GOOGLETRANSLATE(C608,""ja"",""vi"")"),"Đấu giá&gt; Sở thích, văn hóa&gt; Quân sự&gt; Tiện ích, Phụ kiện&gt; Khác")</f>
        <v>Đấu giá&gt; Sở thích, văn hóa&gt; Quân sự&gt; Tiện ích, Phụ kiện&gt; Khác</v>
      </c>
      <c r="F608" t="str">
        <f t="shared" ca="1" si="9"/>
        <v>"2084005572" : "nếu không thì",</v>
      </c>
    </row>
    <row r="609" spans="1:6" ht="15.75" customHeight="1">
      <c r="A609" s="14">
        <v>2084023610</v>
      </c>
      <c r="B609" s="14" t="s">
        <v>3388</v>
      </c>
      <c r="C609" s="14" t="s">
        <v>3390</v>
      </c>
      <c r="D609" s="5" t="str">
        <f ca="1">IFERROR(__xludf.DUMMYFUNCTION("GOOGLETRANSLATE(B609,""ja"",""vi"")"),"G.I. Joe")</f>
        <v>G.I. Joe</v>
      </c>
      <c r="E609" s="4" t="str">
        <f ca="1">IFERROR(__xludf.DUMMYFUNCTION("GOOGLETRANSLATE(C609,""ja"",""vi"")"),"Đấu giá&gt; Đồ chơi, trò chơi&gt; Hình&gt; Quân sự&gt; G.I. Joe")</f>
        <v>Đấu giá&gt; Đồ chơi, trò chơi&gt; Hình&gt; Quân sự&gt; G.I. Joe</v>
      </c>
      <c r="F609" t="str">
        <f t="shared" ca="1" si="9"/>
        <v>"2084023610" : "G.I. Joe",</v>
      </c>
    </row>
    <row r="610" spans="1:6" ht="15.75" customHeight="1">
      <c r="A610" s="14">
        <v>2084236098</v>
      </c>
      <c r="B610" s="14" t="s">
        <v>3396</v>
      </c>
      <c r="C610" s="14" t="s">
        <v>3397</v>
      </c>
      <c r="D610" s="5" t="str">
        <f ca="1">IFERROR(__xludf.DUMMYFUNCTION("GOOGLETRANSLATE(B610,""ja"",""vi"")"),"Cô gái làm mát")</f>
        <v>Cô gái làm mát</v>
      </c>
      <c r="E610" s="4" t="str">
        <f ca="1">IFERROR(__xludf.DUMMYFUNCTION("GOOGLETRANSLATE(C610,""ja"",""vi"")"),"Đấu giá&gt; Đồ chơi, trò chơi&gt; Hình&gt; Quân sự&gt; Cool Girl")</f>
        <v>Đấu giá&gt; Đồ chơi, trò chơi&gt; Hình&gt; Quân sự&gt; Cool Girl</v>
      </c>
      <c r="F610" t="str">
        <f t="shared" ca="1" si="9"/>
        <v>"2084236098" : "Cô gái làm mát",</v>
      </c>
    </row>
    <row r="611" spans="1:6" ht="15.75" customHeight="1">
      <c r="A611" s="14">
        <v>2084023618</v>
      </c>
      <c r="B611" s="14" t="s">
        <v>3403</v>
      </c>
      <c r="C611" s="14" t="s">
        <v>3404</v>
      </c>
      <c r="D611" s="5" t="str">
        <f ca="1">IFERROR(__xludf.DUMMYFUNCTION("GOOGLETRANSLATE(B611,""ja"",""vi"")"),"quân phục, quần áo")</f>
        <v>quân phục, quần áo</v>
      </c>
      <c r="E611" s="4" t="str">
        <f ca="1">IFERROR(__xludf.DUMMYFUNCTION("GOOGLETRANSLATE(C611,""ja"",""vi"")"),"Đấu giá&gt; Đồ chơi, trò chơi&gt; Hình&gt; Quân sự&gt; quân phục, quần áo")</f>
        <v>Đấu giá&gt; Đồ chơi, trò chơi&gt; Hình&gt; Quân sự&gt; quân phục, quần áo</v>
      </c>
      <c r="F611" t="str">
        <f t="shared" ca="1" si="9"/>
        <v>"2084023618" : "quân phục, quần áo",</v>
      </c>
    </row>
    <row r="612" spans="1:6" ht="15.75" customHeight="1">
      <c r="A612" s="14">
        <v>2084023620</v>
      </c>
      <c r="B612" s="14" t="s">
        <v>3410</v>
      </c>
      <c r="C612" s="14" t="s">
        <v>3411</v>
      </c>
      <c r="D612" s="5" t="str">
        <f ca="1">IFERROR(__xludf.DUMMYFUNCTION("GOOGLETRANSLATE(B612,""ja"",""vi"")"),"xe cộ")</f>
        <v>xe cộ</v>
      </c>
      <c r="E612" s="4" t="str">
        <f ca="1">IFERROR(__xludf.DUMMYFUNCTION("GOOGLETRANSLATE(C612,""ja"",""vi"")"),"Đấu giá&gt; Đồ chơi, trò chơi&gt; Hình&gt; Quân sự&gt; Phương tiện đi lại")</f>
        <v>Đấu giá&gt; Đồ chơi, trò chơi&gt; Hình&gt; Quân sự&gt; Phương tiện đi lại</v>
      </c>
      <c r="F612" t="str">
        <f t="shared" ca="1" si="9"/>
        <v>"2084023620" : "xe cộ",</v>
      </c>
    </row>
    <row r="613" spans="1:6" ht="15.75" customHeight="1">
      <c r="A613" s="14">
        <v>2084023619</v>
      </c>
      <c r="B613" s="14" t="s">
        <v>3416</v>
      </c>
      <c r="C613" s="14" t="s">
        <v>3418</v>
      </c>
      <c r="D613" s="5" t="str">
        <f ca="1">IFERROR(__xludf.DUMMYFUNCTION("GOOGLETRANSLATE(B613,""ja"",""vi"")"),"Vũ khí, thiết bị cá nhân")</f>
        <v>Vũ khí, thiết bị cá nhân</v>
      </c>
      <c r="E613" s="4" t="str">
        <f ca="1">IFERROR(__xludf.DUMMYFUNCTION("GOOGLETRANSLATE(C613,""ja"",""vi"")"),"Đấu giá&gt; Đồ chơi, trò chơi&gt; Hình&gt; Quân sự&gt; Vũ khí, trang thiết bị cá nhân")</f>
        <v>Đấu giá&gt; Đồ chơi, trò chơi&gt; Hình&gt; Quân sự&gt; Vũ khí, trang thiết bị cá nhân</v>
      </c>
      <c r="F613" t="str">
        <f t="shared" ca="1" si="9"/>
        <v>"2084023619" : "Vũ khí, thiết bị cá nhân",</v>
      </c>
    </row>
    <row r="614" spans="1:6" ht="15.75" customHeight="1">
      <c r="A614" s="14">
        <v>2084023621</v>
      </c>
      <c r="B614" s="14" t="s">
        <v>46</v>
      </c>
      <c r="C614" s="14" t="s">
        <v>3423</v>
      </c>
      <c r="D614" s="5" t="str">
        <f ca="1">IFERROR(__xludf.DUMMYFUNCTION("GOOGLETRANSLATE(B614,""ja"",""vi"")"),"nếu không thì")</f>
        <v>nếu không thì</v>
      </c>
      <c r="E614" s="4" t="str">
        <f ca="1">IFERROR(__xludf.DUMMYFUNCTION("GOOGLETRANSLATE(C614,""ja"",""vi"")"),"Đấu giá&gt; Đồ chơi, trò chơi&gt; Hình&gt; Quân sự&gt; Khác")</f>
        <v>Đấu giá&gt; Đồ chơi, trò chơi&gt; Hình&gt; Quân sự&gt; Khác</v>
      </c>
      <c r="F614" t="str">
        <f t="shared" ca="1" si="9"/>
        <v>"2084023621" : "nếu không thì",</v>
      </c>
    </row>
    <row r="615" spans="1:6" ht="15.75" customHeight="1"/>
    <row r="616" spans="1:6" ht="15.75" customHeight="1"/>
    <row r="617" spans="1:6" ht="15.75" customHeight="1"/>
    <row r="618" spans="1:6" ht="15.75" customHeight="1"/>
    <row r="619" spans="1:6" ht="15.75" customHeight="1"/>
    <row r="620" spans="1:6" ht="15.75" customHeight="1"/>
    <row r="621" spans="1:6" ht="15.75" customHeight="1"/>
    <row r="622" spans="1:6" ht="15.75" customHeight="1"/>
    <row r="623" spans="1:6" ht="15.75" customHeight="1"/>
    <row r="624" spans="1:6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9"/>
  <sheetViews>
    <sheetView workbookViewId="0">
      <selection activeCell="F1" sqref="F1"/>
    </sheetView>
  </sheetViews>
  <sheetFormatPr defaultColWidth="12.59765625" defaultRowHeight="15" customHeight="1"/>
  <cols>
    <col min="1" max="1" width="11.09765625" customWidth="1"/>
    <col min="2" max="2" width="14.59765625" customWidth="1"/>
    <col min="3" max="3" width="45.5" customWidth="1"/>
    <col min="4" max="4" width="7.59765625" customWidth="1"/>
    <col min="5" max="5" width="45" customWidth="1"/>
    <col min="6" max="26" width="7.59765625" customWidth="1"/>
  </cols>
  <sheetData>
    <row r="1" spans="1:6" ht="21.6">
      <c r="A1" s="17">
        <v>2084286277</v>
      </c>
      <c r="B1" s="17" t="s">
        <v>8343</v>
      </c>
      <c r="C1" s="17" t="s">
        <v>8344</v>
      </c>
      <c r="D1" s="5" t="str">
        <f ca="1">IFERROR(__xludf.DUMMYFUNCTION("GOOGLETRANSLATE(B1,""ja"",""vi"")"),"Mang")</f>
        <v>Mang</v>
      </c>
      <c r="E1" s="5" t="str">
        <f ca="1">IFERROR(__xludf.DUMMYFUNCTION("GOOGLETRANSLATE(C1,""ja"",""vi"")"),"Đấu giá&gt; thể thao, giải trí&gt; Bằng Sport&gt; bóng đá Mỹ&gt; Mang")</f>
        <v>Đấu giá&gt; thể thao, giải trí&gt; Bằng Sport&gt; bóng đá Mỹ&gt; Mang</v>
      </c>
      <c r="F1" t="str">
        <f ca="1">CONCATENATE(CHAR(34)&amp;"",A1,""&amp;CHAR(34)," : ", CHAR(34)&amp;"",D1,""&amp;CHAR(34),",")</f>
        <v>"2084286277" : "Mang",</v>
      </c>
    </row>
    <row r="2" spans="1:6" ht="21.6">
      <c r="A2" s="17">
        <v>2084286553</v>
      </c>
      <c r="B2" s="17" t="s">
        <v>8345</v>
      </c>
      <c r="C2" s="17" t="s">
        <v>8346</v>
      </c>
      <c r="D2" s="5" t="str">
        <f ca="1">IFERROR(__xludf.DUMMYFUNCTION("GOOGLETRANSLATE(B2,""ja"",""vi"")"),"găng tay")</f>
        <v>găng tay</v>
      </c>
      <c r="E2" s="5" t="str">
        <f ca="1">IFERROR(__xludf.DUMMYFUNCTION("GOOGLETRANSLATE(C2,""ja"",""vi"")"),"Đấu giá&gt; thể thao, giải trí&gt; Bằng Sport&gt; bóng đá Mỹ&gt; Globe")</f>
        <v>Đấu giá&gt; thể thao, giải trí&gt; Bằng Sport&gt; bóng đá Mỹ&gt; Globe</v>
      </c>
      <c r="F2" t="str">
        <f t="shared" ref="F2:F65" ca="1" si="0">CONCATENATE(CHAR(34)&amp;"",A2,""&amp;CHAR(34)," : ", CHAR(34)&amp;"",D2,""&amp;CHAR(34),",")</f>
        <v>"2084286553" : "găng tay",</v>
      </c>
    </row>
    <row r="3" spans="1:6" ht="21.6">
      <c r="A3" s="17">
        <v>2084286552</v>
      </c>
      <c r="B3" s="17" t="s">
        <v>7441</v>
      </c>
      <c r="C3" s="17" t="s">
        <v>8347</v>
      </c>
      <c r="D3" s="5" t="str">
        <f ca="1">IFERROR(__xludf.DUMMYFUNCTION("GOOGLETRANSLATE(B3,""ja"",""vi"")"),"mũ bảo hiểm")</f>
        <v>mũ bảo hiểm</v>
      </c>
      <c r="E3" s="5" t="str">
        <f ca="1">IFERROR(__xludf.DUMMYFUNCTION("GOOGLETRANSLATE(C3,""ja"",""vi"")"),"Đấu giá&gt; thể thao, giải trí&gt; Bằng Sport&gt; bóng đá Mỹ&gt; mũ bảo hiểm")</f>
        <v>Đấu giá&gt; thể thao, giải trí&gt; Bằng Sport&gt; bóng đá Mỹ&gt; mũ bảo hiểm</v>
      </c>
      <c r="F3" t="str">
        <f t="shared" ca="1" si="0"/>
        <v>"2084286552" : "mũ bảo hiểm",</v>
      </c>
    </row>
    <row r="4" spans="1:6" ht="21.6">
      <c r="A4" s="17">
        <v>2084286554</v>
      </c>
      <c r="B4" s="17" t="s">
        <v>8348</v>
      </c>
      <c r="C4" s="17" t="s">
        <v>8349</v>
      </c>
      <c r="D4" s="5" t="str">
        <f ca="1">IFERROR(__xludf.DUMMYFUNCTION("GOOGLETRANSLATE(B4,""ja"",""vi"")"),"kỷ vật")</f>
        <v>kỷ vật</v>
      </c>
      <c r="E4" s="5" t="str">
        <f ca="1">IFERROR(__xludf.DUMMYFUNCTION("GOOGLETRANSLATE(C4,""ja"",""vi"")"),"Đấu giá&gt; thể thao, giải trí&gt; Bằng Sport&gt; bóng đá Mỹ&gt; kỷ vật")</f>
        <v>Đấu giá&gt; thể thao, giải trí&gt; Bằng Sport&gt; bóng đá Mỹ&gt; kỷ vật</v>
      </c>
      <c r="F4" t="str">
        <f t="shared" ca="1" si="0"/>
        <v>"2084286554" : "kỷ vật",</v>
      </c>
    </row>
    <row r="5" spans="1:6" ht="21.6">
      <c r="A5" s="17">
        <v>2084286555</v>
      </c>
      <c r="B5" s="17" t="s">
        <v>46</v>
      </c>
      <c r="C5" s="17" t="s">
        <v>8350</v>
      </c>
      <c r="D5" s="5" t="str">
        <f ca="1">IFERROR(__xludf.DUMMYFUNCTION("GOOGLETRANSLATE(B5,""ja"",""vi"")"),"nếu không thì")</f>
        <v>nếu không thì</v>
      </c>
      <c r="E5" s="5" t="str">
        <f ca="1">IFERROR(__xludf.DUMMYFUNCTION("GOOGLETRANSLATE(C5,""ja"",""vi"")"),"Đấu giá&gt; thể thao, giải trí&gt; Bằng Sport&gt; bóng đá Mỹ&gt; Khác")</f>
        <v>Đấu giá&gt; thể thao, giải trí&gt; Bằng Sport&gt; bóng đá Mỹ&gt; Khác</v>
      </c>
      <c r="F5" t="str">
        <f t="shared" ca="1" si="0"/>
        <v>"2084286555" : "nếu không thì",</v>
      </c>
    </row>
    <row r="6" spans="1:6" ht="21.6">
      <c r="A6" s="14">
        <v>2084286277</v>
      </c>
      <c r="B6" s="14" t="s">
        <v>8343</v>
      </c>
      <c r="C6" s="14" t="s">
        <v>8344</v>
      </c>
      <c r="D6" s="5" t="str">
        <f ca="1">IFERROR(__xludf.DUMMYFUNCTION("GOOGLETRANSLATE(B6,""ja"",""vi"")"),"Mang")</f>
        <v>Mang</v>
      </c>
      <c r="E6" s="5" t="str">
        <f ca="1">IFERROR(__xludf.DUMMYFUNCTION("GOOGLETRANSLATE(C6,""ja"",""vi"")"),"Đấu giá&gt; thể thao, giải trí&gt; Bằng Sport&gt; bóng đá Mỹ&gt; Mang")</f>
        <v>Đấu giá&gt; thể thao, giải trí&gt; Bằng Sport&gt; bóng đá Mỹ&gt; Mang</v>
      </c>
      <c r="F6" t="str">
        <f t="shared" ca="1" si="0"/>
        <v>"2084286277" : "Mang",</v>
      </c>
    </row>
    <row r="7" spans="1:6" ht="21.6">
      <c r="A7" s="14">
        <v>2084286553</v>
      </c>
      <c r="B7" s="14" t="s">
        <v>8345</v>
      </c>
      <c r="C7" s="14" t="s">
        <v>8346</v>
      </c>
      <c r="D7" s="5" t="str">
        <f ca="1">IFERROR(__xludf.DUMMYFUNCTION("GOOGLETRANSLATE(B7,""ja"",""vi"")"),"găng tay")</f>
        <v>găng tay</v>
      </c>
      <c r="E7" s="5" t="str">
        <f ca="1">IFERROR(__xludf.DUMMYFUNCTION("GOOGLETRANSLATE(C7,""ja"",""vi"")"),"Đấu giá&gt; thể thao, giải trí&gt; Bằng Sport&gt; bóng đá Mỹ&gt; Globe")</f>
        <v>Đấu giá&gt; thể thao, giải trí&gt; Bằng Sport&gt; bóng đá Mỹ&gt; Globe</v>
      </c>
      <c r="F7" t="str">
        <f t="shared" ca="1" si="0"/>
        <v>"2084286553" : "găng tay",</v>
      </c>
    </row>
    <row r="8" spans="1:6" ht="21.6">
      <c r="A8" s="14">
        <v>2084286552</v>
      </c>
      <c r="B8" s="14" t="s">
        <v>7441</v>
      </c>
      <c r="C8" s="14" t="s">
        <v>8347</v>
      </c>
      <c r="D8" s="5" t="str">
        <f ca="1">IFERROR(__xludf.DUMMYFUNCTION("GOOGLETRANSLATE(B8,""ja"",""vi"")"),"mũ bảo hiểm")</f>
        <v>mũ bảo hiểm</v>
      </c>
      <c r="E8" s="5" t="str">
        <f ca="1">IFERROR(__xludf.DUMMYFUNCTION("GOOGLETRANSLATE(C8,""ja"",""vi"")"),"Đấu giá&gt; thể thao, giải trí&gt; Bằng Sport&gt; bóng đá Mỹ&gt; mũ bảo hiểm")</f>
        <v>Đấu giá&gt; thể thao, giải trí&gt; Bằng Sport&gt; bóng đá Mỹ&gt; mũ bảo hiểm</v>
      </c>
      <c r="F8" t="str">
        <f t="shared" ca="1" si="0"/>
        <v>"2084286552" : "mũ bảo hiểm",</v>
      </c>
    </row>
    <row r="9" spans="1:6" ht="21.6">
      <c r="A9" s="14">
        <v>2084286554</v>
      </c>
      <c r="B9" s="14" t="s">
        <v>8348</v>
      </c>
      <c r="C9" s="14" t="s">
        <v>8349</v>
      </c>
      <c r="D9" s="5" t="str">
        <f ca="1">IFERROR(__xludf.DUMMYFUNCTION("GOOGLETRANSLATE(B9,""ja"",""vi"")"),"kỷ vật")</f>
        <v>kỷ vật</v>
      </c>
      <c r="E9" s="5" t="str">
        <f ca="1">IFERROR(__xludf.DUMMYFUNCTION("GOOGLETRANSLATE(C9,""ja"",""vi"")"),"Đấu giá&gt; thể thao, giải trí&gt; Bằng Sport&gt; bóng đá Mỹ&gt; kỷ vật")</f>
        <v>Đấu giá&gt; thể thao, giải trí&gt; Bằng Sport&gt; bóng đá Mỹ&gt; kỷ vật</v>
      </c>
      <c r="F9" t="str">
        <f t="shared" ca="1" si="0"/>
        <v>"2084286554" : "kỷ vật",</v>
      </c>
    </row>
    <row r="10" spans="1:6" ht="21.6">
      <c r="A10" s="14">
        <v>2084286555</v>
      </c>
      <c r="B10" s="14" t="s">
        <v>46</v>
      </c>
      <c r="C10" s="14" t="s">
        <v>8350</v>
      </c>
      <c r="D10" s="5" t="str">
        <f ca="1">IFERROR(__xludf.DUMMYFUNCTION("GOOGLETRANSLATE(B10,""ja"",""vi"")"),"nếu không thì")</f>
        <v>nếu không thì</v>
      </c>
      <c r="E10" s="5" t="str">
        <f ca="1">IFERROR(__xludf.DUMMYFUNCTION("GOOGLETRANSLATE(C10,""ja"",""vi"")"),"Đấu giá&gt; thể thao, giải trí&gt; Bằng Sport&gt; bóng đá Mỹ&gt; Khác")</f>
        <v>Đấu giá&gt; thể thao, giải trí&gt; Bằng Sport&gt; bóng đá Mỹ&gt; Khác</v>
      </c>
      <c r="F10" t="str">
        <f t="shared" ca="1" si="0"/>
        <v>"2084286555" : "nếu không thì",</v>
      </c>
    </row>
    <row r="11" spans="1:6" ht="21.6">
      <c r="A11" s="14">
        <v>25286</v>
      </c>
      <c r="B11" s="14" t="s">
        <v>8351</v>
      </c>
      <c r="C11" s="14" t="s">
        <v>8352</v>
      </c>
      <c r="D11" s="5" t="str">
        <f ca="1">IFERROR(__xludf.DUMMYFUNCTION("GOOGLETRANSLATE(B11,""ja"",""vi"")"),"trượt patanh")</f>
        <v>trượt patanh</v>
      </c>
      <c r="E11" s="5" t="str">
        <f ca="1">IFERROR(__xludf.DUMMYFUNCTION("GOOGLETRANSLATE(C11,""ja"",""vi"")"),"Đấu giá&gt; thể thao, giải trí&gt; thể thao khác&gt; inline skates&gt; inline skating")</f>
        <v>Đấu giá&gt; thể thao, giải trí&gt; thể thao khác&gt; inline skates&gt; inline skating</v>
      </c>
      <c r="F11" t="str">
        <f t="shared" ca="1" si="0"/>
        <v>"25286" : "trượt patanh",</v>
      </c>
    </row>
    <row r="12" spans="1:6" ht="21.6">
      <c r="A12" s="14">
        <v>25288</v>
      </c>
      <c r="B12" s="14" t="s">
        <v>8353</v>
      </c>
      <c r="C12" s="14" t="s">
        <v>8354</v>
      </c>
      <c r="D12" s="5" t="str">
        <f ca="1">IFERROR(__xludf.DUMMYFUNCTION("GOOGLETRANSLATE(B12,""ja"",""vi"")"),"người bảo vệ")</f>
        <v>người bảo vệ</v>
      </c>
      <c r="E12" s="5" t="str">
        <f ca="1">IFERROR(__xludf.DUMMYFUNCTION("GOOGLETRANSLATE(C12,""ja"",""vi"")"),"Đấu giá&gt; thể thao, giải trí&gt; Bằng Sport&gt; Inline skating&gt; bảo vệ")</f>
        <v>Đấu giá&gt; thể thao, giải trí&gt; Bằng Sport&gt; Inline skating&gt; bảo vệ</v>
      </c>
      <c r="F12" t="str">
        <f t="shared" ca="1" si="0"/>
        <v>"25288" : "người bảo vệ",</v>
      </c>
    </row>
    <row r="13" spans="1:6" ht="21.6">
      <c r="A13" s="14">
        <v>25284</v>
      </c>
      <c r="B13" s="14" t="s">
        <v>7441</v>
      </c>
      <c r="C13" s="14" t="s">
        <v>8355</v>
      </c>
      <c r="D13" s="5" t="str">
        <f ca="1">IFERROR(__xludf.DUMMYFUNCTION("GOOGLETRANSLATE(B13,""ja"",""vi"")"),"mũ bảo hiểm")</f>
        <v>mũ bảo hiểm</v>
      </c>
      <c r="E13" s="5" t="str">
        <f ca="1">IFERROR(__xludf.DUMMYFUNCTION("GOOGLETRANSLATE(C13,""ja"",""vi"")"),"Đấu giá&gt; thể thao, giải trí&gt; Bằng Sport&gt; Inline skating&gt; Mũ bảo hiểm")</f>
        <v>Đấu giá&gt; thể thao, giải trí&gt; Bằng Sport&gt; Inline skating&gt; Mũ bảo hiểm</v>
      </c>
      <c r="F13" t="str">
        <f t="shared" ca="1" si="0"/>
        <v>"25284" : "mũ bảo hiểm",</v>
      </c>
    </row>
    <row r="14" spans="1:6" ht="21.6">
      <c r="A14" s="14">
        <v>25290</v>
      </c>
      <c r="B14" s="14" t="s">
        <v>8356</v>
      </c>
      <c r="C14" s="14" t="s">
        <v>8357</v>
      </c>
      <c r="D14" s="5" t="str">
        <f ca="1">IFERROR(__xludf.DUMMYFUNCTION("GOOGLETRANSLATE(B14,""ja"",""vi"")"),"bánh xe")</f>
        <v>bánh xe</v>
      </c>
      <c r="E14" s="5" t="str">
        <f ca="1">IFERROR(__xludf.DUMMYFUNCTION("GOOGLETRANSLATE(C14,""ja"",""vi"")"),"Đấu giá&gt; thể thao, giải trí&gt; thể thao khác&gt; inline skates&gt; Bánh xe")</f>
        <v>Đấu giá&gt; thể thao, giải trí&gt; thể thao khác&gt; inline skates&gt; Bánh xe</v>
      </c>
      <c r="F14" t="str">
        <f t="shared" ca="1" si="0"/>
        <v>"25290" : "bánh xe",</v>
      </c>
    </row>
    <row r="15" spans="1:6" ht="21.6">
      <c r="A15" s="14">
        <v>2084286203</v>
      </c>
      <c r="B15" s="14" t="s">
        <v>8358</v>
      </c>
      <c r="C15" s="14" t="s">
        <v>8359</v>
      </c>
      <c r="D15" s="5" t="str">
        <f ca="1">IFERROR(__xludf.DUMMYFUNCTION("GOOGLETRANSLATE(B15,""ja"",""vi"")"),"con lăn Shoes")</f>
        <v>con lăn Shoes</v>
      </c>
      <c r="E15" s="5" t="str">
        <f ca="1">IFERROR(__xludf.DUMMYFUNCTION("GOOGLETRANSLATE(C15,""ja"",""vi"")"),"Đấu giá&gt; thể thao, giải trí&gt; thể thao khác&gt; inline skates&gt; giày lăn")</f>
        <v>Đấu giá&gt; thể thao, giải trí&gt; thể thao khác&gt; inline skates&gt; giày lăn</v>
      </c>
      <c r="F15" t="str">
        <f t="shared" ca="1" si="0"/>
        <v>"2084286203" : "con lăn Shoes",</v>
      </c>
    </row>
    <row r="16" spans="1:6" ht="21.6">
      <c r="A16" s="14">
        <v>25292</v>
      </c>
      <c r="B16" s="14" t="s">
        <v>46</v>
      </c>
      <c r="C16" s="14" t="s">
        <v>8360</v>
      </c>
      <c r="D16" s="5" t="str">
        <f ca="1">IFERROR(__xludf.DUMMYFUNCTION("GOOGLETRANSLATE(B16,""ja"",""vi"")"),"nếu không thì")</f>
        <v>nếu không thì</v>
      </c>
      <c r="E16" s="5" t="str">
        <f ca="1">IFERROR(__xludf.DUMMYFUNCTION("GOOGLETRANSLATE(C16,""ja"",""vi"")"),"Đấu giá&gt; thể thao, giải trí&gt; Bằng Sport&gt; Inline skating&gt; Khác")</f>
        <v>Đấu giá&gt; thể thao, giải trí&gt; Bằng Sport&gt; Inline skating&gt; Khác</v>
      </c>
      <c r="F16" t="str">
        <f t="shared" ca="1" si="0"/>
        <v>"25292" : "nếu không thì",</v>
      </c>
    </row>
    <row r="17" spans="1:6" ht="21.6">
      <c r="A17" s="14">
        <v>2084062203</v>
      </c>
      <c r="B17" s="14" t="s">
        <v>8059</v>
      </c>
      <c r="C17" s="14" t="s">
        <v>8361</v>
      </c>
      <c r="D17" s="5" t="str">
        <f ca="1">IFERROR(__xludf.DUMMYFUNCTION("GOOGLETRANSLATE(B17,""ja"",""vi"")"),"Hội đồng quản trị")</f>
        <v>Hội đồng quản trị</v>
      </c>
      <c r="E17" s="5" t="str">
        <f ca="1">IFERROR(__xludf.DUMMYFUNCTION("GOOGLETRANSLATE(C17,""ja"",""vi"")"),"Đấu giá&gt; thể thao, giải trí&gt; Bằng Sport&gt; lướt ván&gt; Board")</f>
        <v>Đấu giá&gt; thể thao, giải trí&gt; Bằng Sport&gt; lướt ván&gt; Board</v>
      </c>
      <c r="F17" t="str">
        <f t="shared" ca="1" si="0"/>
        <v>"2084062203" : "Hội đồng quản trị",</v>
      </c>
    </row>
    <row r="18" spans="1:6" ht="21.6">
      <c r="A18" s="14">
        <v>2084062205</v>
      </c>
      <c r="B18" s="14" t="s">
        <v>8362</v>
      </c>
      <c r="C18" s="14" t="s">
        <v>8363</v>
      </c>
      <c r="D18" s="5" t="str">
        <f ca="1">IFERROR(__xludf.DUMMYFUNCTION("GOOGLETRANSLATE(B18,""ja"",""vi"")"),"buồm")</f>
        <v>buồm</v>
      </c>
      <c r="E18" s="5" t="str">
        <f ca="1">IFERROR(__xludf.DUMMYFUNCTION("GOOGLETRANSLATE(C18,""ja"",""vi"")"),"Đấu giá&gt; thể thao, giải trí&gt; Bằng Sport&gt; lướt ván&gt; buồm")</f>
        <v>Đấu giá&gt; thể thao, giải trí&gt; Bằng Sport&gt; lướt ván&gt; buồm</v>
      </c>
      <c r="F18" t="str">
        <f t="shared" ca="1" si="0"/>
        <v>"2084062205" : "buồm",</v>
      </c>
    </row>
    <row r="19" spans="1:6" ht="21.6">
      <c r="A19" s="14">
        <v>2084224096</v>
      </c>
      <c r="B19" s="14" t="s">
        <v>8364</v>
      </c>
      <c r="C19" s="14" t="s">
        <v>8365</v>
      </c>
      <c r="D19" s="5" t="str">
        <f ca="1">IFERROR(__xludf.DUMMYFUNCTION("GOOGLETRANSLATE(B19,""ja"",""vi"")"),"Boom")</f>
        <v>Boom</v>
      </c>
      <c r="E19" s="5" t="str">
        <f ca="1">IFERROR(__xludf.DUMMYFUNCTION("GOOGLETRANSLATE(C19,""ja"",""vi"")"),"Đấu giá&gt; thể thao, giải trí&gt; Bằng Sport&gt; lướt ván&gt; bùng nổ")</f>
        <v>Đấu giá&gt; thể thao, giải trí&gt; Bằng Sport&gt; lướt ván&gt; bùng nổ</v>
      </c>
      <c r="F19" t="str">
        <f t="shared" ca="1" si="0"/>
        <v>"2084224096" : "Boom",</v>
      </c>
    </row>
    <row r="20" spans="1:6" ht="21.6">
      <c r="A20" s="14">
        <v>2084062204</v>
      </c>
      <c r="B20" s="14" t="s">
        <v>8366</v>
      </c>
      <c r="C20" s="14" t="s">
        <v>8367</v>
      </c>
      <c r="D20" s="5" t="str">
        <f ca="1">IFERROR(__xludf.DUMMYFUNCTION("GOOGLETRANSLATE(B20,""ja"",""vi"")"),"cột buồm")</f>
        <v>cột buồm</v>
      </c>
      <c r="E20" s="5" t="str">
        <f ca="1">IFERROR(__xludf.DUMMYFUNCTION("GOOGLETRANSLATE(C20,""ja"",""vi"")"),"Đấu giá&gt; thể thao, giải trí&gt; Bằng Sport&gt; lướt ván&gt; mast")</f>
        <v>Đấu giá&gt; thể thao, giải trí&gt; Bằng Sport&gt; lướt ván&gt; mast</v>
      </c>
      <c r="F20" t="str">
        <f t="shared" ca="1" si="0"/>
        <v>"2084062204" : "cột buồm",</v>
      </c>
    </row>
    <row r="21" spans="1:6" ht="15.75" customHeight="1">
      <c r="A21" s="14">
        <v>2084032270</v>
      </c>
      <c r="B21" s="14" t="s">
        <v>8343</v>
      </c>
      <c r="C21" s="14" t="s">
        <v>8368</v>
      </c>
      <c r="D21" s="5" t="str">
        <f ca="1">IFERROR(__xludf.DUMMYFUNCTION("GOOGLETRANSLATE(B21,""ja"",""vi"")"),"Mang")</f>
        <v>Mang</v>
      </c>
      <c r="E21" s="5" t="str">
        <f ca="1">IFERROR(__xludf.DUMMYFUNCTION("GOOGLETRANSLATE(C21,""ja"",""vi"")"),"Đấu giá&gt; thể thao, giải trí&gt; Bằng Sport&gt; lướt ván&gt; Mang")</f>
        <v>Đấu giá&gt; thể thao, giải trí&gt; Bằng Sport&gt; lướt ván&gt; Mang</v>
      </c>
      <c r="F21" t="str">
        <f t="shared" ca="1" si="0"/>
        <v>"2084032270" : "Mang",</v>
      </c>
    </row>
    <row r="22" spans="1:6" ht="15.75" customHeight="1">
      <c r="A22" s="14">
        <v>2084062206</v>
      </c>
      <c r="B22" s="14" t="s">
        <v>1685</v>
      </c>
      <c r="C22" s="14" t="s">
        <v>8369</v>
      </c>
      <c r="D22" s="5" t="str">
        <f ca="1">IFERROR(__xludf.DUMMYFUNCTION("GOOGLETRANSLATE(B22,""ja"",""vi"")"),"phụ kiện")</f>
        <v>phụ kiện</v>
      </c>
      <c r="E22" s="5" t="str">
        <f ca="1">IFERROR(__xludf.DUMMYFUNCTION("GOOGLETRANSLATE(C22,""ja"",""vi"")"),"Đấu giá&gt; thể thao, giải trí&gt; Bằng Sport&gt; lướt ván&gt; Accessories")</f>
        <v>Đấu giá&gt; thể thao, giải trí&gt; Bằng Sport&gt; lướt ván&gt; Accessories</v>
      </c>
      <c r="F22" t="str">
        <f t="shared" ca="1" si="0"/>
        <v>"2084062206" : "phụ kiện",</v>
      </c>
    </row>
    <row r="23" spans="1:6" ht="15.75" customHeight="1">
      <c r="A23" s="14">
        <v>2084062244</v>
      </c>
      <c r="B23" s="14" t="s">
        <v>46</v>
      </c>
      <c r="C23" s="14" t="s">
        <v>8370</v>
      </c>
      <c r="D23" s="5" t="str">
        <f ca="1">IFERROR(__xludf.DUMMYFUNCTION("GOOGLETRANSLATE(B23,""ja"",""vi"")"),"nếu không thì")</f>
        <v>nếu không thì</v>
      </c>
      <c r="E23" s="5" t="str">
        <f ca="1">IFERROR(__xludf.DUMMYFUNCTION("GOOGLETRANSLATE(C23,""ja"",""vi"")"),"Đấu giá&gt; thể thao, giải trí&gt; Bằng Sport&gt; lướt ván&gt; Khác")</f>
        <v>Đấu giá&gt; thể thao, giải trí&gt; Bằng Sport&gt; lướt ván&gt; Khác</v>
      </c>
      <c r="F23" t="str">
        <f t="shared" ca="1" si="0"/>
        <v>"2084062244" : "nếu không thì",</v>
      </c>
    </row>
    <row r="24" spans="1:6" ht="15.75" customHeight="1">
      <c r="A24" s="14">
        <v>2084062219</v>
      </c>
      <c r="B24" s="14" t="s">
        <v>8059</v>
      </c>
      <c r="C24" s="14" t="s">
        <v>8371</v>
      </c>
      <c r="D24" s="5" t="str">
        <f ca="1">IFERROR(__xludf.DUMMYFUNCTION("GOOGLETRANSLATE(B24,""ja"",""vi"")"),"Hội đồng quản trị")</f>
        <v>Hội đồng quản trị</v>
      </c>
      <c r="E24" s="5" t="str">
        <f ca="1">IFERROR(__xludf.DUMMYFUNCTION("GOOGLETRANSLATE(C24,""ja"",""vi"")"),"Đấu giá&gt; thể thao, giải trí&gt; thể thao khác&gt; wakeboard&gt; bảng")</f>
        <v>Đấu giá&gt; thể thao, giải trí&gt; thể thao khác&gt; wakeboard&gt; bảng</v>
      </c>
      <c r="F24" t="str">
        <f t="shared" ca="1" si="0"/>
        <v>"2084062219" : "Hội đồng quản trị",</v>
      </c>
    </row>
    <row r="25" spans="1:6" ht="15.75" customHeight="1">
      <c r="A25" s="14">
        <v>2084062222</v>
      </c>
      <c r="B25" s="14" t="s">
        <v>1685</v>
      </c>
      <c r="C25" s="14" t="s">
        <v>8372</v>
      </c>
      <c r="D25" s="5" t="str">
        <f ca="1">IFERROR(__xludf.DUMMYFUNCTION("GOOGLETRANSLATE(B25,""ja"",""vi"")"),"phụ kiện")</f>
        <v>phụ kiện</v>
      </c>
      <c r="E25" s="5" t="str">
        <f ca="1">IFERROR(__xludf.DUMMYFUNCTION("GOOGLETRANSLATE(C25,""ja"",""vi"")"),"Đấu giá&gt; thể thao, giải trí&gt; Bằng Sport&gt; wakeboard&gt; Accessories")</f>
        <v>Đấu giá&gt; thể thao, giải trí&gt; Bằng Sport&gt; wakeboard&gt; Accessories</v>
      </c>
      <c r="F25" t="str">
        <f t="shared" ca="1" si="0"/>
        <v>"2084062222" : "phụ kiện",</v>
      </c>
    </row>
    <row r="26" spans="1:6" ht="15.75" customHeight="1">
      <c r="A26" s="14">
        <v>2084032270</v>
      </c>
      <c r="B26" s="14" t="s">
        <v>8343</v>
      </c>
      <c r="C26" s="14" t="s">
        <v>8373</v>
      </c>
      <c r="D26" s="5" t="str">
        <f ca="1">IFERROR(__xludf.DUMMYFUNCTION("GOOGLETRANSLATE(B26,""ja"",""vi"")"),"Mang")</f>
        <v>Mang</v>
      </c>
      <c r="E26" s="5" t="str">
        <f ca="1">IFERROR(__xludf.DUMMYFUNCTION("GOOGLETRANSLATE(C26,""ja"",""vi"")"),"Đấu giá&gt; thể thao, giải trí&gt; Bằng Sport&gt; wakeboard&gt; Mang")</f>
        <v>Đấu giá&gt; thể thao, giải trí&gt; Bằng Sport&gt; wakeboard&gt; Mang</v>
      </c>
      <c r="F26" t="str">
        <f t="shared" ca="1" si="0"/>
        <v>"2084032270" : "Mang",</v>
      </c>
    </row>
    <row r="27" spans="1:6" ht="15.75" customHeight="1">
      <c r="A27" s="14">
        <v>2084062243</v>
      </c>
      <c r="B27" s="14" t="s">
        <v>46</v>
      </c>
      <c r="C27" s="14" t="s">
        <v>8374</v>
      </c>
      <c r="D27" s="5" t="str">
        <f ca="1">IFERROR(__xludf.DUMMYFUNCTION("GOOGLETRANSLATE(B27,""ja"",""vi"")"),"nếu không thì")</f>
        <v>nếu không thì</v>
      </c>
      <c r="E27" s="5" t="str">
        <f ca="1">IFERROR(__xludf.DUMMYFUNCTION("GOOGLETRANSLATE(C27,""ja"",""vi"")"),"Đấu giá&gt; thể thao, giải trí&gt; Bằng Sport&gt; wakeboard&gt; Khác")</f>
        <v>Đấu giá&gt; thể thao, giải trí&gt; Bằng Sport&gt; wakeboard&gt; Khác</v>
      </c>
      <c r="F27" t="str">
        <f t="shared" ca="1" si="0"/>
        <v>"2084062243" : "nếu không thì",</v>
      </c>
    </row>
    <row r="28" spans="1:6" ht="15.75" customHeight="1">
      <c r="A28" s="14">
        <v>2084196838</v>
      </c>
      <c r="B28" s="14" t="s">
        <v>8375</v>
      </c>
      <c r="C28" s="14" t="s">
        <v>8376</v>
      </c>
      <c r="D28" s="5" t="str">
        <f ca="1">IFERROR(__xludf.DUMMYFUNCTION("GOOGLETRANSLATE(B28,""ja"",""vi"")"),"giày đi bộ")</f>
        <v>giày đi bộ</v>
      </c>
      <c r="E28" s="5" t="str">
        <f ca="1">IFERROR(__xludf.DUMMYFUNCTION("GOOGLETRANSLATE(C28,""ja"",""vi"")"),"Đấu giá&gt; thể thao, giải trí&gt; Bằng Sport&gt; Walking&gt; Walking Shoes")</f>
        <v>Đấu giá&gt; thể thao, giải trí&gt; Bằng Sport&gt; Walking&gt; Walking Shoes</v>
      </c>
      <c r="F28" t="str">
        <f t="shared" ca="1" si="0"/>
        <v>"2084196838" : "giày đi bộ",</v>
      </c>
    </row>
    <row r="29" spans="1:6" ht="15.75" customHeight="1">
      <c r="A29" s="14">
        <v>2084196845</v>
      </c>
      <c r="B29" s="14" t="s">
        <v>8377</v>
      </c>
      <c r="C29" s="14" t="s">
        <v>8378</v>
      </c>
      <c r="D29" s="5" t="str">
        <f ca="1">IFERROR(__xludf.DUMMYFUNCTION("GOOGLETRANSLATE(B29,""ja"",""vi"")"),"giày thể thao")</f>
        <v>giày thể thao</v>
      </c>
      <c r="E29" s="5" t="str">
        <f ca="1">IFERROR(__xludf.DUMMYFUNCTION("GOOGLETRANSLATE(C29,""ja"",""vi"")"),"Đấu giá&gt; thể thao, giải trí&gt; Bằng Sport&gt; Walking&gt; giày")</f>
        <v>Đấu giá&gt; thể thao, giải trí&gt; Bằng Sport&gt; Walking&gt; giày</v>
      </c>
      <c r="F29" t="str">
        <f t="shared" ca="1" si="0"/>
        <v>"2084196845" : "giày thể thao",</v>
      </c>
    </row>
    <row r="30" spans="1:6" ht="15.75" customHeight="1">
      <c r="A30" s="14">
        <v>2084006923</v>
      </c>
      <c r="B30" s="14" t="s">
        <v>8379</v>
      </c>
      <c r="C30" s="14" t="s">
        <v>8380</v>
      </c>
      <c r="D30" s="5" t="str">
        <f ca="1">IFERROR(__xludf.DUMMYFUNCTION("GOOGLETRANSLATE(B30,""ja"",""vi"")"),"máy đo sức đi bộ của chân")</f>
        <v>máy đo sức đi bộ của chân</v>
      </c>
      <c r="E30" s="5" t="str">
        <f ca="1">IFERROR(__xludf.DUMMYFUNCTION("GOOGLETRANSLATE(C30,""ja"",""vi"")"),"Đấu giá&gt; thể thao, giải trí&gt; Bằng Sport&gt; Walking&gt; pedometer")</f>
        <v>Đấu giá&gt; thể thao, giải trí&gt; Bằng Sport&gt; Walking&gt; pedometer</v>
      </c>
      <c r="F30" t="str">
        <f t="shared" ca="1" si="0"/>
        <v>"2084006923" : "máy đo sức đi bộ của chân",</v>
      </c>
    </row>
    <row r="31" spans="1:6" ht="15.75" customHeight="1">
      <c r="A31" s="14">
        <v>24750</v>
      </c>
      <c r="B31" s="14" t="s">
        <v>8381</v>
      </c>
      <c r="C31" s="14" t="s">
        <v>8382</v>
      </c>
      <c r="D31" s="5" t="str">
        <f ca="1">IFERROR(__xludf.DUMMYFUNCTION("GOOGLETRANSLATE(B31,""ja"",""vi"")"),"Ba lô, túi xách")</f>
        <v>Ba lô, túi xách</v>
      </c>
      <c r="E31" s="5" t="str">
        <f ca="1">IFERROR(__xludf.DUMMYFUNCTION("GOOGLETRANSLATE(C31,""ja"",""vi"")"),"Đấu giá&gt; thể thao, giải trí&gt; Bằng Sport&gt; Walking&gt; ba lô, túi xách")</f>
        <v>Đấu giá&gt; thể thao, giải trí&gt; Bằng Sport&gt; Walking&gt; ba lô, túi xách</v>
      </c>
      <c r="F31" t="str">
        <f t="shared" ca="1" si="0"/>
        <v>"24750" : "Ba lô, túi xách",</v>
      </c>
    </row>
    <row r="32" spans="1:6" ht="15.75" customHeight="1">
      <c r="A32" s="14">
        <v>23008</v>
      </c>
      <c r="B32" s="14" t="s">
        <v>8383</v>
      </c>
      <c r="C32" s="14" t="s">
        <v>8384</v>
      </c>
      <c r="D32" s="5" t="str">
        <f ca="1">IFERROR(__xludf.DUMMYFUNCTION("GOOGLETRANSLATE(B32,""ja"",""vi"")"),"đồ thể thao")</f>
        <v>đồ thể thao</v>
      </c>
      <c r="E32" s="5" t="str">
        <f ca="1">IFERROR(__xludf.DUMMYFUNCTION("GOOGLETRANSLATE(C32,""ja"",""vi"")"),"Đấu giá&gt; thể thao, giải trí&gt; Bằng Sport&gt; Walking&gt; đồ thể thao")</f>
        <v>Đấu giá&gt; thể thao, giải trí&gt; Bằng Sport&gt; Walking&gt; đồ thể thao</v>
      </c>
      <c r="F32" t="str">
        <f t="shared" ca="1" si="0"/>
        <v>"23008" : "đồ thể thao",</v>
      </c>
    </row>
    <row r="33" spans="1:6" ht="15.75" customHeight="1">
      <c r="A33" s="14">
        <v>2084263701</v>
      </c>
      <c r="B33" s="14" t="s">
        <v>8385</v>
      </c>
      <c r="C33" s="14" t="s">
        <v>8386</v>
      </c>
      <c r="D33" s="5" t="str">
        <f ca="1">IFERROR(__xludf.DUMMYFUNCTION("GOOGLETRANSLATE(B33,""ja"",""vi"")"),"theo dõi nhịp tim thể thao")</f>
        <v>theo dõi nhịp tim thể thao</v>
      </c>
      <c r="E33" s="5" t="str">
        <f ca="1">IFERROR(__xludf.DUMMYFUNCTION("GOOGLETRANSLATE(C33,""ja"",""vi"")"),"Đấu giá&gt; thể thao, giải trí&gt; Bằng Sport&gt; Walking&gt; màn hình thể thao nhịp tim")</f>
        <v>Đấu giá&gt; thể thao, giải trí&gt; Bằng Sport&gt; Walking&gt; màn hình thể thao nhịp tim</v>
      </c>
      <c r="F33" t="str">
        <f t="shared" ca="1" si="0"/>
        <v>"2084263701" : "theo dõi nhịp tim thể thao",</v>
      </c>
    </row>
    <row r="34" spans="1:6" ht="15.75" customHeight="1">
      <c r="A34" s="14">
        <v>25172</v>
      </c>
      <c r="B34" s="14" t="s">
        <v>8387</v>
      </c>
      <c r="C34" s="14" t="s">
        <v>8388</v>
      </c>
      <c r="D34" s="5" t="str">
        <f ca="1">IFERROR(__xludf.DUMMYFUNCTION("GOOGLETRANSLATE(B34,""ja"",""vi"")"),"máy chạy, máy đi bộ")</f>
        <v>máy chạy, máy đi bộ</v>
      </c>
      <c r="E34" s="5" t="str">
        <f ca="1">IFERROR(__xludf.DUMMYFUNCTION("GOOGLETRANSLATE(C34,""ja"",""vi"")"),"Đấu giá&gt; thể thao, giải trí&gt; Bằng Sport&gt; Walking&gt; máy chạy, máy đi bộ")</f>
        <v>Đấu giá&gt; thể thao, giải trí&gt; Bằng Sport&gt; Walking&gt; máy chạy, máy đi bộ</v>
      </c>
      <c r="F34" t="str">
        <f t="shared" ca="1" si="0"/>
        <v>"25172" : "máy chạy, máy đi bộ",</v>
      </c>
    </row>
    <row r="35" spans="1:6" ht="15.75" customHeight="1">
      <c r="A35" s="14">
        <v>2084211024</v>
      </c>
      <c r="B35" s="14" t="s">
        <v>8389</v>
      </c>
      <c r="C35" s="14" t="s">
        <v>8390</v>
      </c>
      <c r="D35" s="5" t="str">
        <f ca="1">IFERROR(__xludf.DUMMYFUNCTION("GOOGLETRANSLATE(B35,""ja"",""vi"")"),"Fitness Club Voucher")</f>
        <v>Fitness Club Voucher</v>
      </c>
      <c r="E35" s="5" t="str">
        <f ca="1">IFERROR(__xludf.DUMMYFUNCTION("GOOGLETRANSLATE(C35,""ja"",""vi"")"),"Đấu giá&gt; thể thao, giải trí&gt; Bằng Sport&gt; Walking&gt; Fitness Club Voucher")</f>
        <v>Đấu giá&gt; thể thao, giải trí&gt; Bằng Sport&gt; Walking&gt; Fitness Club Voucher</v>
      </c>
      <c r="F35" t="str">
        <f t="shared" ca="1" si="0"/>
        <v>"2084211024" : "Fitness Club Voucher",</v>
      </c>
    </row>
    <row r="36" spans="1:6" ht="15.75" customHeight="1">
      <c r="A36" s="14">
        <v>2084006766</v>
      </c>
      <c r="B36" s="14" t="s">
        <v>8343</v>
      </c>
      <c r="C36" s="14" t="s">
        <v>8391</v>
      </c>
      <c r="D36" s="5" t="str">
        <f ca="1">IFERROR(__xludf.DUMMYFUNCTION("GOOGLETRANSLATE(B36,""ja"",""vi"")"),"Mang")</f>
        <v>Mang</v>
      </c>
      <c r="E36" s="5" t="str">
        <f ca="1">IFERROR(__xludf.DUMMYFUNCTION("GOOGLETRANSLATE(C36,""ja"",""vi"")"),"Đấu giá&gt; thể thao, giải trí&gt; thể thao khác&gt; nguồn cung cấp tập thể dục&gt; Mang")</f>
        <v>Đấu giá&gt; thể thao, giải trí&gt; thể thao khác&gt; nguồn cung cấp tập thể dục&gt; Mang</v>
      </c>
      <c r="F36" t="str">
        <f t="shared" ca="1" si="0"/>
        <v>"2084006766" : "Mang",</v>
      </c>
    </row>
    <row r="37" spans="1:6" ht="15.75" customHeight="1">
      <c r="A37" s="14">
        <v>2084006768</v>
      </c>
      <c r="B37" s="14" t="s">
        <v>8392</v>
      </c>
      <c r="C37" s="14" t="s">
        <v>8393</v>
      </c>
      <c r="D37" s="5" t="str">
        <f ca="1">IFERROR(__xludf.DUMMYFUNCTION("GOOGLETRANSLATE(B37,""ja"",""vi"")"),"hộp số")</f>
        <v>hộp số</v>
      </c>
      <c r="E37" s="5" t="str">
        <f ca="1">IFERROR(__xludf.DUMMYFUNCTION("GOOGLETRANSLATE(C37,""ja"",""vi"")"),"Đấu giá&gt; thể thao, giải trí&gt; thể thao khác&gt; nguồn cung cấp tập thể dục&gt; thiết bị")</f>
        <v>Đấu giá&gt; thể thao, giải trí&gt; thể thao khác&gt; nguồn cung cấp tập thể dục&gt; thiết bị</v>
      </c>
      <c r="F37" t="str">
        <f t="shared" ca="1" si="0"/>
        <v>"2084006768" : "hộp số",</v>
      </c>
    </row>
    <row r="38" spans="1:6" ht="15.75" customHeight="1">
      <c r="A38" s="14">
        <v>2084263701</v>
      </c>
      <c r="B38" s="14" t="s">
        <v>8385</v>
      </c>
      <c r="C38" s="14" t="s">
        <v>8394</v>
      </c>
      <c r="D38" s="5" t="str">
        <f ca="1">IFERROR(__xludf.DUMMYFUNCTION("GOOGLETRANSLATE(B38,""ja"",""vi"")"),"theo dõi nhịp tim thể thao")</f>
        <v>theo dõi nhịp tim thể thao</v>
      </c>
      <c r="E38" s="5" t="str">
        <f ca="1">IFERROR(__xludf.DUMMYFUNCTION("GOOGLETRANSLATE(C38,""ja"",""vi"")"),"Đấu giá&gt; thể thao, giải trí&gt; thể thao khác&gt; nguồn cung cấp tập thể dục&gt; màn hình thể thao nhịp tim")</f>
        <v>Đấu giá&gt; thể thao, giải trí&gt; thể thao khác&gt; nguồn cung cấp tập thể dục&gt; màn hình thể thao nhịp tim</v>
      </c>
      <c r="F38" t="str">
        <f t="shared" ca="1" si="0"/>
        <v>"2084263701" : "theo dõi nhịp tim thể thao",</v>
      </c>
    </row>
    <row r="39" spans="1:6" ht="15.75" customHeight="1">
      <c r="A39" s="14">
        <v>2084006767</v>
      </c>
      <c r="B39" s="14" t="s">
        <v>8395</v>
      </c>
      <c r="C39" s="14" t="s">
        <v>8396</v>
      </c>
      <c r="D39" s="5" t="str">
        <f ca="1">IFERROR(__xludf.DUMMYFUNCTION("GOOGLETRANSLATE(B39,""ja"",""vi"")"),"máy")</f>
        <v>máy</v>
      </c>
      <c r="E39" s="5" t="str">
        <f ca="1">IFERROR(__xludf.DUMMYFUNCTION("GOOGLETRANSLATE(C39,""ja"",""vi"")"),"Đấu giá&gt; thể thao, giải trí&gt; thể thao khác&gt; nguồn cung cấp tập thể dục&gt; Máy")</f>
        <v>Đấu giá&gt; thể thao, giải trí&gt; thể thao khác&gt; nguồn cung cấp tập thể dục&gt; Máy</v>
      </c>
      <c r="F39" t="str">
        <f t="shared" ca="1" si="0"/>
        <v>"2084006767" : "máy",</v>
      </c>
    </row>
    <row r="40" spans="1:6" ht="15.75" customHeight="1">
      <c r="A40" s="14">
        <v>2084216601</v>
      </c>
      <c r="B40" s="14" t="s">
        <v>8397</v>
      </c>
      <c r="C40" s="14" t="s">
        <v>8398</v>
      </c>
      <c r="D40" s="5" t="str">
        <f ca="1">IFERROR(__xludf.DUMMYFUNCTION("GOOGLETRANSLATE(B40,""ja"",""vi"")"),"DVD (tập thể dục, yoga)")</f>
        <v>DVD (tập thể dục, yoga)</v>
      </c>
      <c r="E40" s="5" t="str">
        <f ca="1">IFERROR(__xludf.DUMMYFUNCTION("GOOGLETRANSLATE(C40,""ja"",""vi"")"),"Đấu giá&gt; thể thao, giải trí&gt; thể thao khác&gt; nguồn cung cấp tập thể dục&gt; DVD (tập thể dục, yoga)")</f>
        <v>Đấu giá&gt; thể thao, giải trí&gt; thể thao khác&gt; nguồn cung cấp tập thể dục&gt; DVD (tập thể dục, yoga)</v>
      </c>
      <c r="F40" t="str">
        <f t="shared" ca="1" si="0"/>
        <v>"2084216601" : "DVD (tập thể dục, yoga)",</v>
      </c>
    </row>
    <row r="41" spans="1:6" ht="15.75" customHeight="1">
      <c r="A41" s="14">
        <v>2084196837</v>
      </c>
      <c r="B41" s="14" t="s">
        <v>8399</v>
      </c>
      <c r="C41" s="14" t="s">
        <v>8400</v>
      </c>
      <c r="D41" s="5" t="str">
        <f ca="1">IFERROR(__xludf.DUMMYFUNCTION("GOOGLETRANSLATE(B41,""ja"",""vi"")"),"đi bộ")</f>
        <v>đi bộ</v>
      </c>
      <c r="E41" s="5" t="str">
        <f ca="1">IFERROR(__xludf.DUMMYFUNCTION("GOOGLETRANSLATE(C41,""ja"",""vi"")"),"Đấu giá&gt; thể thao, giải trí&gt; thể thao khác&gt; nguồn cung cấp thực&gt; Đi bộ")</f>
        <v>Đấu giá&gt; thể thao, giải trí&gt; thể thao khác&gt; nguồn cung cấp thực&gt; Đi bộ</v>
      </c>
      <c r="F41" t="str">
        <f t="shared" ca="1" si="0"/>
        <v>"2084196837" : "đi bộ",</v>
      </c>
    </row>
    <row r="42" spans="1:6" ht="15.75" customHeight="1">
      <c r="A42" s="14">
        <v>2084196833</v>
      </c>
      <c r="B42" s="14" t="s">
        <v>8401</v>
      </c>
      <c r="C42" s="14" t="s">
        <v>8402</v>
      </c>
      <c r="D42" s="5" t="str">
        <f ca="1">IFERROR(__xludf.DUMMYFUNCTION("GOOGLETRANSLATE(B42,""ja"",""vi"")"),"Yoga, Pilates")</f>
        <v>Yoga, Pilates</v>
      </c>
      <c r="E42" s="5" t="str">
        <f ca="1">IFERROR(__xludf.DUMMYFUNCTION("GOOGLETRANSLATE(C42,""ja"",""vi"")"),"Đấu giá&gt; thể thao, giải trí&gt; thể thao khác&gt; nguồn cung cấp tập thể dục&gt; yoga, Pilates")</f>
        <v>Đấu giá&gt; thể thao, giải trí&gt; thể thao khác&gt; nguồn cung cấp tập thể dục&gt; yoga, Pilates</v>
      </c>
      <c r="F42" t="str">
        <f t="shared" ca="1" si="0"/>
        <v>"2084196833" : "Yoga, Pilates",</v>
      </c>
    </row>
    <row r="43" spans="1:6" ht="15.75" customHeight="1">
      <c r="A43" s="14">
        <v>26222</v>
      </c>
      <c r="B43" s="14" t="s">
        <v>5450</v>
      </c>
      <c r="C43" s="14" t="s">
        <v>8403</v>
      </c>
      <c r="D43" s="5" t="str">
        <f ca="1">IFERROR(__xludf.DUMMYFUNCTION("GOOGLETRANSLATE(B43,""ja"",""vi"")"),"Xe đạp, xe đạp")</f>
        <v>Xe đạp, xe đạp</v>
      </c>
      <c r="E43" s="5" t="str">
        <f ca="1">IFERROR(__xludf.DUMMYFUNCTION("GOOGLETRANSLATE(C43,""ja"",""vi"")"),"Đấu giá&gt; thể thao, giải trí&gt; thể thao khác&gt; nguồn cung cấp tập thể dục&gt; xe đạp, xe đạp")</f>
        <v>Đấu giá&gt; thể thao, giải trí&gt; thể thao khác&gt; nguồn cung cấp tập thể dục&gt; xe đạp, xe đạp</v>
      </c>
      <c r="F43" t="str">
        <f t="shared" ca="1" si="0"/>
        <v>"26222" : "Xe đạp, xe đạp",</v>
      </c>
    </row>
    <row r="44" spans="1:6" ht="15.75" customHeight="1">
      <c r="A44" s="14">
        <v>2084062737</v>
      </c>
      <c r="B44" s="14" t="s">
        <v>8404</v>
      </c>
      <c r="C44" s="14" t="s">
        <v>8405</v>
      </c>
      <c r="D44" s="5" t="str">
        <f ca="1">IFERROR(__xludf.DUMMYFUNCTION("GOOGLETRANSLATE(B44,""ja"",""vi"")"),"phần bổ sung")</f>
        <v>phần bổ sung</v>
      </c>
      <c r="E44" s="5" t="str">
        <f ca="1">IFERROR(__xludf.DUMMYFUNCTION("GOOGLETRANSLATE(C44,""ja"",""vi"")"),"Đấu giá&gt; thể thao, giải trí&gt; thể thao khác&gt; nguồn cung cấp tập thể dục&gt; bổ sung")</f>
        <v>Đấu giá&gt; thể thao, giải trí&gt; thể thao khác&gt; nguồn cung cấp tập thể dục&gt; bổ sung</v>
      </c>
      <c r="F44" t="str">
        <f t="shared" ca="1" si="0"/>
        <v>"2084062737" : "phần bổ sung",</v>
      </c>
    </row>
    <row r="45" spans="1:6" ht="15.75" customHeight="1">
      <c r="A45" s="14">
        <v>25178</v>
      </c>
      <c r="B45" s="14" t="s">
        <v>46</v>
      </c>
      <c r="C45" s="14" t="s">
        <v>8406</v>
      </c>
      <c r="D45" s="5" t="str">
        <f ca="1">IFERROR(__xludf.DUMMYFUNCTION("GOOGLETRANSLATE(B45,""ja"",""vi"")"),"nếu không thì")</f>
        <v>nếu không thì</v>
      </c>
      <c r="E45" s="5" t="str">
        <f ca="1">IFERROR(__xludf.DUMMYFUNCTION("GOOGLETRANSLATE(C45,""ja"",""vi"")"),"Đấu giá&gt; thể thao, giải trí&gt; thể thao khác&gt; nguồn cung cấp tập&gt; Khác")</f>
        <v>Đấu giá&gt; thể thao, giải trí&gt; thể thao khác&gt; nguồn cung cấp tập&gt; Khác</v>
      </c>
      <c r="F45" t="str">
        <f t="shared" ca="1" si="0"/>
        <v>"25178" : "nếu không thì",</v>
      </c>
    </row>
    <row r="46" spans="1:6" ht="15.75" customHeight="1">
      <c r="A46" s="14">
        <v>2084047458</v>
      </c>
      <c r="B46" s="14" t="s">
        <v>8407</v>
      </c>
      <c r="C46" s="14" t="s">
        <v>8408</v>
      </c>
      <c r="D46" s="5" t="str">
        <f ca="1">IFERROR(__xludf.DUMMYFUNCTION("GOOGLETRANSLATE(B46,""ja"",""vi"")"),"F1")</f>
        <v>F1</v>
      </c>
      <c r="E46" s="5" t="str">
        <f ca="1">IFERROR(__xludf.DUMMYFUNCTION("GOOGLETRANSLATE(C46,""ja"",""vi"")"),"Đấu giá&gt; thể thao, giải trí&gt; thể thao khác&gt; xe đua&gt; F1")</f>
        <v>Đấu giá&gt; thể thao, giải trí&gt; thể thao khác&gt; xe đua&gt; F1</v>
      </c>
      <c r="F46" t="str">
        <f t="shared" ca="1" si="0"/>
        <v>"2084047458" : "F1",</v>
      </c>
    </row>
    <row r="47" spans="1:6" ht="15.75" customHeight="1">
      <c r="A47" s="14">
        <v>2084221238</v>
      </c>
      <c r="B47" s="14" t="s">
        <v>8409</v>
      </c>
      <c r="C47" s="14" t="s">
        <v>8410</v>
      </c>
      <c r="D47" s="5" t="str">
        <f ca="1">IFERROR(__xludf.DUMMYFUNCTION("GOOGLETRANSLATE(B47,""ja"",""vi"")"),"Pocket xe đạp")</f>
        <v>Pocket xe đạp</v>
      </c>
      <c r="E47" s="5" t="str">
        <f ca="1">IFERROR(__xludf.DUMMYFUNCTION("GOOGLETRANSLATE(C47,""ja"",""vi"")"),"Đấu giá&gt; thể thao, giải trí&gt; thể thao khác&gt; xe đua&gt; túi xe đạp")</f>
        <v>Đấu giá&gt; thể thao, giải trí&gt; thể thao khác&gt; xe đua&gt; túi xe đạp</v>
      </c>
      <c r="F47" t="str">
        <f t="shared" ca="1" si="0"/>
        <v>"2084221238" : "Pocket xe đạp",</v>
      </c>
    </row>
    <row r="48" spans="1:6" ht="15.75" customHeight="1">
      <c r="A48" s="14">
        <v>2084018483</v>
      </c>
      <c r="B48" s="14" t="s">
        <v>8411</v>
      </c>
      <c r="C48" s="14" t="s">
        <v>8412</v>
      </c>
      <c r="D48" s="5" t="str">
        <f ca="1">IFERROR(__xludf.DUMMYFUNCTION("GOOGLETRANSLATE(B48,""ja"",""vi"")"),"đua giỏ hàng")</f>
        <v>đua giỏ hàng</v>
      </c>
      <c r="E48" s="5" t="str">
        <f ca="1">IFERROR(__xludf.DUMMYFUNCTION("GOOGLETRANSLATE(C48,""ja"",""vi"")"),"Đấu giá&gt; thể thao, giải trí&gt; thể thao khác&gt; xe đua&gt; đua giỏ hàng")</f>
        <v>Đấu giá&gt; thể thao, giải trí&gt; thể thao khác&gt; xe đua&gt; đua giỏ hàng</v>
      </c>
      <c r="F48" t="str">
        <f t="shared" ca="1" si="0"/>
        <v>"2084018483" : "đua giỏ hàng",</v>
      </c>
    </row>
    <row r="49" spans="1:6" ht="15.75" customHeight="1">
      <c r="A49" s="14">
        <v>2084236943</v>
      </c>
      <c r="B49" s="14" t="s">
        <v>8413</v>
      </c>
      <c r="C49" s="14" t="s">
        <v>8414</v>
      </c>
      <c r="D49" s="5" t="str">
        <f ca="1">IFERROR(__xludf.DUMMYFUNCTION("GOOGLETRANSLATE(B49,""ja"",""vi"")"),"Bốn bánh buggy")</f>
        <v>Bốn bánh buggy</v>
      </c>
      <c r="E49" s="5" t="str">
        <f ca="1">IFERROR(__xludf.DUMMYFUNCTION("GOOGLETRANSLATE(C49,""ja"",""vi"")"),"Đấu giá&gt; thể thao, giải trí&gt; thể thao khác&gt; xe đua&gt; buggy bốn bánh")</f>
        <v>Đấu giá&gt; thể thao, giải trí&gt; thể thao khác&gt; xe đua&gt; buggy bốn bánh</v>
      </c>
      <c r="F49" t="str">
        <f t="shared" ca="1" si="0"/>
        <v>"2084236943" : "Bốn bánh buggy",</v>
      </c>
    </row>
    <row r="50" spans="1:6" ht="15.75" customHeight="1">
      <c r="A50" s="14">
        <v>2084047459</v>
      </c>
      <c r="B50" s="14" t="s">
        <v>46</v>
      </c>
      <c r="C50" s="14" t="s">
        <v>8415</v>
      </c>
      <c r="D50" s="5" t="str">
        <f ca="1">IFERROR(__xludf.DUMMYFUNCTION("GOOGLETRANSLATE(B50,""ja"",""vi"")"),"nếu không thì")</f>
        <v>nếu không thì</v>
      </c>
      <c r="E50" s="5" t="str">
        <f ca="1">IFERROR(__xludf.DUMMYFUNCTION("GOOGLETRANSLATE(C50,""ja"",""vi"")"),"Đấu giá&gt; thể thao, giải trí&gt; thể thao khác&gt; xe đua&gt; Khác")</f>
        <v>Đấu giá&gt; thể thao, giải trí&gt; thể thao khác&gt; xe đua&gt; Khác</v>
      </c>
      <c r="F50" t="str">
        <f t="shared" ca="1" si="0"/>
        <v>"2084047459" : "nếu không thì",</v>
      </c>
    </row>
    <row r="51" spans="1:6" ht="15.75" customHeight="1">
      <c r="A51" s="14">
        <v>25054</v>
      </c>
      <c r="B51" s="14" t="s">
        <v>8416</v>
      </c>
      <c r="C51" s="14" t="s">
        <v>8417</v>
      </c>
      <c r="D51" s="5" t="str">
        <f ca="1">IFERROR(__xludf.DUMMYFUNCTION("GOOGLETRANSLATE(B51,""ja"",""vi"")"),"câu lạc bộ")</f>
        <v>câu lạc bộ</v>
      </c>
      <c r="E51" s="5" t="str">
        <f ca="1">IFERROR(__xludf.DUMMYFUNCTION("GOOGLETRANSLATE(C51,""ja"",""vi"")"),"Đấu giá&gt; thể thao, giải trí&gt; thể thao khác&gt; Golf&gt; Club")</f>
        <v>Đấu giá&gt; thể thao, giải trí&gt; thể thao khác&gt; Golf&gt; Club</v>
      </c>
      <c r="F51" t="str">
        <f t="shared" ca="1" si="0"/>
        <v>"25054" : "câu lạc bộ",</v>
      </c>
    </row>
    <row r="52" spans="1:6" ht="15.75" customHeight="1">
      <c r="A52" s="14">
        <v>2084006790</v>
      </c>
      <c r="B52" s="14" t="s">
        <v>8418</v>
      </c>
      <c r="C52" s="14" t="s">
        <v>8419</v>
      </c>
      <c r="D52" s="5" t="str">
        <f ca="1">IFERROR(__xludf.DUMMYFUNCTION("GOOGLETRANSLATE(B52,""ja"",""vi"")"),"Mang (đối với nam)")</f>
        <v>Mang (đối với nam)</v>
      </c>
      <c r="E52" s="5" t="str">
        <f ca="1">IFERROR(__xludf.DUMMYFUNCTION("GOOGLETRANSLATE(C52,""ja"",""vi"")"),"Đấu giá&gt; thể thao, giải trí&gt; thể thao khác mặc&gt; Golf&gt; (dành cho nam giới)")</f>
        <v>Đấu giá&gt; thể thao, giải trí&gt; thể thao khác mặc&gt; Golf&gt; (dành cho nam giới)</v>
      </c>
      <c r="F52" t="str">
        <f t="shared" ca="1" si="0"/>
        <v>"2084006790" : "Mang (đối với nam)",</v>
      </c>
    </row>
    <row r="53" spans="1:6" ht="15.75" customHeight="1">
      <c r="A53" s="14">
        <v>2084006791</v>
      </c>
      <c r="B53" s="14" t="s">
        <v>8420</v>
      </c>
      <c r="C53" s="14" t="s">
        <v>8421</v>
      </c>
      <c r="D53" s="5" t="str">
        <f ca="1">IFERROR(__xludf.DUMMYFUNCTION("GOOGLETRANSLATE(B53,""ja"",""vi"")"),"Mang (đối với nữ)")</f>
        <v>Mang (đối với nữ)</v>
      </c>
      <c r="E53" s="5" t="str">
        <f ca="1">IFERROR(__xludf.DUMMYFUNCTION("GOOGLETRANSLATE(C53,""ja"",""vi"")"),"Đấu giá&gt; thể thao, giải trí&gt; thể thao khác mặc&gt; Golf&gt; (đối với nữ)")</f>
        <v>Đấu giá&gt; thể thao, giải trí&gt; thể thao khác mặc&gt; Golf&gt; (đối với nữ)</v>
      </c>
      <c r="F53" t="str">
        <f t="shared" ca="1" si="0"/>
        <v>"2084006791" : "Mang (đối với nữ)",</v>
      </c>
    </row>
    <row r="54" spans="1:6" ht="15.75" customHeight="1">
      <c r="A54" s="14">
        <v>2084006796</v>
      </c>
      <c r="B54" s="14" t="s">
        <v>8422</v>
      </c>
      <c r="C54" s="14" t="s">
        <v>8423</v>
      </c>
      <c r="D54" s="5" t="str">
        <f ca="1">IFERROR(__xludf.DUMMYFUNCTION("GOOGLETRANSLATE(B54,""ja"",""vi"")"),"Giày dép (đối với nam)")</f>
        <v>Giày dép (đối với nam)</v>
      </c>
      <c r="E54" s="5" t="str">
        <f ca="1">IFERROR(__xludf.DUMMYFUNCTION("GOOGLETRANSLATE(C54,""ja"",""vi"")"),"Đấu giá&gt; thể thao, giải trí&gt; Bằng cách thể thao&gt; Golf&gt; giày (đối với nam)")</f>
        <v>Đấu giá&gt; thể thao, giải trí&gt; Bằng cách thể thao&gt; Golf&gt; giày (đối với nam)</v>
      </c>
      <c r="F54" t="str">
        <f t="shared" ca="1" si="0"/>
        <v>"2084006796" : "Giày dép (đối với nam)",</v>
      </c>
    </row>
    <row r="55" spans="1:6" ht="15.75" customHeight="1">
      <c r="A55" s="14">
        <v>2084006808</v>
      </c>
      <c r="B55" s="14" t="s">
        <v>8424</v>
      </c>
      <c r="C55" s="14" t="s">
        <v>8425</v>
      </c>
      <c r="D55" s="5" t="str">
        <f ca="1">IFERROR(__xludf.DUMMYFUNCTION("GOOGLETRANSLATE(B55,""ja"",""vi"")"),"Giày dép (đối với nữ)")</f>
        <v>Giày dép (đối với nữ)</v>
      </c>
      <c r="E55" s="5" t="str">
        <f ca="1">IFERROR(__xludf.DUMMYFUNCTION("GOOGLETRANSLATE(C55,""ja"",""vi"")"),"Đấu giá&gt; thể thao, giải trí&gt; Bằng cách thể thao&gt; Golf&gt; giày (đối với nữ)")</f>
        <v>Đấu giá&gt; thể thao, giải trí&gt; Bằng cách thể thao&gt; Golf&gt; giày (đối với nữ)</v>
      </c>
      <c r="F55" t="str">
        <f t="shared" ca="1" si="0"/>
        <v>"2084006808" : "Giày dép (đối với nữ)",</v>
      </c>
    </row>
    <row r="56" spans="1:6" ht="15.75" customHeight="1">
      <c r="A56" s="14">
        <v>25068</v>
      </c>
      <c r="B56" s="14" t="s">
        <v>8426</v>
      </c>
      <c r="C56" s="14" t="s">
        <v>8427</v>
      </c>
      <c r="D56" s="5" t="str">
        <f ca="1">IFERROR(__xludf.DUMMYFUNCTION("GOOGLETRANSLATE(B56,""ja"",""vi"")"),"dụng cụ")</f>
        <v>dụng cụ</v>
      </c>
      <c r="E56" s="5" t="str">
        <f ca="1">IFERROR(__xludf.DUMMYFUNCTION("GOOGLETRANSLATE(C56,""ja"",""vi"")"),"Đấu giá&gt; thể thao, giải trí&gt; thể thao khác&gt; Golf&gt; công cụ")</f>
        <v>Đấu giá&gt; thể thao, giải trí&gt; thể thao khác&gt; Golf&gt; công cụ</v>
      </c>
      <c r="F56" t="str">
        <f t="shared" ca="1" si="0"/>
        <v>"25068" : "dụng cụ",</v>
      </c>
    </row>
    <row r="57" spans="1:6" ht="15.75" customHeight="1">
      <c r="A57" s="14">
        <v>2084063197</v>
      </c>
      <c r="B57" s="14" t="s">
        <v>8428</v>
      </c>
      <c r="C57" s="14" t="s">
        <v>8429</v>
      </c>
      <c r="D57" s="5" t="str">
        <f ca="1">IFERROR(__xludf.DUMMYFUNCTION("GOOGLETRANSLATE(B57,""ja"",""vi"")"),"huấn luyện viên")</f>
        <v>huấn luyện viên</v>
      </c>
      <c r="E57" s="5" t="str">
        <f ca="1">IFERROR(__xludf.DUMMYFUNCTION("GOOGLETRANSLATE(C57,""ja"",""vi"")"),"Đấu giá&gt; thể thao, giải trí&gt; Bằng cách thể thao&gt; Golf&gt; công cụ thực hành")</f>
        <v>Đấu giá&gt; thể thao, giải trí&gt; Bằng cách thể thao&gt; Golf&gt; công cụ thực hành</v>
      </c>
      <c r="F57" t="str">
        <f t="shared" ca="1" si="0"/>
        <v>"2084063197" : "huấn luyện viên",</v>
      </c>
    </row>
    <row r="58" spans="1:6" ht="15.75" customHeight="1">
      <c r="A58" s="14">
        <v>2084047822</v>
      </c>
      <c r="B58" s="14" t="s">
        <v>1685</v>
      </c>
      <c r="C58" s="14" t="s">
        <v>8430</v>
      </c>
      <c r="D58" s="5" t="str">
        <f ca="1">IFERROR(__xludf.DUMMYFUNCTION("GOOGLETRANSLATE(B58,""ja"",""vi"")"),"phụ kiện")</f>
        <v>phụ kiện</v>
      </c>
      <c r="E58" s="5" t="str">
        <f ca="1">IFERROR(__xludf.DUMMYFUNCTION("GOOGLETRANSLATE(C58,""ja"",""vi"")"),"Đấu giá&gt; thể thao, giải trí&gt; Bằng cách thể thao&gt; Golf&gt; Accessories")</f>
        <v>Đấu giá&gt; thể thao, giải trí&gt; Bằng cách thể thao&gt; Golf&gt; Accessories</v>
      </c>
      <c r="F58" t="str">
        <f t="shared" ca="1" si="0"/>
        <v>"2084047822" : "phụ kiện",</v>
      </c>
    </row>
    <row r="59" spans="1:6" ht="15.75" customHeight="1">
      <c r="A59" s="14">
        <v>2084046986</v>
      </c>
      <c r="B59" s="14" t="s">
        <v>7721</v>
      </c>
      <c r="C59" s="14" t="s">
        <v>8431</v>
      </c>
      <c r="D59" s="5" t="str">
        <f ca="1">IFERROR(__xludf.DUMMYFUNCTION("GOOGLETRANSLATE(B59,""ja"",""vi"")"),"video")</f>
        <v>video</v>
      </c>
      <c r="E59" s="5" t="str">
        <f ca="1">IFERROR(__xludf.DUMMYFUNCTION("GOOGLETRANSLATE(C59,""ja"",""vi"")"),"Đấu giá&gt; thể thao, giải trí&gt; Bằng cách thể thao&gt; Golf&gt; Video")</f>
        <v>Đấu giá&gt; thể thao, giải trí&gt; Bằng cách thể thao&gt; Golf&gt; Video</v>
      </c>
      <c r="F59" t="str">
        <f t="shared" ca="1" si="0"/>
        <v>"2084046986" : "video",</v>
      </c>
    </row>
    <row r="60" spans="1:6" ht="15.75" customHeight="1">
      <c r="A60" s="14">
        <v>2084008084</v>
      </c>
      <c r="B60" s="14" t="s">
        <v>1586</v>
      </c>
      <c r="C60" s="14" t="s">
        <v>8432</v>
      </c>
      <c r="D60" s="5" t="str">
        <f ca="1">IFERROR(__xludf.DUMMYFUNCTION("GOOGLETRANSLATE(B60,""ja"",""vi"")"),"tạp chí")</f>
        <v>tạp chí</v>
      </c>
      <c r="E60" s="5" t="str">
        <f ca="1">IFERROR(__xludf.DUMMYFUNCTION("GOOGLETRANSLATE(C60,""ja"",""vi"")"),"Đấu giá&gt; thể thao, giải trí&gt; Bằng cách thể thao&gt; Golf&gt; Tạp chí")</f>
        <v>Đấu giá&gt; thể thao, giải trí&gt; Bằng cách thể thao&gt; Golf&gt; Tạp chí</v>
      </c>
      <c r="F60" t="str">
        <f t="shared" ca="1" si="0"/>
        <v>"2084008084" : "tạp chí",</v>
      </c>
    </row>
    <row r="61" spans="1:6" ht="15.75" customHeight="1">
      <c r="A61" s="14">
        <v>2084008862</v>
      </c>
      <c r="B61" s="14" t="s">
        <v>1632</v>
      </c>
      <c r="C61" s="14" t="s">
        <v>8433</v>
      </c>
      <c r="D61" s="5" t="str">
        <f ca="1">IFERROR(__xludf.DUMMYFUNCTION("GOOGLETRANSLATE(B61,""ja"",""vi"")"),"điều này")</f>
        <v>điều này</v>
      </c>
      <c r="E61" s="5" t="str">
        <f ca="1">IFERROR(__xludf.DUMMYFUNCTION("GOOGLETRANSLATE(C61,""ja"",""vi"")"),"Đấu giá&gt; thể thao, giải trí&gt; Bằng cách thể thao&gt; Golf&gt; Sách")</f>
        <v>Đấu giá&gt; thể thao, giải trí&gt; Bằng cách thể thao&gt; Golf&gt; Sách</v>
      </c>
      <c r="F61" t="str">
        <f t="shared" ca="1" si="0"/>
        <v>"2084008862" : "điều này",</v>
      </c>
    </row>
    <row r="62" spans="1:6" ht="15.75" customHeight="1">
      <c r="A62" s="14">
        <v>25094</v>
      </c>
      <c r="B62" s="14" t="s">
        <v>46</v>
      </c>
      <c r="C62" s="14" t="s">
        <v>8434</v>
      </c>
      <c r="D62" s="5" t="str">
        <f ca="1">IFERROR(__xludf.DUMMYFUNCTION("GOOGLETRANSLATE(B62,""ja"",""vi"")"),"nếu không thì")</f>
        <v>nếu không thì</v>
      </c>
      <c r="E62" s="5" t="str">
        <f ca="1">IFERROR(__xludf.DUMMYFUNCTION("GOOGLETRANSLATE(C62,""ja"",""vi"")"),"Đấu giá&gt; thể thao, giải trí&gt; Bằng cách thể thao&gt; Golf&gt; Khác")</f>
        <v>Đấu giá&gt; thể thao, giải trí&gt; Bằng cách thể thao&gt; Golf&gt; Khác</v>
      </c>
      <c r="F62" t="str">
        <f t="shared" ca="1" si="0"/>
        <v>"25094" : "nếu không thì",</v>
      </c>
    </row>
    <row r="63" spans="1:6" ht="15.75" customHeight="1">
      <c r="A63" s="14">
        <v>2084046289</v>
      </c>
      <c r="B63" s="14" t="s">
        <v>8435</v>
      </c>
      <c r="C63" s="14" t="s">
        <v>8436</v>
      </c>
      <c r="D63" s="5" t="str">
        <f ca="1">IFERROR(__xludf.DUMMYFUNCTION("GOOGLETRANSLATE(B63,""ja"",""vi"")"),"dấu")</f>
        <v>dấu</v>
      </c>
      <c r="E63" s="5" t="str">
        <f ca="1">IFERROR(__xludf.DUMMYFUNCTION("GOOGLETRANSLATE(C63,""ja"",""vi"")"),"Đấu giá&gt; thể thao, giải trí&gt; Bằng cách thể thao&gt; Võ thuật, đấu vật chuyên nghiệp&gt; dấu")</f>
        <v>Đấu giá&gt; thể thao, giải trí&gt; Bằng cách thể thao&gt; Võ thuật, đấu vật chuyên nghiệp&gt; dấu</v>
      </c>
      <c r="F63" t="str">
        <f t="shared" ca="1" si="0"/>
        <v>"2084046289" : "dấu",</v>
      </c>
    </row>
    <row r="64" spans="1:6" ht="15.75" customHeight="1">
      <c r="A64" s="14">
        <v>40499</v>
      </c>
      <c r="B64" s="14" t="s">
        <v>7445</v>
      </c>
      <c r="C64" s="14" t="s">
        <v>8440</v>
      </c>
      <c r="D64" s="5" t="str">
        <f ca="1">IFERROR(__xludf.DUMMYFUNCTION("GOOGLETRANSLATE(B64,""ja"",""vi"")"),"thẻ giao dịch")</f>
        <v>thẻ giao dịch</v>
      </c>
      <c r="E64" s="5" t="str">
        <f ca="1">IFERROR(__xludf.DUMMYFUNCTION("GOOGLETRANSLATE(C64,""ja"",""vi"")"),"Đấu giá&gt; thể thao, giải trí&gt; Bằng cách thể thao&gt; Võ thuật, Wrestling&gt; Trading Cards")</f>
        <v>Đấu giá&gt; thể thao, giải trí&gt; Bằng cách thể thao&gt; Võ thuật, Wrestling&gt; Trading Cards</v>
      </c>
      <c r="F64" t="str">
        <f t="shared" ca="1" si="0"/>
        <v>"40499" : "thẻ giao dịch",</v>
      </c>
    </row>
    <row r="65" spans="1:6" ht="15.75" customHeight="1">
      <c r="A65" s="14">
        <v>2084046287</v>
      </c>
      <c r="B65" s="14" t="s">
        <v>7721</v>
      </c>
      <c r="C65" s="14" t="s">
        <v>8443</v>
      </c>
      <c r="D65" s="5" t="str">
        <f ca="1">IFERROR(__xludf.DUMMYFUNCTION("GOOGLETRANSLATE(B65,""ja"",""vi"")"),"video")</f>
        <v>video</v>
      </c>
      <c r="E65" s="5" t="str">
        <f ca="1">IFERROR(__xludf.DUMMYFUNCTION("GOOGLETRANSLATE(C65,""ja"",""vi"")"),"Đấu giá&gt; thể thao, giải trí&gt; Bằng cách thể thao&gt; Võ thuật, đấu vật chuyên nghiệp&gt; Video")</f>
        <v>Đấu giá&gt; thể thao, giải trí&gt; Bằng cách thể thao&gt; Võ thuật, đấu vật chuyên nghiệp&gt; Video</v>
      </c>
      <c r="F65" t="str">
        <f t="shared" ca="1" si="0"/>
        <v>"2084046287" : "video",</v>
      </c>
    </row>
    <row r="66" spans="1:6" ht="15.75" customHeight="1">
      <c r="A66" s="14">
        <v>2084023790</v>
      </c>
      <c r="B66" s="14" t="s">
        <v>7351</v>
      </c>
      <c r="C66" s="14" t="s">
        <v>8447</v>
      </c>
      <c r="D66" s="5" t="str">
        <f ca="1">IFERROR(__xludf.DUMMYFUNCTION("GOOGLETRANSLATE(B66,""ja"",""vi"")"),"nhân vật")</f>
        <v>nhân vật</v>
      </c>
      <c r="E66" s="5" t="str">
        <f ca="1">IFERROR(__xludf.DUMMYFUNCTION("GOOGLETRANSLATE(C66,""ja"",""vi"")"),"Đấu giá&gt; thể thao, giải trí&gt; Bằng cách thể thao&gt; Võ thuật, đấu vật chuyên nghiệp&gt; Hình")</f>
        <v>Đấu giá&gt; thể thao, giải trí&gt; Bằng cách thể thao&gt; Võ thuật, đấu vật chuyên nghiệp&gt; Hình</v>
      </c>
      <c r="F66" t="str">
        <f t="shared" ref="F66:F129" ca="1" si="1">CONCATENATE(CHAR(34)&amp;"",A66,""&amp;CHAR(34)," : ", CHAR(34)&amp;"",D66,""&amp;CHAR(34),",")</f>
        <v>"2084023790" : "nhân vật",</v>
      </c>
    </row>
    <row r="67" spans="1:6" ht="15.75" customHeight="1">
      <c r="A67" s="14">
        <v>2084046286</v>
      </c>
      <c r="B67" s="14" t="s">
        <v>8084</v>
      </c>
      <c r="C67" s="14" t="s">
        <v>8449</v>
      </c>
      <c r="D67" s="5" t="str">
        <f ca="1">IFERROR(__xludf.DUMMYFUNCTION("GOOGLETRANSLATE(B67,""ja"",""vi"")"),"mặt nạ")</f>
        <v>mặt nạ</v>
      </c>
      <c r="E67" s="5" t="str">
        <f ca="1">IFERROR(__xludf.DUMMYFUNCTION("GOOGLETRANSLATE(C67,""ja"",""vi"")"),"Đấu giá&gt; thể thao, giải trí&gt; Bằng cách thể thao&gt; Võ thuật, Wrestling&gt; mặt nạ")</f>
        <v>Đấu giá&gt; thể thao, giải trí&gt; Bằng cách thể thao&gt; Võ thuật, Wrestling&gt; mặt nạ</v>
      </c>
      <c r="F67" t="str">
        <f t="shared" ca="1" si="1"/>
        <v>"2084046286" : "mặt nạ",</v>
      </c>
    </row>
    <row r="68" spans="1:6" ht="15.75" customHeight="1">
      <c r="A68" s="14">
        <v>2084008089</v>
      </c>
      <c r="B68" s="14" t="s">
        <v>1586</v>
      </c>
      <c r="C68" s="14" t="s">
        <v>8452</v>
      </c>
      <c r="D68" s="5" t="str">
        <f ca="1">IFERROR(__xludf.DUMMYFUNCTION("GOOGLETRANSLATE(B68,""ja"",""vi"")"),"tạp chí")</f>
        <v>tạp chí</v>
      </c>
      <c r="E68" s="5" t="str">
        <f ca="1">IFERROR(__xludf.DUMMYFUNCTION("GOOGLETRANSLATE(C68,""ja"",""vi"")"),"Đấu giá&gt; thể thao, giải trí&gt; Bằng cách thể thao&gt; Võ thuật, đấu vật chuyên nghiệp&gt; Tạp chí")</f>
        <v>Đấu giá&gt; thể thao, giải trí&gt; Bằng cách thể thao&gt; Võ thuật, đấu vật chuyên nghiệp&gt; Tạp chí</v>
      </c>
      <c r="F68" t="str">
        <f t="shared" ca="1" si="1"/>
        <v>"2084008089" : "tạp chí",</v>
      </c>
    </row>
    <row r="69" spans="1:6" ht="15.75" customHeight="1">
      <c r="A69" s="14">
        <v>2084008866</v>
      </c>
      <c r="B69" s="14" t="s">
        <v>1632</v>
      </c>
      <c r="C69" s="14" t="s">
        <v>8455</v>
      </c>
      <c r="D69" s="5" t="str">
        <f ca="1">IFERROR(__xludf.DUMMYFUNCTION("GOOGLETRANSLATE(B69,""ja"",""vi"")"),"điều này")</f>
        <v>điều này</v>
      </c>
      <c r="E69" s="5" t="str">
        <f ca="1">IFERROR(__xludf.DUMMYFUNCTION("GOOGLETRANSLATE(C69,""ja"",""vi"")"),"Đấu giá&gt; thể thao, giải trí&gt; Bằng cách thể thao&gt; Võ thuật, Wrestling&gt; Sách")</f>
        <v>Đấu giá&gt; thể thao, giải trí&gt; Bằng cách thể thao&gt; Võ thuật, Wrestling&gt; Sách</v>
      </c>
      <c r="F69" t="str">
        <f t="shared" ca="1" si="1"/>
        <v>"2084008866" : "điều này",</v>
      </c>
    </row>
    <row r="70" spans="1:6" ht="15.75" customHeight="1">
      <c r="A70" s="14">
        <v>2084046285</v>
      </c>
      <c r="B70" s="14" t="s">
        <v>46</v>
      </c>
      <c r="C70" s="14" t="s">
        <v>8458</v>
      </c>
      <c r="D70" s="5" t="str">
        <f ca="1">IFERROR(__xludf.DUMMYFUNCTION("GOOGLETRANSLATE(B70,""ja"",""vi"")"),"nếu không thì")</f>
        <v>nếu không thì</v>
      </c>
      <c r="E70" s="5" t="str">
        <f ca="1">IFERROR(__xludf.DUMMYFUNCTION("GOOGLETRANSLATE(C70,""ja"",""vi"")"),"Đấu giá&gt; thể thao, giải trí&gt; Bằng cách thể thao&gt; Võ thuật, Wrestling&gt; Khác")</f>
        <v>Đấu giá&gt; thể thao, giải trí&gt; Bằng cách thể thao&gt; Võ thuật, Wrestling&gt; Khác</v>
      </c>
      <c r="F70" t="str">
        <f t="shared" ca="1" si="1"/>
        <v>"2084046285" : "nếu không thì",</v>
      </c>
    </row>
    <row r="71" spans="1:6" ht="15.75" customHeight="1">
      <c r="A71" s="14">
        <v>2084258253</v>
      </c>
      <c r="B71" s="14" t="s">
        <v>8461</v>
      </c>
      <c r="C71" s="14" t="s">
        <v>8462</v>
      </c>
      <c r="D71" s="5" t="str">
        <f ca="1">IFERROR(__xludf.DUMMYFUNCTION("GOOGLETRANSLATE(B71,""ja"",""vi"")"),"Karate mặc")</f>
        <v>Karate mặc</v>
      </c>
      <c r="E71" s="5" t="str">
        <f ca="1">IFERROR(__xludf.DUMMYFUNCTION("GOOGLETRANSLATE(C71,""ja"",""vi"")"),"Đấu giá&gt; thể thao, giải trí&gt; Bằng Sport&gt; karate&gt; Karate mặc")</f>
        <v>Đấu giá&gt; thể thao, giải trí&gt; Bằng Sport&gt; karate&gt; Karate mặc</v>
      </c>
      <c r="F71" t="str">
        <f t="shared" ca="1" si="1"/>
        <v>"2084258253" : "Karate mặc",</v>
      </c>
    </row>
    <row r="72" spans="1:6" ht="15.75" customHeight="1">
      <c r="A72" s="14">
        <v>2084258254</v>
      </c>
      <c r="B72" s="14" t="s">
        <v>8463</v>
      </c>
      <c r="C72" s="14" t="s">
        <v>8465</v>
      </c>
      <c r="D72" s="5" t="str">
        <f ca="1">IFERROR(__xludf.DUMMYFUNCTION("GOOGLETRANSLATE(B72,""ja"",""vi"")"),"dây lưng lụa")</f>
        <v>dây lưng lụa</v>
      </c>
      <c r="E72" s="5" t="str">
        <f ca="1">IFERROR(__xludf.DUMMYFUNCTION("GOOGLETRANSLATE(C72,""ja"",""vi"")"),"Đấu giá&gt; thể thao, giải trí&gt; Bằng Sport&gt; Karate&gt; band")</f>
        <v>Đấu giá&gt; thể thao, giải trí&gt; Bằng Sport&gt; Karate&gt; band</v>
      </c>
      <c r="F72" t="str">
        <f t="shared" ca="1" si="1"/>
        <v>"2084258254" : "dây lưng lụa",</v>
      </c>
    </row>
    <row r="73" spans="1:6" ht="15.75" customHeight="1">
      <c r="A73" s="14">
        <v>2084258255</v>
      </c>
      <c r="B73" s="14" t="s">
        <v>46</v>
      </c>
      <c r="C73" s="14" t="s">
        <v>8468</v>
      </c>
      <c r="D73" s="5" t="str">
        <f ca="1">IFERROR(__xludf.DUMMYFUNCTION("GOOGLETRANSLATE(B73,""ja"",""vi"")"),"nếu không thì")</f>
        <v>nếu không thì</v>
      </c>
      <c r="E73" s="5" t="str">
        <f ca="1">IFERROR(__xludf.DUMMYFUNCTION("GOOGLETRANSLATE(C73,""ja"",""vi"")"),"Đấu giá&gt; thể thao, giải trí&gt; Bằng Sport&gt; Karate&gt; Khác")</f>
        <v>Đấu giá&gt; thể thao, giải trí&gt; Bằng Sport&gt; Karate&gt; Khác</v>
      </c>
      <c r="F73" t="str">
        <f t="shared" ca="1" si="1"/>
        <v>"2084258255" : "nếu không thì",</v>
      </c>
    </row>
    <row r="74" spans="1:6" ht="15.75" customHeight="1">
      <c r="A74" s="14">
        <v>2084303116</v>
      </c>
      <c r="B74" s="14" t="s">
        <v>8470</v>
      </c>
      <c r="C74" s="14" t="s">
        <v>8471</v>
      </c>
      <c r="D74" s="5" t="str">
        <f ca="1">IFERROR(__xludf.DUMMYFUNCTION("GOOGLETRANSLATE(B74,""ja"",""vi"")"),"Armor bộ")</f>
        <v>Armor bộ</v>
      </c>
      <c r="E74" s="5" t="str">
        <f ca="1">IFERROR(__xludf.DUMMYFUNCTION("GOOGLETRANSLATE(C74,""ja"",""vi"")"),"Đấu giá&gt; thể thao, giải trí&gt; Bằng Sport&gt; Kendo&gt; bộ áo giáp")</f>
        <v>Đấu giá&gt; thể thao, giải trí&gt; Bằng Sport&gt; Kendo&gt; bộ áo giáp</v>
      </c>
      <c r="F74" t="str">
        <f t="shared" ca="1" si="1"/>
        <v>"2084303116" : "Armor bộ",</v>
      </c>
    </row>
    <row r="75" spans="1:6" ht="15.75" customHeight="1">
      <c r="A75" s="14">
        <v>2084303117</v>
      </c>
      <c r="B75" s="14" t="s">
        <v>8474</v>
      </c>
      <c r="C75" s="14" t="s">
        <v>8475</v>
      </c>
      <c r="D75" s="5" t="str">
        <f ca="1">IFERROR(__xludf.DUMMYFUNCTION("GOOGLETRANSLATE(B75,""ja"",""vi"")"),"Armour riêng")</f>
        <v>Armour riêng</v>
      </c>
      <c r="E75" s="5" t="str">
        <f ca="1">IFERROR(__xludf.DUMMYFUNCTION("GOOGLETRANSLATE(C75,""ja"",""vi"")"),"Đấu giá&gt; thể thao, giải trí&gt; Bằng Sport&gt; Kendo&gt; Armor riêng")</f>
        <v>Đấu giá&gt; thể thao, giải trí&gt; Bằng Sport&gt; Kendo&gt; Armor riêng</v>
      </c>
      <c r="F75" t="str">
        <f t="shared" ca="1" si="1"/>
        <v>"2084303117" : "Armour riêng",</v>
      </c>
    </row>
    <row r="76" spans="1:6" ht="15.75" customHeight="1">
      <c r="A76" s="14">
        <v>2084303118</v>
      </c>
      <c r="B76" s="14" t="s">
        <v>8478</v>
      </c>
      <c r="C76" s="14" t="s">
        <v>8479</v>
      </c>
      <c r="D76" s="5" t="str">
        <f ca="1">IFERROR(__xludf.DUMMYFUNCTION("GOOGLETRANSLATE(B76,""ja"",""vi"")"),"Đấu kiếm dính")</f>
        <v>Đấu kiếm dính</v>
      </c>
      <c r="E76" s="5" t="str">
        <f ca="1">IFERROR(__xludf.DUMMYFUNCTION("GOOGLETRANSLATE(C76,""ja"",""vi"")"),"Đấu giá&gt; thể thao, giải trí&gt; Bằng Sport&gt; Kendo&gt; Shinai")</f>
        <v>Đấu giá&gt; thể thao, giải trí&gt; Bằng Sport&gt; Kendo&gt; Shinai</v>
      </c>
      <c r="F76" t="str">
        <f t="shared" ca="1" si="1"/>
        <v>"2084303118" : "Đấu kiếm dính",</v>
      </c>
    </row>
    <row r="77" spans="1:6" ht="15.75" customHeight="1">
      <c r="A77" s="14">
        <v>2084303119</v>
      </c>
      <c r="B77" s="14" t="s">
        <v>8482</v>
      </c>
      <c r="C77" s="14" t="s">
        <v>8483</v>
      </c>
      <c r="D77" s="5" t="str">
        <f ca="1">IFERROR(__xludf.DUMMYFUNCTION("GOOGLETRANSLATE(B77,""ja"",""vi"")"),"thanh kiếm gỗ")</f>
        <v>thanh kiếm gỗ</v>
      </c>
      <c r="E77" s="5" t="str">
        <f ca="1">IFERROR(__xludf.DUMMYFUNCTION("GOOGLETRANSLATE(C77,""ja"",""vi"")"),"Đấu giá&gt; thể thao, giải trí&gt; Bằng Sport&gt; Kendo&gt; thanh kiếm gỗ")</f>
        <v>Đấu giá&gt; thể thao, giải trí&gt; Bằng Sport&gt; Kendo&gt; thanh kiếm gỗ</v>
      </c>
      <c r="F77" t="str">
        <f t="shared" ca="1" si="1"/>
        <v>"2084303119" : "thanh kiếm gỗ",</v>
      </c>
    </row>
    <row r="78" spans="1:6" ht="15.75" customHeight="1">
      <c r="A78" s="14">
        <v>2084303121</v>
      </c>
      <c r="B78" s="14" t="s">
        <v>8486</v>
      </c>
      <c r="C78" s="14" t="s">
        <v>8487</v>
      </c>
      <c r="D78" s="5" t="str">
        <f ca="1">IFERROR(__xludf.DUMMYFUNCTION("GOOGLETRANSLATE(B78,""ja"",""vi"")"),"túi shinai")</f>
        <v>túi shinai</v>
      </c>
      <c r="E78" s="5" t="str">
        <f ca="1">IFERROR(__xludf.DUMMYFUNCTION("GOOGLETRANSLATE(C78,""ja"",""vi"")"),"Đấu giá&gt; thể thao, giải trí&gt; Bằng Sport&gt; Kendo&gt; túi Shinai")</f>
        <v>Đấu giá&gt; thể thao, giải trí&gt; Bằng Sport&gt; Kendo&gt; túi Shinai</v>
      </c>
      <c r="F78" t="str">
        <f t="shared" ca="1" si="1"/>
        <v>"2084303121" : "túi shinai",</v>
      </c>
    </row>
    <row r="79" spans="1:6" ht="15.75" customHeight="1">
      <c r="A79" s="14">
        <v>2084303120</v>
      </c>
      <c r="B79" s="14" t="s">
        <v>8489</v>
      </c>
      <c r="C79" s="14" t="s">
        <v>8490</v>
      </c>
      <c r="D79" s="5" t="str">
        <f ca="1">IFERROR(__xludf.DUMMYFUNCTION("GOOGLETRANSLATE(B79,""ja"",""vi"")"),"Kendo quần áo, hakama")</f>
        <v>Kendo quần áo, hakama</v>
      </c>
      <c r="E79" s="5" t="str">
        <f ca="1">IFERROR(__xludf.DUMMYFUNCTION("GOOGLETRANSLATE(C79,""ja"",""vi"")"),"Đấu giá&gt; thể thao, giải trí&gt; Bằng Sport&gt; Kendo&gt; Kendo quần áo, hakama")</f>
        <v>Đấu giá&gt; thể thao, giải trí&gt; Bằng Sport&gt; Kendo&gt; Kendo quần áo, hakama</v>
      </c>
      <c r="F79" t="str">
        <f t="shared" ca="1" si="1"/>
        <v>"2084303120" : "Kendo quần áo, hakama",</v>
      </c>
    </row>
    <row r="80" spans="1:6" ht="15.75" customHeight="1">
      <c r="A80" s="14">
        <v>2084303122</v>
      </c>
      <c r="B80" s="14" t="s">
        <v>46</v>
      </c>
      <c r="C80" s="14" t="s">
        <v>8493</v>
      </c>
      <c r="D80" s="5" t="str">
        <f ca="1">IFERROR(__xludf.DUMMYFUNCTION("GOOGLETRANSLATE(B80,""ja"",""vi"")"),"nếu không thì")</f>
        <v>nếu không thì</v>
      </c>
      <c r="E80" s="5" t="str">
        <f ca="1">IFERROR(__xludf.DUMMYFUNCTION("GOOGLETRANSLATE(C80,""ja"",""vi"")"),"Đấu giá&gt; thể thao, giải trí&gt; Bằng Sport&gt; Kendo&gt; Khác")</f>
        <v>Đấu giá&gt; thể thao, giải trí&gt; Bằng Sport&gt; Kendo&gt; Khác</v>
      </c>
      <c r="F80" t="str">
        <f t="shared" ca="1" si="1"/>
        <v>"2084303122" : "nếu không thì",</v>
      </c>
    </row>
    <row r="81" spans="1:6" ht="15.75" customHeight="1">
      <c r="A81" s="14">
        <v>2084032269</v>
      </c>
      <c r="B81" s="14" t="s">
        <v>8059</v>
      </c>
      <c r="C81" s="14" t="s">
        <v>8496</v>
      </c>
      <c r="D81" s="5" t="str">
        <f ca="1">IFERROR(__xludf.DUMMYFUNCTION("GOOGLETRANSLATE(B81,""ja"",""vi"")"),"Hội đồng quản trị")</f>
        <v>Hội đồng quản trị</v>
      </c>
      <c r="E81" s="5" t="str">
        <f ca="1">IFERROR(__xludf.DUMMYFUNCTION("GOOGLETRANSLATE(C81,""ja"",""vi"")"),"Đấu giá&gt; thể thao, giải trí&gt; thể thao khác&gt; lướt&gt; bảng")</f>
        <v>Đấu giá&gt; thể thao, giải trí&gt; thể thao khác&gt; lướt&gt; bảng</v>
      </c>
      <c r="F81" t="str">
        <f t="shared" ca="1" si="1"/>
        <v>"2084032269" : "Hội đồng quản trị",</v>
      </c>
    </row>
    <row r="82" spans="1:6" ht="15.75" customHeight="1">
      <c r="A82" s="14">
        <v>2084032270</v>
      </c>
      <c r="B82" s="14" t="s">
        <v>8343</v>
      </c>
      <c r="C82" s="14" t="s">
        <v>8498</v>
      </c>
      <c r="D82" s="5" t="str">
        <f ca="1">IFERROR(__xludf.DUMMYFUNCTION("GOOGLETRANSLATE(B82,""ja"",""vi"")"),"Mang")</f>
        <v>Mang</v>
      </c>
      <c r="E82" s="5" t="str">
        <f ca="1">IFERROR(__xludf.DUMMYFUNCTION("GOOGLETRANSLATE(C82,""ja"",""vi"")"),"Đấu giá&gt; thể thao, giải trí&gt; thể thao khác&gt; lướt&gt; Mang")</f>
        <v>Đấu giá&gt; thể thao, giải trí&gt; thể thao khác&gt; lướt&gt; Mang</v>
      </c>
      <c r="F82" t="str">
        <f t="shared" ca="1" si="1"/>
        <v>"2084032270" : "Mang",</v>
      </c>
    </row>
    <row r="83" spans="1:6" ht="15.75" customHeight="1">
      <c r="A83" s="14">
        <v>2084062194</v>
      </c>
      <c r="B83" s="14" t="s">
        <v>1685</v>
      </c>
      <c r="C83" s="14" t="s">
        <v>8499</v>
      </c>
      <c r="D83" s="5" t="str">
        <f ca="1">IFERROR(__xludf.DUMMYFUNCTION("GOOGLETRANSLATE(B83,""ja"",""vi"")"),"phụ kiện")</f>
        <v>phụ kiện</v>
      </c>
      <c r="E83" s="5" t="str">
        <f ca="1">IFERROR(__xludf.DUMMYFUNCTION("GOOGLETRANSLATE(C83,""ja"",""vi"")"),"Đấu giá&gt; thể thao, giải trí&gt; thể thao khác&gt; lướt&gt; Accessories")</f>
        <v>Đấu giá&gt; thể thao, giải trí&gt; thể thao khác&gt; lướt&gt; Accessories</v>
      </c>
      <c r="F83" t="str">
        <f t="shared" ca="1" si="1"/>
        <v>"2084062194" : "phụ kiện",</v>
      </c>
    </row>
    <row r="84" spans="1:6" ht="15.75" customHeight="1">
      <c r="A84" s="14">
        <v>2084032279</v>
      </c>
      <c r="B84" s="14" t="s">
        <v>7721</v>
      </c>
      <c r="C84" s="14" t="s">
        <v>8500</v>
      </c>
      <c r="D84" s="5" t="str">
        <f ca="1">IFERROR(__xludf.DUMMYFUNCTION("GOOGLETRANSLATE(B84,""ja"",""vi"")"),"video")</f>
        <v>video</v>
      </c>
      <c r="E84" s="5" t="str">
        <f ca="1">IFERROR(__xludf.DUMMYFUNCTION("GOOGLETRANSLATE(C84,""ja"",""vi"")"),"Đấu giá&gt; thể thao, giải trí&gt; thể thao khác&gt; lướt&gt; Video")</f>
        <v>Đấu giá&gt; thể thao, giải trí&gt; thể thao khác&gt; lướt&gt; Video</v>
      </c>
      <c r="F84" t="str">
        <f t="shared" ca="1" si="1"/>
        <v>"2084032279" : "video",</v>
      </c>
    </row>
    <row r="85" spans="1:6" ht="15.75" customHeight="1">
      <c r="A85" s="14">
        <v>2084032281</v>
      </c>
      <c r="B85" s="14" t="s">
        <v>8501</v>
      </c>
      <c r="C85" s="14" t="s">
        <v>8502</v>
      </c>
      <c r="D85" s="5" t="str">
        <f ca="1">IFERROR(__xludf.DUMMYFUNCTION("GOOGLETRANSLATE(B85,""ja"",""vi"")"),"Ban cơ thể")</f>
        <v>Ban cơ thể</v>
      </c>
      <c r="E85" s="5" t="str">
        <f ca="1">IFERROR(__xludf.DUMMYFUNCTION("GOOGLETRANSLATE(C85,""ja"",""vi"")"),"Đấu giá&gt; thể thao, giải trí&gt; thể thao khác&gt; lướt&gt; Ban cơ thể")</f>
        <v>Đấu giá&gt; thể thao, giải trí&gt; thể thao khác&gt; lướt&gt; Ban cơ thể</v>
      </c>
      <c r="F85" t="str">
        <f t="shared" ca="1" si="1"/>
        <v>"2084032281" : "Ban cơ thể",</v>
      </c>
    </row>
    <row r="86" spans="1:6" ht="15.75" customHeight="1">
      <c r="A86" s="14">
        <v>2084032275</v>
      </c>
      <c r="B86" s="14" t="s">
        <v>8505</v>
      </c>
      <c r="C86" s="14" t="s">
        <v>8506</v>
      </c>
      <c r="D86" s="5" t="str">
        <f ca="1">IFERROR(__xludf.DUMMYFUNCTION("GOOGLETRANSLATE(B86,""ja"",""vi"")"),"Lưu niệm, hàng hóa có liên quan")</f>
        <v>Lưu niệm, hàng hóa có liên quan</v>
      </c>
      <c r="E86" s="5" t="str">
        <f ca="1">IFERROR(__xludf.DUMMYFUNCTION("GOOGLETRANSLATE(C86,""ja"",""vi"")"),"Đấu giá&gt; thể thao, giải trí&gt; thể thao khác&gt; lướt&gt; lưu niệm, hàng hóa có liên quan")</f>
        <v>Đấu giá&gt; thể thao, giải trí&gt; thể thao khác&gt; lướt&gt; lưu niệm, hàng hóa có liên quan</v>
      </c>
      <c r="F86" t="str">
        <f t="shared" ca="1" si="1"/>
        <v>"2084032275" : "Lưu niệm, hàng hóa có liên quan",</v>
      </c>
    </row>
    <row r="87" spans="1:6" ht="15.75" customHeight="1">
      <c r="A87" s="14">
        <v>2084032286</v>
      </c>
      <c r="B87" s="14" t="s">
        <v>1586</v>
      </c>
      <c r="C87" s="14" t="s">
        <v>8508</v>
      </c>
      <c r="D87" s="5" t="str">
        <f ca="1">IFERROR(__xludf.DUMMYFUNCTION("GOOGLETRANSLATE(B87,""ja"",""vi"")"),"tạp chí")</f>
        <v>tạp chí</v>
      </c>
      <c r="E87" s="5" t="str">
        <f ca="1">IFERROR(__xludf.DUMMYFUNCTION("GOOGLETRANSLATE(C87,""ja"",""vi"")"),"Đấu giá&gt; thể thao, giải trí&gt; thể thao khác&gt; lướt&gt; Tạp chí")</f>
        <v>Đấu giá&gt; thể thao, giải trí&gt; thể thao khác&gt; lướt&gt; Tạp chí</v>
      </c>
      <c r="F87" t="str">
        <f t="shared" ca="1" si="1"/>
        <v>"2084032286" : "tạp chí",</v>
      </c>
    </row>
    <row r="88" spans="1:6" ht="15.75" customHeight="1">
      <c r="A88" s="14">
        <v>2084032289</v>
      </c>
      <c r="B88" s="14" t="s">
        <v>1632</v>
      </c>
      <c r="C88" s="14" t="s">
        <v>8511</v>
      </c>
      <c r="D88" s="5" t="str">
        <f ca="1">IFERROR(__xludf.DUMMYFUNCTION("GOOGLETRANSLATE(B88,""ja"",""vi"")"),"điều này")</f>
        <v>điều này</v>
      </c>
      <c r="E88" s="5" t="str">
        <f ca="1">IFERROR(__xludf.DUMMYFUNCTION("GOOGLETRANSLATE(C88,""ja"",""vi"")"),"Đấu giá&gt; thể thao, giải trí&gt; thể thao khác&gt; lướt&gt; Sách")</f>
        <v>Đấu giá&gt; thể thao, giải trí&gt; thể thao khác&gt; lướt&gt; Sách</v>
      </c>
      <c r="F88" t="str">
        <f t="shared" ca="1" si="1"/>
        <v>"2084032289" : "điều này",</v>
      </c>
    </row>
    <row r="89" spans="1:6" ht="15.75" customHeight="1">
      <c r="A89" s="14">
        <v>2084032280</v>
      </c>
      <c r="B89" s="14" t="s">
        <v>46</v>
      </c>
      <c r="C89" s="14" t="s">
        <v>8513</v>
      </c>
      <c r="D89" s="5" t="str">
        <f ca="1">IFERROR(__xludf.DUMMYFUNCTION("GOOGLETRANSLATE(B89,""ja"",""vi"")"),"nếu không thì")</f>
        <v>nếu không thì</v>
      </c>
      <c r="E89" s="5" t="str">
        <f ca="1">IFERROR(__xludf.DUMMYFUNCTION("GOOGLETRANSLATE(C89,""ja"",""vi"")"),"Đấu giá&gt; thể thao, giải trí&gt; thể thao khác&gt; lướt&gt; Khác")</f>
        <v>Đấu giá&gt; thể thao, giải trí&gt; thể thao khác&gt; lướt&gt; Khác</v>
      </c>
      <c r="F89" t="str">
        <f t="shared" ca="1" si="1"/>
        <v>"2084032280" : "nếu không thì",</v>
      </c>
    </row>
    <row r="90" spans="1:6" ht="15.75" customHeight="1">
      <c r="A90" s="14">
        <v>2084032283</v>
      </c>
      <c r="B90" s="14" t="s">
        <v>8343</v>
      </c>
      <c r="C90" s="14" t="s">
        <v>8516</v>
      </c>
      <c r="D90" s="5" t="str">
        <f ca="1">IFERROR(__xludf.DUMMYFUNCTION("GOOGLETRANSLATE(B90,""ja"",""vi"")"),"Mang")</f>
        <v>Mang</v>
      </c>
      <c r="E90" s="5" t="str">
        <f ca="1">IFERROR(__xludf.DUMMYFUNCTION("GOOGLETRANSLATE(C90,""ja"",""vi"")"),"Đấu giá&gt; thể thao, giải trí&gt; Bằng cách thể thao&gt; Bóng đá&gt; Mang")</f>
        <v>Đấu giá&gt; thể thao, giải trí&gt; Bằng cách thể thao&gt; Bóng đá&gt; Mang</v>
      </c>
      <c r="F90" t="str">
        <f t="shared" ca="1" si="1"/>
        <v>"2084032283" : "Mang",</v>
      </c>
    </row>
    <row r="91" spans="1:6" ht="15.75" customHeight="1">
      <c r="A91" s="14">
        <v>2084032299</v>
      </c>
      <c r="B91" s="14" t="s">
        <v>8518</v>
      </c>
      <c r="C91" s="14" t="s">
        <v>8520</v>
      </c>
      <c r="D91" s="5" t="str">
        <f ca="1">IFERROR(__xludf.DUMMYFUNCTION("GOOGLETRANSLATE(B91,""ja"",""vi"")"),"quả bóng")</f>
        <v>quả bóng</v>
      </c>
      <c r="E91" s="5" t="str">
        <f ca="1">IFERROR(__xludf.DUMMYFUNCTION("GOOGLETRANSLATE(C91,""ja"",""vi"")"),"Đấu giá&gt; thể thao, giải trí&gt; Bằng cách thể thao&gt; Bóng đá&gt; Bóng")</f>
        <v>Đấu giá&gt; thể thao, giải trí&gt; Bằng cách thể thao&gt; Bóng đá&gt; Bóng</v>
      </c>
      <c r="F91" t="str">
        <f t="shared" ca="1" si="1"/>
        <v>"2084032299" : "quả bóng",</v>
      </c>
    </row>
    <row r="92" spans="1:6" ht="15.75" customHeight="1">
      <c r="A92" s="14">
        <v>2084259451</v>
      </c>
      <c r="B92" s="14" t="s">
        <v>8521</v>
      </c>
      <c r="C92" s="14" t="s">
        <v>8523</v>
      </c>
      <c r="D92" s="5" t="str">
        <f ca="1">IFERROR(__xludf.DUMMYFUNCTION("GOOGLETRANSLATE(B92,""ja"",""vi"")"),"cổ vũ hàng")</f>
        <v>cổ vũ hàng</v>
      </c>
      <c r="E92" s="5" t="str">
        <f ca="1">IFERROR(__xludf.DUMMYFUNCTION("GOOGLETRANSLATE(C92,""ja"",""vi"")"),"Đấu giá&gt; thể thao, giải trí&gt; Bằng cách thể thao&gt; Bóng đá&gt; cổ vũ hàng")</f>
        <v>Đấu giá&gt; thể thao, giải trí&gt; Bằng cách thể thao&gt; Bóng đá&gt; cổ vũ hàng</v>
      </c>
      <c r="F92" t="str">
        <f t="shared" ca="1" si="1"/>
        <v>"2084259451" : "cổ vũ hàng",</v>
      </c>
    </row>
    <row r="93" spans="1:6" ht="15.75" customHeight="1">
      <c r="A93" s="14">
        <v>25410</v>
      </c>
      <c r="B93" s="14" t="s">
        <v>8505</v>
      </c>
      <c r="C93" s="14" t="s">
        <v>8525</v>
      </c>
      <c r="D93" s="5" t="str">
        <f ca="1">IFERROR(__xludf.DUMMYFUNCTION("GOOGLETRANSLATE(B93,""ja"",""vi"")"),"Lưu niệm, hàng hóa có liên quan")</f>
        <v>Lưu niệm, hàng hóa có liên quan</v>
      </c>
      <c r="E93" s="5" t="str">
        <f ca="1">IFERROR(__xludf.DUMMYFUNCTION("GOOGLETRANSLATE(C93,""ja"",""vi"")"),"Đấu giá&gt; thể thao, giải trí&gt; Bằng cách thể thao&gt; Bóng đá&gt; lưu niệm, hàng hóa có liên quan")</f>
        <v>Đấu giá&gt; thể thao, giải trí&gt; Bằng cách thể thao&gt; Bóng đá&gt; lưu niệm, hàng hóa có liên quan</v>
      </c>
      <c r="F93" t="str">
        <f t="shared" ca="1" si="1"/>
        <v>"25410" : "Lưu niệm, hàng hóa có liên quan",</v>
      </c>
    </row>
    <row r="94" spans="1:6" ht="15.75" customHeight="1">
      <c r="A94" s="14">
        <v>25456</v>
      </c>
      <c r="B94" s="14" t="s">
        <v>8526</v>
      </c>
      <c r="C94" s="14" t="s">
        <v>8528</v>
      </c>
      <c r="D94" s="5" t="str">
        <f ca="1">IFERROR(__xludf.DUMMYFUNCTION("GOOGLETRANSLATE(B94,""ja"",""vi"")"),"vé")</f>
        <v>vé</v>
      </c>
      <c r="E94" s="5" t="str">
        <f ca="1">IFERROR(__xludf.DUMMYFUNCTION("GOOGLETRANSLATE(C94,""ja"",""vi"")"),"Đấu giá&gt; thể thao, giải trí&gt; Bằng cách thể thao&gt; Bóng đá&gt; vé")</f>
        <v>Đấu giá&gt; thể thao, giải trí&gt; Bằng cách thể thao&gt; Bóng đá&gt; vé</v>
      </c>
      <c r="F94" t="str">
        <f t="shared" ca="1" si="1"/>
        <v>"25456" : "vé",</v>
      </c>
    </row>
    <row r="95" spans="1:6" ht="15.75" customHeight="1">
      <c r="A95" s="14">
        <v>2084046990</v>
      </c>
      <c r="B95" s="14" t="s">
        <v>7721</v>
      </c>
      <c r="C95" s="14" t="s">
        <v>8531</v>
      </c>
      <c r="D95" s="5" t="str">
        <f ca="1">IFERROR(__xludf.DUMMYFUNCTION("GOOGLETRANSLATE(B95,""ja"",""vi"")"),"video")</f>
        <v>video</v>
      </c>
      <c r="E95" s="5" t="str">
        <f ca="1">IFERROR(__xludf.DUMMYFUNCTION("GOOGLETRANSLATE(C95,""ja"",""vi"")"),"Đấu giá&gt; thể thao, giải trí&gt; Bằng cách thể thao&gt; Bóng đá&gt; Video")</f>
        <v>Đấu giá&gt; thể thao, giải trí&gt; Bằng cách thể thao&gt; Bóng đá&gt; Video</v>
      </c>
      <c r="F95" t="str">
        <f t="shared" ca="1" si="1"/>
        <v>"2084046990" : "video",</v>
      </c>
    </row>
    <row r="96" spans="1:6" ht="15.75" customHeight="1">
      <c r="A96" s="14">
        <v>2084008793</v>
      </c>
      <c r="B96" s="14" t="s">
        <v>1586</v>
      </c>
      <c r="C96" s="14" t="s">
        <v>8533</v>
      </c>
      <c r="D96" s="5" t="str">
        <f ca="1">IFERROR(__xludf.DUMMYFUNCTION("GOOGLETRANSLATE(B96,""ja"",""vi"")"),"tạp chí")</f>
        <v>tạp chí</v>
      </c>
      <c r="E96" s="5" t="str">
        <f ca="1">IFERROR(__xludf.DUMMYFUNCTION("GOOGLETRANSLATE(C96,""ja"",""vi"")"),"Đấu giá&gt; thể thao, giải trí&gt; Bằng cách thể thao&gt; Bóng đá&gt; Tạp chí")</f>
        <v>Đấu giá&gt; thể thao, giải trí&gt; Bằng cách thể thao&gt; Bóng đá&gt; Tạp chí</v>
      </c>
      <c r="F96" t="str">
        <f t="shared" ca="1" si="1"/>
        <v>"2084008793" : "tạp chí",</v>
      </c>
    </row>
    <row r="97" spans="1:6" ht="15.75" customHeight="1">
      <c r="A97" s="14">
        <v>2084008975</v>
      </c>
      <c r="B97" s="14" t="s">
        <v>1632</v>
      </c>
      <c r="C97" s="14" t="s">
        <v>8534</v>
      </c>
      <c r="D97" s="5" t="str">
        <f ca="1">IFERROR(__xludf.DUMMYFUNCTION("GOOGLETRANSLATE(B97,""ja"",""vi"")"),"điều này")</f>
        <v>điều này</v>
      </c>
      <c r="E97" s="5" t="str">
        <f ca="1">IFERROR(__xludf.DUMMYFUNCTION("GOOGLETRANSLATE(C97,""ja"",""vi"")"),"Đấu giá&gt; thể thao, giải trí&gt; Bằng cách thể thao&gt; Bóng đá&gt; Sách")</f>
        <v>Đấu giá&gt; thể thao, giải trí&gt; Bằng cách thể thao&gt; Bóng đá&gt; Sách</v>
      </c>
      <c r="F97" t="str">
        <f t="shared" ca="1" si="1"/>
        <v>"2084008975" : "điều này",</v>
      </c>
    </row>
    <row r="98" spans="1:6" ht="15.75" customHeight="1">
      <c r="A98" s="14">
        <v>25112</v>
      </c>
      <c r="B98" s="14" t="s">
        <v>8535</v>
      </c>
      <c r="C98" s="14" t="s">
        <v>8536</v>
      </c>
      <c r="D98" s="5" t="str">
        <f ca="1">IFERROR(__xludf.DUMMYFUNCTION("GOOGLETRANSLATE(B98,""ja"",""vi"")"),"Hội đồng quản trị")</f>
        <v>Hội đồng quản trị</v>
      </c>
      <c r="E98" s="5" t="str">
        <f ca="1">IFERROR(__xludf.DUMMYFUNCTION("GOOGLETRANSLATE(C98,""ja"",""vi"")"),"Đấu giá&gt; thể thao, giải trí&gt; thể thao khác&gt; trượt tuyết&gt; bảng")</f>
        <v>Đấu giá&gt; thể thao, giải trí&gt; thể thao khác&gt; trượt tuyết&gt; bảng</v>
      </c>
      <c r="F98" t="str">
        <f t="shared" ca="1" si="1"/>
        <v>"25112" : "Hội đồng quản trị",</v>
      </c>
    </row>
    <row r="99" spans="1:6" ht="15.75" customHeight="1">
      <c r="A99" s="14">
        <v>25108</v>
      </c>
      <c r="B99" s="14" t="s">
        <v>8537</v>
      </c>
      <c r="C99" s="14" t="s">
        <v>8539</v>
      </c>
      <c r="D99" s="5" t="str">
        <f ca="1">IFERROR(__xludf.DUMMYFUNCTION("GOOGLETRANSLATE(B99,""ja"",""vi"")"),"giày ống")</f>
        <v>giày ống</v>
      </c>
      <c r="E99" s="5" t="str">
        <f ca="1">IFERROR(__xludf.DUMMYFUNCTION("GOOGLETRANSLATE(C99,""ja"",""vi"")"),"Đấu giá&gt; thể thao, giải trí&gt; thể thao khác&gt; trượt tuyết&gt; khởi động")</f>
        <v>Đấu giá&gt; thể thao, giải trí&gt; thể thao khác&gt; trượt tuyết&gt; khởi động</v>
      </c>
      <c r="F99" t="str">
        <f t="shared" ca="1" si="1"/>
        <v>"25108" : "giày ống",</v>
      </c>
    </row>
    <row r="100" spans="1:6" ht="15.75" customHeight="1">
      <c r="A100" s="14">
        <v>2084048412</v>
      </c>
      <c r="B100" s="14" t="s">
        <v>8541</v>
      </c>
      <c r="C100" s="14" t="s">
        <v>8542</v>
      </c>
      <c r="D100" s="5" t="str">
        <f ca="1">IFERROR(__xludf.DUMMYFUNCTION("GOOGLETRANSLATE(B100,""ja"",""vi"")"),"Hội đồng quản trị, khởi động thiết")</f>
        <v>Hội đồng quản trị, khởi động thiết</v>
      </c>
      <c r="E100" s="5" t="str">
        <f ca="1">IFERROR(__xludf.DUMMYFUNCTION("GOOGLETRANSLATE(C100,""ja"",""vi"")"),"Đấu giá&gt; thể thao, giải trí&gt; thể thao khác&gt; trượt tuyết&gt; board, khởi động bộ")</f>
        <v>Đấu giá&gt; thể thao, giải trí&gt; thể thao khác&gt; trượt tuyết&gt; board, khởi động bộ</v>
      </c>
      <c r="F100" t="str">
        <f t="shared" ca="1" si="1"/>
        <v>"2084048412" : "Hội đồng quản trị, khởi động thiết",</v>
      </c>
    </row>
    <row r="101" spans="1:6" ht="15.75" customHeight="1">
      <c r="A101" s="14">
        <v>25106</v>
      </c>
      <c r="B101" s="14" t="s">
        <v>8543</v>
      </c>
      <c r="C101" s="14" t="s">
        <v>8545</v>
      </c>
      <c r="D101" s="5" t="str">
        <f ca="1">IFERROR(__xludf.DUMMYFUNCTION("GOOGLETRANSLATE(B101,""ja"",""vi"")"),"bắt buộc")</f>
        <v>bắt buộc</v>
      </c>
      <c r="E101" s="5" t="str">
        <f ca="1">IFERROR(__xludf.DUMMYFUNCTION("GOOGLETRANSLATE(C101,""ja"",""vi"")"),"Đấu giá&gt; thể thao, giải trí&gt; thể thao khác&gt; trượt tuyết&gt; ràng buộc")</f>
        <v>Đấu giá&gt; thể thao, giải trí&gt; thể thao khác&gt; trượt tuyết&gt; ràng buộc</v>
      </c>
      <c r="F101" t="str">
        <f t="shared" ca="1" si="1"/>
        <v>"25106" : "bắt buộc",</v>
      </c>
    </row>
    <row r="102" spans="1:6" ht="15.75" customHeight="1">
      <c r="A102" s="14">
        <v>25114</v>
      </c>
      <c r="B102" s="14" t="s">
        <v>8546</v>
      </c>
      <c r="C102" s="14" t="s">
        <v>8547</v>
      </c>
      <c r="D102" s="5" t="str">
        <f ca="1">IFERROR(__xludf.DUMMYFUNCTION("GOOGLETRANSLATE(B102,""ja"",""vi"")"),"cổ")</f>
        <v>cổ</v>
      </c>
      <c r="E102" s="5" t="str">
        <f ca="1">IFERROR(__xludf.DUMMYFUNCTION("GOOGLETRANSLATE(C102,""ja"",""vi"")"),"Đấu giá&gt; thể thao, giải trí&gt; thể thao khác&gt; trượt tuyết&gt; chứng khoán")</f>
        <v>Đấu giá&gt; thể thao, giải trí&gt; thể thao khác&gt; trượt tuyết&gt; chứng khoán</v>
      </c>
      <c r="F102" t="str">
        <f t="shared" ca="1" si="1"/>
        <v>"25114" : "cổ",</v>
      </c>
    </row>
    <row r="103" spans="1:6" ht="15.75" customHeight="1">
      <c r="A103" s="14">
        <v>25104</v>
      </c>
      <c r="B103" s="14" t="s">
        <v>1685</v>
      </c>
      <c r="C103" s="14" t="s">
        <v>8549</v>
      </c>
      <c r="D103" s="5" t="str">
        <f ca="1">IFERROR(__xludf.DUMMYFUNCTION("GOOGLETRANSLATE(B103,""ja"",""vi"")"),"phụ kiện")</f>
        <v>phụ kiện</v>
      </c>
      <c r="E103" s="5" t="str">
        <f ca="1">IFERROR(__xludf.DUMMYFUNCTION("GOOGLETRANSLATE(C103,""ja"",""vi"")"),"Đấu giá&gt; thể thao, giải trí&gt; thể thao khác&gt; trượt tuyết&gt; Accessories")</f>
        <v>Đấu giá&gt; thể thao, giải trí&gt; thể thao khác&gt; trượt tuyết&gt; Accessories</v>
      </c>
      <c r="F103" t="str">
        <f t="shared" ca="1" si="1"/>
        <v>"25104" : "phụ kiện",</v>
      </c>
    </row>
    <row r="104" spans="1:6" ht="15.75" customHeight="1">
      <c r="A104" s="14">
        <v>25110</v>
      </c>
      <c r="B104" s="14" t="s">
        <v>8343</v>
      </c>
      <c r="C104" s="14" t="s">
        <v>8551</v>
      </c>
      <c r="D104" s="5" t="str">
        <f ca="1">IFERROR(__xludf.DUMMYFUNCTION("GOOGLETRANSLATE(B104,""ja"",""vi"")"),"Mang")</f>
        <v>Mang</v>
      </c>
      <c r="E104" s="5" t="str">
        <f ca="1">IFERROR(__xludf.DUMMYFUNCTION("GOOGLETRANSLATE(C104,""ja"",""vi"")"),"Đấu giá&gt; thể thao, giải trí&gt; thể thao khác&gt; trượt tuyết&gt; Mang")</f>
        <v>Đấu giá&gt; thể thao, giải trí&gt; thể thao khác&gt; trượt tuyết&gt; Mang</v>
      </c>
      <c r="F104" t="str">
        <f t="shared" ca="1" si="1"/>
        <v>"25110" : "Mang",</v>
      </c>
    </row>
    <row r="105" spans="1:6" ht="15.75" customHeight="1">
      <c r="A105" s="14">
        <v>25136</v>
      </c>
      <c r="B105" s="14" t="s">
        <v>8552</v>
      </c>
      <c r="C105" s="14" t="s">
        <v>8554</v>
      </c>
      <c r="D105" s="5" t="str">
        <f ca="1">IFERROR(__xludf.DUMMYFUNCTION("GOOGLETRANSLATE(B105,""ja"",""vi"")"),"Xuyên quốc gia, Telemark")</f>
        <v>Xuyên quốc gia, Telemark</v>
      </c>
      <c r="E105" s="5" t="str">
        <f ca="1">IFERROR(__xludf.DUMMYFUNCTION("GOOGLETRANSLATE(C105,""ja"",""vi"")"),"Đấu giá&gt; thể thao, giải trí&gt; thể thao khác&gt; trượt tuyết&gt; xuyên quốc gia, Telemark")</f>
        <v>Đấu giá&gt; thể thao, giải trí&gt; thể thao khác&gt; trượt tuyết&gt; xuyên quốc gia, Telemark</v>
      </c>
      <c r="F105" t="str">
        <f t="shared" ca="1" si="1"/>
        <v>"25136" : "Xuyên quốc gia, Telemark",</v>
      </c>
    </row>
    <row r="106" spans="1:6" ht="15.75" customHeight="1">
      <c r="A106" s="14">
        <v>2084047003</v>
      </c>
      <c r="B106" s="14" t="s">
        <v>7721</v>
      </c>
      <c r="C106" s="14" t="s">
        <v>8556</v>
      </c>
      <c r="D106" s="5" t="str">
        <f ca="1">IFERROR(__xludf.DUMMYFUNCTION("GOOGLETRANSLATE(B106,""ja"",""vi"")"),"video")</f>
        <v>video</v>
      </c>
      <c r="E106" s="5" t="str">
        <f ca="1">IFERROR(__xludf.DUMMYFUNCTION("GOOGLETRANSLATE(C106,""ja"",""vi"")"),"Đấu giá&gt; thể thao, giải trí&gt; thể thao khác&gt; trượt tuyết&gt; Video")</f>
        <v>Đấu giá&gt; thể thao, giải trí&gt; thể thao khác&gt; trượt tuyết&gt; Video</v>
      </c>
      <c r="F106" t="str">
        <f t="shared" ca="1" si="1"/>
        <v>"2084047003" : "video",</v>
      </c>
    </row>
    <row r="107" spans="1:6" ht="15.75" customHeight="1">
      <c r="A107" s="14">
        <v>2084307813</v>
      </c>
      <c r="B107" s="14" t="s">
        <v>8558</v>
      </c>
      <c r="C107" s="14" t="s">
        <v>8559</v>
      </c>
      <c r="D107" s="5" t="str">
        <f ca="1">IFERROR(__xludf.DUMMYFUNCTION("GOOGLETRANSLATE(B107,""ja"",""vi"")"),"bảo dưỡng trượt tuyết")</f>
        <v>bảo dưỡng trượt tuyết</v>
      </c>
      <c r="E107" s="5" t="str">
        <f ca="1">IFERROR(__xludf.DUMMYFUNCTION("GOOGLETRANSLATE(C107,""ja"",""vi"")"),"Đấu giá&gt; thể thao, giải trí&gt; thể thao khác&gt; trượt tuyết&gt; bảo dưỡng trượt tuyết")</f>
        <v>Đấu giá&gt; thể thao, giải trí&gt; thể thao khác&gt; trượt tuyết&gt; bảo dưỡng trượt tuyết</v>
      </c>
      <c r="F107" t="str">
        <f t="shared" ca="1" si="1"/>
        <v>"2084307813" : "bảo dưỡng trượt tuyết",</v>
      </c>
    </row>
    <row r="108" spans="1:6" ht="15.75" customHeight="1">
      <c r="A108" s="14">
        <v>2084307767</v>
      </c>
      <c r="B108" s="14" t="s">
        <v>8560</v>
      </c>
      <c r="C108" s="14" t="s">
        <v>8561</v>
      </c>
      <c r="D108" s="5" t="str">
        <f ca="1">IFERROR(__xludf.DUMMYFUNCTION("GOOGLETRANSLATE(B108,""ja"",""vi"")"),"cho thuê đồ trượt tuyết")</f>
        <v>cho thuê đồ trượt tuyết</v>
      </c>
      <c r="E108" s="5" t="str">
        <f ca="1">IFERROR(__xludf.DUMMYFUNCTION("GOOGLETRANSLATE(C108,""ja"",""vi"")"),"Đấu giá&gt; thể thao, giải trí&gt; thể thao khác&gt; trượt tuyết&gt; cho thuê đồ trượt tuyết")</f>
        <v>Đấu giá&gt; thể thao, giải trí&gt; thể thao khác&gt; trượt tuyết&gt; cho thuê đồ trượt tuyết</v>
      </c>
      <c r="F108" t="str">
        <f t="shared" ca="1" si="1"/>
        <v>"2084307767" : "cho thuê đồ trượt tuyết",</v>
      </c>
    </row>
    <row r="109" spans="1:6" ht="15.75" customHeight="1">
      <c r="A109" s="14">
        <v>25116</v>
      </c>
      <c r="B109" s="14" t="s">
        <v>46</v>
      </c>
      <c r="C109" s="14" t="s">
        <v>8562</v>
      </c>
      <c r="D109" s="5" t="str">
        <f ca="1">IFERROR(__xludf.DUMMYFUNCTION("GOOGLETRANSLATE(B109,""ja"",""vi"")"),"nếu không thì")</f>
        <v>nếu không thì</v>
      </c>
      <c r="E109" s="5" t="str">
        <f ca="1">IFERROR(__xludf.DUMMYFUNCTION("GOOGLETRANSLATE(C109,""ja"",""vi"")"),"Đấu giá&gt; thể thao, giải trí&gt; thể thao khác&gt; trượt tuyết&gt; Khác")</f>
        <v>Đấu giá&gt; thể thao, giải trí&gt; thể thao khác&gt; trượt tuyết&gt; Khác</v>
      </c>
      <c r="F109" t="str">
        <f t="shared" ca="1" si="1"/>
        <v>"25116" : "nếu không thì",</v>
      </c>
    </row>
    <row r="110" spans="1:6" ht="15.75" customHeight="1">
      <c r="A110" s="14">
        <v>2084062226</v>
      </c>
      <c r="B110" s="14" t="s">
        <v>8563</v>
      </c>
      <c r="C110" s="14" t="s">
        <v>8564</v>
      </c>
      <c r="D110" s="5" t="str">
        <f ca="1">IFERROR(__xludf.DUMMYFUNCTION("GOOGLETRANSLATE(B110,""ja"",""vi"")"),"Thiết bị ánh sáng")</f>
        <v>Thiết bị ánh sáng</v>
      </c>
      <c r="E110" s="5" t="str">
        <f ca="1">IFERROR(__xludf.DUMMYFUNCTION("GOOGLETRANSLATE(C110,""ja"",""vi"")"),"Đấu giá&gt; thể thao, giải trí&gt; thể thao khác&gt; scuba diving&gt; Thiết bị ánh sáng")</f>
        <v>Đấu giá&gt; thể thao, giải trí&gt; thể thao khác&gt; scuba diving&gt; Thiết bị ánh sáng</v>
      </c>
      <c r="F110" t="str">
        <f t="shared" ca="1" si="1"/>
        <v>"2084062226" : "Thiết bị ánh sáng",</v>
      </c>
    </row>
    <row r="111" spans="1:6" ht="15.75" customHeight="1">
      <c r="A111" s="14">
        <v>2084062227</v>
      </c>
      <c r="B111" s="14" t="s">
        <v>8565</v>
      </c>
      <c r="C111" s="14" t="s">
        <v>8566</v>
      </c>
      <c r="D111" s="5" t="str">
        <f ca="1">IFERROR(__xludf.DUMMYFUNCTION("GOOGLETRANSLATE(B111,""ja"",""vi"")"),"Thiết bị nặng")</f>
        <v>Thiết bị nặng</v>
      </c>
      <c r="E111" s="5" t="str">
        <f ca="1">IFERROR(__xludf.DUMMYFUNCTION("GOOGLETRANSLATE(C111,""ja"",""vi"")"),"Đấu giá&gt; thể thao, giải trí&gt; thể thao khác&gt; scuba diving&gt; Thiết bị nặng")</f>
        <v>Đấu giá&gt; thể thao, giải trí&gt; thể thao khác&gt; scuba diving&gt; Thiết bị nặng</v>
      </c>
      <c r="F111" t="str">
        <f t="shared" ca="1" si="1"/>
        <v>"2084062227" : "Thiết bị nặng",</v>
      </c>
    </row>
    <row r="112" spans="1:6" ht="15.75" customHeight="1">
      <c r="A112" s="14">
        <v>25312</v>
      </c>
      <c r="B112" s="14" t="s">
        <v>8567</v>
      </c>
      <c r="C112" s="14" t="s">
        <v>8568</v>
      </c>
      <c r="D112" s="5" t="str">
        <f ca="1">IFERROR(__xludf.DUMMYFUNCTION("GOOGLETRANSLATE(B112,""ja"",""vi"")"),"ướt phù hợp")</f>
        <v>ướt phù hợp</v>
      </c>
      <c r="E112" s="5" t="str">
        <f ca="1">IFERROR(__xludf.DUMMYFUNCTION("GOOGLETRANSLATE(C112,""ja"",""vi"")"),"Đấu giá&gt; thể thao, giải trí&gt; thể thao khác&gt; scuba diving&gt; phù hợp ướt")</f>
        <v>Đấu giá&gt; thể thao, giải trí&gt; thể thao khác&gt; scuba diving&gt; phù hợp ướt</v>
      </c>
      <c r="F112" t="str">
        <f t="shared" ca="1" si="1"/>
        <v>"25312" : "ướt phù hợp",</v>
      </c>
    </row>
    <row r="113" spans="1:6" ht="15.75" customHeight="1">
      <c r="A113" s="14">
        <v>25314</v>
      </c>
      <c r="B113" s="14" t="s">
        <v>8569</v>
      </c>
      <c r="C113" s="14" t="s">
        <v>8570</v>
      </c>
      <c r="D113" s="5" t="str">
        <f ca="1">IFERROR(__xludf.DUMMYFUNCTION("GOOGLETRANSLATE(B113,""ja"",""vi"")"),"phù hợp với khô")</f>
        <v>phù hợp với khô</v>
      </c>
      <c r="E113" s="5" t="str">
        <f ca="1">IFERROR(__xludf.DUMMYFUNCTION("GOOGLETRANSLATE(C113,""ja"",""vi"")"),"Đấu giá&gt; thể thao, giải trí&gt; thể thao khác&gt; scuba diving&gt; phù hợp với khô")</f>
        <v>Đấu giá&gt; thể thao, giải trí&gt; thể thao khác&gt; scuba diving&gt; phù hợp với khô</v>
      </c>
      <c r="F113" t="str">
        <f t="shared" ca="1" si="1"/>
        <v>"25314" : "phù hợp với khô",</v>
      </c>
    </row>
    <row r="114" spans="1:6" ht="15.75" customHeight="1">
      <c r="A114" s="14">
        <v>25296</v>
      </c>
      <c r="B114" s="14" t="s">
        <v>1685</v>
      </c>
      <c r="C114" s="14" t="s">
        <v>8571</v>
      </c>
      <c r="D114" s="5" t="str">
        <f ca="1">IFERROR(__xludf.DUMMYFUNCTION("GOOGLETRANSLATE(B114,""ja"",""vi"")"),"phụ kiện")</f>
        <v>phụ kiện</v>
      </c>
      <c r="E114" s="5" t="str">
        <f ca="1">IFERROR(__xludf.DUMMYFUNCTION("GOOGLETRANSLATE(C114,""ja"",""vi"")"),"Đấu giá&gt; thể thao, giải trí&gt; thể thao khác&gt; lặn biển&gt; Phụ kiện")</f>
        <v>Đấu giá&gt; thể thao, giải trí&gt; thể thao khác&gt; lặn biển&gt; Phụ kiện</v>
      </c>
      <c r="F114" t="str">
        <f t="shared" ca="1" si="1"/>
        <v>"25296" : "phụ kiện",</v>
      </c>
    </row>
    <row r="115" spans="1:6" ht="15.75" customHeight="1">
      <c r="A115" s="14">
        <v>25316</v>
      </c>
      <c r="B115" s="14" t="s">
        <v>46</v>
      </c>
      <c r="C115" s="14" t="s">
        <v>8572</v>
      </c>
      <c r="D115" s="5" t="str">
        <f ca="1">IFERROR(__xludf.DUMMYFUNCTION("GOOGLETRANSLATE(B115,""ja"",""vi"")"),"nếu không thì")</f>
        <v>nếu không thì</v>
      </c>
      <c r="E115" s="5" t="str">
        <f ca="1">IFERROR(__xludf.DUMMYFUNCTION("GOOGLETRANSLATE(C115,""ja"",""vi"")"),"Đấu giá&gt; thể thao, giải trí&gt; thể thao khác&gt; scuba diving&gt; Khác")</f>
        <v>Đấu giá&gt; thể thao, giải trí&gt; thể thao khác&gt; scuba diving&gt; Khác</v>
      </c>
      <c r="F115" t="str">
        <f t="shared" ca="1" si="1"/>
        <v>"25316" : "nếu không thì",</v>
      </c>
    </row>
    <row r="116" spans="1:6" ht="15.75" customHeight="1">
      <c r="A116" s="14">
        <v>25320</v>
      </c>
      <c r="B116" s="14" t="s">
        <v>1685</v>
      </c>
      <c r="C116" s="14" t="s">
        <v>8573</v>
      </c>
      <c r="D116" s="5" t="str">
        <f ca="1">IFERROR(__xludf.DUMMYFUNCTION("GOOGLETRANSLATE(B116,""ja"",""vi"")"),"phụ kiện")</f>
        <v>phụ kiện</v>
      </c>
      <c r="E116" s="5" t="str">
        <f ca="1">IFERROR(__xludf.DUMMYFUNCTION("GOOGLETRANSLATE(C116,""ja"",""vi"")"),"Đấu giá&gt; thể thao, giải trí&gt; thể thao khác&gt; skateboard&gt; Accessories")</f>
        <v>Đấu giá&gt; thể thao, giải trí&gt; thể thao khác&gt; skateboard&gt; Accessories</v>
      </c>
      <c r="F116" t="str">
        <f t="shared" ca="1" si="1"/>
        <v>"25320" : "phụ kiện",</v>
      </c>
    </row>
    <row r="117" spans="1:6" ht="15.75" customHeight="1">
      <c r="A117" s="14">
        <v>25328</v>
      </c>
      <c r="B117" s="14" t="s">
        <v>8356</v>
      </c>
      <c r="C117" s="14" t="s">
        <v>8574</v>
      </c>
      <c r="D117" s="5" t="str">
        <f ca="1">IFERROR(__xludf.DUMMYFUNCTION("GOOGLETRANSLATE(B117,""ja"",""vi"")"),"bánh xe")</f>
        <v>bánh xe</v>
      </c>
      <c r="E117" s="5" t="str">
        <f ca="1">IFERROR(__xludf.DUMMYFUNCTION("GOOGLETRANSLATE(C117,""ja"",""vi"")"),"Đấu giá&gt; thể thao, giải trí&gt; thể thao khác&gt; skateboard&gt; Wheel")</f>
        <v>Đấu giá&gt; thể thao, giải trí&gt; thể thao khác&gt; skateboard&gt; Wheel</v>
      </c>
      <c r="F117" t="str">
        <f t="shared" ca="1" si="1"/>
        <v>"25328" : "bánh xe",</v>
      </c>
    </row>
    <row r="118" spans="1:6" ht="15.75" customHeight="1">
      <c r="A118" s="14">
        <v>2084047203</v>
      </c>
      <c r="B118" s="14" t="s">
        <v>8343</v>
      </c>
      <c r="C118" s="14" t="s">
        <v>8575</v>
      </c>
      <c r="D118" s="5" t="str">
        <f ca="1">IFERROR(__xludf.DUMMYFUNCTION("GOOGLETRANSLATE(B118,""ja"",""vi"")"),"Mang")</f>
        <v>Mang</v>
      </c>
      <c r="E118" s="5" t="str">
        <f ca="1">IFERROR(__xludf.DUMMYFUNCTION("GOOGLETRANSLATE(C118,""ja"",""vi"")"),"Đấu giá&gt; thể thao, giải trí&gt; thể thao khác&gt; skateboard&gt; Mang")</f>
        <v>Đấu giá&gt; thể thao, giải trí&gt; thể thao khác&gt; skateboard&gt; Mang</v>
      </c>
      <c r="F118" t="str">
        <f t="shared" ca="1" si="1"/>
        <v>"2084047203" : "Mang",</v>
      </c>
    </row>
    <row r="119" spans="1:6" ht="15.75" customHeight="1">
      <c r="A119" s="14">
        <v>2084047204</v>
      </c>
      <c r="B119" s="14" t="s">
        <v>8576</v>
      </c>
      <c r="C119" s="14" t="s">
        <v>8577</v>
      </c>
      <c r="D119" s="5" t="str">
        <f ca="1">IFERROR(__xludf.DUMMYFUNCTION("GOOGLETRANSLATE(B119,""ja"",""vi"")"),"đôi giày")</f>
        <v>đôi giày</v>
      </c>
      <c r="E119" s="5" t="str">
        <f ca="1">IFERROR(__xludf.DUMMYFUNCTION("GOOGLETRANSLATE(C119,""ja"",""vi"")"),"Đấu giá&gt; thể thao, giải trí&gt; thể thao khác&gt; skateboard&gt; giày")</f>
        <v>Đấu giá&gt; thể thao, giải trí&gt; thể thao khác&gt; skateboard&gt; giày</v>
      </c>
      <c r="F119" t="str">
        <f t="shared" ca="1" si="1"/>
        <v>"2084047204" : "đôi giày",</v>
      </c>
    </row>
    <row r="120" spans="1:6" ht="15.75" customHeight="1">
      <c r="A120" s="14">
        <v>25326</v>
      </c>
      <c r="B120" s="14" t="s">
        <v>7697</v>
      </c>
      <c r="C120" s="14" t="s">
        <v>8578</v>
      </c>
      <c r="D120" s="5" t="str">
        <f ca="1">IFERROR(__xludf.DUMMYFUNCTION("GOOGLETRANSLATE(B120,""ja"",""vi"")"),"keo")</f>
        <v>keo</v>
      </c>
      <c r="E120" s="5" t="str">
        <f ca="1">IFERROR(__xludf.DUMMYFUNCTION("GOOGLETRANSLATE(C120,""ja"",""vi"")"),"Đấu giá&gt; thể thao, giải trí&gt; thể thao khác&gt; skateboard&gt; sticker")</f>
        <v>Đấu giá&gt; thể thao, giải trí&gt; thể thao khác&gt; skateboard&gt; sticker</v>
      </c>
      <c r="F120" t="str">
        <f t="shared" ca="1" si="1"/>
        <v>"25326" : "keo",</v>
      </c>
    </row>
    <row r="121" spans="1:6" ht="15.75" customHeight="1">
      <c r="A121" s="14">
        <v>25330</v>
      </c>
      <c r="B121" s="14" t="s">
        <v>8579</v>
      </c>
      <c r="C121" s="14" t="s">
        <v>8580</v>
      </c>
      <c r="D121" s="5" t="str">
        <f ca="1">IFERROR(__xludf.DUMMYFUNCTION("GOOGLETRANSLATE(B121,""ja"",""vi"")"),"sàn tàu")</f>
        <v>sàn tàu</v>
      </c>
      <c r="E121" s="5" t="str">
        <f ca="1">IFERROR(__xludf.DUMMYFUNCTION("GOOGLETRANSLATE(C121,""ja"",""vi"")"),"Đấu giá&gt; thể thao, giải trí&gt; thể thao khác&gt; skateboard&gt; boong")</f>
        <v>Đấu giá&gt; thể thao, giải trí&gt; thể thao khác&gt; skateboard&gt; boong</v>
      </c>
      <c r="F121" t="str">
        <f t="shared" ca="1" si="1"/>
        <v>"25330" : "sàn tàu",</v>
      </c>
    </row>
    <row r="122" spans="1:6" ht="15.75" customHeight="1">
      <c r="A122" s="14">
        <v>25324</v>
      </c>
      <c r="B122" s="14" t="s">
        <v>8581</v>
      </c>
      <c r="C122" s="14" t="s">
        <v>8582</v>
      </c>
      <c r="D122" s="5" t="str">
        <f ca="1">IFERROR(__xludf.DUMMYFUNCTION("GOOGLETRANSLATE(B122,""ja"",""vi"")"),"đường ray")</f>
        <v>đường ray</v>
      </c>
      <c r="E122" s="5" t="str">
        <f ca="1">IFERROR(__xludf.DUMMYFUNCTION("GOOGLETRANSLATE(C122,""ja"",""vi"")"),"Đấu giá&gt; thể thao, giải trí&gt; thể thao khác&gt; skateboard&gt; Xe tải")</f>
        <v>Đấu giá&gt; thể thao, giải trí&gt; thể thao khác&gt; skateboard&gt; Xe tải</v>
      </c>
      <c r="F122" t="str">
        <f t="shared" ca="1" si="1"/>
        <v>"25324" : "đường ray",</v>
      </c>
    </row>
    <row r="123" spans="1:6" ht="15.75" customHeight="1">
      <c r="A123" s="14">
        <v>2084047572</v>
      </c>
      <c r="B123" s="14" t="s">
        <v>8583</v>
      </c>
      <c r="C123" s="14" t="s">
        <v>8584</v>
      </c>
      <c r="D123" s="5" t="str">
        <f ca="1">IFERROR(__xludf.DUMMYFUNCTION("GOOGLETRANSLATE(B123,""ja"",""vi"")"),"ảnh hưởng")</f>
        <v>ảnh hưởng</v>
      </c>
      <c r="E123" s="5" t="str">
        <f ca="1">IFERROR(__xludf.DUMMYFUNCTION("GOOGLETRANSLATE(C123,""ja"",""vi"")"),"Đấu giá&gt; thể thao, giải trí&gt; thể thao khác&gt; skateboard&gt; ổ trục")</f>
        <v>Đấu giá&gt; thể thao, giải trí&gt; thể thao khác&gt; skateboard&gt; ổ trục</v>
      </c>
      <c r="F123" t="str">
        <f t="shared" ca="1" si="1"/>
        <v>"2084047572" : "ảnh hưởng",</v>
      </c>
    </row>
    <row r="124" spans="1:6" ht="15.75" customHeight="1">
      <c r="A124" s="14">
        <v>25322</v>
      </c>
      <c r="B124" s="14" t="s">
        <v>8585</v>
      </c>
      <c r="C124" s="14" t="s">
        <v>8586</v>
      </c>
      <c r="D124" s="5" t="str">
        <f ca="1">IFERROR(__xludf.DUMMYFUNCTION("GOOGLETRANSLATE(B124,""ja"",""vi"")"),"Thành phẩm, Complete Set")</f>
        <v>Thành phẩm, Complete Set</v>
      </c>
      <c r="E124" s="5" t="str">
        <f ca="1">IFERROR(__xludf.DUMMYFUNCTION("GOOGLETRANSLATE(C124,""ja"",""vi"")"),"Đấu giá&gt; thể thao, giải trí&gt; thể thao khác&gt; skateboard&gt; sản phẩm hoàn chỉnh, đầy đủ bộ")</f>
        <v>Đấu giá&gt; thể thao, giải trí&gt; thể thao khác&gt; skateboard&gt; sản phẩm hoàn chỉnh, đầy đủ bộ</v>
      </c>
      <c r="F124" t="str">
        <f t="shared" ca="1" si="1"/>
        <v>"25322" : "Thành phẩm, Complete Set",</v>
      </c>
    </row>
    <row r="125" spans="1:6" ht="15.75" customHeight="1">
      <c r="A125" s="14">
        <v>25332</v>
      </c>
      <c r="B125" s="14" t="s">
        <v>46</v>
      </c>
      <c r="C125" s="14" t="s">
        <v>8587</v>
      </c>
      <c r="D125" s="5" t="str">
        <f ca="1">IFERROR(__xludf.DUMMYFUNCTION("GOOGLETRANSLATE(B125,""ja"",""vi"")"),"nếu không thì")</f>
        <v>nếu không thì</v>
      </c>
      <c r="E125" s="5" t="str">
        <f ca="1">IFERROR(__xludf.DUMMYFUNCTION("GOOGLETRANSLATE(C125,""ja"",""vi"")"),"Đấu giá&gt; thể thao, giải trí&gt; thể thao khác&gt; skateboard&gt; Khác")</f>
        <v>Đấu giá&gt; thể thao, giải trí&gt; thể thao khác&gt; skateboard&gt; Khác</v>
      </c>
      <c r="F125" t="str">
        <f t="shared" ca="1" si="1"/>
        <v>"25332" : "nếu không thì",</v>
      </c>
    </row>
    <row r="126" spans="1:6" ht="15.75" customHeight="1">
      <c r="A126" s="14">
        <v>25128</v>
      </c>
      <c r="B126" s="14" t="s">
        <v>8059</v>
      </c>
      <c r="C126" s="14" t="s">
        <v>8588</v>
      </c>
      <c r="D126" s="5" t="str">
        <f ca="1">IFERROR(__xludf.DUMMYFUNCTION("GOOGLETRANSLATE(B126,""ja"",""vi"")"),"Hội đồng quản trị")</f>
        <v>Hội đồng quản trị</v>
      </c>
      <c r="E126" s="5" t="str">
        <f ca="1">IFERROR(__xludf.DUMMYFUNCTION("GOOGLETRANSLATE(C126,""ja"",""vi"")"),"Đấu giá&gt; thể thao, giải trí&gt; thể thao khác&gt; snowboard&gt; bảng")</f>
        <v>Đấu giá&gt; thể thao, giải trí&gt; thể thao khác&gt; snowboard&gt; bảng</v>
      </c>
      <c r="F126" t="str">
        <f t="shared" ca="1" si="1"/>
        <v>"25128" : "Hội đồng quản trị",</v>
      </c>
    </row>
    <row r="127" spans="1:6" ht="15.75" customHeight="1">
      <c r="A127" s="14">
        <v>25122</v>
      </c>
      <c r="B127" s="14" t="s">
        <v>8589</v>
      </c>
      <c r="C127" s="14" t="s">
        <v>8590</v>
      </c>
      <c r="D127" s="5" t="str">
        <f ca="1">IFERROR(__xludf.DUMMYFUNCTION("GOOGLETRANSLATE(B127,""ja"",""vi"")"),"bắt buộc")</f>
        <v>bắt buộc</v>
      </c>
      <c r="E127" s="5" t="str">
        <f ca="1">IFERROR(__xludf.DUMMYFUNCTION("GOOGLETRANSLATE(C127,""ja"",""vi"")"),"Đấu giá&gt; thể thao, giải trí&gt; thể thao khác&gt; snowboard&gt; ràng buộc")</f>
        <v>Đấu giá&gt; thể thao, giải trí&gt; thể thao khác&gt; snowboard&gt; ràng buộc</v>
      </c>
      <c r="F127" t="str">
        <f t="shared" ca="1" si="1"/>
        <v>"25122" : "bắt buộc",</v>
      </c>
    </row>
    <row r="128" spans="1:6" ht="15.75" customHeight="1">
      <c r="A128" s="14">
        <v>25124</v>
      </c>
      <c r="B128" s="14" t="s">
        <v>8537</v>
      </c>
      <c r="C128" s="14" t="s">
        <v>8591</v>
      </c>
      <c r="D128" s="5" t="str">
        <f ca="1">IFERROR(__xludf.DUMMYFUNCTION("GOOGLETRANSLATE(B128,""ja"",""vi"")"),"giày ống")</f>
        <v>giày ống</v>
      </c>
      <c r="E128" s="5" t="str">
        <f ca="1">IFERROR(__xludf.DUMMYFUNCTION("GOOGLETRANSLATE(C128,""ja"",""vi"")"),"Đấu giá&gt; thể thao, giải trí&gt; thể thao khác&gt; snowboard&gt; khởi động")</f>
        <v>Đấu giá&gt; thể thao, giải trí&gt; thể thao khác&gt; snowboard&gt; khởi động</v>
      </c>
      <c r="F128" t="str">
        <f t="shared" ca="1" si="1"/>
        <v>"25124" : "giày ống",</v>
      </c>
    </row>
    <row r="129" spans="1:6" ht="15.75" customHeight="1">
      <c r="A129" s="14">
        <v>2084006858</v>
      </c>
      <c r="B129" s="14" t="s">
        <v>8592</v>
      </c>
      <c r="C129" s="14" t="s">
        <v>8593</v>
      </c>
      <c r="D129" s="5" t="str">
        <f ca="1">IFERROR(__xludf.DUMMYFUNCTION("GOOGLETRANSLATE(B129,""ja"",""vi"")"),"Mặc, thiết bị (đối với nam)")</f>
        <v>Mặc, thiết bị (đối với nam)</v>
      </c>
      <c r="E129" s="5" t="str">
        <f ca="1">IFERROR(__xludf.DUMMYFUNCTION("GOOGLETRANSLATE(C129,""ja"",""vi"")"),"Đấu giá&gt; thể thao, giải trí&gt; thể thao khác&gt; snowboard&gt; mặc, thiết bị (đối với nam)")</f>
        <v>Đấu giá&gt; thể thao, giải trí&gt; thể thao khác&gt; snowboard&gt; mặc, thiết bị (đối với nam)</v>
      </c>
      <c r="F129" t="str">
        <f t="shared" ca="1" si="1"/>
        <v>"2084006858" : "Mặc, thiết bị (đối với nam)",</v>
      </c>
    </row>
    <row r="130" spans="1:6" ht="15.75" customHeight="1">
      <c r="A130" s="14">
        <v>2084006859</v>
      </c>
      <c r="B130" s="14" t="s">
        <v>8594</v>
      </c>
      <c r="C130" s="14" t="s">
        <v>8595</v>
      </c>
      <c r="D130" s="5" t="str">
        <f ca="1">IFERROR(__xludf.DUMMYFUNCTION("GOOGLETRANSLATE(B130,""ja"",""vi"")"),"Mặc, thiết bị (đối với nữ)")</f>
        <v>Mặc, thiết bị (đối với nữ)</v>
      </c>
      <c r="E130" s="5" t="str">
        <f ca="1">IFERROR(__xludf.DUMMYFUNCTION("GOOGLETRANSLATE(C130,""ja"",""vi"")"),"Đấu giá&gt; thể thao, giải trí&gt; thể thao khác&gt; snowboard&gt; mặc, thiết bị (đối với nữ)")</f>
        <v>Đấu giá&gt; thể thao, giải trí&gt; thể thao khác&gt; snowboard&gt; mặc, thiết bị (đối với nữ)</v>
      </c>
      <c r="F130" t="str">
        <f t="shared" ref="F130:F193" ca="1" si="2">CONCATENATE(CHAR(34)&amp;"",A130,""&amp;CHAR(34)," : ", CHAR(34)&amp;"",D130,""&amp;CHAR(34),",")</f>
        <v>"2084006859" : "Mặc, thiết bị (đối với nữ)",</v>
      </c>
    </row>
    <row r="131" spans="1:6" ht="15.75" customHeight="1">
      <c r="A131" s="14">
        <v>2084064485</v>
      </c>
      <c r="B131" s="14" t="s">
        <v>8596</v>
      </c>
      <c r="C131" s="14" t="s">
        <v>8597</v>
      </c>
      <c r="D131" s="5" t="str">
        <f ca="1">IFERROR(__xludf.DUMMYFUNCTION("GOOGLETRANSLATE(B131,""ja"",""vi"")"),"Mặc, thiết bị (cho trẻ em)")</f>
        <v>Mặc, thiết bị (cho trẻ em)</v>
      </c>
      <c r="E131" s="5" t="str">
        <f ca="1">IFERROR(__xludf.DUMMYFUNCTION("GOOGLETRANSLATE(C131,""ja"",""vi"")"),"Đấu giá&gt; thể thao, giải trí&gt; thể thao khác&gt; snowboard&gt; mặc, thiết bị (cho trẻ em)")</f>
        <v>Đấu giá&gt; thể thao, giải trí&gt; thể thao khác&gt; snowboard&gt; mặc, thiết bị (cho trẻ em)</v>
      </c>
      <c r="F131" t="str">
        <f t="shared" ca="1" si="2"/>
        <v>"2084064485" : "Mặc, thiết bị (cho trẻ em)",</v>
      </c>
    </row>
    <row r="132" spans="1:6" ht="15.75" customHeight="1">
      <c r="A132" s="14">
        <v>25120</v>
      </c>
      <c r="B132" s="14" t="s">
        <v>1685</v>
      </c>
      <c r="C132" s="14" t="s">
        <v>8598</v>
      </c>
      <c r="D132" s="5" t="str">
        <f ca="1">IFERROR(__xludf.DUMMYFUNCTION("GOOGLETRANSLATE(B132,""ja"",""vi"")"),"phụ kiện")</f>
        <v>phụ kiện</v>
      </c>
      <c r="E132" s="5" t="str">
        <f ca="1">IFERROR(__xludf.DUMMYFUNCTION("GOOGLETRANSLATE(C132,""ja"",""vi"")"),"Đấu giá&gt; thể thao, giải trí&gt; Bằng Sport&gt; Snowboard&gt; Accessories")</f>
        <v>Đấu giá&gt; thể thao, giải trí&gt; Bằng Sport&gt; Snowboard&gt; Accessories</v>
      </c>
      <c r="F132" t="str">
        <f t="shared" ca="1" si="2"/>
        <v>"25120" : "phụ kiện",</v>
      </c>
    </row>
    <row r="133" spans="1:6" ht="15.75" customHeight="1">
      <c r="A133" s="14">
        <v>2084032375</v>
      </c>
      <c r="B133" s="14" t="s">
        <v>8599</v>
      </c>
      <c r="C133" s="14" t="s">
        <v>8600</v>
      </c>
      <c r="D133" s="5" t="str">
        <f ca="1">IFERROR(__xludf.DUMMYFUNCTION("GOOGLETRANSLATE(B133,""ja"",""vi"")"),"túi")</f>
        <v>túi</v>
      </c>
      <c r="E133" s="5" t="str">
        <f ca="1">IFERROR(__xludf.DUMMYFUNCTION("GOOGLETRANSLATE(C133,""ja"",""vi"")"),"Đấu giá&gt; thể thao, giải trí&gt; thể thao khác&gt; snowboard&gt; túi")</f>
        <v>Đấu giá&gt; thể thao, giải trí&gt; thể thao khác&gt; snowboard&gt; túi</v>
      </c>
      <c r="F133" t="str">
        <f t="shared" ca="1" si="2"/>
        <v>"2084032375" : "túi",</v>
      </c>
    </row>
    <row r="134" spans="1:6" ht="15.75" customHeight="1">
      <c r="A134" s="14">
        <v>2084032326</v>
      </c>
      <c r="B134" s="14" t="s">
        <v>8505</v>
      </c>
      <c r="C134" s="14" t="s">
        <v>8601</v>
      </c>
      <c r="D134" s="5" t="str">
        <f ca="1">IFERROR(__xludf.DUMMYFUNCTION("GOOGLETRANSLATE(B134,""ja"",""vi"")"),"Lưu niệm, hàng hóa có liên quan")</f>
        <v>Lưu niệm, hàng hóa có liên quan</v>
      </c>
      <c r="E134" s="5" t="str">
        <f ca="1">IFERROR(__xludf.DUMMYFUNCTION("GOOGLETRANSLATE(C134,""ja"",""vi"")"),"Đấu giá&gt; thể thao, giải trí&gt; thể thao khác&gt; snowboard&gt; lưu niệm, hàng hóa có liên quan")</f>
        <v>Đấu giá&gt; thể thao, giải trí&gt; thể thao khác&gt; snowboard&gt; lưu niệm, hàng hóa có liên quan</v>
      </c>
      <c r="F134" t="str">
        <f t="shared" ca="1" si="2"/>
        <v>"2084032326" : "Lưu niệm, hàng hóa có liên quan",</v>
      </c>
    </row>
    <row r="135" spans="1:6" ht="15.75" customHeight="1">
      <c r="A135" s="14">
        <v>25132</v>
      </c>
      <c r="B135" s="14" t="s">
        <v>7721</v>
      </c>
      <c r="C135" s="14" t="s">
        <v>8604</v>
      </c>
      <c r="D135" s="5" t="str">
        <f ca="1">IFERROR(__xludf.DUMMYFUNCTION("GOOGLETRANSLATE(B135,""ja"",""vi"")"),"video")</f>
        <v>video</v>
      </c>
      <c r="E135" s="5" t="str">
        <f ca="1">IFERROR(__xludf.DUMMYFUNCTION("GOOGLETRANSLATE(C135,""ja"",""vi"")"),"Đấu giá&gt; thể thao, giải trí&gt; thể thao khác&gt; snowboard&gt; Video")</f>
        <v>Đấu giá&gt; thể thao, giải trí&gt; thể thao khác&gt; snowboard&gt; Video</v>
      </c>
      <c r="F135" t="str">
        <f t="shared" ca="1" si="2"/>
        <v>"25132" : "video",</v>
      </c>
    </row>
    <row r="136" spans="1:6" ht="15.75" customHeight="1">
      <c r="A136" s="14">
        <v>2084307813</v>
      </c>
      <c r="B136" s="14" t="s">
        <v>8607</v>
      </c>
      <c r="C136" s="14" t="s">
        <v>8608</v>
      </c>
      <c r="D136" s="5" t="str">
        <f ca="1">IFERROR(__xludf.DUMMYFUNCTION("GOOGLETRANSLATE(B136,""ja"",""vi"")"),"bảo dưỡng trượt tuyết")</f>
        <v>bảo dưỡng trượt tuyết</v>
      </c>
      <c r="E136" s="5" t="str">
        <f ca="1">IFERROR(__xludf.DUMMYFUNCTION("GOOGLETRANSLATE(C136,""ja"",""vi"")"),"Đấu giá&gt; thể thao, giải trí&gt; thể thao khác&gt; snowboard&gt; bảo trì Snowboard")</f>
        <v>Đấu giá&gt; thể thao, giải trí&gt; thể thao khác&gt; snowboard&gt; bảo trì Snowboard</v>
      </c>
      <c r="F136" t="str">
        <f t="shared" ca="1" si="2"/>
        <v>"2084307813" : "bảo dưỡng trượt tuyết",</v>
      </c>
    </row>
    <row r="137" spans="1:6" ht="15.75" customHeight="1">
      <c r="A137" s="14">
        <v>2084307767</v>
      </c>
      <c r="B137" s="14" t="s">
        <v>8609</v>
      </c>
      <c r="C137" s="14" t="s">
        <v>8611</v>
      </c>
      <c r="D137" s="5" t="str">
        <f ca="1">IFERROR(__xludf.DUMMYFUNCTION("GOOGLETRANSLATE(B137,""ja"",""vi"")"),"cho thuê ván trượt tuyết")</f>
        <v>cho thuê ván trượt tuyết</v>
      </c>
      <c r="E137" s="5" t="str">
        <f ca="1">IFERROR(__xludf.DUMMYFUNCTION("GOOGLETRANSLATE(C137,""ja"",""vi"")"),"Đấu giá&gt; thể thao, giải trí&gt; thể thao khác&gt; snowboard&gt; Thuê Snowboard")</f>
        <v>Đấu giá&gt; thể thao, giải trí&gt; thể thao khác&gt; snowboard&gt; Thuê Snowboard</v>
      </c>
      <c r="F137" t="str">
        <f t="shared" ca="1" si="2"/>
        <v>"2084307767" : "cho thuê ván trượt tuyết",</v>
      </c>
    </row>
    <row r="138" spans="1:6" ht="15.75" customHeight="1">
      <c r="A138" s="14">
        <v>25134</v>
      </c>
      <c r="B138" s="14" t="s">
        <v>46</v>
      </c>
      <c r="C138" s="14" t="s">
        <v>8613</v>
      </c>
      <c r="D138" s="5" t="str">
        <f ca="1">IFERROR(__xludf.DUMMYFUNCTION("GOOGLETRANSLATE(B138,""ja"",""vi"")"),"nếu không thì")</f>
        <v>nếu không thì</v>
      </c>
      <c r="E138" s="5" t="str">
        <f ca="1">IFERROR(__xludf.DUMMYFUNCTION("GOOGLETRANSLATE(C138,""ja"",""vi"")"),"Đấu giá&gt; thể thao, giải trí&gt; thể thao khác&gt; snowboard&gt; Khác")</f>
        <v>Đấu giá&gt; thể thao, giải trí&gt; thể thao khác&gt; snowboard&gt; Khác</v>
      </c>
      <c r="F138" t="str">
        <f t="shared" ca="1" si="2"/>
        <v>"25134" : "nếu không thì",</v>
      </c>
    </row>
    <row r="139" spans="1:6" ht="15.75" customHeight="1">
      <c r="A139" s="14">
        <v>2084063065</v>
      </c>
      <c r="B139" s="14" t="s">
        <v>8343</v>
      </c>
      <c r="C139" s="14" t="s">
        <v>8616</v>
      </c>
      <c r="D139" s="5" t="str">
        <f ca="1">IFERROR(__xludf.DUMMYFUNCTION("GOOGLETRANSLATE(B139,""ja"",""vi"")"),"Mang")</f>
        <v>Mang</v>
      </c>
      <c r="E139" s="5" t="str">
        <f ca="1">IFERROR(__xludf.DUMMYFUNCTION("GOOGLETRANSLATE(C139,""ja"",""vi"")"),"Đấu giá&gt; thể thao, giải trí&gt; Bằng cách thể thao&gt; Môn bóng mềm&gt; Mang")</f>
        <v>Đấu giá&gt; thể thao, giải trí&gt; Bằng cách thể thao&gt; Môn bóng mềm&gt; Mang</v>
      </c>
      <c r="F139" t="str">
        <f t="shared" ca="1" si="2"/>
        <v>"2084063065" : "Mang",</v>
      </c>
    </row>
    <row r="140" spans="1:6" ht="15.75" customHeight="1">
      <c r="A140" s="14">
        <v>2084063064</v>
      </c>
      <c r="B140" s="14" t="s">
        <v>8345</v>
      </c>
      <c r="C140" s="14" t="s">
        <v>8617</v>
      </c>
      <c r="D140" s="5" t="str">
        <f ca="1">IFERROR(__xludf.DUMMYFUNCTION("GOOGLETRANSLATE(B140,""ja"",""vi"")"),"găng tay")</f>
        <v>găng tay</v>
      </c>
      <c r="E140" s="5" t="str">
        <f ca="1">IFERROR(__xludf.DUMMYFUNCTION("GOOGLETRANSLATE(C140,""ja"",""vi"")"),"Đấu giá&gt; thể thao, giải trí&gt; Bằng cách thể thao&gt; Môn bóng mềm&gt; Găng tay")</f>
        <v>Đấu giá&gt; thể thao, giải trí&gt; Bằng cách thể thao&gt; Môn bóng mềm&gt; Găng tay</v>
      </c>
      <c r="F140" t="str">
        <f t="shared" ca="1" si="2"/>
        <v>"2084063064" : "găng tay",</v>
      </c>
    </row>
    <row r="141" spans="1:6" ht="15.75" customHeight="1">
      <c r="A141" s="14">
        <v>2084063063</v>
      </c>
      <c r="B141" s="14" t="s">
        <v>8618</v>
      </c>
      <c r="C141" s="14" t="s">
        <v>8619</v>
      </c>
      <c r="D141" s="5" t="str">
        <f ca="1">IFERROR(__xludf.DUMMYFUNCTION("GOOGLETRANSLATE(B141,""ja"",""vi"")"),"gậy")</f>
        <v>gậy</v>
      </c>
      <c r="E141" s="5" t="str">
        <f ca="1">IFERROR(__xludf.DUMMYFUNCTION("GOOGLETRANSLATE(C141,""ja"",""vi"")"),"Đấu giá&gt; thể thao, giải trí&gt; Bằng cách thể thao&gt; Môn bóng mềm&gt; dơi")</f>
        <v>Đấu giá&gt; thể thao, giải trí&gt; Bằng cách thể thao&gt; Môn bóng mềm&gt; dơi</v>
      </c>
      <c r="F141" t="str">
        <f t="shared" ca="1" si="2"/>
        <v>"2084063063" : "gậy",</v>
      </c>
    </row>
    <row r="142" spans="1:6" ht="15.75" customHeight="1">
      <c r="A142" s="14">
        <v>2084063068</v>
      </c>
      <c r="B142" s="14" t="s">
        <v>8518</v>
      </c>
      <c r="C142" s="14" t="s">
        <v>8620</v>
      </c>
      <c r="D142" s="5" t="str">
        <f ca="1">IFERROR(__xludf.DUMMYFUNCTION("GOOGLETRANSLATE(B142,""ja"",""vi"")"),"quả bóng")</f>
        <v>quả bóng</v>
      </c>
      <c r="E142" s="5" t="str">
        <f ca="1">IFERROR(__xludf.DUMMYFUNCTION("GOOGLETRANSLATE(C142,""ja"",""vi"")"),"Đấu giá&gt; thể thao, giải trí&gt; Bằng cách thể thao&gt; Môn bóng mềm&gt; Bóng")</f>
        <v>Đấu giá&gt; thể thao, giải trí&gt; Bằng cách thể thao&gt; Môn bóng mềm&gt; Bóng</v>
      </c>
      <c r="F142" t="str">
        <f t="shared" ca="1" si="2"/>
        <v>"2084063068" : "quả bóng",</v>
      </c>
    </row>
    <row r="143" spans="1:6" ht="15.75" customHeight="1">
      <c r="A143" s="14">
        <v>2084063069</v>
      </c>
      <c r="B143" s="14" t="s">
        <v>46</v>
      </c>
      <c r="C143" s="14" t="s">
        <v>8621</v>
      </c>
      <c r="D143" s="5" t="str">
        <f ca="1">IFERROR(__xludf.DUMMYFUNCTION("GOOGLETRANSLATE(B143,""ja"",""vi"")"),"nếu không thì")</f>
        <v>nếu không thì</v>
      </c>
      <c r="E143" s="5" t="str">
        <f ca="1">IFERROR(__xludf.DUMMYFUNCTION("GOOGLETRANSLATE(C143,""ja"",""vi"")"),"Đấu giá&gt; thể thao, giải trí&gt; Bằng cách thể thao&gt; Môn bóng mềm&gt; Khác")</f>
        <v>Đấu giá&gt; thể thao, giải trí&gt; Bằng cách thể thao&gt; Môn bóng mềm&gt; Khác</v>
      </c>
      <c r="F143" t="str">
        <f t="shared" ca="1" si="2"/>
        <v>"2084063069" : "nếu không thì",</v>
      </c>
    </row>
    <row r="144" spans="1:6" ht="15.75" customHeight="1">
      <c r="A144" s="14">
        <v>26246</v>
      </c>
      <c r="B144" s="14" t="s">
        <v>7643</v>
      </c>
      <c r="C144" s="14" t="s">
        <v>8622</v>
      </c>
      <c r="D144" s="5" t="str">
        <f ca="1">IFERROR(__xludf.DUMMYFUNCTION("GOOGLETRANSLATE(B144,""ja"",""vi"")"),"cơ thể")</f>
        <v>cơ thể</v>
      </c>
      <c r="E144" s="5" t="str">
        <f ca="1">IFERROR(__xludf.DUMMYFUNCTION("GOOGLETRANSLATE(C144,""ja"",""vi"")"),"Đấu giá&gt; thể thao, giải trí&gt; xe đạp, xe đạp&gt; thân xe")</f>
        <v>Đấu giá&gt; thể thao, giải trí&gt; xe đạp, xe đạp&gt; thân xe</v>
      </c>
      <c r="F144" t="str">
        <f t="shared" ca="1" si="2"/>
        <v>"26246" : "cơ thể",</v>
      </c>
    </row>
    <row r="145" spans="1:6" ht="15.75" customHeight="1">
      <c r="A145" s="14">
        <v>26260</v>
      </c>
      <c r="B145" s="14" t="s">
        <v>1612</v>
      </c>
      <c r="C145" s="14" t="s">
        <v>8623</v>
      </c>
      <c r="D145" s="5" t="str">
        <f ca="1">IFERROR(__xludf.DUMMYFUNCTION("GOOGLETRANSLATE(B145,""ja"",""vi"")"),"bộ phận")</f>
        <v>bộ phận</v>
      </c>
      <c r="E145" s="5" t="str">
        <f ca="1">IFERROR(__xludf.DUMMYFUNCTION("GOOGLETRANSLATE(C145,""ja"",""vi"")"),"Đấu giá&gt; thể thao, giải trí&gt; xe đạp, xe đạp&gt; phụ tùng")</f>
        <v>Đấu giá&gt; thể thao, giải trí&gt; xe đạp, xe đạp&gt; phụ tùng</v>
      </c>
      <c r="F145" t="str">
        <f t="shared" ca="1" si="2"/>
        <v>"26260" : "bộ phận",</v>
      </c>
    </row>
    <row r="146" spans="1:6" ht="15.75" customHeight="1">
      <c r="A146" s="14">
        <v>2084032380</v>
      </c>
      <c r="B146" s="14" t="s">
        <v>8343</v>
      </c>
      <c r="C146" s="14" t="s">
        <v>8624</v>
      </c>
      <c r="D146" s="5" t="str">
        <f ca="1">IFERROR(__xludf.DUMMYFUNCTION("GOOGLETRANSLATE(B146,""ja"",""vi"")"),"Mang")</f>
        <v>Mang</v>
      </c>
      <c r="E146" s="5" t="str">
        <f ca="1">IFERROR(__xludf.DUMMYFUNCTION("GOOGLETRANSLATE(C146,""ja"",""vi"")"),"Đấu giá&gt; thể thao, giải trí&gt; xe đạp, xe đạp&gt; Mang")</f>
        <v>Đấu giá&gt; thể thao, giải trí&gt; xe đạp, xe đạp&gt; Mang</v>
      </c>
      <c r="F146" t="str">
        <f t="shared" ca="1" si="2"/>
        <v>"2084032380" : "Mang",</v>
      </c>
    </row>
    <row r="147" spans="1:6" ht="15.75" customHeight="1">
      <c r="A147" s="14">
        <v>2084227170</v>
      </c>
      <c r="B147" s="14" t="s">
        <v>8599</v>
      </c>
      <c r="C147" s="14" t="s">
        <v>8625</v>
      </c>
      <c r="D147" s="5" t="str">
        <f ca="1">IFERROR(__xludf.DUMMYFUNCTION("GOOGLETRANSLATE(B147,""ja"",""vi"")"),"túi")</f>
        <v>túi</v>
      </c>
      <c r="E147" s="5" t="str">
        <f ca="1">IFERROR(__xludf.DUMMYFUNCTION("GOOGLETRANSLATE(C147,""ja"",""vi"")"),"Đấu giá&gt; thể thao, giải trí&gt; xe đạp, xe đạp&gt; túi")</f>
        <v>Đấu giá&gt; thể thao, giải trí&gt; xe đạp, xe đạp&gt; túi</v>
      </c>
      <c r="F147" t="str">
        <f t="shared" ca="1" si="2"/>
        <v>"2084227170" : "túi",</v>
      </c>
    </row>
    <row r="148" spans="1:6" ht="15.75" customHeight="1">
      <c r="A148" s="14">
        <v>26224</v>
      </c>
      <c r="B148" s="14" t="s">
        <v>1685</v>
      </c>
      <c r="C148" s="14" t="s">
        <v>8626</v>
      </c>
      <c r="D148" s="5" t="str">
        <f ca="1">IFERROR(__xludf.DUMMYFUNCTION("GOOGLETRANSLATE(B148,""ja"",""vi"")"),"phụ kiện")</f>
        <v>phụ kiện</v>
      </c>
      <c r="E148" s="5" t="str">
        <f ca="1">IFERROR(__xludf.DUMMYFUNCTION("GOOGLETRANSLATE(C148,""ja"",""vi"")"),"Đấu giá&gt; thể thao, giải trí&gt; xe đạp, xe đạp&gt; Phụ kiện")</f>
        <v>Đấu giá&gt; thể thao, giải trí&gt; xe đạp, xe đạp&gt; Phụ kiện</v>
      </c>
      <c r="F148" t="str">
        <f t="shared" ca="1" si="2"/>
        <v>"26224" : "phụ kiện",</v>
      </c>
    </row>
    <row r="149" spans="1:6" ht="15.75" customHeight="1">
      <c r="A149" s="14">
        <v>2084235676</v>
      </c>
      <c r="B149" s="14" t="s">
        <v>8627</v>
      </c>
      <c r="C149" s="14" t="s">
        <v>8628</v>
      </c>
      <c r="D149" s="5" t="str">
        <f ca="1">IFERROR(__xludf.DUMMYFUNCTION("GOOGLETRANSLATE(B149,""ja"",""vi"")"),"Dụng cụ, bảo trì")</f>
        <v>Dụng cụ, bảo trì</v>
      </c>
      <c r="E149" s="5" t="str">
        <f ca="1">IFERROR(__xludf.DUMMYFUNCTION("GOOGLETRANSLATE(C149,""ja"",""vi"")"),"Đấu giá&gt; thể thao, giải trí&gt; xe đạp, xe đạp&gt; công cụ, bảo trì")</f>
        <v>Đấu giá&gt; thể thao, giải trí&gt; xe đạp, xe đạp&gt; công cụ, bảo trì</v>
      </c>
      <c r="F149" t="str">
        <f t="shared" ca="1" si="2"/>
        <v>"2084235676" : "Dụng cụ, bảo trì",</v>
      </c>
    </row>
    <row r="150" spans="1:6" ht="15.75" customHeight="1">
      <c r="A150" s="14">
        <v>2084263701</v>
      </c>
      <c r="B150" s="14" t="s">
        <v>8385</v>
      </c>
      <c r="C150" s="14" t="s">
        <v>8629</v>
      </c>
      <c r="D150" s="5" t="str">
        <f ca="1">IFERROR(__xludf.DUMMYFUNCTION("GOOGLETRANSLATE(B150,""ja"",""vi"")"),"theo dõi nhịp tim thể thao")</f>
        <v>theo dõi nhịp tim thể thao</v>
      </c>
      <c r="E150" s="5" t="str">
        <f ca="1">IFERROR(__xludf.DUMMYFUNCTION("GOOGLETRANSLATE(C150,""ja"",""vi"")"),"Đấu giá&gt; thể thao, giải trí&gt; xe đạp, xe đạp&gt; màn Sport nhịp tim")</f>
        <v>Đấu giá&gt; thể thao, giải trí&gt; xe đạp, xe đạp&gt; màn Sport nhịp tim</v>
      </c>
      <c r="F150" t="str">
        <f t="shared" ca="1" si="2"/>
        <v>"2084263701" : "theo dõi nhịp tim thể thao",</v>
      </c>
    </row>
    <row r="151" spans="1:6" ht="15.75" customHeight="1">
      <c r="A151" s="14">
        <v>2084048299</v>
      </c>
      <c r="B151" s="14" t="s">
        <v>8630</v>
      </c>
      <c r="C151" s="14" t="s">
        <v>8631</v>
      </c>
      <c r="D151" s="5" t="str">
        <f ca="1">IFERROR(__xludf.DUMMYFUNCTION("GOOGLETRANSLATE(B151,""ja"",""vi"")"),"thiết bị đào tạo")</f>
        <v>thiết bị đào tạo</v>
      </c>
      <c r="E151" s="5" t="str">
        <f ca="1">IFERROR(__xludf.DUMMYFUNCTION("GOOGLETRANSLATE(C151,""ja"",""vi"")"),"Đấu giá&gt; thể thao, giải trí&gt; xe đạp, xe đạp&gt; thiết bị đào tạo")</f>
        <v>Đấu giá&gt; thể thao, giải trí&gt; xe đạp, xe đạp&gt; thiết bị đào tạo</v>
      </c>
      <c r="F151" t="str">
        <f t="shared" ca="1" si="2"/>
        <v>"2084048299" : "thiết bị đào tạo",</v>
      </c>
    </row>
    <row r="152" spans="1:6" ht="15.75" customHeight="1">
      <c r="A152" s="14">
        <v>2084259454</v>
      </c>
      <c r="B152" s="14" t="s">
        <v>8632</v>
      </c>
      <c r="C152" s="14" t="s">
        <v>8633</v>
      </c>
      <c r="D152" s="5" t="str">
        <f ca="1">IFERROR(__xludf.DUMMYFUNCTION("GOOGLETRANSLATE(B152,""ja"",""vi"")"),"Handy GPS")</f>
        <v>Handy GPS</v>
      </c>
      <c r="E152" s="5" t="str">
        <f ca="1">IFERROR(__xludf.DUMMYFUNCTION("GOOGLETRANSLATE(C152,""ja"",""vi"")"),"Đấu giá&gt; thể thao, giải trí&gt; xe đạp, xe đạp&gt; Handy GPS")</f>
        <v>Đấu giá&gt; thể thao, giải trí&gt; xe đạp, xe đạp&gt; Handy GPS</v>
      </c>
      <c r="F152" t="str">
        <f t="shared" ca="1" si="2"/>
        <v>"2084259454" : "Handy GPS",</v>
      </c>
    </row>
    <row r="153" spans="1:6" ht="15.75" customHeight="1">
      <c r="A153" s="14">
        <v>2084256904</v>
      </c>
      <c r="B153" s="14" t="s">
        <v>7717</v>
      </c>
      <c r="C153" s="14" t="s">
        <v>8636</v>
      </c>
      <c r="D153" s="5" t="str">
        <f ca="1">IFERROR(__xludf.DUMMYFUNCTION("GOOGLETRANSLATE(B153,""ja"",""vi"")"),"DVD")</f>
        <v>DVD</v>
      </c>
      <c r="E153" s="5" t="str">
        <f ca="1">IFERROR(__xludf.DUMMYFUNCTION("GOOGLETRANSLATE(C153,""ja"",""vi"")"),"Đấu giá&gt; thể thao, giải trí&gt; xe đạp, xe đạp&gt; DVD")</f>
        <v>Đấu giá&gt; thể thao, giải trí&gt; xe đạp, xe đạp&gt; DVD</v>
      </c>
      <c r="F153" t="str">
        <f t="shared" ca="1" si="2"/>
        <v>"2084256904" : "DVD",</v>
      </c>
    </row>
    <row r="154" spans="1:6" ht="15.75" customHeight="1">
      <c r="A154" s="14">
        <v>2084048304</v>
      </c>
      <c r="B154" s="14" t="s">
        <v>8637</v>
      </c>
      <c r="C154" s="14" t="s">
        <v>8638</v>
      </c>
      <c r="D154" s="5" t="str">
        <f ca="1">IFERROR(__xludf.DUMMYFUNCTION("GOOGLETRANSLATE(B154,""ja"",""vi"")"),"xe đạp lòng chảo Hàng")</f>
        <v>xe đạp lòng chảo Hàng</v>
      </c>
      <c r="E154" s="5" t="str">
        <f ca="1">IFERROR(__xludf.DUMMYFUNCTION("GOOGLETRANSLATE(C154,""ja"",""vi"")"),"Đấu giá&gt; thể thao, giải trí&gt; xe đạp, xe đạp&gt; Hàng đua xe đạp")</f>
        <v>Đấu giá&gt; thể thao, giải trí&gt; xe đạp, xe đạp&gt; Hàng đua xe đạp</v>
      </c>
      <c r="F154" t="str">
        <f t="shared" ca="1" si="2"/>
        <v>"2084048304" : "xe đạp lòng chảo Hàng",</v>
      </c>
    </row>
    <row r="155" spans="1:6" ht="15.75" customHeight="1">
      <c r="A155" s="14">
        <v>2084047997</v>
      </c>
      <c r="B155" s="14" t="s">
        <v>1632</v>
      </c>
      <c r="C155" s="14" t="s">
        <v>8642</v>
      </c>
      <c r="D155" s="5" t="str">
        <f ca="1">IFERROR(__xludf.DUMMYFUNCTION("GOOGLETRANSLATE(B155,""ja"",""vi"")"),"điều này")</f>
        <v>điều này</v>
      </c>
      <c r="E155" s="5" t="str">
        <f ca="1">IFERROR(__xludf.DUMMYFUNCTION("GOOGLETRANSLATE(C155,""ja"",""vi"")"),"Đấu giá&gt; thể thao, giải trí&gt; xe đạp, xe đạp&gt; Sách")</f>
        <v>Đấu giá&gt; thể thao, giải trí&gt; xe đạp, xe đạp&gt; Sách</v>
      </c>
      <c r="F155" t="str">
        <f t="shared" ca="1" si="2"/>
        <v>"2084047997" : "điều này",</v>
      </c>
    </row>
    <row r="156" spans="1:6" ht="15.75" customHeight="1">
      <c r="A156" s="14">
        <v>2084307766</v>
      </c>
      <c r="B156" s="14" t="s">
        <v>8645</v>
      </c>
      <c r="C156" s="14" t="s">
        <v>8646</v>
      </c>
      <c r="D156" s="5" t="str">
        <f ca="1">IFERROR(__xludf.DUMMYFUNCTION("GOOGLETRANSLATE(B156,""ja"",""vi"")"),"cho thuê xe đạp")</f>
        <v>cho thuê xe đạp</v>
      </c>
      <c r="E156" s="5" t="str">
        <f ca="1">IFERROR(__xludf.DUMMYFUNCTION("GOOGLETRANSLATE(C156,""ja"",""vi"")"),"Đấu giá&gt; thể thao, giải trí&gt; xe đạp, xe đạp&gt; thuê xe đạp")</f>
        <v>Đấu giá&gt; thể thao, giải trí&gt; xe đạp, xe đạp&gt; thuê xe đạp</v>
      </c>
      <c r="F156" t="str">
        <f t="shared" ca="1" si="2"/>
        <v>"2084307766" : "cho thuê xe đạp",</v>
      </c>
    </row>
    <row r="157" spans="1:6" ht="15.75" customHeight="1">
      <c r="A157" s="14">
        <v>2084047573</v>
      </c>
      <c r="B157" s="14" t="s">
        <v>46</v>
      </c>
      <c r="C157" s="14" t="s">
        <v>8649</v>
      </c>
      <c r="D157" s="5" t="str">
        <f ca="1">IFERROR(__xludf.DUMMYFUNCTION("GOOGLETRANSLATE(B157,""ja"",""vi"")"),"nếu không thì")</f>
        <v>nếu không thì</v>
      </c>
      <c r="E157" s="5" t="str">
        <f ca="1">IFERROR(__xludf.DUMMYFUNCTION("GOOGLETRANSLATE(C157,""ja"",""vi"")"),"Đấu giá&gt; thể thao, giải trí&gt; xe đạp, xe đạp&gt; Khác")</f>
        <v>Đấu giá&gt; thể thao, giải trí&gt; xe đạp, xe đạp&gt; Khác</v>
      </c>
      <c r="F157" t="str">
        <f t="shared" ca="1" si="2"/>
        <v>"2084047573" : "nếu không thì",</v>
      </c>
    </row>
    <row r="158" spans="1:6" ht="15.75" customHeight="1">
      <c r="A158" s="14">
        <v>2084286294</v>
      </c>
      <c r="B158" s="14" t="s">
        <v>8650</v>
      </c>
      <c r="C158" s="14" t="s">
        <v>8652</v>
      </c>
      <c r="D158" s="5" t="str">
        <f ca="1">IFERROR(__xludf.DUMMYFUNCTION("GOOGLETRANSLATE(B158,""ja"",""vi"")"),"Suit cho thực hành judo")</f>
        <v>Suit cho thực hành judo</v>
      </c>
      <c r="E158" s="5" t="str">
        <f ca="1">IFERROR(__xludf.DUMMYFUNCTION("GOOGLETRANSLATE(C158,""ja"",""vi"")"),"Đấu giá&gt; thể thao, giải trí&gt; Bằng Sport&gt; Judo&gt; judo")</f>
        <v>Đấu giá&gt; thể thao, giải trí&gt; Bằng Sport&gt; Judo&gt; judo</v>
      </c>
      <c r="F158" t="str">
        <f t="shared" ca="1" si="2"/>
        <v>"2084286294" : "Suit cho thực hành judo",</v>
      </c>
    </row>
    <row r="159" spans="1:6" ht="15.75" customHeight="1">
      <c r="A159" s="14">
        <v>2084286295</v>
      </c>
      <c r="B159" s="14" t="s">
        <v>46</v>
      </c>
      <c r="C159" s="14" t="s">
        <v>8656</v>
      </c>
      <c r="D159" s="5" t="str">
        <f ca="1">IFERROR(__xludf.DUMMYFUNCTION("GOOGLETRANSLATE(B159,""ja"",""vi"")"),"nếu không thì")</f>
        <v>nếu không thì</v>
      </c>
      <c r="E159" s="5" t="str">
        <f ca="1">IFERROR(__xludf.DUMMYFUNCTION("GOOGLETRANSLATE(C159,""ja"",""vi"")"),"Đấu giá&gt; thể thao, giải trí&gt; Bằng Sport&gt; Judo&gt; Khác")</f>
        <v>Đấu giá&gt; thể thao, giải trí&gt; Bằng Sport&gt; Judo&gt; Khác</v>
      </c>
      <c r="F159" t="str">
        <f t="shared" ca="1" si="2"/>
        <v>"2084286295" : "nếu không thì",</v>
      </c>
    </row>
    <row r="160" spans="1:6" ht="15.75" customHeight="1">
      <c r="A160" s="14">
        <v>2084051883</v>
      </c>
      <c r="B160" s="14" t="s">
        <v>8658</v>
      </c>
      <c r="C160" s="14" t="s">
        <v>8660</v>
      </c>
      <c r="D160" s="5" t="str">
        <f ca="1">IFERROR(__xludf.DUMMYFUNCTION("GOOGLETRANSLATE(B160,""ja"",""vi"")"),"Swimwear")</f>
        <v>Swimwear</v>
      </c>
      <c r="E160" s="5" t="str">
        <f ca="1">IFERROR(__xludf.DUMMYFUNCTION("GOOGLETRANSLATE(C160,""ja"",""vi"")"),"Đấu giá&gt; thể thao, giải trí&gt; Bằng cách thể thao&gt; Bơi lội&gt; Swimwear")</f>
        <v>Đấu giá&gt; thể thao, giải trí&gt; Bằng cách thể thao&gt; Bơi lội&gt; Swimwear</v>
      </c>
      <c r="F160" t="str">
        <f t="shared" ca="1" si="2"/>
        <v>"2084051883" : "Swimwear",</v>
      </c>
    </row>
    <row r="161" spans="1:6" ht="15.75" customHeight="1">
      <c r="A161" s="14">
        <v>2084051884</v>
      </c>
      <c r="B161" s="14" t="s">
        <v>1685</v>
      </c>
      <c r="C161" s="14" t="s">
        <v>8663</v>
      </c>
      <c r="D161" s="5" t="str">
        <f ca="1">IFERROR(__xludf.DUMMYFUNCTION("GOOGLETRANSLATE(B161,""ja"",""vi"")"),"phụ kiện")</f>
        <v>phụ kiện</v>
      </c>
      <c r="E161" s="5" t="str">
        <f ca="1">IFERROR(__xludf.DUMMYFUNCTION("GOOGLETRANSLATE(C161,""ja"",""vi"")"),"Đấu giá&gt; thể thao, giải trí&gt; Bằng cách thể thao&gt; Bơi lội&gt; Accessories")</f>
        <v>Đấu giá&gt; thể thao, giải trí&gt; Bằng cách thể thao&gt; Bơi lội&gt; Accessories</v>
      </c>
      <c r="F161" t="str">
        <f t="shared" ca="1" si="2"/>
        <v>"2084051884" : "phụ kiện",</v>
      </c>
    </row>
    <row r="162" spans="1:6" ht="15.75" customHeight="1">
      <c r="A162" s="14">
        <v>2084239895</v>
      </c>
      <c r="B162" s="14" t="s">
        <v>8055</v>
      </c>
      <c r="C162" s="14" t="s">
        <v>8057</v>
      </c>
      <c r="D162" s="5" t="str">
        <f ca="1">IFERROR(__xludf.DUMMYFUNCTION("GOOGLETRANSLATE(B162,""ja"",""vi"")"),"Phi tiêu, mũi tên")</f>
        <v>Phi tiêu, mũi tên</v>
      </c>
      <c r="E162" s="5" t="str">
        <f ca="1">IFERROR(__xludf.DUMMYFUNCTION("GOOGLETRANSLATE(C162,""ja"",""vi"")"),"Đấu giá&gt; Đồ chơi, Trò chơi&gt; Trò chơi&gt; Darts&gt; Phi tiêu, mũi tên")</f>
        <v>Đấu giá&gt; Đồ chơi, Trò chơi&gt; Trò chơi&gt; Darts&gt; Phi tiêu, mũi tên</v>
      </c>
      <c r="F162" t="str">
        <f t="shared" ca="1" si="2"/>
        <v>"2084239895" : "Phi tiêu, mũi tên",</v>
      </c>
    </row>
    <row r="163" spans="1:6" ht="15.75" customHeight="1">
      <c r="A163" s="14">
        <v>2084239894</v>
      </c>
      <c r="B163" s="14" t="s">
        <v>8059</v>
      </c>
      <c r="C163" s="14" t="s">
        <v>8060</v>
      </c>
      <c r="D163" s="5" t="str">
        <f ca="1">IFERROR(__xludf.DUMMYFUNCTION("GOOGLETRANSLATE(B163,""ja"",""vi"")"),"Hội đồng quản trị")</f>
        <v>Hội đồng quản trị</v>
      </c>
      <c r="E163" s="5" t="str">
        <f ca="1">IFERROR(__xludf.DUMMYFUNCTION("GOOGLETRANSLATE(C163,""ja"",""vi"")"),"Đấu giá&gt; Đồ chơi, Trò chơi&gt; Trò chơi&gt; Darts&gt; Board")</f>
        <v>Đấu giá&gt; Đồ chơi, Trò chơi&gt; Trò chơi&gt; Darts&gt; Board</v>
      </c>
      <c r="F163" t="str">
        <f t="shared" ca="1" si="2"/>
        <v>"2084239894" : "Hội đồng quản trị",</v>
      </c>
    </row>
    <row r="164" spans="1:6" ht="15.75" customHeight="1">
      <c r="A164" s="14">
        <v>2084239896</v>
      </c>
      <c r="B164" s="14" t="s">
        <v>2387</v>
      </c>
      <c r="C164" s="14" t="s">
        <v>8063</v>
      </c>
      <c r="D164" s="5" t="str">
        <f ca="1">IFERROR(__xludf.DUMMYFUNCTION("GOOGLETRANSLATE(B164,""ja"",""vi"")"),"phụ kiện")</f>
        <v>phụ kiện</v>
      </c>
      <c r="E164" s="5" t="str">
        <f ca="1">IFERROR(__xludf.DUMMYFUNCTION("GOOGLETRANSLATE(C164,""ja"",""vi"")"),"Đấu giá&gt; Đồ chơi, Trò chơi&gt; Trò chơi&gt; Darts&gt; Accessories")</f>
        <v>Đấu giá&gt; Đồ chơi, Trò chơi&gt; Trò chơi&gt; Darts&gt; Accessories</v>
      </c>
      <c r="F164" t="str">
        <f t="shared" ca="1" si="2"/>
        <v>"2084239896" : "phụ kiện",</v>
      </c>
    </row>
    <row r="165" spans="1:6" ht="15.75" customHeight="1">
      <c r="A165" s="14">
        <v>2084239897</v>
      </c>
      <c r="B165" s="14" t="s">
        <v>46</v>
      </c>
      <c r="C165" s="14" t="s">
        <v>8064</v>
      </c>
      <c r="D165" s="5" t="str">
        <f ca="1">IFERROR(__xludf.DUMMYFUNCTION("GOOGLETRANSLATE(B165,""ja"",""vi"")"),"nếu không thì")</f>
        <v>nếu không thì</v>
      </c>
      <c r="E165" s="5" t="str">
        <f ca="1">IFERROR(__xludf.DUMMYFUNCTION("GOOGLETRANSLATE(C165,""ja"",""vi"")"),"Đấu giá&gt; Đồ chơi, Trò chơi&gt; Trò chơi&gt; Darts&gt; Khác")</f>
        <v>Đấu giá&gt; Đồ chơi, Trò chơi&gt; Trò chơi&gt; Darts&gt; Khác</v>
      </c>
      <c r="F165" t="str">
        <f t="shared" ca="1" si="2"/>
        <v>"2084239897" : "nếu không thì",</v>
      </c>
    </row>
    <row r="166" spans="1:6" ht="15.75" customHeight="1">
      <c r="A166" s="14">
        <v>2084060580</v>
      </c>
      <c r="B166" s="14" t="s">
        <v>8682</v>
      </c>
      <c r="C166" s="14" t="s">
        <v>8683</v>
      </c>
      <c r="D166" s="5" t="str">
        <f ca="1">IFERROR(__xludf.DUMMYFUNCTION("GOOGLETRANSLATE(B166,""ja"",""vi"")"),"nhảy")</f>
        <v>nhảy</v>
      </c>
      <c r="E166" s="5" t="str">
        <f ca="1">IFERROR(__xludf.DUMMYFUNCTION("GOOGLETRANSLATE(C166,""ja"",""vi"")"),"Đấu giá&gt; thể thao, giải trí&gt; thể thao khác&gt; Khiêu vũ, múa ba lê&gt; Khiêu vũ")</f>
        <v>Đấu giá&gt; thể thao, giải trí&gt; thể thao khác&gt; Khiêu vũ, múa ba lê&gt; Khiêu vũ</v>
      </c>
      <c r="F166" t="str">
        <f t="shared" ca="1" si="2"/>
        <v>"2084060580" : "nhảy",</v>
      </c>
    </row>
    <row r="167" spans="1:6" ht="15.75" customHeight="1">
      <c r="A167" s="14">
        <v>2084060581</v>
      </c>
      <c r="B167" s="14" t="s">
        <v>8688</v>
      </c>
      <c r="C167" s="14" t="s">
        <v>8689</v>
      </c>
      <c r="D167" s="5" t="str">
        <f ca="1">IFERROR(__xludf.DUMMYFUNCTION("GOOGLETRANSLATE(B167,""ja"",""vi"")"),"vở ballet")</f>
        <v>vở ballet</v>
      </c>
      <c r="E167" s="5" t="str">
        <f ca="1">IFERROR(__xludf.DUMMYFUNCTION("GOOGLETRANSLATE(C167,""ja"",""vi"")"),"Đấu giá&gt; thể thao, giải trí&gt; thể thao khác&gt; Khiêu vũ, múa ba lê&gt; múa ba lê")</f>
        <v>Đấu giá&gt; thể thao, giải trí&gt; thể thao khác&gt; Khiêu vũ, múa ba lê&gt; múa ba lê</v>
      </c>
      <c r="F167" t="str">
        <f t="shared" ca="1" si="2"/>
        <v>"2084060581" : "vở ballet",</v>
      </c>
    </row>
    <row r="168" spans="1:6" ht="15.75" customHeight="1">
      <c r="A168" s="14">
        <v>2084042183</v>
      </c>
      <c r="B168" s="14" t="s">
        <v>8694</v>
      </c>
      <c r="C168" s="14" t="s">
        <v>8695</v>
      </c>
      <c r="D168" s="5" t="str">
        <f ca="1">IFERROR(__xludf.DUMMYFUNCTION("GOOGLETRANSLATE(B168,""ja"",""vi"")"),"Vợt cho hardball")</f>
        <v>Vợt cho hardball</v>
      </c>
      <c r="E168" s="5" t="str">
        <f ca="1">IFERROR(__xludf.DUMMYFUNCTION("GOOGLETRANSLATE(C168,""ja"",""vi"")"),"Đấu giá&gt; thể thao, giải trí&gt; Bằng cách thể thao&gt; Tennis&gt; vợt cứng rắn cho")</f>
        <v>Đấu giá&gt; thể thao, giải trí&gt; Bằng cách thể thao&gt; Tennis&gt; vợt cứng rắn cho</v>
      </c>
      <c r="F168" t="str">
        <f t="shared" ca="1" si="2"/>
        <v>"2084042183" : "Vợt cho hardball",</v>
      </c>
    </row>
    <row r="169" spans="1:6" ht="15.75" customHeight="1">
      <c r="A169" s="14">
        <v>2084042184</v>
      </c>
      <c r="B169" s="14" t="s">
        <v>8700</v>
      </c>
      <c r="C169" s="14" t="s">
        <v>8701</v>
      </c>
      <c r="D169" s="5" t="str">
        <f ca="1">IFERROR(__xludf.DUMMYFUNCTION("GOOGLETRANSLATE(B169,""ja"",""vi"")"),"Vợt cho Softball")</f>
        <v>Vợt cho Softball</v>
      </c>
      <c r="E169" s="5" t="str">
        <f ca="1">IFERROR(__xludf.DUMMYFUNCTION("GOOGLETRANSLATE(C169,""ja"",""vi"")"),"Đấu giá&gt; thể thao, giải trí&gt; Bằng cách thể thao&gt; Tennis&gt; Softball vợt cho")</f>
        <v>Đấu giá&gt; thể thao, giải trí&gt; Bằng cách thể thao&gt; Tennis&gt; Softball vợt cho</v>
      </c>
      <c r="F169" t="str">
        <f t="shared" ca="1" si="2"/>
        <v>"2084042184" : "Vợt cho Softball",</v>
      </c>
    </row>
    <row r="170" spans="1:6" ht="15.75" customHeight="1">
      <c r="A170" s="14">
        <v>2084048413</v>
      </c>
      <c r="B170" s="14" t="s">
        <v>8418</v>
      </c>
      <c r="C170" s="14" t="s">
        <v>8706</v>
      </c>
      <c r="D170" s="5" t="str">
        <f ca="1">IFERROR(__xludf.DUMMYFUNCTION("GOOGLETRANSLATE(B170,""ja"",""vi"")"),"Mang (đối với nam)")</f>
        <v>Mang (đối với nam)</v>
      </c>
      <c r="E170" s="5" t="str">
        <f ca="1">IFERROR(__xludf.DUMMYFUNCTION("GOOGLETRANSLATE(C170,""ja"",""vi"")"),"Đấu giá&gt; thể thao, giải trí&gt; Bằng cách thể thao&gt; Tennis&gt; Mang (đối với nam)")</f>
        <v>Đấu giá&gt; thể thao, giải trí&gt; Bằng cách thể thao&gt; Tennis&gt; Mang (đối với nam)</v>
      </c>
      <c r="F170" t="str">
        <f t="shared" ca="1" si="2"/>
        <v>"2084048413" : "Mang (đối với nam)",</v>
      </c>
    </row>
    <row r="171" spans="1:6" ht="15.75" customHeight="1">
      <c r="A171" s="14">
        <v>2084048414</v>
      </c>
      <c r="B171" s="14" t="s">
        <v>8420</v>
      </c>
      <c r="C171" s="14" t="s">
        <v>8711</v>
      </c>
      <c r="D171" s="5" t="str">
        <f ca="1">IFERROR(__xludf.DUMMYFUNCTION("GOOGLETRANSLATE(B171,""ja"",""vi"")"),"Mang (đối với nữ)")</f>
        <v>Mang (đối với nữ)</v>
      </c>
      <c r="E171" s="5" t="str">
        <f ca="1">IFERROR(__xludf.DUMMYFUNCTION("GOOGLETRANSLATE(C171,""ja"",""vi"")"),"Đấu giá&gt; thể thao, giải trí&gt; Bằng cách thể thao&gt; Tennis&gt; Mang (đối với nữ)")</f>
        <v>Đấu giá&gt; thể thao, giải trí&gt; Bằng cách thể thao&gt; Tennis&gt; Mang (đối với nữ)</v>
      </c>
      <c r="F171" t="str">
        <f t="shared" ca="1" si="2"/>
        <v>"2084048414" : "Mang (đối với nữ)",</v>
      </c>
    </row>
    <row r="172" spans="1:6" ht="15.75" customHeight="1">
      <c r="A172" s="14">
        <v>2084048415</v>
      </c>
      <c r="B172" s="14" t="s">
        <v>8713</v>
      </c>
      <c r="C172" s="14" t="s">
        <v>8715</v>
      </c>
      <c r="D172" s="5" t="str">
        <f ca="1">IFERROR(__xludf.DUMMYFUNCTION("GOOGLETRANSLATE(B172,""ja"",""vi"")"),"Mang (cho trẻ em)")</f>
        <v>Mang (cho trẻ em)</v>
      </c>
      <c r="E172" s="5" t="str">
        <f ca="1">IFERROR(__xludf.DUMMYFUNCTION("GOOGLETRANSLATE(C172,""ja"",""vi"")"),"Đấu giá&gt; thể thao, giải trí&gt; Bằng cách thể thao&gt; Tennis&gt; Mang (cho trẻ em)")</f>
        <v>Đấu giá&gt; thể thao, giải trí&gt; Bằng cách thể thao&gt; Tennis&gt; Mang (cho trẻ em)</v>
      </c>
      <c r="F172" t="str">
        <f t="shared" ca="1" si="2"/>
        <v>"2084048415" : "Mang (cho trẻ em)",</v>
      </c>
    </row>
    <row r="173" spans="1:6" ht="15.75" customHeight="1">
      <c r="A173" s="14">
        <v>2084062856</v>
      </c>
      <c r="B173" s="14" t="s">
        <v>8576</v>
      </c>
      <c r="C173" s="14" t="s">
        <v>8719</v>
      </c>
      <c r="D173" s="5" t="str">
        <f ca="1">IFERROR(__xludf.DUMMYFUNCTION("GOOGLETRANSLATE(B173,""ja"",""vi"")"),"đôi giày")</f>
        <v>đôi giày</v>
      </c>
      <c r="E173" s="5" t="str">
        <f ca="1">IFERROR(__xludf.DUMMYFUNCTION("GOOGLETRANSLATE(C173,""ja"",""vi"")"),"Đấu giá&gt; thể thao, giải trí&gt; Bằng cách thể thao&gt; Tennis&gt; Giày dép")</f>
        <v>Đấu giá&gt; thể thao, giải trí&gt; Bằng cách thể thao&gt; Tennis&gt; Giày dép</v>
      </c>
      <c r="F173" t="str">
        <f t="shared" ca="1" si="2"/>
        <v>"2084062856" : "đôi giày",</v>
      </c>
    </row>
    <row r="174" spans="1:6" ht="15.75" customHeight="1">
      <c r="A174" s="14">
        <v>2084062851</v>
      </c>
      <c r="B174" s="14" t="s">
        <v>8599</v>
      </c>
      <c r="C174" s="14" t="s">
        <v>8725</v>
      </c>
      <c r="D174" s="5" t="str">
        <f ca="1">IFERROR(__xludf.DUMMYFUNCTION("GOOGLETRANSLATE(B174,""ja"",""vi"")"),"túi")</f>
        <v>túi</v>
      </c>
      <c r="E174" s="5" t="str">
        <f ca="1">IFERROR(__xludf.DUMMYFUNCTION("GOOGLETRANSLATE(C174,""ja"",""vi"")"),"Đấu giá&gt; thể thao, giải trí&gt; Bằng cách thể thao&gt; Tennis&gt; Túi xách")</f>
        <v>Đấu giá&gt; thể thao, giải trí&gt; Bằng cách thể thao&gt; Tennis&gt; Túi xách</v>
      </c>
      <c r="F174" t="str">
        <f t="shared" ca="1" si="2"/>
        <v>"2084062851" : "túi",</v>
      </c>
    </row>
    <row r="175" spans="1:6" ht="15.75" customHeight="1">
      <c r="A175" s="14">
        <v>2084062848</v>
      </c>
      <c r="B175" s="14" t="s">
        <v>1685</v>
      </c>
      <c r="C175" s="14" t="s">
        <v>8730</v>
      </c>
      <c r="D175" s="5" t="str">
        <f ca="1">IFERROR(__xludf.DUMMYFUNCTION("GOOGLETRANSLATE(B175,""ja"",""vi"")"),"phụ kiện")</f>
        <v>phụ kiện</v>
      </c>
      <c r="E175" s="5" t="str">
        <f ca="1">IFERROR(__xludf.DUMMYFUNCTION("GOOGLETRANSLATE(C175,""ja"",""vi"")"),"Đấu giá&gt; thể thao, giải trí&gt; Bằng cách thể thao&gt; Tennis&gt; Accessories")</f>
        <v>Đấu giá&gt; thể thao, giải trí&gt; Bằng cách thể thao&gt; Tennis&gt; Accessories</v>
      </c>
      <c r="F175" t="str">
        <f t="shared" ca="1" si="2"/>
        <v>"2084062848" : "phụ kiện",</v>
      </c>
    </row>
    <row r="176" spans="1:6" ht="15.75" customHeight="1">
      <c r="A176" s="14">
        <v>2084032401</v>
      </c>
      <c r="B176" s="14" t="s">
        <v>8518</v>
      </c>
      <c r="C176" s="14" t="s">
        <v>8736</v>
      </c>
      <c r="D176" s="5" t="str">
        <f ca="1">IFERROR(__xludf.DUMMYFUNCTION("GOOGLETRANSLATE(B176,""ja"",""vi"")"),"quả bóng")</f>
        <v>quả bóng</v>
      </c>
      <c r="E176" s="5" t="str">
        <f ca="1">IFERROR(__xludf.DUMMYFUNCTION("GOOGLETRANSLATE(C176,""ja"",""vi"")"),"Đấu giá&gt; thể thao, giải trí&gt; Bằng cách thể thao&gt; Tennis&gt; Bóng")</f>
        <v>Đấu giá&gt; thể thao, giải trí&gt; Bằng cách thể thao&gt; Tennis&gt; Bóng</v>
      </c>
      <c r="F176" t="str">
        <f t="shared" ca="1" si="2"/>
        <v>"2084032401" : "quả bóng",</v>
      </c>
    </row>
    <row r="177" spans="1:6" ht="15.75" customHeight="1">
      <c r="A177" s="14">
        <v>2084032403</v>
      </c>
      <c r="B177" s="14" t="s">
        <v>46</v>
      </c>
      <c r="C177" s="14" t="s">
        <v>8741</v>
      </c>
      <c r="D177" s="5" t="str">
        <f ca="1">IFERROR(__xludf.DUMMYFUNCTION("GOOGLETRANSLATE(B177,""ja"",""vi"")"),"nếu không thì")</f>
        <v>nếu không thì</v>
      </c>
      <c r="E177" s="5" t="str">
        <f ca="1">IFERROR(__xludf.DUMMYFUNCTION("GOOGLETRANSLATE(C177,""ja"",""vi"")"),"Đấu giá&gt; thể thao, giải trí&gt; Bằng cách thể thao&gt; Tennis&gt; Khác")</f>
        <v>Đấu giá&gt; thể thao, giải trí&gt; Bằng cách thể thao&gt; Tennis&gt; Khác</v>
      </c>
      <c r="F177" t="str">
        <f t="shared" ca="1" si="2"/>
        <v>"2084032403" : "nếu không thì",</v>
      </c>
    </row>
    <row r="178" spans="1:6" ht="15.75" customHeight="1">
      <c r="A178" s="14">
        <v>2084299351</v>
      </c>
      <c r="B178" s="14" t="s">
        <v>8744</v>
      </c>
      <c r="C178" s="14" t="s">
        <v>8747</v>
      </c>
      <c r="D178" s="5" t="str">
        <f ca="1">IFERROR(__xludf.DUMMYFUNCTION("GOOGLETRANSLATE(B178,""ja"",""vi"")"),"bơi")</f>
        <v>bơi</v>
      </c>
      <c r="E178" s="5" t="str">
        <f ca="1">IFERROR(__xludf.DUMMYFUNCTION("GOOGLETRANSLATE(C178,""ja"",""vi"")"),"Đấu giá&gt; thể thao, giải trí&gt; Bằng Sport&gt; Triathlon&gt; Bơi")</f>
        <v>Đấu giá&gt; thể thao, giải trí&gt; Bằng Sport&gt; Triathlon&gt; Bơi</v>
      </c>
      <c r="F178" t="str">
        <f t="shared" ca="1" si="2"/>
        <v>"2084299351" : "bơi",</v>
      </c>
    </row>
    <row r="179" spans="1:6" ht="15.75" customHeight="1">
      <c r="A179" s="14">
        <v>2084299355</v>
      </c>
      <c r="B179" s="14" t="s">
        <v>8750</v>
      </c>
      <c r="C179" s="14" t="s">
        <v>8753</v>
      </c>
      <c r="D179" s="5" t="str">
        <f ca="1">IFERROR(__xludf.DUMMYFUNCTION("GOOGLETRANSLATE(B179,""ja"",""vi"")"),"Xe đạp (xe đạp)")</f>
        <v>Xe đạp (xe đạp)</v>
      </c>
      <c r="E179" s="5" t="str">
        <f ca="1">IFERROR(__xludf.DUMMYFUNCTION("GOOGLETRANSLATE(C179,""ja"",""vi"")"),"Đấu giá&gt; thể thao, giải trí&gt; Bằng Sport&gt; Triathlon&gt; xe đạp (xe đạp)")</f>
        <v>Đấu giá&gt; thể thao, giải trí&gt; Bằng Sport&gt; Triathlon&gt; xe đạp (xe đạp)</v>
      </c>
      <c r="F179" t="str">
        <f t="shared" ca="1" si="2"/>
        <v>"2084299355" : "Xe đạp (xe đạp)",</v>
      </c>
    </row>
    <row r="180" spans="1:6" ht="15.75" customHeight="1">
      <c r="A180" s="14">
        <v>2084299359</v>
      </c>
      <c r="B180" s="14" t="s">
        <v>8757</v>
      </c>
      <c r="C180" s="14" t="s">
        <v>8759</v>
      </c>
      <c r="D180" s="5" t="str">
        <f ca="1">IFERROR(__xludf.DUMMYFUNCTION("GOOGLETRANSLATE(B180,""ja"",""vi"")"),"Run (chạy)")</f>
        <v>Run (chạy)</v>
      </c>
      <c r="E180" s="5" t="str">
        <f ca="1">IFERROR(__xludf.DUMMYFUNCTION("GOOGLETRANSLATE(C180,""ja"",""vi"")"),"Đấu giá&gt; thể thao, giải trí&gt; Bằng Sport&gt; Triathlon&gt; run (chạy)")</f>
        <v>Đấu giá&gt; thể thao, giải trí&gt; Bằng Sport&gt; Triathlon&gt; run (chạy)</v>
      </c>
      <c r="F180" t="str">
        <f t="shared" ca="1" si="2"/>
        <v>"2084299359" : "Run (chạy)",</v>
      </c>
    </row>
    <row r="181" spans="1:6" ht="15.75" customHeight="1">
      <c r="A181" s="14">
        <v>2084062737</v>
      </c>
      <c r="B181" s="14" t="s">
        <v>8404</v>
      </c>
      <c r="C181" s="14" t="s">
        <v>8765</v>
      </c>
      <c r="D181" s="5" t="str">
        <f ca="1">IFERROR(__xludf.DUMMYFUNCTION("GOOGLETRANSLATE(B181,""ja"",""vi"")"),"phần bổ sung")</f>
        <v>phần bổ sung</v>
      </c>
      <c r="E181" s="5" t="str">
        <f ca="1">IFERROR(__xludf.DUMMYFUNCTION("GOOGLETRANSLATE(C181,""ja"",""vi"")"),"Đấu giá&gt; thể thao, giải trí&gt; Bằng Sport&gt; Triathlon&gt; bổ sung")</f>
        <v>Đấu giá&gt; thể thao, giải trí&gt; Bằng Sport&gt; Triathlon&gt; bổ sung</v>
      </c>
      <c r="F181" t="str">
        <f t="shared" ca="1" si="2"/>
        <v>"2084062737" : "phần bổ sung",</v>
      </c>
    </row>
    <row r="182" spans="1:6" ht="15.75" customHeight="1">
      <c r="A182" s="14">
        <v>2084063070</v>
      </c>
      <c r="B182" s="14" t="s">
        <v>8770</v>
      </c>
      <c r="C182" s="14" t="s">
        <v>8773</v>
      </c>
      <c r="D182" s="5" t="str">
        <f ca="1">IFERROR(__xludf.DUMMYFUNCTION("GOOGLETRANSLATE(B182,""ja"",""vi"")"),"vợt")</f>
        <v>vợt</v>
      </c>
      <c r="E182" s="5" t="str">
        <f ca="1">IFERROR(__xludf.DUMMYFUNCTION("GOOGLETRANSLATE(C182,""ja"",""vi"")"),"Đấu giá&gt; thể thao, giải trí&gt; Bằng cách thể thao&gt; Bóng bàn&gt; Vợt")</f>
        <v>Đấu giá&gt; thể thao, giải trí&gt; Bằng cách thể thao&gt; Bóng bàn&gt; Vợt</v>
      </c>
      <c r="F182" t="str">
        <f t="shared" ca="1" si="2"/>
        <v>"2084063070" : "vợt",</v>
      </c>
    </row>
    <row r="183" spans="1:6" ht="15.75" customHeight="1">
      <c r="A183" s="14">
        <v>2084063073</v>
      </c>
      <c r="B183" s="14" t="s">
        <v>8778</v>
      </c>
      <c r="C183" s="14" t="s">
        <v>8779</v>
      </c>
      <c r="D183" s="5" t="str">
        <f ca="1">IFERROR(__xludf.DUMMYFUNCTION("GOOGLETRANSLATE(B183,""ja"",""vi"")"),"cao su")</f>
        <v>cao su</v>
      </c>
      <c r="E183" s="5" t="str">
        <f ca="1">IFERROR(__xludf.DUMMYFUNCTION("GOOGLETRANSLATE(C183,""ja"",""vi"")"),"Đấu giá&gt; thể thao, giải trí&gt; Bằng cách thể thao&gt; Bóng bàn&gt; Cao su")</f>
        <v>Đấu giá&gt; thể thao, giải trí&gt; Bằng cách thể thao&gt; Bóng bàn&gt; Cao su</v>
      </c>
      <c r="F183" t="str">
        <f t="shared" ca="1" si="2"/>
        <v>"2084063073" : "cao su",</v>
      </c>
    </row>
    <row r="184" spans="1:6" ht="15.75" customHeight="1">
      <c r="A184" s="14">
        <v>2084286192</v>
      </c>
      <c r="B184" s="14" t="s">
        <v>8784</v>
      </c>
      <c r="C184" s="14" t="s">
        <v>8787</v>
      </c>
      <c r="D184" s="5" t="str">
        <f ca="1">IFERROR(__xludf.DUMMYFUNCTION("GOOGLETRANSLATE(B184,""ja"",""vi"")"),"Túi, hộp đựng")</f>
        <v>Túi, hộp đựng</v>
      </c>
      <c r="E184" s="5" t="str">
        <f ca="1">IFERROR(__xludf.DUMMYFUNCTION("GOOGLETRANSLATE(C184,""ja"",""vi"")"),"Đấu giá&gt; thể thao, giải trí&gt; Bằng cách thể thao&gt; Bóng bàn&gt; Túi xách, trường hợp")</f>
        <v>Đấu giá&gt; thể thao, giải trí&gt; Bằng cách thể thao&gt; Bóng bàn&gt; Túi xách, trường hợp</v>
      </c>
      <c r="F184" t="str">
        <f t="shared" ca="1" si="2"/>
        <v>"2084286192" : "Túi, hộp đựng",</v>
      </c>
    </row>
    <row r="185" spans="1:6" ht="15.75" customHeight="1">
      <c r="A185" s="14">
        <v>2084063071</v>
      </c>
      <c r="B185" s="14" t="s">
        <v>8343</v>
      </c>
      <c r="C185" s="14" t="s">
        <v>8791</v>
      </c>
      <c r="D185" s="5" t="str">
        <f ca="1">IFERROR(__xludf.DUMMYFUNCTION("GOOGLETRANSLATE(B185,""ja"",""vi"")"),"Mang")</f>
        <v>Mang</v>
      </c>
      <c r="E185" s="5" t="str">
        <f ca="1">IFERROR(__xludf.DUMMYFUNCTION("GOOGLETRANSLATE(C185,""ja"",""vi"")"),"Đấu giá&gt; thể thao, giải trí&gt; Bằng cách thể thao&gt; Bóng bàn&gt; Mang")</f>
        <v>Đấu giá&gt; thể thao, giải trí&gt; Bằng cách thể thao&gt; Bóng bàn&gt; Mang</v>
      </c>
      <c r="F185" t="str">
        <f t="shared" ca="1" si="2"/>
        <v>"2084063071" : "Mang",</v>
      </c>
    </row>
    <row r="186" spans="1:6" ht="15.75" customHeight="1">
      <c r="A186" s="14">
        <v>2084063074</v>
      </c>
      <c r="B186" s="14" t="s">
        <v>8576</v>
      </c>
      <c r="C186" s="14" t="s">
        <v>8796</v>
      </c>
      <c r="D186" s="5" t="str">
        <f ca="1">IFERROR(__xludf.DUMMYFUNCTION("GOOGLETRANSLATE(B186,""ja"",""vi"")"),"đôi giày")</f>
        <v>đôi giày</v>
      </c>
      <c r="E186" s="5" t="str">
        <f ca="1">IFERROR(__xludf.DUMMYFUNCTION("GOOGLETRANSLATE(C186,""ja"",""vi"")"),"Đấu giá&gt; thể thao, giải trí&gt; Bằng cách thể thao&gt; Bóng bàn&gt; Giày dép")</f>
        <v>Đấu giá&gt; thể thao, giải trí&gt; Bằng cách thể thao&gt; Bóng bàn&gt; Giày dép</v>
      </c>
      <c r="F186" t="str">
        <f t="shared" ca="1" si="2"/>
        <v>"2084063074" : "đôi giày",</v>
      </c>
    </row>
    <row r="187" spans="1:6" ht="15.75" customHeight="1">
      <c r="A187" s="14">
        <v>2084063072</v>
      </c>
      <c r="B187" s="14" t="s">
        <v>8518</v>
      </c>
      <c r="C187" s="14" t="s">
        <v>8801</v>
      </c>
      <c r="D187" s="5" t="str">
        <f ca="1">IFERROR(__xludf.DUMMYFUNCTION("GOOGLETRANSLATE(B187,""ja"",""vi"")"),"quả bóng")</f>
        <v>quả bóng</v>
      </c>
      <c r="E187" s="5" t="str">
        <f ca="1">IFERROR(__xludf.DUMMYFUNCTION("GOOGLETRANSLATE(C187,""ja"",""vi"")"),"Đấu giá&gt; thể thao, giải trí&gt; Bằng cách thể thao&gt; Bóng bàn&gt; Bóng")</f>
        <v>Đấu giá&gt; thể thao, giải trí&gt; Bằng cách thể thao&gt; Bóng bàn&gt; Bóng</v>
      </c>
      <c r="F187" t="str">
        <f t="shared" ca="1" si="2"/>
        <v>"2084063072" : "quả bóng",</v>
      </c>
    </row>
    <row r="188" spans="1:6" ht="15.75" customHeight="1">
      <c r="A188" s="14">
        <v>2084063075</v>
      </c>
      <c r="B188" s="14" t="s">
        <v>8803</v>
      </c>
      <c r="C188" s="14" t="s">
        <v>8806</v>
      </c>
      <c r="D188" s="5" t="str">
        <f ca="1">IFERROR(__xludf.DUMMYFUNCTION("GOOGLETRANSLATE(B188,""ja"",""vi"")"),"bóng bàn")</f>
        <v>bóng bàn</v>
      </c>
      <c r="E188" s="5" t="str">
        <f ca="1">IFERROR(__xludf.DUMMYFUNCTION("GOOGLETRANSLATE(C188,""ja"",""vi"")"),"Đấu giá&gt; thể thao, giải trí&gt; Bằng cách thể thao&gt; Bóng bàn&gt; bóng bàn")</f>
        <v>Đấu giá&gt; thể thao, giải trí&gt; Bằng cách thể thao&gt; Bóng bàn&gt; bóng bàn</v>
      </c>
      <c r="F188" t="str">
        <f t="shared" ca="1" si="2"/>
        <v>"2084063075" : "bóng bàn",</v>
      </c>
    </row>
    <row r="189" spans="1:6" ht="15.75" customHeight="1">
      <c r="A189" s="14">
        <v>2084063076</v>
      </c>
      <c r="B189" s="14" t="s">
        <v>46</v>
      </c>
      <c r="C189" s="14" t="s">
        <v>8810</v>
      </c>
      <c r="D189" s="5" t="str">
        <f ca="1">IFERROR(__xludf.DUMMYFUNCTION("GOOGLETRANSLATE(B189,""ja"",""vi"")"),"nếu không thì")</f>
        <v>nếu không thì</v>
      </c>
      <c r="E189" s="5" t="str">
        <f ca="1">IFERROR(__xludf.DUMMYFUNCTION("GOOGLETRANSLATE(C189,""ja"",""vi"")"),"Đấu giá&gt; thể thao, giải trí&gt; Bằng cách thể thao&gt; Bóng bàn&gt; Khác")</f>
        <v>Đấu giá&gt; thể thao, giải trí&gt; Bằng cách thể thao&gt; Bóng bàn&gt; Khác</v>
      </c>
      <c r="F189" t="str">
        <f t="shared" ca="1" si="2"/>
        <v>"2084063076" : "nếu không thì",</v>
      </c>
    </row>
    <row r="190" spans="1:6" ht="15.75" customHeight="1">
      <c r="A190" s="14">
        <v>2084062248</v>
      </c>
      <c r="B190" s="14" t="s">
        <v>8814</v>
      </c>
      <c r="C190" s="14" t="s">
        <v>8815</v>
      </c>
      <c r="D190" s="5" t="str">
        <f ca="1">IFERROR(__xludf.DUMMYFUNCTION("GOOGLETRANSLATE(B190,""ja"",""vi"")"),"trekking giày")</f>
        <v>trekking giày</v>
      </c>
      <c r="E190" s="5" t="str">
        <f ca="1">IFERROR(__xludf.DUMMYFUNCTION("GOOGLETRANSLATE(C190,""ja"",""vi"")"),"Đấu giá&gt; thể thao, giải trí&gt; trại, hàng ngoài trời&gt; Đồ leo núi&gt; giày trekking")</f>
        <v>Đấu giá&gt; thể thao, giải trí&gt; trại, hàng ngoài trời&gt; Đồ leo núi&gt; giày trekking</v>
      </c>
      <c r="F190" t="str">
        <f t="shared" ca="1" si="2"/>
        <v>"2084062248" : "trekking giày",</v>
      </c>
    </row>
    <row r="191" spans="1:6" ht="15.75" customHeight="1">
      <c r="A191" s="14">
        <v>2084063019</v>
      </c>
      <c r="B191" s="14" t="s">
        <v>8820</v>
      </c>
      <c r="C191" s="14" t="s">
        <v>8821</v>
      </c>
      <c r="D191" s="5" t="str">
        <f ca="1">IFERROR(__xludf.DUMMYFUNCTION("GOOGLETRANSLATE(B191,""ja"",""vi"")"),"trekking dính")</f>
        <v>trekking dính</v>
      </c>
      <c r="E191" s="5" t="str">
        <f ca="1">IFERROR(__xludf.DUMMYFUNCTION("GOOGLETRANSLATE(C191,""ja"",""vi"")"),"Đấu giá&gt; thể thao, giải trí&gt; trại, hàng ngoài trời&gt; leo núi Đồ&gt; trekking dính")</f>
        <v>Đấu giá&gt; thể thao, giải trí&gt; trại, hàng ngoài trời&gt; leo núi Đồ&gt; trekking dính</v>
      </c>
      <c r="F191" t="str">
        <f t="shared" ca="1" si="2"/>
        <v>"2084063019" : "trekking dính",</v>
      </c>
    </row>
    <row r="192" spans="1:6" ht="15.75" customHeight="1">
      <c r="A192" s="14">
        <v>24874</v>
      </c>
      <c r="B192" s="14" t="s">
        <v>8826</v>
      </c>
      <c r="C192" s="14" t="s">
        <v>8827</v>
      </c>
      <c r="D192" s="5" t="str">
        <f ca="1">IFERROR(__xludf.DUMMYFUNCTION("GOOGLETRANSLATE(B192,""ja"",""vi"")"),"dao")</f>
        <v>dao</v>
      </c>
      <c r="E192" s="5" t="str">
        <f ca="1">IFERROR(__xludf.DUMMYFUNCTION("GOOGLETRANSLATE(C192,""ja"",""vi"")"),"Đấu giá&gt; thể thao, giải trí&gt; trại, hàng ngoài trời&gt; leo nguồn cung cấp&gt; dao")</f>
        <v>Đấu giá&gt; thể thao, giải trí&gt; trại, hàng ngoài trời&gt; leo nguồn cung cấp&gt; dao</v>
      </c>
      <c r="F192" t="str">
        <f t="shared" ca="1" si="2"/>
        <v>"24874" : "dao",</v>
      </c>
    </row>
    <row r="193" spans="1:6" ht="15.75" customHeight="1">
      <c r="A193" s="14">
        <v>24906</v>
      </c>
      <c r="B193" s="14" t="s">
        <v>8832</v>
      </c>
      <c r="C193" s="14" t="s">
        <v>8835</v>
      </c>
      <c r="D193" s="5" t="str">
        <f ca="1">IFERROR(__xludf.DUMMYFUNCTION("GOOGLETRANSLATE(B193,""ja"",""vi"")"),"Handy Light, đèn pin")</f>
        <v>Handy Light, đèn pin</v>
      </c>
      <c r="E193" s="5" t="str">
        <f ca="1">IFERROR(__xludf.DUMMYFUNCTION("GOOGLETRANSLATE(C193,""ja"",""vi"")"),"Đấu giá&gt; thể thao, giải trí&gt; trại, hàng ngoài trời&gt; leo nguồn cung cấp&gt; ánh sáng tiện dụng, đèn pin")</f>
        <v>Đấu giá&gt; thể thao, giải trí&gt; trại, hàng ngoài trời&gt; leo nguồn cung cấp&gt; ánh sáng tiện dụng, đèn pin</v>
      </c>
      <c r="F193" t="str">
        <f t="shared" ca="1" si="2"/>
        <v>"24906" : "Handy Light, đèn pin",</v>
      </c>
    </row>
    <row r="194" spans="1:6" ht="15.75" customHeight="1">
      <c r="A194" s="14">
        <v>2084209095</v>
      </c>
      <c r="B194" s="14" t="s">
        <v>8839</v>
      </c>
      <c r="C194" s="14" t="s">
        <v>8842</v>
      </c>
      <c r="D194" s="5" t="str">
        <f ca="1">IFERROR(__xludf.DUMMYFUNCTION("GOOGLETRANSLATE(B194,""ja"",""vi"")"),"còi")</f>
        <v>còi</v>
      </c>
      <c r="E194" s="5" t="str">
        <f ca="1">IFERROR(__xludf.DUMMYFUNCTION("GOOGLETRANSLATE(C194,""ja"",""vi"")"),"Đấu giá&gt; thể thao, giải trí&gt; trại, hàng ngoài trời&gt; leo cung&gt; còi")</f>
        <v>Đấu giá&gt; thể thao, giải trí&gt; trại, hàng ngoài trời&gt; leo cung&gt; còi</v>
      </c>
      <c r="F194" t="str">
        <f t="shared" ref="F194:F257" ca="1" si="3">CONCATENATE(CHAR(34)&amp;"",A194,""&amp;CHAR(34)," : ", CHAR(34)&amp;"",D194,""&amp;CHAR(34),",")</f>
        <v>"2084209095" : "còi",</v>
      </c>
    </row>
    <row r="195" spans="1:6" ht="15.75" customHeight="1">
      <c r="A195" s="14">
        <v>25254</v>
      </c>
      <c r="B195" s="14" t="s">
        <v>8845</v>
      </c>
      <c r="C195" s="14" t="s">
        <v>8847</v>
      </c>
      <c r="D195" s="5" t="str">
        <f ca="1">IFERROR(__xludf.DUMMYFUNCTION("GOOGLETRANSLATE(B195,""ja"",""vi"")"),"leo núi")</f>
        <v>leo núi</v>
      </c>
      <c r="E195" s="5" t="str">
        <f ca="1">IFERROR(__xludf.DUMMYFUNCTION("GOOGLETRANSLATE(C195,""ja"",""vi"")"),"Đấu giá&gt; thể thao, giải trí&gt; trại, hàng ngoài trời&gt; leo nguồn cung cấp&gt; Leo")</f>
        <v>Đấu giá&gt; thể thao, giải trí&gt; trại, hàng ngoài trời&gt; leo nguồn cung cấp&gt; Leo</v>
      </c>
      <c r="F195" t="str">
        <f t="shared" ca="1" si="3"/>
        <v>"25254" : "leo núi",</v>
      </c>
    </row>
    <row r="196" spans="1:6" ht="15.75" customHeight="1">
      <c r="A196" s="14">
        <v>2084286282</v>
      </c>
      <c r="B196" s="14" t="s">
        <v>8851</v>
      </c>
      <c r="C196" s="14" t="s">
        <v>8854</v>
      </c>
      <c r="D196" s="5" t="str">
        <f ca="1">IFERROR(__xludf.DUMMYFUNCTION("GOOGLETRANSLATE(B196,""ja"",""vi"")"),"áo sơ mi")</f>
        <v>áo sơ mi</v>
      </c>
      <c r="E196" s="5" t="str">
        <f ca="1">IFERROR(__xludf.DUMMYFUNCTION("GOOGLETRANSLATE(C196,""ja"",""vi"")"),"Đấu giá&gt; thể thao, giải trí&gt; Bằng cách thể thao&gt; Bóng ném&gt; Áo sơ mi")</f>
        <v>Đấu giá&gt; thể thao, giải trí&gt; Bằng cách thể thao&gt; Bóng ném&gt; Áo sơ mi</v>
      </c>
      <c r="F196" t="str">
        <f t="shared" ca="1" si="3"/>
        <v>"2084286282" : "áo sơ mi",</v>
      </c>
    </row>
    <row r="197" spans="1:6" ht="15.75" customHeight="1">
      <c r="A197" s="14">
        <v>2084286283</v>
      </c>
      <c r="B197" s="14" t="s">
        <v>8859</v>
      </c>
      <c r="C197" s="14" t="s">
        <v>8861</v>
      </c>
      <c r="D197" s="5" t="str">
        <f ca="1">IFERROR(__xludf.DUMMYFUNCTION("GOOGLETRANSLATE(B197,""ja"",""vi"")"),"quần short")</f>
        <v>quần short</v>
      </c>
      <c r="E197" s="5" t="str">
        <f ca="1">IFERROR(__xludf.DUMMYFUNCTION("GOOGLETRANSLATE(C197,""ja"",""vi"")"),"Đấu giá&gt; thể thao, giải trí&gt; thể thao khác&gt; ném&gt; quần short")</f>
        <v>Đấu giá&gt; thể thao, giải trí&gt; thể thao khác&gt; ném&gt; quần short</v>
      </c>
      <c r="F197" t="str">
        <f t="shared" ca="1" si="3"/>
        <v>"2084286283" : "quần short",</v>
      </c>
    </row>
    <row r="198" spans="1:6" ht="15.75" customHeight="1">
      <c r="A198" s="14">
        <v>2084286284</v>
      </c>
      <c r="B198" s="14" t="s">
        <v>8576</v>
      </c>
      <c r="C198" s="14" t="s">
        <v>8866</v>
      </c>
      <c r="D198" s="5" t="str">
        <f ca="1">IFERROR(__xludf.DUMMYFUNCTION("GOOGLETRANSLATE(B198,""ja"",""vi"")"),"đôi giày")</f>
        <v>đôi giày</v>
      </c>
      <c r="E198" s="5" t="str">
        <f ca="1">IFERROR(__xludf.DUMMYFUNCTION("GOOGLETRANSLATE(C198,""ja"",""vi"")"),"Đấu giá&gt; thể thao, giải trí&gt; Bằng cách thể thao&gt; Bóng ném&gt; Giày dép")</f>
        <v>Đấu giá&gt; thể thao, giải trí&gt; Bằng cách thể thao&gt; Bóng ném&gt; Giày dép</v>
      </c>
      <c r="F198" t="str">
        <f t="shared" ca="1" si="3"/>
        <v>"2084286284" : "đôi giày",</v>
      </c>
    </row>
    <row r="199" spans="1:6" ht="15.75" customHeight="1">
      <c r="A199" s="14">
        <v>2084286285</v>
      </c>
      <c r="B199" s="14" t="s">
        <v>8518</v>
      </c>
      <c r="C199" s="14" t="s">
        <v>8871</v>
      </c>
      <c r="D199" s="5" t="str">
        <f ca="1">IFERROR(__xludf.DUMMYFUNCTION("GOOGLETRANSLATE(B199,""ja"",""vi"")"),"quả bóng")</f>
        <v>quả bóng</v>
      </c>
      <c r="E199" s="5" t="str">
        <f ca="1">IFERROR(__xludf.DUMMYFUNCTION("GOOGLETRANSLATE(C199,""ja"",""vi"")"),"Đấu giá&gt; thể thao, giải trí&gt; Bằng cách thể thao&gt; Bóng ném&gt; bóng")</f>
        <v>Đấu giá&gt; thể thao, giải trí&gt; Bằng cách thể thao&gt; Bóng ném&gt; bóng</v>
      </c>
      <c r="F199" t="str">
        <f t="shared" ca="1" si="3"/>
        <v>"2084286285" : "quả bóng",</v>
      </c>
    </row>
    <row r="200" spans="1:6" ht="15.75" customHeight="1">
      <c r="A200" s="14">
        <v>2084286286</v>
      </c>
      <c r="B200" s="14" t="s">
        <v>46</v>
      </c>
      <c r="C200" s="14" t="s">
        <v>8874</v>
      </c>
      <c r="D200" s="5" t="str">
        <f ca="1">IFERROR(__xludf.DUMMYFUNCTION("GOOGLETRANSLATE(B200,""ja"",""vi"")"),"nếu không thì")</f>
        <v>nếu không thì</v>
      </c>
      <c r="E200" s="5" t="str">
        <f ca="1">IFERROR(__xludf.DUMMYFUNCTION("GOOGLETRANSLATE(C200,""ja"",""vi"")"),"Đấu giá&gt; thể thao, giải trí&gt; Bằng cách thể thao&gt; Bóng ném&gt; Khác")</f>
        <v>Đấu giá&gt; thể thao, giải trí&gt; Bằng cách thể thao&gt; Bóng ném&gt; Khác</v>
      </c>
      <c r="F200" t="str">
        <f t="shared" ca="1" si="3"/>
        <v>"2084286286" : "nếu không thì",</v>
      </c>
    </row>
    <row r="201" spans="1:6" ht="15.75" customHeight="1">
      <c r="A201" s="14">
        <v>2084047205</v>
      </c>
      <c r="B201" s="14" t="s">
        <v>8343</v>
      </c>
      <c r="C201" s="14" t="s">
        <v>8879</v>
      </c>
      <c r="D201" s="5" t="str">
        <f ca="1">IFERROR(__xludf.DUMMYFUNCTION("GOOGLETRANSLATE(B201,""ja"",""vi"")"),"Mang")</f>
        <v>Mang</v>
      </c>
      <c r="E201" s="5" t="str">
        <f ca="1">IFERROR(__xludf.DUMMYFUNCTION("GOOGLETRANSLATE(C201,""ja"",""vi"")"),"Đấu giá&gt; thể thao, giải trí&gt; Bằng cách thể thao&gt; Bóng rổ&gt; Mang")</f>
        <v>Đấu giá&gt; thể thao, giải trí&gt; Bằng cách thể thao&gt; Bóng rổ&gt; Mang</v>
      </c>
      <c r="F201" t="str">
        <f t="shared" ca="1" si="3"/>
        <v>"2084047205" : "Mang",</v>
      </c>
    </row>
    <row r="202" spans="1:6" ht="15.75" customHeight="1">
      <c r="A202" s="14">
        <v>2084047206</v>
      </c>
      <c r="B202" s="14" t="s">
        <v>8576</v>
      </c>
      <c r="C202" s="14" t="s">
        <v>8885</v>
      </c>
      <c r="D202" s="5" t="str">
        <f ca="1">IFERROR(__xludf.DUMMYFUNCTION("GOOGLETRANSLATE(B202,""ja"",""vi"")"),"đôi giày")</f>
        <v>đôi giày</v>
      </c>
      <c r="E202" s="5" t="str">
        <f ca="1">IFERROR(__xludf.DUMMYFUNCTION("GOOGLETRANSLATE(C202,""ja"",""vi"")"),"Đấu giá&gt; thể thao, giải trí&gt; Bằng cách thể thao&gt; Bóng rổ&gt; Giày dép")</f>
        <v>Đấu giá&gt; thể thao, giải trí&gt; Bằng cách thể thao&gt; Bóng rổ&gt; Giày dép</v>
      </c>
      <c r="F202" t="str">
        <f t="shared" ca="1" si="3"/>
        <v>"2084047206" : "đôi giày",</v>
      </c>
    </row>
    <row r="203" spans="1:6" ht="15.75" customHeight="1">
      <c r="A203" s="14">
        <v>2084286049</v>
      </c>
      <c r="B203" s="14" t="s">
        <v>8888</v>
      </c>
      <c r="C203" s="14" t="s">
        <v>8890</v>
      </c>
      <c r="D203" s="5" t="str">
        <f ca="1">IFERROR(__xludf.DUMMYFUNCTION("GOOGLETRANSLATE(B203,""ja"",""vi"")"),"người ủng hộ")</f>
        <v>người ủng hộ</v>
      </c>
      <c r="E203" s="5" t="str">
        <f ca="1">IFERROR(__xludf.DUMMYFUNCTION("GOOGLETRANSLATE(C203,""ja"",""vi"")"),"Đấu giá&gt; thể thao, giải trí&gt; Bằng cách thể thao&gt; Bóng rổ&gt; Những người ủng hộ")</f>
        <v>Đấu giá&gt; thể thao, giải trí&gt; Bằng cách thể thao&gt; Bóng rổ&gt; Những người ủng hộ</v>
      </c>
      <c r="F203" t="str">
        <f t="shared" ca="1" si="3"/>
        <v>"2084286049" : "người ủng hộ",</v>
      </c>
    </row>
    <row r="204" spans="1:6" ht="15.75" customHeight="1">
      <c r="A204" s="14">
        <v>2084286048</v>
      </c>
      <c r="B204" s="14" t="s">
        <v>8599</v>
      </c>
      <c r="C204" s="14" t="s">
        <v>8895</v>
      </c>
      <c r="D204" s="5" t="str">
        <f ca="1">IFERROR(__xludf.DUMMYFUNCTION("GOOGLETRANSLATE(B204,""ja"",""vi"")"),"túi")</f>
        <v>túi</v>
      </c>
      <c r="E204" s="5" t="str">
        <f ca="1">IFERROR(__xludf.DUMMYFUNCTION("GOOGLETRANSLATE(C204,""ja"",""vi"")"),"Đấu giá&gt; thể thao, giải trí&gt; Bằng cách thể thao&gt; Bóng rổ&gt; Túi xách")</f>
        <v>Đấu giá&gt; thể thao, giải trí&gt; Bằng cách thể thao&gt; Bóng rổ&gt; Túi xách</v>
      </c>
      <c r="F204" t="str">
        <f t="shared" ca="1" si="3"/>
        <v>"2084286048" : "túi",</v>
      </c>
    </row>
    <row r="205" spans="1:6" ht="15.75" customHeight="1">
      <c r="A205" s="14">
        <v>2084047209</v>
      </c>
      <c r="B205" s="14" t="s">
        <v>8518</v>
      </c>
      <c r="C205" s="14" t="s">
        <v>8899</v>
      </c>
      <c r="D205" s="5" t="str">
        <f ca="1">IFERROR(__xludf.DUMMYFUNCTION("GOOGLETRANSLATE(B205,""ja"",""vi"")"),"quả bóng")</f>
        <v>quả bóng</v>
      </c>
      <c r="E205" s="5" t="str">
        <f ca="1">IFERROR(__xludf.DUMMYFUNCTION("GOOGLETRANSLATE(C205,""ja"",""vi"")"),"Đấu giá&gt; thể thao, giải trí&gt; Bằng cách thể thao&gt; Bóng rổ&gt; Bóng")</f>
        <v>Đấu giá&gt; thể thao, giải trí&gt; Bằng cách thể thao&gt; Bóng rổ&gt; Bóng</v>
      </c>
      <c r="F205" t="str">
        <f t="shared" ca="1" si="3"/>
        <v>"2084047209" : "quả bóng",</v>
      </c>
    </row>
    <row r="206" spans="1:6" ht="15.75" customHeight="1">
      <c r="A206" s="14">
        <v>2084286038</v>
      </c>
      <c r="B206" s="14" t="s">
        <v>8901</v>
      </c>
      <c r="C206" s="14" t="s">
        <v>8903</v>
      </c>
      <c r="D206" s="5" t="str">
        <f ca="1">IFERROR(__xludf.DUMMYFUNCTION("GOOGLETRANSLATE(B206,""ja"",""vi"")"),"mục tiêu")</f>
        <v>mục tiêu</v>
      </c>
      <c r="E206" s="5" t="str">
        <f ca="1">IFERROR(__xludf.DUMMYFUNCTION("GOOGLETRANSLATE(C206,""ja"",""vi"")"),"Đấu giá&gt; thể thao, giải trí&gt; Bằng cách thể thao&gt; Bóng rổ&gt; goal")</f>
        <v>Đấu giá&gt; thể thao, giải trí&gt; Bằng cách thể thao&gt; Bóng rổ&gt; goal</v>
      </c>
      <c r="F206" t="str">
        <f t="shared" ca="1" si="3"/>
        <v>"2084286038" : "mục tiêu",</v>
      </c>
    </row>
    <row r="207" spans="1:6" ht="15.75" customHeight="1">
      <c r="A207" s="14">
        <v>25382</v>
      </c>
      <c r="B207" s="14" t="s">
        <v>8505</v>
      </c>
      <c r="C207" s="14" t="s">
        <v>8908</v>
      </c>
      <c r="D207" s="5" t="str">
        <f ca="1">IFERROR(__xludf.DUMMYFUNCTION("GOOGLETRANSLATE(B207,""ja"",""vi"")"),"Lưu niệm, hàng hóa có liên quan")</f>
        <v>Lưu niệm, hàng hóa có liên quan</v>
      </c>
      <c r="E207" s="5" t="str">
        <f ca="1">IFERROR(__xludf.DUMMYFUNCTION("GOOGLETRANSLATE(C207,""ja"",""vi"")"),"Đấu giá&gt; thể thao, giải trí&gt; Bằng cách thể thao&gt; Bóng rổ&gt; lưu niệm, hàng hóa có liên quan")</f>
        <v>Đấu giá&gt; thể thao, giải trí&gt; Bằng cách thể thao&gt; Bóng rổ&gt; lưu niệm, hàng hóa có liên quan</v>
      </c>
      <c r="F207" t="str">
        <f t="shared" ca="1" si="3"/>
        <v>"25382" : "Lưu niệm, hàng hóa có liên quan",</v>
      </c>
    </row>
    <row r="208" spans="1:6" ht="15.75" customHeight="1">
      <c r="A208" s="14">
        <v>25442</v>
      </c>
      <c r="B208" s="14" t="s">
        <v>8910</v>
      </c>
      <c r="C208" s="14" t="s">
        <v>8913</v>
      </c>
      <c r="D208" s="5" t="str">
        <f ca="1">IFERROR(__xludf.DUMMYFUNCTION("GOOGLETRANSLATE(B208,""ja"",""vi"")"),"Vé bóng rổ")</f>
        <v>Vé bóng rổ</v>
      </c>
      <c r="E208" s="5" t="str">
        <f ca="1">IFERROR(__xludf.DUMMYFUNCTION("GOOGLETRANSLATE(C208,""ja"",""vi"")"),"Đấu giá&gt; thể thao, giải trí&gt; Bằng cách thể thao&gt; Bóng rổ&gt; Bóng rổ vé")</f>
        <v>Đấu giá&gt; thể thao, giải trí&gt; Bằng cách thể thao&gt; Bóng rổ&gt; Bóng rổ vé</v>
      </c>
      <c r="F208" t="str">
        <f t="shared" ca="1" si="3"/>
        <v>"25442" : "Vé bóng rổ",</v>
      </c>
    </row>
    <row r="209" spans="1:6" ht="15.75" customHeight="1">
      <c r="A209" s="14">
        <v>2084033814</v>
      </c>
      <c r="B209" s="14" t="s">
        <v>1586</v>
      </c>
      <c r="C209" s="14" t="s">
        <v>8917</v>
      </c>
      <c r="D209" s="5" t="str">
        <f ca="1">IFERROR(__xludf.DUMMYFUNCTION("GOOGLETRANSLATE(B209,""ja"",""vi"")"),"tạp chí")</f>
        <v>tạp chí</v>
      </c>
      <c r="E209" s="5" t="str">
        <f ca="1">IFERROR(__xludf.DUMMYFUNCTION("GOOGLETRANSLATE(C209,""ja"",""vi"")"),"Đấu giá&gt; thể thao, giải trí&gt; Bằng cách thể thao&gt; Bóng rổ&gt; Tạp chí")</f>
        <v>Đấu giá&gt; thể thao, giải trí&gt; Bằng cách thể thao&gt; Bóng rổ&gt; Tạp chí</v>
      </c>
      <c r="F209" t="str">
        <f t="shared" ca="1" si="3"/>
        <v>"2084033814" : "tạp chí",</v>
      </c>
    </row>
    <row r="210" spans="1:6" ht="15.75" customHeight="1">
      <c r="A210" s="14">
        <v>2084047215</v>
      </c>
      <c r="B210" s="14" t="s">
        <v>1632</v>
      </c>
      <c r="C210" s="14" t="s">
        <v>8922</v>
      </c>
      <c r="D210" s="5" t="str">
        <f ca="1">IFERROR(__xludf.DUMMYFUNCTION("GOOGLETRANSLATE(B210,""ja"",""vi"")"),"điều này")</f>
        <v>điều này</v>
      </c>
      <c r="E210" s="5" t="str">
        <f ca="1">IFERROR(__xludf.DUMMYFUNCTION("GOOGLETRANSLATE(C210,""ja"",""vi"")"),"Đấu giá&gt; thể thao, giải trí&gt; Bằng cách thể thao&gt; Bóng rổ&gt; Sách")</f>
        <v>Đấu giá&gt; thể thao, giải trí&gt; Bằng cách thể thao&gt; Bóng rổ&gt; Sách</v>
      </c>
      <c r="F210" t="str">
        <f t="shared" ca="1" si="3"/>
        <v>"2084047215" : "điều này",</v>
      </c>
    </row>
    <row r="211" spans="1:6" ht="15.75" customHeight="1">
      <c r="A211" s="14">
        <v>2084047218</v>
      </c>
      <c r="B211" s="14" t="s">
        <v>46</v>
      </c>
      <c r="C211" s="14" t="s">
        <v>8926</v>
      </c>
      <c r="D211" s="5" t="str">
        <f ca="1">IFERROR(__xludf.DUMMYFUNCTION("GOOGLETRANSLATE(B211,""ja"",""vi"")"),"nếu không thì")</f>
        <v>nếu không thì</v>
      </c>
      <c r="E211" s="5" t="str">
        <f ca="1">IFERROR(__xludf.DUMMYFUNCTION("GOOGLETRANSLATE(C211,""ja"",""vi"")"),"Đấu giá&gt; thể thao, giải trí&gt; Bằng cách thể thao&gt; Bóng rổ&gt; Khác")</f>
        <v>Đấu giá&gt; thể thao, giải trí&gt; Bằng cách thể thao&gt; Bóng rổ&gt; Khác</v>
      </c>
      <c r="F211" t="str">
        <f t="shared" ca="1" si="3"/>
        <v>"2084047218" : "nếu không thì",</v>
      </c>
    </row>
    <row r="212" spans="1:6" ht="15.75" customHeight="1">
      <c r="A212" s="14">
        <v>2084063055</v>
      </c>
      <c r="B212" s="14" t="s">
        <v>8770</v>
      </c>
      <c r="C212" s="14" t="s">
        <v>8930</v>
      </c>
      <c r="D212" s="5" t="str">
        <f ca="1">IFERROR(__xludf.DUMMYFUNCTION("GOOGLETRANSLATE(B212,""ja"",""vi"")"),"vợt")</f>
        <v>vợt</v>
      </c>
      <c r="E212" s="5" t="str">
        <f ca="1">IFERROR(__xludf.DUMMYFUNCTION("GOOGLETRANSLATE(C212,""ja"",""vi"")"),"Đấu giá&gt; thể thao, giải trí&gt; Bằng cách thể thao&gt; cầu lông&gt; vợt")</f>
        <v>Đấu giá&gt; thể thao, giải trí&gt; Bằng cách thể thao&gt; cầu lông&gt; vợt</v>
      </c>
      <c r="F212" t="str">
        <f t="shared" ca="1" si="3"/>
        <v>"2084063055" : "vợt",</v>
      </c>
    </row>
    <row r="213" spans="1:6" ht="15.75" customHeight="1">
      <c r="A213" s="14">
        <v>2084063056</v>
      </c>
      <c r="B213" s="14" t="s">
        <v>8343</v>
      </c>
      <c r="C213" s="14" t="s">
        <v>8936</v>
      </c>
      <c r="D213" s="5" t="str">
        <f ca="1">IFERROR(__xludf.DUMMYFUNCTION("GOOGLETRANSLATE(B213,""ja"",""vi"")"),"Mang")</f>
        <v>Mang</v>
      </c>
      <c r="E213" s="5" t="str">
        <f ca="1">IFERROR(__xludf.DUMMYFUNCTION("GOOGLETRANSLATE(C213,""ja"",""vi"")"),"Đấu giá&gt; thể thao, giải trí&gt; Bằng cách thể thao&gt; Cầu lông&gt; Mang")</f>
        <v>Đấu giá&gt; thể thao, giải trí&gt; Bằng cách thể thao&gt; Cầu lông&gt; Mang</v>
      </c>
      <c r="F213" t="str">
        <f t="shared" ca="1" si="3"/>
        <v>"2084063056" : "Mang",</v>
      </c>
    </row>
    <row r="214" spans="1:6" ht="15.75" customHeight="1">
      <c r="A214" s="14">
        <v>2084063060</v>
      </c>
      <c r="B214" s="14" t="s">
        <v>8576</v>
      </c>
      <c r="C214" s="14" t="s">
        <v>8941</v>
      </c>
      <c r="D214" s="5" t="str">
        <f ca="1">IFERROR(__xludf.DUMMYFUNCTION("GOOGLETRANSLATE(B214,""ja"",""vi"")"),"đôi giày")</f>
        <v>đôi giày</v>
      </c>
      <c r="E214" s="5" t="str">
        <f ca="1">IFERROR(__xludf.DUMMYFUNCTION("GOOGLETRANSLATE(C214,""ja"",""vi"")"),"Đấu giá&gt; thể thao, giải trí&gt; Bằng cách thể thao&gt; Cầu lông&gt; Giày dép")</f>
        <v>Đấu giá&gt; thể thao, giải trí&gt; Bằng cách thể thao&gt; Cầu lông&gt; Giày dép</v>
      </c>
      <c r="F214" t="str">
        <f t="shared" ca="1" si="3"/>
        <v>"2084063060" : "đôi giày",</v>
      </c>
    </row>
    <row r="215" spans="1:6" ht="15.75" customHeight="1">
      <c r="A215" s="14">
        <v>2084224079</v>
      </c>
      <c r="B215" s="14" t="s">
        <v>8944</v>
      </c>
      <c r="C215" s="14" t="s">
        <v>8946</v>
      </c>
      <c r="D215" s="5" t="str">
        <f ca="1">IFERROR(__xludf.DUMMYFUNCTION("GOOGLETRANSLATE(B215,""ja"",""vi"")"),"GATT")</f>
        <v>GATT</v>
      </c>
      <c r="E215" s="5" t="str">
        <f ca="1">IFERROR(__xludf.DUMMYFUNCTION("GOOGLETRANSLATE(C215,""ja"",""vi"")"),"Đấu giá&gt; thể thao, giải trí&gt; Bằng cách thể thao&gt; Cầu lông&gt; GATT")</f>
        <v>Đấu giá&gt; thể thao, giải trí&gt; Bằng cách thể thao&gt; Cầu lông&gt; GATT</v>
      </c>
      <c r="F215" t="str">
        <f t="shared" ca="1" si="3"/>
        <v>"2084224079" : "GATT",</v>
      </c>
    </row>
    <row r="216" spans="1:6" ht="15.75" customHeight="1">
      <c r="A216" s="14">
        <v>2084224080</v>
      </c>
      <c r="B216" s="14" t="s">
        <v>8949</v>
      </c>
      <c r="C216" s="14" t="s">
        <v>8951</v>
      </c>
      <c r="D216" s="5" t="str">
        <f ca="1">IFERROR(__xludf.DUMMYFUNCTION("GOOGLETRANSLATE(B216,""ja"",""vi"")"),"băng Grip")</f>
        <v>băng Grip</v>
      </c>
      <c r="E216" s="5" t="str">
        <f ca="1">IFERROR(__xludf.DUMMYFUNCTION("GOOGLETRANSLATE(C216,""ja"",""vi"")"),"Đấu giá&gt; thể thao, giải trí&gt; Bằng cách thể thao&gt; Cầu lông&gt; băng kìm kẹp")</f>
        <v>Đấu giá&gt; thể thao, giải trí&gt; Bằng cách thể thao&gt; Cầu lông&gt; băng kìm kẹp</v>
      </c>
      <c r="F216" t="str">
        <f t="shared" ca="1" si="3"/>
        <v>"2084224080" : "băng Grip",</v>
      </c>
    </row>
    <row r="217" spans="1:6" ht="15.75" customHeight="1">
      <c r="A217" s="14">
        <v>2084063059</v>
      </c>
      <c r="B217" s="14" t="s">
        <v>8956</v>
      </c>
      <c r="C217" s="14" t="s">
        <v>8957</v>
      </c>
      <c r="D217" s="5" t="str">
        <f ca="1">IFERROR(__xludf.DUMMYFUNCTION("GOOGLETRANSLATE(B217,""ja"",""vi"")"),"Shuttle")</f>
        <v>Shuttle</v>
      </c>
      <c r="E217" s="5" t="str">
        <f ca="1">IFERROR(__xludf.DUMMYFUNCTION("GOOGLETRANSLATE(C217,""ja"",""vi"")"),"Đấu giá&gt; thể thao, giải trí&gt; Bằng cách thể thao&gt; Cầu lông&gt; đưa đón")</f>
        <v>Đấu giá&gt; thể thao, giải trí&gt; Bằng cách thể thao&gt; Cầu lông&gt; đưa đón</v>
      </c>
      <c r="F217" t="str">
        <f t="shared" ca="1" si="3"/>
        <v>"2084063059" : "Shuttle",</v>
      </c>
    </row>
    <row r="218" spans="1:6" ht="15.75" customHeight="1">
      <c r="A218" s="14">
        <v>2084063062</v>
      </c>
      <c r="B218" s="14" t="s">
        <v>46</v>
      </c>
      <c r="C218" s="14" t="s">
        <v>8961</v>
      </c>
      <c r="D218" s="5" t="str">
        <f ca="1">IFERROR(__xludf.DUMMYFUNCTION("GOOGLETRANSLATE(B218,""ja"",""vi"")"),"nếu không thì")</f>
        <v>nếu không thì</v>
      </c>
      <c r="E218" s="5" t="str">
        <f ca="1">IFERROR(__xludf.DUMMYFUNCTION("GOOGLETRANSLATE(C218,""ja"",""vi"")"),"Đấu giá&gt; thể thao, giải trí&gt; Bằng cách thể thao&gt; Cầu lông&gt; Khác")</f>
        <v>Đấu giá&gt; thể thao, giải trí&gt; Bằng cách thể thao&gt; Cầu lông&gt; Khác</v>
      </c>
      <c r="F218" t="str">
        <f t="shared" ca="1" si="3"/>
        <v>"2084063062" : "nếu không thì",</v>
      </c>
    </row>
    <row r="219" spans="1:6" ht="15.75" customHeight="1">
      <c r="A219" s="14">
        <v>2084063022</v>
      </c>
      <c r="B219" s="14" t="s">
        <v>8343</v>
      </c>
      <c r="C219" s="14" t="s">
        <v>8965</v>
      </c>
      <c r="D219" s="5" t="str">
        <f ca="1">IFERROR(__xludf.DUMMYFUNCTION("GOOGLETRANSLATE(B219,""ja"",""vi"")"),"Mang")</f>
        <v>Mang</v>
      </c>
      <c r="E219" s="5" t="str">
        <f ca="1">IFERROR(__xludf.DUMMYFUNCTION("GOOGLETRANSLATE(C219,""ja"",""vi"")"),"Đấu giá&gt; thể thao, giải trí&gt; Bằng cách thể thao&gt; Bóng chuyền&gt; Mang")</f>
        <v>Đấu giá&gt; thể thao, giải trí&gt; Bằng cách thể thao&gt; Bóng chuyền&gt; Mang</v>
      </c>
      <c r="F219" t="str">
        <f t="shared" ca="1" si="3"/>
        <v>"2084063022" : "Mang",</v>
      </c>
    </row>
    <row r="220" spans="1:6" ht="15.75" customHeight="1">
      <c r="A220" s="14">
        <v>2084063031</v>
      </c>
      <c r="B220" s="14" t="s">
        <v>8576</v>
      </c>
      <c r="C220" s="14" t="s">
        <v>8970</v>
      </c>
      <c r="D220" s="5" t="str">
        <f ca="1">IFERROR(__xludf.DUMMYFUNCTION("GOOGLETRANSLATE(B220,""ja"",""vi"")"),"đôi giày")</f>
        <v>đôi giày</v>
      </c>
      <c r="E220" s="5" t="str">
        <f ca="1">IFERROR(__xludf.DUMMYFUNCTION("GOOGLETRANSLATE(C220,""ja"",""vi"")"),"Đấu giá&gt; thể thao, giải trí&gt; Bằng cách thể thao&gt; Bóng chuyền&gt; Giày dép")</f>
        <v>Đấu giá&gt; thể thao, giải trí&gt; Bằng cách thể thao&gt; Bóng chuyền&gt; Giày dép</v>
      </c>
      <c r="F220" t="str">
        <f t="shared" ca="1" si="3"/>
        <v>"2084063031" : "đôi giày",</v>
      </c>
    </row>
    <row r="221" spans="1:6" ht="15.75" customHeight="1">
      <c r="A221" s="14">
        <v>2084063048</v>
      </c>
      <c r="B221" s="14" t="s">
        <v>1685</v>
      </c>
      <c r="C221" s="14" t="s">
        <v>8975</v>
      </c>
      <c r="D221" s="5" t="str">
        <f ca="1">IFERROR(__xludf.DUMMYFUNCTION("GOOGLETRANSLATE(B221,""ja"",""vi"")"),"phụ kiện")</f>
        <v>phụ kiện</v>
      </c>
      <c r="E221" s="5" t="str">
        <f ca="1">IFERROR(__xludf.DUMMYFUNCTION("GOOGLETRANSLATE(C221,""ja"",""vi"")"),"Đấu giá&gt; thể thao, giải trí&gt; Bằng cách thể thao&gt; Bóng chuyền&gt; Accessories")</f>
        <v>Đấu giá&gt; thể thao, giải trí&gt; Bằng cách thể thao&gt; Bóng chuyền&gt; Accessories</v>
      </c>
      <c r="F221" t="str">
        <f t="shared" ca="1" si="3"/>
        <v>"2084063048" : "phụ kiện",</v>
      </c>
    </row>
    <row r="222" spans="1:6" ht="15.75" customHeight="1">
      <c r="A222" s="14">
        <v>2084063047</v>
      </c>
      <c r="B222" s="14" t="s">
        <v>8518</v>
      </c>
      <c r="C222" s="14" t="s">
        <v>8979</v>
      </c>
      <c r="D222" s="5" t="str">
        <f ca="1">IFERROR(__xludf.DUMMYFUNCTION("GOOGLETRANSLATE(B222,""ja"",""vi"")"),"quả bóng")</f>
        <v>quả bóng</v>
      </c>
      <c r="E222" s="5" t="str">
        <f ca="1">IFERROR(__xludf.DUMMYFUNCTION("GOOGLETRANSLATE(C222,""ja"",""vi"")"),"Đấu giá&gt; thể thao, giải trí&gt; Bằng cách thể thao&gt; Bóng chuyền&gt; Bóng")</f>
        <v>Đấu giá&gt; thể thao, giải trí&gt; Bằng cách thể thao&gt; Bóng chuyền&gt; Bóng</v>
      </c>
      <c r="F222" t="str">
        <f t="shared" ca="1" si="3"/>
        <v>"2084063047" : "quả bóng",</v>
      </c>
    </row>
    <row r="223" spans="1:6" ht="15.75" customHeight="1">
      <c r="A223" s="14">
        <v>2084063061</v>
      </c>
      <c r="B223" s="14" t="s">
        <v>46</v>
      </c>
      <c r="C223" s="14" t="s">
        <v>8985</v>
      </c>
      <c r="D223" s="5" t="str">
        <f ca="1">IFERROR(__xludf.DUMMYFUNCTION("GOOGLETRANSLATE(B223,""ja"",""vi"")"),"nếu không thì")</f>
        <v>nếu không thì</v>
      </c>
      <c r="E223" s="5" t="str">
        <f ca="1">IFERROR(__xludf.DUMMYFUNCTION("GOOGLETRANSLATE(C223,""ja"",""vi"")"),"Đấu giá&gt; thể thao, giải trí&gt; Bằng cách thể thao&gt; Bóng chuyền&gt; Khác")</f>
        <v>Đấu giá&gt; thể thao, giải trí&gt; Bằng cách thể thao&gt; Bóng chuyền&gt; Khác</v>
      </c>
      <c r="F223" t="str">
        <f t="shared" ca="1" si="3"/>
        <v>"2084063061" : "nếu không thì",</v>
      </c>
    </row>
    <row r="224" spans="1:6" ht="15.75" customHeight="1">
      <c r="A224" s="14">
        <v>2084032283</v>
      </c>
      <c r="B224" s="14" t="s">
        <v>8343</v>
      </c>
      <c r="C224" s="14" t="s">
        <v>8990</v>
      </c>
      <c r="D224" s="5" t="str">
        <f ca="1">IFERROR(__xludf.DUMMYFUNCTION("GOOGLETRANSLATE(B224,""ja"",""vi"")"),"Mang")</f>
        <v>Mang</v>
      </c>
      <c r="E224" s="5" t="str">
        <f ca="1">IFERROR(__xludf.DUMMYFUNCTION("GOOGLETRANSLATE(C224,""ja"",""vi"")"),"Đấu giá&gt; thể thao, giải trí&gt; Bằng Sport&gt; Futsal&gt; Mang")</f>
        <v>Đấu giá&gt; thể thao, giải trí&gt; Bằng Sport&gt; Futsal&gt; Mang</v>
      </c>
      <c r="F224" t="str">
        <f t="shared" ca="1" si="3"/>
        <v>"2084032283" : "Mang",</v>
      </c>
    </row>
    <row r="225" spans="1:6" ht="15.75" customHeight="1">
      <c r="A225" s="14">
        <v>2084062861</v>
      </c>
      <c r="B225" s="14" t="s">
        <v>8576</v>
      </c>
      <c r="C225" s="14" t="s">
        <v>8997</v>
      </c>
      <c r="D225" s="5" t="str">
        <f ca="1">IFERROR(__xludf.DUMMYFUNCTION("GOOGLETRANSLATE(B225,""ja"",""vi"")"),"đôi giày")</f>
        <v>đôi giày</v>
      </c>
      <c r="E225" s="5" t="str">
        <f ca="1">IFERROR(__xludf.DUMMYFUNCTION("GOOGLETRANSLATE(C225,""ja"",""vi"")"),"Đấu giá&gt; thể thao, giải trí&gt; Bằng Sport&gt; Futsal&gt; Giày dép")</f>
        <v>Đấu giá&gt; thể thao, giải trí&gt; Bằng Sport&gt; Futsal&gt; Giày dép</v>
      </c>
      <c r="F225" t="str">
        <f t="shared" ca="1" si="3"/>
        <v>"2084062861" : "đôi giày",</v>
      </c>
    </row>
    <row r="226" spans="1:6" ht="15.75" customHeight="1">
      <c r="A226" s="14">
        <v>2084062910</v>
      </c>
      <c r="B226" s="14" t="s">
        <v>8518</v>
      </c>
      <c r="C226" s="14" t="s">
        <v>9000</v>
      </c>
      <c r="D226" s="5" t="str">
        <f ca="1">IFERROR(__xludf.DUMMYFUNCTION("GOOGLETRANSLATE(B226,""ja"",""vi"")"),"quả bóng")</f>
        <v>quả bóng</v>
      </c>
      <c r="E226" s="5" t="str">
        <f ca="1">IFERROR(__xludf.DUMMYFUNCTION("GOOGLETRANSLATE(C226,""ja"",""vi"")"),"Đấu giá&gt; thể thao, giải trí&gt; Bằng Sport&gt; Futsal&gt; bóng")</f>
        <v>Đấu giá&gt; thể thao, giải trí&gt; Bằng Sport&gt; Futsal&gt; bóng</v>
      </c>
      <c r="F226" t="str">
        <f t="shared" ca="1" si="3"/>
        <v>"2084062910" : "quả bóng",</v>
      </c>
    </row>
    <row r="227" spans="1:6" ht="15.75" customHeight="1">
      <c r="A227" s="14">
        <v>2084244289</v>
      </c>
      <c r="B227" s="14" t="s">
        <v>46</v>
      </c>
      <c r="C227" s="14" t="s">
        <v>9006</v>
      </c>
      <c r="D227" s="5" t="str">
        <f ca="1">IFERROR(__xludf.DUMMYFUNCTION("GOOGLETRANSLATE(B227,""ja"",""vi"")"),"nếu không thì")</f>
        <v>nếu không thì</v>
      </c>
      <c r="E227" s="5" t="str">
        <f ca="1">IFERROR(__xludf.DUMMYFUNCTION("GOOGLETRANSLATE(C227,""ja"",""vi"")"),"Đấu giá&gt; thể thao, giải trí&gt; Bằng Sport&gt; Futsal&gt; Khác")</f>
        <v>Đấu giá&gt; thể thao, giải trí&gt; Bằng Sport&gt; Futsal&gt; Khác</v>
      </c>
      <c r="F227" t="str">
        <f t="shared" ca="1" si="3"/>
        <v>"2084244289" : "nếu không thì",</v>
      </c>
    </row>
    <row r="228" spans="1:6" ht="15.75" customHeight="1">
      <c r="A228" s="14">
        <v>2084063166</v>
      </c>
      <c r="B228" s="14" t="s">
        <v>8343</v>
      </c>
      <c r="C228" s="14" t="s">
        <v>9010</v>
      </c>
      <c r="D228" s="5" t="str">
        <f ca="1">IFERROR(__xludf.DUMMYFUNCTION("GOOGLETRANSLATE(B228,""ja"",""vi"")"),"Mang")</f>
        <v>Mang</v>
      </c>
      <c r="E228" s="5" t="str">
        <f ca="1">IFERROR(__xludf.DUMMYFUNCTION("GOOGLETRANSLATE(C228,""ja"",""vi"")"),"Đấu giá&gt; thể thao, giải trí&gt; Bằng cách thể thao&gt; Bowling&gt; Mang")</f>
        <v>Đấu giá&gt; thể thao, giải trí&gt; Bằng cách thể thao&gt; Bowling&gt; Mang</v>
      </c>
      <c r="F228" t="str">
        <f t="shared" ca="1" si="3"/>
        <v>"2084063166" : "Mang",</v>
      </c>
    </row>
    <row r="229" spans="1:6" ht="15.75" customHeight="1">
      <c r="A229" s="14">
        <v>2084063167</v>
      </c>
      <c r="B229" s="14" t="s">
        <v>8576</v>
      </c>
      <c r="C229" s="14" t="s">
        <v>9015</v>
      </c>
      <c r="D229" s="5" t="str">
        <f ca="1">IFERROR(__xludf.DUMMYFUNCTION("GOOGLETRANSLATE(B229,""ja"",""vi"")"),"đôi giày")</f>
        <v>đôi giày</v>
      </c>
      <c r="E229" s="5" t="str">
        <f ca="1">IFERROR(__xludf.DUMMYFUNCTION("GOOGLETRANSLATE(C229,""ja"",""vi"")"),"Đấu giá&gt; thể thao, giải trí&gt; Bằng cách thể thao&gt; Bowling&gt; Giày dép")</f>
        <v>Đấu giá&gt; thể thao, giải trí&gt; Bằng cách thể thao&gt; Bowling&gt; Giày dép</v>
      </c>
      <c r="F229" t="str">
        <f t="shared" ca="1" si="3"/>
        <v>"2084063167" : "đôi giày",</v>
      </c>
    </row>
    <row r="230" spans="1:6" ht="15.75" customHeight="1">
      <c r="A230" s="14">
        <v>2084063168</v>
      </c>
      <c r="B230" s="14" t="s">
        <v>8518</v>
      </c>
      <c r="C230" s="14" t="s">
        <v>9021</v>
      </c>
      <c r="D230" s="5" t="str">
        <f ca="1">IFERROR(__xludf.DUMMYFUNCTION("GOOGLETRANSLATE(B230,""ja"",""vi"")"),"quả bóng")</f>
        <v>quả bóng</v>
      </c>
      <c r="E230" s="5" t="str">
        <f ca="1">IFERROR(__xludf.DUMMYFUNCTION("GOOGLETRANSLATE(C230,""ja"",""vi"")"),"Đấu giá&gt; thể thao, giải trí&gt; Bằng cách thể thao&gt; Bowling&gt; bóng")</f>
        <v>Đấu giá&gt; thể thao, giải trí&gt; Bằng cách thể thao&gt; Bowling&gt; bóng</v>
      </c>
      <c r="F230" t="str">
        <f t="shared" ca="1" si="3"/>
        <v>"2084063168" : "quả bóng",</v>
      </c>
    </row>
    <row r="231" spans="1:6" ht="15.75" customHeight="1">
      <c r="A231" s="14">
        <v>2084063169</v>
      </c>
      <c r="B231" s="14" t="s">
        <v>9025</v>
      </c>
      <c r="C231" s="14" t="s">
        <v>9027</v>
      </c>
      <c r="D231" s="5" t="str">
        <f ca="1">IFERROR(__xludf.DUMMYFUNCTION("GOOGLETRANSLATE(B231,""ja"",""vi"")"),"Risutai")</f>
        <v>Risutai</v>
      </c>
      <c r="E231" s="5" t="str">
        <f ca="1">IFERROR(__xludf.DUMMYFUNCTION("GOOGLETRANSLATE(C231,""ja"",""vi"")"),"Đấu giá&gt; thể thao, giải trí&gt; Bằng cách thể thao&gt; Bowling&gt; Risutai")</f>
        <v>Đấu giá&gt; thể thao, giải trí&gt; Bằng cách thể thao&gt; Bowling&gt; Risutai</v>
      </c>
      <c r="F231" t="str">
        <f t="shared" ca="1" si="3"/>
        <v>"2084063169" : "Risutai",</v>
      </c>
    </row>
    <row r="232" spans="1:6" ht="15.75" customHeight="1">
      <c r="A232" s="14">
        <v>2084063170</v>
      </c>
      <c r="B232" s="14" t="s">
        <v>46</v>
      </c>
      <c r="C232" s="14" t="s">
        <v>9031</v>
      </c>
      <c r="D232" s="5" t="str">
        <f ca="1">IFERROR(__xludf.DUMMYFUNCTION("GOOGLETRANSLATE(B232,""ja"",""vi"")"),"nếu không thì")</f>
        <v>nếu không thì</v>
      </c>
      <c r="E232" s="5" t="str">
        <f ca="1">IFERROR(__xludf.DUMMYFUNCTION("GOOGLETRANSLATE(C232,""ja"",""vi"")"),"Đấu giá&gt; thể thao, giải trí&gt; Bằng cách thể thao&gt; Bowling&gt; Khác")</f>
        <v>Đấu giá&gt; thể thao, giải trí&gt; Bằng cách thể thao&gt; Bowling&gt; Khác</v>
      </c>
      <c r="F232" t="str">
        <f t="shared" ca="1" si="3"/>
        <v>"2084063170" : "nếu không thì",</v>
      </c>
    </row>
    <row r="233" spans="1:6" ht="15.75" customHeight="1">
      <c r="A233" s="14">
        <v>2084286288</v>
      </c>
      <c r="B233" s="14" t="s">
        <v>8345</v>
      </c>
      <c r="C233" s="14" t="s">
        <v>9035</v>
      </c>
      <c r="D233" s="5" t="str">
        <f ca="1">IFERROR(__xludf.DUMMYFUNCTION("GOOGLETRANSLATE(B233,""ja"",""vi"")"),"găng tay")</f>
        <v>găng tay</v>
      </c>
      <c r="E233" s="5" t="str">
        <f ca="1">IFERROR(__xludf.DUMMYFUNCTION("GOOGLETRANSLATE(C233,""ja"",""vi"")"),"Đấu giá&gt; thể thao, giải trí&gt; Bằng Sport&gt; Boxing&gt; Găng tay")</f>
        <v>Đấu giá&gt; thể thao, giải trí&gt; Bằng Sport&gt; Boxing&gt; Găng tay</v>
      </c>
      <c r="F233" t="str">
        <f t="shared" ca="1" si="3"/>
        <v>"2084286288" : "găng tay",</v>
      </c>
    </row>
    <row r="234" spans="1:6" ht="15.75" customHeight="1">
      <c r="A234" s="14">
        <v>2084286289</v>
      </c>
      <c r="B234" s="14" t="s">
        <v>9039</v>
      </c>
      <c r="C234" s="14" t="s">
        <v>9041</v>
      </c>
      <c r="D234" s="5" t="str">
        <f ca="1">IFERROR(__xludf.DUMMYFUNCTION("GOOGLETRANSLATE(B234,""ja"",""vi"")"),"Globe bộ")</f>
        <v>Globe bộ</v>
      </c>
      <c r="E234" s="5" t="str">
        <f ca="1">IFERROR(__xludf.DUMMYFUNCTION("GOOGLETRANSLATE(C234,""ja"",""vi"")"),"Đấu giá&gt; thể thao, giải trí&gt; thể thao khác&gt; đấm bốc&gt; găng tay bộ")</f>
        <v>Đấu giá&gt; thể thao, giải trí&gt; thể thao khác&gt; đấm bốc&gt; găng tay bộ</v>
      </c>
      <c r="F234" t="str">
        <f t="shared" ca="1" si="3"/>
        <v>"2084286289" : "Globe bộ",</v>
      </c>
    </row>
    <row r="235" spans="1:6" ht="15.75" customHeight="1">
      <c r="A235" s="14">
        <v>2084286292</v>
      </c>
      <c r="B235" s="14" t="s">
        <v>9047</v>
      </c>
      <c r="C235" s="14" t="s">
        <v>9049</v>
      </c>
      <c r="D235" s="5" t="str">
        <f ca="1">IFERROR(__xludf.DUMMYFUNCTION("GOOGLETRANSLATE(B235,""ja"",""vi"")"),"bao cát")</f>
        <v>bao cát</v>
      </c>
      <c r="E235" s="5" t="str">
        <f ca="1">IFERROR(__xludf.DUMMYFUNCTION("GOOGLETRANSLATE(C235,""ja"",""vi"")"),"Đấu giá&gt; thể thao, giải trí&gt; Bằng Sport&gt; Boxing&gt; bao cát")</f>
        <v>Đấu giá&gt; thể thao, giải trí&gt; Bằng Sport&gt; Boxing&gt; bao cát</v>
      </c>
      <c r="F235" t="str">
        <f t="shared" ca="1" si="3"/>
        <v>"2084286292" : "bao cát",</v>
      </c>
    </row>
    <row r="236" spans="1:6" ht="15.75" customHeight="1">
      <c r="A236" s="14">
        <v>2084286291</v>
      </c>
      <c r="B236" s="14" t="s">
        <v>8576</v>
      </c>
      <c r="C236" s="14" t="s">
        <v>9054</v>
      </c>
      <c r="D236" s="5" t="str">
        <f ca="1">IFERROR(__xludf.DUMMYFUNCTION("GOOGLETRANSLATE(B236,""ja"",""vi"")"),"đôi giày")</f>
        <v>đôi giày</v>
      </c>
      <c r="E236" s="5" t="str">
        <f ca="1">IFERROR(__xludf.DUMMYFUNCTION("GOOGLETRANSLATE(C236,""ja"",""vi"")"),"Đấu giá&gt; thể thao, giải trí&gt; Bằng Sport&gt; Boxing&gt; Giày dép")</f>
        <v>Đấu giá&gt; thể thao, giải trí&gt; Bằng Sport&gt; Boxing&gt; Giày dép</v>
      </c>
      <c r="F236" t="str">
        <f t="shared" ca="1" si="3"/>
        <v>"2084286291" : "đôi giày",</v>
      </c>
    </row>
    <row r="237" spans="1:6" ht="15.75" customHeight="1">
      <c r="A237" s="14">
        <v>2084286290</v>
      </c>
      <c r="B237" s="14" t="s">
        <v>9059</v>
      </c>
      <c r="C237" s="14" t="s">
        <v>9061</v>
      </c>
      <c r="D237" s="5" t="str">
        <f ca="1">IFERROR(__xludf.DUMMYFUNCTION("GOOGLETRANSLATE(B237,""ja"",""vi"")"),"găng quyền thuật")</f>
        <v>găng quyền thuật</v>
      </c>
      <c r="E237" s="5" t="str">
        <f ca="1">IFERROR(__xludf.DUMMYFUNCTION("GOOGLETRANSLATE(C237,""ja"",""vi"")"),"Đấu giá&gt; thể thao, giải trí&gt; Bằng Sport&gt; Boxing&gt; Mitt")</f>
        <v>Đấu giá&gt; thể thao, giải trí&gt; Bằng Sport&gt; Boxing&gt; Mitt</v>
      </c>
      <c r="F237" t="str">
        <f t="shared" ca="1" si="3"/>
        <v>"2084286290" : "găng quyền thuật",</v>
      </c>
    </row>
    <row r="238" spans="1:6" ht="15.75" customHeight="1">
      <c r="A238" s="14">
        <v>2084286293</v>
      </c>
      <c r="B238" s="14" t="s">
        <v>46</v>
      </c>
      <c r="C238" s="14" t="s">
        <v>9066</v>
      </c>
      <c r="D238" s="5" t="str">
        <f ca="1">IFERROR(__xludf.DUMMYFUNCTION("GOOGLETRANSLATE(B238,""ja"",""vi"")"),"nếu không thì")</f>
        <v>nếu không thì</v>
      </c>
      <c r="E238" s="5" t="str">
        <f ca="1">IFERROR(__xludf.DUMMYFUNCTION("GOOGLETRANSLATE(C238,""ja"",""vi"")"),"Đấu giá&gt; thể thao, giải trí&gt; Bằng Sport&gt; Boxing&gt; Khác")</f>
        <v>Đấu giá&gt; thể thao, giải trí&gt; Bằng Sport&gt; Boxing&gt; Khác</v>
      </c>
      <c r="F238" t="str">
        <f t="shared" ca="1" si="3"/>
        <v>"2084286293" : "nếu không thì",</v>
      </c>
    </row>
    <row r="239" spans="1:6" ht="15.75" customHeight="1">
      <c r="A239" s="14">
        <v>2084062212</v>
      </c>
      <c r="B239" s="14" t="s">
        <v>8059</v>
      </c>
      <c r="C239" s="14" t="s">
        <v>9072</v>
      </c>
      <c r="D239" s="5" t="str">
        <f ca="1">IFERROR(__xludf.DUMMYFUNCTION("GOOGLETRANSLATE(B239,""ja"",""vi"")"),"Hội đồng quản trị")</f>
        <v>Hội đồng quản trị</v>
      </c>
      <c r="E239" s="5" t="str">
        <f ca="1">IFERROR(__xludf.DUMMYFUNCTION("GOOGLETRANSLATE(C239,""ja"",""vi"")"),"Đấu giá&gt; thể thao, giải trí&gt; Bằng Sport&gt; Body ban&gt; bảng")</f>
        <v>Đấu giá&gt; thể thao, giải trí&gt; Bằng Sport&gt; Body ban&gt; bảng</v>
      </c>
      <c r="F239" t="str">
        <f t="shared" ca="1" si="3"/>
        <v>"2084062212" : "Hội đồng quản trị",</v>
      </c>
    </row>
    <row r="240" spans="1:6" ht="15.75" customHeight="1">
      <c r="A240" s="14">
        <v>2084062213</v>
      </c>
      <c r="B240" s="14" t="s">
        <v>1685</v>
      </c>
      <c r="C240" s="14" t="s">
        <v>9077</v>
      </c>
      <c r="D240" s="5" t="str">
        <f ca="1">IFERROR(__xludf.DUMMYFUNCTION("GOOGLETRANSLATE(B240,""ja"",""vi"")"),"phụ kiện")</f>
        <v>phụ kiện</v>
      </c>
      <c r="E240" s="5" t="str">
        <f ca="1">IFERROR(__xludf.DUMMYFUNCTION("GOOGLETRANSLATE(C240,""ja"",""vi"")"),"Đấu giá&gt; thể thao, giải trí&gt; Bằng Sport&gt; Body bảng&gt; Phụ kiện")</f>
        <v>Đấu giá&gt; thể thao, giải trí&gt; Bằng Sport&gt; Body bảng&gt; Phụ kiện</v>
      </c>
      <c r="F240" t="str">
        <f t="shared" ca="1" si="3"/>
        <v>"2084062213" : "phụ kiện",</v>
      </c>
    </row>
    <row r="241" spans="1:6" ht="15.75" customHeight="1">
      <c r="A241" s="14">
        <v>2084032270</v>
      </c>
      <c r="B241" s="14" t="s">
        <v>8343</v>
      </c>
      <c r="C241" s="14" t="s">
        <v>9082</v>
      </c>
      <c r="D241" s="5" t="str">
        <f ca="1">IFERROR(__xludf.DUMMYFUNCTION("GOOGLETRANSLATE(B241,""ja"",""vi"")"),"Mang")</f>
        <v>Mang</v>
      </c>
      <c r="E241" s="5" t="str">
        <f ca="1">IFERROR(__xludf.DUMMYFUNCTION("GOOGLETRANSLATE(C241,""ja"",""vi"")"),"Đấu giá&gt; thể thao, giải trí&gt; Bằng Sport&gt; Body ban&gt; Mang")</f>
        <v>Đấu giá&gt; thể thao, giải trí&gt; Bằng Sport&gt; Body ban&gt; Mang</v>
      </c>
      <c r="F241" t="str">
        <f t="shared" ca="1" si="3"/>
        <v>"2084032270" : "Mang",</v>
      </c>
    </row>
    <row r="242" spans="1:6" ht="15.75" customHeight="1">
      <c r="A242" s="14">
        <v>2084062221</v>
      </c>
      <c r="B242" s="14" t="s">
        <v>9085</v>
      </c>
      <c r="C242" s="14" t="s">
        <v>9088</v>
      </c>
      <c r="D242" s="5" t="str">
        <f ca="1">IFERROR(__xludf.DUMMYFUNCTION("GOOGLETRANSLATE(B242,""ja"",""vi"")"),"Fin")</f>
        <v>Fin</v>
      </c>
      <c r="E242" s="5" t="str">
        <f ca="1">IFERROR(__xludf.DUMMYFUNCTION("GOOGLETRANSLATE(C242,""ja"",""vi"")"),"Đấu giá&gt; thể thao, giải trí&gt; Bằng Sport&gt; Body ban&gt; vây")</f>
        <v>Đấu giá&gt; thể thao, giải trí&gt; Bằng Sport&gt; Body ban&gt; vây</v>
      </c>
      <c r="F242" t="str">
        <f t="shared" ca="1" si="3"/>
        <v>"2084062221" : "Fin",</v>
      </c>
    </row>
    <row r="243" spans="1:6" ht="15.75" customHeight="1">
      <c r="A243" s="14">
        <v>2084062245</v>
      </c>
      <c r="B243" s="14" t="s">
        <v>46</v>
      </c>
      <c r="C243" s="14" t="s">
        <v>9093</v>
      </c>
      <c r="D243" s="5" t="str">
        <f ca="1">IFERROR(__xludf.DUMMYFUNCTION("GOOGLETRANSLATE(B243,""ja"",""vi"")"),"nếu không thì")</f>
        <v>nếu không thì</v>
      </c>
      <c r="E243" s="5" t="str">
        <f ca="1">IFERROR(__xludf.DUMMYFUNCTION("GOOGLETRANSLATE(C243,""ja"",""vi"")"),"Đấu giá&gt; thể thao, giải trí&gt; Bằng Sport&gt; Body ban&gt; Khác")</f>
        <v>Đấu giá&gt; thể thao, giải trí&gt; Bằng Sport&gt; Body ban&gt; Khác</v>
      </c>
      <c r="F243" t="str">
        <f t="shared" ca="1" si="3"/>
        <v>"2084062245" : "nếu không thì",</v>
      </c>
    </row>
    <row r="244" spans="1:6" ht="15.75" customHeight="1">
      <c r="A244" s="14">
        <v>23008</v>
      </c>
      <c r="B244" s="14" t="s">
        <v>8343</v>
      </c>
      <c r="C244" s="14" t="s">
        <v>9097</v>
      </c>
      <c r="D244" s="5" t="str">
        <f ca="1">IFERROR(__xludf.DUMMYFUNCTION("GOOGLETRANSLATE(B244,""ja"",""vi"")"),"Mang")</f>
        <v>Mang</v>
      </c>
      <c r="E244" s="5" t="str">
        <f ca="1">IFERROR(__xludf.DUMMYFUNCTION("GOOGLETRANSLATE(C244,""ja"",""vi"")"),"Đấu giá&gt; thể thao, giải trí&gt; Bằng Sport&gt; Yoga, Pilates&gt; Mang")</f>
        <v>Đấu giá&gt; thể thao, giải trí&gt; Bằng Sport&gt; Yoga, Pilates&gt; Mang</v>
      </c>
      <c r="F244" t="str">
        <f t="shared" ca="1" si="3"/>
        <v>"23008" : "Mang",</v>
      </c>
    </row>
    <row r="245" spans="1:6" ht="15.75" customHeight="1">
      <c r="A245" s="14">
        <v>2084196836</v>
      </c>
      <c r="B245" s="14" t="s">
        <v>9101</v>
      </c>
      <c r="C245" s="14" t="s">
        <v>9102</v>
      </c>
      <c r="D245" s="5" t="str">
        <f ca="1">IFERROR(__xludf.DUMMYFUNCTION("GOOGLETRANSLATE(B245,""ja"",""vi"")"),"chiếu")</f>
        <v>chiếu</v>
      </c>
      <c r="E245" s="5" t="str">
        <f ca="1">IFERROR(__xludf.DUMMYFUNCTION("GOOGLETRANSLATE(C245,""ja"",""vi"")"),"Đấu giá&gt; thể thao, giải trí&gt; Bằng Sport&gt; Yoga, Pilates&gt; mat")</f>
        <v>Đấu giá&gt; thể thao, giải trí&gt; Bằng Sport&gt; Yoga, Pilates&gt; mat</v>
      </c>
      <c r="F245" t="str">
        <f t="shared" ca="1" si="3"/>
        <v>"2084196836" : "chiếu",</v>
      </c>
    </row>
    <row r="246" spans="1:6" ht="15.75" customHeight="1">
      <c r="A246" s="14">
        <v>2084286287</v>
      </c>
      <c r="B246" s="14" t="s">
        <v>9107</v>
      </c>
      <c r="C246" s="14" t="s">
        <v>9108</v>
      </c>
      <c r="D246" s="5" t="str">
        <f ca="1">IFERROR(__xludf.DUMMYFUNCTION("GOOGLETRANSLATE(B246,""ja"",""vi"")"),"Yoga bóng")</f>
        <v>Yoga bóng</v>
      </c>
      <c r="E246" s="5" t="str">
        <f ca="1">IFERROR(__xludf.DUMMYFUNCTION("GOOGLETRANSLATE(C246,""ja"",""vi"")"),"Đấu giá&gt; thể thao, giải trí&gt; Bằng Sport&gt; Yoga, Pilates&gt; Yoga bóng")</f>
        <v>Đấu giá&gt; thể thao, giải trí&gt; Bằng Sport&gt; Yoga, Pilates&gt; Yoga bóng</v>
      </c>
      <c r="F246" t="str">
        <f t="shared" ca="1" si="3"/>
        <v>"2084286287" : "Yoga bóng",</v>
      </c>
    </row>
    <row r="247" spans="1:6" ht="15.75" customHeight="1">
      <c r="A247" s="14">
        <v>2084211024</v>
      </c>
      <c r="B247" s="14" t="s">
        <v>8389</v>
      </c>
      <c r="C247" s="14" t="s">
        <v>9112</v>
      </c>
      <c r="D247" s="5" t="str">
        <f ca="1">IFERROR(__xludf.DUMMYFUNCTION("GOOGLETRANSLATE(B247,""ja"",""vi"")"),"Fitness Club Voucher")</f>
        <v>Fitness Club Voucher</v>
      </c>
      <c r="E247" s="5" t="str">
        <f ca="1">IFERROR(__xludf.DUMMYFUNCTION("GOOGLETRANSLATE(C247,""ja"",""vi"")"),"Đấu giá&gt; thể thao, giải trí&gt; Bằng Sport&gt; Yoga, Pilates&gt; Fitness Club Voucher")</f>
        <v>Đấu giá&gt; thể thao, giải trí&gt; Bằng Sport&gt; Yoga, Pilates&gt; Fitness Club Voucher</v>
      </c>
      <c r="F247" t="str">
        <f t="shared" ca="1" si="3"/>
        <v>"2084211024" : "Fitness Club Voucher",</v>
      </c>
    </row>
    <row r="248" spans="1:6" ht="15.75" customHeight="1">
      <c r="A248" s="14">
        <v>2084196834</v>
      </c>
      <c r="B248" s="14" t="s">
        <v>46</v>
      </c>
      <c r="C248" s="14" t="s">
        <v>9116</v>
      </c>
      <c r="D248" s="5" t="str">
        <f ca="1">IFERROR(__xludf.DUMMYFUNCTION("GOOGLETRANSLATE(B248,""ja"",""vi"")"),"nếu không thì")</f>
        <v>nếu không thì</v>
      </c>
      <c r="E248" s="5" t="str">
        <f ca="1">IFERROR(__xludf.DUMMYFUNCTION("GOOGLETRANSLATE(C248,""ja"",""vi"")"),"Đấu giá&gt; thể thao, giải trí&gt; Bằng Sport&gt; Yoga, Pilates&gt; Khác")</f>
        <v>Đấu giá&gt; thể thao, giải trí&gt; Bằng Sport&gt; Yoga, Pilates&gt; Khác</v>
      </c>
      <c r="F248" t="str">
        <f t="shared" ca="1" si="3"/>
        <v>"2084196834" : "nếu không thì",</v>
      </c>
    </row>
    <row r="249" spans="1:6" ht="15.75" customHeight="1">
      <c r="A249" s="14">
        <v>2084032386</v>
      </c>
      <c r="B249" s="14" t="s">
        <v>8618</v>
      </c>
      <c r="C249" s="14" t="s">
        <v>9121</v>
      </c>
      <c r="D249" s="5" t="str">
        <f ca="1">IFERROR(__xludf.DUMMYFUNCTION("GOOGLETRANSLATE(B249,""ja"",""vi"")"),"gậy")</f>
        <v>gậy</v>
      </c>
      <c r="E249" s="5" t="str">
        <f ca="1">IFERROR(__xludf.DUMMYFUNCTION("GOOGLETRANSLATE(C249,""ja"",""vi"")"),"Đấu giá&gt; thể thao, giải trí&gt; Bằng cách thể thao&gt; Bóng chày&gt; dơi")</f>
        <v>Đấu giá&gt; thể thao, giải trí&gt; Bằng cách thể thao&gt; Bóng chày&gt; dơi</v>
      </c>
      <c r="F249" t="str">
        <f t="shared" ca="1" si="3"/>
        <v>"2084032386" : "gậy",</v>
      </c>
    </row>
    <row r="250" spans="1:6" ht="15.75" customHeight="1">
      <c r="A250" s="14">
        <v>2084032394</v>
      </c>
      <c r="B250" s="14" t="s">
        <v>8345</v>
      </c>
      <c r="C250" s="14" t="s">
        <v>9125</v>
      </c>
      <c r="D250" s="5" t="str">
        <f ca="1">IFERROR(__xludf.DUMMYFUNCTION("GOOGLETRANSLATE(B250,""ja"",""vi"")"),"găng tay")</f>
        <v>găng tay</v>
      </c>
      <c r="E250" s="5" t="str">
        <f ca="1">IFERROR(__xludf.DUMMYFUNCTION("GOOGLETRANSLATE(C250,""ja"",""vi"")"),"Đấu giá&gt; thể thao, giải trí&gt; Bằng cách thể thao&gt; Bóng chày&gt; Găng tay")</f>
        <v>Đấu giá&gt; thể thao, giải trí&gt; Bằng cách thể thao&gt; Bóng chày&gt; Găng tay</v>
      </c>
      <c r="F250" t="str">
        <f t="shared" ca="1" si="3"/>
        <v>"2084032394" : "găng tay",</v>
      </c>
    </row>
    <row r="251" spans="1:6" ht="15.75" customHeight="1">
      <c r="A251" s="14">
        <v>2084032388</v>
      </c>
      <c r="B251" s="14" t="s">
        <v>8518</v>
      </c>
      <c r="C251" s="14" t="s">
        <v>9130</v>
      </c>
      <c r="D251" s="5" t="str">
        <f ca="1">IFERROR(__xludf.DUMMYFUNCTION("GOOGLETRANSLATE(B251,""ja"",""vi"")"),"quả bóng")</f>
        <v>quả bóng</v>
      </c>
      <c r="E251" s="5" t="str">
        <f ca="1">IFERROR(__xludf.DUMMYFUNCTION("GOOGLETRANSLATE(C251,""ja"",""vi"")"),"Đấu giá&gt; thể thao, giải trí&gt; Bằng cách thể thao&gt; Bóng chày&gt; Bóng")</f>
        <v>Đấu giá&gt; thể thao, giải trí&gt; Bằng cách thể thao&gt; Bóng chày&gt; Bóng</v>
      </c>
      <c r="F251" t="str">
        <f t="shared" ca="1" si="3"/>
        <v>"2084032388" : "quả bóng",</v>
      </c>
    </row>
    <row r="252" spans="1:6" ht="15.75" customHeight="1">
      <c r="A252" s="14">
        <v>2084032381</v>
      </c>
      <c r="B252" s="14" t="s">
        <v>8343</v>
      </c>
      <c r="C252" s="14" t="s">
        <v>9135</v>
      </c>
      <c r="D252" s="5" t="str">
        <f ca="1">IFERROR(__xludf.DUMMYFUNCTION("GOOGLETRANSLATE(B252,""ja"",""vi"")"),"Mang")</f>
        <v>Mang</v>
      </c>
      <c r="E252" s="5" t="str">
        <f ca="1">IFERROR(__xludf.DUMMYFUNCTION("GOOGLETRANSLATE(C252,""ja"",""vi"")"),"Đấu giá&gt; thể thao, giải trí&gt; Bằng cách thể thao&gt; Bóng chày&gt; Mang")</f>
        <v>Đấu giá&gt; thể thao, giải trí&gt; Bằng cách thể thao&gt; Bóng chày&gt; Mang</v>
      </c>
      <c r="F252" t="str">
        <f t="shared" ca="1" si="3"/>
        <v>"2084032381" : "Mang",</v>
      </c>
    </row>
    <row r="253" spans="1:6" ht="15.75" customHeight="1">
      <c r="A253" s="14">
        <v>2084032384</v>
      </c>
      <c r="B253" s="14" t="s">
        <v>8576</v>
      </c>
      <c r="C253" s="14" t="s">
        <v>9140</v>
      </c>
      <c r="D253" s="5" t="str">
        <f ca="1">IFERROR(__xludf.DUMMYFUNCTION("GOOGLETRANSLATE(B253,""ja"",""vi"")"),"đôi giày")</f>
        <v>đôi giày</v>
      </c>
      <c r="E253" s="5" t="str">
        <f ca="1">IFERROR(__xludf.DUMMYFUNCTION("GOOGLETRANSLATE(C253,""ja"",""vi"")"),"Đấu giá&gt; thể thao, giải trí&gt; Bằng cách thể thao&gt; Bóng chày&gt; Giày dép")</f>
        <v>Đấu giá&gt; thể thao, giải trí&gt; Bằng cách thể thao&gt; Bóng chày&gt; Giày dép</v>
      </c>
      <c r="F253" t="str">
        <f t="shared" ca="1" si="3"/>
        <v>"2084032384" : "đôi giày",</v>
      </c>
    </row>
    <row r="254" spans="1:6" ht="15.75" customHeight="1">
      <c r="A254" s="14">
        <v>2084063104</v>
      </c>
      <c r="B254" s="14" t="s">
        <v>1685</v>
      </c>
      <c r="C254" s="14" t="s">
        <v>9145</v>
      </c>
      <c r="D254" s="5" t="str">
        <f ca="1">IFERROR(__xludf.DUMMYFUNCTION("GOOGLETRANSLATE(B254,""ja"",""vi"")"),"phụ kiện")</f>
        <v>phụ kiện</v>
      </c>
      <c r="E254" s="5" t="str">
        <f ca="1">IFERROR(__xludf.DUMMYFUNCTION("GOOGLETRANSLATE(C254,""ja"",""vi"")"),"Đấu giá&gt; thể thao, giải trí&gt; Bằng cách thể thao&gt; Bóng chày&gt; Accessories")</f>
        <v>Đấu giá&gt; thể thao, giải trí&gt; Bằng cách thể thao&gt; Bóng chày&gt; Accessories</v>
      </c>
      <c r="F254" t="str">
        <f t="shared" ca="1" si="3"/>
        <v>"2084063104" : "phụ kiện",</v>
      </c>
    </row>
    <row r="255" spans="1:6" ht="15.75" customHeight="1">
      <c r="A255" s="14">
        <v>2084063117</v>
      </c>
      <c r="B255" s="14" t="s">
        <v>9148</v>
      </c>
      <c r="C255" s="14" t="s">
        <v>9150</v>
      </c>
      <c r="D255" s="5" t="str">
        <f ca="1">IFERROR(__xludf.DUMMYFUNCTION("GOOGLETRANSLATE(B255,""ja"",""vi"")"),"áo giáp")</f>
        <v>áo giáp</v>
      </c>
      <c r="E255" s="5" t="str">
        <f ca="1">IFERROR(__xludf.DUMMYFUNCTION("GOOGLETRANSLATE(C255,""ja"",""vi"")"),"Đấu giá&gt; thể thao, giải trí&gt; Bằng cách thể thao&gt; Bóng chày&gt; Armor")</f>
        <v>Đấu giá&gt; thể thao, giải trí&gt; Bằng cách thể thao&gt; Bóng chày&gt; Armor</v>
      </c>
      <c r="F255" t="str">
        <f t="shared" ca="1" si="3"/>
        <v>"2084063117" : "áo giáp",</v>
      </c>
    </row>
    <row r="256" spans="1:6" ht="15.75" customHeight="1">
      <c r="A256" s="14">
        <v>2084063125</v>
      </c>
      <c r="B256" s="14" t="s">
        <v>9154</v>
      </c>
      <c r="C256" s="14" t="s">
        <v>9155</v>
      </c>
      <c r="D256" s="5" t="str">
        <f ca="1">IFERROR(__xludf.DUMMYFUNCTION("GOOGLETRANSLATE(B256,""ja"",""vi"")"),"thiết bị thực hành")</f>
        <v>thiết bị thực hành</v>
      </c>
      <c r="E256" s="5" t="str">
        <f ca="1">IFERROR(__xludf.DUMMYFUNCTION("GOOGLETRANSLATE(C256,""ja"",""vi"")"),"Đấu giá&gt; thể thao, giải trí&gt; Bằng cách thể thao&gt; Bóng chày&gt; thiết bị thực hành")</f>
        <v>Đấu giá&gt; thể thao, giải trí&gt; Bằng cách thể thao&gt; Bóng chày&gt; thiết bị thực hành</v>
      </c>
      <c r="F256" t="str">
        <f t="shared" ca="1" si="3"/>
        <v>"2084063125" : "thiết bị thực hành",</v>
      </c>
    </row>
    <row r="257" spans="1:6" ht="15.75" customHeight="1">
      <c r="A257" s="14">
        <v>2084259448</v>
      </c>
      <c r="B257" s="14" t="s">
        <v>8521</v>
      </c>
      <c r="C257" s="14" t="s">
        <v>9159</v>
      </c>
      <c r="D257" s="5" t="str">
        <f ca="1">IFERROR(__xludf.DUMMYFUNCTION("GOOGLETRANSLATE(B257,""ja"",""vi"")"),"cổ vũ hàng")</f>
        <v>cổ vũ hàng</v>
      </c>
      <c r="E257" s="5" t="str">
        <f ca="1">IFERROR(__xludf.DUMMYFUNCTION("GOOGLETRANSLATE(C257,""ja"",""vi"")"),"Đấu giá&gt; thể thao, giải trí&gt; Bằng cách thể thao&gt; Bóng chày&gt; cổ vũ hàng")</f>
        <v>Đấu giá&gt; thể thao, giải trí&gt; Bằng cách thể thao&gt; Bóng chày&gt; cổ vũ hàng</v>
      </c>
      <c r="F257" t="str">
        <f t="shared" ca="1" si="3"/>
        <v>"2084259448" : "cổ vũ hàng",</v>
      </c>
    </row>
    <row r="258" spans="1:6" ht="15.75" customHeight="1">
      <c r="A258" s="14">
        <v>2084032390</v>
      </c>
      <c r="B258" s="14" t="s">
        <v>8505</v>
      </c>
      <c r="C258" s="14" t="s">
        <v>9164</v>
      </c>
      <c r="D258" s="5" t="str">
        <f ca="1">IFERROR(__xludf.DUMMYFUNCTION("GOOGLETRANSLATE(B258,""ja"",""vi"")"),"Lưu niệm, hàng hóa có liên quan")</f>
        <v>Lưu niệm, hàng hóa có liên quan</v>
      </c>
      <c r="E258" s="5" t="str">
        <f ca="1">IFERROR(__xludf.DUMMYFUNCTION("GOOGLETRANSLATE(C258,""ja"",""vi"")"),"Đấu giá&gt; thể thao, giải trí&gt; Bằng cách thể thao&gt; Bóng chày&gt; lưu niệm, hàng hóa có liên quan")</f>
        <v>Đấu giá&gt; thể thao, giải trí&gt; Bằng cách thể thao&gt; Bóng chày&gt; lưu niệm, hàng hóa có liên quan</v>
      </c>
      <c r="F258" t="str">
        <f t="shared" ref="F258:F321" ca="1" si="4">CONCATENATE(CHAR(34)&amp;"",A258,""&amp;CHAR(34)," : ", CHAR(34)&amp;"",D258,""&amp;CHAR(34),",")</f>
        <v>"2084032390" : "Lưu niệm, hàng hóa có liên quan",</v>
      </c>
    </row>
    <row r="259" spans="1:6" ht="15.75" customHeight="1">
      <c r="A259" s="14">
        <v>2084032398</v>
      </c>
      <c r="B259" s="14" t="s">
        <v>7721</v>
      </c>
      <c r="C259" s="14" t="s">
        <v>9169</v>
      </c>
      <c r="D259" s="5" t="str">
        <f ca="1">IFERROR(__xludf.DUMMYFUNCTION("GOOGLETRANSLATE(B259,""ja"",""vi"")"),"video")</f>
        <v>video</v>
      </c>
      <c r="E259" s="5" t="str">
        <f ca="1">IFERROR(__xludf.DUMMYFUNCTION("GOOGLETRANSLATE(C259,""ja"",""vi"")"),"Đấu giá&gt; thể thao, giải trí&gt; Bằng cách thể thao&gt; Bóng chày&gt; Video")</f>
        <v>Đấu giá&gt; thể thao, giải trí&gt; Bằng cách thể thao&gt; Bóng chày&gt; Video</v>
      </c>
      <c r="F259" t="str">
        <f t="shared" ca="1" si="4"/>
        <v>"2084032398" : "video",</v>
      </c>
    </row>
    <row r="260" spans="1:6" ht="15.75" customHeight="1">
      <c r="A260" s="14">
        <v>2084008085</v>
      </c>
      <c r="B260" s="14" t="s">
        <v>1586</v>
      </c>
      <c r="C260" s="14" t="s">
        <v>9175</v>
      </c>
      <c r="D260" s="5" t="str">
        <f ca="1">IFERROR(__xludf.DUMMYFUNCTION("GOOGLETRANSLATE(B260,""ja"",""vi"")"),"tạp chí")</f>
        <v>tạp chí</v>
      </c>
      <c r="E260" s="5" t="str">
        <f ca="1">IFERROR(__xludf.DUMMYFUNCTION("GOOGLETRANSLATE(C260,""ja"",""vi"")"),"Đấu giá&gt; thể thao, giải trí&gt; Bằng cách thể thao&gt; Bóng chày&gt; Tạp chí")</f>
        <v>Đấu giá&gt; thể thao, giải trí&gt; Bằng cách thể thao&gt; Bóng chày&gt; Tạp chí</v>
      </c>
      <c r="F260" t="str">
        <f t="shared" ca="1" si="4"/>
        <v>"2084008085" : "tạp chí",</v>
      </c>
    </row>
    <row r="261" spans="1:6" ht="15.75" customHeight="1">
      <c r="A261" s="14">
        <v>2084263676</v>
      </c>
      <c r="B261" s="14" t="s">
        <v>9178</v>
      </c>
      <c r="C261" s="14" t="s">
        <v>9180</v>
      </c>
      <c r="D261" s="5" t="str">
        <f ca="1">IFERROR(__xludf.DUMMYFUNCTION("GOOGLETRANSLATE(B261,""ja"",""vi"")"),"Đồ làm trọng tài")</f>
        <v>Đồ làm trọng tài</v>
      </c>
      <c r="E261" s="5" t="str">
        <f ca="1">IFERROR(__xludf.DUMMYFUNCTION("GOOGLETRANSLATE(C261,""ja"",""vi"")"),"Đấu giá&gt; thể thao, giải trí&gt; Bằng cách thể thao&gt; Bóng chày&gt; nguồn cung cấp tài")</f>
        <v>Đấu giá&gt; thể thao, giải trí&gt; Bằng cách thể thao&gt; Bóng chày&gt; nguồn cung cấp tài</v>
      </c>
      <c r="F261" t="str">
        <f t="shared" ca="1" si="4"/>
        <v>"2084263676" : "Đồ làm trọng tài",</v>
      </c>
    </row>
    <row r="262" spans="1:6" ht="15.75" customHeight="1">
      <c r="A262" s="14">
        <v>2084008863</v>
      </c>
      <c r="B262" s="14" t="s">
        <v>1632</v>
      </c>
      <c r="C262" s="14" t="s">
        <v>9184</v>
      </c>
      <c r="D262" s="5" t="str">
        <f ca="1">IFERROR(__xludf.DUMMYFUNCTION("GOOGLETRANSLATE(B262,""ja"",""vi"")"),"điều này")</f>
        <v>điều này</v>
      </c>
      <c r="E262" s="5" t="str">
        <f ca="1">IFERROR(__xludf.DUMMYFUNCTION("GOOGLETRANSLATE(C262,""ja"",""vi"")"),"Đấu giá&gt; thể thao, giải trí&gt; Bằng cách thể thao&gt; Bóng chày&gt; Sách")</f>
        <v>Đấu giá&gt; thể thao, giải trí&gt; Bằng cách thể thao&gt; Bóng chày&gt; Sách</v>
      </c>
      <c r="F262" t="str">
        <f t="shared" ca="1" si="4"/>
        <v>"2084008863" : "điều này",</v>
      </c>
    </row>
    <row r="263" spans="1:6" ht="15.75" customHeight="1">
      <c r="A263" s="14">
        <v>2084045756</v>
      </c>
      <c r="B263" s="14" t="s">
        <v>9189</v>
      </c>
      <c r="C263" s="14" t="s">
        <v>9190</v>
      </c>
      <c r="D263" s="5" t="str">
        <f ca="1">IFERROR(__xludf.DUMMYFUNCTION("GOOGLETRANSLATE(B263,""ja"",""vi"")"),"vé bóng chày")</f>
        <v>vé bóng chày</v>
      </c>
      <c r="E263" s="5" t="str">
        <f ca="1">IFERROR(__xludf.DUMMYFUNCTION("GOOGLETRANSLATE(C263,""ja"",""vi"")"),"Đấu giá&gt; thể thao, giải trí&gt; Bằng cách thể thao&gt; Bóng chày&gt; bóng chày Vé")</f>
        <v>Đấu giá&gt; thể thao, giải trí&gt; Bằng cách thể thao&gt; Bóng chày&gt; bóng chày Vé</v>
      </c>
      <c r="F263" t="str">
        <f t="shared" ca="1" si="4"/>
        <v>"2084045756" : "vé bóng chày",</v>
      </c>
    </row>
    <row r="264" spans="1:6" ht="15.75" customHeight="1">
      <c r="A264" s="14">
        <v>2084063150</v>
      </c>
      <c r="B264" s="14" t="s">
        <v>8343</v>
      </c>
      <c r="C264" s="14" t="s">
        <v>9194</v>
      </c>
      <c r="D264" s="5" t="str">
        <f ca="1">IFERROR(__xludf.DUMMYFUNCTION("GOOGLETRANSLATE(B264,""ja"",""vi"")"),"Mang")</f>
        <v>Mang</v>
      </c>
      <c r="E264" s="5" t="str">
        <f ca="1">IFERROR(__xludf.DUMMYFUNCTION("GOOGLETRANSLATE(C264,""ja"",""vi"")"),"Đấu giá&gt; thể thao, giải trí&gt; Bằng cách thể thao&gt; Bóng bầu dục&gt; Mang")</f>
        <v>Đấu giá&gt; thể thao, giải trí&gt; Bằng cách thể thao&gt; Bóng bầu dục&gt; Mang</v>
      </c>
      <c r="F264" t="str">
        <f t="shared" ca="1" si="4"/>
        <v>"2084063150" : "Mang",</v>
      </c>
    </row>
    <row r="265" spans="1:6" ht="15.75" customHeight="1">
      <c r="A265" s="14">
        <v>2084063154</v>
      </c>
      <c r="B265" s="14" t="s">
        <v>8576</v>
      </c>
      <c r="C265" s="14" t="s">
        <v>9198</v>
      </c>
      <c r="D265" s="5" t="str">
        <f ca="1">IFERROR(__xludf.DUMMYFUNCTION("GOOGLETRANSLATE(B265,""ja"",""vi"")"),"đôi giày")</f>
        <v>đôi giày</v>
      </c>
      <c r="E265" s="5" t="str">
        <f ca="1">IFERROR(__xludf.DUMMYFUNCTION("GOOGLETRANSLATE(C265,""ja"",""vi"")"),"Đấu giá&gt; thể thao, giải trí&gt; Bằng cách thể thao&gt; Bóng bầu dục&gt; Giày dép")</f>
        <v>Đấu giá&gt; thể thao, giải trí&gt; Bằng cách thể thao&gt; Bóng bầu dục&gt; Giày dép</v>
      </c>
      <c r="F265" t="str">
        <f t="shared" ca="1" si="4"/>
        <v>"2084063154" : "đôi giày",</v>
      </c>
    </row>
    <row r="266" spans="1:6" ht="15.75" customHeight="1">
      <c r="A266" s="14">
        <v>2084063156</v>
      </c>
      <c r="B266" s="14" t="s">
        <v>9203</v>
      </c>
      <c r="C266" s="14" t="s">
        <v>9204</v>
      </c>
      <c r="D266" s="5" t="str">
        <f ca="1">IFERROR(__xludf.DUMMYFUNCTION("GOOGLETRANSLATE(B266,""ja"",""vi"")"),"Headgear")</f>
        <v>Headgear</v>
      </c>
      <c r="E266" s="5" t="str">
        <f ca="1">IFERROR(__xludf.DUMMYFUNCTION("GOOGLETRANSLATE(C266,""ja"",""vi"")"),"Đấu giá&gt; thể thao, giải trí&gt; Bằng cách thể thao&gt; Bóng bầu dục&gt; mũ")</f>
        <v>Đấu giá&gt; thể thao, giải trí&gt; Bằng cách thể thao&gt; Bóng bầu dục&gt; mũ</v>
      </c>
      <c r="F266" t="str">
        <f t="shared" ca="1" si="4"/>
        <v>"2084063156" : "Headgear",</v>
      </c>
    </row>
    <row r="267" spans="1:6" ht="15.75" customHeight="1">
      <c r="A267" s="14">
        <v>2084063155</v>
      </c>
      <c r="B267" s="14" t="s">
        <v>8518</v>
      </c>
      <c r="C267" s="14" t="s">
        <v>9207</v>
      </c>
      <c r="D267" s="5" t="str">
        <f ca="1">IFERROR(__xludf.DUMMYFUNCTION("GOOGLETRANSLATE(B267,""ja"",""vi"")"),"quả bóng")</f>
        <v>quả bóng</v>
      </c>
      <c r="E267" s="5" t="str">
        <f ca="1">IFERROR(__xludf.DUMMYFUNCTION("GOOGLETRANSLATE(C267,""ja"",""vi"")"),"Đấu giá&gt; thể thao, giải trí&gt; Bằng cách thể thao&gt; Bóng bầu dục&gt; bóng")</f>
        <v>Đấu giá&gt; thể thao, giải trí&gt; Bằng cách thể thao&gt; Bóng bầu dục&gt; bóng</v>
      </c>
      <c r="F267" t="str">
        <f t="shared" ca="1" si="4"/>
        <v>"2084063155" : "quả bóng",</v>
      </c>
    </row>
    <row r="268" spans="1:6" ht="15.75" customHeight="1">
      <c r="A268" s="14">
        <v>2084063157</v>
      </c>
      <c r="B268" s="14" t="s">
        <v>46</v>
      </c>
      <c r="C268" s="14" t="s">
        <v>9211</v>
      </c>
      <c r="D268" s="5" t="str">
        <f ca="1">IFERROR(__xludf.DUMMYFUNCTION("GOOGLETRANSLATE(B268,""ja"",""vi"")"),"nếu không thì")</f>
        <v>nếu không thì</v>
      </c>
      <c r="E268" s="5" t="str">
        <f ca="1">IFERROR(__xludf.DUMMYFUNCTION("GOOGLETRANSLATE(C268,""ja"",""vi"")"),"Đấu giá&gt; thể thao, giải trí&gt; Bằng cách thể thao&gt; Bóng bầu dục&gt; Khác")</f>
        <v>Đấu giá&gt; thể thao, giải trí&gt; Bằng cách thể thao&gt; Bóng bầu dục&gt; Khác</v>
      </c>
      <c r="F268" t="str">
        <f t="shared" ca="1" si="4"/>
        <v>"2084063157" : "nếu không thì",</v>
      </c>
    </row>
    <row r="269" spans="1:6" ht="15.75" customHeight="1">
      <c r="A269" s="14">
        <v>2084285323</v>
      </c>
      <c r="B269" s="14" t="s">
        <v>8418</v>
      </c>
      <c r="C269" s="14" t="s">
        <v>9216</v>
      </c>
      <c r="D269" s="5" t="str">
        <f ca="1">IFERROR(__xludf.DUMMYFUNCTION("GOOGLETRANSLATE(B269,""ja"",""vi"")"),"Mang (đối với nam)")</f>
        <v>Mang (đối với nam)</v>
      </c>
      <c r="E269" s="5" t="str">
        <f ca="1">IFERROR(__xludf.DUMMYFUNCTION("GOOGLETRANSLATE(C269,""ja"",""vi"")"),"Đấu giá&gt; thể thao, giải trí&gt; thể thao khác&gt; chạy, chạy bộ&gt; Mang (đối với nam)")</f>
        <v>Đấu giá&gt; thể thao, giải trí&gt; thể thao khác&gt; chạy, chạy bộ&gt; Mang (đối với nam)</v>
      </c>
      <c r="F269" t="str">
        <f t="shared" ca="1" si="4"/>
        <v>"2084285323" : "Mang (đối với nam)",</v>
      </c>
    </row>
    <row r="270" spans="1:6" ht="15.75" customHeight="1">
      <c r="A270" s="14">
        <v>2084285330</v>
      </c>
      <c r="B270" s="14" t="s">
        <v>8420</v>
      </c>
      <c r="C270" s="14" t="s">
        <v>9221</v>
      </c>
      <c r="D270" s="5" t="str">
        <f ca="1">IFERROR(__xludf.DUMMYFUNCTION("GOOGLETRANSLATE(B270,""ja"",""vi"")"),"Mang (đối với nữ)")</f>
        <v>Mang (đối với nữ)</v>
      </c>
      <c r="E270" s="5" t="str">
        <f ca="1">IFERROR(__xludf.DUMMYFUNCTION("GOOGLETRANSLATE(C270,""ja"",""vi"")"),"Đấu giá&gt; thể thao, giải trí&gt; thể thao khác&gt; chạy, chạy bộ&gt; Mang (đối với nữ)")</f>
        <v>Đấu giá&gt; thể thao, giải trí&gt; thể thao khác&gt; chạy, chạy bộ&gt; Mang (đối với nữ)</v>
      </c>
      <c r="F270" t="str">
        <f t="shared" ca="1" si="4"/>
        <v>"2084285330" : "Mang (đối với nữ)",</v>
      </c>
    </row>
    <row r="271" spans="1:6" ht="15.75" customHeight="1">
      <c r="A271" s="14">
        <v>2084285337</v>
      </c>
      <c r="B271" s="14" t="s">
        <v>8713</v>
      </c>
      <c r="C271" s="14" t="s">
        <v>9225</v>
      </c>
      <c r="D271" s="5" t="str">
        <f ca="1">IFERROR(__xludf.DUMMYFUNCTION("GOOGLETRANSLATE(B271,""ja"",""vi"")"),"Mang (cho trẻ em)")</f>
        <v>Mang (cho trẻ em)</v>
      </c>
      <c r="E271" s="5" t="str">
        <f ca="1">IFERROR(__xludf.DUMMYFUNCTION("GOOGLETRANSLATE(C271,""ja"",""vi"")"),"Đấu giá&gt; thể thao, giải trí&gt; thể thao khác&gt; chạy, chạy bộ&gt; Mang (cho trẻ em)")</f>
        <v>Đấu giá&gt; thể thao, giải trí&gt; thể thao khác&gt; chạy, chạy bộ&gt; Mang (cho trẻ em)</v>
      </c>
      <c r="F271" t="str">
        <f t="shared" ca="1" si="4"/>
        <v>"2084285337" : "Mang (cho trẻ em)",</v>
      </c>
    </row>
    <row r="272" spans="1:6" ht="15.75" customHeight="1">
      <c r="A272" s="14">
        <v>2084230278</v>
      </c>
      <c r="B272" s="14" t="s">
        <v>8422</v>
      </c>
      <c r="C272" s="14" t="s">
        <v>9231</v>
      </c>
      <c r="D272" s="5" t="str">
        <f ca="1">IFERROR(__xludf.DUMMYFUNCTION("GOOGLETRANSLATE(B272,""ja"",""vi"")"),"Giày dép (đối với nam)")</f>
        <v>Giày dép (đối với nam)</v>
      </c>
      <c r="E272" s="5" t="str">
        <f ca="1">IFERROR(__xludf.DUMMYFUNCTION("GOOGLETRANSLATE(C272,""ja"",""vi"")"),"Đấu giá&gt; thể thao, giải trí&gt; thể thao khác&gt; chạy, chạy bộ&gt; giày (đối với nam)")</f>
        <v>Đấu giá&gt; thể thao, giải trí&gt; thể thao khác&gt; chạy, chạy bộ&gt; giày (đối với nam)</v>
      </c>
      <c r="F272" t="str">
        <f t="shared" ca="1" si="4"/>
        <v>"2084230278" : "Giày dép (đối với nam)",</v>
      </c>
    </row>
    <row r="273" spans="1:6" ht="15.75" customHeight="1">
      <c r="A273" s="14">
        <v>2084230279</v>
      </c>
      <c r="B273" s="14" t="s">
        <v>8424</v>
      </c>
      <c r="C273" s="14" t="s">
        <v>9236</v>
      </c>
      <c r="D273" s="5" t="str">
        <f ca="1">IFERROR(__xludf.DUMMYFUNCTION("GOOGLETRANSLATE(B273,""ja"",""vi"")"),"Giày dép (đối với nữ)")</f>
        <v>Giày dép (đối với nữ)</v>
      </c>
      <c r="E273" s="5" t="str">
        <f ca="1">IFERROR(__xludf.DUMMYFUNCTION("GOOGLETRANSLATE(C273,""ja"",""vi"")"),"Đấu giá&gt; thể thao, giải trí&gt; thể thao khác&gt; chạy, chạy bộ&gt; giày (đối với nữ)")</f>
        <v>Đấu giá&gt; thể thao, giải trí&gt; thể thao khác&gt; chạy, chạy bộ&gt; giày (đối với nữ)</v>
      </c>
      <c r="F273" t="str">
        <f t="shared" ca="1" si="4"/>
        <v>"2084230279" : "Giày dép (đối với nữ)",</v>
      </c>
    </row>
    <row r="274" spans="1:6" ht="15.75" customHeight="1">
      <c r="A274" s="14">
        <v>2084285339</v>
      </c>
      <c r="B274" s="14" t="s">
        <v>1685</v>
      </c>
      <c r="C274" s="14" t="s">
        <v>9242</v>
      </c>
      <c r="D274" s="5" t="str">
        <f ca="1">IFERROR(__xludf.DUMMYFUNCTION("GOOGLETRANSLATE(B274,""ja"",""vi"")"),"phụ kiện")</f>
        <v>phụ kiện</v>
      </c>
      <c r="E274" s="5" t="str">
        <f ca="1">IFERROR(__xludf.DUMMYFUNCTION("GOOGLETRANSLATE(C274,""ja"",""vi"")"),"Đấu giá&gt; thể thao, giải trí&gt; thể thao khác&gt; chạy, chạy bộ&gt; Accessories")</f>
        <v>Đấu giá&gt; thể thao, giải trí&gt; thể thao khác&gt; chạy, chạy bộ&gt; Accessories</v>
      </c>
      <c r="F274" t="str">
        <f t="shared" ca="1" si="4"/>
        <v>"2084285339" : "phụ kiện",</v>
      </c>
    </row>
    <row r="275" spans="1:6" ht="15.75" customHeight="1">
      <c r="A275" s="14">
        <v>25356</v>
      </c>
      <c r="B275" s="14" t="s">
        <v>9246</v>
      </c>
      <c r="C275" s="14" t="s">
        <v>9248</v>
      </c>
      <c r="D275" s="5" t="str">
        <f ca="1">IFERROR(__xludf.DUMMYFUNCTION("GOOGLETRANSLATE(B275,""ja"",""vi"")"),"Điền kinh khác")</f>
        <v>Điền kinh khác</v>
      </c>
      <c r="E275" s="5" t="str">
        <f ca="1">IFERROR(__xludf.DUMMYFUNCTION("GOOGLETRANSLATE(C275,""ja"",""vi"")"),"Đấu giá&gt; thể thao, giải trí&gt; thể thao khác&gt; chạy, chạy bộ&gt; Athletics khác")</f>
        <v>Đấu giá&gt; thể thao, giải trí&gt; thể thao khác&gt; chạy, chạy bộ&gt; Athletics khác</v>
      </c>
      <c r="F275" t="str">
        <f t="shared" ca="1" si="4"/>
        <v>"25356" : "Điền kinh khác",</v>
      </c>
    </row>
    <row r="276" spans="1:6" ht="15.75" customHeight="1">
      <c r="A276" s="14">
        <v>2084063158</v>
      </c>
      <c r="B276" s="14" t="s">
        <v>8343</v>
      </c>
      <c r="C276" s="14" t="s">
        <v>9253</v>
      </c>
      <c r="D276" s="5" t="str">
        <f ca="1">IFERROR(__xludf.DUMMYFUNCTION("GOOGLETRANSLATE(B276,""ja"",""vi"")"),"Mang")</f>
        <v>Mang</v>
      </c>
      <c r="E276" s="5" t="str">
        <f ca="1">IFERROR(__xludf.DUMMYFUNCTION("GOOGLETRANSLATE(C276,""ja"",""vi"")"),"Đấu giá&gt; thể thao, giải trí&gt; Bằng cách thể thao&gt; Điền kinh&gt; Mang")</f>
        <v>Đấu giá&gt; thể thao, giải trí&gt; Bằng cách thể thao&gt; Điền kinh&gt; Mang</v>
      </c>
      <c r="F276" t="str">
        <f t="shared" ca="1" si="4"/>
        <v>"2084063158" : "Mang",</v>
      </c>
    </row>
    <row r="277" spans="1:6" ht="15.75" customHeight="1">
      <c r="A277" s="14">
        <v>2084063163</v>
      </c>
      <c r="B277" s="14" t="s">
        <v>9256</v>
      </c>
      <c r="C277" s="14" t="s">
        <v>9259</v>
      </c>
      <c r="D277" s="5" t="str">
        <f ca="1">IFERROR(__xludf.DUMMYFUNCTION("GOOGLETRANSLATE(B277,""ja"",""vi"")"),"giày Spike")</f>
        <v>giày Spike</v>
      </c>
      <c r="E277" s="5" t="str">
        <f ca="1">IFERROR(__xludf.DUMMYFUNCTION("GOOGLETRANSLATE(C277,""ja"",""vi"")"),"Đấu giá&gt; thể thao, giải trí&gt; Bằng cách thể thao&gt; Điền kinh&gt; giày mũi nhọn")</f>
        <v>Đấu giá&gt; thể thao, giải trí&gt; Bằng cách thể thao&gt; Điền kinh&gt; giày mũi nhọn</v>
      </c>
      <c r="F277" t="str">
        <f t="shared" ca="1" si="4"/>
        <v>"2084063163" : "giày Spike",</v>
      </c>
    </row>
    <row r="278" spans="1:6" ht="15.75" customHeight="1">
      <c r="A278" s="14">
        <v>2084263701</v>
      </c>
      <c r="B278" s="14" t="s">
        <v>8385</v>
      </c>
      <c r="C278" s="14" t="s">
        <v>9264</v>
      </c>
      <c r="D278" s="5" t="str">
        <f ca="1">IFERROR(__xludf.DUMMYFUNCTION("GOOGLETRANSLATE(B278,""ja"",""vi"")"),"theo dõi nhịp tim thể thao")</f>
        <v>theo dõi nhịp tim thể thao</v>
      </c>
      <c r="E278" s="5" t="str">
        <f ca="1">IFERROR(__xludf.DUMMYFUNCTION("GOOGLETRANSLATE(C278,""ja"",""vi"")"),"Đấu giá&gt; thể thao, giải trí&gt; Bằng cách thể thao&gt; Điền kinh&gt; màn hình thể thao nhịp tim")</f>
        <v>Đấu giá&gt; thể thao, giải trí&gt; Bằng cách thể thao&gt; Điền kinh&gt; màn hình thể thao nhịp tim</v>
      </c>
      <c r="F278" t="str">
        <f t="shared" ca="1" si="4"/>
        <v>"2084263701" : "theo dõi nhịp tim thể thao",</v>
      </c>
    </row>
    <row r="279" spans="1:6" ht="15.75" customHeight="1">
      <c r="A279" s="14">
        <v>2084285322</v>
      </c>
      <c r="B279" s="14" t="s">
        <v>9268</v>
      </c>
      <c r="C279" s="14" t="s">
        <v>9270</v>
      </c>
      <c r="D279" s="5" t="str">
        <f ca="1">IFERROR(__xludf.DUMMYFUNCTION("GOOGLETRANSLATE(B279,""ja"",""vi"")"),"Chạy, chạy bộ")</f>
        <v>Chạy, chạy bộ</v>
      </c>
      <c r="E279" s="5" t="str">
        <f ca="1">IFERROR(__xludf.DUMMYFUNCTION("GOOGLETRANSLATE(C279,""ja"",""vi"")"),"Đấu giá&gt; thể thao, giải trí&gt; Bằng cách thể thao&gt; Điền kinh&gt; chạy, chạy bộ")</f>
        <v>Đấu giá&gt; thể thao, giải trí&gt; Bằng cách thể thao&gt; Điền kinh&gt; chạy, chạy bộ</v>
      </c>
      <c r="F279" t="str">
        <f t="shared" ca="1" si="4"/>
        <v>"2084285322" : "Chạy, chạy bộ",</v>
      </c>
    </row>
    <row r="280" spans="1:6" ht="15.75" customHeight="1">
      <c r="A280" s="14">
        <v>2084063165</v>
      </c>
      <c r="B280" s="14" t="s">
        <v>46</v>
      </c>
      <c r="C280" s="14" t="s">
        <v>9275</v>
      </c>
      <c r="D280" s="5" t="str">
        <f ca="1">IFERROR(__xludf.DUMMYFUNCTION("GOOGLETRANSLATE(B280,""ja"",""vi"")"),"nếu không thì")</f>
        <v>nếu không thì</v>
      </c>
      <c r="E280" s="5" t="str">
        <f ca="1">IFERROR(__xludf.DUMMYFUNCTION("GOOGLETRANSLATE(C280,""ja"",""vi"")"),"Đấu giá&gt; thể thao, giải trí&gt; Bằng cách thể thao&gt; Điền kinh&gt; Khác")</f>
        <v>Đấu giá&gt; thể thao, giải trí&gt; Bằng cách thể thao&gt; Điền kinh&gt; Khác</v>
      </c>
      <c r="F280" t="str">
        <f t="shared" ca="1" si="4"/>
        <v>"2084063165" : "nếu không thì",</v>
      </c>
    </row>
    <row r="281" spans="1:6" ht="15.75" customHeight="1">
      <c r="A281" s="14">
        <v>2084005276</v>
      </c>
      <c r="B281" s="14" t="s">
        <v>9280</v>
      </c>
      <c r="C281" s="14" t="s">
        <v>9281</v>
      </c>
      <c r="D281" s="5" t="str">
        <f ca="1">IFERROR(__xludf.DUMMYFUNCTION("GOOGLETRANSLATE(B281,""ja"",""vi"")"),"Đối với nam giới")</f>
        <v>Đối với nam giới</v>
      </c>
      <c r="E281" s="5" t="str">
        <f ca="1">IFERROR(__xludf.DUMMYFUNCTION("GOOGLETRANSLATE(C281,""ja"",""vi"")"),"Đấu giá&gt; thể thao, giải trí&gt; đồ thể thao&gt; dành cho nam giới")</f>
        <v>Đấu giá&gt; thể thao, giải trí&gt; đồ thể thao&gt; dành cho nam giới</v>
      </c>
      <c r="F281" t="str">
        <f t="shared" ca="1" si="4"/>
        <v>"2084005276" : "Đối với nam giới",</v>
      </c>
    </row>
    <row r="282" spans="1:6" ht="15.75" customHeight="1">
      <c r="A282" s="14">
        <v>2084006829</v>
      </c>
      <c r="B282" s="14" t="s">
        <v>9286</v>
      </c>
      <c r="C282" s="14" t="s">
        <v>9287</v>
      </c>
      <c r="D282" s="5" t="str">
        <f ca="1">IFERROR(__xludf.DUMMYFUNCTION("GOOGLETRANSLATE(B282,""ja"",""vi"")"),"Đối với phụ nữ")</f>
        <v>Đối với phụ nữ</v>
      </c>
      <c r="E282" s="5" t="str">
        <f ca="1">IFERROR(__xludf.DUMMYFUNCTION("GOOGLETRANSLATE(C282,""ja"",""vi"")"),"Đấu giá&gt; thể thao, giải trí&gt; đồ thể thao&gt; cho phụ nữ")</f>
        <v>Đấu giá&gt; thể thao, giải trí&gt; đồ thể thao&gt; cho phụ nữ</v>
      </c>
      <c r="F282" t="str">
        <f t="shared" ca="1" si="4"/>
        <v>"2084006829" : "Đối với phụ nữ",</v>
      </c>
    </row>
    <row r="283" spans="1:6" ht="15.75" customHeight="1">
      <c r="A283" s="14">
        <v>2084024291</v>
      </c>
      <c r="B283" s="14" t="s">
        <v>9292</v>
      </c>
      <c r="C283" s="14" t="s">
        <v>9293</v>
      </c>
      <c r="D283" s="5" t="str">
        <f ca="1">IFERROR(__xludf.DUMMYFUNCTION("GOOGLETRANSLATE(B283,""ja"",""vi"")"),"unisex")</f>
        <v>unisex</v>
      </c>
      <c r="E283" s="5" t="str">
        <f ca="1">IFERROR(__xludf.DUMMYFUNCTION("GOOGLETRANSLATE(C283,""ja"",""vi"")"),"Đấu giá&gt; thể thao, giải trí&gt; đồ thể thao&gt; Unisex")</f>
        <v>Đấu giá&gt; thể thao, giải trí&gt; đồ thể thao&gt; Unisex</v>
      </c>
      <c r="F283" t="str">
        <f t="shared" ca="1" si="4"/>
        <v>"2084024291" : "unisex",</v>
      </c>
    </row>
    <row r="284" spans="1:6" ht="15.75" customHeight="1">
      <c r="A284" s="14">
        <v>2084024292</v>
      </c>
      <c r="B284" s="14" t="s">
        <v>9298</v>
      </c>
      <c r="C284" s="14" t="s">
        <v>9299</v>
      </c>
      <c r="D284" s="5" t="str">
        <f ca="1">IFERROR(__xludf.DUMMYFUNCTION("GOOGLETRANSLATE(B284,""ja"",""vi"")"),"Đối với trẻ em")</f>
        <v>Đối với trẻ em</v>
      </c>
      <c r="E284" s="5" t="str">
        <f ca="1">IFERROR(__xludf.DUMMYFUNCTION("GOOGLETRANSLATE(C284,""ja"",""vi"")"),"Đấu giá&gt; thể thao, giải trí&gt; đồ thể thao&gt; cho trẻ em")</f>
        <v>Đấu giá&gt; thể thao, giải trí&gt; đồ thể thao&gt; cho trẻ em</v>
      </c>
      <c r="F284" t="str">
        <f t="shared" ca="1" si="4"/>
        <v>"2084024292" : "Đối với trẻ em",</v>
      </c>
    </row>
    <row r="285" spans="1:6" ht="15.75" customHeight="1">
      <c r="A285" s="14">
        <v>25152</v>
      </c>
      <c r="B285" s="14" t="s">
        <v>9304</v>
      </c>
      <c r="C285" s="14" t="s">
        <v>9306</v>
      </c>
      <c r="D285" s="5" t="str">
        <f ca="1">IFERROR(__xludf.DUMMYFUNCTION("GOOGLETRANSLATE(B285,""ja"",""vi"")"),"bằng cách thể thao")</f>
        <v>bằng cách thể thao</v>
      </c>
      <c r="E285" s="5" t="str">
        <f ca="1">IFERROR(__xludf.DUMMYFUNCTION("GOOGLETRANSLATE(C285,""ja"",""vi"")"),"Đấu giá&gt; thể thao, giải trí&gt; đồ thể thao&gt; Bằng Sport")</f>
        <v>Đấu giá&gt; thể thao, giải trí&gt; đồ thể thao&gt; Bằng Sport</v>
      </c>
      <c r="F285" t="str">
        <f t="shared" ca="1" si="4"/>
        <v>"25152" : "bằng cách thể thao",</v>
      </c>
    </row>
    <row r="286" spans="1:6" ht="15.75" customHeight="1">
      <c r="A286" s="14">
        <v>2084214045</v>
      </c>
      <c r="B286" s="14" t="s">
        <v>9314</v>
      </c>
      <c r="C286" s="14" t="s">
        <v>9315</v>
      </c>
      <c r="D286" s="5" t="str">
        <f ca="1">IFERROR(__xludf.DUMMYFUNCTION("GOOGLETRANSLATE(B286,""ja"",""vi"")"),"kính mát")</f>
        <v>kính mát</v>
      </c>
      <c r="E286" s="5" t="str">
        <f ca="1">IFERROR(__xludf.DUMMYFUNCTION("GOOGLETRANSLATE(C286,""ja"",""vi"")"),"Đấu giá&gt; thể thao, giải trí&gt; đồ thể thao&gt; kính mát")</f>
        <v>Đấu giá&gt; thể thao, giải trí&gt; đồ thể thao&gt; kính mát</v>
      </c>
      <c r="F286" t="str">
        <f t="shared" ca="1" si="4"/>
        <v>"2084214045" : "kính mát",</v>
      </c>
    </row>
    <row r="287" spans="1:6" ht="15.75" customHeight="1">
      <c r="A287" s="14">
        <v>24802</v>
      </c>
      <c r="B287" s="14" t="s">
        <v>9319</v>
      </c>
      <c r="C287" s="14" t="s">
        <v>9321</v>
      </c>
      <c r="D287" s="5" t="str">
        <f ca="1">IFERROR(__xludf.DUMMYFUNCTION("GOOGLETRANSLATE(B287,""ja"",""vi"")"),"Mang ngoài trời")</f>
        <v>Mang ngoài trời</v>
      </c>
      <c r="E287" s="5" t="str">
        <f ca="1">IFERROR(__xludf.DUMMYFUNCTION("GOOGLETRANSLATE(C287,""ja"",""vi"")"),"Đấu giá&gt; thể thao, giải trí&gt; đồ thể thao&gt; Mang ngoài trời")</f>
        <v>Đấu giá&gt; thể thao, giải trí&gt; đồ thể thao&gt; Mang ngoài trời</v>
      </c>
      <c r="F287" t="str">
        <f t="shared" ca="1" si="4"/>
        <v>"24802" : "Mang ngoài trời",</v>
      </c>
    </row>
    <row r="288" spans="1:6" ht="15.75" customHeight="1">
      <c r="A288" s="14">
        <v>2084006766</v>
      </c>
      <c r="B288" s="14" t="s">
        <v>9324</v>
      </c>
      <c r="C288" s="14" t="s">
        <v>9326</v>
      </c>
      <c r="D288" s="5" t="str">
        <f ca="1">IFERROR(__xludf.DUMMYFUNCTION("GOOGLETRANSLATE(B288,""ja"",""vi"")"),"tập thể dục mặc")</f>
        <v>tập thể dục mặc</v>
      </c>
      <c r="E288" s="5" t="str">
        <f ca="1">IFERROR(__xludf.DUMMYFUNCTION("GOOGLETRANSLATE(C288,""ja"",""vi"")"),"Đấu giá&gt; thể thao, giải trí&gt; đồ thể thao&gt; mặc tập thể dục")</f>
        <v>Đấu giá&gt; thể thao, giải trí&gt; đồ thể thao&gt; mặc tập thể dục</v>
      </c>
      <c r="F288" t="str">
        <f t="shared" ca="1" si="4"/>
        <v>"2084006766" : "tập thể dục mặc",</v>
      </c>
    </row>
    <row r="289" spans="1:6" ht="15.75" customHeight="1">
      <c r="A289" s="14">
        <v>2084051883</v>
      </c>
      <c r="B289" s="14" t="s">
        <v>8658</v>
      </c>
      <c r="C289" s="14" t="s">
        <v>9330</v>
      </c>
      <c r="D289" s="5" t="str">
        <f ca="1">IFERROR(__xludf.DUMMYFUNCTION("GOOGLETRANSLATE(B289,""ja"",""vi"")"),"Swimwear")</f>
        <v>Swimwear</v>
      </c>
      <c r="E289" s="5" t="str">
        <f ca="1">IFERROR(__xludf.DUMMYFUNCTION("GOOGLETRANSLATE(C289,""ja"",""vi"")"),"Đấu giá&gt; thể thao, giải trí&gt; đồ thể thao&gt; Swimwear")</f>
        <v>Đấu giá&gt; thể thao, giải trí&gt; đồ thể thao&gt; Swimwear</v>
      </c>
      <c r="F289" t="str">
        <f t="shared" ca="1" si="4"/>
        <v>"2084051883" : "Swimwear",</v>
      </c>
    </row>
    <row r="290" spans="1:6" ht="15.75" customHeight="1">
      <c r="A290" s="14">
        <v>2084047458</v>
      </c>
      <c r="B290" s="14" t="s">
        <v>8407</v>
      </c>
      <c r="C290" s="14" t="s">
        <v>9335</v>
      </c>
      <c r="D290" s="5" t="str">
        <f ca="1">IFERROR(__xludf.DUMMYFUNCTION("GOOGLETRANSLATE(B290,""ja"",""vi"")"),"F1")</f>
        <v>F1</v>
      </c>
      <c r="E290" s="5" t="str">
        <f ca="1">IFERROR(__xludf.DUMMYFUNCTION("GOOGLETRANSLATE(C290,""ja"",""vi"")"),"Đấu giá&gt; thể thao, giải trí&gt; thể thao khác&gt; lưu niệm, hàng hóa liên quan&gt; F1")</f>
        <v>Đấu giá&gt; thể thao, giải trí&gt; thể thao khác&gt; lưu niệm, hàng hóa liên quan&gt; F1</v>
      </c>
      <c r="F290" t="str">
        <f t="shared" ca="1" si="4"/>
        <v>"2084047458" : "F1",</v>
      </c>
    </row>
    <row r="291" spans="1:6" ht="15.75" customHeight="1">
      <c r="A291" s="14">
        <v>25388</v>
      </c>
      <c r="B291" s="14" t="s">
        <v>1246</v>
      </c>
      <c r="C291" s="14" t="s">
        <v>9340</v>
      </c>
      <c r="D291" s="5" t="str">
        <f ca="1">IFERROR(__xludf.DUMMYFUNCTION("GOOGLETRANSLATE(B291,""ja"",""vi"")"),"bóng đá Mỹ")</f>
        <v>bóng đá Mỹ</v>
      </c>
      <c r="E291" s="5" t="str">
        <f ca="1">IFERROR(__xludf.DUMMYFUNCTION("GOOGLETRANSLATE(C291,""ja"",""vi"")"),"Đấu giá&gt; thể thao, giải trí&gt; thể thao khác&gt; lưu niệm, hàng hóa có liên quan&gt; bóng đá Mỹ")</f>
        <v>Đấu giá&gt; thể thao, giải trí&gt; thể thao khác&gt; lưu niệm, hàng hóa có liên quan&gt; bóng đá Mỹ</v>
      </c>
      <c r="F291" t="str">
        <f t="shared" ca="1" si="4"/>
        <v>"25388" : "bóng đá Mỹ",</v>
      </c>
    </row>
    <row r="292" spans="1:6" ht="15.75" customHeight="1">
      <c r="A292" s="14">
        <v>50241</v>
      </c>
      <c r="B292" s="14" t="s">
        <v>8300</v>
      </c>
      <c r="C292" s="14" t="s">
        <v>9345</v>
      </c>
      <c r="D292" s="5" t="str">
        <f ca="1">IFERROR(__xludf.DUMMYFUNCTION("GOOGLETRANSLATE(B292,""ja"",""vi"")"),"thế vận hội")</f>
        <v>thế vận hội</v>
      </c>
      <c r="E292" s="5" t="str">
        <f ca="1">IFERROR(__xludf.DUMMYFUNCTION("GOOGLETRANSLATE(C292,""ja"",""vi"")"),"Đấu giá&gt; thể thao, giải trí&gt; thể thao khác&gt; lưu niệm, hàng hóa có liên quan&gt; Olympic")</f>
        <v>Đấu giá&gt; thể thao, giải trí&gt; thể thao khác&gt; lưu niệm, hàng hóa có liên quan&gt; Olympic</v>
      </c>
      <c r="F292" t="str">
        <f t="shared" ca="1" si="4"/>
        <v>"50241" : "thế vận hội",</v>
      </c>
    </row>
    <row r="293" spans="1:6" ht="15.75" customHeight="1">
      <c r="A293" s="14">
        <v>25394</v>
      </c>
      <c r="B293" s="14" t="s">
        <v>1254</v>
      </c>
      <c r="C293" s="14" t="s">
        <v>9350</v>
      </c>
      <c r="D293" s="5" t="str">
        <f ca="1">IFERROR(__xludf.DUMMYFUNCTION("GOOGLETRANSLATE(B293,""ja"",""vi"")"),"golf")</f>
        <v>golf</v>
      </c>
      <c r="E293" s="5" t="str">
        <f ca="1">IFERROR(__xludf.DUMMYFUNCTION("GOOGLETRANSLATE(C293,""ja"",""vi"")"),"Đấu giá&gt; thể thao, giải trí&gt; thể thao khác&gt; lưu niệm, hàng hóa có liên quan&gt; Golf")</f>
        <v>Đấu giá&gt; thể thao, giải trí&gt; thể thao khác&gt; lưu niệm, hàng hóa có liên quan&gt; Golf</v>
      </c>
      <c r="F293" t="str">
        <f t="shared" ca="1" si="4"/>
        <v>"25394" : "golf",</v>
      </c>
    </row>
    <row r="294" spans="1:6" ht="15.75" customHeight="1">
      <c r="A294" s="14">
        <v>2084032275</v>
      </c>
      <c r="B294" s="14" t="s">
        <v>9352</v>
      </c>
      <c r="C294" s="14" t="s">
        <v>9355</v>
      </c>
      <c r="D294" s="5" t="str">
        <f ca="1">IFERROR(__xludf.DUMMYFUNCTION("GOOGLETRANSLATE(B294,""ja"",""vi"")"),"lướt sóng")</f>
        <v>lướt sóng</v>
      </c>
      <c r="E294" s="5" t="str">
        <f ca="1">IFERROR(__xludf.DUMMYFUNCTION("GOOGLETRANSLATE(C294,""ja"",""vi"")"),"Đấu giá&gt; thể thao, giải trí&gt; thể thao khác&gt; lưu niệm, hàng hóa liên quan&gt; lướt")</f>
        <v>Đấu giá&gt; thể thao, giải trí&gt; thể thao khác&gt; lưu niệm, hàng hóa liên quan&gt; lướt</v>
      </c>
      <c r="F294" t="str">
        <f t="shared" ca="1" si="4"/>
        <v>"2084032275" : "lướt sóng",</v>
      </c>
    </row>
    <row r="295" spans="1:6" ht="15.75" customHeight="1">
      <c r="A295" s="14">
        <v>25410</v>
      </c>
      <c r="B295" s="14" t="s">
        <v>1262</v>
      </c>
      <c r="C295" s="14" t="s">
        <v>9360</v>
      </c>
      <c r="D295" s="5" t="str">
        <f ca="1">IFERROR(__xludf.DUMMYFUNCTION("GOOGLETRANSLATE(B295,""ja"",""vi"")"),"bóng đá")</f>
        <v>bóng đá</v>
      </c>
      <c r="E295" s="5" t="str">
        <f ca="1">IFERROR(__xludf.DUMMYFUNCTION("GOOGLETRANSLATE(C295,""ja"",""vi"")"),"Đấu giá&gt; thể thao, giải trí&gt; thể thao khác&gt; lưu niệm, hàng hóa có liên quan&gt; Bóng đá")</f>
        <v>Đấu giá&gt; thể thao, giải trí&gt; thể thao khác&gt; lưu niệm, hàng hóa có liên quan&gt; Bóng đá</v>
      </c>
      <c r="F295" t="str">
        <f t="shared" ca="1" si="4"/>
        <v>"25410" : "bóng đá",</v>
      </c>
    </row>
    <row r="296" spans="1:6" ht="15.75" customHeight="1">
      <c r="A296" s="14">
        <v>2084032326</v>
      </c>
      <c r="B296" s="14" t="s">
        <v>9364</v>
      </c>
      <c r="C296" s="14" t="s">
        <v>9365</v>
      </c>
      <c r="D296" s="5" t="str">
        <f ca="1">IFERROR(__xludf.DUMMYFUNCTION("GOOGLETRANSLATE(B296,""ja"",""vi"")"),"trượt ván trên tuyết")</f>
        <v>trượt ván trên tuyết</v>
      </c>
      <c r="E296" s="5" t="str">
        <f ca="1">IFERROR(__xludf.DUMMYFUNCTION("GOOGLETRANSLATE(C296,""ja"",""vi"")"),"Đấu giá&gt; thể thao, giải trí&gt; thể thao khác&gt; lưu niệm, hàng hóa có liên quan&gt; Snowboarding")</f>
        <v>Đấu giá&gt; thể thao, giải trí&gt; thể thao khác&gt; lưu niệm, hàng hóa có liên quan&gt; Snowboarding</v>
      </c>
      <c r="F296" t="str">
        <f t="shared" ca="1" si="4"/>
        <v>"2084032326" : "trượt ván trên tuyết",</v>
      </c>
    </row>
    <row r="297" spans="1:6" ht="15.75" customHeight="1">
      <c r="A297" s="14">
        <v>25382</v>
      </c>
      <c r="B297" s="14" t="s">
        <v>1288</v>
      </c>
      <c r="C297" s="14" t="s">
        <v>9370</v>
      </c>
      <c r="D297" s="5" t="str">
        <f ca="1">IFERROR(__xludf.DUMMYFUNCTION("GOOGLETRANSLATE(B297,""ja"",""vi"")"),"Bóng rổ")</f>
        <v>Bóng rổ</v>
      </c>
      <c r="E297" s="5" t="str">
        <f ca="1">IFERROR(__xludf.DUMMYFUNCTION("GOOGLETRANSLATE(C297,""ja"",""vi"")"),"Đấu giá&gt; thể thao, giải trí&gt; thể thao khác&gt; lưu niệm, hàng hóa có liên quan&gt; Bóng rổ")</f>
        <v>Đấu giá&gt; thể thao, giải trí&gt; thể thao khác&gt; lưu niệm, hàng hóa có liên quan&gt; Bóng rổ</v>
      </c>
      <c r="F297" t="str">
        <f t="shared" ca="1" si="4"/>
        <v>"25382" : "Bóng rổ",</v>
      </c>
    </row>
    <row r="298" spans="1:6" ht="15.75" customHeight="1">
      <c r="A298" s="14">
        <v>25422</v>
      </c>
      <c r="B298" s="14" t="s">
        <v>1302</v>
      </c>
      <c r="C298" s="14" t="s">
        <v>9374</v>
      </c>
      <c r="D298" s="5" t="str">
        <f ca="1">IFERROR(__xludf.DUMMYFUNCTION("GOOGLETRANSLATE(B298,""ja"",""vi"")"),"đua xe motor")</f>
        <v>đua xe motor</v>
      </c>
      <c r="E298" s="5" t="str">
        <f ca="1">IFERROR(__xludf.DUMMYFUNCTION("GOOGLETRANSLATE(C298,""ja"",""vi"")"),"Đấu giá&gt; thể thao, giải trí&gt; thể thao khác&gt; lưu niệm, hàng hóa có liên quan&gt; Đua xe motor")</f>
        <v>Đấu giá&gt; thể thao, giải trí&gt; thể thao khác&gt; lưu niệm, hàng hóa có liên quan&gt; Đua xe motor</v>
      </c>
      <c r="F298" t="str">
        <f t="shared" ca="1" si="4"/>
        <v>"25422" : "đua xe motor",</v>
      </c>
    </row>
    <row r="299" spans="1:6" ht="15.75" customHeight="1">
      <c r="A299" s="14">
        <v>2084032390</v>
      </c>
      <c r="B299" s="14" t="s">
        <v>1319</v>
      </c>
      <c r="C299" s="14" t="s">
        <v>9379</v>
      </c>
      <c r="D299" s="5" t="str">
        <f ca="1">IFERROR(__xludf.DUMMYFUNCTION("GOOGLETRANSLATE(B299,""ja"",""vi"")"),"Bóng chày")</f>
        <v>Bóng chày</v>
      </c>
      <c r="E299" s="5" t="str">
        <f ca="1">IFERROR(__xludf.DUMMYFUNCTION("GOOGLETRANSLATE(C299,""ja"",""vi"")"),"Đấu giá&gt; thể thao, giải trí&gt; thể thao khác&gt; lưu niệm, hàng hóa có liên quan&gt; bóng chày")</f>
        <v>Đấu giá&gt; thể thao, giải trí&gt; thể thao khác&gt; lưu niệm, hàng hóa có liên quan&gt; bóng chày</v>
      </c>
      <c r="F299" t="str">
        <f t="shared" ca="1" si="4"/>
        <v>"2084032390" : "Bóng chày",</v>
      </c>
    </row>
    <row r="300" spans="1:6" ht="15.75" customHeight="1">
      <c r="A300" s="14">
        <v>25428</v>
      </c>
      <c r="B300" s="14" t="s">
        <v>46</v>
      </c>
      <c r="C300" s="14" t="s">
        <v>9384</v>
      </c>
      <c r="D300" s="5" t="str">
        <f ca="1">IFERROR(__xludf.DUMMYFUNCTION("GOOGLETRANSLATE(B300,""ja"",""vi"")"),"nếu không thì")</f>
        <v>nếu không thì</v>
      </c>
      <c r="E300" s="5" t="str">
        <f ca="1">IFERROR(__xludf.DUMMYFUNCTION("GOOGLETRANSLATE(C300,""ja"",""vi"")"),"Đấu giá&gt; thể thao, giải trí&gt; thể thao khác&gt; lưu niệm, hàng hóa có liên quan&gt; Khác")</f>
        <v>Đấu giá&gt; thể thao, giải trí&gt; thể thao khác&gt; lưu niệm, hàng hóa có liên quan&gt; Khác</v>
      </c>
      <c r="F300" t="str">
        <f t="shared" ca="1" si="4"/>
        <v>"25428" : "nếu không thì",</v>
      </c>
    </row>
    <row r="301" spans="1:6" ht="15.75" customHeight="1">
      <c r="A301" s="14">
        <v>2084057251</v>
      </c>
      <c r="B301" s="14" t="s">
        <v>9387</v>
      </c>
      <c r="C301" s="14" t="s">
        <v>9389</v>
      </c>
      <c r="D301" s="5" t="str">
        <f ca="1">IFERROR(__xludf.DUMMYFUNCTION("GOOGLETRANSLATE(B301,""ja"",""vi"")"),"by Nhãn hiệu")</f>
        <v>by Nhãn hiệu</v>
      </c>
      <c r="E301" s="5" t="str">
        <f ca="1">IFERROR(__xludf.DUMMYFUNCTION("GOOGLETRANSLATE(C301,""ja"",""vi"")"),"Đấu giá&gt; thể thao, giải trí&gt; mặc ngoài trời&gt; By Nhãn hiệu")</f>
        <v>Đấu giá&gt; thể thao, giải trí&gt; mặc ngoài trời&gt; By Nhãn hiệu</v>
      </c>
      <c r="F301" t="str">
        <f t="shared" ca="1" si="4"/>
        <v>"2084057251" : "by Nhãn hiệu",</v>
      </c>
    </row>
    <row r="302" spans="1:6" ht="15.75" customHeight="1">
      <c r="A302" s="14">
        <v>2084057221</v>
      </c>
      <c r="B302" s="14" t="s">
        <v>9280</v>
      </c>
      <c r="C302" s="14" t="s">
        <v>9394</v>
      </c>
      <c r="D302" s="5" t="str">
        <f ca="1">IFERROR(__xludf.DUMMYFUNCTION("GOOGLETRANSLATE(B302,""ja"",""vi"")"),"Đối với nam giới")</f>
        <v>Đối với nam giới</v>
      </c>
      <c r="E302" s="5" t="str">
        <f ca="1">IFERROR(__xludf.DUMMYFUNCTION("GOOGLETRANSLATE(C302,""ja"",""vi"")"),"Đấu giá&gt; thể thao, giải trí&gt; mặc ngoài trời&gt; dành cho nam giới")</f>
        <v>Đấu giá&gt; thể thao, giải trí&gt; mặc ngoài trời&gt; dành cho nam giới</v>
      </c>
      <c r="F302" t="str">
        <f t="shared" ca="1" si="4"/>
        <v>"2084057221" : "Đối với nam giới",</v>
      </c>
    </row>
    <row r="303" spans="1:6" ht="15.75" customHeight="1">
      <c r="A303" s="14">
        <v>2084057222</v>
      </c>
      <c r="B303" s="14" t="s">
        <v>9286</v>
      </c>
      <c r="C303" s="14" t="s">
        <v>9400</v>
      </c>
      <c r="D303" s="5" t="str">
        <f ca="1">IFERROR(__xludf.DUMMYFUNCTION("GOOGLETRANSLATE(B303,""ja"",""vi"")"),"Đối với phụ nữ")</f>
        <v>Đối với phụ nữ</v>
      </c>
      <c r="E303" s="5" t="str">
        <f ca="1">IFERROR(__xludf.DUMMYFUNCTION("GOOGLETRANSLATE(C303,""ja"",""vi"")"),"Đấu giá&gt; thể thao, giải trí&gt; mặc ngoài trời&gt; cho phụ nữ")</f>
        <v>Đấu giá&gt; thể thao, giải trí&gt; mặc ngoài trời&gt; cho phụ nữ</v>
      </c>
      <c r="F303" t="str">
        <f t="shared" ca="1" si="4"/>
        <v>"2084057222" : "Đối với phụ nữ",</v>
      </c>
    </row>
    <row r="304" spans="1:6" ht="15.75" customHeight="1">
      <c r="A304" s="14">
        <v>2084057223</v>
      </c>
      <c r="B304" s="14" t="s">
        <v>9298</v>
      </c>
      <c r="C304" s="14" t="s">
        <v>9405</v>
      </c>
      <c r="D304" s="5" t="str">
        <f ca="1">IFERROR(__xludf.DUMMYFUNCTION("GOOGLETRANSLATE(B304,""ja"",""vi"")"),"Đối với trẻ em")</f>
        <v>Đối với trẻ em</v>
      </c>
      <c r="E304" s="5" t="str">
        <f ca="1">IFERROR(__xludf.DUMMYFUNCTION("GOOGLETRANSLATE(C304,""ja"",""vi"")"),"Đấu giá&gt; thể thao, giải trí&gt; mặc ngoài trời&gt; cho trẻ em")</f>
        <v>Đấu giá&gt; thể thao, giải trí&gt; mặc ngoài trời&gt; cho trẻ em</v>
      </c>
      <c r="F304" t="str">
        <f t="shared" ca="1" si="4"/>
        <v>"2084057223" : "Đối với trẻ em",</v>
      </c>
    </row>
    <row r="305" spans="1:6" ht="15.75" customHeight="1">
      <c r="A305" s="14">
        <v>2084214045</v>
      </c>
      <c r="B305" s="14" t="s">
        <v>9408</v>
      </c>
      <c r="C305" s="14" t="s">
        <v>9410</v>
      </c>
      <c r="D305" s="5" t="str">
        <f ca="1">IFERROR(__xludf.DUMMYFUNCTION("GOOGLETRANSLATE(B305,""ja"",""vi"")"),"kính mát thể thao")</f>
        <v>kính mát thể thao</v>
      </c>
      <c r="E305" s="5" t="str">
        <f ca="1">IFERROR(__xludf.DUMMYFUNCTION("GOOGLETRANSLATE(C305,""ja"",""vi"")"),"Đấu giá&gt; thể thao, giải trí&gt; ngoài trời mặc&gt; Thể Thao Sunglasses")</f>
        <v>Đấu giá&gt; thể thao, giải trí&gt; ngoài trời mặc&gt; Thể Thao Sunglasses</v>
      </c>
      <c r="F305" t="str">
        <f t="shared" ca="1" si="4"/>
        <v>"2084214045" : "kính mát thể thao",</v>
      </c>
    </row>
    <row r="306" spans="1:6" ht="15.75" customHeight="1">
      <c r="A306" s="14">
        <v>2084046735</v>
      </c>
      <c r="B306" s="14" t="s">
        <v>9414</v>
      </c>
      <c r="C306" s="14" t="s">
        <v>9415</v>
      </c>
      <c r="D306" s="5" t="str">
        <f ca="1">IFERROR(__xludf.DUMMYFUNCTION("GOOGLETRANSLATE(B306,""ja"",""vi"")"),"Đồ che mưa, áo mưa")</f>
        <v>Đồ che mưa, áo mưa</v>
      </c>
      <c r="E306" s="5" t="str">
        <f ca="1">IFERROR(__xludf.DUMMYFUNCTION("GOOGLETRANSLATE(C306,""ja"",""vi"")"),"Đấu giá&gt; thể thao, giải trí&gt; mặc ngoài trời&gt; áo mưa, áo mưa")</f>
        <v>Đấu giá&gt; thể thao, giải trí&gt; mặc ngoài trời&gt; áo mưa, áo mưa</v>
      </c>
      <c r="F306" t="str">
        <f t="shared" ca="1" si="4"/>
        <v>"2084046735" : "Đồ che mưa, áo mưa",</v>
      </c>
    </row>
    <row r="307" spans="1:6" ht="15.75" customHeight="1">
      <c r="A307" s="14">
        <v>2084048872</v>
      </c>
      <c r="B307" s="14" t="s">
        <v>9419</v>
      </c>
      <c r="C307" s="14" t="s">
        <v>9422</v>
      </c>
      <c r="D307" s="5" t="str">
        <f ca="1">IFERROR(__xludf.DUMMYFUNCTION("GOOGLETRANSLATE(B307,""ja"",""vi"")"),"Giày, giày dép")</f>
        <v>Giày, giày dép</v>
      </c>
      <c r="E307" s="5" t="str">
        <f ca="1">IFERROR(__xludf.DUMMYFUNCTION("GOOGLETRANSLATE(C307,""ja"",""vi"")"),"Đấu giá&gt; thể thao, giải trí&gt; mặc ngoài trời&gt; giày, giày dép")</f>
        <v>Đấu giá&gt; thể thao, giải trí&gt; mặc ngoài trời&gt; giày, giày dép</v>
      </c>
      <c r="F307" t="str">
        <f t="shared" ca="1" si="4"/>
        <v>"2084048872" : "Giày, giày dép",</v>
      </c>
    </row>
    <row r="308" spans="1:6" ht="15.75" customHeight="1">
      <c r="A308" s="14">
        <v>2084057242</v>
      </c>
      <c r="B308" s="14" t="s">
        <v>9425</v>
      </c>
      <c r="C308" s="14" t="s">
        <v>9430</v>
      </c>
      <c r="D308" s="5" t="str">
        <f ca="1">IFERROR(__xludf.DUMMYFUNCTION("GOOGLETRANSLATE(B308,""ja"",""vi"")"),"Quần áo Phụ kiện")</f>
        <v>Quần áo Phụ kiện</v>
      </c>
      <c r="E308" s="5" t="str">
        <f ca="1">IFERROR(__xludf.DUMMYFUNCTION("GOOGLETRANSLATE(C308,""ja"",""vi"")"),"Đấu giá&gt; thể thao, giải trí&gt; mặc ngoài trời&gt; Quần áo Phụ kiện")</f>
        <v>Đấu giá&gt; thể thao, giải trí&gt; mặc ngoài trời&gt; Quần áo Phụ kiện</v>
      </c>
      <c r="F308" t="str">
        <f t="shared" ca="1" si="4"/>
        <v>"2084057242" : "Quần áo Phụ kiện",</v>
      </c>
    </row>
    <row r="309" spans="1:6" ht="15.75" customHeight="1">
      <c r="A309" s="14">
        <v>2084208700</v>
      </c>
      <c r="B309" s="14" t="s">
        <v>9433</v>
      </c>
      <c r="C309" s="14" t="s">
        <v>9435</v>
      </c>
      <c r="D309" s="5" t="str">
        <f ca="1">IFERROR(__xludf.DUMMYFUNCTION("GOOGLETRANSLATE(B309,""ja"",""vi"")"),"On'yone")</f>
        <v>On'yone</v>
      </c>
      <c r="E309" s="5" t="str">
        <f ca="1">IFERROR(__xludf.DUMMYFUNCTION("GOOGLETRANSLATE(C309,""ja"",""vi"")"),"Đấu giá&gt; thể thao, giải trí&gt; trại, hàng ngoài trời&gt; áo mưa, áo mưa&gt; On'yone")</f>
        <v>Đấu giá&gt; thể thao, giải trí&gt; trại, hàng ngoài trời&gt; áo mưa, áo mưa&gt; On'yone</v>
      </c>
      <c r="F309" t="str">
        <f t="shared" ca="1" si="4"/>
        <v>"2084208700" : "On'yone",</v>
      </c>
    </row>
    <row r="310" spans="1:6" ht="15.75" customHeight="1">
      <c r="A310" s="14">
        <v>2084208697</v>
      </c>
      <c r="B310" s="14" t="s">
        <v>9437</v>
      </c>
      <c r="C310" s="14" t="s">
        <v>9440</v>
      </c>
      <c r="D310" s="5" t="str">
        <f ca="1">IFERROR(__xludf.DUMMYFUNCTION("GOOGLETRANSLATE(B310,""ja"",""vi"")"),"Columbia")</f>
        <v>Columbia</v>
      </c>
      <c r="E310" s="5" t="str">
        <f ca="1">IFERROR(__xludf.DUMMYFUNCTION("GOOGLETRANSLATE(C310,""ja"",""vi"")"),"Đấu giá&gt; thể thao, giải trí&gt; trại, hàng ngoài trời&gt; áo mưa, áo mưa&gt; Colombia")</f>
        <v>Đấu giá&gt; thể thao, giải trí&gt; trại, hàng ngoài trời&gt; áo mưa, áo mưa&gt; Colombia</v>
      </c>
      <c r="F310" t="str">
        <f t="shared" ca="1" si="4"/>
        <v>"2084208697" : "Columbia",</v>
      </c>
    </row>
    <row r="311" spans="1:6" ht="15.75" customHeight="1">
      <c r="A311" s="14">
        <v>2084208696</v>
      </c>
      <c r="B311" s="14" t="s">
        <v>9443</v>
      </c>
      <c r="C311" s="14" t="s">
        <v>9445</v>
      </c>
      <c r="D311" s="5" t="str">
        <f ca="1">IFERROR(__xludf.DUMMYFUNCTION("GOOGLETRANSLATE(B311,""ja"",""vi"")"),"The North Face")</f>
        <v>The North Face</v>
      </c>
      <c r="E311" s="5" t="str">
        <f ca="1">IFERROR(__xludf.DUMMYFUNCTION("GOOGLETRANSLATE(C311,""ja"",""vi"")"),"Đấu giá&gt; thể thao, giải trí&gt; trại, hàng ngoài trời&gt; áo mưa, áo mưa&gt; The North Face")</f>
        <v>Đấu giá&gt; thể thao, giải trí&gt; trại, hàng ngoài trời&gt; áo mưa, áo mưa&gt; The North Face</v>
      </c>
      <c r="F311" t="str">
        <f t="shared" ca="1" si="4"/>
        <v>"2084208696" : "The North Face",</v>
      </c>
    </row>
    <row r="312" spans="1:6" ht="15.75" customHeight="1">
      <c r="A312" s="14">
        <v>2084208699</v>
      </c>
      <c r="B312" s="14" t="s">
        <v>9449</v>
      </c>
      <c r="C312" s="14" t="s">
        <v>9450</v>
      </c>
      <c r="D312" s="5" t="str">
        <f ca="1">IFERROR(__xludf.DUMMYFUNCTION("GOOGLETRANSLATE(B312,""ja"",""vi"")"),"Mizuno")</f>
        <v>Mizuno</v>
      </c>
      <c r="E312" s="5" t="str">
        <f ca="1">IFERROR(__xludf.DUMMYFUNCTION("GOOGLETRANSLATE(C312,""ja"",""vi"")"),"Đấu giá&gt; thể thao, giải trí&gt; trại, hàng ngoài trời&gt; áo mưa, áo mưa&gt; Mizuno")</f>
        <v>Đấu giá&gt; thể thao, giải trí&gt; trại, hàng ngoài trời&gt; áo mưa, áo mưa&gt; Mizuno</v>
      </c>
      <c r="F312" t="str">
        <f t="shared" ca="1" si="4"/>
        <v>"2084208699" : "Mizuno",</v>
      </c>
    </row>
    <row r="313" spans="1:6" ht="15.75" customHeight="1">
      <c r="A313" s="14">
        <v>2084208698</v>
      </c>
      <c r="B313" s="14" t="s">
        <v>9455</v>
      </c>
      <c r="C313" s="14" t="s">
        <v>9456</v>
      </c>
      <c r="D313" s="5" t="str">
        <f ca="1">IFERROR(__xludf.DUMMYFUNCTION("GOOGLETRANSLATE(B313,""ja"",""vi"")"),"MontBell")</f>
        <v>MontBell</v>
      </c>
      <c r="E313" s="5" t="str">
        <f ca="1">IFERROR(__xludf.DUMMYFUNCTION("GOOGLETRANSLATE(C313,""ja"",""vi"")"),"Đấu giá&gt; thể thao, giải trí&gt; trại, hàng ngoài trời&gt; áo mưa, áo mưa&gt; Mont-Bell")</f>
        <v>Đấu giá&gt; thể thao, giải trí&gt; trại, hàng ngoài trời&gt; áo mưa, áo mưa&gt; Mont-Bell</v>
      </c>
      <c r="F313" t="str">
        <f t="shared" ca="1" si="4"/>
        <v>"2084208698" : "MontBell",</v>
      </c>
    </row>
    <row r="314" spans="1:6" ht="15.75" customHeight="1">
      <c r="A314" s="14">
        <v>2084262928</v>
      </c>
      <c r="B314" s="14" t="s">
        <v>9461</v>
      </c>
      <c r="C314" s="14" t="s">
        <v>9462</v>
      </c>
      <c r="D314" s="5" t="str">
        <f ca="1">IFERROR(__xludf.DUMMYFUNCTION("GOOGLETRANSLATE(B314,""ja"",""vi"")"),"Logos")</f>
        <v>Logos</v>
      </c>
      <c r="E314" s="5" t="str">
        <f ca="1">IFERROR(__xludf.DUMMYFUNCTION("GOOGLETRANSLATE(C314,""ja"",""vi"")"),"Đấu giá&gt; thể thao, giải trí&gt; trại, hàng ngoài trời&gt; áo mưa, áo mưa&gt; Logos")</f>
        <v>Đấu giá&gt; thể thao, giải trí&gt; trại, hàng ngoài trời&gt; áo mưa, áo mưa&gt; Logos</v>
      </c>
      <c r="F314" t="str">
        <f t="shared" ca="1" si="4"/>
        <v>"2084262928" : "Logos",</v>
      </c>
    </row>
    <row r="315" spans="1:6" ht="15.75" customHeight="1">
      <c r="A315" s="14">
        <v>2084208701</v>
      </c>
      <c r="B315" s="14" t="s">
        <v>46</v>
      </c>
      <c r="C315" s="14" t="s">
        <v>9467</v>
      </c>
      <c r="D315" s="5" t="str">
        <f ca="1">IFERROR(__xludf.DUMMYFUNCTION("GOOGLETRANSLATE(B315,""ja"",""vi"")"),"nếu không thì")</f>
        <v>nếu không thì</v>
      </c>
      <c r="E315" s="5" t="str">
        <f ca="1">IFERROR(__xludf.DUMMYFUNCTION("GOOGLETRANSLATE(C315,""ja"",""vi"")"),"Đấu giá&gt; thể thao, giải trí&gt; trại, hàng ngoài trời&gt; áo mưa, áo mưa&gt; Khác")</f>
        <v>Đấu giá&gt; thể thao, giải trí&gt; trại, hàng ngoài trời&gt; áo mưa, áo mưa&gt; Khác</v>
      </c>
      <c r="F315" t="str">
        <f t="shared" ca="1" si="4"/>
        <v>"2084208701" : "nếu không thì",</v>
      </c>
    </row>
    <row r="316" spans="1:6" ht="15.75" customHeight="1">
      <c r="A316" s="14">
        <v>2084062248</v>
      </c>
      <c r="B316" s="14" t="s">
        <v>8814</v>
      </c>
      <c r="C316" s="14" t="s">
        <v>9472</v>
      </c>
      <c r="D316" s="5" t="str">
        <f ca="1">IFERROR(__xludf.DUMMYFUNCTION("GOOGLETRANSLATE(B316,""ja"",""vi"")"),"trekking giày")</f>
        <v>trekking giày</v>
      </c>
      <c r="E316" s="5" t="str">
        <f ca="1">IFERROR(__xludf.DUMMYFUNCTION("GOOGLETRANSLATE(C316,""ja"",""vi"")"),"Đấu giá&gt; thể thao, giải trí&gt; trại, hàng ngoài trời&gt; giày&gt; giày leo núi")</f>
        <v>Đấu giá&gt; thể thao, giải trí&gt; trại, hàng ngoài trời&gt; giày&gt; giày leo núi</v>
      </c>
      <c r="F316" t="str">
        <f t="shared" ca="1" si="4"/>
        <v>"2084062248" : "trekking giày",</v>
      </c>
    </row>
    <row r="317" spans="1:6" ht="15.75" customHeight="1">
      <c r="A317" s="14">
        <v>2084062251</v>
      </c>
      <c r="B317" s="14" t="s">
        <v>9476</v>
      </c>
      <c r="C317" s="14" t="s">
        <v>9478</v>
      </c>
      <c r="D317" s="5" t="str">
        <f ca="1">IFERROR(__xludf.DUMMYFUNCTION("GOOGLETRANSLATE(B317,""ja"",""vi"")"),"dép ngoài trời")</f>
        <v>dép ngoài trời</v>
      </c>
      <c r="E317" s="5" t="str">
        <f ca="1">IFERROR(__xludf.DUMMYFUNCTION("GOOGLETRANSLATE(C317,""ja"",""vi"")"),"Đấu giá&gt; thể thao, giải trí&gt; trại, hàng ngoài trời&gt; giày&gt; ngoài trời dép")</f>
        <v>Đấu giá&gt; thể thao, giải trí&gt; trại, hàng ngoài trời&gt; giày&gt; ngoài trời dép</v>
      </c>
      <c r="F317" t="str">
        <f t="shared" ca="1" si="4"/>
        <v>"2084062251" : "dép ngoài trời",</v>
      </c>
    </row>
    <row r="318" spans="1:6" ht="15.75" customHeight="1">
      <c r="A318" s="14">
        <v>2084062249</v>
      </c>
      <c r="B318" s="14" t="s">
        <v>8375</v>
      </c>
      <c r="C318" s="14" t="s">
        <v>9482</v>
      </c>
      <c r="D318" s="5" t="str">
        <f ca="1">IFERROR(__xludf.DUMMYFUNCTION("GOOGLETRANSLATE(B318,""ja"",""vi"")"),"giày đi bộ")</f>
        <v>giày đi bộ</v>
      </c>
      <c r="E318" s="5" t="str">
        <f ca="1">IFERROR(__xludf.DUMMYFUNCTION("GOOGLETRANSLATE(C318,""ja"",""vi"")"),"Đấu giá&gt; thể thao, giải trí&gt; trại, hàng ngoài trời&gt; giày&gt; giày đi bộ")</f>
        <v>Đấu giá&gt; thể thao, giải trí&gt; trại, hàng ngoài trời&gt; giày&gt; giày đi bộ</v>
      </c>
      <c r="F318" t="str">
        <f t="shared" ca="1" si="4"/>
        <v>"2084062249" : "giày đi bộ",</v>
      </c>
    </row>
    <row r="319" spans="1:6" ht="15.75" customHeight="1">
      <c r="A319" s="14">
        <v>2084299662</v>
      </c>
      <c r="B319" s="14" t="s">
        <v>9487</v>
      </c>
      <c r="C319" s="14" t="s">
        <v>9488</v>
      </c>
      <c r="D319" s="5" t="str">
        <f ca="1">IFERROR(__xludf.DUMMYFUNCTION("GOOGLETRANSLATE(B319,""ja"",""vi"")"),"Đinh móc")</f>
        <v>Đinh móc</v>
      </c>
      <c r="E319" s="5" t="str">
        <f ca="1">IFERROR(__xludf.DUMMYFUNCTION("GOOGLETRANSLATE(C319,""ja"",""vi"")"),"Đấu giá&gt; thể thao, giải trí&gt; trại, ngoài trời hàng&gt; giày&gt; Aizen")</f>
        <v>Đấu giá&gt; thể thao, giải trí&gt; trại, ngoài trời hàng&gt; giày&gt; Aizen</v>
      </c>
      <c r="F319" t="str">
        <f t="shared" ca="1" si="4"/>
        <v>"2084299662" : "Đinh móc",</v>
      </c>
    </row>
    <row r="320" spans="1:6" ht="15.75" customHeight="1">
      <c r="A320" s="14">
        <v>2084299663</v>
      </c>
      <c r="B320" s="14" t="s">
        <v>9493</v>
      </c>
      <c r="C320" s="14" t="s">
        <v>9494</v>
      </c>
      <c r="D320" s="5" t="str">
        <f ca="1">IFERROR(__xludf.DUMMYFUNCTION("GOOGLETRANSLATE(B320,""ja"",""vi"")"),"Giày tuyết, giày đi tuyết")</f>
        <v>Giày tuyết, giày đi tuyết</v>
      </c>
      <c r="E320" s="5" t="str">
        <f ca="1">IFERROR(__xludf.DUMMYFUNCTION("GOOGLETRANSLATE(C320,""ja"",""vi"")"),"Đấu giá&gt; thể thao, giải trí&gt; trại, hàng ngoài trời&gt; giày&gt; giày tuyết, giày đi tuyết")</f>
        <v>Đấu giá&gt; thể thao, giải trí&gt; trại, hàng ngoài trời&gt; giày&gt; giày tuyết, giày đi tuyết</v>
      </c>
      <c r="F320" t="str">
        <f t="shared" ca="1" si="4"/>
        <v>"2084299663" : "Giày tuyết, giày đi tuyết",</v>
      </c>
    </row>
    <row r="321" spans="1:6" ht="15.75" customHeight="1">
      <c r="A321" s="14">
        <v>2084299661</v>
      </c>
      <c r="B321" s="14" t="s">
        <v>9499</v>
      </c>
      <c r="C321" s="14" t="s">
        <v>9501</v>
      </c>
      <c r="D321" s="5" t="str">
        <f ca="1">IFERROR(__xludf.DUMMYFUNCTION("GOOGLETRANSLATE(B321,""ja"",""vi"")"),"tuyết khởi động")</f>
        <v>tuyết khởi động</v>
      </c>
      <c r="E321" s="5" t="str">
        <f ca="1">IFERROR(__xludf.DUMMYFUNCTION("GOOGLETRANSLATE(C321,""ja"",""vi"")"),"Đấu giá&gt; thể thao, giải trí&gt; trại, hàng ngoài trời&gt; giày&gt; Tuyết Boots")</f>
        <v>Đấu giá&gt; thể thao, giải trí&gt; trại, hàng ngoài trời&gt; giày&gt; Tuyết Boots</v>
      </c>
      <c r="F321" t="str">
        <f t="shared" ca="1" si="4"/>
        <v>"2084299661" : "tuyết khởi động",</v>
      </c>
    </row>
    <row r="322" spans="1:6" ht="15.75" customHeight="1">
      <c r="A322" s="14">
        <v>2084062295</v>
      </c>
      <c r="B322" s="14" t="s">
        <v>46</v>
      </c>
      <c r="C322" s="14" t="s">
        <v>9507</v>
      </c>
      <c r="D322" s="5" t="str">
        <f ca="1">IFERROR(__xludf.DUMMYFUNCTION("GOOGLETRANSLATE(B322,""ja"",""vi"")"),"nếu không thì")</f>
        <v>nếu không thì</v>
      </c>
      <c r="E322" s="5" t="str">
        <f ca="1">IFERROR(__xludf.DUMMYFUNCTION("GOOGLETRANSLATE(C322,""ja"",""vi"")"),"Đấu giá&gt; thể thao, giải trí&gt; trại, ngoài trời hàng&gt; giày&gt; Khác")</f>
        <v>Đấu giá&gt; thể thao, giải trí&gt; trại, ngoài trời hàng&gt; giày&gt; Khác</v>
      </c>
      <c r="F322" t="str">
        <f t="shared" ref="F322:F385" ca="1" si="5">CONCATENATE(CHAR(34)&amp;"",A322,""&amp;CHAR(34)," : ", CHAR(34)&amp;"",D322,""&amp;CHAR(34),",")</f>
        <v>"2084062295" : "nếu không thì",</v>
      </c>
    </row>
    <row r="323" spans="1:6" ht="15.75" customHeight="1">
      <c r="A323" s="14">
        <v>2084057346</v>
      </c>
      <c r="B323" s="14" t="s">
        <v>9387</v>
      </c>
      <c r="C323" s="14" t="s">
        <v>9509</v>
      </c>
      <c r="D323" s="5" t="str">
        <f ca="1">IFERROR(__xludf.DUMMYFUNCTION("GOOGLETRANSLATE(B323,""ja"",""vi"")"),"by Nhãn hiệu")</f>
        <v>by Nhãn hiệu</v>
      </c>
      <c r="E323" s="5" t="str">
        <f ca="1">IFERROR(__xludf.DUMMYFUNCTION("GOOGLETRANSLATE(C323,""ja"",""vi"")"),"Đấu giá&gt; thể thao, giải trí&gt; trại, hàng ngoài trời&gt; ba lô, túi&gt; By Nhãn hiệu")</f>
        <v>Đấu giá&gt; thể thao, giải trí&gt; trại, hàng ngoài trời&gt; ba lô, túi&gt; By Nhãn hiệu</v>
      </c>
      <c r="F323" t="str">
        <f t="shared" ca="1" si="5"/>
        <v>"2084057346" : "by Nhãn hiệu",</v>
      </c>
    </row>
    <row r="324" spans="1:6" ht="15.75" customHeight="1">
      <c r="A324" s="14">
        <v>24774</v>
      </c>
      <c r="B324" s="14" t="s">
        <v>8320</v>
      </c>
      <c r="C324" s="14" t="s">
        <v>9516</v>
      </c>
      <c r="D324" s="5" t="str">
        <f ca="1">IFERROR(__xludf.DUMMYFUNCTION("GOOGLETRANSLATE(B324,""ja"",""vi"")"),"cái bị của người đi du lịch")</f>
        <v>cái bị của người đi du lịch</v>
      </c>
      <c r="E324" s="5" t="str">
        <f ca="1">IFERROR(__xludf.DUMMYFUNCTION("GOOGLETRANSLATE(C324,""ja"",""vi"")"),"Đấu giá&gt; thể thao, giải trí&gt; trại, hàng ngoài trời&gt; ba lô, túi&gt; ba lô")</f>
        <v>Đấu giá&gt; thể thao, giải trí&gt; trại, hàng ngoài trời&gt; ba lô, túi&gt; ba lô</v>
      </c>
      <c r="F324" t="str">
        <f t="shared" ca="1" si="5"/>
        <v>"24774" : "cái bị của người đi du lịch",</v>
      </c>
    </row>
    <row r="325" spans="1:6" ht="15.75" customHeight="1">
      <c r="A325" s="14">
        <v>24782</v>
      </c>
      <c r="B325" s="14" t="s">
        <v>9521</v>
      </c>
      <c r="C325" s="14" t="s">
        <v>9523</v>
      </c>
      <c r="D325" s="5" t="str">
        <f ca="1">IFERROR(__xludf.DUMMYFUNCTION("GOOGLETRANSLATE(B325,""ja"",""vi"")"),"eo Bag")</f>
        <v>eo Bag</v>
      </c>
      <c r="E325" s="5" t="str">
        <f ca="1">IFERROR(__xludf.DUMMYFUNCTION("GOOGLETRANSLATE(C325,""ja"",""vi"")"),"Đấu giá&gt; thể thao, giải trí&gt; trại, hàng ngoài trời&gt; ba lô, túi&gt; túi eo")</f>
        <v>Đấu giá&gt; thể thao, giải trí&gt; trại, hàng ngoài trời&gt; ba lô, túi&gt; túi eo</v>
      </c>
      <c r="F325" t="str">
        <f t="shared" ca="1" si="5"/>
        <v>"24782" : "eo Bag",</v>
      </c>
    </row>
    <row r="326" spans="1:6" ht="15.75" customHeight="1">
      <c r="A326" s="14">
        <v>24758</v>
      </c>
      <c r="B326" s="14" t="s">
        <v>9528</v>
      </c>
      <c r="C326" s="14" t="s">
        <v>9530</v>
      </c>
      <c r="D326" s="5" t="str">
        <f ca="1">IFERROR(__xludf.DUMMYFUNCTION("GOOGLETRANSLATE(B326,""ja"",""vi"")"),"túi vai")</f>
        <v>túi vai</v>
      </c>
      <c r="E326" s="5" t="str">
        <f ca="1">IFERROR(__xludf.DUMMYFUNCTION("GOOGLETRANSLATE(C326,""ja"",""vi"")"),"Đấu giá&gt; thể thao, giải trí&gt; trại, hàng ngoài trời&gt; ba lô, túi&gt; túi vai")</f>
        <v>Đấu giá&gt; thể thao, giải trí&gt; trại, hàng ngoài trời&gt; ba lô, túi&gt; túi vai</v>
      </c>
      <c r="F326" t="str">
        <f t="shared" ca="1" si="5"/>
        <v>"24758" : "túi vai",</v>
      </c>
    </row>
    <row r="327" spans="1:6" ht="15.75" customHeight="1">
      <c r="A327" s="14">
        <v>2084227171</v>
      </c>
      <c r="B327" s="14" t="s">
        <v>9535</v>
      </c>
      <c r="C327" s="14" t="s">
        <v>9536</v>
      </c>
      <c r="D327" s="5" t="str">
        <f ca="1">IFERROR(__xludf.DUMMYFUNCTION("GOOGLETRANSLATE(B327,""ja"",""vi"")"),"túi messenger")</f>
        <v>túi messenger</v>
      </c>
      <c r="E327" s="5" t="str">
        <f ca="1">IFERROR(__xludf.DUMMYFUNCTION("GOOGLETRANSLATE(C327,""ja"",""vi"")"),"Đấu giá&gt; thể thao, giải trí&gt; trại, hàng ngoài trời&gt; ba lô, túi&gt; túi messenger")</f>
        <v>Đấu giá&gt; thể thao, giải trí&gt; trại, hàng ngoài trời&gt; ba lô, túi&gt; túi messenger</v>
      </c>
      <c r="F327" t="str">
        <f t="shared" ca="1" si="5"/>
        <v>"2084227171" : "túi messenger",</v>
      </c>
    </row>
    <row r="328" spans="1:6" ht="15.75" customHeight="1">
      <c r="A328" s="14">
        <v>24754</v>
      </c>
      <c r="B328" s="14" t="s">
        <v>9540</v>
      </c>
      <c r="C328" s="14" t="s">
        <v>9541</v>
      </c>
      <c r="D328" s="5" t="str">
        <f ca="1">IFERROR(__xludf.DUMMYFUNCTION("GOOGLETRANSLATE(B328,""ja"",""vi"")"),"túi duffel, túi Boston")</f>
        <v>túi duffel, túi Boston</v>
      </c>
      <c r="E328" s="5" t="str">
        <f ca="1">IFERROR(__xludf.DUMMYFUNCTION("GOOGLETRANSLATE(C328,""ja"",""vi"")"),"Đấu giá&gt; thể thao, giải trí&gt; trại, hàng ngoài trời&gt; ba lô, túi&gt; túi duffel, túi Boston")</f>
        <v>Đấu giá&gt; thể thao, giải trí&gt; trại, hàng ngoài trời&gt; ba lô, túi&gt; túi duffel, túi Boston</v>
      </c>
      <c r="F328" t="str">
        <f t="shared" ca="1" si="5"/>
        <v>"24754" : "túi duffel, túi Boston",</v>
      </c>
    </row>
    <row r="329" spans="1:6" ht="15.75" customHeight="1">
      <c r="A329" s="14">
        <v>2084246711</v>
      </c>
      <c r="B329" s="14" t="s">
        <v>9545</v>
      </c>
      <c r="C329" s="14" t="s">
        <v>9547</v>
      </c>
      <c r="D329" s="5" t="str">
        <f ca="1">IFERROR(__xludf.DUMMYFUNCTION("GOOGLETRANSLATE(B329,""ja"",""vi"")"),"túi carry")</f>
        <v>túi carry</v>
      </c>
      <c r="E329" s="5" t="str">
        <f ca="1">IFERROR(__xludf.DUMMYFUNCTION("GOOGLETRANSLATE(C329,""ja"",""vi"")"),"Đấu giá&gt; thể thao, giải trí&gt; trại, hàng ngoài trời&gt; ba lô, túi&gt; túi carry")</f>
        <v>Đấu giá&gt; thể thao, giải trí&gt; trại, hàng ngoài trời&gt; ba lô, túi&gt; túi carry</v>
      </c>
      <c r="F329" t="str">
        <f t="shared" ca="1" si="5"/>
        <v>"2084246711" : "túi carry",</v>
      </c>
    </row>
    <row r="330" spans="1:6" ht="15.75" customHeight="1">
      <c r="A330" s="14">
        <v>2084246712</v>
      </c>
      <c r="B330" s="14" t="s">
        <v>9552</v>
      </c>
      <c r="C330" s="14" t="s">
        <v>9553</v>
      </c>
      <c r="D330" s="5" t="str">
        <f ca="1">IFERROR(__xludf.DUMMYFUNCTION("GOOGLETRANSLATE(B330,""ja"",""vi"")"),"hãng ba lô")</f>
        <v>hãng ba lô</v>
      </c>
      <c r="E330" s="5" t="str">
        <f ca="1">IFERROR(__xludf.DUMMYFUNCTION("GOOGLETRANSLATE(C330,""ja"",""vi"")"),"Đấu giá&gt; thể thao, giải trí&gt; trại, hàng ngoài trời&gt; ba lô, túi&gt; tàu sân ba lô")</f>
        <v>Đấu giá&gt; thể thao, giải trí&gt; trại, hàng ngoài trời&gt; ba lô, túi&gt; tàu sân ba lô</v>
      </c>
      <c r="F330" t="str">
        <f t="shared" ca="1" si="5"/>
        <v>"2084246712" : "hãng ba lô",</v>
      </c>
    </row>
    <row r="331" spans="1:6" ht="15.75" customHeight="1">
      <c r="A331" s="14">
        <v>2084304018</v>
      </c>
      <c r="B331" s="14" t="s">
        <v>8314</v>
      </c>
      <c r="C331" s="14" t="s">
        <v>9558</v>
      </c>
      <c r="D331" s="5" t="str">
        <f ca="1">IFERROR(__xludf.DUMMYFUNCTION("GOOGLETRANSLATE(B331,""ja"",""vi"")"),"túi tote")</f>
        <v>túi tote</v>
      </c>
      <c r="E331" s="5" t="str">
        <f ca="1">IFERROR(__xludf.DUMMYFUNCTION("GOOGLETRANSLATE(C331,""ja"",""vi"")"),"Đấu giá&gt; thể thao, giải trí&gt; trại, hàng ngoài trời&gt; ba lô, túi&gt; túi tote")</f>
        <v>Đấu giá&gt; thể thao, giải trí&gt; trại, hàng ngoài trời&gt; ba lô, túi&gt; túi tote</v>
      </c>
      <c r="F331" t="str">
        <f t="shared" ca="1" si="5"/>
        <v>"2084304018" : "túi tote",</v>
      </c>
    </row>
    <row r="332" spans="1:6" ht="15.75" customHeight="1">
      <c r="A332" s="14">
        <v>2084304019</v>
      </c>
      <c r="B332" s="14" t="s">
        <v>3362</v>
      </c>
      <c r="C332" s="14" t="s">
        <v>9563</v>
      </c>
      <c r="D332" s="5" t="str">
        <f ca="1">IFERROR(__xludf.DUMMYFUNCTION("GOOGLETRANSLATE(B332,""ja"",""vi"")"),"cái giỏ")</f>
        <v>cái giỏ</v>
      </c>
      <c r="E332" s="5" t="str">
        <f ca="1">IFERROR(__xludf.DUMMYFUNCTION("GOOGLETRANSLATE(C332,""ja"",""vi"")"),"Đấu giá&gt; thể thao, giải trí&gt; trại, hàng ngoài trời&gt; ba lô, túi&gt; giỏ")</f>
        <v>Đấu giá&gt; thể thao, giải trí&gt; trại, hàng ngoài trời&gt; ba lô, túi&gt; giỏ</v>
      </c>
      <c r="F332" t="str">
        <f t="shared" ca="1" si="5"/>
        <v>"2084304019" : "cái giỏ",</v>
      </c>
    </row>
    <row r="333" spans="1:6" ht="15.75" customHeight="1">
      <c r="A333" s="14">
        <v>24798</v>
      </c>
      <c r="B333" s="14" t="s">
        <v>46</v>
      </c>
      <c r="C333" s="14" t="s">
        <v>9567</v>
      </c>
      <c r="D333" s="5" t="str">
        <f ca="1">IFERROR(__xludf.DUMMYFUNCTION("GOOGLETRANSLATE(B333,""ja"",""vi"")"),"nếu không thì")</f>
        <v>nếu không thì</v>
      </c>
      <c r="E333" s="5" t="str">
        <f ca="1">IFERROR(__xludf.DUMMYFUNCTION("GOOGLETRANSLATE(C333,""ja"",""vi"")"),"Đấu giá&gt; thể thao, giải trí&gt; trại, hàng ngoài trời&gt; ba lô, túi&gt; Khác")</f>
        <v>Đấu giá&gt; thể thao, giải trí&gt; trại, hàng ngoài trời&gt; ba lô, túi&gt; Khác</v>
      </c>
      <c r="F333" t="str">
        <f t="shared" ca="1" si="5"/>
        <v>"24798" : "nếu không thì",</v>
      </c>
    </row>
    <row r="334" spans="1:6" ht="15.75" customHeight="1">
      <c r="A334" s="14">
        <v>2084046762</v>
      </c>
      <c r="B334" s="14" t="s">
        <v>8333</v>
      </c>
      <c r="C334" s="14" t="s">
        <v>9571</v>
      </c>
      <c r="D334" s="5" t="str">
        <f ca="1">IFERROR(__xludf.DUMMYFUNCTION("GOOGLETRANSLATE(B334,""ja"",""vi"")"),"Tarp")</f>
        <v>Tarp</v>
      </c>
      <c r="E334" s="5" t="str">
        <f ca="1">IFERROR(__xludf.DUMMYFUNCTION("GOOGLETRANSLATE(C334,""ja"",""vi"")"),"Đấu giá&gt; thể thao, giải trí&gt; trại, hàng ngoài trời&gt; lều, tấm bạt&gt; TARP")</f>
        <v>Đấu giá&gt; thể thao, giải trí&gt; trại, hàng ngoài trời&gt; lều, tấm bạt&gt; TARP</v>
      </c>
      <c r="F334" t="str">
        <f t="shared" ca="1" si="5"/>
        <v>"2084046762" : "Tarp",</v>
      </c>
    </row>
    <row r="335" spans="1:6" ht="15.75" customHeight="1">
      <c r="A335" s="14">
        <v>2084046761</v>
      </c>
      <c r="B335" s="14" t="s">
        <v>9575</v>
      </c>
      <c r="C335" s="14" t="s">
        <v>9576</v>
      </c>
      <c r="D335" s="5" t="str">
        <f ca="1">IFERROR(__xludf.DUMMYFUNCTION("GOOGLETRANSLATE(B335,""ja"",""vi"")"),"lều")</f>
        <v>lều</v>
      </c>
      <c r="E335" s="5" t="str">
        <f ca="1">IFERROR(__xludf.DUMMYFUNCTION("GOOGLETRANSLATE(C335,""ja"",""vi"")"),"Đấu giá&gt; thể thao, giải trí&gt; trại, hàng ngoài trời&gt; lều, tấm bạt&gt; lều")</f>
        <v>Đấu giá&gt; thể thao, giải trí&gt; trại, hàng ngoài trời&gt; lều, tấm bạt&gt; lều</v>
      </c>
      <c r="F335" t="str">
        <f t="shared" ca="1" si="5"/>
        <v>"2084046761" : "lều",</v>
      </c>
    </row>
    <row r="336" spans="1:6" ht="15.75" customHeight="1">
      <c r="A336" s="14">
        <v>2084046764</v>
      </c>
      <c r="B336" s="14" t="s">
        <v>9581</v>
      </c>
      <c r="C336" s="14" t="s">
        <v>9583</v>
      </c>
      <c r="D336" s="5" t="str">
        <f ca="1">IFERROR(__xludf.DUMMYFUNCTION("GOOGLETRANSLATE(B336,""ja"",""vi"")"),"cái chốt")</f>
        <v>cái chốt</v>
      </c>
      <c r="E336" s="5" t="str">
        <f ca="1">IFERROR(__xludf.DUMMYFUNCTION("GOOGLETRANSLATE(C336,""ja"",""vi"")"),"Đấu giá&gt; thể thao, giải trí&gt; trại, hàng ngoài trời&gt; lều, tấm bạt&gt; peg")</f>
        <v>Đấu giá&gt; thể thao, giải trí&gt; trại, hàng ngoài trời&gt; lều, tấm bạt&gt; peg</v>
      </c>
      <c r="F336" t="str">
        <f t="shared" ca="1" si="5"/>
        <v>"2084046764" : "cái chốt",</v>
      </c>
    </row>
    <row r="337" spans="1:6" ht="15.75" customHeight="1">
      <c r="A337" s="14">
        <v>2084046765</v>
      </c>
      <c r="B337" s="14" t="s">
        <v>9587</v>
      </c>
      <c r="C337" s="14" t="s">
        <v>9588</v>
      </c>
      <c r="D337" s="5" t="str">
        <f ca="1">IFERROR(__xludf.DUMMYFUNCTION("GOOGLETRANSLATE(B337,""ja"",""vi"")"),"Peguhanma")</f>
        <v>Peguhanma</v>
      </c>
      <c r="E337" s="5" t="str">
        <f ca="1">IFERROR(__xludf.DUMMYFUNCTION("GOOGLETRANSLATE(C337,""ja"",""vi"")"),"Đấu giá&gt; thể thao, giải trí&gt; trại, hàng ngoài trời&gt; lều, tấm bạt&gt; Peguhanma")</f>
        <v>Đấu giá&gt; thể thao, giải trí&gt; trại, hàng ngoài trời&gt; lều, tấm bạt&gt; Peguhanma</v>
      </c>
      <c r="F337" t="str">
        <f t="shared" ca="1" si="5"/>
        <v>"2084046765" : "Peguhanma",</v>
      </c>
    </row>
    <row r="338" spans="1:6" ht="15.75" customHeight="1">
      <c r="A338" s="14">
        <v>2084046766</v>
      </c>
      <c r="B338" s="14" t="s">
        <v>9593</v>
      </c>
      <c r="C338" s="14" t="s">
        <v>9595</v>
      </c>
      <c r="D338" s="5" t="str">
        <f ca="1">IFERROR(__xludf.DUMMYFUNCTION("GOOGLETRANSLATE(B338,""ja"",""vi"")"),"cực")</f>
        <v>cực</v>
      </c>
      <c r="E338" s="5" t="str">
        <f ca="1">IFERROR(__xludf.DUMMYFUNCTION("GOOGLETRANSLATE(C338,""ja"",""vi"")"),"Đấu giá&gt; thể thao, giải trí&gt; trại, hàng ngoài trời&gt; lều, tấm bạt&gt; Paul")</f>
        <v>Đấu giá&gt; thể thao, giải trí&gt; trại, hàng ngoài trời&gt; lều, tấm bạt&gt; Paul</v>
      </c>
      <c r="F338" t="str">
        <f t="shared" ca="1" si="5"/>
        <v>"2084046766" : "cực",</v>
      </c>
    </row>
    <row r="339" spans="1:6" ht="15.75" customHeight="1">
      <c r="A339" s="14">
        <v>2084046763</v>
      </c>
      <c r="B339" s="14" t="s">
        <v>9598</v>
      </c>
      <c r="C339" s="14" t="s">
        <v>9600</v>
      </c>
      <c r="D339" s="5" t="str">
        <f ca="1">IFERROR(__xludf.DUMMYFUNCTION("GOOGLETRANSLATE(B339,""ja"",""vi"")"),"dây")</f>
        <v>dây</v>
      </c>
      <c r="E339" s="5" t="str">
        <f ca="1">IFERROR(__xludf.DUMMYFUNCTION("GOOGLETRANSLATE(C339,""ja"",""vi"")"),"Đấu giá&gt; thể thao, giải trí&gt; trại, hàng ngoài trời&gt; lều, tấm bạt&gt; dây thừng")</f>
        <v>Đấu giá&gt; thể thao, giải trí&gt; trại, hàng ngoài trời&gt; lều, tấm bạt&gt; dây thừng</v>
      </c>
      <c r="F339" t="str">
        <f t="shared" ca="1" si="5"/>
        <v>"2084046763" : "dây",</v>
      </c>
    </row>
    <row r="340" spans="1:6" ht="15.75" customHeight="1">
      <c r="A340" s="14">
        <v>2084046767</v>
      </c>
      <c r="B340" s="14" t="s">
        <v>46</v>
      </c>
      <c r="C340" s="14" t="s">
        <v>9605</v>
      </c>
      <c r="D340" s="5" t="str">
        <f ca="1">IFERROR(__xludf.DUMMYFUNCTION("GOOGLETRANSLATE(B340,""ja"",""vi"")"),"nếu không thì")</f>
        <v>nếu không thì</v>
      </c>
      <c r="E340" s="5" t="str">
        <f ca="1">IFERROR(__xludf.DUMMYFUNCTION("GOOGLETRANSLATE(C340,""ja"",""vi"")"),"Đấu giá&gt; thể thao, giải trí&gt; trại, hàng ngoài trời&gt; lều, tấm bạt&gt; Khác")</f>
        <v>Đấu giá&gt; thể thao, giải trí&gt; trại, hàng ngoài trời&gt; lều, tấm bạt&gt; Khác</v>
      </c>
      <c r="F340" t="str">
        <f t="shared" ca="1" si="5"/>
        <v>"2084046767" : "nếu không thì",</v>
      </c>
    </row>
    <row r="341" spans="1:6" ht="15.75" customHeight="1">
      <c r="A341" s="14">
        <v>24906</v>
      </c>
      <c r="B341" s="14" t="s">
        <v>8832</v>
      </c>
      <c r="C341" s="14" t="s">
        <v>9612</v>
      </c>
      <c r="D341" s="5" t="str">
        <f ca="1">IFERROR(__xludf.DUMMYFUNCTION("GOOGLETRANSLATE(B341,""ja"",""vi"")"),"Handy Light, đèn pin")</f>
        <v>Handy Light, đèn pin</v>
      </c>
      <c r="E341" s="5" t="str">
        <f ca="1">IFERROR(__xludf.DUMMYFUNCTION("GOOGLETRANSLATE(C341,""ja"",""vi"")"),"Đấu giá&gt; thể thao, giải trí&gt; trại, hàng ngoài trời&gt; ánh sáng, đèn lồng&gt; ánh sáng tiện dụng, đèn pin")</f>
        <v>Đấu giá&gt; thể thao, giải trí&gt; trại, hàng ngoài trời&gt; ánh sáng, đèn lồng&gt; ánh sáng tiện dụng, đèn pin</v>
      </c>
      <c r="F341" t="str">
        <f t="shared" ca="1" si="5"/>
        <v>"24906" : "Handy Light, đèn pin",</v>
      </c>
    </row>
    <row r="342" spans="1:6" ht="15.75" customHeight="1">
      <c r="A342" s="14">
        <v>24910</v>
      </c>
      <c r="B342" s="14" t="s">
        <v>9616</v>
      </c>
      <c r="C342" s="14" t="s">
        <v>9619</v>
      </c>
      <c r="D342" s="5" t="str">
        <f ca="1">IFERROR(__xludf.DUMMYFUNCTION("GOOGLETRANSLATE(B342,""ja"",""vi"")"),"đèn Head")</f>
        <v>đèn Head</v>
      </c>
      <c r="E342" s="5" t="str">
        <f ca="1">IFERROR(__xludf.DUMMYFUNCTION("GOOGLETRANSLATE(C342,""ja"",""vi"")"),"Đấu giá&gt; thể thao, giải trí&gt; trại, hàng ngoài trời&gt; ánh sáng, đèn lồng&gt; đèn đầu")</f>
        <v>Đấu giá&gt; thể thao, giải trí&gt; trại, hàng ngoài trời&gt; ánh sáng, đèn lồng&gt; đèn đầu</v>
      </c>
      <c r="F342" t="str">
        <f t="shared" ca="1" si="5"/>
        <v>"24910" : "đèn Head",</v>
      </c>
    </row>
    <row r="343" spans="1:6" ht="15.75" customHeight="1">
      <c r="A343" s="14">
        <v>24914</v>
      </c>
      <c r="B343" s="14" t="s">
        <v>9620</v>
      </c>
      <c r="C343" s="14" t="s">
        <v>9623</v>
      </c>
      <c r="D343" s="5" t="str">
        <f ca="1">IFERROR(__xludf.DUMMYFUNCTION("GOOGLETRANSLATE(B343,""ja"",""vi"")"),"đèn lồng")</f>
        <v>đèn lồng</v>
      </c>
      <c r="E343" s="5" t="str">
        <f ca="1">IFERROR(__xludf.DUMMYFUNCTION("GOOGLETRANSLATE(C343,""ja"",""vi"")"),"Đấu giá&gt; thể thao, giải trí&gt; trại, hàng ngoài trời&gt; ánh sáng, đèn lồng&gt; đèn lồng")</f>
        <v>Đấu giá&gt; thể thao, giải trí&gt; trại, hàng ngoài trời&gt; ánh sáng, đèn lồng&gt; đèn lồng</v>
      </c>
      <c r="F343" t="str">
        <f t="shared" ca="1" si="5"/>
        <v>"24914" : "đèn lồng",</v>
      </c>
    </row>
    <row r="344" spans="1:6" ht="15.75" customHeight="1">
      <c r="A344" s="14">
        <v>24926</v>
      </c>
      <c r="B344" s="14" t="s">
        <v>46</v>
      </c>
      <c r="C344" s="14" t="s">
        <v>9628</v>
      </c>
      <c r="D344" s="5" t="str">
        <f ca="1">IFERROR(__xludf.DUMMYFUNCTION("GOOGLETRANSLATE(B344,""ja"",""vi"")"),"nếu không thì")</f>
        <v>nếu không thì</v>
      </c>
      <c r="E344" s="5" t="str">
        <f ca="1">IFERROR(__xludf.DUMMYFUNCTION("GOOGLETRANSLATE(C344,""ja"",""vi"")"),"Đấu giá&gt; thể thao, giải trí&gt; trại, hàng ngoài trời&gt; ánh sáng, đèn lồng&gt; Khác")</f>
        <v>Đấu giá&gt; thể thao, giải trí&gt; trại, hàng ngoài trời&gt; ánh sáng, đèn lồng&gt; Khác</v>
      </c>
      <c r="F344" t="str">
        <f t="shared" ca="1" si="5"/>
        <v>"24926" : "nếu không thì",</v>
      </c>
    </row>
    <row r="345" spans="1:6" ht="15.75" customHeight="1">
      <c r="A345" s="14">
        <v>2084263229</v>
      </c>
      <c r="B345" s="14" t="s">
        <v>9631</v>
      </c>
      <c r="C345" s="14" t="s">
        <v>9634</v>
      </c>
      <c r="D345" s="5" t="str">
        <f ca="1">IFERROR(__xludf.DUMMYFUNCTION("GOOGLETRANSLATE(B345,""ja"",""vi"")"),"Cotto")</f>
        <v>Cotto</v>
      </c>
      <c r="E345" s="5" t="str">
        <f ca="1">IFERROR(__xludf.DUMMYFUNCTION("GOOGLETRANSLATE(C345,""ja"",""vi"")"),"Đấu giá&gt; thể thao, giải trí&gt; trại, hàng ngoài trời&gt; túi ngủ, bộ đồ giường&gt; cot")</f>
        <v>Đấu giá&gt; thể thao, giải trí&gt; trại, hàng ngoài trời&gt; túi ngủ, bộ đồ giường&gt; cot</v>
      </c>
      <c r="F345" t="str">
        <f t="shared" ca="1" si="5"/>
        <v>"2084263229" : "Cotto",</v>
      </c>
    </row>
    <row r="346" spans="1:6" ht="15.75" customHeight="1">
      <c r="A346" s="14">
        <v>2084263230</v>
      </c>
      <c r="B346" s="14" t="s">
        <v>9637</v>
      </c>
      <c r="C346" s="14" t="s">
        <v>9639</v>
      </c>
      <c r="D346" s="5" t="str">
        <f ca="1">IFERROR(__xludf.DUMMYFUNCTION("GOOGLETRANSLATE(B346,""ja"",""vi"")"),"cái võng")</f>
        <v>cái võng</v>
      </c>
      <c r="E346" s="5" t="str">
        <f ca="1">IFERROR(__xludf.DUMMYFUNCTION("GOOGLETRANSLATE(C346,""ja"",""vi"")"),"Đấu giá&gt; thể thao, giải trí&gt; trại, hàng ngoài trời&gt; túi ngủ, bộ đồ giường&gt; võng")</f>
        <v>Đấu giá&gt; thể thao, giải trí&gt; trại, hàng ngoài trời&gt; túi ngủ, bộ đồ giường&gt; võng</v>
      </c>
      <c r="F346" t="str">
        <f t="shared" ca="1" si="5"/>
        <v>"2084263230" : "cái võng",</v>
      </c>
    </row>
    <row r="347" spans="1:6" ht="15.75" customHeight="1">
      <c r="A347" s="14">
        <v>2084304020</v>
      </c>
      <c r="B347" s="14" t="s">
        <v>9643</v>
      </c>
      <c r="C347" s="14" t="s">
        <v>9645</v>
      </c>
      <c r="D347" s="5" t="str">
        <f ca="1">IFERROR(__xludf.DUMMYFUNCTION("GOOGLETRANSLATE(B347,""ja"",""vi"")"),"chăn")</f>
        <v>chăn</v>
      </c>
      <c r="E347" s="5" t="str">
        <f ca="1">IFERROR(__xludf.DUMMYFUNCTION("GOOGLETRANSLATE(C347,""ja"",""vi"")"),"Đấu giá&gt; thể thao, giải trí&gt; trại, hàng ngoài trời&gt; túi ngủ, bộ đồ giường&gt; chăn")</f>
        <v>Đấu giá&gt; thể thao, giải trí&gt; trại, hàng ngoài trời&gt; túi ngủ, bộ đồ giường&gt; chăn</v>
      </c>
      <c r="F347" t="str">
        <f t="shared" ca="1" si="5"/>
        <v>"2084304020" : "chăn",</v>
      </c>
    </row>
    <row r="348" spans="1:6" ht="15.75" customHeight="1">
      <c r="A348" s="14">
        <v>2084263231</v>
      </c>
      <c r="B348" s="14" t="s">
        <v>9648</v>
      </c>
      <c r="C348" s="14" t="s">
        <v>9652</v>
      </c>
      <c r="D348" s="5" t="str">
        <f ca="1">IFERROR(__xludf.DUMMYFUNCTION("GOOGLETRANSLATE(B348,""ja"",""vi"")"),"giường")</f>
        <v>giường</v>
      </c>
      <c r="E348" s="5" t="str">
        <f ca="1">IFERROR(__xludf.DUMMYFUNCTION("GOOGLETRANSLATE(C348,""ja"",""vi"")"),"Đấu giá&gt; thể thao, giải trí&gt; trại, hàng ngoài trời&gt; túi ngủ, bộ đồ giường&gt; Giường")</f>
        <v>Đấu giá&gt; thể thao, giải trí&gt; trại, hàng ngoài trời&gt; túi ngủ, bộ đồ giường&gt; Giường</v>
      </c>
      <c r="F348" t="str">
        <f t="shared" ca="1" si="5"/>
        <v>"2084263231" : "giường",</v>
      </c>
    </row>
    <row r="349" spans="1:6" ht="15.75" customHeight="1">
      <c r="A349" s="14">
        <v>2084263232</v>
      </c>
      <c r="B349" s="14" t="s">
        <v>9101</v>
      </c>
      <c r="C349" s="14" t="s">
        <v>9657</v>
      </c>
      <c r="D349" s="5" t="str">
        <f ca="1">IFERROR(__xludf.DUMMYFUNCTION("GOOGLETRANSLATE(B349,""ja"",""vi"")"),"chiếu")</f>
        <v>chiếu</v>
      </c>
      <c r="E349" s="5" t="str">
        <f ca="1">IFERROR(__xludf.DUMMYFUNCTION("GOOGLETRANSLATE(C349,""ja"",""vi"")"),"Đấu giá&gt; thể thao, giải trí&gt; trại, hàng ngoài trời&gt; túi ngủ, bộ đồ giường&gt; mat")</f>
        <v>Đấu giá&gt; thể thao, giải trí&gt; trại, hàng ngoài trời&gt; túi ngủ, bộ đồ giường&gt; mat</v>
      </c>
      <c r="F349" t="str">
        <f t="shared" ca="1" si="5"/>
        <v>"2084263232" : "chiếu",</v>
      </c>
    </row>
    <row r="350" spans="1:6" ht="15.75" customHeight="1">
      <c r="A350" s="14">
        <v>2084263234</v>
      </c>
      <c r="B350" s="14" t="s">
        <v>9662</v>
      </c>
      <c r="C350" s="14" t="s">
        <v>9665</v>
      </c>
      <c r="D350" s="5" t="str">
        <f ca="1">IFERROR(__xludf.DUMMYFUNCTION("GOOGLETRANSLATE(B350,""ja"",""vi"")"),"Phong bì túi kiểu ngủ")</f>
        <v>Phong bì túi kiểu ngủ</v>
      </c>
      <c r="E350" s="5" t="str">
        <f ca="1">IFERROR(__xludf.DUMMYFUNCTION("GOOGLETRANSLATE(C350,""ja"",""vi"")"),"Đấu giá&gt; thể thao, giải trí&gt; trại, hàng ngoài trời&gt; túi ngủ, bộ đồ giường&gt; loại phong bì túi ngủ")</f>
        <v>Đấu giá&gt; thể thao, giải trí&gt; trại, hàng ngoài trời&gt; túi ngủ, bộ đồ giường&gt; loại phong bì túi ngủ</v>
      </c>
      <c r="F350" t="str">
        <f t="shared" ca="1" si="5"/>
        <v>"2084263234" : "Phong bì túi kiểu ngủ",</v>
      </c>
    </row>
    <row r="351" spans="1:6" ht="15.75" customHeight="1">
      <c r="A351" s="14">
        <v>2084263233</v>
      </c>
      <c r="B351" s="14" t="s">
        <v>9670</v>
      </c>
      <c r="C351" s="14" t="s">
        <v>9674</v>
      </c>
      <c r="D351" s="5" t="str">
        <f ca="1">IFERROR(__xludf.DUMMYFUNCTION("GOOGLETRANSLATE(B351,""ja"",""vi"")"),"Mẹ túi kiểu ngủ")</f>
        <v>Mẹ túi kiểu ngủ</v>
      </c>
      <c r="E351" s="5" t="str">
        <f ca="1">IFERROR(__xludf.DUMMYFUNCTION("GOOGLETRANSLATE(C351,""ja"",""vi"")"),"Đấu giá&gt; thể thao, giải trí&gt; trại, hàng ngoài trời&gt; túi ngủ, bộ đồ giường&gt; túi Mommy kiểu ngủ")</f>
        <v>Đấu giá&gt; thể thao, giải trí&gt; trại, hàng ngoài trời&gt; túi ngủ, bộ đồ giường&gt; túi Mommy kiểu ngủ</v>
      </c>
      <c r="F351" t="str">
        <f t="shared" ca="1" si="5"/>
        <v>"2084263233" : "Mẹ túi kiểu ngủ",</v>
      </c>
    </row>
    <row r="352" spans="1:6" ht="15.75" customHeight="1">
      <c r="A352" s="14">
        <v>2084263235</v>
      </c>
      <c r="B352" s="14" t="s">
        <v>46</v>
      </c>
      <c r="C352" s="14" t="s">
        <v>9680</v>
      </c>
      <c r="D352" s="5" t="str">
        <f ca="1">IFERROR(__xludf.DUMMYFUNCTION("GOOGLETRANSLATE(B352,""ja"",""vi"")"),"nếu không thì")</f>
        <v>nếu không thì</v>
      </c>
      <c r="E352" s="5" t="str">
        <f ca="1">IFERROR(__xludf.DUMMYFUNCTION("GOOGLETRANSLATE(C352,""ja"",""vi"")"),"Đấu giá&gt; thể thao, giải trí&gt; trại, hàng ngoài trời&gt; túi ngủ, bộ đồ giường&gt; Khác")</f>
        <v>Đấu giá&gt; thể thao, giải trí&gt; trại, hàng ngoài trời&gt; túi ngủ, bộ đồ giường&gt; Khác</v>
      </c>
      <c r="F352" t="str">
        <f t="shared" ca="1" si="5"/>
        <v>"2084263235" : "nếu không thì",</v>
      </c>
    </row>
    <row r="353" spans="1:6" ht="15.75" customHeight="1">
      <c r="A353" s="14">
        <v>2084046745</v>
      </c>
      <c r="B353" s="14" t="s">
        <v>8339</v>
      </c>
      <c r="C353" s="14" t="s">
        <v>9685</v>
      </c>
      <c r="D353" s="5" t="str">
        <f ca="1">IFERROR(__xludf.DUMMYFUNCTION("GOOGLETRANSLATE(B353,""ja"",""vi"")"),"ghế")</f>
        <v>ghế</v>
      </c>
      <c r="E353" s="5" t="str">
        <f ca="1">IFERROR(__xludf.DUMMYFUNCTION("GOOGLETRANSLATE(C353,""ja"",""vi"")"),"Đấu giá&gt; thể thao, giải trí&gt; trại, hàng ngoài trời&gt; bàn, ghế&gt; Ghế")</f>
        <v>Đấu giá&gt; thể thao, giải trí&gt; trại, hàng ngoài trời&gt; bàn, ghế&gt; Ghế</v>
      </c>
      <c r="F353" t="str">
        <f t="shared" ca="1" si="5"/>
        <v>"2084046745" : "ghế",</v>
      </c>
    </row>
    <row r="354" spans="1:6" ht="15.75" customHeight="1">
      <c r="A354" s="14">
        <v>2084046744</v>
      </c>
      <c r="B354" s="14" t="s">
        <v>8341</v>
      </c>
      <c r="C354" s="14" t="s">
        <v>9692</v>
      </c>
      <c r="D354" s="5" t="str">
        <f ca="1">IFERROR(__xludf.DUMMYFUNCTION("GOOGLETRANSLATE(B354,""ja"",""vi"")"),"bàn")</f>
        <v>bàn</v>
      </c>
      <c r="E354" s="5" t="str">
        <f ca="1">IFERROR(__xludf.DUMMYFUNCTION("GOOGLETRANSLATE(C354,""ja"",""vi"")"),"Đấu giá&gt; thể thao, giải trí&gt; trại, hàng ngoài trời&gt; bàn, ghế&gt; bảng")</f>
        <v>Đấu giá&gt; thể thao, giải trí&gt; trại, hàng ngoài trời&gt; bàn, ghế&gt; bảng</v>
      </c>
      <c r="F354" t="str">
        <f t="shared" ca="1" si="5"/>
        <v>"2084046744" : "bàn",</v>
      </c>
    </row>
    <row r="355" spans="1:6" ht="15.75" customHeight="1">
      <c r="A355" s="14">
        <v>2084262927</v>
      </c>
      <c r="B355" s="14" t="s">
        <v>9695</v>
      </c>
      <c r="C355" s="14" t="s">
        <v>9698</v>
      </c>
      <c r="D355" s="5" t="str">
        <f ca="1">IFERROR(__xludf.DUMMYFUNCTION("GOOGLETRANSLATE(B355,""ja"",""vi"")"),"Bàn ghế bộ")</f>
        <v>Bàn ghế bộ</v>
      </c>
      <c r="E355" s="5" t="str">
        <f ca="1">IFERROR(__xludf.DUMMYFUNCTION("GOOGLETRANSLATE(C355,""ja"",""vi"")"),"Đấu giá&gt; thể thao, giải trí&gt; trại, hàng ngoài trời&gt; bàn, ghế&gt; bàn ghế bộ")</f>
        <v>Đấu giá&gt; thể thao, giải trí&gt; trại, hàng ngoài trời&gt; bàn, ghế&gt; bàn ghế bộ</v>
      </c>
      <c r="F355" t="str">
        <f t="shared" ca="1" si="5"/>
        <v>"2084262927" : "Bàn ghế bộ",</v>
      </c>
    </row>
    <row r="356" spans="1:6" ht="15.75" customHeight="1">
      <c r="A356" s="14">
        <v>2084046746</v>
      </c>
      <c r="B356" s="14" t="s">
        <v>9702</v>
      </c>
      <c r="C356" s="14" t="s">
        <v>9703</v>
      </c>
      <c r="D356" s="5" t="str">
        <f ca="1">IFERROR(__xludf.DUMMYFUNCTION("GOOGLETRANSLATE(B356,""ja"",""vi"")"),"BBQ Grill")</f>
        <v>BBQ Grill</v>
      </c>
      <c r="E356" s="5" t="str">
        <f ca="1">IFERROR(__xludf.DUMMYFUNCTION("GOOGLETRANSLATE(C356,""ja"",""vi"")"),"Đấu giá&gt; thể thao, giải trí&gt; trại, hàng ngoài trời&gt; bếp, bếp&gt; BBQ Grill")</f>
        <v>Đấu giá&gt; thể thao, giải trí&gt; trại, hàng ngoài trời&gt; bếp, bếp&gt; BBQ Grill</v>
      </c>
      <c r="F356" t="str">
        <f t="shared" ca="1" si="5"/>
        <v>"2084046746" : "BBQ Grill",</v>
      </c>
    </row>
    <row r="357" spans="1:6" ht="15.75" customHeight="1">
      <c r="A357" s="14">
        <v>2084046747</v>
      </c>
      <c r="B357" s="14" t="s">
        <v>9708</v>
      </c>
      <c r="C357" s="14" t="s">
        <v>9709</v>
      </c>
      <c r="D357" s="5" t="str">
        <f ca="1">IFERROR(__xludf.DUMMYFUNCTION("GOOGLETRANSLATE(B357,""ja"",""vi"")"),"burner Độc thân")</f>
        <v>burner Độc thân</v>
      </c>
      <c r="E357" s="5" t="str">
        <f ca="1">IFERROR(__xludf.DUMMYFUNCTION("GOOGLETRANSLATE(C357,""ja"",""vi"")"),"Đấu giá&gt; thể thao, giải trí&gt; trại, hàng ngoài trời&gt; bếp, bếp&gt; burner đơn")</f>
        <v>Đấu giá&gt; thể thao, giải trí&gt; trại, hàng ngoài trời&gt; bếp, bếp&gt; burner đơn</v>
      </c>
      <c r="F357" t="str">
        <f t="shared" ca="1" si="5"/>
        <v>"2084046747" : "burner Độc thân",</v>
      </c>
    </row>
    <row r="358" spans="1:6" ht="15.75" customHeight="1">
      <c r="A358" s="14">
        <v>24842</v>
      </c>
      <c r="B358" s="14" t="s">
        <v>9714</v>
      </c>
      <c r="C358" s="14" t="s">
        <v>9715</v>
      </c>
      <c r="D358" s="5" t="str">
        <f ca="1">IFERROR(__xludf.DUMMYFUNCTION("GOOGLETRANSLATE(B358,""ja"",""vi"")"),"người hút thuốc")</f>
        <v>người hút thuốc</v>
      </c>
      <c r="E358" s="5" t="str">
        <f ca="1">IFERROR(__xludf.DUMMYFUNCTION("GOOGLETRANSLATE(C358,""ja"",""vi"")"),"Đấu giá&gt; thể thao, giải trí&gt; trại, hàng ngoài trời&gt; bếp, bếp&gt; Hút Thuốc")</f>
        <v>Đấu giá&gt; thể thao, giải trí&gt; trại, hàng ngoài trời&gt; bếp, bếp&gt; Hút Thuốc</v>
      </c>
      <c r="F358" t="str">
        <f t="shared" ca="1" si="5"/>
        <v>"24842" : "người hút thuốc",</v>
      </c>
    </row>
    <row r="359" spans="1:6" ht="15.75" customHeight="1">
      <c r="A359" s="14">
        <v>2084046748</v>
      </c>
      <c r="B359" s="14" t="s">
        <v>9720</v>
      </c>
      <c r="C359" s="14" t="s">
        <v>9721</v>
      </c>
      <c r="D359" s="5" t="str">
        <f ca="1">IFERROR(__xludf.DUMMYFUNCTION("GOOGLETRANSLATE(B359,""ja"",""vi"")"),"Tsubana")</f>
        <v>Tsubana</v>
      </c>
      <c r="E359" s="5" t="str">
        <f ca="1">IFERROR(__xludf.DUMMYFUNCTION("GOOGLETRANSLATE(C359,""ja"",""vi"")"),"Đấu giá&gt; thể thao, giải trí&gt; trại, hàng ngoài trời&gt; bếp, bếp&gt; Tsubana")</f>
        <v>Đấu giá&gt; thể thao, giải trí&gt; trại, hàng ngoài trời&gt; bếp, bếp&gt; Tsubana</v>
      </c>
      <c r="F359" t="str">
        <f t="shared" ca="1" si="5"/>
        <v>"2084046748" : "Tsubana",</v>
      </c>
    </row>
    <row r="360" spans="1:6" ht="15.75" customHeight="1">
      <c r="A360" s="14">
        <v>2084304021</v>
      </c>
      <c r="B360" s="14" t="s">
        <v>9726</v>
      </c>
      <c r="C360" s="14" t="s">
        <v>9727</v>
      </c>
      <c r="D360" s="5" t="str">
        <f ca="1">IFERROR(__xludf.DUMMYFUNCTION("GOOGLETRANSLATE(B360,""ja"",""vi"")"),"đuốc")</f>
        <v>đuốc</v>
      </c>
      <c r="E360" s="5" t="str">
        <f ca="1">IFERROR(__xludf.DUMMYFUNCTION("GOOGLETRANSLATE(C360,""ja"",""vi"")"),"Đấu giá&gt; thể thao, giải trí&gt; trại, hàng ngoài trời&gt; bếp, bếp&gt; đuốc")</f>
        <v>Đấu giá&gt; thể thao, giải trí&gt; trại, hàng ngoài trời&gt; bếp, bếp&gt; đuốc</v>
      </c>
      <c r="F360" t="str">
        <f t="shared" ca="1" si="5"/>
        <v>"2084304021" : "đuốc",</v>
      </c>
    </row>
    <row r="361" spans="1:6" ht="15.75" customHeight="1">
      <c r="A361" s="14">
        <v>2084299660</v>
      </c>
      <c r="B361" s="14" t="s">
        <v>9732</v>
      </c>
      <c r="C361" s="14" t="s">
        <v>9733</v>
      </c>
      <c r="D361" s="5" t="str">
        <f ca="1">IFERROR(__xludf.DUMMYFUNCTION("GOOGLETRANSLATE(B361,""ja"",""vi"")"),"lò than than đất")</f>
        <v>lò than than đất</v>
      </c>
      <c r="E361" s="5" t="str">
        <f ca="1">IFERROR(__xludf.DUMMYFUNCTION("GOOGLETRANSLATE(C361,""ja"",""vi"")"),"Đấu giá&gt; thể thao, giải trí&gt; trại, hàng ngoài trời&gt; bếp, bếp&gt; bếp than")</f>
        <v>Đấu giá&gt; thể thao, giải trí&gt; trại, hàng ngoài trời&gt; bếp, bếp&gt; bếp than</v>
      </c>
      <c r="F361" t="str">
        <f t="shared" ca="1" si="5"/>
        <v>"2084299660" : "lò than than đất",</v>
      </c>
    </row>
    <row r="362" spans="1:6" ht="15.75" customHeight="1">
      <c r="A362" s="14">
        <v>2084299659</v>
      </c>
      <c r="B362" s="14" t="s">
        <v>9738</v>
      </c>
      <c r="C362" s="14" t="s">
        <v>9740</v>
      </c>
      <c r="D362" s="5" t="str">
        <f ca="1">IFERROR(__xludf.DUMMYFUNCTION("GOOGLETRANSLATE(B362,""ja"",""vi"")"),"bảng Bonfire")</f>
        <v>bảng Bonfire</v>
      </c>
      <c r="E362" s="5" t="str">
        <f ca="1">IFERROR(__xludf.DUMMYFUNCTION("GOOGLETRANSLATE(C362,""ja"",""vi"")"),"Đấu giá&gt; thể thao, giải trí&gt; trại, hàng ngoài trời&gt; bếp, bếp&gt; bảng Bonfire")</f>
        <v>Đấu giá&gt; thể thao, giải trí&gt; trại, hàng ngoài trời&gt; bếp, bếp&gt; bảng Bonfire</v>
      </c>
      <c r="F362" t="str">
        <f t="shared" ca="1" si="5"/>
        <v>"2084299659" : "bảng Bonfire",</v>
      </c>
    </row>
    <row r="363" spans="1:6" ht="15.75" customHeight="1">
      <c r="A363" s="14">
        <v>2084046750</v>
      </c>
      <c r="B363" s="14" t="s">
        <v>9746</v>
      </c>
      <c r="C363" s="14" t="s">
        <v>9748</v>
      </c>
      <c r="D363" s="5" t="str">
        <f ca="1">IFERROR(__xludf.DUMMYFUNCTION("GOOGLETRANSLATE(B363,""ja"",""vi"")"),"nhiên liệu")</f>
        <v>nhiên liệu</v>
      </c>
      <c r="E363" s="5" t="str">
        <f ca="1">IFERROR(__xludf.DUMMYFUNCTION("GOOGLETRANSLATE(C363,""ja"",""vi"")"),"Đấu giá&gt; thể thao, giải trí&gt; trại, hàng ngoài trời&gt; bếp, bếp&gt; nhiên liệu")</f>
        <v>Đấu giá&gt; thể thao, giải trí&gt; trại, hàng ngoài trời&gt; bếp, bếp&gt; nhiên liệu</v>
      </c>
      <c r="F363" t="str">
        <f t="shared" ca="1" si="5"/>
        <v>"2084046750" : "nhiên liệu",</v>
      </c>
    </row>
    <row r="364" spans="1:6" ht="15.75" customHeight="1">
      <c r="A364" s="14">
        <v>2084046749</v>
      </c>
      <c r="B364" s="14" t="s">
        <v>46</v>
      </c>
      <c r="C364" s="14" t="s">
        <v>9752</v>
      </c>
      <c r="D364" s="5" t="str">
        <f ca="1">IFERROR(__xludf.DUMMYFUNCTION("GOOGLETRANSLATE(B364,""ja"",""vi"")"),"nếu không thì")</f>
        <v>nếu không thì</v>
      </c>
      <c r="E364" s="5" t="str">
        <f ca="1">IFERROR(__xludf.DUMMYFUNCTION("GOOGLETRANSLATE(C364,""ja"",""vi"")"),"Đấu giá&gt; thể thao, giải trí&gt; trại, hàng ngoài trời&gt; bếp, bếp&gt; Khác")</f>
        <v>Đấu giá&gt; thể thao, giải trí&gt; trại, hàng ngoài trời&gt; bếp, bếp&gt; Khác</v>
      </c>
      <c r="F364" t="str">
        <f t="shared" ca="1" si="5"/>
        <v>"2084046749" : "nếu không thì",</v>
      </c>
    </row>
    <row r="365" spans="1:6" ht="15.75" customHeight="1">
      <c r="A365" s="14">
        <v>24826</v>
      </c>
      <c r="B365" s="14" t="s">
        <v>9757</v>
      </c>
      <c r="C365" s="14" t="s">
        <v>9759</v>
      </c>
      <c r="D365" s="5" t="str">
        <f ca="1">IFERROR(__xludf.DUMMYFUNCTION("GOOGLETRANSLATE(B365,""ja"",""vi"")"),"bếp")</f>
        <v>bếp</v>
      </c>
      <c r="E365" s="5" t="str">
        <f ca="1">IFERROR(__xludf.DUMMYFUNCTION("GOOGLETRANSLATE(C365,""ja"",""vi"")"),"Đấu giá&gt; thể thao, giải trí&gt; trại, hàng ngoài trời&gt; dụng cụ nấu&gt; nồi")</f>
        <v>Đấu giá&gt; thể thao, giải trí&gt; trại, hàng ngoài trời&gt; dụng cụ nấu&gt; nồi</v>
      </c>
      <c r="F365" t="str">
        <f t="shared" ca="1" si="5"/>
        <v>"24826" : "bếp",</v>
      </c>
    </row>
    <row r="366" spans="1:6" ht="15.75" customHeight="1">
      <c r="A366" s="14">
        <v>24842</v>
      </c>
      <c r="B366" s="14" t="s">
        <v>9714</v>
      </c>
      <c r="C366" s="14" t="s">
        <v>9765</v>
      </c>
      <c r="D366" s="5" t="str">
        <f ca="1">IFERROR(__xludf.DUMMYFUNCTION("GOOGLETRANSLATE(B366,""ja"",""vi"")"),"người hút thuốc")</f>
        <v>người hút thuốc</v>
      </c>
      <c r="E366" s="5" t="str">
        <f ca="1">IFERROR(__xludf.DUMMYFUNCTION("GOOGLETRANSLATE(C366,""ja"",""vi"")"),"Đấu giá&gt; thể thao, giải trí&gt; trại, hàng ngoài trời&gt; dụng cụ nấu&gt; Thuốc")</f>
        <v>Đấu giá&gt; thể thao, giải trí&gt; trại, hàng ngoài trời&gt; dụng cụ nấu&gt; Thuốc</v>
      </c>
      <c r="F366" t="str">
        <f t="shared" ca="1" si="5"/>
        <v>"24842" : "người hút thuốc",</v>
      </c>
    </row>
    <row r="367" spans="1:6" ht="15.75" customHeight="1">
      <c r="A367" s="14">
        <v>24838</v>
      </c>
      <c r="B367" s="14" t="s">
        <v>9769</v>
      </c>
      <c r="C367" s="14" t="s">
        <v>9770</v>
      </c>
      <c r="D367" s="5" t="str">
        <f ca="1">IFERROR(__xludf.DUMMYFUNCTION("GOOGLETRANSLATE(B367,""ja"",""vi"")"),"lò Hà Lan")</f>
        <v>lò Hà Lan</v>
      </c>
      <c r="E367" s="5" t="str">
        <f ca="1">IFERROR(__xludf.DUMMYFUNCTION("GOOGLETRANSLATE(C367,""ja"",""vi"")"),"Đấu giá&gt; thể thao, giải trí&gt; trại, hàng ngoài trời&gt; dụng cụ nấu&gt; lò Hà Lan")</f>
        <v>Đấu giá&gt; thể thao, giải trí&gt; trại, hàng ngoài trời&gt; dụng cụ nấu&gt; lò Hà Lan</v>
      </c>
      <c r="F367" t="str">
        <f t="shared" ca="1" si="5"/>
        <v>"24838" : "lò Hà Lan",</v>
      </c>
    </row>
    <row r="368" spans="1:6" ht="15.75" customHeight="1">
      <c r="A368" s="14">
        <v>2084046774</v>
      </c>
      <c r="B368" s="14" t="s">
        <v>9773</v>
      </c>
      <c r="C368" s="14" t="s">
        <v>9775</v>
      </c>
      <c r="D368" s="5" t="str">
        <f ca="1">IFERROR(__xludf.DUMMYFUNCTION("GOOGLETRANSLATE(B368,""ja"",""vi"")"),"Tripod")</f>
        <v>Tripod</v>
      </c>
      <c r="E368" s="5" t="str">
        <f ca="1">IFERROR(__xludf.DUMMYFUNCTION("GOOGLETRANSLATE(C368,""ja"",""vi"")"),"Đấu giá&gt; thể thao, giải trí&gt; trại, hàng ngoài trời&gt; dụng cụ nấu&gt; chân")</f>
        <v>Đấu giá&gt; thể thao, giải trí&gt; trại, hàng ngoài trời&gt; dụng cụ nấu&gt; chân</v>
      </c>
      <c r="F368" t="str">
        <f t="shared" ca="1" si="5"/>
        <v>"2084046774" : "Tripod",</v>
      </c>
    </row>
    <row r="369" spans="1:6" ht="15.75" customHeight="1">
      <c r="A369" s="14">
        <v>24834</v>
      </c>
      <c r="B369" s="14" t="s">
        <v>9780</v>
      </c>
      <c r="C369" s="14" t="s">
        <v>9782</v>
      </c>
      <c r="D369" s="5" t="str">
        <f ca="1">IFERROR(__xludf.DUMMYFUNCTION("GOOGLETRANSLATE(B369,""ja"",""vi"")"),"Grill, griddle")</f>
        <v>Grill, griddle</v>
      </c>
      <c r="E369" s="5" t="str">
        <f ca="1">IFERROR(__xludf.DUMMYFUNCTION("GOOGLETRANSLATE(C369,""ja"",""vi"")"),"Đấu giá&gt; thể thao, giải trí&gt; trại, hàng ngoài trời&gt; dụng cụ nấu&gt; nướng, griddle")</f>
        <v>Đấu giá&gt; thể thao, giải trí&gt; trại, hàng ngoài trời&gt; dụng cụ nấu&gt; nướng, griddle</v>
      </c>
      <c r="F369" t="str">
        <f t="shared" ca="1" si="5"/>
        <v>"24834" : "Grill, griddle",</v>
      </c>
    </row>
    <row r="370" spans="1:6" ht="15.75" customHeight="1">
      <c r="A370" s="14">
        <v>24830</v>
      </c>
      <c r="B370" s="14" t="s">
        <v>9786</v>
      </c>
      <c r="C370" s="14" t="s">
        <v>9788</v>
      </c>
      <c r="D370" s="5" t="str">
        <f ca="1">IFERROR(__xludf.DUMMYFUNCTION("GOOGLETRANSLATE(B370,""ja"",""vi"")"),"tấm sắt")</f>
        <v>tấm sắt</v>
      </c>
      <c r="E370" s="5" t="str">
        <f ca="1">IFERROR(__xludf.DUMMYFUNCTION("GOOGLETRANSLATE(C370,""ja"",""vi"")"),"Đấu giá&gt; thể thao, giải trí&gt; trại, hàng ngoài trời&gt; dụng cụ nấu&gt; tấm sắt")</f>
        <v>Đấu giá&gt; thể thao, giải trí&gt; trại, hàng ngoài trời&gt; dụng cụ nấu&gt; tấm sắt</v>
      </c>
      <c r="F370" t="str">
        <f t="shared" ca="1" si="5"/>
        <v>"24830" : "tấm sắt",</v>
      </c>
    </row>
    <row r="371" spans="1:6" ht="15.75" customHeight="1">
      <c r="A371" s="14">
        <v>24850</v>
      </c>
      <c r="B371" s="14" t="s">
        <v>46</v>
      </c>
      <c r="C371" s="14" t="s">
        <v>9792</v>
      </c>
      <c r="D371" s="5" t="str">
        <f ca="1">IFERROR(__xludf.DUMMYFUNCTION("GOOGLETRANSLATE(B371,""ja"",""vi"")"),"nếu không thì")</f>
        <v>nếu không thì</v>
      </c>
      <c r="E371" s="5" t="str">
        <f ca="1">IFERROR(__xludf.DUMMYFUNCTION("GOOGLETRANSLATE(C371,""ja"",""vi"")"),"Đấu giá&gt; thể thao, giải trí&gt; trại, hàng ngoài trời&gt; dụng cụ nấu&gt; Khác")</f>
        <v>Đấu giá&gt; thể thao, giải trí&gt; trại, hàng ngoài trời&gt; dụng cụ nấu&gt; Khác</v>
      </c>
      <c r="F371" t="str">
        <f t="shared" ca="1" si="5"/>
        <v>"24850" : "nếu không thì",</v>
      </c>
    </row>
    <row r="372" spans="1:6" ht="15.75" customHeight="1">
      <c r="A372" s="14">
        <v>2084299665</v>
      </c>
      <c r="B372" s="14" t="s">
        <v>9796</v>
      </c>
      <c r="C372" s="14" t="s">
        <v>9798</v>
      </c>
      <c r="D372" s="5" t="str">
        <f ca="1">IFERROR(__xludf.DUMMYFUNCTION("GOOGLETRANSLATE(B372,""ja"",""vi"")"),"LP Gas")</f>
        <v>LP Gas</v>
      </c>
      <c r="E372" s="5" t="str">
        <f ca="1">IFERROR(__xludf.DUMMYFUNCTION("GOOGLETRANSLATE(C372,""ja"",""vi"")"),"Đấu giá&gt; thể thao, giải trí&gt; trại, hàng ngoài trời&gt; nhiên liệu&gt; LP Gas")</f>
        <v>Đấu giá&gt; thể thao, giải trí&gt; trại, hàng ngoài trời&gt; nhiên liệu&gt; LP Gas</v>
      </c>
      <c r="F372" t="str">
        <f t="shared" ca="1" si="5"/>
        <v>"2084299665" : "LP Gas",</v>
      </c>
    </row>
    <row r="373" spans="1:6" ht="15.75" customHeight="1">
      <c r="A373" s="14">
        <v>2084299666</v>
      </c>
      <c r="B373" s="14" t="s">
        <v>9802</v>
      </c>
      <c r="C373" s="14" t="s">
        <v>9804</v>
      </c>
      <c r="D373" s="5" t="str">
        <f ca="1">IFERROR(__xludf.DUMMYFUNCTION("GOOGLETRANSLATE(B373,""ja"",""vi"")"),"Cassette khí")</f>
        <v>Cassette khí</v>
      </c>
      <c r="E373" s="5" t="str">
        <f ca="1">IFERROR(__xludf.DUMMYFUNCTION("GOOGLETRANSLATE(C373,""ja"",""vi"")"),"Đấu giá&gt; thể thao, giải trí&gt; trại, hàng ngoài trời&gt; nhiên liệu&gt; khí băng cassette")</f>
        <v>Đấu giá&gt; thể thao, giải trí&gt; trại, hàng ngoài trời&gt; nhiên liệu&gt; khí băng cassette</v>
      </c>
      <c r="F373" t="str">
        <f t="shared" ca="1" si="5"/>
        <v>"2084299666" : "Cassette khí",</v>
      </c>
    </row>
    <row r="374" spans="1:6" ht="15.75" customHeight="1">
      <c r="A374" s="14">
        <v>2084299668</v>
      </c>
      <c r="B374" s="14" t="s">
        <v>9808</v>
      </c>
      <c r="C374" s="14" t="s">
        <v>9809</v>
      </c>
      <c r="D374" s="5" t="str">
        <f ca="1">IFERROR(__xludf.DUMMYFUNCTION("GOOGLETRANSLATE(B374,""ja"",""vi"")"),"hun khói Gỗ")</f>
        <v>hun khói Gỗ</v>
      </c>
      <c r="E374" s="5" t="str">
        <f ca="1">IFERROR(__xludf.DUMMYFUNCTION("GOOGLETRANSLATE(C374,""ja"",""vi"")"),"Đấu giá&gt; thể thao, giải trí&gt; trại, hàng ngoài trời&gt; nhiên liệu&gt; hun khói Gỗ")</f>
        <v>Đấu giá&gt; thể thao, giải trí&gt; trại, hàng ngoài trời&gt; nhiên liệu&gt; hun khói Gỗ</v>
      </c>
      <c r="F374" t="str">
        <f t="shared" ca="1" si="5"/>
        <v>"2084299668" : "hun khói Gỗ",</v>
      </c>
    </row>
    <row r="375" spans="1:6" ht="15.75" customHeight="1">
      <c r="A375" s="14">
        <v>2084299669</v>
      </c>
      <c r="B375" s="14" t="s">
        <v>9814</v>
      </c>
      <c r="C375" s="14" t="s">
        <v>9816</v>
      </c>
      <c r="D375" s="5" t="str">
        <f ca="1">IFERROR(__xludf.DUMMYFUNCTION("GOOGLETRANSLATE(B375,""ja"",""vi"")"),"Chip khói")</f>
        <v>Chip khói</v>
      </c>
      <c r="E375" s="5" t="str">
        <f ca="1">IFERROR(__xludf.DUMMYFUNCTION("GOOGLETRANSLATE(C375,""ja"",""vi"")"),"Đấu giá&gt; thể thao, giải trí&gt; trại, hàng ngoài trời&gt; nhiên liệu&gt; Chip hun khói")</f>
        <v>Đấu giá&gt; thể thao, giải trí&gt; trại, hàng ngoài trời&gt; nhiên liệu&gt; Chip hun khói</v>
      </c>
      <c r="F375" t="str">
        <f t="shared" ca="1" si="5"/>
        <v>"2084299669" : "Chip khói",</v>
      </c>
    </row>
    <row r="376" spans="1:6" ht="15.75" customHeight="1">
      <c r="A376" s="14">
        <v>2084299664</v>
      </c>
      <c r="B376" s="14" t="s">
        <v>9820</v>
      </c>
      <c r="C376" s="14" t="s">
        <v>9822</v>
      </c>
      <c r="D376" s="5" t="str">
        <f ca="1">IFERROR(__xludf.DUMMYFUNCTION("GOOGLETRANSLATE(B376,""ja"",""vi"")"),"xăng trắng")</f>
        <v>xăng trắng</v>
      </c>
      <c r="E376" s="5" t="str">
        <f ca="1">IFERROR(__xludf.DUMMYFUNCTION("GOOGLETRANSLATE(C376,""ja"",""vi"")"),"Đấu giá&gt; thể thao, giải trí&gt; trại, hàng ngoài trời&gt; nhiên liệu&gt; xăng trắng")</f>
        <v>Đấu giá&gt; thể thao, giải trí&gt; trại, hàng ngoài trời&gt; nhiên liệu&gt; xăng trắng</v>
      </c>
      <c r="F376" t="str">
        <f t="shared" ca="1" si="5"/>
        <v>"2084299664" : "xăng trắng",</v>
      </c>
    </row>
    <row r="377" spans="1:6" ht="15.75" customHeight="1">
      <c r="A377" s="14">
        <v>2084299670</v>
      </c>
      <c r="B377" s="14" t="s">
        <v>9830</v>
      </c>
      <c r="C377" s="14" t="s">
        <v>9831</v>
      </c>
      <c r="D377" s="5" t="str">
        <f ca="1">IFERROR(__xludf.DUMMYFUNCTION("GOOGLETRANSLATE(B377,""ja"",""vi"")"),"nhiên liệu rắn")</f>
        <v>nhiên liệu rắn</v>
      </c>
      <c r="E377" s="5" t="str">
        <f ca="1">IFERROR(__xludf.DUMMYFUNCTION("GOOGLETRANSLATE(C377,""ja"",""vi"")"),"Đấu giá&gt; thể thao, giải trí&gt; trại, hàng ngoài trời&gt; nhiên liệu&gt; nhiên liệu rắn")</f>
        <v>Đấu giá&gt; thể thao, giải trí&gt; trại, hàng ngoài trời&gt; nhiên liệu&gt; nhiên liệu rắn</v>
      </c>
      <c r="F377" t="str">
        <f t="shared" ca="1" si="5"/>
        <v>"2084299670" : "nhiên liệu rắn",</v>
      </c>
    </row>
    <row r="378" spans="1:6" ht="15.75" customHeight="1">
      <c r="A378" s="14">
        <v>2084208702</v>
      </c>
      <c r="B378" s="14" t="s">
        <v>9835</v>
      </c>
      <c r="C378" s="14" t="s">
        <v>9837</v>
      </c>
      <c r="D378" s="5" t="str">
        <f ca="1">IFERROR(__xludf.DUMMYFUNCTION("GOOGLETRANSLATE(B378,""ja"",""vi"")"),"Củi (Maki)")</f>
        <v>Củi (Maki)</v>
      </c>
      <c r="E378" s="5" t="str">
        <f ca="1">IFERROR(__xludf.DUMMYFUNCTION("GOOGLETRANSLATE(C378,""ja"",""vi"")"),"Đấu giá&gt; thể thao, giải trí&gt; trại, hàng ngoài trời&gt; nhiên liệu&gt; củi (Maki)")</f>
        <v>Đấu giá&gt; thể thao, giải trí&gt; trại, hàng ngoài trời&gt; nhiên liệu&gt; củi (Maki)</v>
      </c>
      <c r="F378" t="str">
        <f t="shared" ca="1" si="5"/>
        <v>"2084208702" : "Củi (Maki)",</v>
      </c>
    </row>
    <row r="379" spans="1:6" ht="15.75" customHeight="1">
      <c r="A379" s="14">
        <v>2084046751</v>
      </c>
      <c r="B379" s="14" t="s">
        <v>9840</v>
      </c>
      <c r="C379" s="14" t="s">
        <v>9842</v>
      </c>
      <c r="D379" s="5" t="str">
        <f ca="1">IFERROR(__xludf.DUMMYFUNCTION("GOOGLETRANSLATE(B379,""ja"",""vi"")"),"than")</f>
        <v>than</v>
      </c>
      <c r="E379" s="5" t="str">
        <f ca="1">IFERROR(__xludf.DUMMYFUNCTION("GOOGLETRANSLATE(C379,""ja"",""vi"")"),"Đấu giá&gt; thể thao, giải trí&gt; trại, hàng ngoài trời&gt; nhiên liệu&gt; than")</f>
        <v>Đấu giá&gt; thể thao, giải trí&gt; trại, hàng ngoài trời&gt; nhiên liệu&gt; than</v>
      </c>
      <c r="F379" t="str">
        <f t="shared" ca="1" si="5"/>
        <v>"2084046751" : "than",</v>
      </c>
    </row>
    <row r="380" spans="1:6" ht="15.75" customHeight="1">
      <c r="A380" s="14">
        <v>2084299667</v>
      </c>
      <c r="B380" s="14" t="s">
        <v>9844</v>
      </c>
      <c r="C380" s="14" t="s">
        <v>9847</v>
      </c>
      <c r="D380" s="5" t="str">
        <f ca="1">IFERROR(__xludf.DUMMYFUNCTION("GOOGLETRANSLATE(B380,""ja"",""vi"")"),"đại lý Ignition")</f>
        <v>đại lý Ignition</v>
      </c>
      <c r="E380" s="5" t="str">
        <f ca="1">IFERROR(__xludf.DUMMYFUNCTION("GOOGLETRANSLATE(C380,""ja"",""vi"")"),"Đấu giá&gt; thể thao, giải trí&gt; trại, hàng ngoài trời&gt; nhiên liệu&gt; đại lý đánh lửa")</f>
        <v>Đấu giá&gt; thể thao, giải trí&gt; trại, hàng ngoài trời&gt; nhiên liệu&gt; đại lý đánh lửa</v>
      </c>
      <c r="F380" t="str">
        <f t="shared" ca="1" si="5"/>
        <v>"2084299667" : "đại lý Ignition",</v>
      </c>
    </row>
    <row r="381" spans="1:6" ht="15.75" customHeight="1">
      <c r="A381" s="14">
        <v>2084046752</v>
      </c>
      <c r="B381" s="14" t="s">
        <v>46</v>
      </c>
      <c r="C381" s="14" t="s">
        <v>9851</v>
      </c>
      <c r="D381" s="5" t="str">
        <f ca="1">IFERROR(__xludf.DUMMYFUNCTION("GOOGLETRANSLATE(B381,""ja"",""vi"")"),"nếu không thì")</f>
        <v>nếu không thì</v>
      </c>
      <c r="E381" s="5" t="str">
        <f ca="1">IFERROR(__xludf.DUMMYFUNCTION("GOOGLETRANSLATE(C381,""ja"",""vi"")"),"Đấu giá&gt; thể thao, giải trí&gt; trại, hàng ngoài trời&gt; nhiên liệu&gt; Khác")</f>
        <v>Đấu giá&gt; thể thao, giải trí&gt; trại, hàng ngoài trời&gt; nhiên liệu&gt; Khác</v>
      </c>
      <c r="F381" t="str">
        <f t="shared" ca="1" si="5"/>
        <v>"2084046752" : "nếu không thì",</v>
      </c>
    </row>
    <row r="382" spans="1:6" ht="15.75" customHeight="1">
      <c r="A382" s="14">
        <v>2084046736</v>
      </c>
      <c r="B382" s="14" t="s">
        <v>9855</v>
      </c>
      <c r="C382" s="14" t="s">
        <v>9857</v>
      </c>
      <c r="D382" s="5" t="str">
        <f ca="1">IFERROR(__xludf.DUMMYFUNCTION("GOOGLETRANSLATE(B382,""ja"",""vi"")"),"Cooler túi")</f>
        <v>Cooler túi</v>
      </c>
      <c r="E382" s="5" t="str">
        <f ca="1">IFERROR(__xludf.DUMMYFUNCTION("GOOGLETRANSLATE(C382,""ja"",""vi"")"),"Đấu giá&gt; thể thao, giải trí&gt; trại, hàng ngoài trời&gt; mát, thiết bị kho lạnh&gt; túi lạnh")</f>
        <v>Đấu giá&gt; thể thao, giải trí&gt; trại, hàng ngoài trời&gt; mát, thiết bị kho lạnh&gt; túi lạnh</v>
      </c>
      <c r="F382" t="str">
        <f t="shared" ca="1" si="5"/>
        <v>"2084046736" : "Cooler túi",</v>
      </c>
    </row>
    <row r="383" spans="1:6" ht="15.75" customHeight="1">
      <c r="A383" s="14">
        <v>2084046737</v>
      </c>
      <c r="B383" s="14" t="s">
        <v>9861</v>
      </c>
      <c r="C383" s="14" t="s">
        <v>9863</v>
      </c>
      <c r="D383" s="5" t="str">
        <f ca="1">IFERROR(__xludf.DUMMYFUNCTION("GOOGLETRANSLATE(B383,""ja"",""vi"")"),"Cooler hộp")</f>
        <v>Cooler hộp</v>
      </c>
      <c r="E383" s="5" t="str">
        <f ca="1">IFERROR(__xludf.DUMMYFUNCTION("GOOGLETRANSLATE(C383,""ja"",""vi"")"),"Đấu giá&gt; thể thao, giải trí&gt; trại, hàng ngoài trời&gt; mát, thiết bị kho lạnh&gt; hộp mát")</f>
        <v>Đấu giá&gt; thể thao, giải trí&gt; trại, hàng ngoài trời&gt; mát, thiết bị kho lạnh&gt; hộp mát</v>
      </c>
      <c r="F383" t="str">
        <f t="shared" ca="1" si="5"/>
        <v>"2084046737" : "Cooler hộp",</v>
      </c>
    </row>
    <row r="384" spans="1:6" ht="15.75" customHeight="1">
      <c r="A384" s="14">
        <v>2084046741</v>
      </c>
      <c r="B384" s="14" t="s">
        <v>9870</v>
      </c>
      <c r="C384" s="14" t="s">
        <v>9871</v>
      </c>
      <c r="D384" s="5" t="str">
        <f ca="1">IFERROR(__xludf.DUMMYFUNCTION("GOOGLETRANSLATE(B384,""ja"",""vi"")"),"cái bình")</f>
        <v>cái bình</v>
      </c>
      <c r="E384" s="5" t="str">
        <f ca="1">IFERROR(__xludf.DUMMYFUNCTION("GOOGLETRANSLATE(C384,""ja"",""vi"")"),"Đấu giá&gt; thể thao, giải trí&gt; trại, hàng ngoài trời&gt; mát, thiết bị kho lạnh&gt; jug")</f>
        <v>Đấu giá&gt; thể thao, giải trí&gt; trại, hàng ngoài trời&gt; mát, thiết bị kho lạnh&gt; jug</v>
      </c>
      <c r="F384" t="str">
        <f t="shared" ca="1" si="5"/>
        <v>"2084046741" : "cái bình",</v>
      </c>
    </row>
    <row r="385" spans="1:6" ht="15.75" customHeight="1">
      <c r="A385" s="14">
        <v>2084046738</v>
      </c>
      <c r="B385" s="14" t="s">
        <v>9876</v>
      </c>
      <c r="C385" s="14" t="s">
        <v>9877</v>
      </c>
      <c r="D385" s="5" t="str">
        <f ca="1">IFERROR(__xludf.DUMMYFUNCTION("GOOGLETRANSLATE(B385,""ja"",""vi"")"),"Tủ lạnh di động")</f>
        <v>Tủ lạnh di động</v>
      </c>
      <c r="E385" s="5" t="str">
        <f ca="1">IFERROR(__xludf.DUMMYFUNCTION("GOOGLETRANSLATE(C385,""ja"",""vi"")"),"Đấu giá&gt; thể thao, giải trí&gt; trại, hàng ngoài trời&gt; mát, thiết bị kho lạnh&gt; Thiết bị Tủ lạnh")</f>
        <v>Đấu giá&gt; thể thao, giải trí&gt; trại, hàng ngoài trời&gt; mát, thiết bị kho lạnh&gt; Thiết bị Tủ lạnh</v>
      </c>
      <c r="F385" t="str">
        <f t="shared" ca="1" si="5"/>
        <v>"2084046738" : "Tủ lạnh di động",</v>
      </c>
    </row>
    <row r="386" spans="1:6" ht="15.75" customHeight="1">
      <c r="A386" s="14">
        <v>2084046739</v>
      </c>
      <c r="B386" s="14" t="s">
        <v>9882</v>
      </c>
      <c r="C386" s="14" t="s">
        <v>9884</v>
      </c>
      <c r="D386" s="5" t="str">
        <f ca="1">IFERROR(__xludf.DUMMYFUNCTION("GOOGLETRANSLATE(B386,""ja"",""vi"")"),"đại lý lạnh")</f>
        <v>đại lý lạnh</v>
      </c>
      <c r="E386" s="5" t="str">
        <f ca="1">IFERROR(__xludf.DUMMYFUNCTION("GOOGLETRANSLATE(C386,""ja"",""vi"")"),"Đấu giá&gt; thể thao, giải trí&gt; trại, hàng ngoài trời&gt; mát, thiết bị kho lạnh&gt; đại lý lạnh")</f>
        <v>Đấu giá&gt; thể thao, giải trí&gt; trại, hàng ngoài trời&gt; mát, thiết bị kho lạnh&gt; đại lý lạnh</v>
      </c>
      <c r="F386" t="str">
        <f t="shared" ref="F386:F449" ca="1" si="6">CONCATENATE(CHAR(34)&amp;"",A386,""&amp;CHAR(34)," : ", CHAR(34)&amp;"",D386,""&amp;CHAR(34),",")</f>
        <v>"2084046739" : "đại lý lạnh",</v>
      </c>
    </row>
    <row r="387" spans="1:6" ht="15.75" customHeight="1">
      <c r="A387" s="14">
        <v>2084046770</v>
      </c>
      <c r="B387" s="14" t="s">
        <v>9888</v>
      </c>
      <c r="C387" s="14" t="s">
        <v>9891</v>
      </c>
      <c r="D387" s="5" t="str">
        <f ca="1">IFERROR(__xludf.DUMMYFUNCTION("GOOGLETRANSLATE(B387,""ja"",""vi"")"),"tách")</f>
        <v>tách</v>
      </c>
      <c r="E387" s="5" t="str">
        <f ca="1">IFERROR(__xludf.DUMMYFUNCTION("GOOGLETRANSLATE(C387,""ja"",""vi"")"),"Đấu giá&gt; thể thao, giải trí&gt; trại, hàng ngoài trời&gt; bộ đồ ăn&gt; cốc")</f>
        <v>Đấu giá&gt; thể thao, giải trí&gt; trại, hàng ngoài trời&gt; bộ đồ ăn&gt; cốc</v>
      </c>
      <c r="F387" t="str">
        <f t="shared" ca="1" si="6"/>
        <v>"2084046770" : "tách",</v>
      </c>
    </row>
    <row r="388" spans="1:6" ht="15.75" customHeight="1">
      <c r="A388" s="14">
        <v>2084046771</v>
      </c>
      <c r="B388" s="14" t="s">
        <v>9895</v>
      </c>
      <c r="C388" s="14" t="s">
        <v>9897</v>
      </c>
      <c r="D388" s="5" t="str">
        <f ca="1">IFERROR(__xludf.DUMMYFUNCTION("GOOGLETRANSLATE(B388,""ja"",""vi"")"),"Muỗng, nĩa")</f>
        <v>Muỗng, nĩa</v>
      </c>
      <c r="E388" s="5" t="str">
        <f ca="1">IFERROR(__xludf.DUMMYFUNCTION("GOOGLETRANSLATE(C388,""ja"",""vi"")"),"Đấu giá&gt; thể thao, giải trí&gt; trại, hàng ngoài trời&gt; bộ đồ ăn&gt; muỗng, nĩa")</f>
        <v>Đấu giá&gt; thể thao, giải trí&gt; trại, hàng ngoài trời&gt; bộ đồ ăn&gt; muỗng, nĩa</v>
      </c>
      <c r="F388" t="str">
        <f t="shared" ca="1" si="6"/>
        <v>"2084046771" : "Muỗng, nĩa",</v>
      </c>
    </row>
    <row r="389" spans="1:6" ht="15.75" customHeight="1">
      <c r="A389" s="14">
        <v>2084046772</v>
      </c>
      <c r="B389" s="14" t="s">
        <v>9900</v>
      </c>
      <c r="C389" s="14" t="s">
        <v>9902</v>
      </c>
      <c r="D389" s="5" t="str">
        <f ca="1">IFERROR(__xludf.DUMMYFUNCTION("GOOGLETRANSLATE(B389,""ja"",""vi"")"),"món ăn")</f>
        <v>món ăn</v>
      </c>
      <c r="E389" s="5" t="str">
        <f ca="1">IFERROR(__xludf.DUMMYFUNCTION("GOOGLETRANSLATE(C389,""ja"",""vi"")"),"Đấu giá&gt; thể thao, giải trí&gt; trại, hàng ngoài trời&gt; bộ đồ ăn&gt; món ăn")</f>
        <v>Đấu giá&gt; thể thao, giải trí&gt; trại, hàng ngoài trời&gt; bộ đồ ăn&gt; món ăn</v>
      </c>
      <c r="F389" t="str">
        <f t="shared" ca="1" si="6"/>
        <v>"2084046772" : "món ăn",</v>
      </c>
    </row>
    <row r="390" spans="1:6" ht="15.75" customHeight="1">
      <c r="A390" s="14">
        <v>2084046773</v>
      </c>
      <c r="B390" s="14" t="s">
        <v>46</v>
      </c>
      <c r="C390" s="14" t="s">
        <v>9908</v>
      </c>
      <c r="D390" s="5" t="str">
        <f ca="1">IFERROR(__xludf.DUMMYFUNCTION("GOOGLETRANSLATE(B390,""ja"",""vi"")"),"nếu không thì")</f>
        <v>nếu không thì</v>
      </c>
      <c r="E390" s="5" t="str">
        <f ca="1">IFERROR(__xludf.DUMMYFUNCTION("GOOGLETRANSLATE(C390,""ja"",""vi"")"),"Đấu giá&gt; thể thao, giải trí&gt; trại, hàng ngoài trời&gt; bộ đồ ăn&gt; Khác")</f>
        <v>Đấu giá&gt; thể thao, giải trí&gt; trại, hàng ngoài trời&gt; bộ đồ ăn&gt; Khác</v>
      </c>
      <c r="F390" t="str">
        <f t="shared" ca="1" si="6"/>
        <v>"2084046773" : "nếu không thì",</v>
      </c>
    </row>
    <row r="391" spans="1:6" ht="15.75" customHeight="1">
      <c r="A391" s="14">
        <v>2084263227</v>
      </c>
      <c r="B391" s="14" t="s">
        <v>8327</v>
      </c>
      <c r="C391" s="14" t="s">
        <v>8328</v>
      </c>
      <c r="D391" s="5" t="str">
        <f ca="1">IFERROR(__xludf.DUMMYFUNCTION("GOOGLETRANSLATE(B391,""ja"",""vi"")"),"1 người -")</f>
        <v>1 người -</v>
      </c>
      <c r="E391" s="5" t="str">
        <f ca="1">IFERROR(__xludf.DUMMYFUNCTION("GOOGLETRANSLATE(C391,""ja"",""vi"")"),"Đấu giá&gt; thể thao, giải trí&gt; trại, hàng ngoài trời&gt; ghế giải trí&gt; 1 người -")</f>
        <v>Đấu giá&gt; thể thao, giải trí&gt; trại, hàng ngoài trời&gt; ghế giải trí&gt; 1 người -</v>
      </c>
      <c r="F391" t="str">
        <f t="shared" ca="1" si="6"/>
        <v>"2084263227" : "1 người -",</v>
      </c>
    </row>
    <row r="392" spans="1:6" ht="15.75" customHeight="1">
      <c r="A392" s="14">
        <v>2084263228</v>
      </c>
      <c r="B392" s="14" t="s">
        <v>8329</v>
      </c>
      <c r="C392" s="14" t="s">
        <v>8330</v>
      </c>
      <c r="D392" s="5" t="str">
        <f ca="1">IFERROR(__xludf.DUMMYFUNCTION("GOOGLETRANSLATE(B392,""ja"",""vi"")"),"4 người -")</f>
        <v>4 người -</v>
      </c>
      <c r="E392" s="5" t="str">
        <f ca="1">IFERROR(__xludf.DUMMYFUNCTION("GOOGLETRANSLATE(C392,""ja"",""vi"")"),"Đấu giá&gt; thể thao, giải trí&gt; trại, hàng ngoài trời&gt; giải trí ghế&gt; 4 người -")</f>
        <v>Đấu giá&gt; thể thao, giải trí&gt; trại, hàng ngoài trời&gt; giải trí ghế&gt; 4 người -</v>
      </c>
      <c r="F392" t="str">
        <f t="shared" ca="1" si="6"/>
        <v>"2084263228" : "4 người -",</v>
      </c>
    </row>
    <row r="393" spans="1:6" ht="15.75" customHeight="1">
      <c r="A393" s="14">
        <v>2084263392</v>
      </c>
      <c r="B393" s="14" t="s">
        <v>8331</v>
      </c>
      <c r="C393" s="14" t="s">
        <v>8332</v>
      </c>
      <c r="D393" s="5" t="str">
        <f ca="1">IFERROR(__xludf.DUMMYFUNCTION("GOOGLETRANSLATE(B393,""ja"",""vi"")"),"8 người -")</f>
        <v>8 người -</v>
      </c>
      <c r="E393" s="5" t="str">
        <f ca="1">IFERROR(__xludf.DUMMYFUNCTION("GOOGLETRANSLATE(C393,""ja"",""vi"")"),"Đấu giá&gt; thể thao, giải trí&gt; trại, hàng ngoài trời&gt; giải trí ghế&gt; 8 người -")</f>
        <v>Đấu giá&gt; thể thao, giải trí&gt; trại, hàng ngoài trời&gt; giải trí ghế&gt; 8 người -</v>
      </c>
      <c r="F393" t="str">
        <f t="shared" ca="1" si="6"/>
        <v>"2084263392" : "8 người -",</v>
      </c>
    </row>
    <row r="394" spans="1:6" ht="15.75" customHeight="1">
      <c r="A394" s="14">
        <v>2084046762</v>
      </c>
      <c r="B394" s="14" t="s">
        <v>8333</v>
      </c>
      <c r="C394" s="14" t="s">
        <v>8334</v>
      </c>
      <c r="D394" s="5" t="str">
        <f ca="1">IFERROR(__xludf.DUMMYFUNCTION("GOOGLETRANSLATE(B394,""ja"",""vi"")"),"Tarp")</f>
        <v>Tarp</v>
      </c>
      <c r="E394" s="5" t="str">
        <f ca="1">IFERROR(__xludf.DUMMYFUNCTION("GOOGLETRANSLATE(C394,""ja"",""vi"")"),"Đấu giá&gt; thể thao, giải trí&gt; trại, hàng ngoài trời&gt; ghế giải trí&gt; TARP")</f>
        <v>Đấu giá&gt; thể thao, giải trí&gt; trại, hàng ngoài trời&gt; ghế giải trí&gt; TARP</v>
      </c>
      <c r="F394" t="str">
        <f t="shared" ca="1" si="6"/>
        <v>"2084046762" : "Tarp",</v>
      </c>
    </row>
    <row r="395" spans="1:6" ht="15.75" customHeight="1">
      <c r="A395" s="14">
        <v>2084208878</v>
      </c>
      <c r="B395" s="14" t="s">
        <v>8335</v>
      </c>
      <c r="C395" s="14" t="s">
        <v>8336</v>
      </c>
      <c r="D395" s="5" t="str">
        <f ca="1">IFERROR(__xludf.DUMMYFUNCTION("GOOGLETRANSLATE(B395,""ja"",""vi"")"),"bãi biển ô")</f>
        <v>bãi biển ô</v>
      </c>
      <c r="E395" s="5" t="str">
        <f ca="1">IFERROR(__xludf.DUMMYFUNCTION("GOOGLETRANSLATE(C395,""ja"",""vi"")"),"Đấu giá&gt; thể thao, giải trí&gt; trại, hàng ngoài trời&gt; ghế giải trí&gt; ô bãi biển")</f>
        <v>Đấu giá&gt; thể thao, giải trí&gt; trại, hàng ngoài trời&gt; ghế giải trí&gt; ô bãi biển</v>
      </c>
      <c r="F395" t="str">
        <f t="shared" ca="1" si="6"/>
        <v>"2084208878" : "bãi biển ô",</v>
      </c>
    </row>
    <row r="396" spans="1:6" ht="15.75" customHeight="1">
      <c r="A396" s="14">
        <v>24970</v>
      </c>
      <c r="B396" s="14" t="s">
        <v>8337</v>
      </c>
      <c r="C396" s="14" t="s">
        <v>8338</v>
      </c>
      <c r="D396" s="5" t="str">
        <f ca="1">IFERROR(__xludf.DUMMYFUNCTION("GOOGLETRANSLATE(B396,""ja"",""vi"")"),"Túi ngủ, giường, giường")</f>
        <v>Túi ngủ, giường, giường</v>
      </c>
      <c r="E396" s="5" t="str">
        <f ca="1">IFERROR(__xludf.DUMMYFUNCTION("GOOGLETRANSLATE(C396,""ja"",""vi"")"),"Đấu giá&gt; thể thao, giải trí&gt; trại, hàng ngoài trời&gt; ghế giải trí&gt; túi ngủ, giường, giường")</f>
        <v>Đấu giá&gt; thể thao, giải trí&gt; trại, hàng ngoài trời&gt; ghế giải trí&gt; túi ngủ, giường, giường</v>
      </c>
      <c r="F396" t="str">
        <f t="shared" ca="1" si="6"/>
        <v>"24970" : "Túi ngủ, giường, giường",</v>
      </c>
    </row>
    <row r="397" spans="1:6" ht="15.75" customHeight="1">
      <c r="A397" s="14">
        <v>2084046745</v>
      </c>
      <c r="B397" s="14" t="s">
        <v>8339</v>
      </c>
      <c r="C397" s="14" t="s">
        <v>8340</v>
      </c>
      <c r="D397" s="5" t="str">
        <f ca="1">IFERROR(__xludf.DUMMYFUNCTION("GOOGLETRANSLATE(B397,""ja"",""vi"")"),"ghế")</f>
        <v>ghế</v>
      </c>
      <c r="E397" s="5" t="str">
        <f ca="1">IFERROR(__xludf.DUMMYFUNCTION("GOOGLETRANSLATE(C397,""ja"",""vi"")"),"Đấu giá&gt; thể thao, giải trí&gt; trại, hàng ngoài trời&gt; ghế giải trí&gt; Ghế")</f>
        <v>Đấu giá&gt; thể thao, giải trí&gt; trại, hàng ngoài trời&gt; ghế giải trí&gt; Ghế</v>
      </c>
      <c r="F397" t="str">
        <f t="shared" ca="1" si="6"/>
        <v>"2084046745" : "ghế",</v>
      </c>
    </row>
    <row r="398" spans="1:6" ht="15.75" customHeight="1">
      <c r="A398" s="14">
        <v>2084046744</v>
      </c>
      <c r="B398" s="14" t="s">
        <v>8341</v>
      </c>
      <c r="C398" s="14" t="s">
        <v>8342</v>
      </c>
      <c r="D398" s="5" t="str">
        <f ca="1">IFERROR(__xludf.DUMMYFUNCTION("GOOGLETRANSLATE(B398,""ja"",""vi"")"),"bàn")</f>
        <v>bàn</v>
      </c>
      <c r="E398" s="5" t="str">
        <f ca="1">IFERROR(__xludf.DUMMYFUNCTION("GOOGLETRANSLATE(C398,""ja"",""vi"")"),"Đấu giá&gt; thể thao, giải trí&gt; trại, hàng ngoài trời&gt; ghế giải trí&gt; bảng")</f>
        <v>Đấu giá&gt; thể thao, giải trí&gt; trại, hàng ngoài trời&gt; ghế giải trí&gt; bảng</v>
      </c>
      <c r="F398" t="str">
        <f t="shared" ca="1" si="6"/>
        <v>"2084046744" : "bàn",</v>
      </c>
    </row>
    <row r="399" spans="1:6" ht="15.75" customHeight="1">
      <c r="A399" s="14">
        <v>2084062248</v>
      </c>
      <c r="B399" s="14" t="s">
        <v>8814</v>
      </c>
      <c r="C399" s="14" t="s">
        <v>8815</v>
      </c>
      <c r="D399" s="5" t="str">
        <f ca="1">IFERROR(__xludf.DUMMYFUNCTION("GOOGLETRANSLATE(B399,""ja"",""vi"")"),"trekking giày")</f>
        <v>trekking giày</v>
      </c>
      <c r="E399" s="5" t="str">
        <f ca="1">IFERROR(__xludf.DUMMYFUNCTION("GOOGLETRANSLATE(C399,""ja"",""vi"")"),"Đấu giá&gt; thể thao, giải trí&gt; trại, hàng ngoài trời&gt; Đồ leo núi&gt; giày trekking")</f>
        <v>Đấu giá&gt; thể thao, giải trí&gt; trại, hàng ngoài trời&gt; Đồ leo núi&gt; giày trekking</v>
      </c>
      <c r="F399" t="str">
        <f t="shared" ca="1" si="6"/>
        <v>"2084062248" : "trekking giày",</v>
      </c>
    </row>
    <row r="400" spans="1:6" ht="15.75" customHeight="1">
      <c r="A400" s="14">
        <v>2084063019</v>
      </c>
      <c r="B400" s="14" t="s">
        <v>8820</v>
      </c>
      <c r="C400" s="14" t="s">
        <v>8821</v>
      </c>
      <c r="D400" s="5" t="str">
        <f ca="1">IFERROR(__xludf.DUMMYFUNCTION("GOOGLETRANSLATE(B400,""ja"",""vi"")"),"trekking dính")</f>
        <v>trekking dính</v>
      </c>
      <c r="E400" s="5" t="str">
        <f ca="1">IFERROR(__xludf.DUMMYFUNCTION("GOOGLETRANSLATE(C400,""ja"",""vi"")"),"Đấu giá&gt; thể thao, giải trí&gt; trại, hàng ngoài trời&gt; leo núi Đồ&gt; trekking dính")</f>
        <v>Đấu giá&gt; thể thao, giải trí&gt; trại, hàng ngoài trời&gt; leo núi Đồ&gt; trekking dính</v>
      </c>
      <c r="F400" t="str">
        <f t="shared" ca="1" si="6"/>
        <v>"2084063019" : "trekking dính",</v>
      </c>
    </row>
    <row r="401" spans="1:6" ht="15.75" customHeight="1">
      <c r="A401" s="14">
        <v>24874</v>
      </c>
      <c r="B401" s="14" t="s">
        <v>8826</v>
      </c>
      <c r="C401" s="14" t="s">
        <v>8827</v>
      </c>
      <c r="D401" s="5" t="str">
        <f ca="1">IFERROR(__xludf.DUMMYFUNCTION("GOOGLETRANSLATE(B401,""ja"",""vi"")"),"dao")</f>
        <v>dao</v>
      </c>
      <c r="E401" s="5" t="str">
        <f ca="1">IFERROR(__xludf.DUMMYFUNCTION("GOOGLETRANSLATE(C401,""ja"",""vi"")"),"Đấu giá&gt; thể thao, giải trí&gt; trại, hàng ngoài trời&gt; leo nguồn cung cấp&gt; dao")</f>
        <v>Đấu giá&gt; thể thao, giải trí&gt; trại, hàng ngoài trời&gt; leo nguồn cung cấp&gt; dao</v>
      </c>
      <c r="F401" t="str">
        <f t="shared" ca="1" si="6"/>
        <v>"24874" : "dao",</v>
      </c>
    </row>
    <row r="402" spans="1:6" ht="15.75" customHeight="1">
      <c r="A402" s="14">
        <v>24906</v>
      </c>
      <c r="B402" s="14" t="s">
        <v>8832</v>
      </c>
      <c r="C402" s="14" t="s">
        <v>8835</v>
      </c>
      <c r="D402" s="5" t="str">
        <f ca="1">IFERROR(__xludf.DUMMYFUNCTION("GOOGLETRANSLATE(B402,""ja"",""vi"")"),"Handy Light, đèn pin")</f>
        <v>Handy Light, đèn pin</v>
      </c>
      <c r="E402" s="5" t="str">
        <f ca="1">IFERROR(__xludf.DUMMYFUNCTION("GOOGLETRANSLATE(C402,""ja"",""vi"")"),"Đấu giá&gt; thể thao, giải trí&gt; trại, hàng ngoài trời&gt; leo nguồn cung cấp&gt; ánh sáng tiện dụng, đèn pin")</f>
        <v>Đấu giá&gt; thể thao, giải trí&gt; trại, hàng ngoài trời&gt; leo nguồn cung cấp&gt; ánh sáng tiện dụng, đèn pin</v>
      </c>
      <c r="F402" t="str">
        <f t="shared" ca="1" si="6"/>
        <v>"24906" : "Handy Light, đèn pin",</v>
      </c>
    </row>
    <row r="403" spans="1:6" ht="15.75" customHeight="1">
      <c r="A403" s="14">
        <v>2084209095</v>
      </c>
      <c r="B403" s="14" t="s">
        <v>8839</v>
      </c>
      <c r="C403" s="14" t="s">
        <v>8842</v>
      </c>
      <c r="D403" s="5" t="str">
        <f ca="1">IFERROR(__xludf.DUMMYFUNCTION("GOOGLETRANSLATE(B403,""ja"",""vi"")"),"còi")</f>
        <v>còi</v>
      </c>
      <c r="E403" s="5" t="str">
        <f ca="1">IFERROR(__xludf.DUMMYFUNCTION("GOOGLETRANSLATE(C403,""ja"",""vi"")"),"Đấu giá&gt; thể thao, giải trí&gt; trại, hàng ngoài trời&gt; leo cung&gt; còi")</f>
        <v>Đấu giá&gt; thể thao, giải trí&gt; trại, hàng ngoài trời&gt; leo cung&gt; còi</v>
      </c>
      <c r="F403" t="str">
        <f t="shared" ca="1" si="6"/>
        <v>"2084209095" : "còi",</v>
      </c>
    </row>
    <row r="404" spans="1:6" ht="15.75" customHeight="1">
      <c r="A404" s="14">
        <v>25254</v>
      </c>
      <c r="B404" s="14" t="s">
        <v>8845</v>
      </c>
      <c r="C404" s="14" t="s">
        <v>8847</v>
      </c>
      <c r="D404" s="5" t="str">
        <f ca="1">IFERROR(__xludf.DUMMYFUNCTION("GOOGLETRANSLATE(B404,""ja"",""vi"")"),"leo núi")</f>
        <v>leo núi</v>
      </c>
      <c r="E404" s="5" t="str">
        <f ca="1">IFERROR(__xludf.DUMMYFUNCTION("GOOGLETRANSLATE(C404,""ja"",""vi"")"),"Đấu giá&gt; thể thao, giải trí&gt; trại, hàng ngoài trời&gt; leo nguồn cung cấp&gt; Leo")</f>
        <v>Đấu giá&gt; thể thao, giải trí&gt; trại, hàng ngoài trời&gt; leo nguồn cung cấp&gt; Leo</v>
      </c>
      <c r="F404" t="str">
        <f t="shared" ca="1" si="6"/>
        <v>"25254" : "leo núi",</v>
      </c>
    </row>
    <row r="405" spans="1:6" ht="15.75" customHeight="1">
      <c r="A405" s="14">
        <v>2084046740</v>
      </c>
      <c r="B405" s="14" t="s">
        <v>2241</v>
      </c>
      <c r="C405" s="14" t="s">
        <v>9974</v>
      </c>
      <c r="D405" s="5" t="str">
        <f ca="1">IFERROR(__xludf.DUMMYFUNCTION("GOOGLETRANSLATE(B405,""ja"",""vi"")"),"chung")</f>
        <v>chung</v>
      </c>
      <c r="E405" s="5" t="str">
        <f ca="1">IFERROR(__xludf.DUMMYFUNCTION("GOOGLETRANSLATE(C405,""ja"",""vi"")"),"Đấu giá&gt; thể thao, giải trí&gt; trại, hàng ngoài trời&gt; chai nước, chai&gt; chung")</f>
        <v>Đấu giá&gt; thể thao, giải trí&gt; trại, hàng ngoài trời&gt; chai nước, chai&gt; chung</v>
      </c>
      <c r="F405" t="str">
        <f t="shared" ca="1" si="6"/>
        <v>"2084046740" : "chung",</v>
      </c>
    </row>
    <row r="406" spans="1:6" ht="15.75" customHeight="1">
      <c r="A406" s="14">
        <v>2084046743</v>
      </c>
      <c r="B406" s="14" t="s">
        <v>9979</v>
      </c>
      <c r="C406" s="14" t="s">
        <v>9980</v>
      </c>
      <c r="D406" s="5" t="str">
        <f ca="1">IFERROR(__xludf.DUMMYFUNCTION("GOOGLETRANSLATE(B406,""ja"",""vi"")"),"bồn nước")</f>
        <v>bồn nước</v>
      </c>
      <c r="E406" s="5" t="str">
        <f ca="1">IFERROR(__xludf.DUMMYFUNCTION("GOOGLETRANSLATE(C406,""ja"",""vi"")"),"Đấu giá&gt; thể thao, giải trí&gt; trại, hàng ngoài trời&gt; chai nước, chai&gt; Bồn nước")</f>
        <v>Đấu giá&gt; thể thao, giải trí&gt; trại, hàng ngoài trời&gt; chai nước, chai&gt; Bồn nước</v>
      </c>
      <c r="F406" t="str">
        <f t="shared" ca="1" si="6"/>
        <v>"2084046743" : "bồn nước",</v>
      </c>
    </row>
    <row r="407" spans="1:6" ht="15.75" customHeight="1">
      <c r="A407" s="14">
        <v>2084046741</v>
      </c>
      <c r="B407" s="14" t="s">
        <v>9870</v>
      </c>
      <c r="C407" s="14" t="s">
        <v>9988</v>
      </c>
      <c r="D407" s="5" t="str">
        <f ca="1">IFERROR(__xludf.DUMMYFUNCTION("GOOGLETRANSLATE(B407,""ja"",""vi"")"),"cái bình")</f>
        <v>cái bình</v>
      </c>
      <c r="E407" s="5" t="str">
        <f ca="1">IFERROR(__xludf.DUMMYFUNCTION("GOOGLETRANSLATE(C407,""ja"",""vi"")"),"Đấu giá&gt; thể thao, giải trí&gt; trại, hàng ngoài trời&gt; chai nước, chai&gt; jug")</f>
        <v>Đấu giá&gt; thể thao, giải trí&gt; trại, hàng ngoài trời&gt; chai nước, chai&gt; jug</v>
      </c>
      <c r="F407" t="str">
        <f t="shared" ca="1" si="6"/>
        <v>"2084046741" : "cái bình",</v>
      </c>
    </row>
    <row r="408" spans="1:6" ht="15.75" customHeight="1">
      <c r="A408" s="14">
        <v>2084262933</v>
      </c>
      <c r="B408" s="14" t="s">
        <v>9991</v>
      </c>
      <c r="C408" s="14" t="s">
        <v>9993</v>
      </c>
      <c r="D408" s="5" t="str">
        <f ca="1">IFERROR(__xludf.DUMMYFUNCTION("GOOGLETRANSLATE(B408,""ja"",""vi"")"),"Chủ chai")</f>
        <v>Chủ chai</v>
      </c>
      <c r="E408" s="5" t="str">
        <f ca="1">IFERROR(__xludf.DUMMYFUNCTION("GOOGLETRANSLATE(C408,""ja"",""vi"")"),"Đấu giá&gt; thể thao, giải trí&gt; trại, hàng ngoài trời&gt; chai nước, chai&gt; giữ chai")</f>
        <v>Đấu giá&gt; thể thao, giải trí&gt; trại, hàng ngoài trời&gt; chai nước, chai&gt; giữ chai</v>
      </c>
      <c r="F408" t="str">
        <f t="shared" ca="1" si="6"/>
        <v>"2084262933" : "Chủ chai",</v>
      </c>
    </row>
    <row r="409" spans="1:6" ht="15.75" customHeight="1">
      <c r="A409" s="14">
        <v>24954</v>
      </c>
      <c r="B409" s="14" t="s">
        <v>9996</v>
      </c>
      <c r="C409" s="14" t="s">
        <v>9998</v>
      </c>
      <c r="D409" s="5" t="str">
        <f ca="1">IFERROR(__xludf.DUMMYFUNCTION("GOOGLETRANSLATE(B409,""ja"",""vi"")"),"địa bàn")</f>
        <v>địa bàn</v>
      </c>
      <c r="E409" s="5" t="str">
        <f ca="1">IFERROR(__xludf.DUMMYFUNCTION("GOOGLETRANSLATE(C409,""ja"",""vi"")"),"Đấu giá&gt; thể thao, giải trí&gt; trại, hàng ngoài trời&gt; navigation&gt; Compass")</f>
        <v>Đấu giá&gt; thể thao, giải trí&gt; trại, hàng ngoài trời&gt; navigation&gt; Compass</v>
      </c>
      <c r="F409" t="str">
        <f t="shared" ca="1" si="6"/>
        <v>"24954" : "địa bàn",</v>
      </c>
    </row>
    <row r="410" spans="1:6" ht="15.75" customHeight="1">
      <c r="A410" s="14">
        <v>2084259454</v>
      </c>
      <c r="B410" s="14" t="s">
        <v>8632</v>
      </c>
      <c r="C410" s="14" t="s">
        <v>10003</v>
      </c>
      <c r="D410" s="5" t="str">
        <f ca="1">IFERROR(__xludf.DUMMYFUNCTION("GOOGLETRANSLATE(B410,""ja"",""vi"")"),"Handy GPS")</f>
        <v>Handy GPS</v>
      </c>
      <c r="E410" s="5" t="str">
        <f ca="1">IFERROR(__xludf.DUMMYFUNCTION("GOOGLETRANSLATE(C410,""ja"",""vi"")"),"Đấu giá&gt; thể thao, giải trí&gt; trại, hàng ngoài trời&gt; navigation&gt; Handy GPS")</f>
        <v>Đấu giá&gt; thể thao, giải trí&gt; trại, hàng ngoài trời&gt; navigation&gt; Handy GPS</v>
      </c>
      <c r="F410" t="str">
        <f t="shared" ca="1" si="6"/>
        <v>"2084259454" : "Handy GPS",</v>
      </c>
    </row>
    <row r="411" spans="1:6" ht="15.75" customHeight="1">
      <c r="A411" s="14">
        <v>24962</v>
      </c>
      <c r="B411" s="14" t="s">
        <v>10007</v>
      </c>
      <c r="C411" s="14" t="s">
        <v>10009</v>
      </c>
      <c r="D411" s="5" t="str">
        <f ca="1">IFERROR(__xludf.DUMMYFUNCTION("GOOGLETRANSLATE(B411,""ja"",""vi"")"),"cao độ kế")</f>
        <v>cao độ kế</v>
      </c>
      <c r="E411" s="5" t="str">
        <f ca="1">IFERROR(__xludf.DUMMYFUNCTION("GOOGLETRANSLATE(C411,""ja"",""vi"")"),"Đấu giá&gt; thể thao, giải trí&gt; trại, hàng ngoài trời&gt; navigation&gt; đo độ cao")</f>
        <v>Đấu giá&gt; thể thao, giải trí&gt; trại, hàng ngoài trời&gt; navigation&gt; đo độ cao</v>
      </c>
      <c r="F411" t="str">
        <f t="shared" ca="1" si="6"/>
        <v>"24962" : "cao độ kế",</v>
      </c>
    </row>
    <row r="412" spans="1:6" ht="15.75" customHeight="1">
      <c r="A412" s="14">
        <v>24958</v>
      </c>
      <c r="B412" s="14" t="s">
        <v>5390</v>
      </c>
      <c r="C412" s="14" t="s">
        <v>10015</v>
      </c>
      <c r="D412" s="5" t="str">
        <f ca="1">IFERROR(__xludf.DUMMYFUNCTION("GOOGLETRANSLATE(B412,""ja"",""vi"")"),"bản đồ")</f>
        <v>bản đồ</v>
      </c>
      <c r="E412" s="5" t="str">
        <f ca="1">IFERROR(__xludf.DUMMYFUNCTION("GOOGLETRANSLATE(C412,""ja"",""vi"")"),"Đấu giá&gt; thể thao, giải trí&gt; trại, hàng ngoài trời&gt; navigation&gt; Bản đồ")</f>
        <v>Đấu giá&gt; thể thao, giải trí&gt; trại, hàng ngoài trời&gt; navigation&gt; Bản đồ</v>
      </c>
      <c r="F412" t="str">
        <f t="shared" ca="1" si="6"/>
        <v>"24958" : "bản đồ",</v>
      </c>
    </row>
    <row r="413" spans="1:6" ht="15.75" customHeight="1">
      <c r="A413" s="14">
        <v>24966</v>
      </c>
      <c r="B413" s="14" t="s">
        <v>46</v>
      </c>
      <c r="C413" s="14" t="s">
        <v>10021</v>
      </c>
      <c r="D413" s="5" t="str">
        <f ca="1">IFERROR(__xludf.DUMMYFUNCTION("GOOGLETRANSLATE(B413,""ja"",""vi"")"),"nếu không thì")</f>
        <v>nếu không thì</v>
      </c>
      <c r="E413" s="5" t="str">
        <f ca="1">IFERROR(__xludf.DUMMYFUNCTION("GOOGLETRANSLATE(C413,""ja"",""vi"")"),"Đấu giá&gt; thể thao, giải trí&gt; trại, hàng ngoài trời&gt; navigation&gt; Khác")</f>
        <v>Đấu giá&gt; thể thao, giải trí&gt; trại, hàng ngoài trời&gt; navigation&gt; Khác</v>
      </c>
      <c r="F413" t="str">
        <f t="shared" ca="1" si="6"/>
        <v>"24966" : "nếu không thì",</v>
      </c>
    </row>
    <row r="414" spans="1:6" ht="15.75" customHeight="1">
      <c r="A414" s="14">
        <v>24894</v>
      </c>
      <c r="B414" s="14" t="s">
        <v>10026</v>
      </c>
      <c r="C414" s="14" t="s">
        <v>10028</v>
      </c>
      <c r="D414" s="5" t="str">
        <f ca="1">IFERROR(__xludf.DUMMYFUNCTION("GOOGLETRANSLATE(B414,""ja"",""vi"")"),"Mài, đá mài")</f>
        <v>Mài, đá mài</v>
      </c>
      <c r="E414" s="5" t="str">
        <f ca="1">IFERROR(__xludf.DUMMYFUNCTION("GOOGLETRANSLATE(C414,""ja"",""vi"")"),"Đấu giá&gt; thể thao, giải trí&gt; trại, hàng ngoài trời&gt; dao&gt; mài, đá mài")</f>
        <v>Đấu giá&gt; thể thao, giải trí&gt; trại, hàng ngoài trời&gt; dao&gt; mài, đá mài</v>
      </c>
      <c r="F414" t="str">
        <f t="shared" ca="1" si="6"/>
        <v>"24894" : "Mài, đá mài",</v>
      </c>
    </row>
    <row r="415" spans="1:6" ht="15.75" customHeight="1">
      <c r="A415" s="14">
        <v>24882</v>
      </c>
      <c r="B415" s="14" t="s">
        <v>10032</v>
      </c>
      <c r="C415" s="14" t="s">
        <v>10034</v>
      </c>
      <c r="D415" s="5" t="str">
        <f ca="1">IFERROR(__xludf.DUMMYFUNCTION("GOOGLETRANSLATE(B415,""ja"",""vi"")"),"Săn bắn dao, gươm săn bắn")</f>
        <v>Săn bắn dao, gươm săn bắn</v>
      </c>
      <c r="E415" s="5" t="str">
        <f ca="1">IFERROR(__xludf.DUMMYFUNCTION("GOOGLETRANSLATE(C415,""ja"",""vi"")"),"Đấu giá&gt; thể thao, giải trí&gt; trại, hàng ngoài trời&gt; dao&gt; săn dao, gươm săn bắn")</f>
        <v>Đấu giá&gt; thể thao, giải trí&gt; trại, hàng ngoài trời&gt; dao&gt; săn dao, gươm săn bắn</v>
      </c>
      <c r="F415" t="str">
        <f t="shared" ca="1" si="6"/>
        <v>"24882" : "Săn bắn dao, gươm săn bắn",</v>
      </c>
    </row>
    <row r="416" spans="1:6" ht="15.75" customHeight="1">
      <c r="A416" s="14">
        <v>24890</v>
      </c>
      <c r="B416" s="14" t="s">
        <v>10037</v>
      </c>
      <c r="C416" s="14" t="s">
        <v>10039</v>
      </c>
      <c r="D416" s="5" t="str">
        <f ca="1">IFERROR(__xludf.DUMMYFUNCTION("GOOGLETRANSLATE(B416,""ja"",""vi"")"),"Victorinox")</f>
        <v>Victorinox</v>
      </c>
      <c r="E416" s="5" t="str">
        <f ca="1">IFERROR(__xludf.DUMMYFUNCTION("GOOGLETRANSLATE(C416,""ja"",""vi"")"),"Đấu giá&gt; thể thao, giải trí&gt; trại, hàng ngoài trời&gt; dao&gt; Victorinox")</f>
        <v>Đấu giá&gt; thể thao, giải trí&gt; trại, hàng ngoài trời&gt; dao&gt; Victorinox</v>
      </c>
      <c r="F416" t="str">
        <f t="shared" ca="1" si="6"/>
        <v>"24890" : "Victorinox",</v>
      </c>
    </row>
    <row r="417" spans="1:6" ht="15.75" customHeight="1">
      <c r="A417" s="14">
        <v>24886</v>
      </c>
      <c r="B417" s="14" t="s">
        <v>10043</v>
      </c>
      <c r="C417" s="14" t="s">
        <v>10045</v>
      </c>
      <c r="D417" s="5" t="str">
        <f ca="1">IFERROR(__xludf.DUMMYFUNCTION("GOOGLETRANSLATE(B417,""ja"",""vi"")"),"Leatherman")</f>
        <v>Leatherman</v>
      </c>
      <c r="E417" s="5" t="str">
        <f ca="1">IFERROR(__xludf.DUMMYFUNCTION("GOOGLETRANSLATE(C417,""ja"",""vi"")"),"Đấu giá&gt; thể thao, giải trí&gt; trại, hàng ngoài trời&gt; dao&gt; Leatherman")</f>
        <v>Đấu giá&gt; thể thao, giải trí&gt; trại, hàng ngoài trời&gt; dao&gt; Leatherman</v>
      </c>
      <c r="F417" t="str">
        <f t="shared" ca="1" si="6"/>
        <v>"24886" : "Leatherman",</v>
      </c>
    </row>
    <row r="418" spans="1:6" ht="15.75" customHeight="1">
      <c r="A418" s="14">
        <v>2084299658</v>
      </c>
      <c r="B418" s="14" t="s">
        <v>10049</v>
      </c>
      <c r="C418" s="14" t="s">
        <v>10052</v>
      </c>
      <c r="D418" s="5" t="str">
        <f ca="1">IFERROR(__xludf.DUMMYFUNCTION("GOOGLETRANSLATE(B418,""ja"",""vi"")"),"rìu")</f>
        <v>rìu</v>
      </c>
      <c r="E418" s="5" t="str">
        <f ca="1">IFERROR(__xludf.DUMMYFUNCTION("GOOGLETRANSLATE(C418,""ja"",""vi"")"),"Đấu giá&gt; thể thao, giải trí&gt; trại, hàng ngoài trời&gt; dao&gt; rìu")</f>
        <v>Đấu giá&gt; thể thao, giải trí&gt; trại, hàng ngoài trời&gt; dao&gt; rìu</v>
      </c>
      <c r="F418" t="str">
        <f t="shared" ca="1" si="6"/>
        <v>"2084299658" : "rìu",</v>
      </c>
    </row>
    <row r="419" spans="1:6" ht="15.75" customHeight="1">
      <c r="A419" s="14">
        <v>24898</v>
      </c>
      <c r="B419" s="14" t="s">
        <v>46</v>
      </c>
      <c r="C419" s="14" t="s">
        <v>10057</v>
      </c>
      <c r="D419" s="5" t="str">
        <f ca="1">IFERROR(__xludf.DUMMYFUNCTION("GOOGLETRANSLATE(B419,""ja"",""vi"")"),"nếu không thì")</f>
        <v>nếu không thì</v>
      </c>
      <c r="E419" s="5" t="str">
        <f ca="1">IFERROR(__xludf.DUMMYFUNCTION("GOOGLETRANSLATE(C419,""ja"",""vi"")"),"Đấu giá&gt; thể thao, giải trí&gt; trại, hàng ngoài trời&gt; dao&gt; Khác")</f>
        <v>Đấu giá&gt; thể thao, giải trí&gt; trại, hàng ngoài trời&gt; dao&gt; Khác</v>
      </c>
      <c r="F419" t="str">
        <f t="shared" ca="1" si="6"/>
        <v>"24898" : "nếu không thì",</v>
      </c>
    </row>
    <row r="420" spans="1:6" ht="15.75" customHeight="1">
      <c r="A420" s="14">
        <v>2084263213</v>
      </c>
      <c r="B420" s="14" t="s">
        <v>10062</v>
      </c>
      <c r="C420" s="14" t="s">
        <v>10063</v>
      </c>
      <c r="D420" s="5" t="str">
        <f ca="1">IFERROR(__xludf.DUMMYFUNCTION("GOOGLETRANSLATE(B420,""ja"",""vi"")"),"Canoe")</f>
        <v>Canoe</v>
      </c>
      <c r="E420" s="5" t="str">
        <f ca="1">IFERROR(__xludf.DUMMYFUNCTION("GOOGLETRANSLATE(C420,""ja"",""vi"")"),"Đấu giá&gt; thể thao, giải trí&gt; trại, hàng ngoài trời&gt; xuồng, thuyền kayak&gt; xuồng")</f>
        <v>Đấu giá&gt; thể thao, giải trí&gt; trại, hàng ngoài trời&gt; xuồng, thuyền kayak&gt; xuồng</v>
      </c>
      <c r="F420" t="str">
        <f t="shared" ca="1" si="6"/>
        <v>"2084263213" : "Canoe",</v>
      </c>
    </row>
    <row r="421" spans="1:6" ht="15.75" customHeight="1">
      <c r="A421" s="14">
        <v>2084263214</v>
      </c>
      <c r="B421" s="14" t="s">
        <v>10068</v>
      </c>
      <c r="C421" s="14" t="s">
        <v>10069</v>
      </c>
      <c r="D421" s="5" t="str">
        <f ca="1">IFERROR(__xludf.DUMMYFUNCTION("GOOGLETRANSLATE(B421,""ja"",""vi"")"),"Kayak")</f>
        <v>Kayak</v>
      </c>
      <c r="E421" s="5" t="str">
        <f ca="1">IFERROR(__xludf.DUMMYFUNCTION("GOOGLETRANSLATE(C421,""ja"",""vi"")"),"Đấu giá&gt; thể thao, giải trí&gt; trại, ngoài trời hàng&gt; Canoeing, Kayaking&gt; Kayaking")</f>
        <v>Đấu giá&gt; thể thao, giải trí&gt; trại, ngoài trời hàng&gt; Canoeing, Kayaking&gt; Kayaking</v>
      </c>
      <c r="F421" t="str">
        <f t="shared" ca="1" si="6"/>
        <v>"2084263214" : "Kayak",</v>
      </c>
    </row>
    <row r="422" spans="1:6" ht="15.75" customHeight="1">
      <c r="A422" s="14">
        <v>2084263215</v>
      </c>
      <c r="B422" s="14" t="s">
        <v>10073</v>
      </c>
      <c r="C422" s="14" t="s">
        <v>10075</v>
      </c>
      <c r="D422" s="5" t="str">
        <f ca="1">IFERROR(__xludf.DUMMYFUNCTION("GOOGLETRANSLATE(B422,""ja"",""vi"")"),"chèo")</f>
        <v>chèo</v>
      </c>
      <c r="E422" s="5" t="str">
        <f ca="1">IFERROR(__xludf.DUMMYFUNCTION("GOOGLETRANSLATE(C422,""ja"",""vi"")"),"Đấu giá&gt; thể thao, giải trí&gt; trại, hàng ngoài trời&gt; xuồng, thuyền kayak&gt; mái chèo")</f>
        <v>Đấu giá&gt; thể thao, giải trí&gt; trại, hàng ngoài trời&gt; xuồng, thuyền kayak&gt; mái chèo</v>
      </c>
      <c r="F422" t="str">
        <f t="shared" ca="1" si="6"/>
        <v>"2084263215" : "chèo",</v>
      </c>
    </row>
    <row r="423" spans="1:6" ht="15.75" customHeight="1">
      <c r="A423" s="14">
        <v>25312</v>
      </c>
      <c r="B423" s="14" t="s">
        <v>8567</v>
      </c>
      <c r="C423" s="14" t="s">
        <v>10081</v>
      </c>
      <c r="D423" s="5" t="str">
        <f ca="1">IFERROR(__xludf.DUMMYFUNCTION("GOOGLETRANSLATE(B423,""ja"",""vi"")"),"ướt phù hợp")</f>
        <v>ướt phù hợp</v>
      </c>
      <c r="E423" s="5" t="str">
        <f ca="1">IFERROR(__xludf.DUMMYFUNCTION("GOOGLETRANSLATE(C423,""ja"",""vi"")"),"Đấu giá&gt; thể thao, giải trí&gt; trại, hàng ngoài trời&gt; xuồng, thuyền kayak&gt; phù hợp ướt")</f>
        <v>Đấu giá&gt; thể thao, giải trí&gt; trại, hàng ngoài trời&gt; xuồng, thuyền kayak&gt; phù hợp ướt</v>
      </c>
      <c r="F423" t="str">
        <f t="shared" ca="1" si="6"/>
        <v>"25312" : "ướt phù hợp",</v>
      </c>
    </row>
    <row r="424" spans="1:6" ht="15.75" customHeight="1">
      <c r="A424" s="14">
        <v>2084062224</v>
      </c>
      <c r="B424" s="14" t="s">
        <v>10085</v>
      </c>
      <c r="C424" s="14" t="s">
        <v>10087</v>
      </c>
      <c r="D424" s="5" t="str">
        <f ca="1">IFERROR(__xludf.DUMMYFUNCTION("GOOGLETRANSLATE(B424,""ja"",""vi"")"),"áo phao")</f>
        <v>áo phao</v>
      </c>
      <c r="E424" s="5" t="str">
        <f ca="1">IFERROR(__xludf.DUMMYFUNCTION("GOOGLETRANSLATE(C424,""ja"",""vi"")"),"Đấu giá&gt; thể thao, giải trí&gt; trại, hàng ngoài trời&gt; xuồng, thuyền kayak&gt; áo phao")</f>
        <v>Đấu giá&gt; thể thao, giải trí&gt; trại, hàng ngoài trời&gt; xuồng, thuyền kayak&gt; áo phao</v>
      </c>
      <c r="F424" t="str">
        <f t="shared" ca="1" si="6"/>
        <v>"2084062224" : "áo phao",</v>
      </c>
    </row>
    <row r="425" spans="1:6" ht="15.75" customHeight="1">
      <c r="A425" s="14">
        <v>2084263216</v>
      </c>
      <c r="B425" s="14" t="s">
        <v>46</v>
      </c>
      <c r="C425" s="14" t="s">
        <v>10091</v>
      </c>
      <c r="D425" s="5" t="str">
        <f ca="1">IFERROR(__xludf.DUMMYFUNCTION("GOOGLETRANSLATE(B425,""ja"",""vi"")"),"nếu không thì")</f>
        <v>nếu không thì</v>
      </c>
      <c r="E425" s="5" t="str">
        <f ca="1">IFERROR(__xludf.DUMMYFUNCTION("GOOGLETRANSLATE(C425,""ja"",""vi"")"),"Đấu giá&gt; thể thao, giải trí&gt; trại, hàng ngoài trời&gt; xuồng, thuyền kayak&gt; Khác")</f>
        <v>Đấu giá&gt; thể thao, giải trí&gt; trại, hàng ngoài trời&gt; xuồng, thuyền kayak&gt; Khác</v>
      </c>
      <c r="F425" t="str">
        <f t="shared" ca="1" si="6"/>
        <v>"2084263216" : "nếu không thì",</v>
      </c>
    </row>
    <row r="426" spans="1:6" ht="15.75" customHeight="1">
      <c r="A426" s="14">
        <v>2084213371</v>
      </c>
      <c r="B426" s="14" t="s">
        <v>10094</v>
      </c>
      <c r="C426" s="14" t="s">
        <v>10096</v>
      </c>
      <c r="D426" s="5" t="str">
        <f ca="1">IFERROR(__xludf.DUMMYFUNCTION("GOOGLETRANSLATE(B426,""ja"",""vi"")"),"điện thuyền")</f>
        <v>điện thuyền</v>
      </c>
      <c r="E426" s="5" t="str">
        <f ca="1">IFERROR(__xludf.DUMMYFUNCTION("GOOGLETRANSLATE(C426,""ja"",""vi"")"),"Đấu giá&gt; thể thao, giải trí&gt; trại, hàng ngoài trời&gt; xuồng ba lá cao su&gt; Nguồn Thuyền")</f>
        <v>Đấu giá&gt; thể thao, giải trí&gt; trại, hàng ngoài trời&gt; xuồng ba lá cao su&gt; Nguồn Thuyền</v>
      </c>
      <c r="F426" t="str">
        <f t="shared" ca="1" si="6"/>
        <v>"2084213371" : "điện thuyền",</v>
      </c>
    </row>
    <row r="427" spans="1:6" ht="15.75" customHeight="1">
      <c r="A427" s="14">
        <v>2084213374</v>
      </c>
      <c r="B427" s="14" t="s">
        <v>10100</v>
      </c>
      <c r="C427" s="14" t="s">
        <v>10103</v>
      </c>
      <c r="D427" s="5" t="str">
        <f ca="1">IFERROR(__xludf.DUMMYFUNCTION("GOOGLETRANSLATE(B427,""ja"",""vi"")"),"chèo thuyền")</f>
        <v>chèo thuyền</v>
      </c>
      <c r="E427" s="5" t="str">
        <f ca="1">IFERROR(__xludf.DUMMYFUNCTION("GOOGLETRANSLATE(C427,""ja"",""vi"")"),"Đấu giá&gt; thể thao, giải trí&gt; trại, hàng ngoài trời&gt; inflatable thuyền&gt; Chèo thuyền")</f>
        <v>Đấu giá&gt; thể thao, giải trí&gt; trại, hàng ngoài trời&gt; inflatable thuyền&gt; Chèo thuyền</v>
      </c>
      <c r="F427" t="str">
        <f t="shared" ca="1" si="6"/>
        <v>"2084213374" : "chèo thuyền",</v>
      </c>
    </row>
    <row r="428" spans="1:6" ht="15.75" customHeight="1">
      <c r="A428" s="14">
        <v>2084213379</v>
      </c>
      <c r="B428" s="14" t="s">
        <v>46</v>
      </c>
      <c r="C428" s="14" t="s">
        <v>10108</v>
      </c>
      <c r="D428" s="5" t="str">
        <f ca="1">IFERROR(__xludf.DUMMYFUNCTION("GOOGLETRANSLATE(B428,""ja"",""vi"")"),"nếu không thì")</f>
        <v>nếu không thì</v>
      </c>
      <c r="E428" s="5" t="str">
        <f ca="1">IFERROR(__xludf.DUMMYFUNCTION("GOOGLETRANSLATE(C428,""ja"",""vi"")"),"Đấu giá&gt; thể thao, giải trí&gt; trại, hàng ngoài trời&gt; inflatable thuyền&gt; Khác")</f>
        <v>Đấu giá&gt; thể thao, giải trí&gt; trại, hàng ngoài trời&gt; inflatable thuyền&gt; Khác</v>
      </c>
      <c r="F428" t="str">
        <f t="shared" ca="1" si="6"/>
        <v>"2084213379" : "nếu không thì",</v>
      </c>
    </row>
    <row r="429" spans="1:6" ht="15.75" customHeight="1">
      <c r="A429" s="14">
        <v>2084227181</v>
      </c>
      <c r="B429" s="14" t="s">
        <v>10114</v>
      </c>
      <c r="C429" s="14" t="s">
        <v>10115</v>
      </c>
      <c r="D429" s="5" t="str">
        <f ca="1">IFERROR(__xludf.DUMMYFUNCTION("GOOGLETRANSLATE(B429,""ja"",""vi"")"),"mô ướt")</f>
        <v>mô ướt</v>
      </c>
      <c r="E429" s="5" t="str">
        <f ca="1">IFERROR(__xludf.DUMMYFUNCTION("GOOGLETRANSLATE(C429,""ja"",""vi"")"),"Đấu giá&gt; làm đẹp, chăm sóc sức khỏe&gt; ​​cấp cứu, vật tư vệ sinh&gt; mô ướt")</f>
        <v>Đấu giá&gt; làm đẹp, chăm sóc sức khỏe&gt; ​​cấp cứu, vật tư vệ sinh&gt; mô ướt</v>
      </c>
      <c r="F429" t="str">
        <f t="shared" ca="1" si="6"/>
        <v>"2084227181" : "mô ướt",</v>
      </c>
    </row>
    <row r="430" spans="1:6" ht="15.75" customHeight="1">
      <c r="A430" s="14">
        <v>2084227186</v>
      </c>
      <c r="B430" s="14" t="s">
        <v>10119</v>
      </c>
      <c r="C430" s="14" t="s">
        <v>10121</v>
      </c>
      <c r="D430" s="5" t="str">
        <f ca="1">IFERROR(__xludf.DUMMYFUNCTION("GOOGLETRANSLATE(B430,""ja"",""vi"")"),"Bông, gạc")</f>
        <v>Bông, gạc</v>
      </c>
      <c r="E430" s="5" t="str">
        <f ca="1">IFERROR(__xludf.DUMMYFUNCTION("GOOGLETRANSLATE(C430,""ja"",""vi"")"),"Đấu giá&gt; làm đẹp, chăm sóc sức khỏe&gt; ​​cấp cứu, vật tư vệ sinh&gt; bông, gạc")</f>
        <v>Đấu giá&gt; làm đẹp, chăm sóc sức khỏe&gt; ​​cấp cứu, vật tư vệ sinh&gt; bông, gạc</v>
      </c>
      <c r="F430" t="str">
        <f t="shared" ca="1" si="6"/>
        <v>"2084227186" : "Bông, gạc",</v>
      </c>
    </row>
    <row r="431" spans="1:6" ht="15.75" customHeight="1">
      <c r="A431" s="14">
        <v>2084227184</v>
      </c>
      <c r="B431" s="14" t="s">
        <v>8084</v>
      </c>
      <c r="C431" s="14" t="s">
        <v>10126</v>
      </c>
      <c r="D431" s="5" t="str">
        <f ca="1">IFERROR(__xludf.DUMMYFUNCTION("GOOGLETRANSLATE(B431,""ja"",""vi"")"),"mặt nạ")</f>
        <v>mặt nạ</v>
      </c>
      <c r="E431" s="5" t="str">
        <f ca="1">IFERROR(__xludf.DUMMYFUNCTION("GOOGLETRANSLATE(C431,""ja"",""vi"")"),"Đấu giá&gt; làm đẹp, chăm sóc sức khỏe&gt; ​​cấp cứu, vật tư vệ sinh&gt; mặt nạ")</f>
        <v>Đấu giá&gt; làm đẹp, chăm sóc sức khỏe&gt; ​​cấp cứu, vật tư vệ sinh&gt; mặt nạ</v>
      </c>
      <c r="F431" t="str">
        <f t="shared" ca="1" si="6"/>
        <v>"2084227184" : "mặt nạ",</v>
      </c>
    </row>
    <row r="432" spans="1:6" ht="15.75" customHeight="1">
      <c r="A432" s="14">
        <v>2084227190</v>
      </c>
      <c r="B432" s="14" t="s">
        <v>10129</v>
      </c>
      <c r="C432" s="14" t="s">
        <v>10131</v>
      </c>
      <c r="D432" s="5" t="str">
        <f ca="1">IFERROR(__xludf.DUMMYFUNCTION("GOOGLETRANSLATE(B432,""ja"",""vi"")"),"Một hộp cứu thương")</f>
        <v>Một hộp cứu thương</v>
      </c>
      <c r="E432" s="5" t="str">
        <f ca="1">IFERROR(__xludf.DUMMYFUNCTION("GOOGLETRANSLATE(C432,""ja"",""vi"")"),"Đấu giá&gt; làm đẹp, chăm sóc sức khỏe&gt; ​​cấp cứu, vật tư vệ sinh&gt; túi thuốc cấp cứu")</f>
        <v>Đấu giá&gt; làm đẹp, chăm sóc sức khỏe&gt; ​​cấp cứu, vật tư vệ sinh&gt; túi thuốc cấp cứu</v>
      </c>
      <c r="F432" t="str">
        <f t="shared" ca="1" si="6"/>
        <v>"2084227190" : "Một hộp cứu thương",</v>
      </c>
    </row>
    <row r="433" spans="1:6" ht="15.75" customHeight="1">
      <c r="A433" s="14">
        <v>2084227183</v>
      </c>
      <c r="B433" s="14" t="s">
        <v>10137</v>
      </c>
      <c r="C433" s="14" t="s">
        <v>10139</v>
      </c>
      <c r="D433" s="5" t="str">
        <f ca="1">IFERROR(__xludf.DUMMYFUNCTION("GOOGLETRANSLATE(B433,""ja"",""vi"")"),"nguồn cung cấp làm sạch tai")</f>
        <v>nguồn cung cấp làm sạch tai</v>
      </c>
      <c r="E433" s="5" t="str">
        <f ca="1">IFERROR(__xludf.DUMMYFUNCTION("GOOGLETRANSLATE(C433,""ja"",""vi"")"),"Đấu giá&gt; làm đẹp, chăm sóc sức khỏe&gt; ​​cấp cứu, vật tư vệ sinh&gt; làm sạch tai nguồn cung cấp")</f>
        <v>Đấu giá&gt; làm đẹp, chăm sóc sức khỏe&gt; ​​cấp cứu, vật tư vệ sinh&gt; làm sạch tai nguồn cung cấp</v>
      </c>
      <c r="F433" t="str">
        <f t="shared" ca="1" si="6"/>
        <v>"2084227183" : "nguồn cung cấp làm sạch tai",</v>
      </c>
    </row>
    <row r="434" spans="1:6" ht="15.75" customHeight="1">
      <c r="A434" s="14">
        <v>2084227182</v>
      </c>
      <c r="B434" s="14" t="s">
        <v>10143</v>
      </c>
      <c r="C434" s="14" t="s">
        <v>10146</v>
      </c>
      <c r="D434" s="5" t="str">
        <f ca="1">IFERROR(__xludf.DUMMYFUNCTION("GOOGLETRANSLATE(B434,""ja"",""vi"")"),"băng vệ sinh")</f>
        <v>băng vệ sinh</v>
      </c>
      <c r="E434" s="5" t="str">
        <f ca="1">IFERROR(__xludf.DUMMYFUNCTION("GOOGLETRANSLATE(C434,""ja"",""vi"")"),"Đấu giá&gt; làm đẹp, chăm sóc sức khỏe&gt; ​​cấp cứu, các sản phẩm vệ sinh&gt; băng vệ sinh")</f>
        <v>Đấu giá&gt; làm đẹp, chăm sóc sức khỏe&gt; ​​cấp cứu, các sản phẩm vệ sinh&gt; băng vệ sinh</v>
      </c>
      <c r="F434" t="str">
        <f t="shared" ca="1" si="6"/>
        <v>"2084227182" : "băng vệ sinh",</v>
      </c>
    </row>
    <row r="435" spans="1:6" ht="15.75" customHeight="1">
      <c r="A435" s="14">
        <v>2084227185</v>
      </c>
      <c r="B435" s="14" t="s">
        <v>10149</v>
      </c>
      <c r="C435" s="14" t="s">
        <v>10151</v>
      </c>
      <c r="D435" s="5" t="str">
        <f ca="1">IFERROR(__xludf.DUMMYFUNCTION("GOOGLETRANSLATE(B435,""ja"",""vi"")"),"cắt móng tay")</f>
        <v>cắt móng tay</v>
      </c>
      <c r="E435" s="5" t="str">
        <f ca="1">IFERROR(__xludf.DUMMYFUNCTION("GOOGLETRANSLATE(C435,""ja"",""vi"")"),"Đấu giá&gt; làm đẹp, chăm sóc sức khỏe&gt; ​​cấp cứu, vật tư vệ sinh&gt; cắt móng tay")</f>
        <v>Đấu giá&gt; làm đẹp, chăm sóc sức khỏe&gt; ​​cấp cứu, vật tư vệ sinh&gt; cắt móng tay</v>
      </c>
      <c r="F435" t="str">
        <f t="shared" ca="1" si="6"/>
        <v>"2084227185" : "cắt móng tay",</v>
      </c>
    </row>
    <row r="436" spans="1:6" ht="15.75" customHeight="1">
      <c r="A436" s="14">
        <v>2084227187</v>
      </c>
      <c r="B436" s="14" t="s">
        <v>10157</v>
      </c>
      <c r="C436" s="14" t="s">
        <v>10159</v>
      </c>
      <c r="D436" s="5" t="str">
        <f ca="1">IFERROR(__xludf.DUMMYFUNCTION("GOOGLETRANSLATE(B436,""ja"",""vi"")"),"băng cứu thương")</f>
        <v>băng cứu thương</v>
      </c>
      <c r="E436" s="5" t="str">
        <f ca="1">IFERROR(__xludf.DUMMYFUNCTION("GOOGLETRANSLATE(C436,""ja"",""vi"")"),"Đấu giá&gt; làm đẹp, chăm sóc sức khỏe&gt; ​​cấp cứu, vật tư vệ sinh&gt; băng")</f>
        <v>Đấu giá&gt; làm đẹp, chăm sóc sức khỏe&gt; ​​cấp cứu, vật tư vệ sinh&gt; băng</v>
      </c>
      <c r="F436" t="str">
        <f t="shared" ca="1" si="6"/>
        <v>"2084227187" : "băng cứu thương",</v>
      </c>
    </row>
    <row r="437" spans="1:6" ht="15.75" customHeight="1">
      <c r="A437" s="14">
        <v>2084227189</v>
      </c>
      <c r="B437" s="14" t="s">
        <v>10163</v>
      </c>
      <c r="C437" s="14" t="s">
        <v>10165</v>
      </c>
      <c r="D437" s="5" t="str">
        <f ca="1">IFERROR(__xludf.DUMMYFUNCTION("GOOGLETRANSLATE(B437,""ja"",""vi"")"),"cảm giác lạnh và tấm ấm áp")</f>
        <v>cảm giác lạnh và tấm ấm áp</v>
      </c>
      <c r="E437" s="5" t="str">
        <f ca="1">IFERROR(__xludf.DUMMYFUNCTION("GOOGLETRANSLATE(C437,""ja"",""vi"")"),"Đấu giá&gt; làm đẹp, chăm sóc sức khỏe&gt; ​​cấp cứu, vật tư vệ sinh&gt; cảm giác lạnh và tấm ấm áp")</f>
        <v>Đấu giá&gt; làm đẹp, chăm sóc sức khỏe&gt; ​​cấp cứu, vật tư vệ sinh&gt; cảm giác lạnh và tấm ấm áp</v>
      </c>
      <c r="F437" t="str">
        <f t="shared" ca="1" si="6"/>
        <v>"2084227189" : "cảm giác lạnh và tấm ấm áp",</v>
      </c>
    </row>
    <row r="438" spans="1:6" ht="15.75" customHeight="1">
      <c r="A438" s="14">
        <v>2084227188</v>
      </c>
      <c r="B438" s="14" t="s">
        <v>10169</v>
      </c>
      <c r="C438" s="14" t="s">
        <v>10171</v>
      </c>
      <c r="D438" s="5" t="str">
        <f ca="1">IFERROR(__xludf.DUMMYFUNCTION("GOOGLETRANSLATE(B438,""ja"",""vi"")"),"thuốc cao dán")</f>
        <v>thuốc cao dán</v>
      </c>
      <c r="E438" s="5" t="str">
        <f ca="1">IFERROR(__xludf.DUMMYFUNCTION("GOOGLETRANSLATE(C438,""ja"",""vi"")"),"Đấu giá&gt; làm đẹp, chăm sóc sức khỏe&gt; ​​cấp cứu, vật tư vệ sinh&gt; băng")</f>
        <v>Đấu giá&gt; làm đẹp, chăm sóc sức khỏe&gt; ​​cấp cứu, vật tư vệ sinh&gt; băng</v>
      </c>
      <c r="F438" t="str">
        <f t="shared" ca="1" si="6"/>
        <v>"2084227188" : "thuốc cao dán",</v>
      </c>
    </row>
    <row r="439" spans="1:6" ht="15.75" customHeight="1">
      <c r="A439" s="14">
        <v>2084227191</v>
      </c>
      <c r="B439" s="14" t="s">
        <v>46</v>
      </c>
      <c r="C439" s="14" t="s">
        <v>10174</v>
      </c>
      <c r="D439" s="5" t="str">
        <f ca="1">IFERROR(__xludf.DUMMYFUNCTION("GOOGLETRANSLATE(B439,""ja"",""vi"")"),"nếu không thì")</f>
        <v>nếu không thì</v>
      </c>
      <c r="E439" s="5" t="str">
        <f ca="1">IFERROR(__xludf.DUMMYFUNCTION("GOOGLETRANSLATE(C439,""ja"",""vi"")"),"Đấu giá&gt; làm đẹp, chăm sóc sức khỏe&gt; ​​cấp cứu, vật tư vệ sinh&gt; Khác")</f>
        <v>Đấu giá&gt; làm đẹp, chăm sóc sức khỏe&gt; ​​cấp cứu, vật tư vệ sinh&gt; Khác</v>
      </c>
      <c r="F439" t="str">
        <f t="shared" ca="1" si="6"/>
        <v>"2084227191" : "nếu không thì",</v>
      </c>
    </row>
    <row r="440" spans="1:6" ht="15.75" customHeight="1">
      <c r="A440" s="14">
        <v>2084062802</v>
      </c>
      <c r="B440" s="14" t="s">
        <v>10179</v>
      </c>
      <c r="C440" s="14" t="s">
        <v>10183</v>
      </c>
      <c r="D440" s="5" t="str">
        <f ca="1">IFERROR(__xludf.DUMMYFUNCTION("GOOGLETRANSLATE(B440,""ja"",""vi"")"),"nhang muỗi")</f>
        <v>nhang muỗi</v>
      </c>
      <c r="E440" s="5" t="str">
        <f ca="1">IFERROR(__xludf.DUMMYFUNCTION("GOOGLETRANSLATE(C440,""ja"",""vi"")"),"Đấu giá&gt; nhà, nội thất&gt; kiểm soát dịch hại, thuốc chống côn trùng&gt; thuốc chống côn trùng&gt; muỗi cuộn dây")</f>
        <v>Đấu giá&gt; nhà, nội thất&gt; kiểm soát dịch hại, thuốc chống côn trùng&gt; thuốc chống côn trùng&gt; muỗi cuộn dây</v>
      </c>
      <c r="F440" t="str">
        <f t="shared" ca="1" si="6"/>
        <v>"2084062802" : "nhang muỗi",</v>
      </c>
    </row>
    <row r="441" spans="1:6" ht="15.75" customHeight="1">
      <c r="A441" s="14">
        <v>2084062801</v>
      </c>
      <c r="B441" s="14" t="s">
        <v>10187</v>
      </c>
      <c r="C441" s="14" t="s">
        <v>10188</v>
      </c>
      <c r="D441" s="5" t="str">
        <f ca="1">IFERROR(__xludf.DUMMYFUNCTION("GOOGLETRANSLATE(B441,""ja"",""vi"")"),"lưới chống muỗi")</f>
        <v>lưới chống muỗi</v>
      </c>
      <c r="E441" s="5" t="str">
        <f ca="1">IFERROR(__xludf.DUMMYFUNCTION("GOOGLETRANSLATE(C441,""ja"",""vi"")"),"Đấu giá&gt; nhà, nội thất&gt; kiểm soát dịch hại, thuốc chống côn trùng&gt; thuốc chống côn trùng&gt; màn chống muỗi")</f>
        <v>Đấu giá&gt; nhà, nội thất&gt; kiểm soát dịch hại, thuốc chống côn trùng&gt; thuốc chống côn trùng&gt; màn chống muỗi</v>
      </c>
      <c r="F441" t="str">
        <f t="shared" ca="1" si="6"/>
        <v>"2084062801" : "lưới chống muỗi",</v>
      </c>
    </row>
    <row r="442" spans="1:6" ht="15.75" customHeight="1">
      <c r="A442" s="14">
        <v>2084062803</v>
      </c>
      <c r="B442" s="14" t="s">
        <v>10193</v>
      </c>
      <c r="C442" s="14" t="s">
        <v>10194</v>
      </c>
      <c r="D442" s="5" t="str">
        <f ca="1">IFERROR(__xludf.DUMMYFUNCTION("GOOGLETRANSLATE(B442,""ja"",""vi"")"),"Thuốc xịt côn trùng")</f>
        <v>Thuốc xịt côn trùng</v>
      </c>
      <c r="E442" s="5" t="str">
        <f ca="1">IFERROR(__xludf.DUMMYFUNCTION("GOOGLETRANSLATE(C442,""ja"",""vi"")"),"Đấu giá&gt; nhà, nội thất&gt; kiểm soát dịch hại, thuốc chống côn trùng&gt; côn&gt; thuốc xịt côn trùng")</f>
        <v>Đấu giá&gt; nhà, nội thất&gt; kiểm soát dịch hại, thuốc chống côn trùng&gt; côn&gt; thuốc xịt côn trùng</v>
      </c>
      <c r="F442" t="str">
        <f t="shared" ca="1" si="6"/>
        <v>"2084062803" : "Thuốc xịt côn trùng",</v>
      </c>
    </row>
    <row r="443" spans="1:6" ht="15.75" customHeight="1">
      <c r="A443" s="14">
        <v>2084062804</v>
      </c>
      <c r="B443" s="14" t="s">
        <v>10199</v>
      </c>
      <c r="C443" s="14" t="s">
        <v>10200</v>
      </c>
      <c r="D443" s="5" t="str">
        <f ca="1">IFERROR(__xludf.DUMMYFUNCTION("GOOGLETRANSLATE(B443,""ja"",""vi"")"),"máy phát siêu âm")</f>
        <v>máy phát siêu âm</v>
      </c>
      <c r="E443" s="5" t="str">
        <f ca="1">IFERROR(__xludf.DUMMYFUNCTION("GOOGLETRANSLATE(C443,""ja"",""vi"")"),"Đấu giá&gt; nhà, nội thất&gt; kiểm soát dịch hại, thuốc chống côn trùng&gt; thuốc chống côn trùng&gt; siêu âm máy phát điện")</f>
        <v>Đấu giá&gt; nhà, nội thất&gt; kiểm soát dịch hại, thuốc chống côn trùng&gt; thuốc chống côn trùng&gt; siêu âm máy phát điện</v>
      </c>
      <c r="F443" t="str">
        <f t="shared" ca="1" si="6"/>
        <v>"2084062804" : "máy phát siêu âm",</v>
      </c>
    </row>
    <row r="444" spans="1:6" ht="15.75" customHeight="1">
      <c r="A444" s="14">
        <v>2084062805</v>
      </c>
      <c r="B444" s="14" t="s">
        <v>46</v>
      </c>
      <c r="C444" s="14" t="s">
        <v>10205</v>
      </c>
      <c r="D444" s="5" t="str">
        <f ca="1">IFERROR(__xludf.DUMMYFUNCTION("GOOGLETRANSLATE(B444,""ja"",""vi"")"),"nếu không thì")</f>
        <v>nếu không thì</v>
      </c>
      <c r="E444" s="5" t="str">
        <f ca="1">IFERROR(__xludf.DUMMYFUNCTION("GOOGLETRANSLATE(C444,""ja"",""vi"")"),"Đấu giá&gt; nhà, nội thất&gt; kiểm soát dịch hại, thuốc chống côn trùng&gt; côn&gt; Khác")</f>
        <v>Đấu giá&gt; nhà, nội thất&gt; kiểm soát dịch hại, thuốc chống côn trùng&gt; côn&gt; Khác</v>
      </c>
      <c r="F444" t="str">
        <f t="shared" ca="1" si="6"/>
        <v>"2084062805" : "nếu không thì",</v>
      </c>
    </row>
    <row r="445" spans="1:6" ht="15.75" customHeight="1">
      <c r="A445" s="14">
        <v>2084263449</v>
      </c>
      <c r="B445" s="14" t="s">
        <v>2023</v>
      </c>
      <c r="C445" s="14" t="s">
        <v>3478</v>
      </c>
      <c r="D445" s="5" t="str">
        <f ca="1">IFERROR(__xludf.DUMMYFUNCTION("GOOGLETRANSLATE(B445,""ja"",""vi"")"),"Olympus")</f>
        <v>Olympus</v>
      </c>
      <c r="E445" s="5" t="str">
        <f ca="1">IFERROR(__xludf.DUMMYFUNCTION("GOOGLETRANSLATE(C445,""ja"",""vi"")"),"Đấu giá&gt; thiết bị điện tử tiêu dùng, AV, máy ảnh&gt; máy ảnh, thiết bị quang học&gt; ống nhòm&gt; Olympus")</f>
        <v>Đấu giá&gt; thiết bị điện tử tiêu dùng, AV, máy ảnh&gt; máy ảnh, thiết bị quang học&gt; ống nhòm&gt; Olympus</v>
      </c>
      <c r="F445" t="str">
        <f t="shared" ca="1" si="6"/>
        <v>"2084263449" : "Olympus",</v>
      </c>
    </row>
    <row r="446" spans="1:6" ht="15.75" customHeight="1">
      <c r="A446" s="14">
        <v>2084263448</v>
      </c>
      <c r="B446" s="14" t="s">
        <v>3484</v>
      </c>
      <c r="C446" s="14" t="s">
        <v>3485</v>
      </c>
      <c r="D446" s="5" t="str">
        <f ca="1">IFERROR(__xludf.DUMMYFUNCTION("GOOGLETRANSLATE(B446,""ja"",""vi"")"),"Carl Zeiss")</f>
        <v>Carl Zeiss</v>
      </c>
      <c r="E446" s="5" t="str">
        <f ca="1">IFERROR(__xludf.DUMMYFUNCTION("GOOGLETRANSLATE(C446,""ja"",""vi"")"),"Đấu giá&gt; thiết bị điện tử tiêu dùng, AV, máy ảnh&gt; máy ảnh, thiết bị quang học&gt; ống nhòm&gt; Carl Zeiss")</f>
        <v>Đấu giá&gt; thiết bị điện tử tiêu dùng, AV, máy ảnh&gt; máy ảnh, thiết bị quang học&gt; ống nhòm&gt; Carl Zeiss</v>
      </c>
      <c r="F446" t="str">
        <f t="shared" ca="1" si="6"/>
        <v>"2084263448" : "Carl Zeiss",</v>
      </c>
    </row>
    <row r="447" spans="1:6" ht="15.75" customHeight="1">
      <c r="A447" s="14">
        <v>2084282469</v>
      </c>
      <c r="B447" s="14" t="s">
        <v>2031</v>
      </c>
      <c r="C447" s="14" t="s">
        <v>3491</v>
      </c>
      <c r="D447" s="5" t="str">
        <f ca="1">IFERROR(__xludf.DUMMYFUNCTION("GOOGLETRANSLATE(B447,""ja"",""vi"")"),"Canon")</f>
        <v>Canon</v>
      </c>
      <c r="E447" s="5" t="str">
        <f ca="1">IFERROR(__xludf.DUMMYFUNCTION("GOOGLETRANSLATE(C447,""ja"",""vi"")"),"Đấu giá&gt; thiết bị điện tử tiêu dùng, AV, máy ảnh&gt; máy ảnh, thiết bị quang học&gt; ống nhòm&gt; Canon")</f>
        <v>Đấu giá&gt; thiết bị điện tử tiêu dùng, AV, máy ảnh&gt; máy ảnh, thiết bị quang học&gt; ống nhòm&gt; Canon</v>
      </c>
      <c r="F447" t="str">
        <f t="shared" ca="1" si="6"/>
        <v>"2084282469" : "Canon",</v>
      </c>
    </row>
    <row r="448" spans="1:6" ht="15.75" customHeight="1">
      <c r="A448" s="14">
        <v>2084263450</v>
      </c>
      <c r="B448" s="14" t="s">
        <v>3494</v>
      </c>
      <c r="C448" s="14" t="s">
        <v>3497</v>
      </c>
      <c r="D448" s="5" t="str">
        <f ca="1">IFERROR(__xludf.DUMMYFUNCTION("GOOGLETRANSLATE(B448,""ja"",""vi"")"),"Kenko")</f>
        <v>Kenko</v>
      </c>
      <c r="E448" s="5" t="str">
        <f ca="1">IFERROR(__xludf.DUMMYFUNCTION("GOOGLETRANSLATE(C448,""ja"",""vi"")"),"Đấu giá&gt; thiết bị điện tử tiêu dùng, AV, máy ảnh&gt; máy ảnh, thiết bị quang học&gt; ống nhòm&gt; Kenko")</f>
        <v>Đấu giá&gt; thiết bị điện tử tiêu dùng, AV, máy ảnh&gt; máy ảnh, thiết bị quang học&gt; ống nhòm&gt; Kenko</v>
      </c>
      <c r="F448" t="str">
        <f t="shared" ca="1" si="6"/>
        <v>"2084263450" : "Kenko",</v>
      </c>
    </row>
    <row r="449" spans="1:6" ht="15.75" customHeight="1">
      <c r="A449" s="14">
        <v>2084263639</v>
      </c>
      <c r="B449" s="14" t="s">
        <v>3501</v>
      </c>
      <c r="C449" s="14" t="s">
        <v>3504</v>
      </c>
      <c r="D449" s="5" t="str">
        <f ca="1">IFERROR(__xludf.DUMMYFUNCTION("GOOGLETRANSLATE(B449,""ja"",""vi"")"),"Nashika")</f>
        <v>Nashika</v>
      </c>
      <c r="E449" s="5" t="str">
        <f ca="1">IFERROR(__xludf.DUMMYFUNCTION("GOOGLETRANSLATE(C449,""ja"",""vi"")"),"Đấu giá&gt; thiết bị điện tử tiêu dùng, AV, máy ảnh&gt; máy ảnh, thiết bị quang học&gt; ống nhòm&gt; Nashika")</f>
        <v>Đấu giá&gt; thiết bị điện tử tiêu dùng, AV, máy ảnh&gt; máy ảnh, thiết bị quang học&gt; ống nhòm&gt; Nashika</v>
      </c>
      <c r="F449" t="str">
        <f t="shared" ca="1" si="6"/>
        <v>"2084263639" : "Nashika",</v>
      </c>
    </row>
    <row r="450" spans="1:6" ht="15.75" customHeight="1">
      <c r="A450" s="14">
        <v>2084263451</v>
      </c>
      <c r="B450" s="14" t="s">
        <v>2044</v>
      </c>
      <c r="C450" s="14" t="s">
        <v>3508</v>
      </c>
      <c r="D450" s="5" t="str">
        <f ca="1">IFERROR(__xludf.DUMMYFUNCTION("GOOGLETRANSLATE(B450,""ja"",""vi"")"),"Nikon")</f>
        <v>Nikon</v>
      </c>
      <c r="E450" s="5" t="str">
        <f ca="1">IFERROR(__xludf.DUMMYFUNCTION("GOOGLETRANSLATE(C450,""ja"",""vi"")"),"Đấu giá&gt; thiết bị điện tử tiêu dùng, AV, máy ảnh&gt; máy ảnh, thiết bị quang học&gt; Ống nhòm&gt; Nikon")</f>
        <v>Đấu giá&gt; thiết bị điện tử tiêu dùng, AV, máy ảnh&gt; máy ảnh, thiết bị quang học&gt; Ống nhòm&gt; Nikon</v>
      </c>
      <c r="F450" t="str">
        <f t="shared" ref="F450:F513" ca="1" si="7">CONCATENATE(CHAR(34)&amp;"",A450,""&amp;CHAR(34)," : ", CHAR(34)&amp;"",D450,""&amp;CHAR(34),",")</f>
        <v>"2084263451" : "Nikon",</v>
      </c>
    </row>
    <row r="451" spans="1:6" ht="15.75" customHeight="1">
      <c r="A451" s="14">
        <v>2084263452</v>
      </c>
      <c r="B451" s="14" t="s">
        <v>3514</v>
      </c>
      <c r="C451" s="14" t="s">
        <v>3515</v>
      </c>
      <c r="D451" s="5" t="str">
        <f ca="1">IFERROR(__xludf.DUMMYFUNCTION("GOOGLETRANSLATE(B451,""ja"",""vi"")"),"chồn cái")</f>
        <v>chồn cái</v>
      </c>
      <c r="E451" s="5" t="str">
        <f ca="1">IFERROR(__xludf.DUMMYFUNCTION("GOOGLETRANSLATE(C451,""ja"",""vi"")"),"Đấu giá&gt; thiết bị điện tử tiêu dùng, AV, máy ảnh&gt; máy ảnh, thiết bị quang học&gt; ống nhòm&gt; Vixen")</f>
        <v>Đấu giá&gt; thiết bị điện tử tiêu dùng, AV, máy ảnh&gt; máy ảnh, thiết bị quang học&gt; ống nhòm&gt; Vixen</v>
      </c>
      <c r="F451" t="str">
        <f t="shared" ca="1" si="7"/>
        <v>"2084263452" : "chồn cái",</v>
      </c>
    </row>
    <row r="452" spans="1:6" ht="15.75" customHeight="1">
      <c r="A452" s="14">
        <v>2084263453</v>
      </c>
      <c r="B452" s="14" t="s">
        <v>2055</v>
      </c>
      <c r="C452" s="14" t="s">
        <v>3520</v>
      </c>
      <c r="D452" s="5" t="str">
        <f ca="1">IFERROR(__xludf.DUMMYFUNCTION("GOOGLETRANSLATE(B452,""ja"",""vi"")"),"Pentax")</f>
        <v>Pentax</v>
      </c>
      <c r="E452" s="5" t="str">
        <f ca="1">IFERROR(__xludf.DUMMYFUNCTION("GOOGLETRANSLATE(C452,""ja"",""vi"")"),"Đấu giá&gt; thiết bị điện tử tiêu dùng, AV, máy ảnh&gt; máy ảnh, thiết bị quang học&gt; Ống nhòm&gt; Pentax")</f>
        <v>Đấu giá&gt; thiết bị điện tử tiêu dùng, AV, máy ảnh&gt; máy ảnh, thiết bị quang học&gt; Ống nhòm&gt; Pentax</v>
      </c>
      <c r="F452" t="str">
        <f t="shared" ca="1" si="7"/>
        <v>"2084263453" : "Pentax",</v>
      </c>
    </row>
    <row r="453" spans="1:6" ht="15.75" customHeight="1">
      <c r="A453" s="14">
        <v>2084282470</v>
      </c>
      <c r="B453" s="14" t="s">
        <v>2120</v>
      </c>
      <c r="C453" s="14" t="s">
        <v>3524</v>
      </c>
      <c r="D453" s="5" t="str">
        <f ca="1">IFERROR(__xludf.DUMMYFUNCTION("GOOGLETRANSLATE(B453,""ja"",""vi"")"),"Leica")</f>
        <v>Leica</v>
      </c>
      <c r="E453" s="5" t="str">
        <f ca="1">IFERROR(__xludf.DUMMYFUNCTION("GOOGLETRANSLATE(C453,""ja"",""vi"")"),"Đấu giá&gt; thiết bị điện tử tiêu dùng, AV, máy ảnh&gt; máy ảnh, thiết bị quang học&gt; Ống nhòm&gt; Leica")</f>
        <v>Đấu giá&gt; thiết bị điện tử tiêu dùng, AV, máy ảnh&gt; máy ảnh, thiết bị quang học&gt; Ống nhòm&gt; Leica</v>
      </c>
      <c r="F453" t="str">
        <f t="shared" ca="1" si="7"/>
        <v>"2084282470" : "Leica",</v>
      </c>
    </row>
    <row r="454" spans="1:6" ht="15.75" customHeight="1">
      <c r="A454" s="14">
        <v>2084263454</v>
      </c>
      <c r="B454" s="14" t="s">
        <v>3530</v>
      </c>
      <c r="C454" s="14" t="s">
        <v>3531</v>
      </c>
      <c r="D454" s="5" t="str">
        <f ca="1">IFERROR(__xludf.DUMMYFUNCTION("GOOGLETRANSLATE(B454,""ja"",""vi"")"),"ống dòm")</f>
        <v>ống dòm</v>
      </c>
      <c r="E454" s="5" t="str">
        <f ca="1">IFERROR(__xludf.DUMMYFUNCTION("GOOGLETRANSLATE(C454,""ja"",""vi"")"),"Đấu giá&gt; thiết bị điện tử tiêu dùng, AV, máy ảnh&gt; máy ảnh, thiết bị quang học&gt; ống nhòm&gt; kính opera")</f>
        <v>Đấu giá&gt; thiết bị điện tử tiêu dùng, AV, máy ảnh&gt; máy ảnh, thiết bị quang học&gt; ống nhòm&gt; kính opera</v>
      </c>
      <c r="F454" t="str">
        <f t="shared" ca="1" si="7"/>
        <v>"2084263454" : "ống dòm",</v>
      </c>
    </row>
    <row r="455" spans="1:6" ht="15.75" customHeight="1">
      <c r="A455" s="14">
        <v>2084263446</v>
      </c>
      <c r="B455" s="14" t="s">
        <v>3537</v>
      </c>
      <c r="C455" s="14" t="s">
        <v>3538</v>
      </c>
      <c r="D455" s="5" t="str">
        <f ca="1">IFERROR(__xludf.DUMMYFUNCTION("GOOGLETRANSLATE(B455,""ja"",""vi"")"),"kiến một mắt")</f>
        <v>kiến một mắt</v>
      </c>
      <c r="E455" s="5" t="str">
        <f ca="1">IFERROR(__xludf.DUMMYFUNCTION("GOOGLETRANSLATE(C455,""ja"",""vi"")"),"Đấu giá&gt; thiết bị điện tử tiêu dùng, AV, máy ảnh&gt; máy ảnh, thiết bị quang học&gt; ống nhòm&gt; mắt kiếng")</f>
        <v>Đấu giá&gt; thiết bị điện tử tiêu dùng, AV, máy ảnh&gt; máy ảnh, thiết bị quang học&gt; ống nhòm&gt; mắt kiếng</v>
      </c>
      <c r="F455" t="str">
        <f t="shared" ca="1" si="7"/>
        <v>"2084263446" : "kiến một mắt",</v>
      </c>
    </row>
    <row r="456" spans="1:6" ht="15.75" customHeight="1">
      <c r="A456" s="14">
        <v>2084263456</v>
      </c>
      <c r="B456" s="14" t="s">
        <v>46</v>
      </c>
      <c r="C456" s="14" t="s">
        <v>3544</v>
      </c>
      <c r="D456" s="5" t="str">
        <f ca="1">IFERROR(__xludf.DUMMYFUNCTION("GOOGLETRANSLATE(B456,""ja"",""vi"")"),"nếu không thì")</f>
        <v>nếu không thì</v>
      </c>
      <c r="E456" s="5" t="str">
        <f ca="1">IFERROR(__xludf.DUMMYFUNCTION("GOOGLETRANSLATE(C456,""ja"",""vi"")"),"Đấu giá&gt; thiết bị điện tử tiêu dùng, AV, thiết bị máy ảnh&gt; máy ảnh, ống kính&gt; ống nhòm&gt; Khác")</f>
        <v>Đấu giá&gt; thiết bị điện tử tiêu dùng, AV, thiết bị máy ảnh&gt; máy ảnh, ống kính&gt; ống nhòm&gt; Khác</v>
      </c>
      <c r="F456" t="str">
        <f t="shared" ca="1" si="7"/>
        <v>"2084263456" : "nếu không thì",</v>
      </c>
    </row>
    <row r="457" spans="1:6" ht="15.75" customHeight="1">
      <c r="A457" s="14">
        <v>2084045638</v>
      </c>
      <c r="B457" s="14" t="s">
        <v>2241</v>
      </c>
      <c r="C457" s="14" t="s">
        <v>10261</v>
      </c>
      <c r="D457" s="5" t="str">
        <f ca="1">IFERROR(__xludf.DUMMYFUNCTION("GOOGLETRANSLATE(B457,""ja"",""vi"")"),"chung")</f>
        <v>chung</v>
      </c>
      <c r="E457" s="5" t="str">
        <f ca="1">IFERROR(__xludf.DUMMYFUNCTION("GOOGLETRANSLATE(C457,""ja"",""vi"")"),"Đấu giá&gt; thể thao, giải trí&gt; xe đạp, xe đạp&gt; thân xe&gt; General")</f>
        <v>Đấu giá&gt; thể thao, giải trí&gt; xe đạp, xe đạp&gt; thân xe&gt; General</v>
      </c>
      <c r="F457" t="str">
        <f t="shared" ca="1" si="7"/>
        <v>"2084045638" : "chung",</v>
      </c>
    </row>
    <row r="458" spans="1:6" ht="15.75" customHeight="1">
      <c r="A458" s="14">
        <v>2084059726</v>
      </c>
      <c r="B458" s="14" t="s">
        <v>10265</v>
      </c>
      <c r="C458" s="14" t="s">
        <v>10267</v>
      </c>
      <c r="D458" s="5" t="str">
        <f ca="1">IFERROR(__xludf.DUMMYFUNCTION("GOOGLETRANSLATE(B458,""ja"",""vi"")"),"đường Bike")</f>
        <v>đường Bike</v>
      </c>
      <c r="E458" s="5" t="str">
        <f ca="1">IFERROR(__xludf.DUMMYFUNCTION("GOOGLETRANSLATE(C458,""ja"",""vi"")"),"Đấu giá&gt; thể thao, giải trí&gt; xe đạp, xe đạp&gt; xe body&gt; đường xe đạp")</f>
        <v>Đấu giá&gt; thể thao, giải trí&gt; xe đạp, xe đạp&gt; xe body&gt; đường xe đạp</v>
      </c>
      <c r="F458" t="str">
        <f t="shared" ca="1" si="7"/>
        <v>"2084059726" : "đường Bike",</v>
      </c>
    </row>
    <row r="459" spans="1:6" ht="15.75" customHeight="1">
      <c r="A459" s="14">
        <v>2084283224</v>
      </c>
      <c r="B459" s="14" t="s">
        <v>10270</v>
      </c>
      <c r="C459" s="14" t="s">
        <v>10272</v>
      </c>
      <c r="D459" s="5" t="str">
        <f ca="1">IFERROR(__xludf.DUMMYFUNCTION("GOOGLETRANSLATE(B459,""ja"",""vi"")"),"Theo dõi đua, piste")</f>
        <v>Theo dõi đua, piste</v>
      </c>
      <c r="E459" s="5" t="str">
        <f ca="1">IFERROR(__xludf.DUMMYFUNCTION("GOOGLETRANSLATE(C459,""ja"",""vi"")"),"Đấu giá&gt; thể thao, giải trí&gt; xe đạp, xe đạp&gt; xe body&gt; track đua, piste")</f>
        <v>Đấu giá&gt; thể thao, giải trí&gt; xe đạp, xe đạp&gt; xe body&gt; track đua, piste</v>
      </c>
      <c r="F459" t="str">
        <f t="shared" ca="1" si="7"/>
        <v>"2084283224" : "Theo dõi đua, piste",</v>
      </c>
    </row>
    <row r="460" spans="1:6" ht="15.75" customHeight="1">
      <c r="A460" s="14">
        <v>26250</v>
      </c>
      <c r="B460" s="14" t="s">
        <v>10276</v>
      </c>
      <c r="C460" s="14" t="s">
        <v>10277</v>
      </c>
      <c r="D460" s="5" t="str">
        <f ca="1">IFERROR(__xludf.DUMMYFUNCTION("GOOGLETRANSLATE(B460,""ja"",""vi"")"),"xe đạp leo núi")</f>
        <v>xe đạp leo núi</v>
      </c>
      <c r="E460" s="5" t="str">
        <f ca="1">IFERROR(__xludf.DUMMYFUNCTION("GOOGLETRANSLATE(C460,""ja"",""vi"")"),"Đấu giá&gt; thể thao, giải trí&gt; xe đạp, xe đạp&gt; xe body&gt; xe đạp leo núi")</f>
        <v>Đấu giá&gt; thể thao, giải trí&gt; xe đạp, xe đạp&gt; xe body&gt; xe đạp leo núi</v>
      </c>
      <c r="F460" t="str">
        <f t="shared" ca="1" si="7"/>
        <v>"26250" : "xe đạp leo núi",</v>
      </c>
    </row>
    <row r="461" spans="1:6" ht="15.75" customHeight="1">
      <c r="A461" s="14">
        <v>2084006718</v>
      </c>
      <c r="B461" s="14" t="s">
        <v>10280</v>
      </c>
      <c r="C461" s="14" t="s">
        <v>10281</v>
      </c>
      <c r="D461" s="5" t="str">
        <f ca="1">IFERROR(__xludf.DUMMYFUNCTION("GOOGLETRANSLATE(B461,""ja"",""vi"")"),"xe đạp gấp")</f>
        <v>xe đạp gấp</v>
      </c>
      <c r="E461" s="5" t="str">
        <f ca="1">IFERROR(__xludf.DUMMYFUNCTION("GOOGLETRANSLATE(C461,""ja"",""vi"")"),"Đấu giá&gt; thể thao, giải trí&gt; xe đạp, xe đạp&gt; xe body&gt; gấp xe đạp")</f>
        <v>Đấu giá&gt; thể thao, giải trí&gt; xe đạp, xe đạp&gt; xe body&gt; gấp xe đạp</v>
      </c>
      <c r="F461" t="str">
        <f t="shared" ca="1" si="7"/>
        <v>"2084006718" : "xe đạp gấp",</v>
      </c>
    </row>
    <row r="462" spans="1:6" ht="15.75" customHeight="1">
      <c r="A462" s="14">
        <v>2084059737</v>
      </c>
      <c r="B462" s="14" t="s">
        <v>10286</v>
      </c>
      <c r="C462" s="14" t="s">
        <v>10287</v>
      </c>
      <c r="D462" s="5" t="str">
        <f ca="1">IFERROR(__xludf.DUMMYFUNCTION("GOOGLETRANSLATE(B462,""ja"",""vi"")"),"bánh xe nhỏ xe đạp (gấp, mà không cần cơ chế chia)")</f>
        <v>bánh xe nhỏ xe đạp (gấp, mà không cần cơ chế chia)</v>
      </c>
      <c r="E462" s="5" t="str">
        <f ca="1">IFERROR(__xludf.DUMMYFUNCTION("GOOGLETRANSLATE(C462,""ja"",""vi"")"),"Đấu giá&gt; thể thao, giải trí&gt; xe đạp, xe đạp&gt; thân xe&gt; nhỏ bánh xe đạp (gấp, mà không cần cơ chế chia)")</f>
        <v>Đấu giá&gt; thể thao, giải trí&gt; xe đạp, xe đạp&gt; thân xe&gt; nhỏ bánh xe đạp (gấp, mà không cần cơ chế chia)</v>
      </c>
      <c r="F462" t="str">
        <f t="shared" ca="1" si="7"/>
        <v>"2084059737" : "bánh xe nhỏ xe đạp (gấp, mà không cần cơ chế chia)",</v>
      </c>
    </row>
    <row r="463" spans="1:6" ht="15.75" customHeight="1">
      <c r="A463" s="14">
        <v>26256</v>
      </c>
      <c r="B463" s="14" t="s">
        <v>9298</v>
      </c>
      <c r="C463" s="14" t="s">
        <v>10293</v>
      </c>
      <c r="D463" s="5" t="str">
        <f ca="1">IFERROR(__xludf.DUMMYFUNCTION("GOOGLETRANSLATE(B463,""ja"",""vi"")"),"Đối với trẻ em")</f>
        <v>Đối với trẻ em</v>
      </c>
      <c r="E463" s="5" t="str">
        <f ca="1">IFERROR(__xludf.DUMMYFUNCTION("GOOGLETRANSLATE(C463,""ja"",""vi"")"),"Đấu giá&gt; thể thao, giải trí&gt; xe đạp, xe đạp&gt; xe body&gt; cho trẻ em")</f>
        <v>Đấu giá&gt; thể thao, giải trí&gt; xe đạp, xe đạp&gt; xe body&gt; cho trẻ em</v>
      </c>
      <c r="F463" t="str">
        <f t="shared" ca="1" si="7"/>
        <v>"26256" : "Đối với trẻ em",</v>
      </c>
    </row>
    <row r="464" spans="1:6" ht="15.75" customHeight="1">
      <c r="A464" s="14">
        <v>2084045639</v>
      </c>
      <c r="B464" s="14" t="s">
        <v>10297</v>
      </c>
      <c r="C464" s="14" t="s">
        <v>10299</v>
      </c>
      <c r="D464" s="5" t="str">
        <f ca="1">IFERROR(__xludf.DUMMYFUNCTION("GOOGLETRANSLATE(B464,""ja"",""vi"")"),"Motor-hỗ trợ xe đạp")</f>
        <v>Motor-hỗ trợ xe đạp</v>
      </c>
      <c r="E464" s="5" t="str">
        <f ca="1">IFERROR(__xludf.DUMMYFUNCTION("GOOGLETRANSLATE(C464,""ja"",""vi"")"),"Đấu giá&gt; thể thao, giải trí&gt; xe đạp, xe đạp&gt; xe body&gt; điện xe đạp điện hỗ trợ")</f>
        <v>Đấu giá&gt; thể thao, giải trí&gt; xe đạp, xe đạp&gt; xe body&gt; điện xe đạp điện hỗ trợ</v>
      </c>
      <c r="F464" t="str">
        <f t="shared" ca="1" si="7"/>
        <v>"2084045639" : "Motor-hỗ trợ xe đạp",</v>
      </c>
    </row>
    <row r="465" spans="1:6" ht="15.75" customHeight="1">
      <c r="A465" s="14">
        <v>2084049602</v>
      </c>
      <c r="B465" s="14" t="s">
        <v>10305</v>
      </c>
      <c r="C465" s="14" t="s">
        <v>10306</v>
      </c>
      <c r="D465" s="5" t="str">
        <f ca="1">IFERROR(__xludf.DUMMYFUNCTION("GOOGLETRANSLATE(B465,""ja"",""vi"")"),"xe đạp chéo")</f>
        <v>xe đạp chéo</v>
      </c>
      <c r="E465" s="5" t="str">
        <f ca="1">IFERROR(__xludf.DUMMYFUNCTION("GOOGLETRANSLATE(C465,""ja"",""vi"")"),"Đấu giá&gt; thể thao, giải trí&gt; xe đạp, xe đạp&gt; xe body&gt; xe đạp chéo")</f>
        <v>Đấu giá&gt; thể thao, giải trí&gt; xe đạp, xe đạp&gt; xe body&gt; xe đạp chéo</v>
      </c>
      <c r="F465" t="str">
        <f t="shared" ca="1" si="7"/>
        <v>"2084049602" : "xe đạp chéo",</v>
      </c>
    </row>
    <row r="466" spans="1:6" ht="15.75" customHeight="1">
      <c r="A466" s="14">
        <v>2084059718</v>
      </c>
      <c r="B466" s="14" t="s">
        <v>10311</v>
      </c>
      <c r="C466" s="14" t="s">
        <v>10312</v>
      </c>
      <c r="D466" s="5" t="str">
        <f ca="1">IFERROR(__xludf.DUMMYFUNCTION("GOOGLETRANSLATE(B466,""ja"",""vi"")"),"bãi biển Cruiser")</f>
        <v>bãi biển Cruiser</v>
      </c>
      <c r="E466" s="5" t="str">
        <f ca="1">IFERROR(__xludf.DUMMYFUNCTION("GOOGLETRANSLATE(C466,""ja"",""vi"")"),"Đấu giá&gt; thể thao, giải trí&gt; xe đạp, xe đạp&gt; thân xe&gt; Bãi biển Cruiser")</f>
        <v>Đấu giá&gt; thể thao, giải trí&gt; xe đạp, xe đạp&gt; thân xe&gt; Bãi biển Cruiser</v>
      </c>
      <c r="F466" t="str">
        <f t="shared" ca="1" si="7"/>
        <v>"2084059718" : "bãi biển Cruiser",</v>
      </c>
    </row>
    <row r="467" spans="1:6" ht="15.75" customHeight="1">
      <c r="A467" s="14">
        <v>2084005292</v>
      </c>
      <c r="B467" s="14" t="s">
        <v>10317</v>
      </c>
      <c r="C467" s="14" t="s">
        <v>10319</v>
      </c>
      <c r="D467" s="5" t="str">
        <f ca="1">IFERROR(__xludf.DUMMYFUNCTION("GOOGLETRANSLATE(B467,""ja"",""vi"")"),"BMX")</f>
        <v>BMX</v>
      </c>
      <c r="E467" s="5" t="str">
        <f ca="1">IFERROR(__xludf.DUMMYFUNCTION("GOOGLETRANSLATE(C467,""ja"",""vi"")"),"Đấu giá&gt; thể thao, giải trí&gt; xe đạp, xe đạp&gt; thân xe&gt; BMX")</f>
        <v>Đấu giá&gt; thể thao, giải trí&gt; xe đạp, xe đạp&gt; thân xe&gt; BMX</v>
      </c>
      <c r="F467" t="str">
        <f t="shared" ca="1" si="7"/>
        <v>"2084005292" : "BMX",</v>
      </c>
    </row>
    <row r="468" spans="1:6" ht="15.75" customHeight="1">
      <c r="A468" s="14">
        <v>26278</v>
      </c>
      <c r="B468" s="14" t="s">
        <v>10323</v>
      </c>
      <c r="C468" s="14" t="s">
        <v>10324</v>
      </c>
      <c r="D468" s="5" t="str">
        <f ca="1">IFERROR(__xludf.DUMMYFUNCTION("GOOGLETRANSLATE(B468,""ja"",""vi"")"),"khung")</f>
        <v>khung</v>
      </c>
      <c r="E468" s="5" t="str">
        <f ca="1">IFERROR(__xludf.DUMMYFUNCTION("GOOGLETRANSLATE(C468,""ja"",""vi"")"),"Đấu giá&gt; thể thao, giải trí&gt; xe đạp, xe đạp&gt; xe body&gt; khung")</f>
        <v>Đấu giá&gt; thể thao, giải trí&gt; xe đạp, xe đạp&gt; xe body&gt; khung</v>
      </c>
      <c r="F468" t="str">
        <f t="shared" ca="1" si="7"/>
        <v>"26278" : "khung",</v>
      </c>
    </row>
    <row r="469" spans="1:6" ht="15.75" customHeight="1">
      <c r="A469" s="14">
        <v>2084045643</v>
      </c>
      <c r="B469" s="14" t="s">
        <v>10329</v>
      </c>
      <c r="C469" s="14" t="s">
        <v>10330</v>
      </c>
      <c r="D469" s="5" t="str">
        <f ca="1">IFERROR(__xludf.DUMMYFUNCTION("GOOGLETRANSLATE(B469,""ja"",""vi"")"),"xe ba bánh")</f>
        <v>xe ba bánh</v>
      </c>
      <c r="E469" s="5" t="str">
        <f ca="1">IFERROR(__xludf.DUMMYFUNCTION("GOOGLETRANSLATE(C469,""ja"",""vi"")"),"Đấu giá&gt; thể thao, giải trí&gt; xe đạp, xe đạp&gt; xe body&gt; ba bánh")</f>
        <v>Đấu giá&gt; thể thao, giải trí&gt; xe đạp, xe đạp&gt; xe body&gt; ba bánh</v>
      </c>
      <c r="F469" t="str">
        <f t="shared" ca="1" si="7"/>
        <v>"2084045643" : "xe ba bánh",</v>
      </c>
    </row>
    <row r="470" spans="1:6" ht="15.75" customHeight="1">
      <c r="A470" s="14">
        <v>2084045644</v>
      </c>
      <c r="B470" s="14" t="s">
        <v>10335</v>
      </c>
      <c r="C470" s="14" t="s">
        <v>10337</v>
      </c>
      <c r="D470" s="5" t="str">
        <f ca="1">IFERROR(__xludf.DUMMYFUNCTION("GOOGLETRANSLATE(B470,""ja"",""vi"")"),"xe đạp một bánh")</f>
        <v>xe đạp một bánh</v>
      </c>
      <c r="E470" s="5" t="str">
        <f ca="1">IFERROR(__xludf.DUMMYFUNCTION("GOOGLETRANSLATE(C470,""ja"",""vi"")"),"Đấu giá&gt; thể thao, giải trí&gt; xe đạp, xe đạp&gt; xe body&gt; xe đạp một bánh")</f>
        <v>Đấu giá&gt; thể thao, giải trí&gt; xe đạp, xe đạp&gt; xe body&gt; xe đạp một bánh</v>
      </c>
      <c r="F470" t="str">
        <f t="shared" ca="1" si="7"/>
        <v>"2084045644" : "xe đạp một bánh",</v>
      </c>
    </row>
    <row r="471" spans="1:6" ht="15.75" customHeight="1">
      <c r="A471" s="14">
        <v>2084024196</v>
      </c>
      <c r="B471" s="14" t="s">
        <v>10341</v>
      </c>
      <c r="C471" s="14" t="s">
        <v>10343</v>
      </c>
      <c r="D471" s="5" t="str">
        <f ca="1">IFERROR(__xludf.DUMMYFUNCTION("GOOGLETRANSLATE(B471,""ja"",""vi"")"),"bảng đá")</f>
        <v>bảng đá</v>
      </c>
      <c r="E471" s="5" t="str">
        <f ca="1">IFERROR(__xludf.DUMMYFUNCTION("GOOGLETRANSLATE(C471,""ja"",""vi"")"),"Đấu giá&gt; thể thao, giải trí&gt; xe đạp, xe đạp&gt; xe body&gt; bảng đá")</f>
        <v>Đấu giá&gt; thể thao, giải trí&gt; xe đạp, xe đạp&gt; xe body&gt; bảng đá</v>
      </c>
      <c r="F471" t="str">
        <f t="shared" ca="1" si="7"/>
        <v>"2084024196" : "bảng đá",</v>
      </c>
    </row>
    <row r="472" spans="1:6" ht="15.75" customHeight="1">
      <c r="A472" s="14">
        <v>26258</v>
      </c>
      <c r="B472" s="14" t="s">
        <v>46</v>
      </c>
      <c r="C472" s="14" t="s">
        <v>10348</v>
      </c>
      <c r="D472" s="5" t="str">
        <f ca="1">IFERROR(__xludf.DUMMYFUNCTION("GOOGLETRANSLATE(B472,""ja"",""vi"")"),"nếu không thì")</f>
        <v>nếu không thì</v>
      </c>
      <c r="E472" s="5" t="str">
        <f ca="1">IFERROR(__xludf.DUMMYFUNCTION("GOOGLETRANSLATE(C472,""ja"",""vi"")"),"Đấu giá&gt; thể thao, giải trí&gt; xe đạp, xe đạp&gt; thân xe&gt; Khác")</f>
        <v>Đấu giá&gt; thể thao, giải trí&gt; xe đạp, xe đạp&gt; thân xe&gt; Khác</v>
      </c>
      <c r="F472" t="str">
        <f t="shared" ca="1" si="7"/>
        <v>"26258" : "nếu không thì",</v>
      </c>
    </row>
    <row r="473" spans="1:6" ht="15.75" customHeight="1">
      <c r="A473" s="14">
        <v>2084303081</v>
      </c>
      <c r="B473" s="14" t="s">
        <v>10352</v>
      </c>
      <c r="C473" s="14" t="s">
        <v>10353</v>
      </c>
      <c r="D473" s="5" t="str">
        <f ca="1">IFERROR(__xludf.DUMMYFUNCTION("GOOGLETRANSLATE(B473,""ja"",""vi"")"),"phần Set")</f>
        <v>phần Set</v>
      </c>
      <c r="E473" s="5" t="str">
        <f ca="1">IFERROR(__xludf.DUMMYFUNCTION("GOOGLETRANSLATE(C473,""ja"",""vi"")"),"Đấu giá&gt; thể thao, giải trí&gt; xe đạp, xe đạp&gt; phụ tùng&gt; Linh kiện")</f>
        <v>Đấu giá&gt; thể thao, giải trí&gt; xe đạp, xe đạp&gt; phụ tùng&gt; Linh kiện</v>
      </c>
      <c r="F473" t="str">
        <f t="shared" ca="1" si="7"/>
        <v>"2084303081" : "phần Set",</v>
      </c>
    </row>
    <row r="474" spans="1:6" ht="15.75" customHeight="1">
      <c r="A474" s="14">
        <v>2084303082</v>
      </c>
      <c r="B474" s="14" t="s">
        <v>7638</v>
      </c>
      <c r="C474" s="14" t="s">
        <v>10358</v>
      </c>
      <c r="D474" s="5" t="str">
        <f ca="1">IFERROR(__xludf.DUMMYFUNCTION("GOOGLETRANSLATE(B474,""ja"",""vi"")"),"Phụ Vintage")</f>
        <v>Phụ Vintage</v>
      </c>
      <c r="E474" s="5" t="str">
        <f ca="1">IFERROR(__xludf.DUMMYFUNCTION("GOOGLETRANSLATE(C474,""ja"",""vi"")"),"Đấu giá&gt; thể thao, giải trí&gt; xe đạp, xe đạp&gt; phụ tùng&gt; Vintage Phụ")</f>
        <v>Đấu giá&gt; thể thao, giải trí&gt; xe đạp, xe đạp&gt; phụ tùng&gt; Vintage Phụ</v>
      </c>
      <c r="F474" t="str">
        <f t="shared" ca="1" si="7"/>
        <v>"2084303082" : "Phụ Vintage",</v>
      </c>
    </row>
    <row r="475" spans="1:6" ht="15.75" customHeight="1">
      <c r="A475" s="14">
        <v>26278</v>
      </c>
      <c r="B475" s="14" t="s">
        <v>10323</v>
      </c>
      <c r="C475" s="14" t="s">
        <v>10361</v>
      </c>
      <c r="D475" s="5" t="str">
        <f ca="1">IFERROR(__xludf.DUMMYFUNCTION("GOOGLETRANSLATE(B475,""ja"",""vi"")"),"khung")</f>
        <v>khung</v>
      </c>
      <c r="E475" s="5" t="str">
        <f ca="1">IFERROR(__xludf.DUMMYFUNCTION("GOOGLETRANSLATE(C475,""ja"",""vi"")"),"Đấu giá&gt; thể thao, giải trí&gt; xe đạp, xe đạp&gt; phụ tùng&gt; khung")</f>
        <v>Đấu giá&gt; thể thao, giải trí&gt; xe đạp, xe đạp&gt; phụ tùng&gt; khung</v>
      </c>
      <c r="F475" t="str">
        <f t="shared" ca="1" si="7"/>
        <v>"26278" : "khung",</v>
      </c>
    </row>
    <row r="476" spans="1:6" ht="15.75" customHeight="1">
      <c r="A476" s="14">
        <v>2084032377</v>
      </c>
      <c r="B476" s="14" t="s">
        <v>10366</v>
      </c>
      <c r="C476" s="14" t="s">
        <v>10367</v>
      </c>
      <c r="D476" s="5" t="str">
        <f ca="1">IFERROR(__xludf.DUMMYFUNCTION("GOOGLETRANSLATE(B476,""ja"",""vi"")"),"nĩa")</f>
        <v>nĩa</v>
      </c>
      <c r="E476" s="5" t="str">
        <f ca="1">IFERROR(__xludf.DUMMYFUNCTION("GOOGLETRANSLATE(C476,""ja"",""vi"")"),"Đấu giá&gt; thể thao, giải trí&gt; xe đạp, xe đạp&gt; phụ tùng&gt; ngã ba")</f>
        <v>Đấu giá&gt; thể thao, giải trí&gt; xe đạp, xe đạp&gt; phụ tùng&gt; ngã ba</v>
      </c>
      <c r="F476" t="str">
        <f t="shared" ca="1" si="7"/>
        <v>"2084032377" : "nĩa",</v>
      </c>
    </row>
    <row r="477" spans="1:6" ht="15.75" customHeight="1">
      <c r="A477" s="14">
        <v>2084059872</v>
      </c>
      <c r="B477" s="14" t="s">
        <v>10370</v>
      </c>
      <c r="C477" s="14" t="s">
        <v>10372</v>
      </c>
      <c r="D477" s="5" t="str">
        <f ca="1">IFERROR(__xludf.DUMMYFUNCTION("GOOGLETRANSLATE(B477,""ja"",""vi"")"),"Đình chỉ")</f>
        <v>Đình chỉ</v>
      </c>
      <c r="E477" s="5" t="str">
        <f ca="1">IFERROR(__xludf.DUMMYFUNCTION("GOOGLETRANSLATE(C477,""ja"",""vi"")"),"Đấu giá&gt; thể thao, giải trí&gt; xe đạp, xe đạp&gt; phụ tùng&gt; treo")</f>
        <v>Đấu giá&gt; thể thao, giải trí&gt; xe đạp, xe đạp&gt; phụ tùng&gt; treo</v>
      </c>
      <c r="F477" t="str">
        <f t="shared" ca="1" si="7"/>
        <v>"2084059872" : "Đình chỉ",</v>
      </c>
    </row>
    <row r="478" spans="1:6" ht="15.75" customHeight="1">
      <c r="A478" s="14">
        <v>71282</v>
      </c>
      <c r="B478" s="14" t="s">
        <v>10376</v>
      </c>
      <c r="C478" s="14" t="s">
        <v>10379</v>
      </c>
      <c r="D478" s="5" t="str">
        <f ca="1">IFERROR(__xludf.DUMMYFUNCTION("GOOGLETRANSLATE(B478,""ja"",""vi"")"),"bánh xe")</f>
        <v>bánh xe</v>
      </c>
      <c r="E478" s="5" t="str">
        <f ca="1">IFERROR(__xludf.DUMMYFUNCTION("GOOGLETRANSLATE(C478,""ja"",""vi"")"),"Đấu giá&gt; thể thao, giải trí&gt; xe đạp, xe đạp&gt; phụ tùng&gt; bánh xe")</f>
        <v>Đấu giá&gt; thể thao, giải trí&gt; xe đạp, xe đạp&gt; phụ tùng&gt; bánh xe</v>
      </c>
      <c r="F478" t="str">
        <f t="shared" ca="1" si="7"/>
        <v>"71282" : "bánh xe",</v>
      </c>
    </row>
    <row r="479" spans="1:6" ht="15.75" customHeight="1">
      <c r="A479" s="14">
        <v>2084032378</v>
      </c>
      <c r="B479" s="14" t="s">
        <v>10382</v>
      </c>
      <c r="C479" s="14" t="s">
        <v>10384</v>
      </c>
      <c r="D479" s="5" t="str">
        <f ca="1">IFERROR(__xludf.DUMMYFUNCTION("GOOGLETRANSLATE(B479,""ja"",""vi"")"),"lốp")</f>
        <v>lốp</v>
      </c>
      <c r="E479" s="5" t="str">
        <f ca="1">IFERROR(__xludf.DUMMYFUNCTION("GOOGLETRANSLATE(C479,""ja"",""vi"")"),"Đấu giá&gt; thể thao, giải trí&gt; xe đạp, xe đạp&gt; phụ tùng&gt; lốp")</f>
        <v>Đấu giá&gt; thể thao, giải trí&gt; xe đạp, xe đạp&gt; phụ tùng&gt; lốp</v>
      </c>
      <c r="F479" t="str">
        <f t="shared" ca="1" si="7"/>
        <v>"2084032378" : "lốp",</v>
      </c>
    </row>
    <row r="480" spans="1:6" ht="15.75" customHeight="1">
      <c r="A480" s="14">
        <v>26290</v>
      </c>
      <c r="B480" s="14" t="s">
        <v>10386</v>
      </c>
      <c r="C480" s="14" t="s">
        <v>10389</v>
      </c>
      <c r="D480" s="5" t="str">
        <f ca="1">IFERROR(__xludf.DUMMYFUNCTION("GOOGLETRANSLATE(B480,""ja"",""vi"")"),"yên xe")</f>
        <v>yên xe</v>
      </c>
      <c r="E480" s="5" t="str">
        <f ca="1">IFERROR(__xludf.DUMMYFUNCTION("GOOGLETRANSLATE(C480,""ja"",""vi"")"),"Đấu giá&gt; thể thao, giải trí&gt; xe đạp, xe đạp&gt; phụ tùng&gt; yên")</f>
        <v>Đấu giá&gt; thể thao, giải trí&gt; xe đạp, xe đạp&gt; phụ tùng&gt; yên</v>
      </c>
      <c r="F480" t="str">
        <f t="shared" ca="1" si="7"/>
        <v>"26290" : "yên xe",</v>
      </c>
    </row>
    <row r="481" spans="1:6" ht="15.75" customHeight="1">
      <c r="A481" s="14">
        <v>2084051656</v>
      </c>
      <c r="B481" s="14" t="s">
        <v>10392</v>
      </c>
      <c r="C481" s="14" t="s">
        <v>10394</v>
      </c>
      <c r="D481" s="5" t="str">
        <f ca="1">IFERROR(__xludf.DUMMYFUNCTION("GOOGLETRANSLATE(B481,""ja"",""vi"")"),"bài Seat")</f>
        <v>bài Seat</v>
      </c>
      <c r="E481" s="5" t="str">
        <f ca="1">IFERROR(__xludf.DUMMYFUNCTION("GOOGLETRANSLATE(C481,""ja"",""vi"")"),"Đấu giá&gt; thể thao, giải trí&gt; xe đạp, xe đạp&gt; phụ tùng&gt; ghế bài")</f>
        <v>Đấu giá&gt; thể thao, giải trí&gt; xe đạp, xe đạp&gt; phụ tùng&gt; ghế bài</v>
      </c>
      <c r="F481" t="str">
        <f t="shared" ca="1" si="7"/>
        <v>"2084051656" : "bài Seat",</v>
      </c>
    </row>
    <row r="482" spans="1:6" ht="15.75" customHeight="1">
      <c r="A482" s="14">
        <v>2084292340</v>
      </c>
      <c r="B482" s="14" t="s">
        <v>10398</v>
      </c>
      <c r="C482" s="14" t="s">
        <v>10400</v>
      </c>
      <c r="D482" s="5" t="str">
        <f ca="1">IFERROR(__xludf.DUMMYFUNCTION("GOOGLETRANSLATE(B482,""ja"",""vi"")"),"ghế kẹp")</f>
        <v>ghế kẹp</v>
      </c>
      <c r="E482" s="5" t="str">
        <f ca="1">IFERROR(__xludf.DUMMYFUNCTION("GOOGLETRANSLATE(C482,""ja"",""vi"")"),"Đấu giá&gt; thể thao, giải trí&gt; xe đạp, xe đạp&gt; phụ tùng&gt; ghế kẹp")</f>
        <v>Đấu giá&gt; thể thao, giải trí&gt; xe đạp, xe đạp&gt; phụ tùng&gt; ghế kẹp</v>
      </c>
      <c r="F482" t="str">
        <f t="shared" ca="1" si="7"/>
        <v>"2084292340" : "ghế kẹp",</v>
      </c>
    </row>
    <row r="483" spans="1:6" ht="15.75" customHeight="1">
      <c r="A483" s="14">
        <v>26282</v>
      </c>
      <c r="B483" s="14" t="s">
        <v>10405</v>
      </c>
      <c r="C483" s="14" t="s">
        <v>10407</v>
      </c>
      <c r="D483" s="5" t="str">
        <f ca="1">IFERROR(__xludf.DUMMYFUNCTION("GOOGLETRANSLATE(B483,""ja"",""vi"")"),"Xử lý")</f>
        <v>Xử lý</v>
      </c>
      <c r="E483" s="5" t="str">
        <f ca="1">IFERROR(__xludf.DUMMYFUNCTION("GOOGLETRANSLATE(C483,""ja"",""vi"")"),"Đấu giá&gt; thể thao, giải trí&gt; xe đạp, xe đạp&gt; phụ tùng&gt; xử lý")</f>
        <v>Đấu giá&gt; thể thao, giải trí&gt; xe đạp, xe đạp&gt; phụ tùng&gt; xử lý</v>
      </c>
      <c r="F483" t="str">
        <f t="shared" ca="1" si="7"/>
        <v>"26282" : "Xử lý",</v>
      </c>
    </row>
    <row r="484" spans="1:6" ht="15.75" customHeight="1">
      <c r="A484" s="14">
        <v>2084048000</v>
      </c>
      <c r="B484" s="14" t="s">
        <v>10412</v>
      </c>
      <c r="C484" s="14" t="s">
        <v>10414</v>
      </c>
      <c r="D484" s="5" t="str">
        <f ca="1">IFERROR(__xludf.DUMMYFUNCTION("GOOGLETRANSLATE(B484,""ja"",""vi"")"),"Stem")</f>
        <v>Stem</v>
      </c>
      <c r="E484" s="5" t="str">
        <f ca="1">IFERROR(__xludf.DUMMYFUNCTION("GOOGLETRANSLATE(C484,""ja"",""vi"")"),"Đấu giá&gt; thể thao, giải trí&gt; xe đạp, xe đạp&gt; phụ tùng&gt; gốc")</f>
        <v>Đấu giá&gt; thể thao, giải trí&gt; xe đạp, xe đạp&gt; phụ tùng&gt; gốc</v>
      </c>
      <c r="F484" t="str">
        <f t="shared" ca="1" si="7"/>
        <v>"2084048000" : "Stem",</v>
      </c>
    </row>
    <row r="485" spans="1:6" ht="15.75" customHeight="1">
      <c r="A485" s="14">
        <v>26286</v>
      </c>
      <c r="B485" s="14" t="s">
        <v>10418</v>
      </c>
      <c r="C485" s="14" t="s">
        <v>10421</v>
      </c>
      <c r="D485" s="5" t="str">
        <f ca="1">IFERROR(__xludf.DUMMYFUNCTION("GOOGLETRANSLATE(B485,""ja"",""vi"")"),"pedal")</f>
        <v>pedal</v>
      </c>
      <c r="E485" s="5" t="str">
        <f ca="1">IFERROR(__xludf.DUMMYFUNCTION("GOOGLETRANSLATE(C485,""ja"",""vi"")"),"Đấu giá&gt; thể thao, giải trí&gt; xe đạp, xe đạp&gt; phụ tùng&gt; đạp")</f>
        <v>Đấu giá&gt; thể thao, giải trí&gt; xe đạp, xe đạp&gt; phụ tùng&gt; đạp</v>
      </c>
      <c r="F485" t="str">
        <f t="shared" ca="1" si="7"/>
        <v>"26286" : "pedal",</v>
      </c>
    </row>
    <row r="486" spans="1:6" ht="15.75" customHeight="1">
      <c r="A486" s="14">
        <v>2084221130</v>
      </c>
      <c r="B486" s="14" t="s">
        <v>10425</v>
      </c>
      <c r="C486" s="14" t="s">
        <v>10428</v>
      </c>
      <c r="D486" s="5" t="str">
        <f ca="1">IFERROR(__xludf.DUMMYFUNCTION("GOOGLETRANSLATE(B486,""ja"",""vi"")"),"Phanh đòn bẩy, sự thay đổi đòn bẩy")</f>
        <v>Phanh đòn bẩy, sự thay đổi đòn bẩy</v>
      </c>
      <c r="E486" s="5" t="str">
        <f ca="1">IFERROR(__xludf.DUMMYFUNCTION("GOOGLETRANSLATE(C486,""ja"",""vi"")"),"Đấu giá&gt; thể thao, giải trí&gt; xe đạp, xe đạp&gt; phụ tùng&gt; phanh đòn bẩy, sự thay đổi đòn bẩy")</f>
        <v>Đấu giá&gt; thể thao, giải trí&gt; xe đạp, xe đạp&gt; phụ tùng&gt; phanh đòn bẩy, sự thay đổi đòn bẩy</v>
      </c>
      <c r="F486" t="str">
        <f t="shared" ca="1" si="7"/>
        <v>"2084221130" : "Phanh đòn bẩy, sự thay đổi đòn bẩy",</v>
      </c>
    </row>
    <row r="487" spans="1:6" ht="15.75" customHeight="1">
      <c r="A487" s="14">
        <v>2084032379</v>
      </c>
      <c r="B487" s="14" t="s">
        <v>10432</v>
      </c>
      <c r="C487" s="14" t="s">
        <v>10434</v>
      </c>
      <c r="D487" s="5" t="str">
        <f ca="1">IFERROR(__xludf.DUMMYFUNCTION("GOOGLETRANSLATE(B487,""ja"",""vi"")"),"Gear, chuỗi")</f>
        <v>Gear, chuỗi</v>
      </c>
      <c r="E487" s="5" t="str">
        <f ca="1">IFERROR(__xludf.DUMMYFUNCTION("GOOGLETRANSLATE(C487,""ja"",""vi"")"),"Đấu giá&gt; thể thao, giải trí&gt; xe đạp, xe đạp&gt; phụ tùng&gt; thiết bị, dây chuyền")</f>
        <v>Đấu giá&gt; thể thao, giải trí&gt; xe đạp, xe đạp&gt; phụ tùng&gt; thiết bị, dây chuyền</v>
      </c>
      <c r="F487" t="str">
        <f t="shared" ca="1" si="7"/>
        <v>"2084032379" : "Gear, chuỗi",</v>
      </c>
    </row>
    <row r="488" spans="1:6" ht="15.75" customHeight="1">
      <c r="A488" s="14">
        <v>26266</v>
      </c>
      <c r="B488" s="14" t="s">
        <v>10438</v>
      </c>
      <c r="C488" s="14" t="s">
        <v>10442</v>
      </c>
      <c r="D488" s="5" t="str">
        <f ca="1">IFERROR(__xludf.DUMMYFUNCTION("GOOGLETRANSLATE(B488,""ja"",""vi"")"),"phanh")</f>
        <v>phanh</v>
      </c>
      <c r="E488" s="5" t="str">
        <f ca="1">IFERROR(__xludf.DUMMYFUNCTION("GOOGLETRANSLATE(C488,""ja"",""vi"")"),"Đấu giá&gt; thể thao, giải trí&gt; xe đạp, xe đạp&gt; phụ tùng&gt; phanh")</f>
        <v>Đấu giá&gt; thể thao, giải trí&gt; xe đạp, xe đạp&gt; phụ tùng&gt; phanh</v>
      </c>
      <c r="F488" t="str">
        <f t="shared" ca="1" si="7"/>
        <v>"26266" : "phanh",</v>
      </c>
    </row>
    <row r="489" spans="1:6" ht="15.75" customHeight="1">
      <c r="A489" s="14">
        <v>2084047999</v>
      </c>
      <c r="B489" s="14" t="s">
        <v>10445</v>
      </c>
      <c r="C489" s="14" t="s">
        <v>10448</v>
      </c>
      <c r="D489" s="5" t="str">
        <f ca="1">IFERROR(__xludf.DUMMYFUNCTION("GOOGLETRANSLATE(B489,""ja"",""vi"")"),"Crank, nhẫn dây chuyền, khung dưới cùng")</f>
        <v>Crank, nhẫn dây chuyền, khung dưới cùng</v>
      </c>
      <c r="E489" s="5" t="str">
        <f ca="1">IFERROR(__xludf.DUMMYFUNCTION("GOOGLETRANSLATE(C489,""ja"",""vi"")"),"Đấu giá&gt; thể thao, giải trí&gt; xe đạp, xe đạp&gt; phụ tùng&gt; tay quay, vòng chuỗi, khung dưới cùng")</f>
        <v>Đấu giá&gt; thể thao, giải trí&gt; xe đạp, xe đạp&gt; phụ tùng&gt; tay quay, vòng chuỗi, khung dưới cùng</v>
      </c>
      <c r="F489" t="str">
        <f t="shared" ca="1" si="7"/>
        <v>"2084047999" : "Crank, nhẫn dây chuyền, khung dưới cùng",</v>
      </c>
    </row>
    <row r="490" spans="1:6" ht="15.75" customHeight="1">
      <c r="A490" s="14">
        <v>2084059717</v>
      </c>
      <c r="B490" s="14" t="s">
        <v>10450</v>
      </c>
      <c r="C490" s="14" t="s">
        <v>10453</v>
      </c>
      <c r="D490" s="5" t="str">
        <f ca="1">IFERROR(__xludf.DUMMYFUNCTION("GOOGLETRANSLATE(B490,""ja"",""vi"")"),"phần đầu")</f>
        <v>phần đầu</v>
      </c>
      <c r="E490" s="5" t="str">
        <f ca="1">IFERROR(__xludf.DUMMYFUNCTION("GOOGLETRANSLATE(C490,""ja"",""vi"")"),"Đấu giá&gt; thể thao, giải trí&gt; xe đạp, xe đạp&gt; phụ tùng&gt; Linh kiện đầu")</f>
        <v>Đấu giá&gt; thể thao, giải trí&gt; xe đạp, xe đạp&gt; phụ tùng&gt; Linh kiện đầu</v>
      </c>
      <c r="F490" t="str">
        <f t="shared" ca="1" si="7"/>
        <v>"2084059717" : "phần đầu",</v>
      </c>
    </row>
    <row r="491" spans="1:6" ht="15.75" customHeight="1">
      <c r="A491" s="14">
        <v>2084298896</v>
      </c>
      <c r="B491" s="14" t="s">
        <v>10456</v>
      </c>
      <c r="C491" s="14" t="s">
        <v>10458</v>
      </c>
      <c r="D491" s="5" t="str">
        <f ca="1">IFERROR(__xludf.DUMMYFUNCTION("GOOGLETRANSLATE(B491,""ja"",""vi"")"),"pin xe đạp động cơ hỗ trợ")</f>
        <v>pin xe đạp động cơ hỗ trợ</v>
      </c>
      <c r="E491" s="5" t="str">
        <f ca="1">IFERROR(__xludf.DUMMYFUNCTION("GOOGLETRANSLATE(C491,""ja"",""vi"")"),"Đấu giá&gt; thể thao, giải trí&gt; xe đạp, xe đạp&gt; phụ tùng&gt; pin xe đạp điện hỗ trợ")</f>
        <v>Đấu giá&gt; thể thao, giải trí&gt; xe đạp, xe đạp&gt; phụ tùng&gt; pin xe đạp điện hỗ trợ</v>
      </c>
      <c r="F491" t="str">
        <f t="shared" ca="1" si="7"/>
        <v>"2084298896" : "pin xe đạp động cơ hỗ trợ",</v>
      </c>
    </row>
    <row r="492" spans="1:6" ht="15.75" customHeight="1">
      <c r="A492" s="14">
        <v>26304</v>
      </c>
      <c r="B492" s="14" t="s">
        <v>46</v>
      </c>
      <c r="C492" s="14" t="s">
        <v>10462</v>
      </c>
      <c r="D492" s="5" t="str">
        <f ca="1">IFERROR(__xludf.DUMMYFUNCTION("GOOGLETRANSLATE(B492,""ja"",""vi"")"),"nếu không thì")</f>
        <v>nếu không thì</v>
      </c>
      <c r="E492" s="5" t="str">
        <f ca="1">IFERROR(__xludf.DUMMYFUNCTION("GOOGLETRANSLATE(C492,""ja"",""vi"")"),"Đấu giá&gt; thể thao, giải trí&gt; xe đạp, xe đạp&gt; phụ tùng&gt; Khác")</f>
        <v>Đấu giá&gt; thể thao, giải trí&gt; xe đạp, xe đạp&gt; phụ tùng&gt; Khác</v>
      </c>
      <c r="F492" t="str">
        <f t="shared" ca="1" si="7"/>
        <v>"26304" : "nếu không thì",</v>
      </c>
    </row>
    <row r="493" spans="1:6" ht="15.75" customHeight="1">
      <c r="A493" s="14">
        <v>26232</v>
      </c>
      <c r="B493" s="14" t="s">
        <v>7441</v>
      </c>
      <c r="C493" s="14" t="s">
        <v>10467</v>
      </c>
      <c r="D493" s="5" t="str">
        <f ca="1">IFERROR(__xludf.DUMMYFUNCTION("GOOGLETRANSLATE(B493,""ja"",""vi"")"),"mũ bảo hiểm")</f>
        <v>mũ bảo hiểm</v>
      </c>
      <c r="E493" s="5" t="str">
        <f ca="1">IFERROR(__xludf.DUMMYFUNCTION("GOOGLETRANSLATE(C493,""ja"",""vi"")"),"Đấu giá&gt; thể thao, giải trí&gt; xe đạp, xe đạp&gt; mặc&gt; mũ bảo hiểm")</f>
        <v>Đấu giá&gt; thể thao, giải trí&gt; xe đạp, xe đạp&gt; mặc&gt; mũ bảo hiểm</v>
      </c>
      <c r="F493" t="str">
        <f t="shared" ca="1" si="7"/>
        <v>"26232" : "mũ bảo hiểm",</v>
      </c>
    </row>
    <row r="494" spans="1:6" ht="15.75" customHeight="1">
      <c r="A494" s="14">
        <v>2084214045</v>
      </c>
      <c r="B494" s="14" t="s">
        <v>9408</v>
      </c>
      <c r="C494" s="14" t="s">
        <v>10472</v>
      </c>
      <c r="D494" s="5" t="str">
        <f ca="1">IFERROR(__xludf.DUMMYFUNCTION("GOOGLETRANSLATE(B494,""ja"",""vi"")"),"kính mát thể thao")</f>
        <v>kính mát thể thao</v>
      </c>
      <c r="E494" s="5" t="str">
        <f ca="1">IFERROR(__xludf.DUMMYFUNCTION("GOOGLETRANSLATE(C494,""ja"",""vi"")"),"Đấu giá&gt; thể thao, giải trí&gt; xe đạp, xe đạp&gt; Mang&gt; Thể Thao Sunglasses")</f>
        <v>Đấu giá&gt; thể thao, giải trí&gt; xe đạp, xe đạp&gt; Mang&gt; Thể Thao Sunglasses</v>
      </c>
      <c r="F494" t="str">
        <f t="shared" ca="1" si="7"/>
        <v>"2084214045" : "kính mát thể thao",</v>
      </c>
    </row>
    <row r="495" spans="1:6" ht="15.75" customHeight="1">
      <c r="A495" s="14">
        <v>2084051791</v>
      </c>
      <c r="B495" s="14" t="s">
        <v>10474</v>
      </c>
      <c r="C495" s="14" t="s">
        <v>10477</v>
      </c>
      <c r="D495" s="5" t="str">
        <f ca="1">IFERROR(__xludf.DUMMYFUNCTION("GOOGLETRANSLATE(B495,""ja"",""vi"")"),"áo nịt len")</f>
        <v>áo nịt len</v>
      </c>
      <c r="E495" s="5" t="str">
        <f ca="1">IFERROR(__xludf.DUMMYFUNCTION("GOOGLETRANSLATE(C495,""ja"",""vi"")"),"Đấu giá&gt; thể thao, giải trí&gt; xe đạp, xe đạp&gt; mặc&gt; jersey")</f>
        <v>Đấu giá&gt; thể thao, giải trí&gt; xe đạp, xe đạp&gt; mặc&gt; jersey</v>
      </c>
      <c r="F495" t="str">
        <f t="shared" ca="1" si="7"/>
        <v>"2084051791" : "áo nịt len",</v>
      </c>
    </row>
    <row r="496" spans="1:6" ht="15.75" customHeight="1">
      <c r="A496" s="14">
        <v>2084228306</v>
      </c>
      <c r="B496" s="14" t="s">
        <v>10481</v>
      </c>
      <c r="C496" s="14" t="s">
        <v>10484</v>
      </c>
      <c r="D496" s="5" t="str">
        <f ca="1">IFERROR(__xludf.DUMMYFUNCTION("GOOGLETRANSLATE(B496,""ja"",""vi"")"),"áo khoác")</f>
        <v>áo khoác</v>
      </c>
      <c r="E496" s="5" t="str">
        <f ca="1">IFERROR(__xludf.DUMMYFUNCTION("GOOGLETRANSLATE(C496,""ja"",""vi"")"),"Đấu giá&gt; thể thao, giải trí&gt; xe đạp, xe đạp&gt; mặc&gt; áo khoác")</f>
        <v>Đấu giá&gt; thể thao, giải trí&gt; xe đạp, xe đạp&gt; mặc&gt; áo khoác</v>
      </c>
      <c r="F496" t="str">
        <f t="shared" ca="1" si="7"/>
        <v>"2084228306" : "áo khoác",</v>
      </c>
    </row>
    <row r="497" spans="1:6" ht="15.75" customHeight="1">
      <c r="A497" s="14">
        <v>2084051792</v>
      </c>
      <c r="B497" s="14" t="s">
        <v>10487</v>
      </c>
      <c r="C497" s="14" t="s">
        <v>10490</v>
      </c>
      <c r="D497" s="5" t="str">
        <f ca="1">IFERROR(__xludf.DUMMYFUNCTION("GOOGLETRANSLATE(B497,""ja"",""vi"")"),"quần Racer")</f>
        <v>quần Racer</v>
      </c>
      <c r="E497" s="5" t="str">
        <f ca="1">IFERROR(__xludf.DUMMYFUNCTION("GOOGLETRANSLATE(C497,""ja"",""vi"")"),"Đấu giá&gt; thể thao, giải trí&gt; xe đạp, xe đạp&gt; mặc&gt; quần đua")</f>
        <v>Đấu giá&gt; thể thao, giải trí&gt; xe đạp, xe đạp&gt; mặc&gt; quần đua</v>
      </c>
      <c r="F497" t="str">
        <f t="shared" ca="1" si="7"/>
        <v>"2084051792" : "quần Racer",</v>
      </c>
    </row>
    <row r="498" spans="1:6" ht="15.75" customHeight="1">
      <c r="A498" s="14">
        <v>2084239360</v>
      </c>
      <c r="B498" s="14" t="s">
        <v>7485</v>
      </c>
      <c r="C498" s="14" t="s">
        <v>10495</v>
      </c>
      <c r="D498" s="5" t="str">
        <f ca="1">IFERROR(__xludf.DUMMYFUNCTION("GOOGLETRANSLATE(B498,""ja"",""vi"")"),"quần")</f>
        <v>quần</v>
      </c>
      <c r="E498" s="5" t="str">
        <f ca="1">IFERROR(__xludf.DUMMYFUNCTION("GOOGLETRANSLATE(C498,""ja"",""vi"")"),"Đấu giá&gt; thể thao, giải trí&gt; xe đạp, xe đạp&gt; Mang&gt; quần")</f>
        <v>Đấu giá&gt; thể thao, giải trí&gt; xe đạp, xe đạp&gt; Mang&gt; quần</v>
      </c>
      <c r="F498" t="str">
        <f t="shared" ca="1" si="7"/>
        <v>"2084239360" : "quần",</v>
      </c>
    </row>
    <row r="499" spans="1:6" ht="15.75" customHeight="1">
      <c r="A499" s="14">
        <v>2084303583</v>
      </c>
      <c r="B499" s="14" t="s">
        <v>10498</v>
      </c>
      <c r="C499" s="14" t="s">
        <v>10501</v>
      </c>
      <c r="D499" s="5" t="str">
        <f ca="1">IFERROR(__xludf.DUMMYFUNCTION("GOOGLETRANSLATE(B499,""ja"",""vi"")"),"bít tất")</f>
        <v>bít tất</v>
      </c>
      <c r="E499" s="5" t="str">
        <f ca="1">IFERROR(__xludf.DUMMYFUNCTION("GOOGLETRANSLATE(C499,""ja"",""vi"")"),"Đấu giá&gt; thể thao, giải trí&gt; xe đạp, xe đạp&gt; mặc&gt; vớ")</f>
        <v>Đấu giá&gt; thể thao, giải trí&gt; xe đạp, xe đạp&gt; mặc&gt; vớ</v>
      </c>
      <c r="F499" t="str">
        <f t="shared" ca="1" si="7"/>
        <v>"2084303583" : "bít tất",</v>
      </c>
    </row>
    <row r="500" spans="1:6" ht="15.75" customHeight="1">
      <c r="A500" s="14">
        <v>2084048301</v>
      </c>
      <c r="B500" s="14" t="s">
        <v>8576</v>
      </c>
      <c r="C500" s="14" t="s">
        <v>10505</v>
      </c>
      <c r="D500" s="5" t="str">
        <f ca="1">IFERROR(__xludf.DUMMYFUNCTION("GOOGLETRANSLATE(B500,""ja"",""vi"")"),"đôi giày")</f>
        <v>đôi giày</v>
      </c>
      <c r="E500" s="5" t="str">
        <f ca="1">IFERROR(__xludf.DUMMYFUNCTION("GOOGLETRANSLATE(C500,""ja"",""vi"")"),"Đấu giá&gt; thể thao, giải trí&gt; xe đạp, xe đạp&gt; mặc&gt; giày")</f>
        <v>Đấu giá&gt; thể thao, giải trí&gt; xe đạp, xe đạp&gt; mặc&gt; giày</v>
      </c>
      <c r="F500" t="str">
        <f t="shared" ca="1" si="7"/>
        <v>"2084048301" : "đôi giày",</v>
      </c>
    </row>
    <row r="501" spans="1:6" ht="15.75" customHeight="1">
      <c r="A501" s="14">
        <v>2084229858</v>
      </c>
      <c r="B501" s="14" t="s">
        <v>10510</v>
      </c>
      <c r="C501" s="14" t="s">
        <v>10511</v>
      </c>
      <c r="D501" s="5" t="str">
        <f ca="1">IFERROR(__xludf.DUMMYFUNCTION("GOOGLETRANSLATE(B501,""ja"",""vi"")"),"Ấm áp hơn, bìa")</f>
        <v>Ấm áp hơn, bìa</v>
      </c>
      <c r="E501" s="5" t="str">
        <f ca="1">IFERROR(__xludf.DUMMYFUNCTION("GOOGLETRANSLATE(C501,""ja"",""vi"")"),"Đấu giá&gt; thể thao, giải trí&gt; xe đạp, xe đạp&gt; mặc&gt; ấm áp hơn, bìa")</f>
        <v>Đấu giá&gt; thể thao, giải trí&gt; xe đạp, xe đạp&gt; mặc&gt; ấm áp hơn, bìa</v>
      </c>
      <c r="F501" t="str">
        <f t="shared" ca="1" si="7"/>
        <v>"2084229858" : "Ấm áp hơn, bìa",</v>
      </c>
    </row>
    <row r="502" spans="1:6" ht="15.75" customHeight="1">
      <c r="A502" s="14">
        <v>2084051785</v>
      </c>
      <c r="B502" s="14" t="s">
        <v>8345</v>
      </c>
      <c r="C502" s="14" t="s">
        <v>10516</v>
      </c>
      <c r="D502" s="5" t="str">
        <f ca="1">IFERROR(__xludf.DUMMYFUNCTION("GOOGLETRANSLATE(B502,""ja"",""vi"")"),"găng tay")</f>
        <v>găng tay</v>
      </c>
      <c r="E502" s="5" t="str">
        <f ca="1">IFERROR(__xludf.DUMMYFUNCTION("GOOGLETRANSLATE(C502,""ja"",""vi"")"),"Đấu giá&gt; thể thao, giải trí&gt; xe đạp, xe đạp&gt; mặc&gt; bao tay")</f>
        <v>Đấu giá&gt; thể thao, giải trí&gt; xe đạp, xe đạp&gt; mặc&gt; bao tay</v>
      </c>
      <c r="F502" t="str">
        <f t="shared" ca="1" si="7"/>
        <v>"2084051785" : "găng tay",</v>
      </c>
    </row>
    <row r="503" spans="1:6" ht="15.75" customHeight="1">
      <c r="A503" s="14">
        <v>2084048300</v>
      </c>
      <c r="B503" s="14" t="s">
        <v>8353</v>
      </c>
      <c r="C503" s="14" t="s">
        <v>10521</v>
      </c>
      <c r="D503" s="5" t="str">
        <f ca="1">IFERROR(__xludf.DUMMYFUNCTION("GOOGLETRANSLATE(B503,""ja"",""vi"")"),"người bảo vệ")</f>
        <v>người bảo vệ</v>
      </c>
      <c r="E503" s="5" t="str">
        <f ca="1">IFERROR(__xludf.DUMMYFUNCTION("GOOGLETRANSLATE(C503,""ja"",""vi"")"),"Đấu giá&gt; thể thao, giải trí&gt; xe đạp, xe đạp&gt; mặc&gt; bảo vệ")</f>
        <v>Đấu giá&gt; thể thao, giải trí&gt; xe đạp, xe đạp&gt; mặc&gt; bảo vệ</v>
      </c>
      <c r="F503" t="str">
        <f t="shared" ca="1" si="7"/>
        <v>"2084048300" : "người bảo vệ",</v>
      </c>
    </row>
    <row r="504" spans="1:6" ht="15.75" customHeight="1">
      <c r="A504" s="14">
        <v>2084229859</v>
      </c>
      <c r="B504" s="14" t="s">
        <v>10526</v>
      </c>
      <c r="C504" s="14" t="s">
        <v>10527</v>
      </c>
      <c r="D504" s="5" t="str">
        <f ca="1">IFERROR(__xludf.DUMMYFUNCTION("GOOGLETRANSLATE(B504,""ja"",""vi"")"),"Hat, mũ")</f>
        <v>Hat, mũ</v>
      </c>
      <c r="E504" s="5" t="str">
        <f ca="1">IFERROR(__xludf.DUMMYFUNCTION("GOOGLETRANSLATE(C504,""ja"",""vi"")"),"Đấu giá&gt; thể thao, giải trí&gt; xe đạp, xe đạp&gt; mặc&gt; mũ, mũ")</f>
        <v>Đấu giá&gt; thể thao, giải trí&gt; xe đạp, xe đạp&gt; mặc&gt; mũ, mũ</v>
      </c>
      <c r="F504" t="str">
        <f t="shared" ca="1" si="7"/>
        <v>"2084229859" : "Hat, mũ",</v>
      </c>
    </row>
    <row r="505" spans="1:6" ht="15.75" customHeight="1">
      <c r="A505" s="14">
        <v>24802</v>
      </c>
      <c r="B505" s="14" t="s">
        <v>9319</v>
      </c>
      <c r="C505" s="14" t="s">
        <v>10531</v>
      </c>
      <c r="D505" s="5" t="str">
        <f ca="1">IFERROR(__xludf.DUMMYFUNCTION("GOOGLETRANSLATE(B505,""ja"",""vi"")"),"Mang ngoài trời")</f>
        <v>Mang ngoài trời</v>
      </c>
      <c r="E505" s="5" t="str">
        <f ca="1">IFERROR(__xludf.DUMMYFUNCTION("GOOGLETRANSLATE(C505,""ja"",""vi"")"),"Đấu giá&gt; thể thao, giải trí&gt; xe đạp, xe đạp&gt; mặc&gt; Mang ngoài trời")</f>
        <v>Đấu giá&gt; thể thao, giải trí&gt; xe đạp, xe đạp&gt; mặc&gt; Mang ngoài trời</v>
      </c>
      <c r="F505" t="str">
        <f t="shared" ca="1" si="7"/>
        <v>"24802" : "Mang ngoài trời",</v>
      </c>
    </row>
    <row r="506" spans="1:6" ht="15.75" customHeight="1">
      <c r="A506" s="14">
        <v>23008</v>
      </c>
      <c r="B506" s="14" t="s">
        <v>8383</v>
      </c>
      <c r="C506" s="14" t="s">
        <v>10537</v>
      </c>
      <c r="D506" s="5" t="str">
        <f ca="1">IFERROR(__xludf.DUMMYFUNCTION("GOOGLETRANSLATE(B506,""ja"",""vi"")"),"đồ thể thao")</f>
        <v>đồ thể thao</v>
      </c>
      <c r="E506" s="5" t="str">
        <f ca="1">IFERROR(__xludf.DUMMYFUNCTION("GOOGLETRANSLATE(C506,""ja"",""vi"")"),"Đấu giá&gt; thể thao, giải trí&gt; xe đạp, xe đạp&gt; mặc&gt; đồ thể thao")</f>
        <v>Đấu giá&gt; thể thao, giải trí&gt; xe đạp, xe đạp&gt; mặc&gt; đồ thể thao</v>
      </c>
      <c r="F506" t="str">
        <f t="shared" ca="1" si="7"/>
        <v>"23008" : "đồ thể thao",</v>
      </c>
    </row>
    <row r="507" spans="1:6" ht="15.75" customHeight="1">
      <c r="A507" s="14">
        <v>26244</v>
      </c>
      <c r="B507" s="14" t="s">
        <v>46</v>
      </c>
      <c r="C507" s="14" t="s">
        <v>10542</v>
      </c>
      <c r="D507" s="5" t="str">
        <f ca="1">IFERROR(__xludf.DUMMYFUNCTION("GOOGLETRANSLATE(B507,""ja"",""vi"")"),"nếu không thì")</f>
        <v>nếu không thì</v>
      </c>
      <c r="E507" s="5" t="str">
        <f ca="1">IFERROR(__xludf.DUMMYFUNCTION("GOOGLETRANSLATE(C507,""ja"",""vi"")"),"Đấu giá&gt; thể thao, giải trí&gt; xe đạp, xe đạp&gt; Mang&gt; Khác")</f>
        <v>Đấu giá&gt; thể thao, giải trí&gt; xe đạp, xe đạp&gt; Mang&gt; Khác</v>
      </c>
      <c r="F507" t="str">
        <f t="shared" ca="1" si="7"/>
        <v>"26244" : "nếu không thì",</v>
      </c>
    </row>
    <row r="508" spans="1:6" ht="15.75" customHeight="1">
      <c r="A508" s="14">
        <v>2084227171</v>
      </c>
      <c r="B508" s="14" t="s">
        <v>9535</v>
      </c>
      <c r="C508" s="14" t="s">
        <v>10546</v>
      </c>
      <c r="D508" s="5" t="str">
        <f ca="1">IFERROR(__xludf.DUMMYFUNCTION("GOOGLETRANSLATE(B508,""ja"",""vi"")"),"túi messenger")</f>
        <v>túi messenger</v>
      </c>
      <c r="E508" s="5" t="str">
        <f ca="1">IFERROR(__xludf.DUMMYFUNCTION("GOOGLETRANSLATE(C508,""ja"",""vi"")"),"Đấu giá&gt; thể thao, giải trí&gt; xe đạp, xe đạp&gt; túi&gt; túi messenger")</f>
        <v>Đấu giá&gt; thể thao, giải trí&gt; xe đạp, xe đạp&gt; túi&gt; túi messenger</v>
      </c>
      <c r="F508" t="str">
        <f t="shared" ca="1" si="7"/>
        <v>"2084227171" : "túi messenger",</v>
      </c>
    </row>
    <row r="509" spans="1:6" ht="15.75" customHeight="1">
      <c r="A509" s="14">
        <v>2084239373</v>
      </c>
      <c r="B509" s="14" t="s">
        <v>8320</v>
      </c>
      <c r="C509" s="14" t="s">
        <v>10552</v>
      </c>
      <c r="D509" s="5" t="str">
        <f ca="1">IFERROR(__xludf.DUMMYFUNCTION("GOOGLETRANSLATE(B509,""ja"",""vi"")"),"cái bị của người đi du lịch")</f>
        <v>cái bị của người đi du lịch</v>
      </c>
      <c r="E509" s="5" t="str">
        <f ca="1">IFERROR(__xludf.DUMMYFUNCTION("GOOGLETRANSLATE(C509,""ja"",""vi"")"),"Đấu giá&gt; thể thao, giải trí&gt; xe đạp, xe đạp&gt; túi&gt; ba lô")</f>
        <v>Đấu giá&gt; thể thao, giải trí&gt; xe đạp, xe đạp&gt; túi&gt; ba lô</v>
      </c>
      <c r="F509" t="str">
        <f t="shared" ca="1" si="7"/>
        <v>"2084239373" : "cái bị của người đi du lịch",</v>
      </c>
    </row>
    <row r="510" spans="1:6" ht="15.75" customHeight="1">
      <c r="A510" s="14">
        <v>2084221202</v>
      </c>
      <c r="B510" s="14" t="s">
        <v>10556</v>
      </c>
      <c r="C510" s="14" t="s">
        <v>10558</v>
      </c>
      <c r="D510" s="5" t="str">
        <f ca="1">IFERROR(__xludf.DUMMYFUNCTION("GOOGLETRANSLATE(B510,""ja"",""vi"")"),"túi yên")</f>
        <v>túi yên</v>
      </c>
      <c r="E510" s="5" t="str">
        <f ca="1">IFERROR(__xludf.DUMMYFUNCTION("GOOGLETRANSLATE(C510,""ja"",""vi"")"),"Đấu giá&gt; thể thao, giải trí&gt; xe đạp, xe đạp&gt; túi&gt; túi yên ngựa")</f>
        <v>Đấu giá&gt; thể thao, giải trí&gt; xe đạp, xe đạp&gt; túi&gt; túi yên ngựa</v>
      </c>
      <c r="F510" t="str">
        <f t="shared" ca="1" si="7"/>
        <v>"2084221202" : "túi yên",</v>
      </c>
    </row>
    <row r="511" spans="1:6" ht="15.75" customHeight="1">
      <c r="A511" s="14">
        <v>2084246948</v>
      </c>
      <c r="B511" s="14" t="s">
        <v>10562</v>
      </c>
      <c r="C511" s="14" t="s">
        <v>10565</v>
      </c>
      <c r="D511" s="5" t="str">
        <f ca="1">IFERROR(__xludf.DUMMYFUNCTION("GOOGLETRANSLATE(B511,""ja"",""vi"")"),"túi phía trước")</f>
        <v>túi phía trước</v>
      </c>
      <c r="E511" s="5" t="str">
        <f ca="1">IFERROR(__xludf.DUMMYFUNCTION("GOOGLETRANSLATE(C511,""ja"",""vi"")"),"Đấu giá&gt; thể thao, giải trí&gt; xe đạp, xe đạp&gt; túi&gt; túi Mặt trận")</f>
        <v>Đấu giá&gt; thể thao, giải trí&gt; xe đạp, xe đạp&gt; túi&gt; túi Mặt trận</v>
      </c>
      <c r="F511" t="str">
        <f t="shared" ca="1" si="7"/>
        <v>"2084246948" : "túi phía trước",</v>
      </c>
    </row>
    <row r="512" spans="1:6" ht="15.75" customHeight="1">
      <c r="A512" s="14">
        <v>2084246949</v>
      </c>
      <c r="B512" s="14" t="s">
        <v>10568</v>
      </c>
      <c r="C512" s="14" t="s">
        <v>10571</v>
      </c>
      <c r="D512" s="5" t="str">
        <f ca="1">IFERROR(__xludf.DUMMYFUNCTION("GOOGLETRANSLATE(B512,""ja"",""vi"")"),"túi phía sau")</f>
        <v>túi phía sau</v>
      </c>
      <c r="E512" s="5" t="str">
        <f ca="1">IFERROR(__xludf.DUMMYFUNCTION("GOOGLETRANSLATE(C512,""ja"",""vi"")"),"Đấu giá&gt; thể thao, giải trí&gt; xe đạp, xe đạp&gt; túi&gt; túi phía sau")</f>
        <v>Đấu giá&gt; thể thao, giải trí&gt; xe đạp, xe đạp&gt; túi&gt; túi phía sau</v>
      </c>
      <c r="F512" t="str">
        <f t="shared" ca="1" si="7"/>
        <v>"2084246949" : "túi phía sau",</v>
      </c>
    </row>
    <row r="513" spans="1:6" ht="15.75" customHeight="1">
      <c r="A513" s="14">
        <v>2084221201</v>
      </c>
      <c r="B513" s="14" t="s">
        <v>10573</v>
      </c>
      <c r="C513" s="14" t="s">
        <v>10576</v>
      </c>
      <c r="D513" s="5" t="str">
        <f ca="1">IFERROR(__xludf.DUMMYFUNCTION("GOOGLETRANSLATE(B513,""ja"",""vi"")"),"túi HanawaKo")</f>
        <v>túi HanawaKo</v>
      </c>
      <c r="E513" s="5" t="str">
        <f ca="1">IFERROR(__xludf.DUMMYFUNCTION("GOOGLETRANSLATE(C513,""ja"",""vi"")"),"Đấu giá&gt; thể thao, giải trí&gt; xe đạp, xe đạp&gt; túi&gt; túi HanawaKo")</f>
        <v>Đấu giá&gt; thể thao, giải trí&gt; xe đạp, xe đạp&gt; túi&gt; túi HanawaKo</v>
      </c>
      <c r="F513" t="str">
        <f t="shared" ca="1" si="7"/>
        <v>"2084221201" : "túi HanawaKo",</v>
      </c>
    </row>
    <row r="514" spans="1:6" ht="15.75" customHeight="1">
      <c r="A514" s="14">
        <v>2084227172</v>
      </c>
      <c r="B514" s="14" t="s">
        <v>46</v>
      </c>
      <c r="C514" s="14" t="s">
        <v>10581</v>
      </c>
      <c r="D514" s="5" t="str">
        <f ca="1">IFERROR(__xludf.DUMMYFUNCTION("GOOGLETRANSLATE(B514,""ja"",""vi"")"),"nếu không thì")</f>
        <v>nếu không thì</v>
      </c>
      <c r="E514" s="5" t="str">
        <f ca="1">IFERROR(__xludf.DUMMYFUNCTION("GOOGLETRANSLATE(C514,""ja"",""vi"")"),"Đấu giá&gt; thể thao, giải trí&gt; xe đạp, xe đạp&gt; túi&gt; Khác")</f>
        <v>Đấu giá&gt; thể thao, giải trí&gt; xe đạp, xe đạp&gt; túi&gt; Khác</v>
      </c>
      <c r="F514" t="str">
        <f t="shared" ref="F514:F577" ca="1" si="8">CONCATENATE(CHAR(34)&amp;"",A514,""&amp;CHAR(34)," : ", CHAR(34)&amp;"",D514,""&amp;CHAR(34),",")</f>
        <v>"2084227172" : "nếu không thì",</v>
      </c>
    </row>
    <row r="515" spans="1:6" ht="15.75" customHeight="1">
      <c r="A515" s="14">
        <v>2084051657</v>
      </c>
      <c r="B515" s="14" t="s">
        <v>10584</v>
      </c>
      <c r="C515" s="14" t="s">
        <v>10585</v>
      </c>
      <c r="D515" s="5" t="str">
        <f ca="1">IFERROR(__xludf.DUMMYFUNCTION("GOOGLETRANSLATE(B515,""ja"",""vi"")"),"ánh sáng")</f>
        <v>ánh sáng</v>
      </c>
      <c r="E515" s="5" t="str">
        <f ca="1">IFERROR(__xludf.DUMMYFUNCTION("GOOGLETRANSLATE(C515,""ja"",""vi"")"),"Đấu giá&gt; thể thao, giải trí&gt; xe đạp, xe đạp&gt; Phụ kiện&gt; Ánh sáng")</f>
        <v>Đấu giá&gt; thể thao, giải trí&gt; xe đạp, xe đạp&gt; Phụ kiện&gt; Ánh sáng</v>
      </c>
      <c r="F515" t="str">
        <f t="shared" ca="1" si="8"/>
        <v>"2084051657" : "ánh sáng",</v>
      </c>
    </row>
    <row r="516" spans="1:6" ht="15.75" customHeight="1">
      <c r="A516" s="14">
        <v>2084051659</v>
      </c>
      <c r="B516" s="14" t="s">
        <v>10590</v>
      </c>
      <c r="C516" s="14" t="s">
        <v>10591</v>
      </c>
      <c r="D516" s="5" t="str">
        <f ca="1">IFERROR(__xludf.DUMMYFUNCTION("GOOGLETRANSLATE(B516,""ja"",""vi"")"),"Chìa khóa, khóa")</f>
        <v>Chìa khóa, khóa</v>
      </c>
      <c r="E516" s="5" t="str">
        <f ca="1">IFERROR(__xludf.DUMMYFUNCTION("GOOGLETRANSLATE(C516,""ja"",""vi"")"),"Đấu giá&gt; thể thao, giải trí&gt; xe đạp, xe đạp&gt; Phụ kiện&gt; then chốt, khóa")</f>
        <v>Đấu giá&gt; thể thao, giải trí&gt; xe đạp, xe đạp&gt; Phụ kiện&gt; then chốt, khóa</v>
      </c>
      <c r="F516" t="str">
        <f t="shared" ca="1" si="8"/>
        <v>"2084051659" : "Chìa khóa, khóa",</v>
      </c>
    </row>
    <row r="517" spans="1:6" ht="15.75" customHeight="1">
      <c r="A517" s="14">
        <v>26236</v>
      </c>
      <c r="B517" s="14" t="s">
        <v>10595</v>
      </c>
      <c r="C517" s="14" t="s">
        <v>10598</v>
      </c>
      <c r="D517" s="5" t="str">
        <f ca="1">IFERROR(__xludf.DUMMYFUNCTION("GOOGLETRANSLATE(B517,""ja"",""vi"")"),"Vào không khí")</f>
        <v>Vào không khí</v>
      </c>
      <c r="E517" s="5" t="str">
        <f ca="1">IFERROR(__xludf.DUMMYFUNCTION("GOOGLETRANSLATE(C517,""ja"",""vi"")"),"Đấu giá&gt; thể thao, giải trí&gt; xe đạp, xe đạp&gt; Accessories&gt; túi khí")</f>
        <v>Đấu giá&gt; thể thao, giải trí&gt; xe đạp, xe đạp&gt; Accessories&gt; túi khí</v>
      </c>
      <c r="F517" t="str">
        <f t="shared" ca="1" si="8"/>
        <v>"26236" : "Vào không khí",</v>
      </c>
    </row>
    <row r="518" spans="1:6" ht="15.75" customHeight="1">
      <c r="A518" s="14">
        <v>2084048303</v>
      </c>
      <c r="B518" s="14" t="s">
        <v>4614</v>
      </c>
      <c r="C518" s="14" t="s">
        <v>10603</v>
      </c>
      <c r="D518" s="5" t="str">
        <f ca="1">IFERROR(__xludf.DUMMYFUNCTION("GOOGLETRANSLATE(B518,""ja"",""vi"")"),"đứng")</f>
        <v>đứng</v>
      </c>
      <c r="E518" s="5" t="str">
        <f ca="1">IFERROR(__xludf.DUMMYFUNCTION("GOOGLETRANSLATE(C518,""ja"",""vi"")"),"Đấu giá&gt; thể thao, giải trí&gt; xe đạp, xe đạp&gt; Accessories&gt; Bệ đặt")</f>
        <v>Đấu giá&gt; thể thao, giải trí&gt; xe đạp, xe đạp&gt; Accessories&gt; Bệ đặt</v>
      </c>
      <c r="F518" t="str">
        <f t="shared" ca="1" si="8"/>
        <v>"2084048303" : "đứng",</v>
      </c>
    </row>
    <row r="519" spans="1:6" ht="15.75" customHeight="1">
      <c r="A519" s="14">
        <v>2084051660</v>
      </c>
      <c r="B519" s="14" t="s">
        <v>10608</v>
      </c>
      <c r="C519" s="14" t="s">
        <v>10609</v>
      </c>
      <c r="D519" s="5" t="str">
        <f ca="1">IFERROR(__xludf.DUMMYFUNCTION("GOOGLETRANSLATE(B519,""ja"",""vi"")"),"máy tính chu kỳ")</f>
        <v>máy tính chu kỳ</v>
      </c>
      <c r="E519" s="5" t="str">
        <f ca="1">IFERROR(__xludf.DUMMYFUNCTION("GOOGLETRANSLATE(C519,""ja"",""vi"")"),"Đấu giá&gt; thể thao, giải trí&gt; xe đạp, xe đạp&gt; Phụ kiện&gt; máy tính chu kỳ")</f>
        <v>Đấu giá&gt; thể thao, giải trí&gt; xe đạp, xe đạp&gt; Phụ kiện&gt; máy tính chu kỳ</v>
      </c>
      <c r="F519" t="str">
        <f t="shared" ca="1" si="8"/>
        <v>"2084051660" : "máy tính chu kỳ",</v>
      </c>
    </row>
    <row r="520" spans="1:6" ht="15.75" customHeight="1">
      <c r="A520" s="14">
        <v>2084055004</v>
      </c>
      <c r="B520" s="14" t="s">
        <v>10614</v>
      </c>
      <c r="C520" s="14" t="s">
        <v>10615</v>
      </c>
      <c r="D520" s="5" t="str">
        <f ca="1">IFERROR(__xludf.DUMMYFUNCTION("GOOGLETRANSLATE(B520,""ja"",""vi"")"),"Chai, lồng chai")</f>
        <v>Chai, lồng chai</v>
      </c>
      <c r="E520" s="5" t="str">
        <f ca="1">IFERROR(__xludf.DUMMYFUNCTION("GOOGLETRANSLATE(C520,""ja"",""vi"")"),"Đấu giá&gt; thể thao, giải trí&gt; xe đạp, xe đạp&gt; phụ kiện&gt; chai, lồng chai")</f>
        <v>Đấu giá&gt; thể thao, giải trí&gt; xe đạp, xe đạp&gt; phụ kiện&gt; chai, lồng chai</v>
      </c>
      <c r="F520" t="str">
        <f t="shared" ca="1" si="8"/>
        <v>"2084055004" : "Chai, lồng chai",</v>
      </c>
    </row>
    <row r="521" spans="1:6" ht="15.75" customHeight="1">
      <c r="A521" s="14">
        <v>2084055003</v>
      </c>
      <c r="B521" s="14" t="s">
        <v>10620</v>
      </c>
      <c r="C521" s="14" t="s">
        <v>10621</v>
      </c>
      <c r="D521" s="5" t="str">
        <f ca="1">IFERROR(__xludf.DUMMYFUNCTION("GOOGLETRANSLATE(B521,""ja"",""vi"")"),"Fender, chắn bùn")</f>
        <v>Fender, chắn bùn</v>
      </c>
      <c r="E521" s="5" t="str">
        <f ca="1">IFERROR(__xludf.DUMMYFUNCTION("GOOGLETRANSLATE(C521,""ja"",""vi"")"),"Đấu giá&gt; thể thao, giải trí&gt; xe đạp, xe đạp&gt; Accessories&gt; fender, chắn bùn")</f>
        <v>Đấu giá&gt; thể thao, giải trí&gt; xe đạp, xe đạp&gt; Accessories&gt; fender, chắn bùn</v>
      </c>
      <c r="F521" t="str">
        <f t="shared" ca="1" si="8"/>
        <v>"2084055003" : "Fender, chắn bùn",</v>
      </c>
    </row>
    <row r="522" spans="1:6" ht="15.75" customHeight="1">
      <c r="A522" s="14">
        <v>2084048302</v>
      </c>
      <c r="B522" s="14" t="s">
        <v>10626</v>
      </c>
      <c r="C522" s="14" t="s">
        <v>10627</v>
      </c>
      <c r="D522" s="5" t="str">
        <f ca="1">IFERROR(__xludf.DUMMYFUNCTION("GOOGLETRANSLATE(B522,""ja"",""vi"")"),"Người vận chuyển, nền tảng tải")</f>
        <v>Người vận chuyển, nền tảng tải</v>
      </c>
      <c r="E522" s="5" t="str">
        <f ca="1">IFERROR(__xludf.DUMMYFUNCTION("GOOGLETRANSLATE(C522,""ja"",""vi"")"),"Đấu giá&gt; thể thao, giải trí&gt; xe đạp, xe đạp&gt; Phụ kiện&gt; vận chuyển, nền tảng tải")</f>
        <v>Đấu giá&gt; thể thao, giải trí&gt; xe đạp, xe đạp&gt; Phụ kiện&gt; vận chuyển, nền tảng tải</v>
      </c>
      <c r="F522" t="str">
        <f t="shared" ca="1" si="8"/>
        <v>"2084048302" : "Người vận chuyển, nền tảng tải",</v>
      </c>
    </row>
    <row r="523" spans="1:6" ht="15.75" customHeight="1">
      <c r="A523" s="14">
        <v>2084246789</v>
      </c>
      <c r="B523" s="14" t="s">
        <v>10632</v>
      </c>
      <c r="C523" s="14" t="s">
        <v>10633</v>
      </c>
      <c r="D523" s="5" t="str">
        <f ca="1">IFERROR(__xludf.DUMMYFUNCTION("GOOGLETRANSLATE(B523,""ja"",""vi"")"),"ghế trẻ em")</f>
        <v>ghế trẻ em</v>
      </c>
      <c r="E523" s="5" t="str">
        <f ca="1">IFERROR(__xludf.DUMMYFUNCTION("GOOGLETRANSLATE(C523,""ja"",""vi"")"),"Đấu giá&gt; thể thao, giải trí&gt; xe đạp, xe đạp&gt; Accessories&gt; ghế trẻ em")</f>
        <v>Đấu giá&gt; thể thao, giải trí&gt; xe đạp, xe đạp&gt; Accessories&gt; ghế trẻ em</v>
      </c>
      <c r="F523" t="str">
        <f t="shared" ca="1" si="8"/>
        <v>"2084246789" : "ghế trẻ em",</v>
      </c>
    </row>
    <row r="524" spans="1:6" ht="15.75" customHeight="1">
      <c r="A524" s="14">
        <v>2084246948</v>
      </c>
      <c r="B524" s="14" t="s">
        <v>10562</v>
      </c>
      <c r="C524" s="14" t="s">
        <v>10638</v>
      </c>
      <c r="D524" s="5" t="str">
        <f ca="1">IFERROR(__xludf.DUMMYFUNCTION("GOOGLETRANSLATE(B524,""ja"",""vi"")"),"túi phía trước")</f>
        <v>túi phía trước</v>
      </c>
      <c r="E524" s="5" t="str">
        <f ca="1">IFERROR(__xludf.DUMMYFUNCTION("GOOGLETRANSLATE(C524,""ja"",""vi"")"),"Đấu giá&gt; thể thao, giải trí&gt; xe đạp, xe đạp&gt; Accessories&gt; túi Mặt trận")</f>
        <v>Đấu giá&gt; thể thao, giải trí&gt; xe đạp, xe đạp&gt; Accessories&gt; túi Mặt trận</v>
      </c>
      <c r="F524" t="str">
        <f t="shared" ca="1" si="8"/>
        <v>"2084246948" : "túi phía trước",</v>
      </c>
    </row>
    <row r="525" spans="1:6" ht="15.75" customHeight="1">
      <c r="A525" s="14">
        <v>2084246949</v>
      </c>
      <c r="B525" s="14" t="s">
        <v>10568</v>
      </c>
      <c r="C525" s="14" t="s">
        <v>10643</v>
      </c>
      <c r="D525" s="5" t="str">
        <f ca="1">IFERROR(__xludf.DUMMYFUNCTION("GOOGLETRANSLATE(B525,""ja"",""vi"")"),"túi phía sau")</f>
        <v>túi phía sau</v>
      </c>
      <c r="E525" s="5" t="str">
        <f ca="1">IFERROR(__xludf.DUMMYFUNCTION("GOOGLETRANSLATE(C525,""ja"",""vi"")"),"Đấu giá&gt; thể thao, giải trí&gt; xe đạp, xe đạp&gt; Accessories&gt; túi phía sau")</f>
        <v>Đấu giá&gt; thể thao, giải trí&gt; xe đạp, xe đạp&gt; Accessories&gt; túi phía sau</v>
      </c>
      <c r="F525" t="str">
        <f t="shared" ca="1" si="8"/>
        <v>"2084246949" : "túi phía sau",</v>
      </c>
    </row>
    <row r="526" spans="1:6" ht="15.75" customHeight="1">
      <c r="A526" s="14">
        <v>2084221202</v>
      </c>
      <c r="B526" s="14" t="s">
        <v>10556</v>
      </c>
      <c r="C526" s="14" t="s">
        <v>10649</v>
      </c>
      <c r="D526" s="5" t="str">
        <f ca="1">IFERROR(__xludf.DUMMYFUNCTION("GOOGLETRANSLATE(B526,""ja"",""vi"")"),"túi yên")</f>
        <v>túi yên</v>
      </c>
      <c r="E526" s="5" t="str">
        <f ca="1">IFERROR(__xludf.DUMMYFUNCTION("GOOGLETRANSLATE(C526,""ja"",""vi"")"),"Đấu giá&gt; thể thao, giải trí&gt; xe đạp, xe đạp&gt; Accessories&gt; túi yên ngựa")</f>
        <v>Đấu giá&gt; thể thao, giải trí&gt; xe đạp, xe đạp&gt; Accessories&gt; túi yên ngựa</v>
      </c>
      <c r="F526" t="str">
        <f t="shared" ca="1" si="8"/>
        <v>"2084221202" : "túi yên",</v>
      </c>
    </row>
    <row r="527" spans="1:6" ht="15.75" customHeight="1">
      <c r="A527" s="14">
        <v>2084235696</v>
      </c>
      <c r="B527" s="14" t="s">
        <v>10653</v>
      </c>
      <c r="C527" s="14" t="s">
        <v>10655</v>
      </c>
      <c r="D527" s="5" t="str">
        <f ca="1">IFERROR(__xludf.DUMMYFUNCTION("GOOGLETRANSLATE(B527,""ja"",""vi"")"),"trước giỏ")</f>
        <v>trước giỏ</v>
      </c>
      <c r="E527" s="5" t="str">
        <f ca="1">IFERROR(__xludf.DUMMYFUNCTION("GOOGLETRANSLATE(C527,""ja"",""vi"")"),"Đấu giá&gt; thể thao, giải trí&gt; xe đạp, xe đạp&gt; Phụ kiện&gt; trước giỏ")</f>
        <v>Đấu giá&gt; thể thao, giải trí&gt; xe đạp, xe đạp&gt; Phụ kiện&gt; trước giỏ</v>
      </c>
      <c r="F527" t="str">
        <f t="shared" ca="1" si="8"/>
        <v>"2084235696" : "trước giỏ",</v>
      </c>
    </row>
    <row r="528" spans="1:6" ht="15.75" customHeight="1">
      <c r="A528" s="14">
        <v>2084246947</v>
      </c>
      <c r="B528" s="14" t="s">
        <v>10659</v>
      </c>
      <c r="C528" s="14" t="s">
        <v>10661</v>
      </c>
      <c r="D528" s="5" t="str">
        <f ca="1">IFERROR(__xludf.DUMMYFUNCTION("GOOGLETRANSLATE(B528,""ja"",""vi"")"),"giỏ phía sau")</f>
        <v>giỏ phía sau</v>
      </c>
      <c r="E528" s="5" t="str">
        <f ca="1">IFERROR(__xludf.DUMMYFUNCTION("GOOGLETRANSLATE(C528,""ja"",""vi"")"),"Đấu giá&gt; thể thao, giải trí&gt; xe đạp, xe đạp&gt; Accessories&gt; sau giỏ")</f>
        <v>Đấu giá&gt; thể thao, giải trí&gt; xe đạp, xe đạp&gt; Accessories&gt; sau giỏ</v>
      </c>
      <c r="F528" t="str">
        <f t="shared" ca="1" si="8"/>
        <v>"2084246947" : "giỏ phía sau",</v>
      </c>
    </row>
    <row r="529" spans="1:6" ht="15.75" customHeight="1">
      <c r="A529" s="14">
        <v>2084221201</v>
      </c>
      <c r="B529" s="14" t="s">
        <v>10667</v>
      </c>
      <c r="C529" s="14" t="s">
        <v>10668</v>
      </c>
      <c r="D529" s="5" t="str">
        <f ca="1">IFERROR(__xludf.DUMMYFUNCTION("GOOGLETRANSLATE(B529,""ja"",""vi"")"),"HanawaKobukuro")</f>
        <v>HanawaKobukuro</v>
      </c>
      <c r="E529" s="5" t="str">
        <f ca="1">IFERROR(__xludf.DUMMYFUNCTION("GOOGLETRANSLATE(C529,""ja"",""vi"")"),"Đấu giá&gt; thể thao, giải trí&gt; xe đạp, xe đạp&gt; Accessories&gt; HanawaKobukuro")</f>
        <v>Đấu giá&gt; thể thao, giải trí&gt; xe đạp, xe đạp&gt; Accessories&gt; HanawaKobukuro</v>
      </c>
      <c r="F529" t="str">
        <f t="shared" ca="1" si="8"/>
        <v>"2084221201" : "HanawaKobukuro",</v>
      </c>
    </row>
    <row r="530" spans="1:6" ht="15.75" customHeight="1">
      <c r="A530" s="14">
        <v>2084059720</v>
      </c>
      <c r="B530" s="14" t="s">
        <v>10671</v>
      </c>
      <c r="C530" s="14" t="s">
        <v>10673</v>
      </c>
      <c r="D530" s="5" t="str">
        <f ca="1">IFERROR(__xludf.DUMMYFUNCTION("GOOGLETRANSLATE(B530,""ja"",""vi"")"),"Bar Tape")</f>
        <v>Bar Tape</v>
      </c>
      <c r="E530" s="5" t="str">
        <f ca="1">IFERROR(__xludf.DUMMYFUNCTION("GOOGLETRANSLATE(C530,""ja"",""vi"")"),"Đấu giá&gt; thể thao, giải trí&gt; xe đạp, xe đạp&gt; phụ kiện&gt; Bar Tape")</f>
        <v>Đấu giá&gt; thể thao, giải trí&gt; xe đạp, xe đạp&gt; phụ kiện&gt; Bar Tape</v>
      </c>
      <c r="F530" t="str">
        <f t="shared" ca="1" si="8"/>
        <v>"2084059720" : "Bar Tape",</v>
      </c>
    </row>
    <row r="531" spans="1:6" ht="15.75" customHeight="1">
      <c r="A531" s="14">
        <v>2084059719</v>
      </c>
      <c r="B531" s="14" t="s">
        <v>10677</v>
      </c>
      <c r="C531" s="14" t="s">
        <v>10680</v>
      </c>
      <c r="D531" s="5" t="str">
        <f ca="1">IFERROR(__xludf.DUMMYFUNCTION("GOOGLETRANSLATE(B531,""ja"",""vi"")"),"va li")</f>
        <v>va li</v>
      </c>
      <c r="E531" s="5" t="str">
        <f ca="1">IFERROR(__xludf.DUMMYFUNCTION("GOOGLETRANSLATE(C531,""ja"",""vi"")"),"Đấu giá&gt; thể thao, giải trí&gt; xe đạp, xe đạp&gt; Accessories&gt; Grip")</f>
        <v>Đấu giá&gt; thể thao, giải trí&gt; xe đạp, xe đạp&gt; Accessories&gt; Grip</v>
      </c>
      <c r="F531" t="str">
        <f t="shared" ca="1" si="8"/>
        <v>"2084059719" : "va li",</v>
      </c>
    </row>
    <row r="532" spans="1:6" ht="15.75" customHeight="1">
      <c r="A532" s="14">
        <v>2084059721</v>
      </c>
      <c r="B532" s="14" t="s">
        <v>10682</v>
      </c>
      <c r="C532" s="14" t="s">
        <v>10684</v>
      </c>
      <c r="D532" s="5" t="str">
        <f ca="1">IFERROR(__xludf.DUMMYFUNCTION("GOOGLETRANSLATE(B532,""ja"",""vi"")"),"Bar Ends")</f>
        <v>Bar Ends</v>
      </c>
      <c r="E532" s="5" t="str">
        <f ca="1">IFERROR(__xludf.DUMMYFUNCTION("GOOGLETRANSLATE(C532,""ja"",""vi"")"),"Đấu giá&gt; thể thao, giải trí&gt; xe đạp, xe đạp&gt; phụ kiện&gt; Kết thúc Bar")</f>
        <v>Đấu giá&gt; thể thao, giải trí&gt; xe đạp, xe đạp&gt; phụ kiện&gt; Kết thúc Bar</v>
      </c>
      <c r="F532" t="str">
        <f t="shared" ca="1" si="8"/>
        <v>"2084059721" : "Bar Ends",</v>
      </c>
    </row>
    <row r="533" spans="1:6" ht="15.75" customHeight="1">
      <c r="A533" s="14">
        <v>2084263701</v>
      </c>
      <c r="B533" s="14" t="s">
        <v>8385</v>
      </c>
      <c r="C533" s="14" t="s">
        <v>10689</v>
      </c>
      <c r="D533" s="5" t="str">
        <f ca="1">IFERROR(__xludf.DUMMYFUNCTION("GOOGLETRANSLATE(B533,""ja"",""vi"")"),"theo dõi nhịp tim thể thao")</f>
        <v>theo dõi nhịp tim thể thao</v>
      </c>
      <c r="E533" s="5" t="str">
        <f ca="1">IFERROR(__xludf.DUMMYFUNCTION("GOOGLETRANSLATE(C533,""ja"",""vi"")"),"Đấu giá&gt; thể thao, giải trí&gt; xe đạp, xe đạp&gt; Accessories&gt; Sport theo dõi nhịp tim")</f>
        <v>Đấu giá&gt; thể thao, giải trí&gt; xe đạp, xe đạp&gt; Accessories&gt; Sport theo dõi nhịp tim</v>
      </c>
      <c r="F533" t="str">
        <f t="shared" ca="1" si="8"/>
        <v>"2084263701" : "theo dõi nhịp tim thể thao",</v>
      </c>
    </row>
    <row r="534" spans="1:6" ht="15.75" customHeight="1">
      <c r="A534" s="14">
        <v>2084012445</v>
      </c>
      <c r="B534" s="14" t="s">
        <v>10693</v>
      </c>
      <c r="C534" s="14" t="s">
        <v>10694</v>
      </c>
      <c r="D534" s="5" t="str">
        <f ca="1">IFERROR(__xludf.DUMMYFUNCTION("GOOGLETRANSLATE(B534,""ja"",""vi"")"),"Chìa khóa, khóa (đối với xe máy)")</f>
        <v>Chìa khóa, khóa (đối với xe máy)</v>
      </c>
      <c r="E534" s="5" t="str">
        <f ca="1">IFERROR(__xludf.DUMMYFUNCTION("GOOGLETRANSLATE(C534,""ja"",""vi"")"),"Đấu giá&gt; thể thao, giải trí&gt; xe đạp, xe đạp&gt; Phụ kiện&gt; then chốt, khóa (đối với xe máy)")</f>
        <v>Đấu giá&gt; thể thao, giải trí&gt; xe đạp, xe đạp&gt; Phụ kiện&gt; then chốt, khóa (đối với xe máy)</v>
      </c>
      <c r="F534" t="str">
        <f t="shared" ca="1" si="8"/>
        <v>"2084012445" : "Chìa khóa, khóa (đối với xe máy)",</v>
      </c>
    </row>
    <row r="535" spans="1:6" ht="15.75" customHeight="1">
      <c r="A535" s="14">
        <v>2084208690</v>
      </c>
      <c r="B535" s="14" t="s">
        <v>10698</v>
      </c>
      <c r="C535" s="14" t="s">
        <v>10699</v>
      </c>
      <c r="D535" s="5" t="str">
        <f ca="1">IFERROR(__xludf.DUMMYFUNCTION("GOOGLETRANSLATE(B535,""ja"",""vi"")"),"Lều cho chuyến lưu diễn")</f>
        <v>Lều cho chuyến lưu diễn</v>
      </c>
      <c r="E535" s="5" t="str">
        <f ca="1">IFERROR(__xludf.DUMMYFUNCTION("GOOGLETRANSLATE(C535,""ja"",""vi"")"),"Đấu giá&gt; thể thao, giải trí&gt; xe đạp, xe đạp&gt; Accessories&gt; lều cho chuyến lưu diễn")</f>
        <v>Đấu giá&gt; thể thao, giải trí&gt; xe đạp, xe đạp&gt; Accessories&gt; lều cho chuyến lưu diễn</v>
      </c>
      <c r="F535" t="str">
        <f t="shared" ca="1" si="8"/>
        <v>"2084208690" : "Lều cho chuyến lưu diễn",</v>
      </c>
    </row>
    <row r="536" spans="1:6" ht="15.75" customHeight="1">
      <c r="A536" s="14">
        <v>26242</v>
      </c>
      <c r="B536" s="14" t="s">
        <v>46</v>
      </c>
      <c r="C536" s="14" t="s">
        <v>10704</v>
      </c>
      <c r="D536" s="5" t="str">
        <f ca="1">IFERROR(__xludf.DUMMYFUNCTION("GOOGLETRANSLATE(B536,""ja"",""vi"")"),"nếu không thì")</f>
        <v>nếu không thì</v>
      </c>
      <c r="E536" s="5" t="str">
        <f ca="1">IFERROR(__xludf.DUMMYFUNCTION("GOOGLETRANSLATE(C536,""ja"",""vi"")"),"Đấu giá&gt; thể thao, giải trí&gt; xe đạp, xe đạp&gt; Phụ kiện&gt; Khác")</f>
        <v>Đấu giá&gt; thể thao, giải trí&gt; xe đạp, xe đạp&gt; Phụ kiện&gt; Khác</v>
      </c>
      <c r="F536" t="str">
        <f t="shared" ca="1" si="8"/>
        <v>"26242" : "nếu không thì",</v>
      </c>
    </row>
    <row r="537" spans="1:6" ht="15.75" customHeight="1">
      <c r="A537" s="14">
        <v>2084246795</v>
      </c>
      <c r="B537" s="14" t="s">
        <v>10707</v>
      </c>
      <c r="C537" s="14" t="s">
        <v>10709</v>
      </c>
      <c r="D537" s="5" t="str">
        <f ca="1">IFERROR(__xludf.DUMMYFUNCTION("GOOGLETRANSLATE(B537,""ja"",""vi"")"),"công cụ đa")</f>
        <v>công cụ đa</v>
      </c>
      <c r="E537" s="5" t="str">
        <f ca="1">IFERROR(__xludf.DUMMYFUNCTION("GOOGLETRANSLATE(C537,""ja"",""vi"")"),"Đấu giá&gt; thể thao, giải trí&gt; xe đạp, xe đạp&gt; công cụ, bảo trì&gt; Multi-công cụ")</f>
        <v>Đấu giá&gt; thể thao, giải trí&gt; xe đạp, xe đạp&gt; công cụ, bảo trì&gt; Multi-công cụ</v>
      </c>
      <c r="F537" t="str">
        <f t="shared" ca="1" si="8"/>
        <v>"2084246795" : "công cụ đa",</v>
      </c>
    </row>
    <row r="538" spans="1:6" ht="15.75" customHeight="1">
      <c r="A538" s="14">
        <v>2084246793</v>
      </c>
      <c r="B538" s="14" t="s">
        <v>10716</v>
      </c>
      <c r="C538" s="14" t="s">
        <v>10718</v>
      </c>
      <c r="D538" s="5" t="str">
        <f ca="1">IFERROR(__xludf.DUMMYFUNCTION("GOOGLETRANSLATE(B538,""ja"",""vi"")"),"Tool (set)")</f>
        <v>Tool (set)</v>
      </c>
      <c r="E538" s="5" t="str">
        <f ca="1">IFERROR(__xludf.DUMMYFUNCTION("GOOGLETRANSLATE(C538,""ja"",""vi"")"),"Đấu giá&gt; thể thao, giải trí&gt; xe đạp, xe đạp&gt; công cụ, bảo trì&gt; công cụ (set)")</f>
        <v>Đấu giá&gt; thể thao, giải trí&gt; xe đạp, xe đạp&gt; công cụ, bảo trì&gt; công cụ (set)</v>
      </c>
      <c r="F538" t="str">
        <f t="shared" ca="1" si="8"/>
        <v>"2084246793" : "Tool (set)",</v>
      </c>
    </row>
    <row r="539" spans="1:6" ht="15.75" customHeight="1">
      <c r="A539" s="14">
        <v>2084246794</v>
      </c>
      <c r="B539" s="14" t="s">
        <v>10723</v>
      </c>
      <c r="C539" s="14" t="s">
        <v>10724</v>
      </c>
      <c r="D539" s="5" t="str">
        <f ca="1">IFERROR(__xludf.DUMMYFUNCTION("GOOGLETRANSLATE(B539,""ja"",""vi"")"),"Tool (duy nhất)")</f>
        <v>Tool (duy nhất)</v>
      </c>
      <c r="E539" s="5" t="str">
        <f ca="1">IFERROR(__xludf.DUMMYFUNCTION("GOOGLETRANSLATE(C539,""ja"",""vi"")"),"Đấu giá&gt; thể thao, giải trí&gt; xe đạp, xe đạp&gt; công cụ, bảo trì&gt; công cụ (duy nhất)")</f>
        <v>Đấu giá&gt; thể thao, giải trí&gt; xe đạp, xe đạp&gt; công cụ, bảo trì&gt; công cụ (duy nhất)</v>
      </c>
      <c r="F539" t="str">
        <f t="shared" ca="1" si="8"/>
        <v>"2084246794" : "Tool (duy nhất)",</v>
      </c>
    </row>
    <row r="540" spans="1:6" ht="15.75" customHeight="1">
      <c r="A540" s="14">
        <v>2084235678</v>
      </c>
      <c r="B540" s="14" t="s">
        <v>10728</v>
      </c>
      <c r="C540" s="14" t="s">
        <v>10730</v>
      </c>
      <c r="D540" s="5" t="str">
        <f ca="1">IFERROR(__xludf.DUMMYFUNCTION("GOOGLETRANSLATE(B540,""ja"",""vi"")"),"dầu")</f>
        <v>dầu</v>
      </c>
      <c r="E540" s="5" t="str">
        <f ca="1">IFERROR(__xludf.DUMMYFUNCTION("GOOGLETRANSLATE(C540,""ja"",""vi"")"),"Đấu giá&gt; thể thao, giải trí&gt; xe đạp, xe đạp&gt; công cụ, bảo trì&gt; chất bôi trơn")</f>
        <v>Đấu giá&gt; thể thao, giải trí&gt; xe đạp, xe đạp&gt; công cụ, bảo trì&gt; chất bôi trơn</v>
      </c>
      <c r="F540" t="str">
        <f t="shared" ca="1" si="8"/>
        <v>"2084235678" : "dầu",</v>
      </c>
    </row>
    <row r="541" spans="1:6" ht="15.75" customHeight="1">
      <c r="A541" s="14">
        <v>2084235677</v>
      </c>
      <c r="B541" s="14" t="s">
        <v>10733</v>
      </c>
      <c r="C541" s="14" t="s">
        <v>10734</v>
      </c>
      <c r="D541" s="5" t="str">
        <f ca="1">IFERROR(__xludf.DUMMYFUNCTION("GOOGLETRANSLATE(B541,""ja"",""vi"")"),"làm sạch đại lý")</f>
        <v>làm sạch đại lý</v>
      </c>
      <c r="E541" s="5" t="str">
        <f ca="1">IFERROR(__xludf.DUMMYFUNCTION("GOOGLETRANSLATE(C541,""ja"",""vi"")"),"Đấu giá&gt; thể thao, giải trí&gt; xe đạp, xe đạp&gt; công cụ, bảo trì&gt; chất tẩy rửa")</f>
        <v>Đấu giá&gt; thể thao, giải trí&gt; xe đạp, xe đạp&gt; công cụ, bảo trì&gt; chất tẩy rửa</v>
      </c>
      <c r="F541" t="str">
        <f t="shared" ca="1" si="8"/>
        <v>"2084235677" : "làm sạch đại lý",</v>
      </c>
    </row>
    <row r="542" spans="1:6" ht="15.75" customHeight="1">
      <c r="A542" s="14">
        <v>2084221820</v>
      </c>
      <c r="B542" s="14" t="s">
        <v>4614</v>
      </c>
      <c r="C542" s="14" t="s">
        <v>10739</v>
      </c>
      <c r="D542" s="5" t="str">
        <f ca="1">IFERROR(__xludf.DUMMYFUNCTION("GOOGLETRANSLATE(B542,""ja"",""vi"")"),"đứng")</f>
        <v>đứng</v>
      </c>
      <c r="E542" s="5" t="str">
        <f ca="1">IFERROR(__xludf.DUMMYFUNCTION("GOOGLETRANSLATE(C542,""ja"",""vi"")"),"Đấu giá&gt; thể thao, giải trí&gt; xe đạp, xe đạp&gt; công cụ, bảo trì&gt; Đứng")</f>
        <v>Đấu giá&gt; thể thao, giải trí&gt; xe đạp, xe đạp&gt; công cụ, bảo trì&gt; Đứng</v>
      </c>
      <c r="F542" t="str">
        <f t="shared" ca="1" si="8"/>
        <v>"2084221820" : "đứng",</v>
      </c>
    </row>
    <row r="543" spans="1:6" ht="15.75" customHeight="1">
      <c r="A543" s="14">
        <v>2084235680</v>
      </c>
      <c r="B543" s="14" t="s">
        <v>46</v>
      </c>
      <c r="C543" s="14" t="s">
        <v>10746</v>
      </c>
      <c r="D543" s="5" t="str">
        <f ca="1">IFERROR(__xludf.DUMMYFUNCTION("GOOGLETRANSLATE(B543,""ja"",""vi"")"),"nếu không thì")</f>
        <v>nếu không thì</v>
      </c>
      <c r="E543" s="5" t="str">
        <f ca="1">IFERROR(__xludf.DUMMYFUNCTION("GOOGLETRANSLATE(C543,""ja"",""vi"")"),"Đấu giá&gt; thể thao, giải trí&gt; xe đạp, xe đạp&gt; công cụ, bảo trì&gt; Khác")</f>
        <v>Đấu giá&gt; thể thao, giải trí&gt; xe đạp, xe đạp&gt; công cụ, bảo trì&gt; Khác</v>
      </c>
      <c r="F543" t="str">
        <f t="shared" ca="1" si="8"/>
        <v>"2084235680" : "nếu không thì",</v>
      </c>
    </row>
    <row r="544" spans="1:6" ht="15.75" customHeight="1">
      <c r="A544" s="14">
        <v>2084048514</v>
      </c>
      <c r="B544" s="14" t="s">
        <v>10749</v>
      </c>
      <c r="C544" s="14" t="s">
        <v>10753</v>
      </c>
      <c r="D544" s="5" t="str">
        <f ca="1">IFERROR(__xludf.DUMMYFUNCTION("GOOGLETRANSLATE(B544,""ja"",""vi"")"),"Đồng phục")</f>
        <v>Đồng phục</v>
      </c>
      <c r="E544" s="5" t="str">
        <f ca="1">IFERROR(__xludf.DUMMYFUNCTION("GOOGLETRANSLATE(C544,""ja"",""vi"")"),"Đấu giá&gt; thể thao, giải trí&gt; đua xe đạp&gt; đồng phục")</f>
        <v>Đấu giá&gt; thể thao, giải trí&gt; đua xe đạp&gt; đồng phục</v>
      </c>
      <c r="F544" t="str">
        <f t="shared" ca="1" si="8"/>
        <v>"2084048514" : "Đồng phục",</v>
      </c>
    </row>
    <row r="545" spans="1:6" ht="15.75" customHeight="1">
      <c r="A545" s="14">
        <v>2084283224</v>
      </c>
      <c r="B545" s="14" t="s">
        <v>7643</v>
      </c>
      <c r="C545" s="14" t="s">
        <v>10759</v>
      </c>
      <c r="D545" s="5" t="str">
        <f ca="1">IFERROR(__xludf.DUMMYFUNCTION("GOOGLETRANSLATE(B545,""ja"",""vi"")"),"cơ thể")</f>
        <v>cơ thể</v>
      </c>
      <c r="E545" s="5" t="str">
        <f ca="1">IFERROR(__xludf.DUMMYFUNCTION("GOOGLETRANSLATE(C545,""ja"",""vi"")"),"Đấu giá&gt; thể thao, giải trí&gt; đua xe đạp&gt; cơ thể")</f>
        <v>Đấu giá&gt; thể thao, giải trí&gt; đua xe đạp&gt; cơ thể</v>
      </c>
      <c r="F545" t="str">
        <f t="shared" ca="1" si="8"/>
        <v>"2084283224" : "cơ thể",</v>
      </c>
    </row>
    <row r="546" spans="1:6" ht="15.75" customHeight="1">
      <c r="A546" s="14">
        <v>2084229851</v>
      </c>
      <c r="B546" s="14" t="s">
        <v>10323</v>
      </c>
      <c r="C546" s="14" t="s">
        <v>10764</v>
      </c>
      <c r="D546" s="5" t="str">
        <f ca="1">IFERROR(__xludf.DUMMYFUNCTION("GOOGLETRANSLATE(B546,""ja"",""vi"")"),"khung")</f>
        <v>khung</v>
      </c>
      <c r="E546" s="5" t="str">
        <f ca="1">IFERROR(__xludf.DUMMYFUNCTION("GOOGLETRANSLATE(C546,""ja"",""vi"")"),"Đấu giá&gt; thể thao, giải trí&gt; đua xe đạp&gt; khung")</f>
        <v>Đấu giá&gt; thể thao, giải trí&gt; đua xe đạp&gt; khung</v>
      </c>
      <c r="F546" t="str">
        <f t="shared" ca="1" si="8"/>
        <v>"2084229851" : "khung",</v>
      </c>
    </row>
    <row r="547" spans="1:6" ht="15.75" customHeight="1">
      <c r="A547" s="14">
        <v>2084048511</v>
      </c>
      <c r="B547" s="14" t="s">
        <v>5976</v>
      </c>
      <c r="C547" s="14" t="s">
        <v>10768</v>
      </c>
      <c r="D547" s="5" t="str">
        <f ca="1">IFERROR(__xludf.DUMMYFUNCTION("GOOGLETRANSLATE(B547,""ja"",""vi"")"),"thẻ điện thoại")</f>
        <v>thẻ điện thoại</v>
      </c>
      <c r="E547" s="5" t="str">
        <f ca="1">IFERROR(__xludf.DUMMYFUNCTION("GOOGLETRANSLATE(C547,""ja"",""vi"")"),"Đấu giá&gt; thể thao, giải trí&gt; đua xe đạp&gt; Thẻ điện thoại")</f>
        <v>Đấu giá&gt; thể thao, giải trí&gt; đua xe đạp&gt; Thẻ điện thoại</v>
      </c>
      <c r="F547" t="str">
        <f t="shared" ca="1" si="8"/>
        <v>"2084048511" : "thẻ điện thoại",</v>
      </c>
    </row>
    <row r="548" spans="1:6" ht="15.75" customHeight="1">
      <c r="A548" s="14">
        <v>2084048513</v>
      </c>
      <c r="B548" s="14" t="s">
        <v>46</v>
      </c>
      <c r="C548" s="14" t="s">
        <v>10772</v>
      </c>
      <c r="D548" s="5" t="str">
        <f ca="1">IFERROR(__xludf.DUMMYFUNCTION("GOOGLETRANSLATE(B548,""ja"",""vi"")"),"nếu không thì")</f>
        <v>nếu không thì</v>
      </c>
      <c r="E548" s="5" t="str">
        <f ca="1">IFERROR(__xludf.DUMMYFUNCTION("GOOGLETRANSLATE(C548,""ja"",""vi"")"),"Đấu giá&gt; thể thao, giải trí&gt; đua xe đạp&gt; Khác")</f>
        <v>Đấu giá&gt; thể thao, giải trí&gt; đua xe đạp&gt; Khác</v>
      </c>
      <c r="F548" t="str">
        <f t="shared" ca="1" si="8"/>
        <v>"2084048513" : "nếu không thì",</v>
      </c>
    </row>
    <row r="549" spans="1:6" ht="15.75" customHeight="1">
      <c r="A549" s="14">
        <v>2084007608</v>
      </c>
      <c r="B549" s="14" t="s">
        <v>10777</v>
      </c>
      <c r="C549" s="14" t="s">
        <v>10779</v>
      </c>
      <c r="D549" s="5" t="str">
        <f ca="1">IFERROR(__xludf.DUMMYFUNCTION("GOOGLETRANSLATE(B549,""ja"",""vi"")"),"nước biển")</f>
        <v>nước biển</v>
      </c>
      <c r="E549" s="5" t="str">
        <f ca="1">IFERROR(__xludf.DUMMYFUNCTION("GOOGLETRANSLATE(C549,""ja"",""vi"")"),"Đấu giá&gt; thể thao, giải trí&gt; cá&gt; que&gt; nước biển")</f>
        <v>Đấu giá&gt; thể thao, giải trí&gt; cá&gt; que&gt; nước biển</v>
      </c>
      <c r="F549" t="str">
        <f t="shared" ca="1" si="8"/>
        <v>"2084007608" : "nước biển",</v>
      </c>
    </row>
    <row r="550" spans="1:6" ht="15.75" customHeight="1">
      <c r="A550" s="14">
        <v>2084007603</v>
      </c>
      <c r="B550" s="14" t="s">
        <v>10783</v>
      </c>
      <c r="C550" s="14" t="s">
        <v>10784</v>
      </c>
      <c r="D550" s="5" t="str">
        <f ca="1">IFERROR(__xludf.DUMMYFUNCTION("GOOGLETRANSLATE(B550,""ja"",""vi"")"),"nước ngọt")</f>
        <v>nước ngọt</v>
      </c>
      <c r="E550" s="5" t="str">
        <f ca="1">IFERROR(__xludf.DUMMYFUNCTION("GOOGLETRANSLATE(C550,""ja"",""vi"")"),"Đấu giá&gt; thể thao, giải trí&gt; cá&gt; que&gt; nước ngọt")</f>
        <v>Đấu giá&gt; thể thao, giải trí&gt; cá&gt; que&gt; nước ngọt</v>
      </c>
      <c r="F550" t="str">
        <f t="shared" ca="1" si="8"/>
        <v>"2084007603" : "nước ngọt",</v>
      </c>
    </row>
    <row r="551" spans="1:6" ht="15.75" customHeight="1">
      <c r="A551" s="14">
        <v>2084299639</v>
      </c>
      <c r="B551" s="14" t="s">
        <v>10789</v>
      </c>
      <c r="C551" s="14" t="s">
        <v>10791</v>
      </c>
      <c r="D551" s="5" t="str">
        <f ca="1">IFERROR(__xludf.DUMMYFUNCTION("GOOGLETRANSLATE(B551,""ja"",""vi"")"),"Rod đứng")</f>
        <v>Rod đứng</v>
      </c>
      <c r="E551" s="5" t="str">
        <f ca="1">IFERROR(__xludf.DUMMYFUNCTION("GOOGLETRANSLATE(C551,""ja"",""vi"")"),"Đấu giá&gt; thể thao, giải trí&gt; cá&gt; que&gt; que đứng")</f>
        <v>Đấu giá&gt; thể thao, giải trí&gt; cá&gt; que&gt; que đứng</v>
      </c>
      <c r="F551" t="str">
        <f t="shared" ca="1" si="8"/>
        <v>"2084299639" : "Rod đứng",</v>
      </c>
    </row>
    <row r="552" spans="1:6" ht="15.75" customHeight="1">
      <c r="A552" s="14">
        <v>2084007564</v>
      </c>
      <c r="B552" s="14" t="s">
        <v>10794</v>
      </c>
      <c r="C552" s="14" t="s">
        <v>10796</v>
      </c>
      <c r="D552" s="5" t="str">
        <f ca="1">IFERROR(__xludf.DUMMYFUNCTION("GOOGLETRANSLATE(B552,""ja"",""vi"")"),"reel spinning")</f>
        <v>reel spinning</v>
      </c>
      <c r="E552" s="5" t="str">
        <f ca="1">IFERROR(__xludf.DUMMYFUNCTION("GOOGLETRANSLATE(C552,""ja"",""vi"")"),"Đấu giá&gt; thể thao, giải trí&gt; cá&gt; reel&gt; quay reel")</f>
        <v>Đấu giá&gt; thể thao, giải trí&gt; cá&gt; reel&gt; quay reel</v>
      </c>
      <c r="F552" t="str">
        <f t="shared" ca="1" si="8"/>
        <v>"2084007564" : "reel spinning",</v>
      </c>
    </row>
    <row r="553" spans="1:6" ht="15.75" customHeight="1">
      <c r="A553" s="14">
        <v>2084007563</v>
      </c>
      <c r="B553" s="14" t="s">
        <v>10799</v>
      </c>
      <c r="C553" s="14" t="s">
        <v>10800</v>
      </c>
      <c r="D553" s="5" t="str">
        <f ca="1">IFERROR(__xludf.DUMMYFUNCTION("GOOGLETRANSLATE(B553,""ja"",""vi"")"),"reel mồi")</f>
        <v>reel mồi</v>
      </c>
      <c r="E553" s="5" t="str">
        <f ca="1">IFERROR(__xludf.DUMMYFUNCTION("GOOGLETRANSLATE(C553,""ja"",""vi"")"),"Đấu giá&gt; thể thao, giải trí&gt; cá&gt; reel&gt; mồi reel")</f>
        <v>Đấu giá&gt; thể thao, giải trí&gt; cá&gt; reel&gt; mồi reel</v>
      </c>
      <c r="F553" t="str">
        <f t="shared" ca="1" si="8"/>
        <v>"2084007563" : "reel mồi",</v>
      </c>
    </row>
    <row r="554" spans="1:6" ht="15.75" customHeight="1">
      <c r="A554" s="14">
        <v>2084007561</v>
      </c>
      <c r="B554" s="14" t="s">
        <v>10804</v>
      </c>
      <c r="C554" s="14" t="s">
        <v>10806</v>
      </c>
      <c r="D554" s="5" t="str">
        <f ca="1">IFERROR(__xludf.DUMMYFUNCTION("GOOGLETRANSLATE(B554,""ja"",""vi"")"),"Fly Reels")</f>
        <v>Fly Reels</v>
      </c>
      <c r="E554" s="5" t="str">
        <f ca="1">IFERROR(__xludf.DUMMYFUNCTION("GOOGLETRANSLATE(C554,""ja"",""vi"")"),"Đấu giá&gt; thể thao, giải trí&gt; cá&gt; reel&gt; bay reel")</f>
        <v>Đấu giá&gt; thể thao, giải trí&gt; cá&gt; reel&gt; bay reel</v>
      </c>
      <c r="F554" t="str">
        <f t="shared" ca="1" si="8"/>
        <v>"2084007561" : "Fly Reels",</v>
      </c>
    </row>
    <row r="555" spans="1:6" ht="15.75" customHeight="1">
      <c r="A555" s="14">
        <v>2084007565</v>
      </c>
      <c r="B555" s="14" t="s">
        <v>10811</v>
      </c>
      <c r="C555" s="14" t="s">
        <v>10812</v>
      </c>
      <c r="D555" s="5" t="str">
        <f ca="1">IFERROR(__xludf.DUMMYFUNCTION("GOOGLETRANSLATE(B555,""ja"",""vi"")"),"ở biển")</f>
        <v>ở biển</v>
      </c>
      <c r="E555" s="5" t="str">
        <f ca="1">IFERROR(__xludf.DUMMYFUNCTION("GOOGLETRANSLATE(C555,""ja"",""vi"")"),"Đấu giá&gt; thể thao, giải trí&gt; cá&gt; reel&gt; biển")</f>
        <v>Đấu giá&gt; thể thao, giải trí&gt; cá&gt; reel&gt; biển</v>
      </c>
      <c r="F555" t="str">
        <f t="shared" ca="1" si="8"/>
        <v>"2084007565" : "ở biển",</v>
      </c>
    </row>
    <row r="556" spans="1:6" ht="15.75" customHeight="1">
      <c r="A556" s="14">
        <v>2084007566</v>
      </c>
      <c r="B556" s="14" t="s">
        <v>10817</v>
      </c>
      <c r="C556" s="14" t="s">
        <v>10818</v>
      </c>
      <c r="D556" s="5" t="str">
        <f ca="1">IFERROR(__xludf.DUMMYFUNCTION("GOOGLETRANSLATE(B556,""ja"",""vi"")"),"Đối với cá tráp đen")</f>
        <v>Đối với cá tráp đen</v>
      </c>
      <c r="E556" s="5" t="str">
        <f ca="1">IFERROR(__xludf.DUMMYFUNCTION("GOOGLETRANSLATE(C556,""ja"",""vi"")"),"Đấu giá&gt; thể thao, giải trí&gt; cá&gt; reel&gt; cho cá tráp đen")</f>
        <v>Đấu giá&gt; thể thao, giải trí&gt; cá&gt; reel&gt; cho cá tráp đen</v>
      </c>
      <c r="F556" t="str">
        <f t="shared" ca="1" si="8"/>
        <v>"2084007566" : "Đối với cá tráp đen",</v>
      </c>
    </row>
    <row r="557" spans="1:6" ht="15.75" customHeight="1">
      <c r="A557" s="14">
        <v>2084064401</v>
      </c>
      <c r="B557" s="14" t="s">
        <v>46</v>
      </c>
      <c r="C557" s="14" t="s">
        <v>10823</v>
      </c>
      <c r="D557" s="5" t="str">
        <f ca="1">IFERROR(__xludf.DUMMYFUNCTION("GOOGLETRANSLATE(B557,""ja"",""vi"")"),"nếu không thì")</f>
        <v>nếu không thì</v>
      </c>
      <c r="E557" s="5" t="str">
        <f ca="1">IFERROR(__xludf.DUMMYFUNCTION("GOOGLETRANSLATE(C557,""ja"",""vi"")"),"Đấu giá&gt; thể thao, giải trí&gt; cá&gt; reel&gt; Khác")</f>
        <v>Đấu giá&gt; thể thao, giải trí&gt; cá&gt; reel&gt; Khác</v>
      </c>
      <c r="F557" t="str">
        <f t="shared" ca="1" si="8"/>
        <v>"2084064401" : "nếu không thì",</v>
      </c>
    </row>
    <row r="558" spans="1:6" ht="15.75" customHeight="1">
      <c r="A558" s="14">
        <v>2084005213</v>
      </c>
      <c r="B558" s="14" t="s">
        <v>10826</v>
      </c>
      <c r="C558" s="14" t="s">
        <v>10828</v>
      </c>
      <c r="D558" s="5" t="str">
        <f ca="1">IFERROR(__xludf.DUMMYFUNCTION("GOOGLETRANSLATE(B558,""ja"",""vi"")"),"Lure mềm")</f>
        <v>Lure mềm</v>
      </c>
      <c r="E558" s="5" t="str">
        <f ca="1">IFERROR(__xludf.DUMMYFUNCTION("GOOGLETRANSLATE(C558,""ja"",""vi"")"),"Đấu giá&gt; thể thao, giải trí&gt; cá&gt; nguồn cung cấp mồi&gt; Lure mềm")</f>
        <v>Đấu giá&gt; thể thao, giải trí&gt; cá&gt; nguồn cung cấp mồi&gt; Lure mềm</v>
      </c>
      <c r="F558" t="str">
        <f t="shared" ca="1" si="8"/>
        <v>"2084005213" : "Lure mềm",</v>
      </c>
    </row>
    <row r="559" spans="1:6" ht="15.75" customHeight="1">
      <c r="A559" s="14">
        <v>2084005214</v>
      </c>
      <c r="B559" s="14" t="s">
        <v>10831</v>
      </c>
      <c r="C559" s="14" t="s">
        <v>10832</v>
      </c>
      <c r="D559" s="5" t="str">
        <f ca="1">IFERROR(__xludf.DUMMYFUNCTION("GOOGLETRANSLATE(B559,""ja"",""vi"")"),"cám dỗ cứng")</f>
        <v>cám dỗ cứng</v>
      </c>
      <c r="E559" s="5" t="str">
        <f ca="1">IFERROR(__xludf.DUMMYFUNCTION("GOOGLETRANSLATE(C559,""ja"",""vi"")"),"Đấu giá&gt; thể thao, giải trí&gt; cá&gt; nguồn cung cấp mồi&gt; mồi cứng")</f>
        <v>Đấu giá&gt; thể thao, giải trí&gt; cá&gt; nguồn cung cấp mồi&gt; mồi cứng</v>
      </c>
      <c r="F559" t="str">
        <f t="shared" ca="1" si="8"/>
        <v>"2084005214" : "cám dỗ cứng",</v>
      </c>
    </row>
    <row r="560" spans="1:6" ht="15.75" customHeight="1">
      <c r="A560" s="14">
        <v>2084048293</v>
      </c>
      <c r="B560" s="14" t="s">
        <v>10837</v>
      </c>
      <c r="C560" s="14" t="s">
        <v>10838</v>
      </c>
      <c r="D560" s="5" t="str">
        <f ca="1">IFERROR(__xludf.DUMMYFUNCTION("GOOGLETRANSLATE(B560,""ja"",""vi"")"),"đường dây")</f>
        <v>đường dây</v>
      </c>
      <c r="E560" s="5" t="str">
        <f ca="1">IFERROR(__xludf.DUMMYFUNCTION("GOOGLETRANSLATE(C560,""ja"",""vi"")"),"Đấu giá&gt; thể thao, giải trí&gt; cá&gt; nguồn cung cấp mồi&gt; dòng")</f>
        <v>Đấu giá&gt; thể thao, giải trí&gt; cá&gt; nguồn cung cấp mồi&gt; dòng</v>
      </c>
      <c r="F560" t="str">
        <f t="shared" ca="1" si="8"/>
        <v>"2084048293" : "đường dây",</v>
      </c>
    </row>
    <row r="561" spans="1:6" ht="15.75" customHeight="1">
      <c r="A561" s="14">
        <v>2084007609</v>
      </c>
      <c r="B561" s="14" t="s">
        <v>10843</v>
      </c>
      <c r="C561" s="14" t="s">
        <v>10844</v>
      </c>
      <c r="D561" s="5" t="str">
        <f ca="1">IFERROR(__xludf.DUMMYFUNCTION("GOOGLETRANSLATE(B561,""ja"",""vi"")"),"nước biển que")</f>
        <v>nước biển que</v>
      </c>
      <c r="E561" s="5" t="str">
        <f ca="1">IFERROR(__xludf.DUMMYFUNCTION("GOOGLETRANSLATE(C561,""ja"",""vi"")"),"Đấu giá&gt; thể thao, giải trí&gt; cá&gt; nguồn cung cấp mồi&gt; que nước biển")</f>
        <v>Đấu giá&gt; thể thao, giải trí&gt; cá&gt; nguồn cung cấp mồi&gt; que nước biển</v>
      </c>
      <c r="F561" t="str">
        <f t="shared" ca="1" si="8"/>
        <v>"2084007609" : "nước biển que",</v>
      </c>
    </row>
    <row r="562" spans="1:6" ht="15.75" customHeight="1">
      <c r="A562" s="14">
        <v>2084007604</v>
      </c>
      <c r="B562" s="14" t="s">
        <v>10849</v>
      </c>
      <c r="C562" s="14" t="s">
        <v>10850</v>
      </c>
      <c r="D562" s="5" t="str">
        <f ca="1">IFERROR(__xludf.DUMMYFUNCTION("GOOGLETRANSLATE(B562,""ja"",""vi"")"),"que nước ngọt")</f>
        <v>que nước ngọt</v>
      </c>
      <c r="E562" s="5" t="str">
        <f ca="1">IFERROR(__xludf.DUMMYFUNCTION("GOOGLETRANSLATE(C562,""ja"",""vi"")"),"Đấu giá&gt; thể thao, giải trí&gt; cá&gt; nguồn cung cấp mồi&gt; que nước ngọt")</f>
        <v>Đấu giá&gt; thể thao, giải trí&gt; cá&gt; nguồn cung cấp mồi&gt; que nước ngọt</v>
      </c>
      <c r="F562" t="str">
        <f t="shared" ca="1" si="8"/>
        <v>"2084007604" : "que nước ngọt",</v>
      </c>
    </row>
    <row r="563" spans="1:6" ht="15.75" customHeight="1">
      <c r="A563" s="14">
        <v>2084303062</v>
      </c>
      <c r="B563" s="14" t="s">
        <v>46</v>
      </c>
      <c r="C563" s="14" t="s">
        <v>10855</v>
      </c>
      <c r="D563" s="5" t="str">
        <f ca="1">IFERROR(__xludf.DUMMYFUNCTION("GOOGLETRANSLATE(B563,""ja"",""vi"")"),"nếu không thì")</f>
        <v>nếu không thì</v>
      </c>
      <c r="E563" s="5" t="str">
        <f ca="1">IFERROR(__xludf.DUMMYFUNCTION("GOOGLETRANSLATE(C563,""ja"",""vi"")"),"Đấu giá&gt; thể thao, giải trí&gt; cá&gt; nguồn cung cấp mồi&gt; Khác")</f>
        <v>Đấu giá&gt; thể thao, giải trí&gt; cá&gt; nguồn cung cấp mồi&gt; Khác</v>
      </c>
      <c r="F563" t="str">
        <f t="shared" ca="1" si="8"/>
        <v>"2084303062" : "nếu không thì",</v>
      </c>
    </row>
    <row r="564" spans="1:6" ht="15.75" customHeight="1">
      <c r="A564" s="14">
        <v>2084303069</v>
      </c>
      <c r="B564" s="14" t="s">
        <v>10859</v>
      </c>
      <c r="C564" s="14" t="s">
        <v>10861</v>
      </c>
      <c r="D564" s="5" t="str">
        <f ca="1">IFERROR(__xludf.DUMMYFUNCTION("GOOGLETRANSLATE(B564,""ja"",""vi"")"),"phù hợp với cá")</f>
        <v>phù hợp với cá</v>
      </c>
      <c r="E564" s="5" t="str">
        <f ca="1">IFERROR(__xludf.DUMMYFUNCTION("GOOGLETRANSLATE(C564,""ja"",""vi"")"),"Đấu giá&gt; Thể thao, Giải trí&gt; Câu cá&gt; Mang&gt; phù hợp với cá")</f>
        <v>Đấu giá&gt; Thể thao, Giải trí&gt; Câu cá&gt; Mang&gt; phù hợp với cá</v>
      </c>
      <c r="F564" t="str">
        <f t="shared" ca="1" si="8"/>
        <v>"2084303069" : "phù hợp với cá",</v>
      </c>
    </row>
    <row r="565" spans="1:6" ht="15.75" customHeight="1">
      <c r="A565" s="14">
        <v>2084303070</v>
      </c>
      <c r="B565" s="14" t="s">
        <v>10481</v>
      </c>
      <c r="C565" s="14" t="s">
        <v>10865</v>
      </c>
      <c r="D565" s="5" t="str">
        <f ca="1">IFERROR(__xludf.DUMMYFUNCTION("GOOGLETRANSLATE(B565,""ja"",""vi"")"),"áo khoác")</f>
        <v>áo khoác</v>
      </c>
      <c r="E565" s="5" t="str">
        <f ca="1">IFERROR(__xludf.DUMMYFUNCTION("GOOGLETRANSLATE(C565,""ja"",""vi"")"),"Đấu giá&gt; Thể thao, Giải trí&gt; Câu cá&gt; Mang&gt; Jackets")</f>
        <v>Đấu giá&gt; Thể thao, Giải trí&gt; Câu cá&gt; Mang&gt; Jackets</v>
      </c>
      <c r="F565" t="str">
        <f t="shared" ca="1" si="8"/>
        <v>"2084303070" : "áo khoác",</v>
      </c>
    </row>
    <row r="566" spans="1:6" ht="15.75" customHeight="1">
      <c r="A566" s="14">
        <v>25186</v>
      </c>
      <c r="B566" s="14" t="s">
        <v>10869</v>
      </c>
      <c r="C566" s="14" t="s">
        <v>10873</v>
      </c>
      <c r="D566" s="5" t="str">
        <f ca="1">IFERROR(__xludf.DUMMYFUNCTION("GOOGLETRANSLATE(B566,""ja"",""vi"")"),"tốt")</f>
        <v>tốt</v>
      </c>
      <c r="E566" s="5" t="str">
        <f ca="1">IFERROR(__xludf.DUMMYFUNCTION("GOOGLETRANSLATE(C566,""ja"",""vi"")"),"Đấu giá&gt; Thể thao, Giải trí&gt; Câu cá&gt; Mang&gt; xuất sắc nhất")</f>
        <v>Đấu giá&gt; Thể thao, Giải trí&gt; Câu cá&gt; Mang&gt; xuất sắc nhất</v>
      </c>
      <c r="F566" t="str">
        <f t="shared" ca="1" si="8"/>
        <v>"25186" : "tốt",</v>
      </c>
    </row>
    <row r="567" spans="1:6" ht="15.75" customHeight="1">
      <c r="A567" s="14">
        <v>2084303060</v>
      </c>
      <c r="B567" s="14" t="s">
        <v>10085</v>
      </c>
      <c r="C567" s="14" t="s">
        <v>10877</v>
      </c>
      <c r="D567" s="5" t="str">
        <f ca="1">IFERROR(__xludf.DUMMYFUNCTION("GOOGLETRANSLATE(B567,""ja"",""vi"")"),"áo phao")</f>
        <v>áo phao</v>
      </c>
      <c r="E567" s="5" t="str">
        <f ca="1">IFERROR(__xludf.DUMMYFUNCTION("GOOGLETRANSLATE(C567,""ja"",""vi"")"),"Đấu giá&gt; Thể thao, Giải trí&gt; Câu cá&gt; Mang&gt; áo phao")</f>
        <v>Đấu giá&gt; Thể thao, Giải trí&gt; Câu cá&gt; Mang&gt; áo phao</v>
      </c>
      <c r="F567" t="str">
        <f t="shared" ca="1" si="8"/>
        <v>"2084303060" : "áo phao",</v>
      </c>
    </row>
    <row r="568" spans="1:6" ht="15.75" customHeight="1">
      <c r="A568" s="14">
        <v>25190</v>
      </c>
      <c r="B568" s="14" t="s">
        <v>10880</v>
      </c>
      <c r="C568" s="14" t="s">
        <v>10882</v>
      </c>
      <c r="D568" s="5" t="str">
        <f ca="1">IFERROR(__xludf.DUMMYFUNCTION("GOOGLETRANSLATE(B568,""ja"",""vi"")"),"người đi dưới nước")</f>
        <v>người đi dưới nước</v>
      </c>
      <c r="E568" s="5" t="str">
        <f ca="1">IFERROR(__xludf.DUMMYFUNCTION("GOOGLETRANSLATE(C568,""ja"",""vi"")"),"Đấu giá&gt; Thể thao, Giải trí&gt; Câu cá&gt; Mang&gt; Ủng Lội")</f>
        <v>Đấu giá&gt; Thể thao, Giải trí&gt; Câu cá&gt; Mang&gt; Ủng Lội</v>
      </c>
      <c r="F568" t="str">
        <f t="shared" ca="1" si="8"/>
        <v>"25190" : "người đi dưới nước",</v>
      </c>
    </row>
    <row r="569" spans="1:6" ht="15.75" customHeight="1">
      <c r="A569" s="14">
        <v>2084303059</v>
      </c>
      <c r="B569" s="14" t="s">
        <v>10886</v>
      </c>
      <c r="C569" s="14" t="s">
        <v>10887</v>
      </c>
      <c r="D569" s="5" t="str">
        <f ca="1">IFERROR(__xludf.DUMMYFUNCTION("GOOGLETRANSLATE(B569,""ja"",""vi"")"),"Găng tay, găng tay")</f>
        <v>Găng tay, găng tay</v>
      </c>
      <c r="E569" s="5" t="str">
        <f ca="1">IFERROR(__xludf.DUMMYFUNCTION("GOOGLETRANSLATE(C569,""ja"",""vi"")"),"Đấu giá&gt; Thể thao, Giải trí&gt; Câu cá&gt; Mang&gt; găng tay, găng tay")</f>
        <v>Đấu giá&gt; Thể thao, Giải trí&gt; Câu cá&gt; Mang&gt; găng tay, găng tay</v>
      </c>
      <c r="F569" t="str">
        <f t="shared" ca="1" si="8"/>
        <v>"2084303059" : "Găng tay, găng tay",</v>
      </c>
    </row>
    <row r="570" spans="1:6" ht="15.75" customHeight="1">
      <c r="A570" s="14">
        <v>2084047890</v>
      </c>
      <c r="B570" s="14" t="s">
        <v>7449</v>
      </c>
      <c r="C570" s="14" t="s">
        <v>10892</v>
      </c>
      <c r="D570" s="5" t="str">
        <f ca="1">IFERROR(__xludf.DUMMYFUNCTION("GOOGLETRANSLATE(B570,""ja"",""vi"")"),"mũ")</f>
        <v>mũ</v>
      </c>
      <c r="E570" s="5" t="str">
        <f ca="1">IFERROR(__xludf.DUMMYFUNCTION("GOOGLETRANSLATE(C570,""ja"",""vi"")"),"Đấu giá&gt; Thể thao, Giải trí&gt; Câu cá&gt; Mang&gt; mũ")</f>
        <v>Đấu giá&gt; Thể thao, Giải trí&gt; Câu cá&gt; Mang&gt; mũ</v>
      </c>
      <c r="F570" t="str">
        <f t="shared" ca="1" si="8"/>
        <v>"2084047890" : "mũ",</v>
      </c>
    </row>
    <row r="571" spans="1:6" ht="15.75" customHeight="1">
      <c r="A571" s="14">
        <v>2084214045</v>
      </c>
      <c r="B571" s="14" t="s">
        <v>9408</v>
      </c>
      <c r="C571" s="14" t="s">
        <v>10896</v>
      </c>
      <c r="D571" s="5" t="str">
        <f ca="1">IFERROR(__xludf.DUMMYFUNCTION("GOOGLETRANSLATE(B571,""ja"",""vi"")"),"kính mát thể thao")</f>
        <v>kính mát thể thao</v>
      </c>
      <c r="E571" s="5" t="str">
        <f ca="1">IFERROR(__xludf.DUMMYFUNCTION("GOOGLETRANSLATE(C571,""ja"",""vi"")"),"Đấu giá&gt; Thể thao, Giải trí&gt; Câu cá&gt; Mang&gt; Thể Thao Sunglasses")</f>
        <v>Đấu giá&gt; Thể thao, Giải trí&gt; Câu cá&gt; Mang&gt; Thể Thao Sunglasses</v>
      </c>
      <c r="F571" t="str">
        <f t="shared" ca="1" si="8"/>
        <v>"2084214045" : "kính mát thể thao",</v>
      </c>
    </row>
    <row r="572" spans="1:6" ht="15.75" customHeight="1">
      <c r="A572" s="14">
        <v>2084046954</v>
      </c>
      <c r="B572" s="14" t="s">
        <v>46</v>
      </c>
      <c r="C572" s="14" t="s">
        <v>10900</v>
      </c>
      <c r="D572" s="5" t="str">
        <f ca="1">IFERROR(__xludf.DUMMYFUNCTION("GOOGLETRANSLATE(B572,""ja"",""vi"")"),"nếu không thì")</f>
        <v>nếu không thì</v>
      </c>
      <c r="E572" s="5" t="str">
        <f ca="1">IFERROR(__xludf.DUMMYFUNCTION("GOOGLETRANSLATE(C572,""ja"",""vi"")"),"Đấu giá&gt; Thể thao, Giải trí&gt; Câu cá&gt; Mang&gt; Khác")</f>
        <v>Đấu giá&gt; Thể thao, Giải trí&gt; Câu cá&gt; Mang&gt; Khác</v>
      </c>
      <c r="F572" t="str">
        <f t="shared" ca="1" si="8"/>
        <v>"2084046954" : "nếu không thì",</v>
      </c>
    </row>
    <row r="573" spans="1:6" ht="15.75" customHeight="1">
      <c r="A573" s="14">
        <v>2084048291</v>
      </c>
      <c r="B573" s="14" t="s">
        <v>10904</v>
      </c>
      <c r="C573" s="14" t="s">
        <v>10906</v>
      </c>
      <c r="D573" s="5" t="str">
        <f ca="1">IFERROR(__xludf.DUMMYFUNCTION("GOOGLETRANSLATE(B573,""ja"",""vi"")"),"Harris")</f>
        <v>Harris</v>
      </c>
      <c r="E573" s="5" t="str">
        <f ca="1">IFERROR(__xludf.DUMMYFUNCTION("GOOGLETRANSLATE(C573,""ja"",""vi"")"),"Đấu giá&gt; thể thao, giải trí&gt; cá&gt; dây câu, dòng&gt; Harris")</f>
        <v>Đấu giá&gt; thể thao, giải trí&gt; cá&gt; dây câu, dòng&gt; Harris</v>
      </c>
      <c r="F573" t="str">
        <f t="shared" ca="1" si="8"/>
        <v>"2084048291" : "Harris",</v>
      </c>
    </row>
    <row r="574" spans="1:6" ht="15.75" customHeight="1">
      <c r="A574" s="14">
        <v>2084048286</v>
      </c>
      <c r="B574" s="14" t="s">
        <v>10909</v>
      </c>
      <c r="C574" s="14" t="s">
        <v>10911</v>
      </c>
      <c r="D574" s="5" t="str">
        <f ca="1">IFERROR(__xludf.DUMMYFUNCTION("GOOGLETRANSLATE(B574,""ja"",""vi"")"),"Đối với Ayu")</f>
        <v>Đối với Ayu</v>
      </c>
      <c r="E574" s="5" t="str">
        <f ca="1">IFERROR(__xludf.DUMMYFUNCTION("GOOGLETRANSLATE(C574,""ja"",""vi"")"),"Đấu giá&gt; thể thao, giải trí&gt; cá&gt; câu cá dòng, dòng&gt; cho Ayu")</f>
        <v>Đấu giá&gt; thể thao, giải trí&gt; cá&gt; câu cá dòng, dòng&gt; cho Ayu</v>
      </c>
      <c r="F574" t="str">
        <f t="shared" ca="1" si="8"/>
        <v>"2084048286" : "Đối với Ayu",</v>
      </c>
    </row>
    <row r="575" spans="1:6" ht="15.75" customHeight="1">
      <c r="A575" s="14">
        <v>2084049784</v>
      </c>
      <c r="B575" s="14" t="s">
        <v>10914</v>
      </c>
      <c r="C575" s="14" t="s">
        <v>10917</v>
      </c>
      <c r="D575" s="5" t="str">
        <f ca="1">IFERROR(__xludf.DUMMYFUNCTION("GOOGLETRANSLATE(B575,""ja"",""vi"")"),"để chiên")</f>
        <v>để chiên</v>
      </c>
      <c r="E575" s="5" t="str">
        <f ca="1">IFERROR(__xludf.DUMMYFUNCTION("GOOGLETRANSLATE(C575,""ja"",""vi"")"),"Đấu giá&gt; thể thao, giải trí&gt; cá&gt; câu cá dòng, dòng&gt; cho ruồi")</f>
        <v>Đấu giá&gt; thể thao, giải trí&gt; cá&gt; câu cá dòng, dòng&gt; cho ruồi</v>
      </c>
      <c r="F575" t="str">
        <f t="shared" ca="1" si="8"/>
        <v>"2084049784" : "để chiên",</v>
      </c>
    </row>
    <row r="576" spans="1:6" ht="15.75" customHeight="1">
      <c r="A576" s="14">
        <v>2084048294</v>
      </c>
      <c r="B576" s="14" t="s">
        <v>10921</v>
      </c>
      <c r="C576" s="14" t="s">
        <v>10922</v>
      </c>
      <c r="D576" s="5" t="str">
        <f ca="1">IFERROR(__xludf.DUMMYFUNCTION("GOOGLETRANSLATE(B576,""ja"",""vi"")"),"Đối với Herabuna")</f>
        <v>Đối với Herabuna</v>
      </c>
      <c r="E576" s="5" t="str">
        <f ca="1">IFERROR(__xludf.DUMMYFUNCTION("GOOGLETRANSLATE(C576,""ja"",""vi"")"),"Đấu giá&gt; thể thao, giải trí&gt; cá&gt; câu cá dòng, dòng&gt; cho Herabuna")</f>
        <v>Đấu giá&gt; thể thao, giải trí&gt; cá&gt; câu cá dòng, dòng&gt; cho Herabuna</v>
      </c>
      <c r="F576" t="str">
        <f t="shared" ca="1" si="8"/>
        <v>"2084048294" : "Đối với Herabuna",</v>
      </c>
    </row>
    <row r="577" spans="1:6" ht="15.75" customHeight="1">
      <c r="A577" s="14">
        <v>2084048293</v>
      </c>
      <c r="B577" s="14" t="s">
        <v>10927</v>
      </c>
      <c r="C577" s="14" t="s">
        <v>10928</v>
      </c>
      <c r="D577" s="5" t="str">
        <f ca="1">IFERROR(__xludf.DUMMYFUNCTION("GOOGLETRANSLATE(B577,""ja"",""vi"")"),"quyến rũ")</f>
        <v>quyến rũ</v>
      </c>
      <c r="E577" s="5" t="str">
        <f ca="1">IFERROR(__xludf.DUMMYFUNCTION("GOOGLETRANSLATE(C577,""ja"",""vi"")"),"Đấu giá&gt; thể thao, giải trí&gt; cá&gt; câu cá dòng, dòng&gt; cho mồi")</f>
        <v>Đấu giá&gt; thể thao, giải trí&gt; cá&gt; câu cá dòng, dòng&gt; cho mồi</v>
      </c>
      <c r="F577" t="str">
        <f t="shared" ca="1" si="8"/>
        <v>"2084048293" : "quyến rũ",</v>
      </c>
    </row>
    <row r="578" spans="1:6" ht="15.75" customHeight="1">
      <c r="A578" s="14">
        <v>2084048288</v>
      </c>
      <c r="B578" s="14" t="s">
        <v>10934</v>
      </c>
      <c r="C578" s="14" t="s">
        <v>10936</v>
      </c>
      <c r="D578" s="5" t="str">
        <f ca="1">IFERROR(__xludf.DUMMYFUNCTION("GOOGLETRANSLATE(B578,""ja"",""vi"")"),"Đối với Iso")</f>
        <v>Đối với Iso</v>
      </c>
      <c r="E578" s="5" t="str">
        <f ca="1">IFERROR(__xludf.DUMMYFUNCTION("GOOGLETRANSLATE(C578,""ja"",""vi"")"),"Đấu giá&gt; thể thao, giải trí&gt; cá&gt; câu cá dòng, dòng&gt; cho Iso")</f>
        <v>Đấu giá&gt; thể thao, giải trí&gt; cá&gt; câu cá dòng, dòng&gt; cho Iso</v>
      </c>
      <c r="F578" t="str">
        <f t="shared" ref="F578:F641" ca="1" si="9">CONCATENATE(CHAR(34)&amp;"",A578,""&amp;CHAR(34)," : ", CHAR(34)&amp;"",D578,""&amp;CHAR(34),",")</f>
        <v>"2084048288" : "Đối với Iso",</v>
      </c>
    </row>
    <row r="579" spans="1:6" ht="15.75" customHeight="1">
      <c r="A579" s="14">
        <v>2084048289</v>
      </c>
      <c r="B579" s="14" t="s">
        <v>10940</v>
      </c>
      <c r="C579" s="14" t="s">
        <v>10942</v>
      </c>
      <c r="D579" s="5" t="str">
        <f ca="1">IFERROR(__xludf.DUMMYFUNCTION("GOOGLETRANSLATE(B579,""ja"",""vi"")"),"Đối với dòng núi")</f>
        <v>Đối với dòng núi</v>
      </c>
      <c r="E579" s="5" t="str">
        <f ca="1">IFERROR(__xludf.DUMMYFUNCTION("GOOGLETRANSLATE(C579,""ja"",""vi"")"),"Đấu giá&gt; thể thao, giải trí&gt; cá&gt; câu cá dòng, dòng&gt; cho suối núi")</f>
        <v>Đấu giá&gt; thể thao, giải trí&gt; cá&gt; câu cá dòng, dòng&gt; cho suối núi</v>
      </c>
      <c r="F579" t="str">
        <f t="shared" ca="1" si="9"/>
        <v>"2084048289" : "Đối với dòng núi",</v>
      </c>
    </row>
    <row r="580" spans="1:6" ht="15.75" customHeight="1">
      <c r="A580" s="14">
        <v>2084048292</v>
      </c>
      <c r="B580" s="14" t="s">
        <v>10811</v>
      </c>
      <c r="C580" s="14" t="s">
        <v>10947</v>
      </c>
      <c r="D580" s="5" t="str">
        <f ca="1">IFERROR(__xludf.DUMMYFUNCTION("GOOGLETRANSLATE(B580,""ja"",""vi"")"),"ở biển")</f>
        <v>ở biển</v>
      </c>
      <c r="E580" s="5" t="str">
        <f ca="1">IFERROR(__xludf.DUMMYFUNCTION("GOOGLETRANSLATE(C580,""ja"",""vi"")"),"Đấu giá&gt; thể thao, giải trí&gt; cá&gt; câu cá dòng, dòng&gt; biển")</f>
        <v>Đấu giá&gt; thể thao, giải trí&gt; cá&gt; câu cá dòng, dòng&gt; biển</v>
      </c>
      <c r="F580" t="str">
        <f t="shared" ca="1" si="9"/>
        <v>"2084048292" : "ở biển",</v>
      </c>
    </row>
    <row r="581" spans="1:6" ht="15.75" customHeight="1">
      <c r="A581" s="14">
        <v>2084048290</v>
      </c>
      <c r="B581" s="14" t="s">
        <v>10950</v>
      </c>
      <c r="C581" s="14" t="s">
        <v>10952</v>
      </c>
      <c r="D581" s="5" t="str">
        <f ca="1">IFERROR(__xludf.DUMMYFUNCTION("GOOGLETRANSLATE(B581,""ja"",""vi"")"),"Đối ném")</f>
        <v>Đối ném</v>
      </c>
      <c r="E581" s="5" t="str">
        <f ca="1">IFERROR(__xludf.DUMMYFUNCTION("GOOGLETRANSLATE(C581,""ja"",""vi"")"),"Đấu giá&gt; thể thao, giải trí&gt; cá&gt; câu cá dòng, dòng&gt; cho ném")</f>
        <v>Đấu giá&gt; thể thao, giải trí&gt; cá&gt; câu cá dòng, dòng&gt; cho ném</v>
      </c>
      <c r="F581" t="str">
        <f t="shared" ca="1" si="9"/>
        <v>"2084048290" : "Đối ném",</v>
      </c>
    </row>
    <row r="582" spans="1:6" ht="15.75" customHeight="1">
      <c r="A582" s="14">
        <v>2084048295</v>
      </c>
      <c r="B582" s="14" t="s">
        <v>46</v>
      </c>
      <c r="C582" s="14" t="s">
        <v>10957</v>
      </c>
      <c r="D582" s="5" t="str">
        <f ca="1">IFERROR(__xludf.DUMMYFUNCTION("GOOGLETRANSLATE(B582,""ja"",""vi"")"),"nếu không thì")</f>
        <v>nếu không thì</v>
      </c>
      <c r="E582" s="5" t="str">
        <f ca="1">IFERROR(__xludf.DUMMYFUNCTION("GOOGLETRANSLATE(C582,""ja"",""vi"")"),"Đấu giá&gt; thể thao, giải trí&gt; cá&gt; dây câu, dòng&gt; Khác")</f>
        <v>Đấu giá&gt; thể thao, giải trí&gt; cá&gt; dây câu, dòng&gt; Khác</v>
      </c>
      <c r="F582" t="str">
        <f t="shared" ca="1" si="9"/>
        <v>"2084048295" : "nếu không thì",</v>
      </c>
    </row>
    <row r="583" spans="1:6" ht="15.75" customHeight="1">
      <c r="A583" s="14">
        <v>2084203065</v>
      </c>
      <c r="B583" s="14" t="s">
        <v>10777</v>
      </c>
      <c r="C583" s="14" t="s">
        <v>10962</v>
      </c>
      <c r="D583" s="5" t="str">
        <f ca="1">IFERROR(__xludf.DUMMYFUNCTION("GOOGLETRANSLATE(B583,""ja"",""vi"")"),"nước biển")</f>
        <v>nước biển</v>
      </c>
      <c r="E583" s="5" t="str">
        <f ca="1">IFERROR(__xludf.DUMMYFUNCTION("GOOGLETRANSLATE(C583,""ja"",""vi"")"),"Đấu giá&gt; thể thao, giải trí&gt; cá&gt; lưỡi câu cá&gt; nước biển")</f>
        <v>Đấu giá&gt; thể thao, giải trí&gt; cá&gt; lưỡi câu cá&gt; nước biển</v>
      </c>
      <c r="F583" t="str">
        <f t="shared" ca="1" si="9"/>
        <v>"2084203065" : "nước biển",</v>
      </c>
    </row>
    <row r="584" spans="1:6" ht="15.75" customHeight="1">
      <c r="A584" s="14">
        <v>2084203066</v>
      </c>
      <c r="B584" s="14" t="s">
        <v>10783</v>
      </c>
      <c r="C584" s="14" t="s">
        <v>10967</v>
      </c>
      <c r="D584" s="5" t="str">
        <f ca="1">IFERROR(__xludf.DUMMYFUNCTION("GOOGLETRANSLATE(B584,""ja"",""vi"")"),"nước ngọt")</f>
        <v>nước ngọt</v>
      </c>
      <c r="E584" s="5" t="str">
        <f ca="1">IFERROR(__xludf.DUMMYFUNCTION("GOOGLETRANSLATE(C584,""ja"",""vi"")"),"Đấu giá&gt; thể thao, giải trí&gt; cá&gt; lưỡi câu cá&gt; nước ngọt")</f>
        <v>Đấu giá&gt; thể thao, giải trí&gt; cá&gt; lưỡi câu cá&gt; nước ngọt</v>
      </c>
      <c r="F584" t="str">
        <f t="shared" ca="1" si="9"/>
        <v>"2084203066" : "nước ngọt",</v>
      </c>
    </row>
    <row r="585" spans="1:6" ht="15.75" customHeight="1">
      <c r="A585" s="14">
        <v>2084303127</v>
      </c>
      <c r="B585" s="14" t="s">
        <v>10972</v>
      </c>
      <c r="C585" s="14" t="s">
        <v>10973</v>
      </c>
      <c r="D585" s="5" t="str">
        <f ca="1">IFERROR(__xludf.DUMMYFUNCTION("GOOGLETRANSLATE(B585,""ja"",""vi"")"),"Rod phao")</f>
        <v>Rod phao</v>
      </c>
      <c r="E585" s="5" t="str">
        <f ca="1">IFERROR(__xludf.DUMMYFUNCTION("GOOGLETRANSLATE(C585,""ja"",""vi"")"),"Đấu giá&gt; thể thao, giải trí&gt; cá&gt; float&gt; que phao")</f>
        <v>Đấu giá&gt; thể thao, giải trí&gt; cá&gt; float&gt; que phao</v>
      </c>
      <c r="F585" t="str">
        <f t="shared" ca="1" si="9"/>
        <v>"2084303127" : "Rod phao",</v>
      </c>
    </row>
    <row r="586" spans="1:6" ht="15.75" customHeight="1">
      <c r="A586" s="14">
        <v>2084303133</v>
      </c>
      <c r="B586" s="14" t="s">
        <v>10977</v>
      </c>
      <c r="C586" s="14" t="s">
        <v>10980</v>
      </c>
      <c r="D586" s="5" t="str">
        <f ca="1">IFERROR(__xludf.DUMMYFUNCTION("GOOGLETRANSLATE(B586,""ja"",""vi"")"),"bóng phao")</f>
        <v>bóng phao</v>
      </c>
      <c r="E586" s="5" t="str">
        <f ca="1">IFERROR(__xludf.DUMMYFUNCTION("GOOGLETRANSLATE(C586,""ja"",""vi"")"),"Đấu giá&gt; thể thao, giải trí&gt; cá&gt; float&gt; bóng phao")</f>
        <v>Đấu giá&gt; thể thao, giải trí&gt; cá&gt; float&gt; bóng phao</v>
      </c>
      <c r="F586" t="str">
        <f t="shared" ca="1" si="9"/>
        <v>"2084303133" : "bóng phao",</v>
      </c>
    </row>
    <row r="587" spans="1:6" ht="15.75" customHeight="1">
      <c r="A587" s="14">
        <v>2084303128</v>
      </c>
      <c r="B587" s="14" t="s">
        <v>10983</v>
      </c>
      <c r="C587" s="14" t="s">
        <v>10986</v>
      </c>
      <c r="D587" s="5" t="str">
        <f ca="1">IFERROR(__xludf.DUMMYFUNCTION("GOOGLETRANSLATE(B587,""ja"",""vi"")"),"phao độc lập")</f>
        <v>phao độc lập</v>
      </c>
      <c r="E587" s="5" t="str">
        <f ca="1">IFERROR(__xludf.DUMMYFUNCTION("GOOGLETRANSLATE(C587,""ja"",""vi"")"),"Đấu giá&gt; thể thao, giải trí&gt; cá&gt; float&gt; độc lập phao")</f>
        <v>Đấu giá&gt; thể thao, giải trí&gt; cá&gt; float&gt; độc lập phao</v>
      </c>
      <c r="F587" t="str">
        <f t="shared" ca="1" si="9"/>
        <v>"2084303128" : "phao độc lập",</v>
      </c>
    </row>
    <row r="588" spans="1:6" ht="15.75" customHeight="1">
      <c r="A588" s="14">
        <v>2084303129</v>
      </c>
      <c r="B588" s="14" t="s">
        <v>10989</v>
      </c>
      <c r="C588" s="14" t="s">
        <v>10992</v>
      </c>
      <c r="D588" s="5" t="str">
        <f ca="1">IFERROR(__xludf.DUMMYFUNCTION("GOOGLETRANSLATE(B588,""ja"",""vi"")"),"Nón, acorns nổi")</f>
        <v>Nón, acorns nổi</v>
      </c>
      <c r="E588" s="5" t="str">
        <f ca="1">IFERROR(__xludf.DUMMYFUNCTION("GOOGLETRANSLATE(C588,""ja"",""vi"")"),"Đấu giá&gt; thể thao, giải trí&gt; cá&gt; float&gt; nón, float acorn")</f>
        <v>Đấu giá&gt; thể thao, giải trí&gt; cá&gt; float&gt; nón, float acorn</v>
      </c>
      <c r="F588" t="str">
        <f t="shared" ca="1" si="9"/>
        <v>"2084303129" : "Nón, acorns nổi",</v>
      </c>
    </row>
    <row r="589" spans="1:6" ht="15.75" customHeight="1">
      <c r="A589" s="14">
        <v>2084303130</v>
      </c>
      <c r="B589" s="14" t="s">
        <v>10996</v>
      </c>
      <c r="C589" s="14" t="s">
        <v>10999</v>
      </c>
      <c r="D589" s="5" t="str">
        <f ca="1">IFERROR(__xludf.DUMMYFUNCTION("GOOGLETRANSLATE(B589,""ja"",""vi"")"),"float điện")</f>
        <v>float điện</v>
      </c>
      <c r="E589" s="5" t="str">
        <f ca="1">IFERROR(__xludf.DUMMYFUNCTION("GOOGLETRANSLATE(C589,""ja"",""vi"")"),"Đấu giá&gt; thể thao, giải trí&gt; cá&gt; float&gt; phao điện")</f>
        <v>Đấu giá&gt; thể thao, giải trí&gt; cá&gt; float&gt; phao điện</v>
      </c>
      <c r="F589" t="str">
        <f t="shared" ca="1" si="9"/>
        <v>"2084303130" : "float điện",</v>
      </c>
    </row>
    <row r="590" spans="1:6" ht="15.75" customHeight="1">
      <c r="A590" s="14">
        <v>2084303131</v>
      </c>
      <c r="B590" s="14" t="s">
        <v>11002</v>
      </c>
      <c r="C590" s="14" t="s">
        <v>11005</v>
      </c>
      <c r="D590" s="5" t="str">
        <f ca="1">IFERROR(__xludf.DUMMYFUNCTION("GOOGLETRANSLATE(B590,""ja"",""vi"")"),"phao nước")</f>
        <v>phao nước</v>
      </c>
      <c r="E590" s="5" t="str">
        <f ca="1">IFERROR(__xludf.DUMMYFUNCTION("GOOGLETRANSLATE(C590,""ja"",""vi"")"),"Đấu giá&gt; thể thao, giải trí&gt; cá&gt; float&gt; phao nước")</f>
        <v>Đấu giá&gt; thể thao, giải trí&gt; cá&gt; float&gt; phao nước</v>
      </c>
      <c r="F590" t="str">
        <f t="shared" ca="1" si="9"/>
        <v>"2084303131" : "phao nước",</v>
      </c>
    </row>
    <row r="591" spans="1:6" ht="15.75" customHeight="1">
      <c r="A591" s="14">
        <v>2084303132</v>
      </c>
      <c r="B591" s="14" t="s">
        <v>46</v>
      </c>
      <c r="C591" s="14" t="s">
        <v>11010</v>
      </c>
      <c r="D591" s="5" t="str">
        <f ca="1">IFERROR(__xludf.DUMMYFUNCTION("GOOGLETRANSLATE(B591,""ja"",""vi"")"),"nếu không thì")</f>
        <v>nếu không thì</v>
      </c>
      <c r="E591" s="5" t="str">
        <f ca="1">IFERROR(__xludf.DUMMYFUNCTION("GOOGLETRANSLATE(C591,""ja"",""vi"")"),"Đấu giá&gt; thể thao, giải trí&gt; cá&gt; float&gt; Khác")</f>
        <v>Đấu giá&gt; thể thao, giải trí&gt; cá&gt; float&gt; Khác</v>
      </c>
      <c r="F591" t="str">
        <f t="shared" ca="1" si="9"/>
        <v>"2084303132" : "nếu không thì",</v>
      </c>
    </row>
    <row r="592" spans="1:6" ht="15.75" customHeight="1">
      <c r="A592" s="14">
        <v>2084302929</v>
      </c>
      <c r="B592" s="14" t="s">
        <v>11013</v>
      </c>
      <c r="C592" s="14" t="s">
        <v>11015</v>
      </c>
      <c r="D592" s="5" t="str">
        <f ca="1">IFERROR(__xludf.DUMMYFUNCTION("GOOGLETRANSLATE(B592,""ja"",""vi"")"),"live mồi")</f>
        <v>live mồi</v>
      </c>
      <c r="E592" s="5" t="str">
        <f ca="1">IFERROR(__xludf.DUMMYFUNCTION("GOOGLETRANSLATE(C592,""ja"",""vi"")"),"Đấu giá&gt; Thể thao, Giải trí&gt; Câu cá&gt; mồi&gt; mồi sống")</f>
        <v>Đấu giá&gt; Thể thao, Giải trí&gt; Câu cá&gt; mồi&gt; mồi sống</v>
      </c>
      <c r="F592" t="str">
        <f t="shared" ca="1" si="9"/>
        <v>"2084302929" : "live mồi",</v>
      </c>
    </row>
    <row r="593" spans="1:6" ht="15.75" customHeight="1">
      <c r="A593" s="14">
        <v>2084302932</v>
      </c>
      <c r="B593" s="14" t="s">
        <v>11017</v>
      </c>
      <c r="C593" s="14" t="s">
        <v>11018</v>
      </c>
      <c r="D593" s="5" t="str">
        <f ca="1">IFERROR(__xludf.DUMMYFUNCTION("GOOGLETRANSLATE(B593,""ja"",""vi"")"),"thức ăn hỗn hợp")</f>
        <v>thức ăn hỗn hợp</v>
      </c>
      <c r="E593" s="5" t="str">
        <f ca="1">IFERROR(__xludf.DUMMYFUNCTION("GOOGLETRANSLATE(C593,""ja"",""vi"")"),"Đấu giá&gt; Thể thao, Giải trí&gt; Câu cá&gt; mồi&gt; thức ăn hỗn hợp")</f>
        <v>Đấu giá&gt; Thể thao, Giải trí&gt; Câu cá&gt; mồi&gt; thức ăn hỗn hợp</v>
      </c>
      <c r="F593" t="str">
        <f t="shared" ca="1" si="9"/>
        <v>"2084302932" : "thức ăn hỗn hợp",</v>
      </c>
    </row>
    <row r="594" spans="1:6" ht="15.75" customHeight="1">
      <c r="A594" s="14">
        <v>2084302930</v>
      </c>
      <c r="B594" s="14" t="s">
        <v>11023</v>
      </c>
      <c r="C594" s="14" t="s">
        <v>11025</v>
      </c>
      <c r="D594" s="5" t="str">
        <f ca="1">IFERROR(__xludf.DUMMYFUNCTION("GOOGLETRANSLATE(B594,""ja"",""vi"")"),"thực phẩm đông lạnh")</f>
        <v>thực phẩm đông lạnh</v>
      </c>
      <c r="E594" s="5" t="str">
        <f ca="1">IFERROR(__xludf.DUMMYFUNCTION("GOOGLETRANSLATE(C594,""ja"",""vi"")"),"Đấu giá&gt; Thể thao, Giải trí&gt; Câu cá&gt; thực phẩm&gt; thực phẩm đông lạnh")</f>
        <v>Đấu giá&gt; Thể thao, Giải trí&gt; Câu cá&gt; thực phẩm&gt; thực phẩm đông lạnh</v>
      </c>
      <c r="F594" t="str">
        <f t="shared" ca="1" si="9"/>
        <v>"2084302930" : "thực phẩm đông lạnh",</v>
      </c>
    </row>
    <row r="595" spans="1:6" ht="15.75" customHeight="1">
      <c r="A595" s="14">
        <v>2084302931</v>
      </c>
      <c r="B595" s="14" t="s">
        <v>11028</v>
      </c>
      <c r="C595" s="14" t="s">
        <v>11030</v>
      </c>
      <c r="D595" s="5" t="str">
        <f ca="1">IFERROR(__xludf.DUMMYFUNCTION("GOOGLETRANSLATE(B595,""ja"",""vi"")"),"Neri mồi")</f>
        <v>Neri mồi</v>
      </c>
      <c r="E595" s="5" t="str">
        <f ca="1">IFERROR(__xludf.DUMMYFUNCTION("GOOGLETRANSLATE(C595,""ja"",""vi"")"),"Đấu giá&gt; Thể thao, Giải trí&gt; Câu cá&gt; mồi&gt; Neri mồi")</f>
        <v>Đấu giá&gt; Thể thao, Giải trí&gt; Câu cá&gt; mồi&gt; Neri mồi</v>
      </c>
      <c r="F595" t="str">
        <f t="shared" ca="1" si="9"/>
        <v>"2084302931" : "Neri mồi",</v>
      </c>
    </row>
    <row r="596" spans="1:6" ht="15.75" customHeight="1">
      <c r="A596" s="14">
        <v>2084302933</v>
      </c>
      <c r="B596" s="14" t="s">
        <v>46</v>
      </c>
      <c r="C596" s="14" t="s">
        <v>11035</v>
      </c>
      <c r="D596" s="5" t="str">
        <f ca="1">IFERROR(__xludf.DUMMYFUNCTION("GOOGLETRANSLATE(B596,""ja"",""vi"")"),"nếu không thì")</f>
        <v>nếu không thì</v>
      </c>
      <c r="E596" s="5" t="str">
        <f ca="1">IFERROR(__xludf.DUMMYFUNCTION("GOOGLETRANSLATE(C596,""ja"",""vi"")"),"Đấu giá&gt; Thể thao, Giải trí&gt; Câu cá&gt; mồi&gt; Khác")</f>
        <v>Đấu giá&gt; Thể thao, Giải trí&gt; Câu cá&gt; mồi&gt; Khác</v>
      </c>
      <c r="F596" t="str">
        <f t="shared" ca="1" si="9"/>
        <v>"2084302933" : "nếu không thì",</v>
      </c>
    </row>
    <row r="597" spans="1:6" ht="15.75" customHeight="1">
      <c r="A597" s="14">
        <v>2084048416</v>
      </c>
      <c r="B597" s="14" t="s">
        <v>1685</v>
      </c>
      <c r="C597" s="14" t="s">
        <v>11039</v>
      </c>
      <c r="D597" s="5" t="str">
        <f ca="1">IFERROR(__xludf.DUMMYFUNCTION("GOOGLETRANSLATE(B597,""ja"",""vi"")"),"phụ kiện")</f>
        <v>phụ kiện</v>
      </c>
      <c r="E597" s="5" t="str">
        <f ca="1">IFERROR(__xludf.DUMMYFUNCTION("GOOGLETRANSLATE(C597,""ja"",""vi"")"),"Đấu giá&gt; thể thao, giải trí&gt; cá&gt; bay cung cấp&gt; Accessories")</f>
        <v>Đấu giá&gt; thể thao, giải trí&gt; cá&gt; bay cung cấp&gt; Accessories</v>
      </c>
      <c r="F597" t="str">
        <f t="shared" ca="1" si="9"/>
        <v>"2084048416" : "phụ kiện",</v>
      </c>
    </row>
    <row r="598" spans="1:6" ht="15.75" customHeight="1">
      <c r="A598" s="14">
        <v>2084046859</v>
      </c>
      <c r="B598" s="14" t="s">
        <v>11044</v>
      </c>
      <c r="C598" s="14" t="s">
        <v>11047</v>
      </c>
      <c r="D598" s="5" t="str">
        <f ca="1">IFERROR(__xludf.DUMMYFUNCTION("GOOGLETRANSLATE(B598,""ja"",""vi"")"),"Vật liệu Fly")</f>
        <v>Vật liệu Fly</v>
      </c>
      <c r="E598" s="5" t="str">
        <f ca="1">IFERROR(__xludf.DUMMYFUNCTION("GOOGLETRANSLATE(C598,""ja"",""vi"")"),"Đấu giá&gt; thể thao, giải trí&gt; cá&gt; bay cung cấp&gt; bay liệu")</f>
        <v>Đấu giá&gt; thể thao, giải trí&gt; cá&gt; bay cung cấp&gt; bay liệu</v>
      </c>
      <c r="F598" t="str">
        <f t="shared" ca="1" si="9"/>
        <v>"2084046859" : "Vật liệu Fly",</v>
      </c>
    </row>
    <row r="599" spans="1:6" ht="15.75" customHeight="1">
      <c r="A599" s="14">
        <v>2084007561</v>
      </c>
      <c r="B599" s="14" t="s">
        <v>10804</v>
      </c>
      <c r="C599" s="14" t="s">
        <v>11053</v>
      </c>
      <c r="D599" s="5" t="str">
        <f ca="1">IFERROR(__xludf.DUMMYFUNCTION("GOOGLETRANSLATE(B599,""ja"",""vi"")"),"Fly Reels")</f>
        <v>Fly Reels</v>
      </c>
      <c r="E599" s="5" t="str">
        <f ca="1">IFERROR(__xludf.DUMMYFUNCTION("GOOGLETRANSLATE(C599,""ja"",""vi"")"),"Đấu giá&gt; thể thao, giải trí&gt; cá&gt; bay cung cấp&gt; Fly Reels")</f>
        <v>Đấu giá&gt; thể thao, giải trí&gt; cá&gt; bay cung cấp&gt; Fly Reels</v>
      </c>
      <c r="F599" t="str">
        <f t="shared" ca="1" si="9"/>
        <v>"2084007561" : "Fly Reels",</v>
      </c>
    </row>
    <row r="600" spans="1:6" ht="15.75" customHeight="1">
      <c r="A600" s="14">
        <v>2084007559</v>
      </c>
      <c r="B600" s="14" t="s">
        <v>11055</v>
      </c>
      <c r="C600" s="14" t="s">
        <v>11058</v>
      </c>
      <c r="D600" s="5" t="str">
        <f ca="1">IFERROR(__xludf.DUMMYFUNCTION("GOOGLETRANSLATE(B600,""ja"",""vi"")"),"Fly que")</f>
        <v>Fly que</v>
      </c>
      <c r="E600" s="5" t="str">
        <f ca="1">IFERROR(__xludf.DUMMYFUNCTION("GOOGLETRANSLATE(C600,""ja"",""vi"")"),"Đấu giá&gt; thể thao, giải trí&gt; cá&gt; bay cung cấp&gt; bay que")</f>
        <v>Đấu giá&gt; thể thao, giải trí&gt; cá&gt; bay cung cấp&gt; bay que</v>
      </c>
      <c r="F600" t="str">
        <f t="shared" ca="1" si="9"/>
        <v>"2084007559" : "Fly que",</v>
      </c>
    </row>
    <row r="601" spans="1:6" ht="15.75" customHeight="1">
      <c r="A601" s="14">
        <v>2084049784</v>
      </c>
      <c r="B601" s="14" t="s">
        <v>10837</v>
      </c>
      <c r="C601" s="14" t="s">
        <v>11064</v>
      </c>
      <c r="D601" s="5" t="str">
        <f ca="1">IFERROR(__xludf.DUMMYFUNCTION("GOOGLETRANSLATE(B601,""ja"",""vi"")"),"đường dây")</f>
        <v>đường dây</v>
      </c>
      <c r="E601" s="5" t="str">
        <f ca="1">IFERROR(__xludf.DUMMYFUNCTION("GOOGLETRANSLATE(C601,""ja"",""vi"")"),"Đấu giá&gt; thể thao, giải trí&gt; cá&gt; bay cung cấp&gt; dòng")</f>
        <v>Đấu giá&gt; thể thao, giải trí&gt; cá&gt; bay cung cấp&gt; dòng</v>
      </c>
      <c r="F601" t="str">
        <f t="shared" ca="1" si="9"/>
        <v>"2084049784" : "đường dây",</v>
      </c>
    </row>
    <row r="602" spans="1:6" ht="15.75" customHeight="1">
      <c r="A602" s="14">
        <v>2084007557</v>
      </c>
      <c r="B602" s="14" t="s">
        <v>11067</v>
      </c>
      <c r="C602" s="14" t="s">
        <v>11070</v>
      </c>
      <c r="D602" s="5" t="str">
        <f ca="1">IFERROR(__xludf.DUMMYFUNCTION("GOOGLETRANSLATE(B602,""ja"",""vi"")"),"fly thành phẩm")</f>
        <v>fly thành phẩm</v>
      </c>
      <c r="E602" s="5" t="str">
        <f ca="1">IFERROR(__xludf.DUMMYFUNCTION("GOOGLETRANSLATE(C602,""ja"",""vi"")"),"Đấu giá&gt; thể thao, giải trí&gt; cá&gt; bay cung cấp&gt; sản phẩm cuối cùng bay")</f>
        <v>Đấu giá&gt; thể thao, giải trí&gt; cá&gt; bay cung cấp&gt; sản phẩm cuối cùng bay</v>
      </c>
      <c r="F602" t="str">
        <f t="shared" ca="1" si="9"/>
        <v>"2084007557" : "fly thành phẩm",</v>
      </c>
    </row>
    <row r="603" spans="1:6" ht="15.75" customHeight="1">
      <c r="A603" s="14">
        <v>2084007558</v>
      </c>
      <c r="B603" s="14" t="s">
        <v>46</v>
      </c>
      <c r="C603" s="14" t="s">
        <v>11075</v>
      </c>
      <c r="D603" s="5" t="str">
        <f ca="1">IFERROR(__xludf.DUMMYFUNCTION("GOOGLETRANSLATE(B603,""ja"",""vi"")"),"nếu không thì")</f>
        <v>nếu không thì</v>
      </c>
      <c r="E603" s="5" t="str">
        <f ca="1">IFERROR(__xludf.DUMMYFUNCTION("GOOGLETRANSLATE(C603,""ja"",""vi"")"),"Đấu giá&gt; thể thao, giải trí&gt; cá&gt; bay tư&gt; Khác")</f>
        <v>Đấu giá&gt; thể thao, giải trí&gt; cá&gt; bay tư&gt; Khác</v>
      </c>
      <c r="F603" t="str">
        <f t="shared" ca="1" si="9"/>
        <v>"2084007558" : "nếu không thì",</v>
      </c>
    </row>
    <row r="604" spans="1:6" ht="15.75" customHeight="1">
      <c r="A604" s="14">
        <v>2084047893</v>
      </c>
      <c r="B604" s="14" t="s">
        <v>11078</v>
      </c>
      <c r="C604" s="14" t="s">
        <v>11081</v>
      </c>
      <c r="D604" s="5" t="str">
        <f ca="1">IFERROR(__xludf.DUMMYFUNCTION("GOOGLETRANSLATE(B604,""ja"",""vi"")"),"Ayu que")</f>
        <v>Ayu que</v>
      </c>
      <c r="E604" s="5" t="str">
        <f ca="1">IFERROR(__xludf.DUMMYFUNCTION("GOOGLETRANSLATE(C604,""ja"",""vi"")"),"Đấu giá&gt; Thể thao, Giải trí&gt; Câu cá&gt; Ayu Vật tư&gt; Ayu que")</f>
        <v>Đấu giá&gt; Thể thao, Giải trí&gt; Câu cá&gt; Ayu Vật tư&gt; Ayu que</v>
      </c>
      <c r="F604" t="str">
        <f t="shared" ca="1" si="9"/>
        <v>"2084047893" : "Ayu que",</v>
      </c>
    </row>
    <row r="605" spans="1:6" ht="15.75" customHeight="1">
      <c r="A605" s="14">
        <v>2084047895</v>
      </c>
      <c r="B605" s="14" t="s">
        <v>11083</v>
      </c>
      <c r="C605" s="14" t="s">
        <v>11086</v>
      </c>
      <c r="D605" s="5" t="str">
        <f ca="1">IFERROR(__xludf.DUMMYFUNCTION("GOOGLETRANSLATE(B605,""ja"",""vi"")"),"Ayu cho quần áo")</f>
        <v>Ayu cho quần áo</v>
      </c>
      <c r="E605" s="5" t="str">
        <f ca="1">IFERROR(__xludf.DUMMYFUNCTION("GOOGLETRANSLATE(C605,""ja"",""vi"")"),"Đấu giá&gt; Thể thao, Giải trí&gt; Câu cá&gt; Đồ Ayu&gt; Ayu cho quần áo")</f>
        <v>Đấu giá&gt; Thể thao, Giải trí&gt; Câu cá&gt; Đồ Ayu&gt; Ayu cho quần áo</v>
      </c>
      <c r="F605" t="str">
        <f t="shared" ca="1" si="9"/>
        <v>"2084047895" : "Ayu cho quần áo",</v>
      </c>
    </row>
    <row r="606" spans="1:6" ht="15.75" customHeight="1">
      <c r="A606" s="14">
        <v>2084047896</v>
      </c>
      <c r="B606" s="14" t="s">
        <v>11090</v>
      </c>
      <c r="C606" s="14" t="s">
        <v>11092</v>
      </c>
      <c r="D606" s="5" t="str">
        <f ca="1">IFERROR(__xludf.DUMMYFUNCTION("GOOGLETRANSLATE(B606,""ja"",""vi"")"),"lon decoy")</f>
        <v>lon decoy</v>
      </c>
      <c r="E606" s="5" t="str">
        <f ca="1">IFERROR(__xludf.DUMMYFUNCTION("GOOGLETRANSLATE(C606,""ja"",""vi"")"),"Đấu giá&gt; Thể thao, Giải trí&gt; Câu cá&gt; Ayu Vật tư&gt; lon mồi")</f>
        <v>Đấu giá&gt; Thể thao, Giải trí&gt; Câu cá&gt; Ayu Vật tư&gt; lon mồi</v>
      </c>
      <c r="F606" t="str">
        <f t="shared" ca="1" si="9"/>
        <v>"2084047896" : "lon decoy",</v>
      </c>
    </row>
    <row r="607" spans="1:6" ht="15.75" customHeight="1">
      <c r="A607" s="14">
        <v>2084048502</v>
      </c>
      <c r="B607" s="14" t="s">
        <v>11096</v>
      </c>
      <c r="C607" s="14" t="s">
        <v>11097</v>
      </c>
      <c r="D607" s="5" t="str">
        <f ca="1">IFERROR(__xludf.DUMMYFUNCTION("GOOGLETRANSLATE(B607,""ja"",""vi"")"),"Tamo")</f>
        <v>Tamo</v>
      </c>
      <c r="E607" s="5" t="str">
        <f ca="1">IFERROR(__xludf.DUMMYFUNCTION("GOOGLETRANSLATE(C607,""ja"",""vi"")"),"Đấu giá&gt; Thể thao, Giải trí&gt; Câu cá&gt; Đồ Ayu&gt; Tamo")</f>
        <v>Đấu giá&gt; Thể thao, Giải trí&gt; Câu cá&gt; Đồ Ayu&gt; Tamo</v>
      </c>
      <c r="F607" t="str">
        <f t="shared" ca="1" si="9"/>
        <v>"2084048502" : "Tamo",</v>
      </c>
    </row>
    <row r="608" spans="1:6" ht="15.75" customHeight="1">
      <c r="A608" s="14">
        <v>2084048286</v>
      </c>
      <c r="B608" s="14" t="s">
        <v>10837</v>
      </c>
      <c r="C608" s="14" t="s">
        <v>11102</v>
      </c>
      <c r="D608" s="5" t="str">
        <f ca="1">IFERROR(__xludf.DUMMYFUNCTION("GOOGLETRANSLATE(B608,""ja"",""vi"")"),"đường dây")</f>
        <v>đường dây</v>
      </c>
      <c r="E608" s="5" t="str">
        <f ca="1">IFERROR(__xludf.DUMMYFUNCTION("GOOGLETRANSLATE(C608,""ja"",""vi"")"),"Đấu giá&gt; Thể thao, Giải trí&gt; Câu cá&gt; Ayu Vật tư&gt; dòng")</f>
        <v>Đấu giá&gt; Thể thao, Giải trí&gt; Câu cá&gt; Ayu Vật tư&gt; dòng</v>
      </c>
      <c r="F608" t="str">
        <f t="shared" ca="1" si="9"/>
        <v>"2084048286" : "đường dây",</v>
      </c>
    </row>
    <row r="609" spans="1:6" ht="15.75" customHeight="1">
      <c r="A609" s="14">
        <v>2084047897</v>
      </c>
      <c r="B609" s="14" t="s">
        <v>11107</v>
      </c>
      <c r="C609" s="14" t="s">
        <v>11108</v>
      </c>
      <c r="D609" s="5" t="str">
        <f ca="1">IFERROR(__xludf.DUMMYFUNCTION("GOOGLETRANSLATE(B609,""ja"",""vi"")"),"引 舟")</f>
        <v>引 舟</v>
      </c>
      <c r="E609" s="5" t="str">
        <f ca="1">IFERROR(__xludf.DUMMYFUNCTION("GOOGLETRANSLATE(C609,""ja"",""vi"")"),"Đấu giá&gt; Thể thao, Giải trí&gt; Câu cá&gt; Ayu và vườn&gt; 引 舟")</f>
        <v>Đấu giá&gt; Thể thao, Giải trí&gt; Câu cá&gt; Ayu và vườn&gt; 引 舟</v>
      </c>
      <c r="F609" t="str">
        <f t="shared" ca="1" si="9"/>
        <v>"2084047897" : "引 舟",</v>
      </c>
    </row>
    <row r="610" spans="1:6" ht="15.75" customHeight="1">
      <c r="A610" s="14">
        <v>2084047898</v>
      </c>
      <c r="B610" s="14" t="s">
        <v>46</v>
      </c>
      <c r="C610" s="14" t="s">
        <v>11113</v>
      </c>
      <c r="D610" s="5" t="str">
        <f ca="1">IFERROR(__xludf.DUMMYFUNCTION("GOOGLETRANSLATE(B610,""ja"",""vi"")"),"nếu không thì")</f>
        <v>nếu không thì</v>
      </c>
      <c r="E610" s="5" t="str">
        <f ca="1">IFERROR(__xludf.DUMMYFUNCTION("GOOGLETRANSLATE(C610,""ja"",""vi"")"),"Đấu giá&gt; Thể thao, Giải trí&gt; Câu cá&gt; Đồ Ayu&gt; Khác")</f>
        <v>Đấu giá&gt; Thể thao, Giải trí&gt; Câu cá&gt; Đồ Ayu&gt; Khác</v>
      </c>
      <c r="F610" t="str">
        <f t="shared" ca="1" si="9"/>
        <v>"2084047898" : "nếu không thì",</v>
      </c>
    </row>
    <row r="611" spans="1:6" ht="15.75" customHeight="1">
      <c r="A611" s="14">
        <v>26220</v>
      </c>
      <c r="B611" s="14" t="s">
        <v>11118</v>
      </c>
      <c r="C611" s="14" t="s">
        <v>11119</v>
      </c>
      <c r="D611" s="5" t="str">
        <f ca="1">IFERROR(__xludf.DUMMYFUNCTION("GOOGLETRANSLATE(B611,""ja"",""vi"")"),"vỏ tàu")</f>
        <v>vỏ tàu</v>
      </c>
      <c r="E611" s="5" t="str">
        <f ca="1">IFERROR(__xludf.DUMMYFUNCTION("GOOGLETRANSLATE(C611,""ja"",""vi"")"),"Đấu giá&gt; thể thao, giải trí&gt; thuyền, thuyền&gt; thân")</f>
        <v>Đấu giá&gt; thể thao, giải trí&gt; thuyền, thuyền&gt; thân</v>
      </c>
      <c r="F611" t="str">
        <f t="shared" ca="1" si="9"/>
        <v>"26220" : "vỏ tàu",</v>
      </c>
    </row>
    <row r="612" spans="1:6" ht="15.75" customHeight="1">
      <c r="A612" s="14">
        <v>26216</v>
      </c>
      <c r="B612" s="14" t="s">
        <v>1685</v>
      </c>
      <c r="C612" s="14" t="s">
        <v>11124</v>
      </c>
      <c r="D612" s="5" t="str">
        <f ca="1">IFERROR(__xludf.DUMMYFUNCTION("GOOGLETRANSLATE(B612,""ja"",""vi"")"),"phụ kiện")</f>
        <v>phụ kiện</v>
      </c>
      <c r="E612" s="5" t="str">
        <f ca="1">IFERROR(__xludf.DUMMYFUNCTION("GOOGLETRANSLATE(C612,""ja"",""vi"")"),"Đấu giá&gt; thể thao, giải trí&gt; thuyền, thuyền&gt; Accessories")</f>
        <v>Đấu giá&gt; thể thao, giải trí&gt; thuyền, thuyền&gt; Accessories</v>
      </c>
      <c r="F612" t="str">
        <f t="shared" ca="1" si="9"/>
        <v>"26216" : "phụ kiện",</v>
      </c>
    </row>
    <row r="613" spans="1:6" ht="15.75" customHeight="1">
      <c r="A613" s="14">
        <v>2084047899</v>
      </c>
      <c r="B613" s="14" t="s">
        <v>11126</v>
      </c>
      <c r="C613" s="14" t="s">
        <v>11128</v>
      </c>
      <c r="D613" s="5" t="str">
        <f ca="1">IFERROR(__xludf.DUMMYFUNCTION("GOOGLETRANSLATE(B613,""ja"",""vi"")"),"Neo, thiết bị neo")</f>
        <v>Neo, thiết bị neo</v>
      </c>
      <c r="E613" s="5" t="str">
        <f ca="1">IFERROR(__xludf.DUMMYFUNCTION("GOOGLETRANSLATE(C613,""ja"",""vi"")"),"Đấu giá&gt; thể thao, giải trí&gt; thuyền, thuyền&gt; neo, thiết bị neo")</f>
        <v>Đấu giá&gt; thể thao, giải trí&gt; thuyền, thuyền&gt; neo, thiết bị neo</v>
      </c>
      <c r="F613" t="str">
        <f t="shared" ca="1" si="9"/>
        <v>"2084047899" : "Neo, thiết bị neo",</v>
      </c>
    </row>
    <row r="614" spans="1:6" ht="15.75" customHeight="1">
      <c r="A614" s="14">
        <v>2084047909</v>
      </c>
      <c r="B614" s="14" t="s">
        <v>8343</v>
      </c>
      <c r="C614" s="14" t="s">
        <v>11132</v>
      </c>
      <c r="D614" s="5" t="str">
        <f ca="1">IFERROR(__xludf.DUMMYFUNCTION("GOOGLETRANSLATE(B614,""ja"",""vi"")"),"Mang")</f>
        <v>Mang</v>
      </c>
      <c r="E614" s="5" t="str">
        <f ca="1">IFERROR(__xludf.DUMMYFUNCTION("GOOGLETRANSLATE(C614,""ja"",""vi"")"),"Đấu giá&gt; thể thao, giải trí&gt; thuyền, thuyền&gt; Mang")</f>
        <v>Đấu giá&gt; thể thao, giải trí&gt; thuyền, thuyền&gt; Mang</v>
      </c>
      <c r="F614" t="str">
        <f t="shared" ca="1" si="9"/>
        <v>"2084047909" : "Mang",</v>
      </c>
    </row>
    <row r="615" spans="1:6" ht="15.75" customHeight="1">
      <c r="A615" s="14">
        <v>2084048306</v>
      </c>
      <c r="B615" s="14" t="s">
        <v>11137</v>
      </c>
      <c r="C615" s="14" t="s">
        <v>11138</v>
      </c>
      <c r="D615" s="5" t="str">
        <f ca="1">IFERROR(__xludf.DUMMYFUNCTION("GOOGLETRANSLATE(B615,""ja"",""vi"")"),"động cơ")</f>
        <v>động cơ</v>
      </c>
      <c r="E615" s="5" t="str">
        <f ca="1">IFERROR(__xludf.DUMMYFUNCTION("GOOGLETRANSLATE(C615,""ja"",""vi"")"),"Đấu giá&gt; thể thao, giải trí&gt; thuyền, thuyền&gt; Động cơ")</f>
        <v>Đấu giá&gt; thể thao, giải trí&gt; thuyền, thuyền&gt; Động cơ</v>
      </c>
      <c r="F615" t="str">
        <f t="shared" ca="1" si="9"/>
        <v>"2084048306" : "động cơ",</v>
      </c>
    </row>
    <row r="616" spans="1:6" ht="15.75" customHeight="1">
      <c r="A616" s="14">
        <v>2084036425</v>
      </c>
      <c r="B616" s="14" t="s">
        <v>11141</v>
      </c>
      <c r="C616" s="14" t="s">
        <v>11143</v>
      </c>
      <c r="D616" s="5" t="str">
        <f ca="1">IFERROR(__xludf.DUMMYFUNCTION("GOOGLETRANSLATE(B616,""ja"",""vi"")"),"Trailer")</f>
        <v>Trailer</v>
      </c>
      <c r="E616" s="5" t="str">
        <f ca="1">IFERROR(__xludf.DUMMYFUNCTION("GOOGLETRANSLATE(C616,""ja"",""vi"")"),"Đấu giá&gt; thể thao, giải trí&gt; thuyền, thuyền&gt; Trailer")</f>
        <v>Đấu giá&gt; thể thao, giải trí&gt; thuyền, thuyền&gt; Trailer</v>
      </c>
      <c r="F616" t="str">
        <f t="shared" ca="1" si="9"/>
        <v>"2084036425" : "Trailer",</v>
      </c>
    </row>
    <row r="617" spans="1:6" ht="15.75" customHeight="1">
      <c r="A617" s="14">
        <v>26218</v>
      </c>
      <c r="B617" s="14" t="s">
        <v>1612</v>
      </c>
      <c r="C617" s="14" t="s">
        <v>11148</v>
      </c>
      <c r="D617" s="5" t="str">
        <f ca="1">IFERROR(__xludf.DUMMYFUNCTION("GOOGLETRANSLATE(B617,""ja"",""vi"")"),"bộ phận")</f>
        <v>bộ phận</v>
      </c>
      <c r="E617" s="5" t="str">
        <f ca="1">IFERROR(__xludf.DUMMYFUNCTION("GOOGLETRANSLATE(C617,""ja"",""vi"")"),"Đấu giá&gt; thể thao, giải trí&gt; thuyền, thuyền&gt; phụ tùng")</f>
        <v>Đấu giá&gt; thể thao, giải trí&gt; thuyền, thuyền&gt; phụ tùng</v>
      </c>
      <c r="F617" t="str">
        <f t="shared" ca="1" si="9"/>
        <v>"26218" : "bộ phận",</v>
      </c>
    </row>
    <row r="618" spans="1:6" ht="15.75" customHeight="1">
      <c r="A618" s="14">
        <v>2084047908</v>
      </c>
      <c r="B618" s="14" t="s">
        <v>5413</v>
      </c>
      <c r="C618" s="14" t="s">
        <v>11153</v>
      </c>
      <c r="D618" s="5" t="str">
        <f ca="1">IFERROR(__xludf.DUMMYFUNCTION("GOOGLETRANSLATE(B618,""ja"",""vi"")"),"bảo trì")</f>
        <v>bảo trì</v>
      </c>
      <c r="E618" s="5" t="str">
        <f ca="1">IFERROR(__xludf.DUMMYFUNCTION("GOOGLETRANSLATE(C618,""ja"",""vi"")"),"Đấu giá&gt; thể thao, giải trí&gt; thuyền, thuyền&gt; bảo trì")</f>
        <v>Đấu giá&gt; thể thao, giải trí&gt; thuyền, thuyền&gt; bảo trì</v>
      </c>
      <c r="F618" t="str">
        <f t="shared" ca="1" si="9"/>
        <v>"2084047908" : "bảo trì",</v>
      </c>
    </row>
    <row r="619" spans="1:6" ht="15.75" customHeight="1">
      <c r="A619" s="14">
        <v>2084047907</v>
      </c>
      <c r="B619" s="14" t="s">
        <v>11157</v>
      </c>
      <c r="C619" s="14" t="s">
        <v>11158</v>
      </c>
      <c r="D619" s="5" t="str">
        <f ca="1">IFERROR(__xludf.DUMMYFUNCTION("GOOGLETRANSLATE(B619,""ja"",""vi"")"),"Thiết bị cứu sinh")</f>
        <v>Thiết bị cứu sinh</v>
      </c>
      <c r="E619" s="5" t="str">
        <f ca="1">IFERROR(__xludf.DUMMYFUNCTION("GOOGLETRANSLATE(C619,""ja"",""vi"")"),"Đấu giá&gt; thể thao, giải trí&gt; thuyền, thuyền&gt; thiết bị cứu sinh")</f>
        <v>Đấu giá&gt; thể thao, giải trí&gt; thuyền, thuyền&gt; thiết bị cứu sinh</v>
      </c>
      <c r="F619" t="str">
        <f t="shared" ca="1" si="9"/>
        <v>"2084047907" : "Thiết bị cứu sinh",</v>
      </c>
    </row>
    <row r="620" spans="1:6" ht="15.75" customHeight="1">
      <c r="A620" s="14">
        <v>2084045133</v>
      </c>
      <c r="B620" s="14" t="s">
        <v>11163</v>
      </c>
      <c r="C620" s="14" t="s">
        <v>11164</v>
      </c>
      <c r="D620" s="5" t="str">
        <f ca="1">IFERROR(__xludf.DUMMYFUNCTION("GOOGLETRANSLATE(B620,""ja"",""vi"")"),"công cụ tìm cá")</f>
        <v>công cụ tìm cá</v>
      </c>
      <c r="E620" s="5" t="str">
        <f ca="1">IFERROR(__xludf.DUMMYFUNCTION("GOOGLETRANSLATE(C620,""ja"",""vi"")"),"Đấu giá&gt; thể thao, giải trí&gt; thuyền, thuyền&gt; công cụ tìm cá")</f>
        <v>Đấu giá&gt; thể thao, giải trí&gt; thuyền, thuyền&gt; công cụ tìm cá</v>
      </c>
      <c r="F620" t="str">
        <f t="shared" ca="1" si="9"/>
        <v>"2084045133" : "công cụ tìm cá",</v>
      </c>
    </row>
    <row r="621" spans="1:6" ht="15.75" customHeight="1">
      <c r="A621" s="14">
        <v>2084005447</v>
      </c>
      <c r="B621" s="14" t="s">
        <v>11169</v>
      </c>
      <c r="C621" s="14" t="s">
        <v>11170</v>
      </c>
      <c r="D621" s="5" t="str">
        <f ca="1">IFERROR(__xludf.DUMMYFUNCTION("GOOGLETRANSLATE(B621,""ja"",""vi"")"),"xe máy nước")</f>
        <v>xe máy nước</v>
      </c>
      <c r="E621" s="5" t="str">
        <f ca="1">IFERROR(__xludf.DUMMYFUNCTION("GOOGLETRANSLATE(C621,""ja"",""vi"")"),"Đấu giá&gt; thể thao, giải trí&gt; thuyền, thuyền&gt; xe máy nước")</f>
        <v>Đấu giá&gt; thể thao, giải trí&gt; thuyền, thuyền&gt; xe máy nước</v>
      </c>
      <c r="F621" t="str">
        <f t="shared" ca="1" si="9"/>
        <v>"2084005447" : "xe máy nước",</v>
      </c>
    </row>
    <row r="622" spans="1:6" ht="15.75" customHeight="1">
      <c r="A622" s="14">
        <v>2084209093</v>
      </c>
      <c r="B622" s="14" t="s">
        <v>11175</v>
      </c>
      <c r="C622" s="14" t="s">
        <v>11176</v>
      </c>
      <c r="D622" s="5" t="str">
        <f ca="1">IFERROR(__xludf.DUMMYFUNCTION("GOOGLETRANSLATE(B622,""ja"",""vi"")"),"bình xăng")</f>
        <v>bình xăng</v>
      </c>
      <c r="E622" s="5" t="str">
        <f ca="1">IFERROR(__xludf.DUMMYFUNCTION("GOOGLETRANSLATE(C622,""ja"",""vi"")"),"Đấu giá&gt; thể thao, giải trí&gt; thuyền, thuyền&gt; bình xăng")</f>
        <v>Đấu giá&gt; thể thao, giải trí&gt; thuyền, thuyền&gt; bình xăng</v>
      </c>
      <c r="F622" t="str">
        <f t="shared" ca="1" si="9"/>
        <v>"2084209093" : "bình xăng",</v>
      </c>
    </row>
    <row r="623" spans="1:6" ht="15.75" customHeight="1">
      <c r="A623" s="14">
        <v>21104</v>
      </c>
      <c r="B623" s="14" t="s">
        <v>11179</v>
      </c>
      <c r="C623" s="14" t="s">
        <v>11182</v>
      </c>
      <c r="D623" s="5" t="str">
        <f ca="1">IFERROR(__xludf.DUMMYFUNCTION("GOOGLETRANSLATE(B623,""ja"",""vi"")"),"Antique, bộ sưu tập")</f>
        <v>Antique, bộ sưu tập</v>
      </c>
      <c r="E623" s="5" t="str">
        <f ca="1">IFERROR(__xludf.DUMMYFUNCTION("GOOGLETRANSLATE(C623,""ja"",""vi"")"),"Đấu giá&gt; thể thao, giải trí&gt; thuyền, thuyền&gt; cổ, bộ sưu tập")</f>
        <v>Đấu giá&gt; thể thao, giải trí&gt; thuyền, thuyền&gt; cổ, bộ sưu tập</v>
      </c>
      <c r="F623" t="str">
        <f t="shared" ca="1" si="9"/>
        <v>"21104" : "Antique, bộ sưu tập",</v>
      </c>
    </row>
    <row r="624" spans="1:6" ht="15.75" customHeight="1">
      <c r="A624" s="14">
        <v>2084286890</v>
      </c>
      <c r="B624" s="14" t="s">
        <v>11184</v>
      </c>
      <c r="C624" s="14" t="s">
        <v>11188</v>
      </c>
      <c r="D624" s="5" t="str">
        <f ca="1">IFERROR(__xludf.DUMMYFUNCTION("GOOGLETRANSLATE(B624,""ja"",""vi"")"),"Giám sát ít hơn 5 loại")</f>
        <v>Giám sát ít hơn 5 loại</v>
      </c>
      <c r="E624" s="5" t="str">
        <f ca="1">IFERROR(__xludf.DUMMYFUNCTION("GOOGLETRANSLATE(C624,""ja"",""vi"")"),"Đấu giá&gt; thể thao, giải trí&gt; thuyền, thuyền&gt; phụ tùng&gt; navigation mét&gt; công cụ tìm cá&gt; màn hình ít hơn 5 loại")</f>
        <v>Đấu giá&gt; thể thao, giải trí&gt; thuyền, thuyền&gt; phụ tùng&gt; navigation mét&gt; công cụ tìm cá&gt; màn hình ít hơn 5 loại</v>
      </c>
      <c r="F624" t="str">
        <f t="shared" ca="1" si="9"/>
        <v>"2084286890" : "Giám sát ít hơn 5 loại",</v>
      </c>
    </row>
    <row r="625" spans="1:6" ht="15.75" customHeight="1">
      <c r="A625" s="14">
        <v>2084286891</v>
      </c>
      <c r="B625" s="14" t="s">
        <v>11191</v>
      </c>
      <c r="C625" s="14" t="s">
        <v>11194</v>
      </c>
      <c r="D625" s="5" t="str">
        <f ca="1">IFERROR(__xludf.DUMMYFUNCTION("GOOGLETRANSLATE(B625,""ja"",""vi"")"),"Màn hình loại 5 -")</f>
        <v>Màn hình loại 5 -</v>
      </c>
      <c r="E625" s="5" t="str">
        <f ca="1">IFERROR(__xludf.DUMMYFUNCTION("GOOGLETRANSLATE(C625,""ja"",""vi"")"),"Đấu giá&gt; thể thao, giải trí&gt; thuyền, thuyền&gt; phụ tùng&gt; navigation mét&gt; công cụ tìm cá&gt; màn hình loại 5 -")</f>
        <v>Đấu giá&gt; thể thao, giải trí&gt; thuyền, thuyền&gt; phụ tùng&gt; navigation mét&gt; công cụ tìm cá&gt; màn hình loại 5 -</v>
      </c>
      <c r="F625" t="str">
        <f t="shared" ca="1" si="9"/>
        <v>"2084286891" : "Màn hình loại 5 -",</v>
      </c>
    </row>
    <row r="626" spans="1:6" ht="15.75" customHeight="1">
      <c r="A626" s="14">
        <v>2084286892</v>
      </c>
      <c r="B626" s="14" t="s">
        <v>11198</v>
      </c>
      <c r="C626" s="14" t="s">
        <v>11200</v>
      </c>
      <c r="D626" s="5" t="str">
        <f ca="1">IFERROR(__xludf.DUMMYFUNCTION("GOOGLETRANSLATE(B626,""ja"",""vi"")"),"Màn hình 10-inch")</f>
        <v>Màn hình 10-inch</v>
      </c>
      <c r="E626" s="5" t="str">
        <f ca="1">IFERROR(__xludf.DUMMYFUNCTION("GOOGLETRANSLATE(C626,""ja"",""vi"")"),"Đấu giá&gt; thể thao, giải trí&gt; thuyền, thuyền&gt; phụ tùng&gt; navigation mét&gt; công cụ tìm cá&gt; màn hình 10-inch ~")</f>
        <v>Đấu giá&gt; thể thao, giải trí&gt; thuyền, thuyền&gt; phụ tùng&gt; navigation mét&gt; công cụ tìm cá&gt; màn hình 10-inch ~</v>
      </c>
      <c r="F626" t="str">
        <f t="shared" ca="1" si="9"/>
        <v>"2084286892" : "Màn hình 10-inch",</v>
      </c>
    </row>
    <row r="627" spans="1:6" ht="15.75" customHeight="1">
      <c r="A627" s="14">
        <v>2084008987</v>
      </c>
      <c r="B627" s="14" t="s">
        <v>2241</v>
      </c>
      <c r="C627" s="14" t="s">
        <v>5576</v>
      </c>
      <c r="D627" s="5" t="str">
        <f ca="1">IFERROR(__xludf.DUMMYFUNCTION("GOOGLETRANSLATE(B627,""ja"",""vi"")"),"chung")</f>
        <v>chung</v>
      </c>
      <c r="E627" s="5" t="str">
        <f ca="1">IFERROR(__xludf.DUMMYFUNCTION("GOOGLETRANSLATE(C627,""ja"",""vi"")"),"Đấu giá&gt; cuốn sách, tạp chí&gt; sở thích, thể thao, sử dụng thực tế&gt; câu cá, câu cá&gt; General")</f>
        <v>Đấu giá&gt; cuốn sách, tạp chí&gt; sở thích, thể thao, sử dụng thực tế&gt; câu cá, câu cá&gt; General</v>
      </c>
      <c r="F627" t="str">
        <f t="shared" ca="1" si="9"/>
        <v>"2084008987" : "chung",</v>
      </c>
    </row>
    <row r="628" spans="1:6" ht="15.75" customHeight="1">
      <c r="A628" s="14">
        <v>2084008093</v>
      </c>
      <c r="B628" s="14" t="s">
        <v>1586</v>
      </c>
      <c r="C628" s="14" t="s">
        <v>5581</v>
      </c>
      <c r="D628" s="5" t="str">
        <f ca="1">IFERROR(__xludf.DUMMYFUNCTION("GOOGLETRANSLATE(B628,""ja"",""vi"")"),"tạp chí")</f>
        <v>tạp chí</v>
      </c>
      <c r="E628" s="5" t="str">
        <f ca="1">IFERROR(__xludf.DUMMYFUNCTION("GOOGLETRANSLATE(C628,""ja"",""vi"")"),"Đấu giá&gt; cuốn sách, tạp chí&gt; sở thích, thể thao, sử dụng thực tế&gt; câu cá, câu cá&gt; Tạp chí")</f>
        <v>Đấu giá&gt; cuốn sách, tạp chí&gt; sở thích, thể thao, sử dụng thực tế&gt; câu cá, câu cá&gt; Tạp chí</v>
      </c>
      <c r="F628" t="str">
        <f t="shared" ca="1" si="9"/>
        <v>"2084008093" : "tạp chí",</v>
      </c>
    </row>
    <row r="629" spans="1:6" ht="15.75" customHeight="1">
      <c r="A629" s="14">
        <v>2084056978</v>
      </c>
      <c r="B629" s="14" t="s">
        <v>11211</v>
      </c>
      <c r="C629" s="14" t="s">
        <v>11212</v>
      </c>
      <c r="D629" s="5" t="str">
        <f ca="1">IFERROR(__xludf.DUMMYFUNCTION("GOOGLETRANSLATE(B629,""ja"",""vi"")"),"Đầu và thiết lập đáy")</f>
        <v>Đầu và thiết lập đáy</v>
      </c>
      <c r="E629" s="5" t="str">
        <f ca="1">IFERROR(__xludf.DUMMYFUNCTION("GOOGLETRANSLATE(C629,""ja"",""vi"")"),"Đấu giá&gt; thể thao, giải trí&gt; đồ thể thao&gt; cho người đàn ông&gt; hàng đầu và thiết lập đáy")</f>
        <v>Đấu giá&gt; thể thao, giải trí&gt; đồ thể thao&gt; cho người đàn ông&gt; hàng đầu và thiết lập đáy</v>
      </c>
      <c r="F629" t="str">
        <f t="shared" ca="1" si="9"/>
        <v>"2084056978" : "Đầu và thiết lập đáy",</v>
      </c>
    </row>
    <row r="630" spans="1:6" ht="15.75" customHeight="1">
      <c r="A630" s="14">
        <v>2084056975</v>
      </c>
      <c r="B630" s="14" t="s">
        <v>11217</v>
      </c>
      <c r="C630" s="14" t="s">
        <v>11219</v>
      </c>
      <c r="D630" s="5" t="str">
        <f ca="1">IFERROR(__xludf.DUMMYFUNCTION("GOOGLETRANSLATE(B630,""ja"",""vi"")"),"áo")</f>
        <v>áo</v>
      </c>
      <c r="E630" s="5" t="str">
        <f ca="1">IFERROR(__xludf.DUMMYFUNCTION("GOOGLETRANSLATE(C630,""ja"",""vi"")"),"Đấu giá&gt; thể thao, giải trí&gt; đồ thể thao&gt; cho người đàn ông&gt; áo")</f>
        <v>Đấu giá&gt; thể thao, giải trí&gt; đồ thể thao&gt; cho người đàn ông&gt; áo</v>
      </c>
      <c r="F630" t="str">
        <f t="shared" ca="1" si="9"/>
        <v>"2084056975" : "áo",</v>
      </c>
    </row>
    <row r="631" spans="1:6" ht="15.75" customHeight="1">
      <c r="A631" s="14">
        <v>2084056976</v>
      </c>
      <c r="B631" s="14" t="s">
        <v>11223</v>
      </c>
      <c r="C631" s="14" t="s">
        <v>11224</v>
      </c>
      <c r="D631" s="5" t="str">
        <f ca="1">IFERROR(__xludf.DUMMYFUNCTION("GOOGLETRANSLATE(B631,""ja"",""vi"")"),"Áo khoác, áo khoác")</f>
        <v>Áo khoác, áo khoác</v>
      </c>
      <c r="E631" s="5" t="str">
        <f ca="1">IFERROR(__xludf.DUMMYFUNCTION("GOOGLETRANSLATE(C631,""ja"",""vi"")"),"Đấu giá&gt; thể thao, giải trí&gt; đồ thể thao&gt; cho người đàn ông&gt; áo khoác, áo khoác")</f>
        <v>Đấu giá&gt; thể thao, giải trí&gt; đồ thể thao&gt; cho người đàn ông&gt; áo khoác, áo khoác</v>
      </c>
      <c r="F631" t="str">
        <f t="shared" ca="1" si="9"/>
        <v>"2084056976" : "Áo khoác, áo khoác",</v>
      </c>
    </row>
    <row r="632" spans="1:6" ht="15.75" customHeight="1">
      <c r="A632" s="14">
        <v>2084303393</v>
      </c>
      <c r="B632" s="14" t="s">
        <v>11229</v>
      </c>
      <c r="C632" s="14" t="s">
        <v>11230</v>
      </c>
      <c r="D632" s="5" t="str">
        <f ca="1">IFERROR(__xludf.DUMMYFUNCTION("GOOGLETRANSLATE(B632,""ja"",""vi"")"),"parka")</f>
        <v>parka</v>
      </c>
      <c r="E632" s="5" t="str">
        <f ca="1">IFERROR(__xludf.DUMMYFUNCTION("GOOGLETRANSLATE(C632,""ja"",""vi"")"),"Đấu giá&gt; thể thao, giải trí&gt; đồ thể thao&gt; dành cho nam giới&gt; Parker")</f>
        <v>Đấu giá&gt; thể thao, giải trí&gt; đồ thể thao&gt; dành cho nam giới&gt; Parker</v>
      </c>
      <c r="F632" t="str">
        <f t="shared" ca="1" si="9"/>
        <v>"2084303393" : "parka",</v>
      </c>
    </row>
    <row r="633" spans="1:6" ht="15.75" customHeight="1">
      <c r="A633" s="14">
        <v>2084056979</v>
      </c>
      <c r="B633" s="14" t="s">
        <v>11235</v>
      </c>
      <c r="C633" s="14" t="s">
        <v>11236</v>
      </c>
      <c r="D633" s="5" t="str">
        <f ca="1">IFERROR(__xludf.DUMMYFUNCTION("GOOGLETRANSLATE(B633,""ja"",""vi"")"),"tops")</f>
        <v>tops</v>
      </c>
      <c r="E633" s="5" t="str">
        <f ca="1">IFERROR(__xludf.DUMMYFUNCTION("GOOGLETRANSLATE(C633,""ja"",""vi"")"),"Đấu giá&gt; thể thao, giải trí&gt; đồ thể thao&gt; cho người đàn ông&gt; ngọn")</f>
        <v>Đấu giá&gt; thể thao, giải trí&gt; đồ thể thao&gt; cho người đàn ông&gt; ngọn</v>
      </c>
      <c r="F633" t="str">
        <f t="shared" ca="1" si="9"/>
        <v>"2084056979" : "tops",</v>
      </c>
    </row>
    <row r="634" spans="1:6" ht="15.75" customHeight="1">
      <c r="A634" s="14">
        <v>2084056977</v>
      </c>
      <c r="B634" s="14" t="s">
        <v>11242</v>
      </c>
      <c r="C634" s="14" t="s">
        <v>11244</v>
      </c>
      <c r="D634" s="5" t="str">
        <f ca="1">IFERROR(__xludf.DUMMYFUNCTION("GOOGLETRANSLATE(B634,""ja"",""vi"")"),"đáy")</f>
        <v>đáy</v>
      </c>
      <c r="E634" s="5" t="str">
        <f ca="1">IFERROR(__xludf.DUMMYFUNCTION("GOOGLETRANSLATE(C634,""ja"",""vi"")"),"Đấu giá&gt; thể thao, giải trí&gt; đồ thể thao&gt; dành cho nam giới&gt; Bottoms")</f>
        <v>Đấu giá&gt; thể thao, giải trí&gt; đồ thể thao&gt; dành cho nam giới&gt; Bottoms</v>
      </c>
      <c r="F634" t="str">
        <f t="shared" ca="1" si="9"/>
        <v>"2084056977" : "đáy",</v>
      </c>
    </row>
    <row r="635" spans="1:6" ht="15.75" customHeight="1">
      <c r="A635" s="14">
        <v>2084246662</v>
      </c>
      <c r="B635" s="14" t="s">
        <v>11248</v>
      </c>
      <c r="C635" s="14" t="s">
        <v>11250</v>
      </c>
      <c r="D635" s="5" t="str">
        <f ca="1">IFERROR(__xludf.DUMMYFUNCTION("GOOGLETRANSLATE(B635,""ja"",""vi"")"),"Mang nội")</f>
        <v>Mang nội</v>
      </c>
      <c r="E635" s="5" t="str">
        <f ca="1">IFERROR(__xludf.DUMMYFUNCTION("GOOGLETRANSLATE(C635,""ja"",""vi"")"),"Đấu giá&gt; thể thao, giải trí&gt; đồ thể thao&gt; dành cho nam giới&gt; Nội Mang")</f>
        <v>Đấu giá&gt; thể thao, giải trí&gt; đồ thể thao&gt; dành cho nam giới&gt; Nội Mang</v>
      </c>
      <c r="F635" t="str">
        <f t="shared" ca="1" si="9"/>
        <v>"2084246662" : "Mang nội",</v>
      </c>
    </row>
    <row r="636" spans="1:6" ht="15.75" customHeight="1">
      <c r="A636" s="14">
        <v>2084006783</v>
      </c>
      <c r="B636" s="14" t="s">
        <v>11255</v>
      </c>
      <c r="C636" s="14" t="s">
        <v>11256</v>
      </c>
      <c r="D636" s="5" t="str">
        <f ca="1">IFERROR(__xludf.DUMMYFUNCTION("GOOGLETRANSLATE(B636,""ja"",""vi"")"),"Jersey, mồ hôi")</f>
        <v>Jersey, mồ hôi</v>
      </c>
      <c r="E636" s="5" t="str">
        <f ca="1">IFERROR(__xludf.DUMMYFUNCTION("GOOGLETRANSLATE(C636,""ja"",""vi"")"),"Đấu giá&gt; thể thao, giải trí&gt; đồ thể thao&gt; dành cho nam giới&gt; jersey, mồ hôi")</f>
        <v>Đấu giá&gt; thể thao, giải trí&gt; đồ thể thao&gt; dành cho nam giới&gt; jersey, mồ hôi</v>
      </c>
      <c r="F636" t="str">
        <f t="shared" ca="1" si="9"/>
        <v>"2084006783" : "Jersey, mồ hôi",</v>
      </c>
    </row>
    <row r="637" spans="1:6" ht="15.75" customHeight="1">
      <c r="A637" s="14">
        <v>2084006786</v>
      </c>
      <c r="B637" s="14" t="s">
        <v>8888</v>
      </c>
      <c r="C637" s="14" t="s">
        <v>11261</v>
      </c>
      <c r="D637" s="5" t="str">
        <f ca="1">IFERROR(__xludf.DUMMYFUNCTION("GOOGLETRANSLATE(B637,""ja"",""vi"")"),"người ủng hộ")</f>
        <v>người ủng hộ</v>
      </c>
      <c r="E637" s="5" t="str">
        <f ca="1">IFERROR(__xludf.DUMMYFUNCTION("GOOGLETRANSLATE(C637,""ja"",""vi"")"),"Đấu giá&gt; thể thao, giải trí&gt; đồ thể thao&gt; cho người đàn ông&gt; ủng hộ")</f>
        <v>Đấu giá&gt; thể thao, giải trí&gt; đồ thể thao&gt; cho người đàn ông&gt; ủng hộ</v>
      </c>
      <c r="F637" t="str">
        <f t="shared" ca="1" si="9"/>
        <v>"2084006786" : "người ủng hộ",</v>
      </c>
    </row>
    <row r="638" spans="1:6" ht="15.75" customHeight="1">
      <c r="A638" s="14">
        <v>2084006787</v>
      </c>
      <c r="B638" s="14" t="s">
        <v>11264</v>
      </c>
      <c r="C638" s="14" t="s">
        <v>11265</v>
      </c>
      <c r="D638" s="5" t="str">
        <f ca="1">IFERROR(__xludf.DUMMYFUNCTION("GOOGLETRANSLATE(B638,""ja"",""vi"")"),"dây đeo cổ tay")</f>
        <v>dây đeo cổ tay</v>
      </c>
      <c r="E638" s="5" t="str">
        <f ca="1">IFERROR(__xludf.DUMMYFUNCTION("GOOGLETRANSLATE(C638,""ja"",""vi"")"),"Đấu giá&gt; thể thao, giải trí&gt; đồ thể thao&gt; dành cho nam giới&gt; dây đeo cổ tay")</f>
        <v>Đấu giá&gt; thể thao, giải trí&gt; đồ thể thao&gt; dành cho nam giới&gt; dây đeo cổ tay</v>
      </c>
      <c r="F638" t="str">
        <f t="shared" ca="1" si="9"/>
        <v>"2084006787" : "dây đeo cổ tay",</v>
      </c>
    </row>
    <row r="639" spans="1:6" ht="15.75" customHeight="1">
      <c r="A639" s="14">
        <v>2084006831</v>
      </c>
      <c r="B639" s="14" t="s">
        <v>46</v>
      </c>
      <c r="C639" s="14" t="s">
        <v>11270</v>
      </c>
      <c r="D639" s="5" t="str">
        <f ca="1">IFERROR(__xludf.DUMMYFUNCTION("GOOGLETRANSLATE(B639,""ja"",""vi"")"),"nếu không thì")</f>
        <v>nếu không thì</v>
      </c>
      <c r="E639" s="5" t="str">
        <f ca="1">IFERROR(__xludf.DUMMYFUNCTION("GOOGLETRANSLATE(C639,""ja"",""vi"")"),"Đấu giá&gt; thể thao, giải trí&gt; đồ thể thao&gt; cho con người&gt; Khác")</f>
        <v>Đấu giá&gt; thể thao, giải trí&gt; đồ thể thao&gt; cho con người&gt; Khác</v>
      </c>
      <c r="F639" t="str">
        <f t="shared" ca="1" si="9"/>
        <v>"2084006831" : "nếu không thì",</v>
      </c>
    </row>
    <row r="640" spans="1:6" ht="15.75" customHeight="1">
      <c r="A640" s="14">
        <v>2084057044</v>
      </c>
      <c r="B640" s="14" t="s">
        <v>11211</v>
      </c>
      <c r="C640" s="14" t="s">
        <v>11274</v>
      </c>
      <c r="D640" s="5" t="str">
        <f ca="1">IFERROR(__xludf.DUMMYFUNCTION("GOOGLETRANSLATE(B640,""ja"",""vi"")"),"Đầu và thiết lập đáy")</f>
        <v>Đầu và thiết lập đáy</v>
      </c>
      <c r="E640" s="5" t="str">
        <f ca="1">IFERROR(__xludf.DUMMYFUNCTION("GOOGLETRANSLATE(C640,""ja"",""vi"")"),"Đấu giá&gt; thể thao, giải trí&gt; đồ thể thao&gt; cho phụ nữ&gt; hàng đầu và thiết lập đáy")</f>
        <v>Đấu giá&gt; thể thao, giải trí&gt; đồ thể thao&gt; cho phụ nữ&gt; hàng đầu và thiết lập đáy</v>
      </c>
      <c r="F640" t="str">
        <f t="shared" ca="1" si="9"/>
        <v>"2084057044" : "Đầu và thiết lập đáy",</v>
      </c>
    </row>
    <row r="641" spans="1:6" ht="15.75" customHeight="1">
      <c r="A641" s="14">
        <v>2084057017</v>
      </c>
      <c r="B641" s="14" t="s">
        <v>11217</v>
      </c>
      <c r="C641" s="14" t="s">
        <v>11280</v>
      </c>
      <c r="D641" s="5" t="str">
        <f ca="1">IFERROR(__xludf.DUMMYFUNCTION("GOOGLETRANSLATE(B641,""ja"",""vi"")"),"áo")</f>
        <v>áo</v>
      </c>
      <c r="E641" s="5" t="str">
        <f ca="1">IFERROR(__xludf.DUMMYFUNCTION("GOOGLETRANSLATE(C641,""ja"",""vi"")"),"Đấu giá&gt; thể thao, giải trí&gt; đồ thể thao&gt; cho phụ nữ&gt; áo")</f>
        <v>Đấu giá&gt; thể thao, giải trí&gt; đồ thể thao&gt; cho phụ nữ&gt; áo</v>
      </c>
      <c r="F641" t="str">
        <f t="shared" ca="1" si="9"/>
        <v>"2084057017" : "áo",</v>
      </c>
    </row>
    <row r="642" spans="1:6" ht="15.75" customHeight="1">
      <c r="A642" s="14">
        <v>2084057018</v>
      </c>
      <c r="B642" s="14" t="s">
        <v>11223</v>
      </c>
      <c r="C642" s="14" t="s">
        <v>11283</v>
      </c>
      <c r="D642" s="5" t="str">
        <f ca="1">IFERROR(__xludf.DUMMYFUNCTION("GOOGLETRANSLATE(B642,""ja"",""vi"")"),"Áo khoác, áo khoác")</f>
        <v>Áo khoác, áo khoác</v>
      </c>
      <c r="E642" s="5" t="str">
        <f ca="1">IFERROR(__xludf.DUMMYFUNCTION("GOOGLETRANSLATE(C642,""ja"",""vi"")"),"Đấu giá&gt; thể thao, giải trí&gt; đồ thể thao&gt; cho phụ nữ&gt; áo khoác, áo khoác")</f>
        <v>Đấu giá&gt; thể thao, giải trí&gt; đồ thể thao&gt; cho phụ nữ&gt; áo khoác, áo khoác</v>
      </c>
      <c r="F642" t="str">
        <f t="shared" ref="F642:F705" ca="1" si="10">CONCATENATE(CHAR(34)&amp;"",A642,""&amp;CHAR(34)," : ", CHAR(34)&amp;"",D642,""&amp;CHAR(34),",")</f>
        <v>"2084057018" : "Áo khoác, áo khoác",</v>
      </c>
    </row>
    <row r="643" spans="1:6" ht="15.75" customHeight="1">
      <c r="A643" s="14">
        <v>2084303392</v>
      </c>
      <c r="B643" s="14" t="s">
        <v>11229</v>
      </c>
      <c r="C643" s="14" t="s">
        <v>11287</v>
      </c>
      <c r="D643" s="5" t="str">
        <f ca="1">IFERROR(__xludf.DUMMYFUNCTION("GOOGLETRANSLATE(B643,""ja"",""vi"")"),"parka")</f>
        <v>parka</v>
      </c>
      <c r="E643" s="5" t="str">
        <f ca="1">IFERROR(__xludf.DUMMYFUNCTION("GOOGLETRANSLATE(C643,""ja"",""vi"")"),"Đấu giá&gt; thể thao, giải trí&gt; đồ thể thao&gt; cho phụ nữ&gt; Parker")</f>
        <v>Đấu giá&gt; thể thao, giải trí&gt; đồ thể thao&gt; cho phụ nữ&gt; Parker</v>
      </c>
      <c r="F643" t="str">
        <f t="shared" ca="1" si="10"/>
        <v>"2084303392" : "parka",</v>
      </c>
    </row>
    <row r="644" spans="1:6" ht="15.75" customHeight="1">
      <c r="A644" s="14">
        <v>2084057019</v>
      </c>
      <c r="B644" s="14" t="s">
        <v>11235</v>
      </c>
      <c r="C644" s="14" t="s">
        <v>11292</v>
      </c>
      <c r="D644" s="5" t="str">
        <f ca="1">IFERROR(__xludf.DUMMYFUNCTION("GOOGLETRANSLATE(B644,""ja"",""vi"")"),"tops")</f>
        <v>tops</v>
      </c>
      <c r="E644" s="5" t="str">
        <f ca="1">IFERROR(__xludf.DUMMYFUNCTION("GOOGLETRANSLATE(C644,""ja"",""vi"")"),"Đấu giá&gt; thể thao, giải trí&gt; đồ thể thao&gt; cho phụ nữ&gt; ngọn")</f>
        <v>Đấu giá&gt; thể thao, giải trí&gt; đồ thể thao&gt; cho phụ nữ&gt; ngọn</v>
      </c>
      <c r="F644" t="str">
        <f t="shared" ca="1" si="10"/>
        <v>"2084057019" : "tops",</v>
      </c>
    </row>
    <row r="645" spans="1:6" ht="15.75" customHeight="1">
      <c r="A645" s="14">
        <v>2084057020</v>
      </c>
      <c r="B645" s="14" t="s">
        <v>11242</v>
      </c>
      <c r="C645" s="14" t="s">
        <v>11297</v>
      </c>
      <c r="D645" s="5" t="str">
        <f ca="1">IFERROR(__xludf.DUMMYFUNCTION("GOOGLETRANSLATE(B645,""ja"",""vi"")"),"đáy")</f>
        <v>đáy</v>
      </c>
      <c r="E645" s="5" t="str">
        <f ca="1">IFERROR(__xludf.DUMMYFUNCTION("GOOGLETRANSLATE(C645,""ja"",""vi"")"),"Đấu giá&gt; thể thao, giải trí&gt; đồ thể thao&gt; cho phụ nữ&gt; đáy")</f>
        <v>Đấu giá&gt; thể thao, giải trí&gt; đồ thể thao&gt; cho phụ nữ&gt; đáy</v>
      </c>
      <c r="F645" t="str">
        <f t="shared" ca="1" si="10"/>
        <v>"2084057020" : "đáy",</v>
      </c>
    </row>
    <row r="646" spans="1:6" ht="15.75" customHeight="1">
      <c r="A646" s="14">
        <v>2084246666</v>
      </c>
      <c r="B646" s="14" t="s">
        <v>11248</v>
      </c>
      <c r="C646" s="14" t="s">
        <v>11302</v>
      </c>
      <c r="D646" s="5" t="str">
        <f ca="1">IFERROR(__xludf.DUMMYFUNCTION("GOOGLETRANSLATE(B646,""ja"",""vi"")"),"Mang nội")</f>
        <v>Mang nội</v>
      </c>
      <c r="E646" s="5" t="str">
        <f ca="1">IFERROR(__xludf.DUMMYFUNCTION("GOOGLETRANSLATE(C646,""ja"",""vi"")"),"Đấu giá&gt; thể thao, giải trí&gt; đồ thể thao&gt; cho phụ nữ&gt; Nội Mang")</f>
        <v>Đấu giá&gt; thể thao, giải trí&gt; đồ thể thao&gt; cho phụ nữ&gt; Nội Mang</v>
      </c>
      <c r="F646" t="str">
        <f t="shared" ca="1" si="10"/>
        <v>"2084246666" : "Mang nội",</v>
      </c>
    </row>
    <row r="647" spans="1:6" ht="15.75" customHeight="1">
      <c r="A647" s="14">
        <v>2084006784</v>
      </c>
      <c r="B647" s="14" t="s">
        <v>11255</v>
      </c>
      <c r="C647" s="14" t="s">
        <v>11308</v>
      </c>
      <c r="D647" s="5" t="str">
        <f ca="1">IFERROR(__xludf.DUMMYFUNCTION("GOOGLETRANSLATE(B647,""ja"",""vi"")"),"Jersey, mồ hôi")</f>
        <v>Jersey, mồ hôi</v>
      </c>
      <c r="E647" s="5" t="str">
        <f ca="1">IFERROR(__xludf.DUMMYFUNCTION("GOOGLETRANSLATE(C647,""ja"",""vi"")"),"Đấu giá&gt; thể thao, giải trí&gt; đồ thể thao&gt; cho phụ nữ&gt; áo, mồ hôi")</f>
        <v>Đấu giá&gt; thể thao, giải trí&gt; đồ thể thao&gt; cho phụ nữ&gt; áo, mồ hôi</v>
      </c>
      <c r="F647" t="str">
        <f t="shared" ca="1" si="10"/>
        <v>"2084006784" : "Jersey, mồ hôi",</v>
      </c>
    </row>
    <row r="648" spans="1:6" ht="15.75" customHeight="1">
      <c r="A648" s="14">
        <v>2084006785</v>
      </c>
      <c r="B648" s="14" t="s">
        <v>8888</v>
      </c>
      <c r="C648" s="14" t="s">
        <v>11313</v>
      </c>
      <c r="D648" s="5" t="str">
        <f ca="1">IFERROR(__xludf.DUMMYFUNCTION("GOOGLETRANSLATE(B648,""ja"",""vi"")"),"người ủng hộ")</f>
        <v>người ủng hộ</v>
      </c>
      <c r="E648" s="5" t="str">
        <f ca="1">IFERROR(__xludf.DUMMYFUNCTION("GOOGLETRANSLATE(C648,""ja"",""vi"")"),"Đấu giá&gt; thể thao, giải trí&gt; đồ thể thao&gt; cho phụ nữ&gt; ủng hộ")</f>
        <v>Đấu giá&gt; thể thao, giải trí&gt; đồ thể thao&gt; cho phụ nữ&gt; ủng hộ</v>
      </c>
      <c r="F648" t="str">
        <f t="shared" ca="1" si="10"/>
        <v>"2084006785" : "người ủng hộ",</v>
      </c>
    </row>
    <row r="649" spans="1:6" ht="15.75" customHeight="1">
      <c r="A649" s="14">
        <v>2084006788</v>
      </c>
      <c r="B649" s="14" t="s">
        <v>11264</v>
      </c>
      <c r="C649" s="14" t="s">
        <v>11318</v>
      </c>
      <c r="D649" s="5" t="str">
        <f ca="1">IFERROR(__xludf.DUMMYFUNCTION("GOOGLETRANSLATE(B649,""ja"",""vi"")"),"dây đeo cổ tay")</f>
        <v>dây đeo cổ tay</v>
      </c>
      <c r="E649" s="5" t="str">
        <f ca="1">IFERROR(__xludf.DUMMYFUNCTION("GOOGLETRANSLATE(C649,""ja"",""vi"")"),"Đấu giá&gt; thể thao, giải trí&gt; đồ thể thao&gt; cho phụ nữ&gt; dây đeo cổ tay")</f>
        <v>Đấu giá&gt; thể thao, giải trí&gt; đồ thể thao&gt; cho phụ nữ&gt; dây đeo cổ tay</v>
      </c>
      <c r="F649" t="str">
        <f t="shared" ca="1" si="10"/>
        <v>"2084006788" : "dây đeo cổ tay",</v>
      </c>
    </row>
    <row r="650" spans="1:6" ht="15.75" customHeight="1">
      <c r="A650" s="14">
        <v>2084006832</v>
      </c>
      <c r="B650" s="14" t="s">
        <v>46</v>
      </c>
      <c r="C650" s="14" t="s">
        <v>11323</v>
      </c>
      <c r="D650" s="5" t="str">
        <f ca="1">IFERROR(__xludf.DUMMYFUNCTION("GOOGLETRANSLATE(B650,""ja"",""vi"")"),"nếu không thì")</f>
        <v>nếu không thì</v>
      </c>
      <c r="E650" s="5" t="str">
        <f ca="1">IFERROR(__xludf.DUMMYFUNCTION("GOOGLETRANSLATE(C650,""ja"",""vi"")"),"Đấu giá&gt; thể thao, giải trí&gt; đồ thể thao&gt; cho phụ nữ&gt; Khác")</f>
        <v>Đấu giá&gt; thể thao, giải trí&gt; đồ thể thao&gt; cho phụ nữ&gt; Khác</v>
      </c>
      <c r="F650" t="str">
        <f t="shared" ca="1" si="10"/>
        <v>"2084006832" : "nếu không thì",</v>
      </c>
    </row>
    <row r="651" spans="1:6" ht="15.75" customHeight="1">
      <c r="A651" s="14">
        <v>2084057062</v>
      </c>
      <c r="B651" s="14" t="s">
        <v>11211</v>
      </c>
      <c r="C651" s="14" t="s">
        <v>11332</v>
      </c>
      <c r="D651" s="5" t="str">
        <f ca="1">IFERROR(__xludf.DUMMYFUNCTION("GOOGLETRANSLATE(B651,""ja"",""vi"")"),"Đầu và thiết lập đáy")</f>
        <v>Đầu và thiết lập đáy</v>
      </c>
      <c r="E651" s="5" t="str">
        <f ca="1">IFERROR(__xludf.DUMMYFUNCTION("GOOGLETRANSLATE(C651,""ja"",""vi"")"),"Đấu giá&gt; thể thao, giải trí&gt; đồ thể thao&gt; Unisex&gt; hàng đầu và thiết lập đáy")</f>
        <v>Đấu giá&gt; thể thao, giải trí&gt; đồ thể thao&gt; Unisex&gt; hàng đầu và thiết lập đáy</v>
      </c>
      <c r="F651" t="str">
        <f t="shared" ca="1" si="10"/>
        <v>"2084057062" : "Đầu và thiết lập đáy",</v>
      </c>
    </row>
    <row r="652" spans="1:6" ht="15.75" customHeight="1">
      <c r="A652" s="14">
        <v>2084057061</v>
      </c>
      <c r="B652" s="14" t="s">
        <v>11217</v>
      </c>
      <c r="C652" s="14" t="s">
        <v>11336</v>
      </c>
      <c r="D652" s="5" t="str">
        <f ca="1">IFERROR(__xludf.DUMMYFUNCTION("GOOGLETRANSLATE(B652,""ja"",""vi"")"),"áo")</f>
        <v>áo</v>
      </c>
      <c r="E652" s="5" t="str">
        <f ca="1">IFERROR(__xludf.DUMMYFUNCTION("GOOGLETRANSLATE(C652,""ja"",""vi"")"),"Đấu giá&gt; thể thao, giải trí&gt; đồ thể thao&gt; Unisex&gt; Tòa án")</f>
        <v>Đấu giá&gt; thể thao, giải trí&gt; đồ thể thao&gt; Unisex&gt; Tòa án</v>
      </c>
      <c r="F652" t="str">
        <f t="shared" ca="1" si="10"/>
        <v>"2084057061" : "áo",</v>
      </c>
    </row>
    <row r="653" spans="1:6" ht="15.75" customHeight="1">
      <c r="A653" s="14">
        <v>2084057063</v>
      </c>
      <c r="B653" s="14" t="s">
        <v>11223</v>
      </c>
      <c r="C653" s="14" t="s">
        <v>11342</v>
      </c>
      <c r="D653" s="5" t="str">
        <f ca="1">IFERROR(__xludf.DUMMYFUNCTION("GOOGLETRANSLATE(B653,""ja"",""vi"")"),"Áo khoác, áo khoác")</f>
        <v>Áo khoác, áo khoác</v>
      </c>
      <c r="E653" s="5" t="str">
        <f ca="1">IFERROR(__xludf.DUMMYFUNCTION("GOOGLETRANSLATE(C653,""ja"",""vi"")"),"Đấu giá&gt; thể thao, giải trí&gt; đồ thể thao&gt; Unisex&gt; áo khoác, áo khoác")</f>
        <v>Đấu giá&gt; thể thao, giải trí&gt; đồ thể thao&gt; Unisex&gt; áo khoác, áo khoác</v>
      </c>
      <c r="F653" t="str">
        <f t="shared" ca="1" si="10"/>
        <v>"2084057063" : "Áo khoác, áo khoác",</v>
      </c>
    </row>
    <row r="654" spans="1:6" ht="15.75" customHeight="1">
      <c r="A654" s="14">
        <v>2084057064</v>
      </c>
      <c r="B654" s="14" t="s">
        <v>11235</v>
      </c>
      <c r="C654" s="14" t="s">
        <v>11346</v>
      </c>
      <c r="D654" s="5" t="str">
        <f ca="1">IFERROR(__xludf.DUMMYFUNCTION("GOOGLETRANSLATE(B654,""ja"",""vi"")"),"tops")</f>
        <v>tops</v>
      </c>
      <c r="E654" s="5" t="str">
        <f ca="1">IFERROR(__xludf.DUMMYFUNCTION("GOOGLETRANSLATE(C654,""ja"",""vi"")"),"Đấu giá&gt; thể thao, giải trí&gt; đồ thể thao&gt; Unisex&gt; Tops")</f>
        <v>Đấu giá&gt; thể thao, giải trí&gt; đồ thể thao&gt; Unisex&gt; Tops</v>
      </c>
      <c r="F654" t="str">
        <f t="shared" ca="1" si="10"/>
        <v>"2084057064" : "tops",</v>
      </c>
    </row>
    <row r="655" spans="1:6" ht="15.75" customHeight="1">
      <c r="A655" s="14">
        <v>2084057065</v>
      </c>
      <c r="B655" s="14" t="s">
        <v>11242</v>
      </c>
      <c r="C655" s="14" t="s">
        <v>11350</v>
      </c>
      <c r="D655" s="5" t="str">
        <f ca="1">IFERROR(__xludf.DUMMYFUNCTION("GOOGLETRANSLATE(B655,""ja"",""vi"")"),"đáy")</f>
        <v>đáy</v>
      </c>
      <c r="E655" s="5" t="str">
        <f ca="1">IFERROR(__xludf.DUMMYFUNCTION("GOOGLETRANSLATE(C655,""ja"",""vi"")"),"Đấu giá&gt; thể thao, giải trí&gt; đồ thể thao&gt; Unisex&gt; Bottoms")</f>
        <v>Đấu giá&gt; thể thao, giải trí&gt; đồ thể thao&gt; Unisex&gt; Bottoms</v>
      </c>
      <c r="F655" t="str">
        <f t="shared" ca="1" si="10"/>
        <v>"2084057065" : "đáy",</v>
      </c>
    </row>
    <row r="656" spans="1:6" ht="15.75" customHeight="1">
      <c r="A656" s="14">
        <v>2084057089</v>
      </c>
      <c r="B656" s="14" t="s">
        <v>11255</v>
      </c>
      <c r="C656" s="14" t="s">
        <v>11355</v>
      </c>
      <c r="D656" s="5" t="str">
        <f ca="1">IFERROR(__xludf.DUMMYFUNCTION("GOOGLETRANSLATE(B656,""ja"",""vi"")"),"Jersey, mồ hôi")</f>
        <v>Jersey, mồ hôi</v>
      </c>
      <c r="E656" s="5" t="str">
        <f ca="1">IFERROR(__xludf.DUMMYFUNCTION("GOOGLETRANSLATE(C656,""ja"",""vi"")"),"Đấu giá&gt; thể thao, giải trí&gt; đồ thể thao&gt; Unisex&gt; jersey, mồ hôi")</f>
        <v>Đấu giá&gt; thể thao, giải trí&gt; đồ thể thao&gt; Unisex&gt; jersey, mồ hôi</v>
      </c>
      <c r="F656" t="str">
        <f t="shared" ca="1" si="10"/>
        <v>"2084057089" : "Jersey, mồ hôi",</v>
      </c>
    </row>
    <row r="657" spans="1:6" ht="15.75" customHeight="1">
      <c r="A657" s="14">
        <v>2084057066</v>
      </c>
      <c r="B657" s="14" t="s">
        <v>46</v>
      </c>
      <c r="C657" s="14" t="s">
        <v>11359</v>
      </c>
      <c r="D657" s="5" t="str">
        <f ca="1">IFERROR(__xludf.DUMMYFUNCTION("GOOGLETRANSLATE(B657,""ja"",""vi"")"),"nếu không thì")</f>
        <v>nếu không thì</v>
      </c>
      <c r="E657" s="5" t="str">
        <f ca="1">IFERROR(__xludf.DUMMYFUNCTION("GOOGLETRANSLATE(C657,""ja"",""vi"")"),"Đấu giá&gt; thể thao, giải trí&gt; đồ thể thao&gt; Unisex&gt; Khác")</f>
        <v>Đấu giá&gt; thể thao, giải trí&gt; đồ thể thao&gt; Unisex&gt; Khác</v>
      </c>
      <c r="F657" t="str">
        <f t="shared" ca="1" si="10"/>
        <v>"2084057066" : "nếu không thì",</v>
      </c>
    </row>
    <row r="658" spans="1:6" ht="15.75" customHeight="1">
      <c r="A658" s="14">
        <v>2084263747</v>
      </c>
      <c r="B658" s="14" t="s">
        <v>11211</v>
      </c>
      <c r="C658" s="14" t="s">
        <v>11364</v>
      </c>
      <c r="D658" s="5" t="str">
        <f ca="1">IFERROR(__xludf.DUMMYFUNCTION("GOOGLETRANSLATE(B658,""ja"",""vi"")"),"Đầu và thiết lập đáy")</f>
        <v>Đầu và thiết lập đáy</v>
      </c>
      <c r="E658" s="5" t="str">
        <f ca="1">IFERROR(__xludf.DUMMYFUNCTION("GOOGLETRANSLATE(C658,""ja"",""vi"")"),"Đấu giá&gt; thể thao, giải trí&gt; đồ thể thao&gt; cho trẻ em&gt; trên và thiết lập đáy")</f>
        <v>Đấu giá&gt; thể thao, giải trí&gt; đồ thể thao&gt; cho trẻ em&gt; trên và thiết lập đáy</v>
      </c>
      <c r="F658" t="str">
        <f t="shared" ca="1" si="10"/>
        <v>"2084263747" : "Đầu và thiết lập đáy",</v>
      </c>
    </row>
    <row r="659" spans="1:6" ht="15.75" customHeight="1">
      <c r="A659" s="14">
        <v>2084263748</v>
      </c>
      <c r="B659" s="14" t="s">
        <v>11217</v>
      </c>
      <c r="C659" s="14" t="s">
        <v>11367</v>
      </c>
      <c r="D659" s="5" t="str">
        <f ca="1">IFERROR(__xludf.DUMMYFUNCTION("GOOGLETRANSLATE(B659,""ja"",""vi"")"),"áo")</f>
        <v>áo</v>
      </c>
      <c r="E659" s="5" t="str">
        <f ca="1">IFERROR(__xludf.DUMMYFUNCTION("GOOGLETRANSLATE(C659,""ja"",""vi"")"),"Đấu giá&gt; thể thao, giải trí&gt; đồ thể thao&gt; cho trẻ em&gt; Tòa án")</f>
        <v>Đấu giá&gt; thể thao, giải trí&gt; đồ thể thao&gt; cho trẻ em&gt; Tòa án</v>
      </c>
      <c r="F659" t="str">
        <f t="shared" ca="1" si="10"/>
        <v>"2084263748" : "áo",</v>
      </c>
    </row>
    <row r="660" spans="1:6" ht="15.75" customHeight="1">
      <c r="A660" s="14">
        <v>2084263749</v>
      </c>
      <c r="B660" s="14" t="s">
        <v>11223</v>
      </c>
      <c r="C660" s="14" t="s">
        <v>11372</v>
      </c>
      <c r="D660" s="5" t="str">
        <f ca="1">IFERROR(__xludf.DUMMYFUNCTION("GOOGLETRANSLATE(B660,""ja"",""vi"")"),"Áo khoác, áo khoác")</f>
        <v>Áo khoác, áo khoác</v>
      </c>
      <c r="E660" s="5" t="str">
        <f ca="1">IFERROR(__xludf.DUMMYFUNCTION("GOOGLETRANSLATE(C660,""ja"",""vi"")"),"Đấu giá&gt; thể thao, giải trí&gt; đồ thể thao&gt; cho trẻ em&gt; áo khoác, áo khoác")</f>
        <v>Đấu giá&gt; thể thao, giải trí&gt; đồ thể thao&gt; cho trẻ em&gt; áo khoác, áo khoác</v>
      </c>
      <c r="F660" t="str">
        <f t="shared" ca="1" si="10"/>
        <v>"2084263749" : "Áo khoác, áo khoác",</v>
      </c>
    </row>
    <row r="661" spans="1:6" ht="15.75" customHeight="1">
      <c r="A661" s="14">
        <v>2084263752</v>
      </c>
      <c r="B661" s="14" t="s">
        <v>11235</v>
      </c>
      <c r="C661" s="14" t="s">
        <v>11376</v>
      </c>
      <c r="D661" s="5" t="str">
        <f ca="1">IFERROR(__xludf.DUMMYFUNCTION("GOOGLETRANSLATE(B661,""ja"",""vi"")"),"tops")</f>
        <v>tops</v>
      </c>
      <c r="E661" s="5" t="str">
        <f ca="1">IFERROR(__xludf.DUMMYFUNCTION("GOOGLETRANSLATE(C661,""ja"",""vi"")"),"Đấu giá&gt; thể thao, giải trí&gt; đồ thể thao&gt; cho trẻ em&gt; ngọn")</f>
        <v>Đấu giá&gt; thể thao, giải trí&gt; đồ thể thao&gt; cho trẻ em&gt; ngọn</v>
      </c>
      <c r="F661" t="str">
        <f t="shared" ca="1" si="10"/>
        <v>"2084263752" : "tops",</v>
      </c>
    </row>
    <row r="662" spans="1:6" ht="15.75" customHeight="1">
      <c r="A662" s="14">
        <v>2084263750</v>
      </c>
      <c r="B662" s="14" t="s">
        <v>11242</v>
      </c>
      <c r="C662" s="14" t="s">
        <v>11381</v>
      </c>
      <c r="D662" s="5" t="str">
        <f ca="1">IFERROR(__xludf.DUMMYFUNCTION("GOOGLETRANSLATE(B662,""ja"",""vi"")"),"đáy")</f>
        <v>đáy</v>
      </c>
      <c r="E662" s="5" t="str">
        <f ca="1">IFERROR(__xludf.DUMMYFUNCTION("GOOGLETRANSLATE(C662,""ja"",""vi"")"),"Đấu giá&gt; thể thao, giải trí&gt; đồ thể thao&gt; cho trẻ em&gt; Bottoms")</f>
        <v>Đấu giá&gt; thể thao, giải trí&gt; đồ thể thao&gt; cho trẻ em&gt; Bottoms</v>
      </c>
      <c r="F662" t="str">
        <f t="shared" ca="1" si="10"/>
        <v>"2084263750" : "đáy",</v>
      </c>
    </row>
    <row r="663" spans="1:6" ht="15.75" customHeight="1">
      <c r="A663" s="14">
        <v>2084263751</v>
      </c>
      <c r="B663" s="14" t="s">
        <v>46</v>
      </c>
      <c r="C663" s="14" t="s">
        <v>11386</v>
      </c>
      <c r="D663" s="5" t="str">
        <f ca="1">IFERROR(__xludf.DUMMYFUNCTION("GOOGLETRANSLATE(B663,""ja"",""vi"")"),"nếu không thì")</f>
        <v>nếu không thì</v>
      </c>
      <c r="E663" s="5" t="str">
        <f ca="1">IFERROR(__xludf.DUMMYFUNCTION("GOOGLETRANSLATE(C663,""ja"",""vi"")"),"Đấu giá&gt; thể thao, giải trí&gt; đồ thể thao&gt; cho trẻ em&gt; Khác")</f>
        <v>Đấu giá&gt; thể thao, giải trí&gt; đồ thể thao&gt; cho trẻ em&gt; Khác</v>
      </c>
      <c r="F663" t="str">
        <f t="shared" ca="1" si="10"/>
        <v>"2084263751" : "nếu không thì",</v>
      </c>
    </row>
    <row r="664" spans="1:6" ht="15.75" customHeight="1">
      <c r="A664" s="14">
        <v>25224</v>
      </c>
      <c r="B664" s="14" t="s">
        <v>11389</v>
      </c>
      <c r="C664" s="14" t="s">
        <v>11391</v>
      </c>
      <c r="D664" s="5" t="str">
        <f ca="1">IFERROR(__xludf.DUMMYFUNCTION("GOOGLETRANSLATE(B664,""ja"",""vi"")"),"cung tên")</f>
        <v>cung tên</v>
      </c>
      <c r="E664" s="5" t="str">
        <f ca="1">IFERROR(__xludf.DUMMYFUNCTION("GOOGLETRANSLATE(C664,""ja"",""vi"")"),"Đấu giá&gt; thể thao, giải trí&gt; Bằng Sport&gt; Bắn cung")</f>
        <v>Đấu giá&gt; thể thao, giải trí&gt; Bằng Sport&gt; Bắn cung</v>
      </c>
      <c r="F664" t="str">
        <f t="shared" ca="1" si="10"/>
        <v>"25224" : "cung tên",</v>
      </c>
    </row>
    <row r="665" spans="1:6" ht="15.75" customHeight="1">
      <c r="A665" s="14">
        <v>25232</v>
      </c>
      <c r="B665" s="14" t="s">
        <v>11394</v>
      </c>
      <c r="C665" s="14" t="s">
        <v>11397</v>
      </c>
      <c r="D665" s="5" t="str">
        <f ca="1">IFERROR(__xludf.DUMMYFUNCTION("GOOGLETRANSLATE(B665,""ja"",""vi"")"),"trượt băng")</f>
        <v>trượt băng</v>
      </c>
      <c r="E665" s="5" t="str">
        <f ca="1">IFERROR(__xludf.DUMMYFUNCTION("GOOGLETRANSLATE(C665,""ja"",""vi"")"),"Đấu giá&gt; thể thao, giải trí&gt; Bằng Sport&gt; Trượt băng")</f>
        <v>Đấu giá&gt; thể thao, giải trí&gt; Bằng Sport&gt; Trượt băng</v>
      </c>
      <c r="F665" t="str">
        <f t="shared" ca="1" si="10"/>
        <v>"25232" : "trượt băng",</v>
      </c>
    </row>
    <row r="666" spans="1:6" ht="15.75" customHeight="1">
      <c r="A666" s="14">
        <v>25350</v>
      </c>
      <c r="B666" s="14" t="s">
        <v>11401</v>
      </c>
      <c r="C666" s="14" t="s">
        <v>11403</v>
      </c>
      <c r="D666" s="5" t="str">
        <f ca="1">IFERROR(__xludf.DUMMYFUNCTION("GOOGLETRANSLATE(B666,""ja"",""vi"")"),"Hockey")</f>
        <v>Hockey</v>
      </c>
      <c r="E666" s="5" t="str">
        <f ca="1">IFERROR(__xludf.DUMMYFUNCTION("GOOGLETRANSLATE(C666,""ja"",""vi"")"),"Đấu giá&gt; thể thao, giải trí&gt; Bằng Sport&gt; Ice Hockey")</f>
        <v>Đấu giá&gt; thể thao, giải trí&gt; Bằng Sport&gt; Ice Hockey</v>
      </c>
      <c r="F666" t="str">
        <f t="shared" ca="1" si="10"/>
        <v>"25350" : "Hockey",</v>
      </c>
    </row>
    <row r="667" spans="1:6" ht="15.75" customHeight="1">
      <c r="A667" s="14">
        <v>25346</v>
      </c>
      <c r="B667" s="14" t="s">
        <v>1246</v>
      </c>
      <c r="C667" s="14" t="s">
        <v>11408</v>
      </c>
      <c r="D667" s="5" t="str">
        <f ca="1">IFERROR(__xludf.DUMMYFUNCTION("GOOGLETRANSLATE(B667,""ja"",""vi"")"),"bóng đá Mỹ")</f>
        <v>bóng đá Mỹ</v>
      </c>
      <c r="E667" s="5" t="str">
        <f ca="1">IFERROR(__xludf.DUMMYFUNCTION("GOOGLETRANSLATE(C667,""ja"",""vi"")"),"Đấu giá&gt; thể thao, giải trí&gt; Bằng Sport&gt; bóng đá Mỹ")</f>
        <v>Đấu giá&gt; thể thao, giải trí&gt; Bằng Sport&gt; bóng đá Mỹ</v>
      </c>
      <c r="F667" t="str">
        <f t="shared" ca="1" si="10"/>
        <v>"25346" : "bóng đá Mỹ",</v>
      </c>
    </row>
    <row r="668" spans="1:6" ht="15.75" customHeight="1">
      <c r="A668" s="14">
        <v>25282</v>
      </c>
      <c r="B668" s="14" t="s">
        <v>8351</v>
      </c>
      <c r="C668" s="14" t="s">
        <v>11412</v>
      </c>
      <c r="D668" s="5" t="str">
        <f ca="1">IFERROR(__xludf.DUMMYFUNCTION("GOOGLETRANSLATE(B668,""ja"",""vi"")"),"trượt patanh")</f>
        <v>trượt patanh</v>
      </c>
      <c r="E668" s="5" t="str">
        <f ca="1">IFERROR(__xludf.DUMMYFUNCTION("GOOGLETRANSLATE(C668,""ja"",""vi"")"),"Đấu giá&gt; thể thao, giải trí&gt; Bằng Sport&gt; trượt inline")</f>
        <v>Đấu giá&gt; thể thao, giải trí&gt; Bằng Sport&gt; trượt inline</v>
      </c>
      <c r="F668" t="str">
        <f t="shared" ca="1" si="10"/>
        <v>"25282" : "trượt patanh",</v>
      </c>
    </row>
    <row r="669" spans="1:6" ht="15.75" customHeight="1">
      <c r="A669" s="14">
        <v>25248</v>
      </c>
      <c r="B669" s="14" t="s">
        <v>11416</v>
      </c>
      <c r="C669" s="14" t="s">
        <v>11419</v>
      </c>
      <c r="D669" s="5" t="str">
        <f ca="1">IFERROR(__xludf.DUMMYFUNCTION("GOOGLETRANSLATE(B669,""ja"",""vi"")"),"Lướt ván buồm")</f>
        <v>Lướt ván buồm</v>
      </c>
      <c r="E669" s="5" t="str">
        <f ca="1">IFERROR(__xludf.DUMMYFUNCTION("GOOGLETRANSLATE(C669,""ja"",""vi"")"),"Đấu giá&gt; thể thao, giải trí&gt; Bằng Sport&gt; lướt ván")</f>
        <v>Đấu giá&gt; thể thao, giải trí&gt; Bằng Sport&gt; lướt ván</v>
      </c>
      <c r="F669" t="str">
        <f t="shared" ca="1" si="10"/>
        <v>"25248" : "Lướt ván buồm",</v>
      </c>
    </row>
    <row r="670" spans="1:6" ht="15.75" customHeight="1">
      <c r="A670" s="14">
        <v>25244</v>
      </c>
      <c r="B670" s="14" t="s">
        <v>11424</v>
      </c>
      <c r="C670" s="14" t="s">
        <v>11426</v>
      </c>
      <c r="D670" s="5" t="str">
        <f ca="1">IFERROR(__xludf.DUMMYFUNCTION("GOOGLETRANSLATE(B670,""ja"",""vi"")"),"wakeboarding")</f>
        <v>wakeboarding</v>
      </c>
      <c r="E670" s="5" t="str">
        <f ca="1">IFERROR(__xludf.DUMMYFUNCTION("GOOGLETRANSLATE(C670,""ja"",""vi"")"),"Đấu giá&gt; thể thao, giải trí&gt; Bằng Sport&gt; wakeboard")</f>
        <v>Đấu giá&gt; thể thao, giải trí&gt; Bằng Sport&gt; wakeboard</v>
      </c>
      <c r="F670" t="str">
        <f t="shared" ca="1" si="10"/>
        <v>"25244" : "wakeboarding",</v>
      </c>
    </row>
    <row r="671" spans="1:6" ht="15.75" customHeight="1">
      <c r="A671" s="14">
        <v>2084196837</v>
      </c>
      <c r="B671" s="14" t="s">
        <v>8399</v>
      </c>
      <c r="C671" s="14" t="s">
        <v>11431</v>
      </c>
      <c r="D671" s="5" t="str">
        <f ca="1">IFERROR(__xludf.DUMMYFUNCTION("GOOGLETRANSLATE(B671,""ja"",""vi"")"),"đi bộ")</f>
        <v>đi bộ</v>
      </c>
      <c r="E671" s="5" t="str">
        <f ca="1">IFERROR(__xludf.DUMMYFUNCTION("GOOGLETRANSLATE(C671,""ja"",""vi"")"),"Đấu giá&gt; thể thao, giải trí&gt; Bằng Sport&gt; Đi bộ")</f>
        <v>Đấu giá&gt; thể thao, giải trí&gt; Bằng Sport&gt; Đi bộ</v>
      </c>
      <c r="F671" t="str">
        <f t="shared" ca="1" si="10"/>
        <v>"2084196837" : "đi bộ",</v>
      </c>
    </row>
    <row r="672" spans="1:6" ht="15.75" customHeight="1">
      <c r="A672" s="14">
        <v>25154</v>
      </c>
      <c r="B672" s="14" t="s">
        <v>11435</v>
      </c>
      <c r="C672" s="14" t="s">
        <v>11437</v>
      </c>
      <c r="D672" s="5" t="str">
        <f ca="1">IFERROR(__xludf.DUMMYFUNCTION("GOOGLETRANSLATE(B672,""ja"",""vi"")"),"tập thể dục Thiết bị")</f>
        <v>tập thể dục Thiết bị</v>
      </c>
      <c r="E672" s="5" t="str">
        <f ca="1">IFERROR(__xludf.DUMMYFUNCTION("GOOGLETRANSLATE(C672,""ja"",""vi"")"),"Đấu giá&gt; thể thao, giải trí&gt; thể thao khác&gt; nguồn cung cấp tập thể dục")</f>
        <v>Đấu giá&gt; thể thao, giải trí&gt; thể thao khác&gt; nguồn cung cấp tập thể dục</v>
      </c>
      <c r="F672" t="str">
        <f t="shared" ca="1" si="10"/>
        <v>"25154" : "tập thể dục Thiết bị",</v>
      </c>
    </row>
    <row r="673" spans="1:6" ht="15.75" customHeight="1">
      <c r="A673" s="14">
        <v>2084047456</v>
      </c>
      <c r="B673" s="14" t="s">
        <v>5690</v>
      </c>
      <c r="C673" s="14" t="s">
        <v>11442</v>
      </c>
      <c r="D673" s="5" t="str">
        <f ca="1">IFERROR(__xludf.DUMMYFUNCTION("GOOGLETRANSLATE(B673,""ja"",""vi"")"),"đua xe")</f>
        <v>đua xe</v>
      </c>
      <c r="E673" s="5" t="str">
        <f ca="1">IFERROR(__xludf.DUMMYFUNCTION("GOOGLETRANSLATE(C673,""ja"",""vi"")"),"Đấu giá&gt; thể thao, giải trí&gt; thể thao khác&gt; xe đua")</f>
        <v>Đấu giá&gt; thể thao, giải trí&gt; thể thao khác&gt; xe đua</v>
      </c>
      <c r="F673" t="str">
        <f t="shared" ca="1" si="10"/>
        <v>"2084047456" : "đua xe",</v>
      </c>
    </row>
    <row r="674" spans="1:6" ht="15.75" customHeight="1">
      <c r="A674" s="14">
        <v>25042</v>
      </c>
      <c r="B674" s="14" t="s">
        <v>1254</v>
      </c>
      <c r="C674" s="14" t="s">
        <v>11447</v>
      </c>
      <c r="D674" s="5" t="str">
        <f ca="1">IFERROR(__xludf.DUMMYFUNCTION("GOOGLETRANSLATE(B674,""ja"",""vi"")"),"golf")</f>
        <v>golf</v>
      </c>
      <c r="E674" s="5" t="str">
        <f ca="1">IFERROR(__xludf.DUMMYFUNCTION("GOOGLETRANSLATE(C674,""ja"",""vi"")"),"Đấu giá&gt; thể thao, giải trí&gt; Bằng cách thể thao&gt; Golf")</f>
        <v>Đấu giá&gt; thể thao, giải trí&gt; Bằng cách thể thao&gt; Golf</v>
      </c>
      <c r="F674" t="str">
        <f t="shared" ca="1" si="10"/>
        <v>"25042" : "golf",</v>
      </c>
    </row>
    <row r="675" spans="1:6" ht="15.75" customHeight="1">
      <c r="A675" s="14">
        <v>2084032407</v>
      </c>
      <c r="B675" s="14" t="s">
        <v>1311</v>
      </c>
      <c r="C675" s="14" t="s">
        <v>11452</v>
      </c>
      <c r="D675" s="5" t="str">
        <f ca="1">IFERROR(__xludf.DUMMYFUNCTION("GOOGLETRANSLATE(B675,""ja"",""vi"")"),"Võ thuật, Wrestling")</f>
        <v>Võ thuật, Wrestling</v>
      </c>
      <c r="E675" s="5" t="str">
        <f ca="1">IFERROR(__xludf.DUMMYFUNCTION("GOOGLETRANSLATE(C675,""ja"",""vi"")"),"Đấu giá&gt; thể thao, giải trí&gt; Bằng cách thể thao&gt; Võ thuật, Wrestling")</f>
        <v>Đấu giá&gt; thể thao, giải trí&gt; Bằng cách thể thao&gt; Võ thuật, Wrestling</v>
      </c>
      <c r="F675" t="str">
        <f t="shared" ca="1" si="10"/>
        <v>"2084032407" : "Võ thuật, Wrestling",</v>
      </c>
    </row>
    <row r="676" spans="1:6" ht="15.75" customHeight="1">
      <c r="A676" s="14">
        <v>2084228304</v>
      </c>
      <c r="B676" s="14" t="s">
        <v>11455</v>
      </c>
      <c r="C676" s="14" t="s">
        <v>11458</v>
      </c>
      <c r="D676" s="5" t="str">
        <f ca="1">IFERROR(__xludf.DUMMYFUNCTION("GOOGLETRANSLATE(B676,""ja"",""vi"")"),"bắn cung Nhật Bản")</f>
        <v>bắn cung Nhật Bản</v>
      </c>
      <c r="E676" s="5" t="str">
        <f ca="1">IFERROR(__xludf.DUMMYFUNCTION("GOOGLETRANSLATE(C676,""ja"",""vi"")"),"Đấu giá&gt; thể thao, giải trí&gt; Bằng Sport&gt; Bắn cung")</f>
        <v>Đấu giá&gt; thể thao, giải trí&gt; Bằng Sport&gt; Bắn cung</v>
      </c>
      <c r="F676" t="str">
        <f t="shared" ca="1" si="10"/>
        <v>"2084228304" : "bắn cung Nhật Bản",</v>
      </c>
    </row>
    <row r="677" spans="1:6" ht="15.75" customHeight="1">
      <c r="A677" s="14">
        <v>2084258252</v>
      </c>
      <c r="B677" s="14" t="s">
        <v>11461</v>
      </c>
      <c r="C677" s="14" t="s">
        <v>11463</v>
      </c>
      <c r="D677" s="5" t="str">
        <f ca="1">IFERROR(__xludf.DUMMYFUNCTION("GOOGLETRANSLATE(B677,""ja"",""vi"")"),"Karate")</f>
        <v>Karate</v>
      </c>
      <c r="E677" s="5" t="str">
        <f ca="1">IFERROR(__xludf.DUMMYFUNCTION("GOOGLETRANSLATE(C677,""ja"",""vi"")"),"Đấu giá&gt; thể thao, giải trí&gt; Bằng Sport&gt; karate")</f>
        <v>Đấu giá&gt; thể thao, giải trí&gt; Bằng Sport&gt; karate</v>
      </c>
      <c r="F677" t="str">
        <f t="shared" ca="1" si="10"/>
        <v>"2084258252" : "Karate",</v>
      </c>
    </row>
    <row r="678" spans="1:6" ht="15.75" customHeight="1">
      <c r="A678" s="14">
        <v>2084005345</v>
      </c>
      <c r="B678" s="14" t="s">
        <v>11466</v>
      </c>
      <c r="C678" s="14" t="s">
        <v>11468</v>
      </c>
      <c r="D678" s="5" t="str">
        <f ca="1">IFERROR(__xludf.DUMMYFUNCTION("GOOGLETRANSLATE(B678,""ja"",""vi"")"),"Kendo")</f>
        <v>Kendo</v>
      </c>
      <c r="E678" s="5" t="str">
        <f ca="1">IFERROR(__xludf.DUMMYFUNCTION("GOOGLETRANSLATE(C678,""ja"",""vi"")"),"Đấu giá&gt; thể thao, giải trí&gt; Bằng Sport&gt; Kendo")</f>
        <v>Đấu giá&gt; thể thao, giải trí&gt; Bằng Sport&gt; Kendo</v>
      </c>
      <c r="F678" t="str">
        <f t="shared" ca="1" si="10"/>
        <v>"2084005345" : "Kendo",</v>
      </c>
    </row>
    <row r="679" spans="1:6" ht="15.75" customHeight="1">
      <c r="A679" s="14">
        <v>25242</v>
      </c>
      <c r="B679" s="14" t="s">
        <v>9352</v>
      </c>
      <c r="C679" s="14" t="s">
        <v>11472</v>
      </c>
      <c r="D679" s="5" t="str">
        <f ca="1">IFERROR(__xludf.DUMMYFUNCTION("GOOGLETRANSLATE(B679,""ja"",""vi"")"),"lướt sóng")</f>
        <v>lướt sóng</v>
      </c>
      <c r="E679" s="5" t="str">
        <f ca="1">IFERROR(__xludf.DUMMYFUNCTION("GOOGLETRANSLATE(C679,""ja"",""vi"")"),"Đấu giá&gt; thể thao, giải trí&gt; Bằng Sport&gt; Lướt sóng")</f>
        <v>Đấu giá&gt; thể thao, giải trí&gt; Bằng Sport&gt; Lướt sóng</v>
      </c>
      <c r="F679" t="str">
        <f t="shared" ca="1" si="10"/>
        <v>"25242" : "lướt sóng",</v>
      </c>
    </row>
    <row r="680" spans="1:6" ht="15.75" customHeight="1">
      <c r="A680" s="14">
        <v>25344</v>
      </c>
      <c r="B680" s="14" t="s">
        <v>1262</v>
      </c>
      <c r="C680" s="14" t="s">
        <v>11477</v>
      </c>
      <c r="D680" s="5" t="str">
        <f ca="1">IFERROR(__xludf.DUMMYFUNCTION("GOOGLETRANSLATE(B680,""ja"",""vi"")"),"bóng đá")</f>
        <v>bóng đá</v>
      </c>
      <c r="E680" s="5" t="str">
        <f ca="1">IFERROR(__xludf.DUMMYFUNCTION("GOOGLETRANSLATE(C680,""ja"",""vi"")"),"Đấu giá&gt; thể thao, giải trí&gt; Bằng cách thể thao&gt; Bóng đá")</f>
        <v>Đấu giá&gt; thể thao, giải trí&gt; Bằng cách thể thao&gt; Bóng đá</v>
      </c>
      <c r="F680" t="str">
        <f t="shared" ca="1" si="10"/>
        <v>"25344" : "bóng đá",</v>
      </c>
    </row>
    <row r="681" spans="1:6" ht="15.75" customHeight="1">
      <c r="A681" s="14">
        <v>2084048552</v>
      </c>
      <c r="B681" s="14" t="s">
        <v>11481</v>
      </c>
      <c r="C681" s="14" t="s">
        <v>11484</v>
      </c>
      <c r="D681" s="5" t="str">
        <f ca="1">IFERROR(__xludf.DUMMYFUNCTION("GOOGLETRANSLATE(B681,""ja"",""vi"")"),"Sky Sports")</f>
        <v>Sky Sports</v>
      </c>
      <c r="E681" s="5" t="str">
        <f ca="1">IFERROR(__xludf.DUMMYFUNCTION("GOOGLETRANSLATE(C681,""ja"",""vi"")"),"Đấu giá&gt; thể thao, giải trí&gt; Bằng Sport&gt; Sky Sports")</f>
        <v>Đấu giá&gt; thể thao, giải trí&gt; Bằng Sport&gt; Sky Sports</v>
      </c>
      <c r="F681" t="str">
        <f t="shared" ca="1" si="10"/>
        <v>"2084048552" : "Sky Sports",</v>
      </c>
    </row>
    <row r="682" spans="1:6" ht="15.75" customHeight="1">
      <c r="A682" s="14">
        <v>2084032405</v>
      </c>
      <c r="B682" s="14" t="s">
        <v>11487</v>
      </c>
      <c r="C682" s="14" t="s">
        <v>11488</v>
      </c>
      <c r="D682" s="5" t="str">
        <f ca="1">IFERROR(__xludf.DUMMYFUNCTION("GOOGLETRANSLATE(B682,""ja"",""vi"")"),"bí đao")</f>
        <v>bí đao</v>
      </c>
      <c r="E682" s="5" t="str">
        <f ca="1">IFERROR(__xludf.DUMMYFUNCTION("GOOGLETRANSLATE(C682,""ja"",""vi"")"),"Đấu giá&gt; thể thao, giải trí&gt; Bằng Sport&gt; Squash")</f>
        <v>Đấu giá&gt; thể thao, giải trí&gt; Bằng Sport&gt; Squash</v>
      </c>
      <c r="F682" t="str">
        <f t="shared" ca="1" si="10"/>
        <v>"2084032405" : "bí đao",</v>
      </c>
    </row>
    <row r="683" spans="1:6" ht="15.75" customHeight="1">
      <c r="A683" s="14">
        <v>25102</v>
      </c>
      <c r="B683" s="14" t="s">
        <v>11493</v>
      </c>
      <c r="C683" s="14" t="s">
        <v>11494</v>
      </c>
      <c r="D683" s="5" t="str">
        <f ca="1">IFERROR(__xludf.DUMMYFUNCTION("GOOGLETRANSLATE(B683,""ja"",""vi"")"),"trượt tuyết")</f>
        <v>trượt tuyết</v>
      </c>
      <c r="E683" s="5" t="str">
        <f ca="1">IFERROR(__xludf.DUMMYFUNCTION("GOOGLETRANSLATE(C683,""ja"",""vi"")"),"Đấu giá&gt; thể thao, giải trí&gt; Bằng Sport&gt; trượt tuyết")</f>
        <v>Đấu giá&gt; thể thao, giải trí&gt; Bằng Sport&gt; trượt tuyết</v>
      </c>
      <c r="F683" t="str">
        <f t="shared" ca="1" si="10"/>
        <v>"25102" : "trượt tuyết",</v>
      </c>
    </row>
    <row r="684" spans="1:6" ht="15.75" customHeight="1">
      <c r="A684" s="14">
        <v>25294</v>
      </c>
      <c r="B684" s="14" t="s">
        <v>11500</v>
      </c>
      <c r="C684" s="14" t="s">
        <v>11503</v>
      </c>
      <c r="D684" s="5" t="str">
        <f ca="1">IFERROR(__xludf.DUMMYFUNCTION("GOOGLETRANSLATE(B684,""ja"",""vi"")"),"lặn bằng bình khí")</f>
        <v>lặn bằng bình khí</v>
      </c>
      <c r="E684" s="5" t="str">
        <f ca="1">IFERROR(__xludf.DUMMYFUNCTION("GOOGLETRANSLATE(C684,""ja"",""vi"")"),"Đấu giá&gt; thể thao, giải trí&gt; thể thao khác&gt; lặn biển")</f>
        <v>Đấu giá&gt; thể thao, giải trí&gt; thể thao khác&gt; lặn biển</v>
      </c>
      <c r="F684" t="str">
        <f t="shared" ca="1" si="10"/>
        <v>"25294" : "lặn bằng bình khí",</v>
      </c>
    </row>
    <row r="685" spans="1:6" ht="15.75" customHeight="1">
      <c r="A685" s="14">
        <v>25318</v>
      </c>
      <c r="B685" s="14" t="s">
        <v>11506</v>
      </c>
      <c r="C685" s="14" t="s">
        <v>11510</v>
      </c>
      <c r="D685" s="5" t="str">
        <f ca="1">IFERROR(__xludf.DUMMYFUNCTION("GOOGLETRANSLATE(B685,""ja"",""vi"")"),"skateboard")</f>
        <v>skateboard</v>
      </c>
      <c r="E685" s="5" t="str">
        <f ca="1">IFERROR(__xludf.DUMMYFUNCTION("GOOGLETRANSLATE(C685,""ja"",""vi"")"),"Đấu giá&gt; thể thao, giải trí&gt; Bằng Sport&gt; skateboard")</f>
        <v>Đấu giá&gt; thể thao, giải trí&gt; Bằng Sport&gt; skateboard</v>
      </c>
      <c r="F685" t="str">
        <f t="shared" ca="1" si="10"/>
        <v>"25318" : "skateboard",</v>
      </c>
    </row>
    <row r="686" spans="1:6" ht="15.75" customHeight="1">
      <c r="A686" s="14">
        <v>25118</v>
      </c>
      <c r="B686" s="14" t="s">
        <v>9364</v>
      </c>
      <c r="C686" s="14" t="s">
        <v>11515</v>
      </c>
      <c r="D686" s="5" t="str">
        <f ca="1">IFERROR(__xludf.DUMMYFUNCTION("GOOGLETRANSLATE(B686,""ja"",""vi"")"),"trượt ván trên tuyết")</f>
        <v>trượt ván trên tuyết</v>
      </c>
      <c r="E686" s="5" t="str">
        <f ca="1">IFERROR(__xludf.DUMMYFUNCTION("GOOGLETRANSLATE(C686,""ja"",""vi"")"),"Đấu giá&gt; thể thao, giải trí&gt; Bằng Sport&gt; Snowboard")</f>
        <v>Đấu giá&gt; thể thao, giải trí&gt; Bằng Sport&gt; Snowboard</v>
      </c>
      <c r="F686" t="str">
        <f t="shared" ca="1" si="10"/>
        <v>"25118" : "trượt ván trên tuyết",</v>
      </c>
    </row>
    <row r="687" spans="1:6" ht="15.75" customHeight="1">
      <c r="A687" s="14">
        <v>25238</v>
      </c>
      <c r="B687" s="14" t="s">
        <v>11518</v>
      </c>
      <c r="C687" s="14" t="s">
        <v>11521</v>
      </c>
      <c r="D687" s="5" t="str">
        <f ca="1">IFERROR(__xludf.DUMMYFUNCTION("GOOGLETRANSLATE(B687,""ja"",""vi"")"),"tuyết di động")</f>
        <v>tuyết di động</v>
      </c>
      <c r="E687" s="5" t="str">
        <f ca="1">IFERROR(__xludf.DUMMYFUNCTION("GOOGLETRANSLATE(C687,""ja"",""vi"")"),"Đấu giá&gt; thể thao, giải trí&gt; Bằng Sport&gt; Xe chạy trên tuyết")</f>
        <v>Đấu giá&gt; thể thao, giải trí&gt; Bằng Sport&gt; Xe chạy trên tuyết</v>
      </c>
      <c r="F687" t="str">
        <f t="shared" ca="1" si="10"/>
        <v>"25238" : "tuyết di động",</v>
      </c>
    </row>
    <row r="688" spans="1:6" ht="15.75" customHeight="1">
      <c r="A688" s="14">
        <v>25352</v>
      </c>
      <c r="B688" s="14" t="s">
        <v>1268</v>
      </c>
      <c r="C688" s="14" t="s">
        <v>11526</v>
      </c>
      <c r="D688" s="5" t="str">
        <f ca="1">IFERROR(__xludf.DUMMYFUNCTION("GOOGLETRANSLATE(B688,""ja"",""vi"")"),"softball")</f>
        <v>softball</v>
      </c>
      <c r="E688" s="5" t="str">
        <f ca="1">IFERROR(__xludf.DUMMYFUNCTION("GOOGLETRANSLATE(C688,""ja"",""vi"")"),"Đấu giá&gt; thể thao, giải trí&gt; Bằng Sport&gt; Softball")</f>
        <v>Đấu giá&gt; thể thao, giải trí&gt; Bằng Sport&gt; Softball</v>
      </c>
      <c r="F688" t="str">
        <f t="shared" ca="1" si="10"/>
        <v>"25352" : "softball",</v>
      </c>
    </row>
    <row r="689" spans="1:6" ht="15.75" customHeight="1">
      <c r="A689" s="14">
        <v>26222</v>
      </c>
      <c r="B689" s="14" t="s">
        <v>5450</v>
      </c>
      <c r="C689" s="14" t="s">
        <v>11531</v>
      </c>
      <c r="D689" s="5" t="str">
        <f ca="1">IFERROR(__xludf.DUMMYFUNCTION("GOOGLETRANSLATE(B689,""ja"",""vi"")"),"Xe đạp, xe đạp")</f>
        <v>Xe đạp, xe đạp</v>
      </c>
      <c r="E689" s="5" t="str">
        <f ca="1">IFERROR(__xludf.DUMMYFUNCTION("GOOGLETRANSLATE(C689,""ja"",""vi"")"),"Đấu giá&gt; thể thao, giải trí&gt; Bằng Sport&gt; xe đạp, xe đạp")</f>
        <v>Đấu giá&gt; thể thao, giải trí&gt; Bằng Sport&gt; xe đạp, xe đạp</v>
      </c>
      <c r="F689" t="str">
        <f t="shared" ca="1" si="10"/>
        <v>"26222" : "Xe đạp, xe đạp",</v>
      </c>
    </row>
    <row r="690" spans="1:6" ht="15.75" customHeight="1">
      <c r="A690" s="14">
        <v>2084005448</v>
      </c>
      <c r="B690" s="14" t="s">
        <v>11535</v>
      </c>
      <c r="C690" s="14" t="s">
        <v>11536</v>
      </c>
      <c r="D690" s="5" t="str">
        <f ca="1">IFERROR(__xludf.DUMMYFUNCTION("GOOGLETRANSLATE(B690,""ja"",""vi"")"),"võ juđô")</f>
        <v>võ juđô</v>
      </c>
      <c r="E690" s="5" t="str">
        <f ca="1">IFERROR(__xludf.DUMMYFUNCTION("GOOGLETRANSLATE(C690,""ja"",""vi"")"),"Đấu giá&gt; thể thao, giải trí&gt; Bằng Sport&gt; Judo")</f>
        <v>Đấu giá&gt; thể thao, giải trí&gt; Bằng Sport&gt; Judo</v>
      </c>
      <c r="F690" t="str">
        <f t="shared" ca="1" si="10"/>
        <v>"2084005448" : "võ juđô",</v>
      </c>
    </row>
    <row r="691" spans="1:6" ht="15.75" customHeight="1">
      <c r="A691" s="14">
        <v>2084047835</v>
      </c>
      <c r="B691" s="14" t="s">
        <v>11541</v>
      </c>
      <c r="C691" s="14" t="s">
        <v>11542</v>
      </c>
      <c r="D691" s="5" t="str">
        <f ca="1">IFERROR(__xludf.DUMMYFUNCTION("GOOGLETRANSLATE(B691,""ja"",""vi"")"),"Thể thao cho người khuyết tật")</f>
        <v>Thể thao cho người khuyết tật</v>
      </c>
      <c r="E691" s="5" t="str">
        <f ca="1">IFERROR(__xludf.DUMMYFUNCTION("GOOGLETRANSLATE(C691,""ja"",""vi"")"),"Đấu giá&gt; thể thao, giải trí&gt; Bằng cách thể thao&gt; Thể thao cho người khuyết tật")</f>
        <v>Đấu giá&gt; thể thao, giải trí&gt; Bằng cách thể thao&gt; Thể thao cho người khuyết tật</v>
      </c>
      <c r="F691" t="str">
        <f t="shared" ca="1" si="10"/>
        <v>"2084047835" : "Thể thao cho người khuyết tật",</v>
      </c>
    </row>
    <row r="692" spans="1:6" ht="15.75" customHeight="1">
      <c r="A692" s="14">
        <v>25230</v>
      </c>
      <c r="B692" s="14" t="s">
        <v>11545</v>
      </c>
      <c r="C692" s="14" t="s">
        <v>11546</v>
      </c>
      <c r="D692" s="5" t="str">
        <f ca="1">IFERROR(__xludf.DUMMYFUNCTION("GOOGLETRANSLATE(B692,""ja"",""vi"")"),"Cưỡi ngựa, cưỡi ngựa")</f>
        <v>Cưỡi ngựa, cưỡi ngựa</v>
      </c>
      <c r="E692" s="5" t="str">
        <f ca="1">IFERROR(__xludf.DUMMYFUNCTION("GOOGLETRANSLATE(C692,""ja"",""vi"")"),"Đấu giá&gt; thể thao, giải trí&gt; Bằng Sport&gt; cưỡi ngựa, cưỡi ngựa")</f>
        <v>Đấu giá&gt; thể thao, giải trí&gt; Bằng Sport&gt; cưỡi ngựa, cưỡi ngựa</v>
      </c>
      <c r="F692" t="str">
        <f t="shared" ca="1" si="10"/>
        <v>"25230" : "Cưỡi ngựa, cưỡi ngựa",</v>
      </c>
    </row>
    <row r="693" spans="1:6" ht="15.75" customHeight="1">
      <c r="A693" s="14">
        <v>2084259893</v>
      </c>
      <c r="B693" s="14" t="s">
        <v>11550</v>
      </c>
      <c r="C693" s="14" t="s">
        <v>11552</v>
      </c>
      <c r="D693" s="5" t="str">
        <f ca="1">IFERROR(__xludf.DUMMYFUNCTION("GOOGLETRANSLATE(B693,""ja"",""vi"")"),"Thể dục nhịp điệu")</f>
        <v>Thể dục nhịp điệu</v>
      </c>
      <c r="E693" s="5" t="str">
        <f ca="1">IFERROR(__xludf.DUMMYFUNCTION("GOOGLETRANSLATE(C693,""ja"",""vi"")"),"Đấu giá&gt; thể thao, giải trí&gt; Bằng cách thể thao&gt; Thể dục nhịp điệu")</f>
        <v>Đấu giá&gt; thể thao, giải trí&gt; Bằng cách thể thao&gt; Thể dục nhịp điệu</v>
      </c>
      <c r="F693" t="str">
        <f t="shared" ca="1" si="10"/>
        <v>"2084259893" : "Thể dục nhịp điệu",</v>
      </c>
    </row>
    <row r="694" spans="1:6" ht="15.75" customHeight="1">
      <c r="A694" s="14">
        <v>2084051833</v>
      </c>
      <c r="B694" s="14" t="s">
        <v>11556</v>
      </c>
      <c r="C694" s="14" t="s">
        <v>11558</v>
      </c>
      <c r="D694" s="5" t="str">
        <f ca="1">IFERROR(__xludf.DUMMYFUNCTION("GOOGLETRANSLATE(B694,""ja"",""vi"")"),"Bể")</f>
        <v>Bể</v>
      </c>
      <c r="E694" s="5" t="str">
        <f ca="1">IFERROR(__xludf.DUMMYFUNCTION("GOOGLETRANSLATE(C694,""ja"",""vi"")"),"Đấu giá&gt; thể thao, giải trí&gt; Bằng cách thể thao&gt; Bơi")</f>
        <v>Đấu giá&gt; thể thao, giải trí&gt; Bằng cách thể thao&gt; Bơi</v>
      </c>
      <c r="F694" t="str">
        <f t="shared" ca="1" si="10"/>
        <v>"2084051833" : "Bể",</v>
      </c>
    </row>
    <row r="695" spans="1:6" ht="15.75" customHeight="1">
      <c r="A695" s="14">
        <v>25246</v>
      </c>
      <c r="B695" s="14" t="s">
        <v>11562</v>
      </c>
      <c r="C695" s="14" t="s">
        <v>11564</v>
      </c>
      <c r="D695" s="5" t="str">
        <f ca="1">IFERROR(__xludf.DUMMYFUNCTION("GOOGLETRANSLATE(B695,""ja"",""vi"")"),"trượt nước")</f>
        <v>trượt nước</v>
      </c>
      <c r="E695" s="5" t="str">
        <f ca="1">IFERROR(__xludf.DUMMYFUNCTION("GOOGLETRANSLATE(C695,""ja"",""vi"")"),"Đấu giá&gt; thể thao, giải trí&gt; Bằng Sport&gt; Trượt nước")</f>
        <v>Đấu giá&gt; thể thao, giải trí&gt; Bằng Sport&gt; Trượt nước</v>
      </c>
      <c r="F695" t="str">
        <f t="shared" ca="1" si="10"/>
        <v>"25246" : "trượt nước",</v>
      </c>
    </row>
    <row r="696" spans="1:6" ht="15.75" customHeight="1">
      <c r="A696" s="14">
        <v>2084231476</v>
      </c>
      <c r="B696" s="14" t="s">
        <v>11567</v>
      </c>
      <c r="C696" s="14" t="s">
        <v>11570</v>
      </c>
      <c r="D696" s="5" t="str">
        <f ca="1">IFERROR(__xludf.DUMMYFUNCTION("GOOGLETRANSLATE(B696,""ja"",""vi"")"),"Sumo đấu vật")</f>
        <v>Sumo đấu vật</v>
      </c>
      <c r="E696" s="5" t="str">
        <f ca="1">IFERROR(__xludf.DUMMYFUNCTION("GOOGLETRANSLATE(C696,""ja"",""vi"")"),"Đấu giá&gt; thể thao, giải trí&gt; Bằng Sport&gt; Sumo")</f>
        <v>Đấu giá&gt; thể thao, giải trí&gt; Bằng Sport&gt; Sumo</v>
      </c>
      <c r="F696" t="str">
        <f t="shared" ca="1" si="10"/>
        <v>"2084231476" : "Sumo đấu vật",</v>
      </c>
    </row>
    <row r="697" spans="1:6" ht="15.75" customHeight="1">
      <c r="A697" s="14">
        <v>25856</v>
      </c>
      <c r="B697" s="14" t="s">
        <v>11573</v>
      </c>
      <c r="C697" s="14" t="s">
        <v>11575</v>
      </c>
      <c r="D697" s="5" t="str">
        <f ca="1">IFERROR(__xludf.DUMMYFUNCTION("GOOGLETRANSLATE(B697,""ja"",""vi"")"),"phi tiêu")</f>
        <v>phi tiêu</v>
      </c>
      <c r="E697" s="5" t="str">
        <f ca="1">IFERROR(__xludf.DUMMYFUNCTION("GOOGLETRANSLATE(C697,""ja"",""vi"")"),"Đấu giá&gt; thể thao, giải trí&gt; Bằng Sport&gt; Darts")</f>
        <v>Đấu giá&gt; thể thao, giải trí&gt; Bằng Sport&gt; Darts</v>
      </c>
      <c r="F697" t="str">
        <f t="shared" ca="1" si="10"/>
        <v>"25856" : "phi tiêu",</v>
      </c>
    </row>
    <row r="698" spans="1:6" ht="15.75" customHeight="1">
      <c r="A698" s="14">
        <v>2084047566</v>
      </c>
      <c r="B698" s="14" t="s">
        <v>11579</v>
      </c>
      <c r="C698" s="14" t="s">
        <v>11581</v>
      </c>
      <c r="D698" s="5" t="str">
        <f ca="1">IFERROR(__xludf.DUMMYFUNCTION("GOOGLETRANSLATE(B698,""ja"",""vi"")"),"Khiêu vũ, múa ba lê")</f>
        <v>Khiêu vũ, múa ba lê</v>
      </c>
      <c r="E698" s="5" t="str">
        <f ca="1">IFERROR(__xludf.DUMMYFUNCTION("GOOGLETRANSLATE(C698,""ja"",""vi"")"),"Đấu giá&gt; thể thao, giải trí&gt; thể thao khác&gt; Khiêu vũ, múa ba lê")</f>
        <v>Đấu giá&gt; thể thao, giải trí&gt; thể thao khác&gt; Khiêu vũ, múa ba lê</v>
      </c>
      <c r="F698" t="str">
        <f t="shared" ca="1" si="10"/>
        <v>"2084047566" : "Khiêu vũ, múa ba lê",</v>
      </c>
    </row>
    <row r="699" spans="1:6" ht="15.75" customHeight="1">
      <c r="A699" s="14">
        <v>2084032399</v>
      </c>
      <c r="B699" s="14" t="s">
        <v>1276</v>
      </c>
      <c r="C699" s="14" t="s">
        <v>11585</v>
      </c>
      <c r="D699" s="5" t="str">
        <f ca="1">IFERROR(__xludf.DUMMYFUNCTION("GOOGLETRANSLATE(B699,""ja"",""vi"")"),"quần vợt")</f>
        <v>quần vợt</v>
      </c>
      <c r="E699" s="5" t="str">
        <f ca="1">IFERROR(__xludf.DUMMYFUNCTION("GOOGLETRANSLATE(C699,""ja"",""vi"")"),"Đấu giá&gt; thể thao, giải trí&gt; Bằng cách thể thao&gt; Tennis")</f>
        <v>Đấu giá&gt; thể thao, giải trí&gt; Bằng cách thể thao&gt; Tennis</v>
      </c>
      <c r="F699" t="str">
        <f t="shared" ca="1" si="10"/>
        <v>"2084032399" : "quần vợt",</v>
      </c>
    </row>
    <row r="700" spans="1:6" ht="15.75" customHeight="1">
      <c r="A700" s="14">
        <v>2084299350</v>
      </c>
      <c r="B700" s="14" t="s">
        <v>11590</v>
      </c>
      <c r="C700" s="14" t="s">
        <v>11592</v>
      </c>
      <c r="D700" s="5" t="str">
        <f ca="1">IFERROR(__xludf.DUMMYFUNCTION("GOOGLETRANSLATE(B700,""ja"",""vi"")"),"Triathlon")</f>
        <v>Triathlon</v>
      </c>
      <c r="E700" s="5" t="str">
        <f ca="1">IFERROR(__xludf.DUMMYFUNCTION("GOOGLETRANSLATE(C700,""ja"",""vi"")"),"Đấu giá&gt; thể thao, giải trí&gt; Bằng Sport&gt; Triathlon")</f>
        <v>Đấu giá&gt; thể thao, giải trí&gt; Bằng Sport&gt; Triathlon</v>
      </c>
      <c r="F700" t="str">
        <f t="shared" ca="1" si="10"/>
        <v>"2084299350" : "Triathlon",</v>
      </c>
    </row>
    <row r="701" spans="1:6" ht="15.75" customHeight="1">
      <c r="A701" s="14">
        <v>25202</v>
      </c>
      <c r="B701" s="14" t="s">
        <v>11596</v>
      </c>
      <c r="C701" s="14" t="s">
        <v>11598</v>
      </c>
      <c r="D701" s="5" t="str">
        <f ca="1">IFERROR(__xludf.DUMMYFUNCTION("GOOGLETRANSLATE(B701,""ja"",""vi"")"),"Bóng bàn")</f>
        <v>Bóng bàn</v>
      </c>
      <c r="E701" s="5" t="str">
        <f ca="1">IFERROR(__xludf.DUMMYFUNCTION("GOOGLETRANSLATE(C701,""ja"",""vi"")"),"Đấu giá&gt; thể thao, giải trí&gt; Bằng cách thể thao&gt; Bóng bàn")</f>
        <v>Đấu giá&gt; thể thao, giải trí&gt; Bằng cách thể thao&gt; Bóng bàn</v>
      </c>
      <c r="F701" t="str">
        <f t="shared" ca="1" si="10"/>
        <v>"25202" : "Bóng bàn",</v>
      </c>
    </row>
    <row r="702" spans="1:6" ht="15.75" customHeight="1">
      <c r="A702" s="14">
        <v>24930</v>
      </c>
      <c r="B702" s="14" t="s">
        <v>11602</v>
      </c>
      <c r="C702" s="14" t="s">
        <v>11604</v>
      </c>
      <c r="D702" s="5" t="str">
        <f ca="1">IFERROR(__xludf.DUMMYFUNCTION("GOOGLETRANSLATE(B702,""ja"",""vi"")"),"Leo núi")</f>
        <v>Leo núi</v>
      </c>
      <c r="E702" s="5" t="str">
        <f ca="1">IFERROR(__xludf.DUMMYFUNCTION("GOOGLETRANSLATE(C702,""ja"",""vi"")"),"Đấu giá&gt; thể thao, giải trí&gt; Bằng cách thể thao&gt; Leo núi")</f>
        <v>Đấu giá&gt; thể thao, giải trí&gt; Bằng cách thể thao&gt; Leo núi</v>
      </c>
      <c r="F702" t="str">
        <f t="shared" ca="1" si="10"/>
        <v>"24930" : "Leo núi",</v>
      </c>
    </row>
    <row r="703" spans="1:6" ht="15.75" customHeight="1">
      <c r="A703" s="14">
        <v>2084048556</v>
      </c>
      <c r="B703" s="14" t="s">
        <v>11608</v>
      </c>
      <c r="C703" s="14" t="s">
        <v>11610</v>
      </c>
      <c r="D703" s="5" t="str">
        <f ca="1">IFERROR(__xludf.DUMMYFUNCTION("GOOGLETRANSLATE(B703,""ja"",""vi"")"),"banh để liệng")</f>
        <v>banh để liệng</v>
      </c>
      <c r="E703" s="5" t="str">
        <f ca="1">IFERROR(__xludf.DUMMYFUNCTION("GOOGLETRANSLATE(C703,""ja"",""vi"")"),"Đấu giá&gt; thể thao, giải trí&gt; Bằng cách thể thao&gt; Bóng ném")</f>
        <v>Đấu giá&gt; thể thao, giải trí&gt; Bằng cách thể thao&gt; Bóng ném</v>
      </c>
      <c r="F703" t="str">
        <f t="shared" ca="1" si="10"/>
        <v>"2084048556" : "banh để liệng",</v>
      </c>
    </row>
    <row r="704" spans="1:6" ht="15.75" customHeight="1">
      <c r="A704" s="14">
        <v>25338</v>
      </c>
      <c r="B704" s="14" t="s">
        <v>1288</v>
      </c>
      <c r="C704" s="14" t="s">
        <v>11615</v>
      </c>
      <c r="D704" s="5" t="str">
        <f ca="1">IFERROR(__xludf.DUMMYFUNCTION("GOOGLETRANSLATE(B704,""ja"",""vi"")"),"Bóng rổ")</f>
        <v>Bóng rổ</v>
      </c>
      <c r="E704" s="5" t="str">
        <f ca="1">IFERROR(__xludf.DUMMYFUNCTION("GOOGLETRANSLATE(C704,""ja"",""vi"")"),"Đấu giá&gt; thể thao, giải trí&gt; Bằng cách thể thao&gt; Bóng rổ")</f>
        <v>Đấu giá&gt; thể thao, giải trí&gt; Bằng cách thể thao&gt; Bóng rổ</v>
      </c>
      <c r="F704" t="str">
        <f t="shared" ca="1" si="10"/>
        <v>"25338" : "Bóng rổ",</v>
      </c>
    </row>
    <row r="705" spans="1:6" ht="15.75" customHeight="1">
      <c r="A705" s="14">
        <v>2084005449</v>
      </c>
      <c r="B705" s="14" t="s">
        <v>11619</v>
      </c>
      <c r="C705" s="14" t="s">
        <v>11621</v>
      </c>
      <c r="D705" s="5" t="str">
        <f ca="1">IFERROR(__xludf.DUMMYFUNCTION("GOOGLETRANSLATE(B705,""ja"",""vi"")"),"Cầu lông")</f>
        <v>Cầu lông</v>
      </c>
      <c r="E705" s="5" t="str">
        <f ca="1">IFERROR(__xludf.DUMMYFUNCTION("GOOGLETRANSLATE(C705,""ja"",""vi"")"),"Đấu giá&gt; thể thao, giải trí&gt; Bằng cách thể thao&gt; Cầu lông")</f>
        <v>Đấu giá&gt; thể thao, giải trí&gt; Bằng cách thể thao&gt; Cầu lông</v>
      </c>
      <c r="F705" t="str">
        <f t="shared" ca="1" si="10"/>
        <v>"2084005449" : "Cầu lông",</v>
      </c>
    </row>
    <row r="706" spans="1:6" ht="15.75" customHeight="1">
      <c r="A706" s="14">
        <v>25342</v>
      </c>
      <c r="B706" s="14" t="s">
        <v>1294</v>
      </c>
      <c r="C706" s="14" t="s">
        <v>11626</v>
      </c>
      <c r="D706" s="5" t="str">
        <f ca="1">IFERROR(__xludf.DUMMYFUNCTION("GOOGLETRANSLATE(B706,""ja"",""vi"")"),"bóng chuyền")</f>
        <v>bóng chuyền</v>
      </c>
      <c r="E706" s="5" t="str">
        <f ca="1">IFERROR(__xludf.DUMMYFUNCTION("GOOGLETRANSLATE(C706,""ja"",""vi"")"),"Đấu giá&gt; thể thao, giải trí&gt; Bằng cách thể thao&gt; Bóng chuyền")</f>
        <v>Đấu giá&gt; thể thao, giải trí&gt; Bằng cách thể thao&gt; Bóng chuyền</v>
      </c>
      <c r="F706" t="str">
        <f t="shared" ref="F706:F769" ca="1" si="11">CONCATENATE(CHAR(34)&amp;"",A706,""&amp;CHAR(34)," : ", CHAR(34)&amp;"",D706,""&amp;CHAR(34),",")</f>
        <v>"25342" : "bóng chuyền",</v>
      </c>
    </row>
    <row r="707" spans="1:6" ht="15.75" customHeight="1">
      <c r="A707" s="14">
        <v>2084032408</v>
      </c>
      <c r="B707" s="14" t="s">
        <v>11631</v>
      </c>
      <c r="C707" s="14" t="s">
        <v>11632</v>
      </c>
      <c r="D707" s="5" t="str">
        <f ca="1">IFERROR(__xludf.DUMMYFUNCTION("GOOGLETRANSLATE(B707,""ja"",""vi"")"),"dù lượn")</f>
        <v>dù lượn</v>
      </c>
      <c r="E707" s="5" t="str">
        <f ca="1">IFERROR(__xludf.DUMMYFUNCTION("GOOGLETRANSLATE(C707,""ja"",""vi"")"),"Đấu giá&gt; thể thao, giải trí&gt; Bằng Sport&gt; dù lượn")</f>
        <v>Đấu giá&gt; thể thao, giải trí&gt; Bằng Sport&gt; dù lượn</v>
      </c>
      <c r="F707" t="str">
        <f t="shared" ca="1" si="11"/>
        <v>"2084032408" : "dù lượn",</v>
      </c>
    </row>
    <row r="708" spans="1:6" ht="15.75" customHeight="1">
      <c r="A708" s="14">
        <v>25204</v>
      </c>
      <c r="B708" s="14" t="s">
        <v>11637</v>
      </c>
      <c r="C708" s="14" t="s">
        <v>11638</v>
      </c>
      <c r="D708" s="5" t="str">
        <f ca="1">IFERROR(__xludf.DUMMYFUNCTION("GOOGLETRANSLATE(B708,""ja"",""vi"")"),"bida")</f>
        <v>bida</v>
      </c>
      <c r="E708" s="5" t="str">
        <f ca="1">IFERROR(__xludf.DUMMYFUNCTION("GOOGLETRANSLATE(C708,""ja"",""vi"")"),"Đấu giá&gt; thể thao, giải trí&gt; Bằng Sport&gt; Billiards")</f>
        <v>Đấu giá&gt; thể thao, giải trí&gt; Bằng Sport&gt; Billiards</v>
      </c>
      <c r="F708" t="str">
        <f t="shared" ca="1" si="11"/>
        <v>"25204" : "bida",</v>
      </c>
    </row>
    <row r="709" spans="1:6" ht="15.75" customHeight="1">
      <c r="A709" s="14">
        <v>25340</v>
      </c>
      <c r="B709" s="14" t="s">
        <v>11643</v>
      </c>
      <c r="C709" s="14" t="s">
        <v>11644</v>
      </c>
      <c r="D709" s="5" t="str">
        <f ca="1">IFERROR(__xludf.DUMMYFUNCTION("GOOGLETRANSLATE(B709,""ja"",""vi"")"),"Hockey")</f>
        <v>Hockey</v>
      </c>
      <c r="E709" s="5" t="str">
        <f ca="1">IFERROR(__xludf.DUMMYFUNCTION("GOOGLETRANSLATE(C709,""ja"",""vi"")"),"Đấu giá&gt; thể thao, giải trí&gt; Bằng Sport&gt; Field Hockey")</f>
        <v>Đấu giá&gt; thể thao, giải trí&gt; Bằng Sport&gt; Field Hockey</v>
      </c>
      <c r="F709" t="str">
        <f t="shared" ca="1" si="11"/>
        <v>"25340" : "Hockey",</v>
      </c>
    </row>
    <row r="710" spans="1:6" ht="15.75" customHeight="1">
      <c r="A710" s="14">
        <v>2084244286</v>
      </c>
      <c r="B710" s="14" t="s">
        <v>11649</v>
      </c>
      <c r="C710" s="14" t="s">
        <v>11650</v>
      </c>
      <c r="D710" s="5" t="str">
        <f ca="1">IFERROR(__xludf.DUMMYFUNCTION("GOOGLETRANSLATE(B710,""ja"",""vi"")"),"Futsal")</f>
        <v>Futsal</v>
      </c>
      <c r="E710" s="5" t="str">
        <f ca="1">IFERROR(__xludf.DUMMYFUNCTION("GOOGLETRANSLATE(C710,""ja"",""vi"")"),"Đấu giá&gt; thể thao, giải trí&gt; Bằng Sport&gt; Futsal")</f>
        <v>Đấu giá&gt; thể thao, giải trí&gt; Bằng Sport&gt; Futsal</v>
      </c>
      <c r="F710" t="str">
        <f t="shared" ca="1" si="11"/>
        <v>"2084244286" : "Futsal",</v>
      </c>
    </row>
    <row r="711" spans="1:6" ht="15.75" customHeight="1">
      <c r="A711" s="14">
        <v>25226</v>
      </c>
      <c r="B711" s="14" t="s">
        <v>11655</v>
      </c>
      <c r="C711" s="14" t="s">
        <v>11656</v>
      </c>
      <c r="D711" s="5" t="str">
        <f ca="1">IFERROR(__xludf.DUMMYFUNCTION("GOOGLETRANSLATE(B711,""ja"",""vi"")"),"bowling")</f>
        <v>bowling</v>
      </c>
      <c r="E711" s="5" t="str">
        <f ca="1">IFERROR(__xludf.DUMMYFUNCTION("GOOGLETRANSLATE(C711,""ja"",""vi"")"),"Đấu giá&gt; thể thao, giải trí&gt; Bằng cách thể thao&gt; Bowling")</f>
        <v>Đấu giá&gt; thể thao, giải trí&gt; Bằng cách thể thao&gt; Bowling</v>
      </c>
      <c r="F711" t="str">
        <f t="shared" ca="1" si="11"/>
        <v>"25226" : "bowling",</v>
      </c>
    </row>
    <row r="712" spans="1:6" ht="15.75" customHeight="1">
      <c r="A712" s="14">
        <v>2084005450</v>
      </c>
      <c r="B712" s="14" t="s">
        <v>11661</v>
      </c>
      <c r="C712" s="14" t="s">
        <v>11662</v>
      </c>
      <c r="D712" s="5" t="str">
        <f ca="1">IFERROR(__xludf.DUMMYFUNCTION("GOOGLETRANSLATE(B712,""ja"",""vi"")"),"quyền thuật")</f>
        <v>quyền thuật</v>
      </c>
      <c r="E712" s="5" t="str">
        <f ca="1">IFERROR(__xludf.DUMMYFUNCTION("GOOGLETRANSLATE(C712,""ja"",""vi"")"),"Đấu giá&gt; thể thao, giải trí&gt; Bằng Sport&gt; Boxing")</f>
        <v>Đấu giá&gt; thể thao, giải trí&gt; Bằng Sport&gt; Boxing</v>
      </c>
      <c r="F712" t="str">
        <f t="shared" ca="1" si="11"/>
        <v>"2084005450" : "quyền thuật",</v>
      </c>
    </row>
    <row r="713" spans="1:6" ht="15.75" customHeight="1">
      <c r="A713" s="14">
        <v>2084032281</v>
      </c>
      <c r="B713" s="14" t="s">
        <v>8501</v>
      </c>
      <c r="C713" s="14" t="s">
        <v>11667</v>
      </c>
      <c r="D713" s="5" t="str">
        <f ca="1">IFERROR(__xludf.DUMMYFUNCTION("GOOGLETRANSLATE(B713,""ja"",""vi"")"),"Ban cơ thể")</f>
        <v>Ban cơ thể</v>
      </c>
      <c r="E713" s="5" t="str">
        <f ca="1">IFERROR(__xludf.DUMMYFUNCTION("GOOGLETRANSLATE(C713,""ja"",""vi"")"),"Đấu giá&gt; thể thao, giải trí&gt; Bằng Sport&gt; Ban cơ thể")</f>
        <v>Đấu giá&gt; thể thao, giải trí&gt; Bằng Sport&gt; Ban cơ thể</v>
      </c>
      <c r="F713" t="str">
        <f t="shared" ca="1" si="11"/>
        <v>"2084032281" : "Ban cơ thể",</v>
      </c>
    </row>
    <row r="714" spans="1:6" ht="15.75" customHeight="1">
      <c r="A714" s="14">
        <v>2084196833</v>
      </c>
      <c r="B714" s="14" t="s">
        <v>8401</v>
      </c>
      <c r="C714" s="14" t="s">
        <v>11672</v>
      </c>
      <c r="D714" s="5" t="str">
        <f ca="1">IFERROR(__xludf.DUMMYFUNCTION("GOOGLETRANSLATE(B714,""ja"",""vi"")"),"Yoga, Pilates")</f>
        <v>Yoga, Pilates</v>
      </c>
      <c r="E714" s="5" t="str">
        <f ca="1">IFERROR(__xludf.DUMMYFUNCTION("GOOGLETRANSLATE(C714,""ja"",""vi"")"),"Đấu giá&gt; thể thao, giải trí&gt; Bằng Sport&gt; Yoga, Pilates")</f>
        <v>Đấu giá&gt; thể thao, giải trí&gt; Bằng Sport&gt; Yoga, Pilates</v>
      </c>
      <c r="F714" t="str">
        <f t="shared" ca="1" si="11"/>
        <v>"2084196833" : "Yoga, Pilates",</v>
      </c>
    </row>
    <row r="715" spans="1:6" ht="15.75" customHeight="1">
      <c r="A715" s="14">
        <v>25336</v>
      </c>
      <c r="B715" s="14" t="s">
        <v>1319</v>
      </c>
      <c r="C715" s="14" t="s">
        <v>11676</v>
      </c>
      <c r="D715" s="5" t="str">
        <f ca="1">IFERROR(__xludf.DUMMYFUNCTION("GOOGLETRANSLATE(B715,""ja"",""vi"")"),"Bóng chày")</f>
        <v>Bóng chày</v>
      </c>
      <c r="E715" s="5" t="str">
        <f ca="1">IFERROR(__xludf.DUMMYFUNCTION("GOOGLETRANSLATE(C715,""ja"",""vi"")"),"Đấu giá&gt; thể thao, giải trí&gt; Bằng cách thể thao&gt; Bóng chày")</f>
        <v>Đấu giá&gt; thể thao, giải trí&gt; Bằng cách thể thao&gt; Bóng chày</v>
      </c>
      <c r="F715" t="str">
        <f t="shared" ca="1" si="11"/>
        <v>"25336" : "Bóng chày",</v>
      </c>
    </row>
    <row r="716" spans="1:6" ht="15.75" customHeight="1">
      <c r="A716" s="14">
        <v>25348</v>
      </c>
      <c r="B716" s="14" t="s">
        <v>11680</v>
      </c>
      <c r="C716" s="14" t="s">
        <v>11681</v>
      </c>
      <c r="D716" s="5" t="str">
        <f ca="1">IFERROR(__xludf.DUMMYFUNCTION("GOOGLETRANSLATE(B716,""ja"",""vi"")"),"lối đánh quần ở bắc mỹ")</f>
        <v>lối đánh quần ở bắc mỹ</v>
      </c>
      <c r="E716" s="5" t="str">
        <f ca="1">IFERROR(__xludf.DUMMYFUNCTION("GOOGLETRANSLATE(C716,""ja"",""vi"")"),"Đấu giá&gt; thể thao, giải trí&gt; Bằng Sport&gt; Lacrosse")</f>
        <v>Đấu giá&gt; thể thao, giải trí&gt; Bằng Sport&gt; Lacrosse</v>
      </c>
      <c r="F716" t="str">
        <f t="shared" ca="1" si="11"/>
        <v>"25348" : "lối đánh quần ở bắc mỹ",</v>
      </c>
    </row>
    <row r="717" spans="1:6" ht="15.75" customHeight="1">
      <c r="A717" s="14">
        <v>25354</v>
      </c>
      <c r="B717" s="14" t="s">
        <v>11686</v>
      </c>
      <c r="C717" s="14" t="s">
        <v>11687</v>
      </c>
      <c r="D717" s="5" t="str">
        <f ca="1">IFERROR(__xludf.DUMMYFUNCTION("GOOGLETRANSLATE(B717,""ja"",""vi"")"),"Rugby")</f>
        <v>Rugby</v>
      </c>
      <c r="E717" s="5" t="str">
        <f ca="1">IFERROR(__xludf.DUMMYFUNCTION("GOOGLETRANSLATE(C717,""ja"",""vi"")"),"Đấu giá&gt; thể thao, giải trí&gt; Bằng cách thể thao&gt; Bóng bầu dục")</f>
        <v>Đấu giá&gt; thể thao, giải trí&gt; Bằng cách thể thao&gt; Bóng bầu dục</v>
      </c>
      <c r="F717" t="str">
        <f t="shared" ca="1" si="11"/>
        <v>"25354" : "Rugby",</v>
      </c>
    </row>
    <row r="718" spans="1:6" ht="15.75" customHeight="1">
      <c r="A718" s="14">
        <v>2084285322</v>
      </c>
      <c r="B718" s="14" t="s">
        <v>9268</v>
      </c>
      <c r="C718" s="14" t="s">
        <v>11692</v>
      </c>
      <c r="D718" s="5" t="str">
        <f ca="1">IFERROR(__xludf.DUMMYFUNCTION("GOOGLETRANSLATE(B718,""ja"",""vi"")"),"Chạy, chạy bộ")</f>
        <v>Chạy, chạy bộ</v>
      </c>
      <c r="E718" s="5" t="str">
        <f ca="1">IFERROR(__xludf.DUMMYFUNCTION("GOOGLETRANSLATE(C718,""ja"",""vi"")"),"Đấu giá&gt; thể thao, giải trí&gt; thể thao khác&gt; chạy, chạy bộ")</f>
        <v>Đấu giá&gt; thể thao, giải trí&gt; thể thao khác&gt; chạy, chạy bộ</v>
      </c>
      <c r="F718" t="str">
        <f t="shared" ca="1" si="11"/>
        <v>"2084285322" : "Chạy, chạy bộ",</v>
      </c>
    </row>
    <row r="719" spans="1:6" ht="15.75" customHeight="1">
      <c r="A719" s="14">
        <v>25254</v>
      </c>
      <c r="B719" s="14" t="s">
        <v>8845</v>
      </c>
      <c r="C719" s="14" t="s">
        <v>11697</v>
      </c>
      <c r="D719" s="5" t="str">
        <f ca="1">IFERROR(__xludf.DUMMYFUNCTION("GOOGLETRANSLATE(B719,""ja"",""vi"")"),"leo núi")</f>
        <v>leo núi</v>
      </c>
      <c r="E719" s="5" t="str">
        <f ca="1">IFERROR(__xludf.DUMMYFUNCTION("GOOGLETRANSLATE(C719,""ja"",""vi"")"),"Đấu giá&gt; thể thao, giải trí&gt; Bằng cách thể thao&gt; Leo")</f>
        <v>Đấu giá&gt; thể thao, giải trí&gt; Bằng cách thể thao&gt; Leo</v>
      </c>
      <c r="F719" t="str">
        <f t="shared" ca="1" si="11"/>
        <v>"25254" : "leo núi",</v>
      </c>
    </row>
    <row r="720" spans="1:6" ht="15.75" customHeight="1">
      <c r="A720" s="14">
        <v>25356</v>
      </c>
      <c r="B720" s="14" t="s">
        <v>11702</v>
      </c>
      <c r="C720" s="14" t="s">
        <v>11703</v>
      </c>
      <c r="D720" s="5" t="str">
        <f ca="1">IFERROR(__xludf.DUMMYFUNCTION("GOOGLETRANSLATE(B720,""ja"",""vi"")"),"Điền kinh")</f>
        <v>Điền kinh</v>
      </c>
      <c r="E720" s="5" t="str">
        <f ca="1">IFERROR(__xludf.DUMMYFUNCTION("GOOGLETRANSLATE(C720,""ja"",""vi"")"),"Đấu giá&gt; thể thao, giải trí&gt; Bằng cách thể thao&gt; Điền kinh")</f>
        <v>Đấu giá&gt; thể thao, giải trí&gt; Bằng cách thể thao&gt; Điền kinh</v>
      </c>
      <c r="F720" t="str">
        <f t="shared" ca="1" si="11"/>
        <v>"25356" : "Điền kinh",</v>
      </c>
    </row>
    <row r="721" spans="1:6" ht="15.75" customHeight="1">
      <c r="A721" s="14">
        <v>23008</v>
      </c>
      <c r="B721" s="14" t="s">
        <v>8383</v>
      </c>
      <c r="C721" s="14" t="s">
        <v>11708</v>
      </c>
      <c r="D721" s="5" t="str">
        <f ca="1">IFERROR(__xludf.DUMMYFUNCTION("GOOGLETRANSLATE(B721,""ja"",""vi"")"),"đồ thể thao")</f>
        <v>đồ thể thao</v>
      </c>
      <c r="E721" s="5" t="str">
        <f ca="1">IFERROR(__xludf.DUMMYFUNCTION("GOOGLETRANSLATE(C721,""ja"",""vi"")"),"Đấu giá&gt; thể thao, giải trí&gt; Bằng Sport&gt; đồ thể thao")</f>
        <v>Đấu giá&gt; thể thao, giải trí&gt; Bằng Sport&gt; đồ thể thao</v>
      </c>
      <c r="F721" t="str">
        <f t="shared" ca="1" si="11"/>
        <v>"23008" : "đồ thể thao",</v>
      </c>
    </row>
    <row r="722" spans="1:6" ht="15.75" customHeight="1">
      <c r="A722" s="14">
        <v>25370</v>
      </c>
      <c r="B722" s="14" t="s">
        <v>8505</v>
      </c>
      <c r="C722" s="14" t="s">
        <v>11713</v>
      </c>
      <c r="D722" s="5" t="str">
        <f ca="1">IFERROR(__xludf.DUMMYFUNCTION("GOOGLETRANSLATE(B722,""ja"",""vi"")"),"Lưu niệm, hàng hóa có liên quan")</f>
        <v>Lưu niệm, hàng hóa có liên quan</v>
      </c>
      <c r="E722" s="5" t="str">
        <f ca="1">IFERROR(__xludf.DUMMYFUNCTION("GOOGLETRANSLATE(C722,""ja"",""vi"")"),"Đấu giá&gt; thể thao, giải trí&gt; thể thao khác&gt; lưu niệm, hàng hóa có liên quan")</f>
        <v>Đấu giá&gt; thể thao, giải trí&gt; thể thao khác&gt; lưu niệm, hàng hóa có liên quan</v>
      </c>
      <c r="F722" t="str">
        <f t="shared" ca="1" si="11"/>
        <v>"25370" : "Lưu niệm, hàng hóa có liên quan",</v>
      </c>
    </row>
    <row r="723" spans="1:6" ht="15.75" customHeight="1">
      <c r="A723" s="14">
        <v>25462</v>
      </c>
      <c r="B723" s="14" t="s">
        <v>46</v>
      </c>
      <c r="C723" s="14" t="s">
        <v>11716</v>
      </c>
      <c r="D723" s="5" t="str">
        <f ca="1">IFERROR(__xludf.DUMMYFUNCTION("GOOGLETRANSLATE(B723,""ja"",""vi"")"),"nếu không thì")</f>
        <v>nếu không thì</v>
      </c>
      <c r="E723" s="5" t="str">
        <f ca="1">IFERROR(__xludf.DUMMYFUNCTION("GOOGLETRANSLATE(C723,""ja"",""vi"")"),"Đấu giá&gt; thể thao, giải trí&gt; Bằng Sport&gt; Khác")</f>
        <v>Đấu giá&gt; thể thao, giải trí&gt; Bằng Sport&gt; Khác</v>
      </c>
      <c r="F723" t="str">
        <f t="shared" ca="1" si="11"/>
        <v>"25462" : "nếu không thì",</v>
      </c>
    </row>
    <row r="724" spans="1:6" ht="15.75" customHeight="1">
      <c r="A724" s="14">
        <v>2084246695</v>
      </c>
      <c r="B724" s="14" t="s">
        <v>11723</v>
      </c>
      <c r="C724" s="14" t="s">
        <v>11724</v>
      </c>
      <c r="D724" s="5" t="str">
        <f ca="1">IFERROR(__xludf.DUMMYFUNCTION("GOOGLETRANSLATE(B724,""ja"",""vi"")"),"OGK")</f>
        <v>OGK</v>
      </c>
      <c r="E724" s="5" t="str">
        <f ca="1">IFERROR(__xludf.DUMMYFUNCTION("GOOGLETRANSLATE(C724,""ja"",""vi"")"),"Đấu giá&gt; thể thao, giải trí&gt; thể thao kính mát&gt; OGK")</f>
        <v>Đấu giá&gt; thể thao, giải trí&gt; thể thao kính mát&gt; OGK</v>
      </c>
      <c r="F724" t="str">
        <f t="shared" ca="1" si="11"/>
        <v>"2084246695" : "OGK",</v>
      </c>
    </row>
    <row r="725" spans="1:6" ht="15.75" customHeight="1">
      <c r="A725" s="14">
        <v>2084246694</v>
      </c>
      <c r="B725" s="14" t="s">
        <v>11729</v>
      </c>
      <c r="C725" s="14" t="s">
        <v>11730</v>
      </c>
      <c r="D725" s="5" t="str">
        <f ca="1">IFERROR(__xludf.DUMMYFUNCTION("GOOGLETRANSLATE(B725,""ja"",""vi"")"),"zerorh +")</f>
        <v>zerorh +</v>
      </c>
      <c r="E725" s="5" t="str">
        <f ca="1">IFERROR(__xludf.DUMMYFUNCTION("GOOGLETRANSLATE(C725,""ja"",""vi"")"),"Đấu giá&gt; thể thao, giải trí&gt; thể thao kính mát&gt; zerorh +")</f>
        <v>Đấu giá&gt; thể thao, giải trí&gt; thể thao kính mát&gt; zerorh +</v>
      </c>
      <c r="F725" t="str">
        <f t="shared" ca="1" si="11"/>
        <v>"2084246694" : "zerorh +",</v>
      </c>
    </row>
    <row r="726" spans="1:6" ht="15.75" customHeight="1">
      <c r="A726" s="14">
        <v>2084214052</v>
      </c>
      <c r="B726" s="14" t="s">
        <v>11734</v>
      </c>
      <c r="C726" s="14" t="s">
        <v>11736</v>
      </c>
      <c r="D726" s="5" t="str">
        <f ca="1">IFERROR(__xludf.DUMMYFUNCTION("GOOGLETRANSLATE(B726,""ja"",""vi"")"),"Arnett")</f>
        <v>Arnett</v>
      </c>
      <c r="E726" s="5" t="str">
        <f ca="1">IFERROR(__xludf.DUMMYFUNCTION("GOOGLETRANSLATE(C726,""ja"",""vi"")"),"Đấu giá&gt; thể thao, giải trí&gt; kính mát thể thao&gt; Arnett")</f>
        <v>Đấu giá&gt; thể thao, giải trí&gt; kính mát thể thao&gt; Arnett</v>
      </c>
      <c r="F726" t="str">
        <f t="shared" ca="1" si="11"/>
        <v>"2084214052" : "Arnett",</v>
      </c>
    </row>
    <row r="727" spans="1:6" ht="15.75" customHeight="1">
      <c r="A727" s="14">
        <v>2084214050</v>
      </c>
      <c r="B727" s="14" t="s">
        <v>11740</v>
      </c>
      <c r="C727" s="14" t="s">
        <v>11742</v>
      </c>
      <c r="D727" s="5" t="str">
        <f ca="1">IFERROR(__xludf.DUMMYFUNCTION("GOOGLETRANSLATE(B727,""ja"",""vi"")"),"rìu")</f>
        <v>rìu</v>
      </c>
      <c r="E727" s="5" t="str">
        <f ca="1">IFERROR(__xludf.DUMMYFUNCTION("GOOGLETRANSLATE(C727,""ja"",""vi"")"),"Đấu giá&gt; thể thao, giải trí&gt; kính mát thể thao&gt; Axe")</f>
        <v>Đấu giá&gt; thể thao, giải trí&gt; kính mát thể thao&gt; Axe</v>
      </c>
      <c r="F727" t="str">
        <f t="shared" ca="1" si="11"/>
        <v>"2084214050" : "rìu",</v>
      </c>
    </row>
    <row r="728" spans="1:6" ht="15.75" customHeight="1">
      <c r="A728" s="14">
        <v>2084214047</v>
      </c>
      <c r="B728" s="14" t="s">
        <v>8755</v>
      </c>
      <c r="C728" s="14" t="s">
        <v>11747</v>
      </c>
      <c r="D728" s="5" t="str">
        <f ca="1">IFERROR(__xludf.DUMMYFUNCTION("GOOGLETRANSLATE(B728,""ja"",""vi"")"),"Adidas")</f>
        <v>Adidas</v>
      </c>
      <c r="E728" s="5" t="str">
        <f ca="1">IFERROR(__xludf.DUMMYFUNCTION("GOOGLETRANSLATE(C728,""ja"",""vi"")"),"Đấu giá&gt; thể thao, giải trí&gt; kính mát thể thao&gt; Adidas")</f>
        <v>Đấu giá&gt; thể thao, giải trí&gt; kính mát thể thao&gt; Adidas</v>
      </c>
      <c r="F728" t="str">
        <f t="shared" ca="1" si="11"/>
        <v>"2084214047" : "Adidas",</v>
      </c>
    </row>
    <row r="729" spans="1:6" ht="15.75" customHeight="1">
      <c r="A729" s="14">
        <v>2084214334</v>
      </c>
      <c r="B729" s="14" t="s">
        <v>9511</v>
      </c>
      <c r="C729" s="14" t="s">
        <v>11751</v>
      </c>
      <c r="D729" s="5" t="str">
        <f ca="1">IFERROR(__xludf.DUMMYFUNCTION("GOOGLETRANSLATE(B729,""ja"",""vi"")"),"Oakley")</f>
        <v>Oakley</v>
      </c>
      <c r="E729" s="5" t="str">
        <f ca="1">IFERROR(__xludf.DUMMYFUNCTION("GOOGLETRANSLATE(C729,""ja"",""vi"")"),"Đấu giá&gt; thể thao, giải trí&gt; kính mát thể thao&gt; Oakley")</f>
        <v>Đấu giá&gt; thể thao, giải trí&gt; kính mát thể thao&gt; Oakley</v>
      </c>
      <c r="F729" t="str">
        <f t="shared" ca="1" si="11"/>
        <v>"2084214334" : "Oakley",</v>
      </c>
    </row>
    <row r="730" spans="1:6" ht="15.75" customHeight="1">
      <c r="A730" s="14">
        <v>2084214053</v>
      </c>
      <c r="B730" s="14" t="s">
        <v>11756</v>
      </c>
      <c r="C730" s="14" t="s">
        <v>11758</v>
      </c>
      <c r="D730" s="5" t="str">
        <f ca="1">IFERROR(__xludf.DUMMYFUNCTION("GOOGLETRANSLATE(B730,""ja"",""vi"")"),"Coleman")</f>
        <v>Coleman</v>
      </c>
      <c r="E730" s="5" t="str">
        <f ca="1">IFERROR(__xludf.DUMMYFUNCTION("GOOGLETRANSLATE(C730,""ja"",""vi"")"),"Đấu giá&gt; thể thao, giải trí&gt; kính mát thể thao&gt; Coleman")</f>
        <v>Đấu giá&gt; thể thao, giải trí&gt; kính mát thể thao&gt; Coleman</v>
      </c>
      <c r="F730" t="str">
        <f t="shared" ca="1" si="11"/>
        <v>"2084214053" : "Coleman",</v>
      </c>
    </row>
    <row r="731" spans="1:6" ht="15.75" customHeight="1">
      <c r="A731" s="14">
        <v>2084214051</v>
      </c>
      <c r="B731" s="14" t="s">
        <v>11761</v>
      </c>
      <c r="C731" s="14" t="s">
        <v>11763</v>
      </c>
      <c r="D731" s="5" t="str">
        <f ca="1">IFERROR(__xludf.DUMMYFUNCTION("GOOGLETRANSLATE(B731,""ja"",""vi"")"),"Spy")</f>
        <v>Spy</v>
      </c>
      <c r="E731" s="5" t="str">
        <f ca="1">IFERROR(__xludf.DUMMYFUNCTION("GOOGLETRANSLATE(C731,""ja"",""vi"")"),"Đấu giá&gt; thể thao, giải trí&gt; kính mát thể thao&gt; gián điệp")</f>
        <v>Đấu giá&gt; thể thao, giải trí&gt; kính mát thể thao&gt; gián điệp</v>
      </c>
      <c r="F731" t="str">
        <f t="shared" ca="1" si="11"/>
        <v>"2084214051" : "Spy",</v>
      </c>
    </row>
    <row r="732" spans="1:6" ht="15.75" customHeight="1">
      <c r="A732" s="14">
        <v>2084246696</v>
      </c>
      <c r="B732" s="14" t="s">
        <v>11767</v>
      </c>
      <c r="C732" s="14" t="s">
        <v>11768</v>
      </c>
      <c r="D732" s="5" t="str">
        <f ca="1">IFERROR(__xludf.DUMMYFUNCTION("GOOGLETRANSLATE(B732,""ja"",""vi"")"),"Spalding")</f>
        <v>Spalding</v>
      </c>
      <c r="E732" s="5" t="str">
        <f ca="1">IFERROR(__xludf.DUMMYFUNCTION("GOOGLETRANSLATE(C732,""ja"",""vi"")"),"Đấu giá&gt; thể thao, giải trí&gt; thể thao kính mát&gt; Spalding")</f>
        <v>Đấu giá&gt; thể thao, giải trí&gt; thể thao kính mát&gt; Spalding</v>
      </c>
      <c r="F732" t="str">
        <f t="shared" ca="1" si="11"/>
        <v>"2084246696" : "Spalding",</v>
      </c>
    </row>
    <row r="733" spans="1:6" ht="15.75" customHeight="1">
      <c r="A733" s="14">
        <v>2084214054</v>
      </c>
      <c r="B733" s="14" t="s">
        <v>11772</v>
      </c>
      <c r="C733" s="14" t="s">
        <v>11774</v>
      </c>
      <c r="D733" s="5" t="str">
        <f ca="1">IFERROR(__xludf.DUMMYFUNCTION("GOOGLETRANSLATE(B733,""ja"",""vi"")"),"thiên nga")</f>
        <v>thiên nga</v>
      </c>
      <c r="E733" s="5" t="str">
        <f ca="1">IFERROR(__xludf.DUMMYFUNCTION("GOOGLETRANSLATE(C733,""ja"",""vi"")"),"Đấu giá&gt; thể thao, giải trí&gt; kính mát thể thao&gt; Thiên nga")</f>
        <v>Đấu giá&gt; thể thao, giải trí&gt; kính mát thể thao&gt; Thiên nga</v>
      </c>
      <c r="F733" t="str">
        <f t="shared" ca="1" si="11"/>
        <v>"2084214054" : "thiên nga",</v>
      </c>
    </row>
    <row r="734" spans="1:6" ht="15.75" customHeight="1">
      <c r="A734" s="14">
        <v>2084214046</v>
      </c>
      <c r="B734" s="14" t="s">
        <v>11145</v>
      </c>
      <c r="C734" s="14" t="s">
        <v>11779</v>
      </c>
      <c r="D734" s="5" t="str">
        <f ca="1">IFERROR(__xludf.DUMMYFUNCTION("GOOGLETRANSLATE(B734,""ja"",""vi"")"),"Nike")</f>
        <v>Nike</v>
      </c>
      <c r="E734" s="5" t="str">
        <f ca="1">IFERROR(__xludf.DUMMYFUNCTION("GOOGLETRANSLATE(C734,""ja"",""vi"")"),"Đấu giá&gt; thể thao, giải trí&gt; kính mát thể thao&gt; Nike")</f>
        <v>Đấu giá&gt; thể thao, giải trí&gt; kính mát thể thao&gt; Nike</v>
      </c>
      <c r="F734" t="str">
        <f t="shared" ca="1" si="11"/>
        <v>"2084214046" : "Nike",</v>
      </c>
    </row>
    <row r="735" spans="1:6" ht="15.75" customHeight="1">
      <c r="A735" s="14">
        <v>2084214055</v>
      </c>
      <c r="B735" s="14" t="s">
        <v>11783</v>
      </c>
      <c r="C735" s="14" t="s">
        <v>11785</v>
      </c>
      <c r="D735" s="5" t="str">
        <f ca="1">IFERROR(__xludf.DUMMYFUNCTION("GOOGLETRANSLATE(B735,""ja"",""vi"")"),"đen bay")</f>
        <v>đen bay</v>
      </c>
      <c r="E735" s="5" t="str">
        <f ca="1">IFERROR(__xludf.DUMMYFUNCTION("GOOGLETRANSLATE(C735,""ja"",""vi"")"),"Đấu giá&gt; thể thao, giải trí&gt; kính mát thể thao&gt; Đen Fly")</f>
        <v>Đấu giá&gt; thể thao, giải trí&gt; kính mát thể thao&gt; Đen Fly</v>
      </c>
      <c r="F735" t="str">
        <f t="shared" ca="1" si="11"/>
        <v>"2084214055" : "đen bay",</v>
      </c>
    </row>
    <row r="736" spans="1:6" ht="15.75" customHeight="1">
      <c r="A736" s="14">
        <v>2084214049</v>
      </c>
      <c r="B736" s="14" t="s">
        <v>11788</v>
      </c>
      <c r="C736" s="14" t="s">
        <v>11791</v>
      </c>
      <c r="D736" s="5" t="str">
        <f ca="1">IFERROR(__xludf.DUMMYFUNCTION("GOOGLETRANSLATE(B736,""ja"",""vi"")"),"Brico")</f>
        <v>Brico</v>
      </c>
      <c r="E736" s="5" t="str">
        <f ca="1">IFERROR(__xludf.DUMMYFUNCTION("GOOGLETRANSLATE(C736,""ja"",""vi"")"),"Đấu giá&gt; thể thao, giải trí&gt; kính mát thể thao&gt; Brico")</f>
        <v>Đấu giá&gt; thể thao, giải trí&gt; kính mát thể thao&gt; Brico</v>
      </c>
      <c r="F736" t="str">
        <f t="shared" ca="1" si="11"/>
        <v>"2084214049" : "Brico",</v>
      </c>
    </row>
    <row r="737" spans="1:6" ht="15.75" customHeight="1">
      <c r="A737" s="14">
        <v>2084214057</v>
      </c>
      <c r="B737" s="14" t="s">
        <v>11793</v>
      </c>
      <c r="C737" s="14" t="s">
        <v>11795</v>
      </c>
      <c r="D737" s="5" t="str">
        <f ca="1">IFERROR(__xludf.DUMMYFUNCTION("GOOGLETRANSLATE(B737,""ja"",""vi"")"),"dự án Rudy")</f>
        <v>dự án Rudy</v>
      </c>
      <c r="E737" s="5" t="str">
        <f ca="1">IFERROR(__xludf.DUMMYFUNCTION("GOOGLETRANSLATE(C737,""ja"",""vi"")"),"Đấu giá&gt; thể thao, giải trí&gt; kính mát thể thao&gt; Dự án Rudy")</f>
        <v>Đấu giá&gt; thể thao, giải trí&gt; kính mát thể thao&gt; Dự án Rudy</v>
      </c>
      <c r="F737" t="str">
        <f t="shared" ca="1" si="11"/>
        <v>"2084214057" : "dự án Rudy",</v>
      </c>
    </row>
    <row r="738" spans="1:6" ht="15.75" customHeight="1">
      <c r="A738" s="14">
        <v>2084214048</v>
      </c>
      <c r="B738" s="14" t="s">
        <v>11799</v>
      </c>
      <c r="C738" s="14" t="s">
        <v>11801</v>
      </c>
      <c r="D738" s="5" t="str">
        <f ca="1">IFERROR(__xludf.DUMMYFUNCTION("GOOGLETRANSLATE(B738,""ja"",""vi"")"),"Ray-Ban")</f>
        <v>Ray-Ban</v>
      </c>
      <c r="E738" s="5" t="str">
        <f ca="1">IFERROR(__xludf.DUMMYFUNCTION("GOOGLETRANSLATE(C738,""ja"",""vi"")"),"Đấu giá&gt; thể thao, giải trí&gt; thể thao kính mát&gt; Ray-Ban")</f>
        <v>Đấu giá&gt; thể thao, giải trí&gt; thể thao kính mát&gt; Ray-Ban</v>
      </c>
      <c r="F738" t="str">
        <f t="shared" ca="1" si="11"/>
        <v>"2084214048" : "Ray-Ban",</v>
      </c>
    </row>
    <row r="739" spans="1:6" ht="15.75" customHeight="1">
      <c r="A739" s="14">
        <v>2084214056</v>
      </c>
      <c r="B739" s="14" t="s">
        <v>46</v>
      </c>
      <c r="C739" s="14" t="s">
        <v>11806</v>
      </c>
      <c r="D739" s="5" t="str">
        <f ca="1">IFERROR(__xludf.DUMMYFUNCTION("GOOGLETRANSLATE(B739,""ja"",""vi"")"),"nếu không thì")</f>
        <v>nếu không thì</v>
      </c>
      <c r="E739" s="5" t="str">
        <f ca="1">IFERROR(__xludf.DUMMYFUNCTION("GOOGLETRANSLATE(C739,""ja"",""vi"")"),"Đấu giá&gt; thể thao, giải trí&gt; kính mát thể thao&gt; Khác")</f>
        <v>Đấu giá&gt; thể thao, giải trí&gt; kính mát thể thao&gt; Khác</v>
      </c>
      <c r="F739" t="str">
        <f t="shared" ca="1" si="11"/>
        <v>"2084214056" : "nếu không thì",</v>
      </c>
    </row>
    <row r="740" spans="1:6" ht="15.75" customHeight="1">
      <c r="A740" s="14">
        <v>2084057251</v>
      </c>
      <c r="B740" s="14" t="s">
        <v>9387</v>
      </c>
      <c r="C740" s="14" t="s">
        <v>9389</v>
      </c>
      <c r="D740" s="5" t="str">
        <f ca="1">IFERROR(__xludf.DUMMYFUNCTION("GOOGLETRANSLATE(B740,""ja"",""vi"")"),"by Nhãn hiệu")</f>
        <v>by Nhãn hiệu</v>
      </c>
      <c r="E740" s="5" t="str">
        <f ca="1">IFERROR(__xludf.DUMMYFUNCTION("GOOGLETRANSLATE(C740,""ja"",""vi"")"),"Đấu giá&gt; thể thao, giải trí&gt; mặc ngoài trời&gt; By Nhãn hiệu")</f>
        <v>Đấu giá&gt; thể thao, giải trí&gt; mặc ngoài trời&gt; By Nhãn hiệu</v>
      </c>
      <c r="F740" t="str">
        <f t="shared" ca="1" si="11"/>
        <v>"2084057251" : "by Nhãn hiệu",</v>
      </c>
    </row>
    <row r="741" spans="1:6" ht="15.75" customHeight="1">
      <c r="A741" s="14">
        <v>2084057221</v>
      </c>
      <c r="B741" s="14" t="s">
        <v>9280</v>
      </c>
      <c r="C741" s="14" t="s">
        <v>9394</v>
      </c>
      <c r="D741" s="5" t="str">
        <f ca="1">IFERROR(__xludf.DUMMYFUNCTION("GOOGLETRANSLATE(B741,""ja"",""vi"")"),"Đối với nam giới")</f>
        <v>Đối với nam giới</v>
      </c>
      <c r="E741" s="5" t="str">
        <f ca="1">IFERROR(__xludf.DUMMYFUNCTION("GOOGLETRANSLATE(C741,""ja"",""vi"")"),"Đấu giá&gt; thể thao, giải trí&gt; mặc ngoài trời&gt; dành cho nam giới")</f>
        <v>Đấu giá&gt; thể thao, giải trí&gt; mặc ngoài trời&gt; dành cho nam giới</v>
      </c>
      <c r="F741" t="str">
        <f t="shared" ca="1" si="11"/>
        <v>"2084057221" : "Đối với nam giới",</v>
      </c>
    </row>
    <row r="742" spans="1:6" ht="15.75" customHeight="1">
      <c r="A742" s="14">
        <v>2084057222</v>
      </c>
      <c r="B742" s="14" t="s">
        <v>9286</v>
      </c>
      <c r="C742" s="14" t="s">
        <v>9400</v>
      </c>
      <c r="D742" s="5" t="str">
        <f ca="1">IFERROR(__xludf.DUMMYFUNCTION("GOOGLETRANSLATE(B742,""ja"",""vi"")"),"Đối với phụ nữ")</f>
        <v>Đối với phụ nữ</v>
      </c>
      <c r="E742" s="5" t="str">
        <f ca="1">IFERROR(__xludf.DUMMYFUNCTION("GOOGLETRANSLATE(C742,""ja"",""vi"")"),"Đấu giá&gt; thể thao, giải trí&gt; mặc ngoài trời&gt; cho phụ nữ")</f>
        <v>Đấu giá&gt; thể thao, giải trí&gt; mặc ngoài trời&gt; cho phụ nữ</v>
      </c>
      <c r="F742" t="str">
        <f t="shared" ca="1" si="11"/>
        <v>"2084057222" : "Đối với phụ nữ",</v>
      </c>
    </row>
    <row r="743" spans="1:6" ht="15.75" customHeight="1">
      <c r="A743" s="14">
        <v>2084057223</v>
      </c>
      <c r="B743" s="14" t="s">
        <v>9298</v>
      </c>
      <c r="C743" s="14" t="s">
        <v>9405</v>
      </c>
      <c r="D743" s="5" t="str">
        <f ca="1">IFERROR(__xludf.DUMMYFUNCTION("GOOGLETRANSLATE(B743,""ja"",""vi"")"),"Đối với trẻ em")</f>
        <v>Đối với trẻ em</v>
      </c>
      <c r="E743" s="5" t="str">
        <f ca="1">IFERROR(__xludf.DUMMYFUNCTION("GOOGLETRANSLATE(C743,""ja"",""vi"")"),"Đấu giá&gt; thể thao, giải trí&gt; mặc ngoài trời&gt; cho trẻ em")</f>
        <v>Đấu giá&gt; thể thao, giải trí&gt; mặc ngoài trời&gt; cho trẻ em</v>
      </c>
      <c r="F743" t="str">
        <f t="shared" ca="1" si="11"/>
        <v>"2084057223" : "Đối với trẻ em",</v>
      </c>
    </row>
    <row r="744" spans="1:6" ht="15.75" customHeight="1">
      <c r="A744" s="14">
        <v>2084214045</v>
      </c>
      <c r="B744" s="14" t="s">
        <v>9408</v>
      </c>
      <c r="C744" s="14" t="s">
        <v>9410</v>
      </c>
      <c r="D744" s="5" t="str">
        <f ca="1">IFERROR(__xludf.DUMMYFUNCTION("GOOGLETRANSLATE(B744,""ja"",""vi"")"),"kính mát thể thao")</f>
        <v>kính mát thể thao</v>
      </c>
      <c r="E744" s="5" t="str">
        <f ca="1">IFERROR(__xludf.DUMMYFUNCTION("GOOGLETRANSLATE(C744,""ja"",""vi"")"),"Đấu giá&gt; thể thao, giải trí&gt; ngoài trời mặc&gt; Thể Thao Sunglasses")</f>
        <v>Đấu giá&gt; thể thao, giải trí&gt; ngoài trời mặc&gt; Thể Thao Sunglasses</v>
      </c>
      <c r="F744" t="str">
        <f t="shared" ca="1" si="11"/>
        <v>"2084214045" : "kính mát thể thao",</v>
      </c>
    </row>
    <row r="745" spans="1:6" ht="15.75" customHeight="1">
      <c r="A745" s="14">
        <v>2084046735</v>
      </c>
      <c r="B745" s="14" t="s">
        <v>9414</v>
      </c>
      <c r="C745" s="14" t="s">
        <v>9415</v>
      </c>
      <c r="D745" s="5" t="str">
        <f ca="1">IFERROR(__xludf.DUMMYFUNCTION("GOOGLETRANSLATE(B745,""ja"",""vi"")"),"Đồ che mưa, áo mưa")</f>
        <v>Đồ che mưa, áo mưa</v>
      </c>
      <c r="E745" s="5" t="str">
        <f ca="1">IFERROR(__xludf.DUMMYFUNCTION("GOOGLETRANSLATE(C745,""ja"",""vi"")"),"Đấu giá&gt; thể thao, giải trí&gt; mặc ngoài trời&gt; áo mưa, áo mưa")</f>
        <v>Đấu giá&gt; thể thao, giải trí&gt; mặc ngoài trời&gt; áo mưa, áo mưa</v>
      </c>
      <c r="F745" t="str">
        <f t="shared" ca="1" si="11"/>
        <v>"2084046735" : "Đồ che mưa, áo mưa",</v>
      </c>
    </row>
    <row r="746" spans="1:6" ht="15.75" customHeight="1">
      <c r="A746" s="14">
        <v>2084048872</v>
      </c>
      <c r="B746" s="14" t="s">
        <v>9419</v>
      </c>
      <c r="C746" s="14" t="s">
        <v>9422</v>
      </c>
      <c r="D746" s="5" t="str">
        <f ca="1">IFERROR(__xludf.DUMMYFUNCTION("GOOGLETRANSLATE(B746,""ja"",""vi"")"),"Giày, giày dép")</f>
        <v>Giày, giày dép</v>
      </c>
      <c r="E746" s="5" t="str">
        <f ca="1">IFERROR(__xludf.DUMMYFUNCTION("GOOGLETRANSLATE(C746,""ja"",""vi"")"),"Đấu giá&gt; thể thao, giải trí&gt; mặc ngoài trời&gt; giày, giày dép")</f>
        <v>Đấu giá&gt; thể thao, giải trí&gt; mặc ngoài trời&gt; giày, giày dép</v>
      </c>
      <c r="F746" t="str">
        <f t="shared" ca="1" si="11"/>
        <v>"2084048872" : "Giày, giày dép",</v>
      </c>
    </row>
    <row r="747" spans="1:6" ht="15.75" customHeight="1">
      <c r="A747" s="14">
        <v>2084057242</v>
      </c>
      <c r="B747" s="14" t="s">
        <v>9425</v>
      </c>
      <c r="C747" s="14" t="s">
        <v>9430</v>
      </c>
      <c r="D747" s="5" t="str">
        <f ca="1">IFERROR(__xludf.DUMMYFUNCTION("GOOGLETRANSLATE(B747,""ja"",""vi"")"),"Quần áo Phụ kiện")</f>
        <v>Quần áo Phụ kiện</v>
      </c>
      <c r="E747" s="5" t="str">
        <f ca="1">IFERROR(__xludf.DUMMYFUNCTION("GOOGLETRANSLATE(C747,""ja"",""vi"")"),"Đấu giá&gt; thể thao, giải trí&gt; mặc ngoài trời&gt; Quần áo Phụ kiện")</f>
        <v>Đấu giá&gt; thể thao, giải trí&gt; mặc ngoài trời&gt; Quần áo Phụ kiện</v>
      </c>
      <c r="F747" t="str">
        <f t="shared" ca="1" si="11"/>
        <v>"2084057242" : "Quần áo Phụ kiện",</v>
      </c>
    </row>
    <row r="748" spans="1:6" ht="15.75" customHeight="1">
      <c r="A748" s="14">
        <v>2084006770</v>
      </c>
      <c r="B748" s="14" t="s">
        <v>9286</v>
      </c>
      <c r="C748" s="14" t="s">
        <v>11841</v>
      </c>
      <c r="D748" s="5" t="str">
        <f ca="1">IFERROR(__xludf.DUMMYFUNCTION("GOOGLETRANSLATE(B748,""ja"",""vi"")"),"Đối với phụ nữ")</f>
        <v>Đối với phụ nữ</v>
      </c>
      <c r="E748" s="5" t="str">
        <f ca="1">IFERROR(__xludf.DUMMYFUNCTION("GOOGLETRANSLATE(C748,""ja"",""vi"")"),"Đấu giá&gt; thể thao, giải trí&gt; thể thao khác&gt; nguồn cung cấp tập thể dục&gt; mặc&gt; cho phụ nữ")</f>
        <v>Đấu giá&gt; thể thao, giải trí&gt; thể thao khác&gt; nguồn cung cấp tập thể dục&gt; mặc&gt; cho phụ nữ</v>
      </c>
      <c r="F748" t="str">
        <f t="shared" ca="1" si="11"/>
        <v>"2084006770" : "Đối với phụ nữ",</v>
      </c>
    </row>
    <row r="749" spans="1:6" ht="15.75" customHeight="1">
      <c r="A749" s="14">
        <v>2084006769</v>
      </c>
      <c r="B749" s="14" t="s">
        <v>9280</v>
      </c>
      <c r="C749" s="14" t="s">
        <v>11847</v>
      </c>
      <c r="D749" s="5" t="str">
        <f ca="1">IFERROR(__xludf.DUMMYFUNCTION("GOOGLETRANSLATE(B749,""ja"",""vi"")"),"Đối với nam giới")</f>
        <v>Đối với nam giới</v>
      </c>
      <c r="E749" s="5" t="str">
        <f ca="1">IFERROR(__xludf.DUMMYFUNCTION("GOOGLETRANSLATE(C749,""ja"",""vi"")"),"Đấu giá&gt; thể thao, giải trí&gt; thể thao khác&gt; nguồn cung cấp tập thể dục&gt; mặc&gt; dành cho nam giới")</f>
        <v>Đấu giá&gt; thể thao, giải trí&gt; thể thao khác&gt; nguồn cung cấp tập thể dục&gt; mặc&gt; dành cho nam giới</v>
      </c>
      <c r="F749" t="str">
        <f t="shared" ca="1" si="11"/>
        <v>"2084006769" : "Đối với nam giới",</v>
      </c>
    </row>
    <row r="750" spans="1:6" ht="15.75" customHeight="1">
      <c r="A750" s="14">
        <v>2084051887</v>
      </c>
      <c r="B750" s="14" t="s">
        <v>9286</v>
      </c>
      <c r="C750" s="14" t="s">
        <v>11853</v>
      </c>
      <c r="D750" s="5" t="str">
        <f ca="1">IFERROR(__xludf.DUMMYFUNCTION("GOOGLETRANSLATE(B750,""ja"",""vi"")"),"Đối với phụ nữ")</f>
        <v>Đối với phụ nữ</v>
      </c>
      <c r="E750" s="5" t="str">
        <f ca="1">IFERROR(__xludf.DUMMYFUNCTION("GOOGLETRANSLATE(C750,""ja"",""vi"")"),"Đấu giá&gt; thể thao, giải trí&gt; Bằng Sport&gt; bơi&gt; đồ bơi&gt; cho phụ nữ")</f>
        <v>Đấu giá&gt; thể thao, giải trí&gt; Bằng Sport&gt; bơi&gt; đồ bơi&gt; cho phụ nữ</v>
      </c>
      <c r="F750" t="str">
        <f t="shared" ca="1" si="11"/>
        <v>"2084051887" : "Đối với phụ nữ",</v>
      </c>
    </row>
    <row r="751" spans="1:6" ht="15.75" customHeight="1">
      <c r="A751" s="14">
        <v>2084051885</v>
      </c>
      <c r="B751" s="14" t="s">
        <v>9280</v>
      </c>
      <c r="C751" s="14" t="s">
        <v>11857</v>
      </c>
      <c r="D751" s="5" t="str">
        <f ca="1">IFERROR(__xludf.DUMMYFUNCTION("GOOGLETRANSLATE(B751,""ja"",""vi"")"),"Đối với nam giới")</f>
        <v>Đối với nam giới</v>
      </c>
      <c r="E751" s="5" t="str">
        <f ca="1">IFERROR(__xludf.DUMMYFUNCTION("GOOGLETRANSLATE(C751,""ja"",""vi"")"),"Đấu giá&gt; thể thao, giải trí&gt; Bằng Sport&gt; bơi&gt; đồ bơi&gt; dành cho nam giới")</f>
        <v>Đấu giá&gt; thể thao, giải trí&gt; Bằng Sport&gt; bơi&gt; đồ bơi&gt; dành cho nam giới</v>
      </c>
      <c r="F751" t="str">
        <f t="shared" ca="1" si="11"/>
        <v>"2084051885" : "Đối với nam giới",</v>
      </c>
    </row>
    <row r="752" spans="1:6" ht="15.75" customHeight="1">
      <c r="A752" s="14">
        <v>2084303061</v>
      </c>
      <c r="B752" s="14" t="s">
        <v>9298</v>
      </c>
      <c r="C752" s="14" t="s">
        <v>11862</v>
      </c>
      <c r="D752" s="5" t="str">
        <f ca="1">IFERROR(__xludf.DUMMYFUNCTION("GOOGLETRANSLATE(B752,""ja"",""vi"")"),"Đối với trẻ em")</f>
        <v>Đối với trẻ em</v>
      </c>
      <c r="E752" s="5" t="str">
        <f ca="1">IFERROR(__xludf.DUMMYFUNCTION("GOOGLETRANSLATE(C752,""ja"",""vi"")"),"Đấu giá&gt; thể thao, giải trí&gt; Bằng Sport&gt; bơi&gt; đồ bơi&gt; cho trẻ em")</f>
        <v>Đấu giá&gt; thể thao, giải trí&gt; Bằng Sport&gt; bơi&gt; đồ bơi&gt; cho trẻ em</v>
      </c>
      <c r="F752" t="str">
        <f t="shared" ca="1" si="11"/>
        <v>"2084303061" : "Đối với trẻ em",</v>
      </c>
    </row>
    <row r="753" spans="1:6" ht="15.75" customHeight="1">
      <c r="A753" s="14">
        <v>2084045124</v>
      </c>
      <c r="B753" s="14" t="s">
        <v>11866</v>
      </c>
      <c r="C753" s="14" t="s">
        <v>11868</v>
      </c>
      <c r="D753" s="5" t="str">
        <f ca="1">IFERROR(__xludf.DUMMYFUNCTION("GOOGLETRANSLATE(B753,""ja"",""vi"")"),"thuyền buồm")</f>
        <v>thuyền buồm</v>
      </c>
      <c r="E753" s="5" t="str">
        <f ca="1">IFERROR(__xludf.DUMMYFUNCTION("GOOGLETRANSLATE(C753,""ja"",""vi"")"),"Đấu giá&gt; thể thao, giải trí&gt; thuyền, thuyền&gt; thân&gt; thuyền buồm")</f>
        <v>Đấu giá&gt; thể thao, giải trí&gt; thuyền, thuyền&gt; thân&gt; thuyền buồm</v>
      </c>
      <c r="F753" t="str">
        <f t="shared" ca="1" si="11"/>
        <v>"2084045124" : "thuyền buồm",</v>
      </c>
    </row>
    <row r="754" spans="1:6" ht="15.75" customHeight="1">
      <c r="A754" s="14">
        <v>2084048396</v>
      </c>
      <c r="B754" s="14" t="s">
        <v>11872</v>
      </c>
      <c r="C754" s="14" t="s">
        <v>11874</v>
      </c>
      <c r="D754" s="5" t="str">
        <f ca="1">IFERROR(__xludf.DUMMYFUNCTION("GOOGLETRANSLATE(B754,""ja"",""vi"")"),"Thuyền dùng cho đánh cá trầm")</f>
        <v>Thuyền dùng cho đánh cá trầm</v>
      </c>
      <c r="E754" s="5" t="str">
        <f ca="1">IFERROR(__xludf.DUMMYFUNCTION("GOOGLETRANSLATE(C754,""ja"",""vi"")"),"Đấu giá&gt; thể thao, giải trí&gt; thuyền, thuyền&gt; thân&gt; thuyền cho ngư trầm")</f>
        <v>Đấu giá&gt; thể thao, giải trí&gt; thuyền, thuyền&gt; thân&gt; thuyền cho ngư trầm</v>
      </c>
      <c r="F754" t="str">
        <f t="shared" ca="1" si="11"/>
        <v>"2084048396" : "Thuyền dùng cho đánh cá trầm",</v>
      </c>
    </row>
    <row r="755" spans="1:6" ht="15.75" customHeight="1">
      <c r="A755" s="14">
        <v>2084045123</v>
      </c>
      <c r="B755" s="14" t="s">
        <v>11879</v>
      </c>
      <c r="C755" s="14" t="s">
        <v>11881</v>
      </c>
      <c r="D755" s="5" t="str">
        <f ca="1">IFERROR(__xludf.DUMMYFUNCTION("GOOGLETRANSLATE(B755,""ja"",""vi"")"),"xuồng máy")</f>
        <v>xuồng máy</v>
      </c>
      <c r="E755" s="5" t="str">
        <f ca="1">IFERROR(__xludf.DUMMYFUNCTION("GOOGLETRANSLATE(C755,""ja"",""vi"")"),"Đấu giá&gt; thể thao, giải trí&gt; thuyền, thuyền&gt; thân&gt; xuồng máy")</f>
        <v>Đấu giá&gt; thể thao, giải trí&gt; thuyền, thuyền&gt; thân&gt; xuồng máy</v>
      </c>
      <c r="F755" t="str">
        <f t="shared" ca="1" si="11"/>
        <v>"2084045123" : "xuồng máy",</v>
      </c>
    </row>
    <row r="756" spans="1:6" ht="15.75" customHeight="1">
      <c r="A756" s="14">
        <v>2084005447</v>
      </c>
      <c r="B756" s="14" t="s">
        <v>11169</v>
      </c>
      <c r="C756" s="14" t="s">
        <v>11885</v>
      </c>
      <c r="D756" s="5" t="str">
        <f ca="1">IFERROR(__xludf.DUMMYFUNCTION("GOOGLETRANSLATE(B756,""ja"",""vi"")"),"xe máy nước")</f>
        <v>xe máy nước</v>
      </c>
      <c r="E756" s="5" t="str">
        <f ca="1">IFERROR(__xludf.DUMMYFUNCTION("GOOGLETRANSLATE(C756,""ja"",""vi"")"),"Đấu giá&gt; thể thao, giải trí&gt; thuyền, thuyền&gt; thân&gt; jetski")</f>
        <v>Đấu giá&gt; thể thao, giải trí&gt; thuyền, thuyền&gt; thân&gt; jetski</v>
      </c>
      <c r="F756" t="str">
        <f t="shared" ca="1" si="11"/>
        <v>"2084005447" : "xe máy nước",</v>
      </c>
    </row>
    <row r="757" spans="1:6" ht="15.75" customHeight="1">
      <c r="A757" s="14">
        <v>2084002306</v>
      </c>
      <c r="B757" s="14" t="s">
        <v>11888</v>
      </c>
      <c r="C757" s="14" t="s">
        <v>11891</v>
      </c>
      <c r="D757" s="5" t="str">
        <f ca="1">IFERROR(__xludf.DUMMYFUNCTION("GOOGLETRANSLATE(B757,""ja"",""vi"")"),"Canoe, kayak")</f>
        <v>Canoe, kayak</v>
      </c>
      <c r="E757" s="5" t="str">
        <f ca="1">IFERROR(__xludf.DUMMYFUNCTION("GOOGLETRANSLATE(C757,""ja"",""vi"")"),"Đấu giá&gt; thể thao, giải trí&gt; thuyền, thuyền&gt; thân&gt; xuồng, thuyền kayak")</f>
        <v>Đấu giá&gt; thể thao, giải trí&gt; thuyền, thuyền&gt; thân&gt; xuồng, thuyền kayak</v>
      </c>
      <c r="F757" t="str">
        <f t="shared" ca="1" si="11"/>
        <v>"2084002306" : "Canoe, kayak",</v>
      </c>
    </row>
    <row r="758" spans="1:6" ht="15.75" customHeight="1">
      <c r="A758" s="14">
        <v>2084213349</v>
      </c>
      <c r="B758" s="14" t="s">
        <v>11896</v>
      </c>
      <c r="C758" s="14" t="s">
        <v>11897</v>
      </c>
      <c r="D758" s="5" t="str">
        <f ca="1">IFERROR(__xludf.DUMMYFUNCTION("GOOGLETRANSLATE(B758,""ja"",""vi"")"),"xuồng ba lá cao su")</f>
        <v>xuồng ba lá cao su</v>
      </c>
      <c r="E758" s="5" t="str">
        <f ca="1">IFERROR(__xludf.DUMMYFUNCTION("GOOGLETRANSLATE(C758,""ja"",""vi"")"),"Đấu giá&gt; thể thao, giải trí&gt; thuyền, thuyền&gt; thân&gt; thuyền bơm hơi")</f>
        <v>Đấu giá&gt; thể thao, giải trí&gt; thuyền, thuyền&gt; thân&gt; thuyền bơm hơi</v>
      </c>
      <c r="F758" t="str">
        <f t="shared" ca="1" si="11"/>
        <v>"2084213349" : "xuồng ba lá cao su",</v>
      </c>
    </row>
    <row r="759" spans="1:6" ht="15.75" customHeight="1">
      <c r="A759" s="14">
        <v>2084045131</v>
      </c>
      <c r="B759" s="14" t="s">
        <v>11901</v>
      </c>
      <c r="C759" s="14" t="s">
        <v>11902</v>
      </c>
      <c r="D759" s="5" t="str">
        <f ca="1">IFERROR(__xludf.DUMMYFUNCTION("GOOGLETRANSLATE(B759,""ja"",""vi"")"),"neo")</f>
        <v>neo</v>
      </c>
      <c r="E759" s="5" t="str">
        <f ca="1">IFERROR(__xludf.DUMMYFUNCTION("GOOGLETRANSLATE(C759,""ja"",""vi"")"),"Đấu giá&gt; thể thao, giải trí&gt; thuyền, thuyền&gt; neo, thiết bị đang neo&gt; neo")</f>
        <v>Đấu giá&gt; thể thao, giải trí&gt; thuyền, thuyền&gt; neo, thiết bị đang neo&gt; neo</v>
      </c>
      <c r="F759" t="str">
        <f t="shared" ca="1" si="11"/>
        <v>"2084045131" : "neo",</v>
      </c>
    </row>
    <row r="760" spans="1:6" ht="15.75" customHeight="1">
      <c r="A760" s="14">
        <v>2084045132</v>
      </c>
      <c r="B760" s="14" t="s">
        <v>11907</v>
      </c>
      <c r="C760" s="14" t="s">
        <v>11908</v>
      </c>
      <c r="D760" s="5" t="str">
        <f ca="1">IFERROR(__xludf.DUMMYFUNCTION("GOOGLETRANSLATE(B760,""ja"",""vi"")"),"biển neo")</f>
        <v>biển neo</v>
      </c>
      <c r="E760" s="5" t="str">
        <f ca="1">IFERROR(__xludf.DUMMYFUNCTION("GOOGLETRANSLATE(C760,""ja"",""vi"")"),"Đấu giá&gt; thể thao, giải trí&gt; thuyền, thuyền&gt; neo, thiết bị đang neo&gt; Biển neo")</f>
        <v>Đấu giá&gt; thể thao, giải trí&gt; thuyền, thuyền&gt; neo, thiết bị đang neo&gt; Biển neo</v>
      </c>
      <c r="F760" t="str">
        <f t="shared" ca="1" si="11"/>
        <v>"2084045132" : "biển neo",</v>
      </c>
    </row>
    <row r="761" spans="1:6" ht="15.75" customHeight="1">
      <c r="A761" s="14">
        <v>2084047900</v>
      </c>
      <c r="B761" s="14" t="s">
        <v>46</v>
      </c>
      <c r="C761" s="14" t="s">
        <v>11913</v>
      </c>
      <c r="D761" s="5" t="str">
        <f ca="1">IFERROR(__xludf.DUMMYFUNCTION("GOOGLETRANSLATE(B761,""ja"",""vi"")"),"nếu không thì")</f>
        <v>nếu không thì</v>
      </c>
      <c r="E761" s="5" t="str">
        <f ca="1">IFERROR(__xludf.DUMMYFUNCTION("GOOGLETRANSLATE(C761,""ja"",""vi"")"),"Đấu giá&gt; thể thao, giải trí&gt; thuyền, thuyền&gt; neo, thiết bị neo&gt; Khác")</f>
        <v>Đấu giá&gt; thể thao, giải trí&gt; thuyền, thuyền&gt; neo, thiết bị neo&gt; Khác</v>
      </c>
      <c r="F761" t="str">
        <f t="shared" ca="1" si="11"/>
        <v>"2084047900" : "nếu không thì",</v>
      </c>
    </row>
    <row r="762" spans="1:6" ht="15.75" customHeight="1">
      <c r="A762" s="14">
        <v>2084286885</v>
      </c>
      <c r="B762" s="14" t="s">
        <v>11916</v>
      </c>
      <c r="C762" s="14" t="s">
        <v>11917</v>
      </c>
      <c r="D762" s="5" t="str">
        <f ca="1">IFERROR(__xludf.DUMMYFUNCTION("GOOGLETRANSLATE(B762,""ja"",""vi"")"),"Ít hơn 10 mã lực")</f>
        <v>Ít hơn 10 mã lực</v>
      </c>
      <c r="E762" s="5" t="str">
        <f ca="1">IFERROR(__xludf.DUMMYFUNCTION("GOOGLETRANSLATE(C762,""ja"",""vi"")"),"Đấu giá&gt; thể thao, giải trí&gt; thuyền, thuyền&gt; phụ tùng&gt; Động cơ&gt; dưới 10 mã lực")</f>
        <v>Đấu giá&gt; thể thao, giải trí&gt; thuyền, thuyền&gt; phụ tùng&gt; Động cơ&gt; dưới 10 mã lực</v>
      </c>
      <c r="F762" t="str">
        <f t="shared" ca="1" si="11"/>
        <v>"2084286885" : "Ít hơn 10 mã lực",</v>
      </c>
    </row>
    <row r="763" spans="1:6" ht="15.75" customHeight="1">
      <c r="A763" s="14">
        <v>2084286886</v>
      </c>
      <c r="B763" s="14" t="s">
        <v>11923</v>
      </c>
      <c r="C763" s="14" t="s">
        <v>11924</v>
      </c>
      <c r="D763" s="5" t="str">
        <f ca="1">IFERROR(__xludf.DUMMYFUNCTION("GOOGLETRANSLATE(B763,""ja"",""vi"")"),"10 mã lực -")</f>
        <v>10 mã lực -</v>
      </c>
      <c r="E763" s="5" t="str">
        <f ca="1">IFERROR(__xludf.DUMMYFUNCTION("GOOGLETRANSLATE(C763,""ja"",""vi"")"),"Đấu giá&gt; thể thao, giải trí&gt; thuyền, thuyền&gt; phụ tùng&gt; Động cơ&gt; 10 mã lực -")</f>
        <v>Đấu giá&gt; thể thao, giải trí&gt; thuyền, thuyền&gt; phụ tùng&gt; Động cơ&gt; 10 mã lực -</v>
      </c>
      <c r="F763" t="str">
        <f t="shared" ca="1" si="11"/>
        <v>"2084286886" : "10 mã lực -",</v>
      </c>
    </row>
    <row r="764" spans="1:6" ht="15.75" customHeight="1">
      <c r="A764" s="14">
        <v>2084286887</v>
      </c>
      <c r="B764" s="14" t="s">
        <v>11928</v>
      </c>
      <c r="C764" s="14" t="s">
        <v>11931</v>
      </c>
      <c r="D764" s="5" t="str">
        <f ca="1">IFERROR(__xludf.DUMMYFUNCTION("GOOGLETRANSLATE(B764,""ja"",""vi"")"),"30 hp -")</f>
        <v>30 hp -</v>
      </c>
      <c r="E764" s="5" t="str">
        <f ca="1">IFERROR(__xludf.DUMMYFUNCTION("GOOGLETRANSLATE(C764,""ja"",""vi"")"),"Đấu giá&gt; thể thao, giải trí&gt; thuyền, thuyền&gt; phụ tùng&gt; Động cơ&gt; 30 mã lực -")</f>
        <v>Đấu giá&gt; thể thao, giải trí&gt; thuyền, thuyền&gt; phụ tùng&gt; Động cơ&gt; 30 mã lực -</v>
      </c>
      <c r="F764" t="str">
        <f t="shared" ca="1" si="11"/>
        <v>"2084286887" : "30 hp -",</v>
      </c>
    </row>
    <row r="765" spans="1:6" ht="15.75" customHeight="1">
      <c r="A765" s="14">
        <v>2084286888</v>
      </c>
      <c r="B765" s="14" t="s">
        <v>11934</v>
      </c>
      <c r="C765" s="14" t="s">
        <v>11937</v>
      </c>
      <c r="D765" s="5" t="str">
        <f ca="1">IFERROR(__xludf.DUMMYFUNCTION("GOOGLETRANSLATE(B765,""ja"",""vi"")"),"50 mã lực -")</f>
        <v>50 mã lực -</v>
      </c>
      <c r="E765" s="5" t="str">
        <f ca="1">IFERROR(__xludf.DUMMYFUNCTION("GOOGLETRANSLATE(C765,""ja"",""vi"")"),"Đấu giá&gt; thể thao, giải trí&gt; thuyền, thuyền&gt; phụ tùng&gt; Động cơ&gt; 50 mã lực -")</f>
        <v>Đấu giá&gt; thể thao, giải trí&gt; thuyền, thuyền&gt; phụ tùng&gt; Động cơ&gt; 50 mã lực -</v>
      </c>
      <c r="F765" t="str">
        <f t="shared" ca="1" si="11"/>
        <v>"2084286888" : "50 mã lực -",</v>
      </c>
    </row>
    <row r="766" spans="1:6" ht="15.75" customHeight="1">
      <c r="A766" s="14">
        <v>2084286889</v>
      </c>
      <c r="B766" s="14" t="s">
        <v>11941</v>
      </c>
      <c r="C766" s="14" t="s">
        <v>11944</v>
      </c>
      <c r="D766" s="5" t="str">
        <f ca="1">IFERROR(__xludf.DUMMYFUNCTION("GOOGLETRANSLATE(B766,""ja"",""vi"")"),"100 hp -")</f>
        <v>100 hp -</v>
      </c>
      <c r="E766" s="5" t="str">
        <f ca="1">IFERROR(__xludf.DUMMYFUNCTION("GOOGLETRANSLATE(C766,""ja"",""vi"")"),"Đấu giá&gt; thể thao, giải trí&gt; thuyền, thuyền&gt; phụ tùng&gt; Động cơ&gt; 100 mã lực -")</f>
        <v>Đấu giá&gt; thể thao, giải trí&gt; thuyền, thuyền&gt; phụ tùng&gt; Động cơ&gt; 100 mã lực -</v>
      </c>
      <c r="F766" t="str">
        <f t="shared" ca="1" si="11"/>
        <v>"2084286889" : "100 hp -",</v>
      </c>
    </row>
    <row r="767" spans="1:6" ht="15.75" customHeight="1">
      <c r="A767" s="14">
        <v>2084286556</v>
      </c>
      <c r="B767" s="14" t="s">
        <v>11949</v>
      </c>
      <c r="C767" s="14" t="s">
        <v>11950</v>
      </c>
      <c r="D767" s="5" t="str">
        <f ca="1">IFERROR(__xludf.DUMMYFUNCTION("GOOGLETRANSLATE(B767,""ja"",""vi"")"),"GPS")</f>
        <v>GPS</v>
      </c>
      <c r="E767" s="5" t="str">
        <f ca="1">IFERROR(__xludf.DUMMYFUNCTION("GOOGLETRANSLATE(C767,""ja"",""vi"")"),"Đấu giá&gt; thể thao, giải trí&gt; thuyền, thuyền&gt; phụ tùng&gt; GPS")</f>
        <v>Đấu giá&gt; thể thao, giải trí&gt; thuyền, thuyền&gt; phụ tùng&gt; GPS</v>
      </c>
      <c r="F767" t="str">
        <f t="shared" ca="1" si="11"/>
        <v>"2084286556" : "GPS",</v>
      </c>
    </row>
    <row r="768" spans="1:6" ht="15.75" customHeight="1">
      <c r="A768" s="14">
        <v>2084048306</v>
      </c>
      <c r="B768" s="14" t="s">
        <v>11137</v>
      </c>
      <c r="C768" s="14" t="s">
        <v>11957</v>
      </c>
      <c r="D768" s="5" t="str">
        <f ca="1">IFERROR(__xludf.DUMMYFUNCTION("GOOGLETRANSLATE(B768,""ja"",""vi"")"),"động cơ")</f>
        <v>động cơ</v>
      </c>
      <c r="E768" s="5" t="str">
        <f ca="1">IFERROR(__xludf.DUMMYFUNCTION("GOOGLETRANSLATE(C768,""ja"",""vi"")"),"Đấu giá&gt; thể thao, giải trí&gt; thuyền, thuyền&gt; phụ tùng&gt; động cơ")</f>
        <v>Đấu giá&gt; thể thao, giải trí&gt; thuyền, thuyền&gt; phụ tùng&gt; động cơ</v>
      </c>
      <c r="F768" t="str">
        <f t="shared" ca="1" si="11"/>
        <v>"2084048306" : "động cơ",</v>
      </c>
    </row>
    <row r="769" spans="1:6" ht="15.75" customHeight="1">
      <c r="A769" s="14">
        <v>2084047902</v>
      </c>
      <c r="B769" s="14" t="s">
        <v>11962</v>
      </c>
      <c r="C769" s="14" t="s">
        <v>11964</v>
      </c>
      <c r="D769" s="5" t="str">
        <f ca="1">IFERROR(__xludf.DUMMYFUNCTION("GOOGLETRANSLATE(B769,""ja"",""vi"")"),"phần ngoại thất")</f>
        <v>phần ngoại thất</v>
      </c>
      <c r="E769" s="5" t="str">
        <f ca="1">IFERROR(__xludf.DUMMYFUNCTION("GOOGLETRANSLATE(C769,""ja"",""vi"")"),"Đấu giá&gt; thể thao, giải trí&gt; thuyền, thuyền&gt; phần&gt; phụ tùng bên ngoài")</f>
        <v>Đấu giá&gt; thể thao, giải trí&gt; thuyền, thuyền&gt; phần&gt; phụ tùng bên ngoài</v>
      </c>
      <c r="F769" t="str">
        <f t="shared" ca="1" si="11"/>
        <v>"2084047902" : "phần ngoại thất",</v>
      </c>
    </row>
    <row r="770" spans="1:6" ht="15.75" customHeight="1">
      <c r="A770" s="14">
        <v>2084047904</v>
      </c>
      <c r="B770" s="14" t="s">
        <v>11971</v>
      </c>
      <c r="C770" s="14" t="s">
        <v>11973</v>
      </c>
      <c r="D770" s="5" t="str">
        <f ca="1">IFERROR(__xludf.DUMMYFUNCTION("GOOGLETRANSLATE(B770,""ja"",""vi"")"),"công cụ điều hướng")</f>
        <v>công cụ điều hướng</v>
      </c>
      <c r="E770" s="5" t="str">
        <f ca="1">IFERROR(__xludf.DUMMYFUNCTION("GOOGLETRANSLATE(C770,""ja"",""vi"")"),"Đấu giá&gt; thể thao, giải trí&gt; thuyền, thuyền&gt; phụ tùng&gt; mét navigation")</f>
        <v>Đấu giá&gt; thể thao, giải trí&gt; thuyền, thuyền&gt; phụ tùng&gt; mét navigation</v>
      </c>
      <c r="F770" t="str">
        <f t="shared" ref="F770:F833" ca="1" si="12">CONCATENATE(CHAR(34)&amp;"",A770,""&amp;CHAR(34)," : ", CHAR(34)&amp;"",D770,""&amp;CHAR(34),",")</f>
        <v>"2084047904" : "công cụ điều hướng",</v>
      </c>
    </row>
    <row r="771" spans="1:6" ht="15.75" customHeight="1">
      <c r="A771" s="14">
        <v>2084049787</v>
      </c>
      <c r="B771" s="14" t="s">
        <v>11977</v>
      </c>
      <c r="C771" s="14" t="s">
        <v>11979</v>
      </c>
      <c r="D771" s="5" t="str">
        <f ca="1">IFERROR(__xludf.DUMMYFUNCTION("GOOGLETRANSLATE(B771,""ja"",""vi"")"),"Đối với tàu thuyền cá nhân")</f>
        <v>Đối với tàu thuyền cá nhân</v>
      </c>
      <c r="E771" s="5" t="str">
        <f ca="1">IFERROR(__xludf.DUMMYFUNCTION("GOOGLETRANSLATE(C771,""ja"",""vi"")"),"Đấu giá&gt; thể thao, giải trí&gt; thuyền, thuyền&gt; phụ tùng&gt; cho tàu thuyền cá nhân")</f>
        <v>Đấu giá&gt; thể thao, giải trí&gt; thuyền, thuyền&gt; phụ tùng&gt; cho tàu thuyền cá nhân</v>
      </c>
      <c r="F771" t="str">
        <f t="shared" ca="1" si="12"/>
        <v>"2084049787" : "Đối với tàu thuyền cá nhân",</v>
      </c>
    </row>
    <row r="772" spans="1:6" ht="15.75" customHeight="1">
      <c r="A772" s="14">
        <v>2084047906</v>
      </c>
      <c r="B772" s="14" t="s">
        <v>11983</v>
      </c>
      <c r="C772" s="14" t="s">
        <v>11986</v>
      </c>
      <c r="D772" s="5" t="str">
        <f ca="1">IFERROR(__xludf.DUMMYFUNCTION("GOOGLETRANSLATE(B772,""ja"",""vi"")"),"hệ thống lái")</f>
        <v>hệ thống lái</v>
      </c>
      <c r="E772" s="5" t="str">
        <f ca="1">IFERROR(__xludf.DUMMYFUNCTION("GOOGLETRANSLATE(C772,""ja"",""vi"")"),"Đấu giá&gt; thể thao, giải trí&gt; thuyền, thuyền&gt; phụ tùng&gt; bộ máy lái")</f>
        <v>Đấu giá&gt; thể thao, giải trí&gt; thuyền, thuyền&gt; phụ tùng&gt; bộ máy lái</v>
      </c>
      <c r="F772" t="str">
        <f t="shared" ca="1" si="12"/>
        <v>"2084047906" : "hệ thống lái",</v>
      </c>
    </row>
    <row r="773" spans="1:6" ht="15.75" customHeight="1">
      <c r="A773" s="14">
        <v>2084047903</v>
      </c>
      <c r="B773" s="14" t="s">
        <v>11990</v>
      </c>
      <c r="C773" s="14" t="s">
        <v>11993</v>
      </c>
      <c r="D773" s="5" t="str">
        <f ca="1">IFERROR(__xludf.DUMMYFUNCTION("GOOGLETRANSLATE(B773,""ja"",""vi"")"),"thiết bị điện")</f>
        <v>thiết bị điện</v>
      </c>
      <c r="E773" s="5" t="str">
        <f ca="1">IFERROR(__xludf.DUMMYFUNCTION("GOOGLETRANSLATE(C773,""ja"",""vi"")"),"Đấu giá&gt; thể thao, giải trí&gt; thuyền, thuyền&gt; phụ tùng&gt; thiết bị điện")</f>
        <v>Đấu giá&gt; thể thao, giải trí&gt; thuyền, thuyền&gt; phụ tùng&gt; thiết bị điện</v>
      </c>
      <c r="F773" t="str">
        <f t="shared" ca="1" si="12"/>
        <v>"2084047903" : "thiết bị điện",</v>
      </c>
    </row>
    <row r="774" spans="1:6" ht="15.75" customHeight="1">
      <c r="A774" s="14">
        <v>2084047901</v>
      </c>
      <c r="B774" s="14" t="s">
        <v>11996</v>
      </c>
      <c r="C774" s="14" t="s">
        <v>11999</v>
      </c>
      <c r="D774" s="5" t="str">
        <f ca="1">IFERROR(__xludf.DUMMYFUNCTION("GOOGLETRANSLATE(B774,""ja"",""vi"")"),"trang trí nội thất")</f>
        <v>trang trí nội thất</v>
      </c>
      <c r="E774" s="5" t="str">
        <f ca="1">IFERROR(__xludf.DUMMYFUNCTION("GOOGLETRANSLATE(C774,""ja"",""vi"")"),"Đấu giá&gt; thể thao, giải trí&gt; thuyền, thuyền&gt; phụ tùng&gt; hàng nội thất")</f>
        <v>Đấu giá&gt; thể thao, giải trí&gt; thuyền, thuyền&gt; phụ tùng&gt; hàng nội thất</v>
      </c>
      <c r="F774" t="str">
        <f t="shared" ca="1" si="12"/>
        <v>"2084047901" : "trang trí nội thất",</v>
      </c>
    </row>
    <row r="775" spans="1:6" ht="15.75" customHeight="1">
      <c r="A775" s="14">
        <v>2084286557</v>
      </c>
      <c r="B775" s="14" t="s">
        <v>12002</v>
      </c>
      <c r="C775" s="14" t="s">
        <v>12005</v>
      </c>
      <c r="D775" s="5" t="str">
        <f ca="1">IFERROR(__xludf.DUMMYFUNCTION("GOOGLETRANSLATE(B775,""ja"",""vi"")"),"radio")</f>
        <v>radio</v>
      </c>
      <c r="E775" s="5" t="str">
        <f ca="1">IFERROR(__xludf.DUMMYFUNCTION("GOOGLETRANSLATE(C775,""ja"",""vi"")"),"Đấu giá&gt; thể thao, giải trí&gt; thuyền, thuyền&gt; phụ tùng&gt; đài phát thanh")</f>
        <v>Đấu giá&gt; thể thao, giải trí&gt; thuyền, thuyền&gt; phụ tùng&gt; đài phát thanh</v>
      </c>
      <c r="F775" t="str">
        <f t="shared" ca="1" si="12"/>
        <v>"2084286557" : "radio",</v>
      </c>
    </row>
    <row r="776" spans="1:6" ht="15.75" customHeight="1">
      <c r="A776" s="14">
        <v>2084047911</v>
      </c>
      <c r="B776" s="14" t="s">
        <v>46</v>
      </c>
      <c r="C776" s="14" t="s">
        <v>12010</v>
      </c>
      <c r="D776" s="5" t="str">
        <f ca="1">IFERROR(__xludf.DUMMYFUNCTION("GOOGLETRANSLATE(B776,""ja"",""vi"")"),"nếu không thì")</f>
        <v>nếu không thì</v>
      </c>
      <c r="E776" s="5" t="str">
        <f ca="1">IFERROR(__xludf.DUMMYFUNCTION("GOOGLETRANSLATE(C776,""ja"",""vi"")"),"Đấu giá&gt; thể thao, giải trí&gt; thuyền, thuyền&gt; phụ tùng&gt; Khác")</f>
        <v>Đấu giá&gt; thể thao, giải trí&gt; thuyền, thuyền&gt; phụ tùng&gt; Khác</v>
      </c>
      <c r="F776" t="str">
        <f t="shared" ca="1" si="12"/>
        <v>"2084047911" : "nếu không thì",</v>
      </c>
    </row>
    <row r="777" spans="1:6" ht="15.75" customHeight="1">
      <c r="A777" s="14">
        <v>2084286890</v>
      </c>
      <c r="B777" s="14" t="s">
        <v>11184</v>
      </c>
      <c r="C777" s="14" t="s">
        <v>11188</v>
      </c>
      <c r="D777" s="5" t="str">
        <f ca="1">IFERROR(__xludf.DUMMYFUNCTION("GOOGLETRANSLATE(B777,""ja"",""vi"")"),"Giám sát ít hơn 5 loại")</f>
        <v>Giám sát ít hơn 5 loại</v>
      </c>
      <c r="E777" s="5" t="str">
        <f ca="1">IFERROR(__xludf.DUMMYFUNCTION("GOOGLETRANSLATE(C777,""ja"",""vi"")"),"Đấu giá&gt; thể thao, giải trí&gt; thuyền, thuyền&gt; phụ tùng&gt; navigation mét&gt; công cụ tìm cá&gt; màn hình ít hơn 5 loại")</f>
        <v>Đấu giá&gt; thể thao, giải trí&gt; thuyền, thuyền&gt; phụ tùng&gt; navigation mét&gt; công cụ tìm cá&gt; màn hình ít hơn 5 loại</v>
      </c>
      <c r="F777" t="str">
        <f t="shared" ca="1" si="12"/>
        <v>"2084286890" : "Giám sát ít hơn 5 loại",</v>
      </c>
    </row>
    <row r="778" spans="1:6" ht="15.75" customHeight="1">
      <c r="A778" s="14">
        <v>2084286891</v>
      </c>
      <c r="B778" s="14" t="s">
        <v>11191</v>
      </c>
      <c r="C778" s="14" t="s">
        <v>11194</v>
      </c>
      <c r="D778" s="5" t="str">
        <f ca="1">IFERROR(__xludf.DUMMYFUNCTION("GOOGLETRANSLATE(B778,""ja"",""vi"")"),"Màn hình loại 5 -")</f>
        <v>Màn hình loại 5 -</v>
      </c>
      <c r="E778" s="5" t="str">
        <f ca="1">IFERROR(__xludf.DUMMYFUNCTION("GOOGLETRANSLATE(C778,""ja"",""vi"")"),"Đấu giá&gt; thể thao, giải trí&gt; thuyền, thuyền&gt; phụ tùng&gt; navigation mét&gt; công cụ tìm cá&gt; màn hình loại 5 -")</f>
        <v>Đấu giá&gt; thể thao, giải trí&gt; thuyền, thuyền&gt; phụ tùng&gt; navigation mét&gt; công cụ tìm cá&gt; màn hình loại 5 -</v>
      </c>
      <c r="F778" t="str">
        <f t="shared" ca="1" si="12"/>
        <v>"2084286891" : "Màn hình loại 5 -",</v>
      </c>
    </row>
    <row r="779" spans="1:6" ht="15.75" customHeight="1">
      <c r="A779" s="14">
        <v>2084286892</v>
      </c>
      <c r="B779" s="14" t="s">
        <v>12021</v>
      </c>
      <c r="C779" s="14" t="s">
        <v>11200</v>
      </c>
      <c r="D779" s="5" t="str">
        <f ca="1">IFERROR(__xludf.DUMMYFUNCTION("GOOGLETRANSLATE(B779,""ja"",""vi"")"),"Màn hình 10-inch ~")</f>
        <v>Màn hình 10-inch ~</v>
      </c>
      <c r="E779" s="5" t="str">
        <f ca="1">IFERROR(__xludf.DUMMYFUNCTION("GOOGLETRANSLATE(C779,""ja"",""vi"")"),"Đấu giá&gt; thể thao, giải trí&gt; thuyền, thuyền&gt; phụ tùng&gt; navigation mét&gt; công cụ tìm cá&gt; màn hình 10-inch ~")</f>
        <v>Đấu giá&gt; thể thao, giải trí&gt; thuyền, thuyền&gt; phụ tùng&gt; navigation mét&gt; công cụ tìm cá&gt; màn hình 10-inch ~</v>
      </c>
      <c r="F779" t="str">
        <f t="shared" ca="1" si="12"/>
        <v>"2084286892" : "Màn hình 10-inch ~",</v>
      </c>
    </row>
    <row r="780" spans="1:6" ht="15.75" customHeight="1">
      <c r="A780" s="14">
        <v>2084047578</v>
      </c>
      <c r="B780" s="14" t="s">
        <v>1678</v>
      </c>
      <c r="C780" s="14" t="s">
        <v>12029</v>
      </c>
      <c r="D780" s="5" t="str">
        <f ca="1">IFERROR(__xludf.DUMMYFUNCTION("GOOGLETRANSLATE(B780,""ja"",""vi"")"),"Một cơ thể")</f>
        <v>Một cơ thể</v>
      </c>
      <c r="E780" s="5" t="str">
        <f ca="1">IFERROR(__xludf.DUMMYFUNCTION("GOOGLETRANSLATE(C780,""ja"",""vi"")"),"Đấu giá&gt; thể thao, giải trí&gt; thuyền, thuyền&gt; thân&gt; tàu thuyền cá nhân&gt; cơ thể")</f>
        <v>Đấu giá&gt; thể thao, giải trí&gt; thuyền, thuyền&gt; thân&gt; tàu thuyền cá nhân&gt; cơ thể</v>
      </c>
      <c r="F780" t="str">
        <f t="shared" ca="1" si="12"/>
        <v>"2084047578" : "Một cơ thể",</v>
      </c>
    </row>
    <row r="781" spans="1:6" ht="15.75" customHeight="1">
      <c r="A781" s="14">
        <v>2084049787</v>
      </c>
      <c r="B781" s="14" t="s">
        <v>1612</v>
      </c>
      <c r="C781" s="14" t="s">
        <v>12033</v>
      </c>
      <c r="D781" s="5" t="str">
        <f ca="1">IFERROR(__xludf.DUMMYFUNCTION("GOOGLETRANSLATE(B781,""ja"",""vi"")"),"bộ phận")</f>
        <v>bộ phận</v>
      </c>
      <c r="E781" s="5" t="str">
        <f ca="1">IFERROR(__xludf.DUMMYFUNCTION("GOOGLETRANSLATE(C781,""ja"",""vi"")"),"Đấu giá&gt; thể thao, giải trí&gt; thuyền, thuyền&gt; thân&gt; tàu thuyền cá nhân&gt; Linh kiện")</f>
        <v>Đấu giá&gt; thể thao, giải trí&gt; thuyền, thuyền&gt; thân&gt; tàu thuyền cá nhân&gt; Linh kiện</v>
      </c>
      <c r="F781" t="str">
        <f t="shared" ca="1" si="12"/>
        <v>"2084049787" : "bộ phận",</v>
      </c>
    </row>
    <row r="782" spans="1:6" ht="15.75" customHeight="1">
      <c r="A782" s="14">
        <v>2084214335</v>
      </c>
      <c r="B782" s="14" t="s">
        <v>12037</v>
      </c>
      <c r="C782" s="14" t="s">
        <v>12039</v>
      </c>
      <c r="D782" s="5" t="str">
        <f ca="1">IFERROR(__xludf.DUMMYFUNCTION("GOOGLETRANSLATE(B782,""ja"",""vi"")"),"Di động, khung nhựa")</f>
        <v>Di động, khung nhựa</v>
      </c>
      <c r="E782" s="5" t="str">
        <f ca="1">IFERROR(__xludf.DUMMYFUNCTION("GOOGLETRANSLATE(C782,""ja"",""vi"")"),"Đấu giá&gt; thể thao, giải trí&gt; thể thao kính mát&gt; Oakley&gt; di động, khung nhựa")</f>
        <v>Đấu giá&gt; thể thao, giải trí&gt; thể thao kính mát&gt; Oakley&gt; di động, khung nhựa</v>
      </c>
      <c r="F782" t="str">
        <f t="shared" ca="1" si="12"/>
        <v>"2084214335" : "Di động, khung nhựa",</v>
      </c>
    </row>
    <row r="783" spans="1:6" ht="15.75" customHeight="1">
      <c r="A783" s="14">
        <v>2084214336</v>
      </c>
      <c r="B783" s="14" t="s">
        <v>12043</v>
      </c>
      <c r="C783" s="14" t="s">
        <v>12044</v>
      </c>
      <c r="D783" s="5" t="str">
        <f ca="1">IFERROR(__xludf.DUMMYFUNCTION("GOOGLETRANSLATE(B783,""ja"",""vi"")"),"kim loại khung")</f>
        <v>kim loại khung</v>
      </c>
      <c r="E783" s="5" t="str">
        <f ca="1">IFERROR(__xludf.DUMMYFUNCTION("GOOGLETRANSLATE(C783,""ja"",""vi"")"),"Đấu giá&gt; thể thao, giải trí&gt; thể thao kính mát&gt; Oakley&gt; khung kim loại")</f>
        <v>Đấu giá&gt; thể thao, giải trí&gt; thể thao kính mát&gt; Oakley&gt; khung kim loại</v>
      </c>
      <c r="F783" t="str">
        <f t="shared" ca="1" si="12"/>
        <v>"2084214336" : "kim loại khung",</v>
      </c>
    </row>
    <row r="784" spans="1:6" ht="15.75" customHeight="1">
      <c r="A784" s="14">
        <v>2084263227</v>
      </c>
      <c r="B784" s="14" t="s">
        <v>8327</v>
      </c>
      <c r="C784" s="14" t="s">
        <v>8328</v>
      </c>
      <c r="D784" s="5" t="str">
        <f ca="1">IFERROR(__xludf.DUMMYFUNCTION("GOOGLETRANSLATE(B784,""ja"",""vi"")"),"1 người -")</f>
        <v>1 người -</v>
      </c>
      <c r="E784" s="5" t="str">
        <f ca="1">IFERROR(__xludf.DUMMYFUNCTION("GOOGLETRANSLATE(C784,""ja"",""vi"")"),"Đấu giá&gt; thể thao, giải trí&gt; trại, hàng ngoài trời&gt; ghế giải trí&gt; 1 người -")</f>
        <v>Đấu giá&gt; thể thao, giải trí&gt; trại, hàng ngoài trời&gt; ghế giải trí&gt; 1 người -</v>
      </c>
      <c r="F784" t="str">
        <f t="shared" ca="1" si="12"/>
        <v>"2084263227" : "1 người -",</v>
      </c>
    </row>
    <row r="785" spans="1:6" ht="15.75" customHeight="1">
      <c r="A785" s="14">
        <v>2084263228</v>
      </c>
      <c r="B785" s="14" t="s">
        <v>8329</v>
      </c>
      <c r="C785" s="14" t="s">
        <v>8330</v>
      </c>
      <c r="D785" s="5" t="str">
        <f ca="1">IFERROR(__xludf.DUMMYFUNCTION("GOOGLETRANSLATE(B785,""ja"",""vi"")"),"4 người -")</f>
        <v>4 người -</v>
      </c>
      <c r="E785" s="5" t="str">
        <f ca="1">IFERROR(__xludf.DUMMYFUNCTION("GOOGLETRANSLATE(C785,""ja"",""vi"")"),"Đấu giá&gt; thể thao, giải trí&gt; trại, hàng ngoài trời&gt; giải trí ghế&gt; 4 người -")</f>
        <v>Đấu giá&gt; thể thao, giải trí&gt; trại, hàng ngoài trời&gt; giải trí ghế&gt; 4 người -</v>
      </c>
      <c r="F785" t="str">
        <f t="shared" ca="1" si="12"/>
        <v>"2084263228" : "4 người -",</v>
      </c>
    </row>
    <row r="786" spans="1:6" ht="15.75" customHeight="1">
      <c r="A786" s="14">
        <v>2084263392</v>
      </c>
      <c r="B786" s="14" t="s">
        <v>8331</v>
      </c>
      <c r="C786" s="14" t="s">
        <v>8332</v>
      </c>
      <c r="D786" s="5" t="str">
        <f ca="1">IFERROR(__xludf.DUMMYFUNCTION("GOOGLETRANSLATE(B786,""ja"",""vi"")"),"8 người -")</f>
        <v>8 người -</v>
      </c>
      <c r="E786" s="5" t="str">
        <f ca="1">IFERROR(__xludf.DUMMYFUNCTION("GOOGLETRANSLATE(C786,""ja"",""vi"")"),"Đấu giá&gt; thể thao, giải trí&gt; trại, hàng ngoài trời&gt; giải trí ghế&gt; 8 người -")</f>
        <v>Đấu giá&gt; thể thao, giải trí&gt; trại, hàng ngoài trời&gt; giải trí ghế&gt; 8 người -</v>
      </c>
      <c r="F786" t="str">
        <f t="shared" ca="1" si="12"/>
        <v>"2084263392" : "8 người -",</v>
      </c>
    </row>
    <row r="787" spans="1:6" ht="15.75" customHeight="1">
      <c r="A787" s="14">
        <v>2084046762</v>
      </c>
      <c r="B787" s="14" t="s">
        <v>8333</v>
      </c>
      <c r="C787" s="14" t="s">
        <v>8334</v>
      </c>
      <c r="D787" s="5" t="str">
        <f ca="1">IFERROR(__xludf.DUMMYFUNCTION("GOOGLETRANSLATE(B787,""ja"",""vi"")"),"Tarp")</f>
        <v>Tarp</v>
      </c>
      <c r="E787" s="5" t="str">
        <f ca="1">IFERROR(__xludf.DUMMYFUNCTION("GOOGLETRANSLATE(C787,""ja"",""vi"")"),"Đấu giá&gt; thể thao, giải trí&gt; trại, hàng ngoài trời&gt; ghế giải trí&gt; TARP")</f>
        <v>Đấu giá&gt; thể thao, giải trí&gt; trại, hàng ngoài trời&gt; ghế giải trí&gt; TARP</v>
      </c>
      <c r="F787" t="str">
        <f t="shared" ca="1" si="12"/>
        <v>"2084046762" : "Tarp",</v>
      </c>
    </row>
    <row r="788" spans="1:6" ht="15.75" customHeight="1">
      <c r="A788" s="14">
        <v>2084208878</v>
      </c>
      <c r="B788" s="14" t="s">
        <v>8335</v>
      </c>
      <c r="C788" s="14" t="s">
        <v>8336</v>
      </c>
      <c r="D788" s="5" t="str">
        <f ca="1">IFERROR(__xludf.DUMMYFUNCTION("GOOGLETRANSLATE(B788,""ja"",""vi"")"),"bãi biển ô")</f>
        <v>bãi biển ô</v>
      </c>
      <c r="E788" s="5" t="str">
        <f ca="1">IFERROR(__xludf.DUMMYFUNCTION("GOOGLETRANSLATE(C788,""ja"",""vi"")"),"Đấu giá&gt; thể thao, giải trí&gt; trại, hàng ngoài trời&gt; ghế giải trí&gt; ô bãi biển")</f>
        <v>Đấu giá&gt; thể thao, giải trí&gt; trại, hàng ngoài trời&gt; ghế giải trí&gt; ô bãi biển</v>
      </c>
      <c r="F788" t="str">
        <f t="shared" ca="1" si="12"/>
        <v>"2084208878" : "bãi biển ô",</v>
      </c>
    </row>
    <row r="789" spans="1:6" ht="15.75" customHeight="1">
      <c r="A789" s="14">
        <v>24970</v>
      </c>
      <c r="B789" s="14" t="s">
        <v>8337</v>
      </c>
      <c r="C789" s="14" t="s">
        <v>8338</v>
      </c>
      <c r="D789" s="5" t="str">
        <f ca="1">IFERROR(__xludf.DUMMYFUNCTION("GOOGLETRANSLATE(B789,""ja"",""vi"")"),"Túi ngủ, giường, giường")</f>
        <v>Túi ngủ, giường, giường</v>
      </c>
      <c r="E789" s="5" t="str">
        <f ca="1">IFERROR(__xludf.DUMMYFUNCTION("GOOGLETRANSLATE(C789,""ja"",""vi"")"),"Đấu giá&gt; thể thao, giải trí&gt; trại, hàng ngoài trời&gt; ghế giải trí&gt; túi ngủ, giường, giường")</f>
        <v>Đấu giá&gt; thể thao, giải trí&gt; trại, hàng ngoài trời&gt; ghế giải trí&gt; túi ngủ, giường, giường</v>
      </c>
      <c r="F789" t="str">
        <f t="shared" ca="1" si="12"/>
        <v>"24970" : "Túi ngủ, giường, giường",</v>
      </c>
    </row>
    <row r="790" spans="1:6" ht="15.75" customHeight="1">
      <c r="A790" s="14">
        <v>2084046745</v>
      </c>
      <c r="B790" s="14" t="s">
        <v>8339</v>
      </c>
      <c r="C790" s="14" t="s">
        <v>8340</v>
      </c>
      <c r="D790" s="5" t="str">
        <f ca="1">IFERROR(__xludf.DUMMYFUNCTION("GOOGLETRANSLATE(B790,""ja"",""vi"")"),"ghế")</f>
        <v>ghế</v>
      </c>
      <c r="E790" s="5" t="str">
        <f ca="1">IFERROR(__xludf.DUMMYFUNCTION("GOOGLETRANSLATE(C790,""ja"",""vi"")"),"Đấu giá&gt; thể thao, giải trí&gt; trại, hàng ngoài trời&gt; ghế giải trí&gt; Ghế")</f>
        <v>Đấu giá&gt; thể thao, giải trí&gt; trại, hàng ngoài trời&gt; ghế giải trí&gt; Ghế</v>
      </c>
      <c r="F790" t="str">
        <f t="shared" ca="1" si="12"/>
        <v>"2084046745" : "ghế",</v>
      </c>
    </row>
    <row r="791" spans="1:6" ht="15.75" customHeight="1">
      <c r="A791" s="14">
        <v>2084046744</v>
      </c>
      <c r="B791" s="14" t="s">
        <v>8341</v>
      </c>
      <c r="C791" s="14" t="s">
        <v>8342</v>
      </c>
      <c r="D791" s="5" t="str">
        <f ca="1">IFERROR(__xludf.DUMMYFUNCTION("GOOGLETRANSLATE(B791,""ja"",""vi"")"),"bàn")</f>
        <v>bàn</v>
      </c>
      <c r="E791" s="5" t="str">
        <f ca="1">IFERROR(__xludf.DUMMYFUNCTION("GOOGLETRANSLATE(C791,""ja"",""vi"")"),"Đấu giá&gt; thể thao, giải trí&gt; trại, hàng ngoài trời&gt; ghế giải trí&gt; bảng")</f>
        <v>Đấu giá&gt; thể thao, giải trí&gt; trại, hàng ngoài trời&gt; ghế giải trí&gt; bảng</v>
      </c>
      <c r="F791" t="str">
        <f t="shared" ca="1" si="12"/>
        <v>"2084046744" : "bàn",</v>
      </c>
    </row>
    <row r="792" spans="1:6" ht="15.75" customHeight="1">
      <c r="A792" s="14">
        <v>42441</v>
      </c>
      <c r="B792" s="14" t="s">
        <v>12081</v>
      </c>
      <c r="C792" s="14" t="s">
        <v>12083</v>
      </c>
      <c r="D792" s="5" t="str">
        <f ca="1">IFERROR(__xludf.DUMMYFUNCTION("GOOGLETRANSLATE(B792,""ja"",""vi"")"),"voucher khách sạn")</f>
        <v>voucher khách sạn</v>
      </c>
      <c r="E792" s="5" t="str">
        <f ca="1">IFERROR(__xludf.DUMMYFUNCTION("GOOGLETRANSLATE(C792,""ja"",""vi"")"),"Đấu giá&gt; vé, chứng từ, đặt phòng khách sạn&gt; Reservation&gt; voucher khách sạn")</f>
        <v>Đấu giá&gt; vé, chứng từ, đặt phòng khách sạn&gt; Reservation&gt; voucher khách sạn</v>
      </c>
      <c r="F792" t="str">
        <f t="shared" ca="1" si="12"/>
        <v>"42441" : "voucher khách sạn",</v>
      </c>
    </row>
    <row r="793" spans="1:6" ht="15.75" customHeight="1">
      <c r="A793" s="14">
        <v>2084221302</v>
      </c>
      <c r="B793" s="14" t="s">
        <v>12087</v>
      </c>
      <c r="C793" s="14" t="s">
        <v>12089</v>
      </c>
      <c r="D793" s="5" t="str">
        <f ca="1">IFERROR(__xludf.DUMMYFUNCTION("GOOGLETRANSLATE(B793,""ja"",""vi"")"),"Hokkaido, Tohoku")</f>
        <v>Hokkaido, Tohoku</v>
      </c>
      <c r="E793" s="5" t="str">
        <f ca="1">IFERROR(__xludf.DUMMYFUNCTION("GOOGLETRANSLATE(C793,""ja"",""vi"")"),"Đấu giá&gt; vé, chứng từ, đặt phòng khách sạn&gt; Đặt phòng&gt; Hokkaido, Tohoku")</f>
        <v>Đấu giá&gt; vé, chứng từ, đặt phòng khách sạn&gt; Đặt phòng&gt; Hokkaido, Tohoku</v>
      </c>
      <c r="F793" t="str">
        <f t="shared" ca="1" si="12"/>
        <v>"2084221302" : "Hokkaido, Tohoku",</v>
      </c>
    </row>
    <row r="794" spans="1:6" ht="15.75" customHeight="1">
      <c r="A794" s="14">
        <v>2084221303</v>
      </c>
      <c r="B794" s="14" t="s">
        <v>5159</v>
      </c>
      <c r="C794" s="14" t="s">
        <v>12093</v>
      </c>
      <c r="D794" s="5" t="str">
        <f ca="1">IFERROR(__xludf.DUMMYFUNCTION("GOOGLETRANSLATE(B794,""ja"",""vi"")"),"Kanto")</f>
        <v>Kanto</v>
      </c>
      <c r="E794" s="5" t="str">
        <f ca="1">IFERROR(__xludf.DUMMYFUNCTION("GOOGLETRANSLATE(C794,""ja"",""vi"")"),"Đấu giá vé, chứng từ đặt phòng&gt;, Khách sạn&gt; phòng trọ&gt; Kanto")</f>
        <v>Đấu giá vé, chứng từ đặt phòng&gt;, Khách sạn&gt; phòng trọ&gt; Kanto</v>
      </c>
      <c r="F794" t="str">
        <f t="shared" ca="1" si="12"/>
        <v>"2084221303" : "Kanto",</v>
      </c>
    </row>
    <row r="795" spans="1:6" ht="15.75" customHeight="1">
      <c r="A795" s="14">
        <v>2084221309</v>
      </c>
      <c r="B795" s="14" t="s">
        <v>12095</v>
      </c>
      <c r="C795" s="14" t="s">
        <v>12096</v>
      </c>
      <c r="D795" s="5" t="str">
        <f ca="1">IFERROR(__xludf.DUMMYFUNCTION("GOOGLETRANSLATE(B795,""ja"",""vi"")"),"Shin-Etsu, Hokuriku")</f>
        <v>Shin-Etsu, Hokuriku</v>
      </c>
      <c r="E795" s="5" t="str">
        <f ca="1">IFERROR(__xludf.DUMMYFUNCTION("GOOGLETRANSLATE(C795,""ja"",""vi"")"),"Đấu giá&gt; vé, chứng từ, đặt phòng khách sạn&gt; Đặt phòng&gt; Shin-Etsu, Hokuriku")</f>
        <v>Đấu giá&gt; vé, chứng từ, đặt phòng khách sạn&gt; Đặt phòng&gt; Shin-Etsu, Hokuriku</v>
      </c>
      <c r="F795" t="str">
        <f t="shared" ca="1" si="12"/>
        <v>"2084221309" : "Shin-Etsu, Hokuriku",</v>
      </c>
    </row>
    <row r="796" spans="1:6" ht="15.75" customHeight="1">
      <c r="A796" s="14">
        <v>2084221310</v>
      </c>
      <c r="B796" s="14" t="s">
        <v>5170</v>
      </c>
      <c r="C796" s="14" t="s">
        <v>12101</v>
      </c>
      <c r="D796" s="5" t="str">
        <f ca="1">IFERROR(__xludf.DUMMYFUNCTION("GOOGLETRANSLATE(B796,""ja"",""vi"")"),"Tokai")</f>
        <v>Tokai</v>
      </c>
      <c r="E796" s="5" t="str">
        <f ca="1">IFERROR(__xludf.DUMMYFUNCTION("GOOGLETRANSLATE(C796,""ja"",""vi"")"),"Đấu giá vé, chứng từ đặt phòng&gt;, Khách sạn&gt; phòng trọ&gt; Tokai")</f>
        <v>Đấu giá vé, chứng từ đặt phòng&gt;, Khách sạn&gt; phòng trọ&gt; Tokai</v>
      </c>
      <c r="F796" t="str">
        <f t="shared" ca="1" si="12"/>
        <v>"2084221310" : "Tokai",</v>
      </c>
    </row>
    <row r="797" spans="1:6" ht="15.75" customHeight="1">
      <c r="A797" s="14">
        <v>2084221313</v>
      </c>
      <c r="B797" s="14" t="s">
        <v>5174</v>
      </c>
      <c r="C797" s="14" t="s">
        <v>12108</v>
      </c>
      <c r="D797" s="5" t="str">
        <f ca="1">IFERROR(__xludf.DUMMYFUNCTION("GOOGLETRANSLATE(B797,""ja"",""vi"")"),"Kinki")</f>
        <v>Kinki</v>
      </c>
      <c r="E797" s="5" t="str">
        <f ca="1">IFERROR(__xludf.DUMMYFUNCTION("GOOGLETRANSLATE(C797,""ja"",""vi"")"),"Đấu giá&gt; vé, chứng từ, đặt phòng khách sạn&gt; Đặt phòng&gt; Kinki")</f>
        <v>Đấu giá&gt; vé, chứng từ, đặt phòng khách sạn&gt; Đặt phòng&gt; Kinki</v>
      </c>
      <c r="F797" t="str">
        <f t="shared" ca="1" si="12"/>
        <v>"2084221313" : "Kinki",</v>
      </c>
    </row>
    <row r="798" spans="1:6" ht="15.75" customHeight="1">
      <c r="A798" s="14">
        <v>2084221314</v>
      </c>
      <c r="B798" s="14" t="s">
        <v>12112</v>
      </c>
      <c r="C798" s="14" t="s">
        <v>12113</v>
      </c>
      <c r="D798" s="5" t="str">
        <f ca="1">IFERROR(__xludf.DUMMYFUNCTION("GOOGLETRANSLATE(B798,""ja"",""vi"")"),"Trung Quốc, Shikoku, Kyushu, Okinawa")</f>
        <v>Trung Quốc, Shikoku, Kyushu, Okinawa</v>
      </c>
      <c r="E798" s="5" t="str">
        <f ca="1">IFERROR(__xludf.DUMMYFUNCTION("GOOGLETRANSLATE(C798,""ja"",""vi"")"),"Đấu giá&gt; vé, chứng từ, đặt phòng khách sạn&gt; Đặt phòng khách sạn&gt; Trung Quốc, Shikoku, Kyushu, Okinawa")</f>
        <v>Đấu giá&gt; vé, chứng từ, đặt phòng khách sạn&gt; Đặt phòng khách sạn&gt; Trung Quốc, Shikoku, Kyushu, Okinawa</v>
      </c>
      <c r="F798" t="str">
        <f t="shared" ca="1" si="12"/>
        <v>"2084221314" : "Trung Quốc, Shikoku, Kyushu, Okinawa",</v>
      </c>
    </row>
    <row r="799" spans="1:6" ht="15.75" customHeight="1">
      <c r="A799" s="14">
        <v>2084223104</v>
      </c>
      <c r="B799" s="14" t="s">
        <v>12118</v>
      </c>
      <c r="C799" s="14" t="s">
        <v>12120</v>
      </c>
      <c r="D799" s="5" t="str">
        <f ca="1">IFERROR(__xludf.DUMMYFUNCTION("GOOGLETRANSLATE(B799,""ja"",""vi"")"),"căn hộ hàng tháng")</f>
        <v>căn hộ hàng tháng</v>
      </c>
      <c r="E799" s="5" t="str">
        <f ca="1">IFERROR(__xludf.DUMMYFUNCTION("GOOGLETRANSLATE(C799,""ja"",""vi"")"),"Đấu giá&gt; vé, chứng từ, đặt phòng khách sạn&gt; phòng trọ&gt; căn hộ hàng tháng")</f>
        <v>Đấu giá&gt; vé, chứng từ, đặt phòng khách sạn&gt; phòng trọ&gt; căn hộ hàng tháng</v>
      </c>
      <c r="F799" t="str">
        <f t="shared" ca="1" si="12"/>
        <v>"2084223104" : "căn hộ hàng tháng",</v>
      </c>
    </row>
    <row r="800" spans="1:6" ht="15.75" customHeight="1">
      <c r="A800" s="14">
        <v>2084062327</v>
      </c>
      <c r="B800" s="14" t="s">
        <v>12124</v>
      </c>
      <c r="C800" s="14" t="s">
        <v>12126</v>
      </c>
      <c r="D800" s="5" t="str">
        <f ca="1">IFERROR(__xludf.DUMMYFUNCTION("GOOGLETRANSLATE(B800,""ja"",""vi"")"),"Vali, chung thân")</f>
        <v>Vali, chung thân</v>
      </c>
      <c r="E800" s="5" t="str">
        <f ca="1">IFERROR(__xludf.DUMMYFUNCTION("GOOGLETRANSLATE(C800,""ja"",""vi"")"),"Đấu giá&gt; Văn phòng, Cửa hàng cung cấp&gt; túi, va li&gt; va li, thân cây&gt; va li, chung thân")</f>
        <v>Đấu giá&gt; Văn phòng, Cửa hàng cung cấp&gt; túi, va li&gt; va li, thân cây&gt; va li, chung thân</v>
      </c>
      <c r="F800" t="str">
        <f t="shared" ca="1" si="12"/>
        <v>"2084062327" : "Vali, chung thân",</v>
      </c>
    </row>
    <row r="801" spans="1:6" ht="15.75" customHeight="1">
      <c r="A801" s="14">
        <v>2084062331</v>
      </c>
      <c r="B801" s="14" t="s">
        <v>10138</v>
      </c>
      <c r="C801" s="14" t="s">
        <v>12132</v>
      </c>
      <c r="D801" s="5" t="str">
        <f ca="1">IFERROR(__xludf.DUMMYFUNCTION("GOOGLETRANSLATE(B801,""ja"",""vi"")"),"Samsonite")</f>
        <v>Samsonite</v>
      </c>
      <c r="E801" s="5" t="str">
        <f ca="1">IFERROR(__xludf.DUMMYFUNCTION("GOOGLETRANSLATE(C801,""ja"",""vi"")"),"Đấu giá&gt; Văn phòng, Cửa hàng cung cấp&gt; túi, va li&gt; va li, thân cây&gt; Samsonite")</f>
        <v>Đấu giá&gt; Văn phòng, Cửa hàng cung cấp&gt; túi, va li&gt; va li, thân cây&gt; Samsonite</v>
      </c>
      <c r="F801" t="str">
        <f t="shared" ca="1" si="12"/>
        <v>"2084062331" : "Samsonite",</v>
      </c>
    </row>
    <row r="802" spans="1:6" ht="15.75" customHeight="1">
      <c r="A802" s="14">
        <v>2084062328</v>
      </c>
      <c r="B802" s="14" t="s">
        <v>10636</v>
      </c>
      <c r="C802" s="14" t="s">
        <v>12137</v>
      </c>
      <c r="D802" s="5" t="str">
        <f ca="1">IFERROR(__xludf.DUMMYFUNCTION("GOOGLETRANSLATE(B802,""ja"",""vi"")"),"zero Halliburton")</f>
        <v>zero Halliburton</v>
      </c>
      <c r="E802" s="5" t="str">
        <f ca="1">IFERROR(__xludf.DUMMYFUNCTION("GOOGLETRANSLATE(C802,""ja"",""vi"")"),"Đấu giá&gt; Văn phòng, Cửa hàng cung cấp&gt; túi, va li&gt; va li, thân cây&gt; Zero, Halliburton")</f>
        <v>Đấu giá&gt; Văn phòng, Cửa hàng cung cấp&gt; túi, va li&gt; va li, thân cây&gt; Zero, Halliburton</v>
      </c>
      <c r="F802" t="str">
        <f t="shared" ca="1" si="12"/>
        <v>"2084062328" : "zero Halliburton",</v>
      </c>
    </row>
    <row r="803" spans="1:6" ht="15.75" customHeight="1">
      <c r="A803" s="14">
        <v>2084062329</v>
      </c>
      <c r="B803" s="14" t="s">
        <v>10960</v>
      </c>
      <c r="C803" s="14" t="s">
        <v>12141</v>
      </c>
      <c r="D803" s="5" t="str">
        <f ca="1">IFERROR(__xludf.DUMMYFUNCTION("GOOGLETRANSLATE(B803,""ja"",""vi"")"),"Tumi")</f>
        <v>Tumi</v>
      </c>
      <c r="E803" s="5" t="str">
        <f ca="1">IFERROR(__xludf.DUMMYFUNCTION("GOOGLETRANSLATE(C803,""ja"",""vi"")"),"Đấu giá&gt; vật tư văn phòng, cửa hàng&gt; túi, va li&gt; va li, thân cây&gt; Tumi")</f>
        <v>Đấu giá&gt; vật tư văn phòng, cửa hàng&gt; túi, va li&gt; va li, thân cây&gt; Tumi</v>
      </c>
      <c r="F803" t="str">
        <f t="shared" ca="1" si="12"/>
        <v>"2084062329" : "Tumi",</v>
      </c>
    </row>
    <row r="804" spans="1:6" ht="15.75" customHeight="1">
      <c r="A804" s="14">
        <v>2084062330</v>
      </c>
      <c r="B804" s="14" t="s">
        <v>12145</v>
      </c>
      <c r="C804" s="14" t="s">
        <v>12147</v>
      </c>
      <c r="D804" s="5" t="str">
        <f ca="1">IFERROR(__xludf.DUMMYFUNCTION("GOOGLETRANSLATE(B804,""ja"",""vi"")"),"Rimowa")</f>
        <v>Rimowa</v>
      </c>
      <c r="E804" s="5" t="str">
        <f ca="1">IFERROR(__xludf.DUMMYFUNCTION("GOOGLETRANSLATE(C804,""ja"",""vi"")"),"Đấu giá&gt; vật tư văn phòng, cửa hàng&gt; túi, va li&gt; va li, thân cây&gt; Rimowa")</f>
        <v>Đấu giá&gt; vật tư văn phòng, cửa hàng&gt; túi, va li&gt; va li, thân cây&gt; Rimowa</v>
      </c>
      <c r="F804" t="str">
        <f t="shared" ca="1" si="12"/>
        <v>"2084062330" : "Rimowa",</v>
      </c>
    </row>
    <row r="805" spans="1:6" ht="15.75" customHeight="1">
      <c r="A805" s="14">
        <v>2084041796</v>
      </c>
      <c r="B805" s="14" t="s">
        <v>12151</v>
      </c>
      <c r="C805" s="14" t="s">
        <v>12153</v>
      </c>
      <c r="D805" s="5" t="str">
        <f ca="1">IFERROR(__xludf.DUMMYFUNCTION("GOOGLETRANSLATE(B805,""ja"",""vi"")"),"Giao thông vận tải, du lịch (đối với Macintosh)")</f>
        <v>Giao thông vận tải, du lịch (đối với Macintosh)</v>
      </c>
      <c r="E805" s="5" t="str">
        <f ca="1">IFERROR(__xludf.DUMMYFUNCTION("GOOGLETRANSLATE(C805,""ja"",""vi"")"),"Đấu giá&gt; thể thao, giải trí&gt; Du lịch&gt; Software&gt; giao thông, du lịch (đối với Macintosh)")</f>
        <v>Đấu giá&gt; thể thao, giải trí&gt; Du lịch&gt; Software&gt; giao thông, du lịch (đối với Macintosh)</v>
      </c>
      <c r="F805" t="str">
        <f t="shared" ca="1" si="12"/>
        <v>"2084041796" : "Giao thông vận tải, du lịch (đối với Macintosh)",</v>
      </c>
    </row>
    <row r="806" spans="1:6" ht="15.75" customHeight="1">
      <c r="A806" s="14">
        <v>2084023009</v>
      </c>
      <c r="B806" s="14" t="s">
        <v>12159</v>
      </c>
      <c r="C806" s="14" t="s">
        <v>12160</v>
      </c>
      <c r="D806" s="5" t="str">
        <f ca="1">IFERROR(__xludf.DUMMYFUNCTION("GOOGLETRANSLATE(B806,""ja"",""vi"")"),"Giao thông vận tải, du lịch (dành cho Windows)")</f>
        <v>Giao thông vận tải, du lịch (dành cho Windows)</v>
      </c>
      <c r="E806" s="5" t="str">
        <f ca="1">IFERROR(__xludf.DUMMYFUNCTION("GOOGLETRANSLATE(C806,""ja"",""vi"")"),"Đấu giá&gt; thể thao, giải trí&gt; Du lịch&gt; Software&gt; giao thông, du lịch (dành cho Windows)")</f>
        <v>Đấu giá&gt; thể thao, giải trí&gt; Du lịch&gt; Software&gt; giao thông, du lịch (dành cho Windows)</v>
      </c>
      <c r="F806" t="str">
        <f t="shared" ca="1" si="12"/>
        <v>"2084023009" : "Giao thông vận tải, du lịch (dành cho Windows)",</v>
      </c>
    </row>
    <row r="807" spans="1:6" ht="15.75" customHeight="1">
      <c r="A807" s="14">
        <v>2084041797</v>
      </c>
      <c r="B807" s="14" t="s">
        <v>12165</v>
      </c>
      <c r="C807" s="14" t="s">
        <v>12166</v>
      </c>
      <c r="D807" s="5" t="str">
        <f ca="1">IFERROR(__xludf.DUMMYFUNCTION("GOOGLETRANSLATE(B807,""ja"",""vi"")"),"Bản đồ, đường, núi dữ liệu (ví Macintosh)")</f>
        <v>Bản đồ, đường, núi dữ liệu (ví Macintosh)</v>
      </c>
      <c r="E807" s="5" t="str">
        <f ca="1">IFERROR(__xludf.DUMMYFUNCTION("GOOGLETRANSLATE(C807,""ja"",""vi"")"),"Đấu giá&gt; thể thao, giải trí&gt; Du lịch&gt; Software&gt; bản đồ, tuyến đường, núi dữ liệu (ví Macintosh)")</f>
        <v>Đấu giá&gt; thể thao, giải trí&gt; Du lịch&gt; Software&gt; bản đồ, tuyến đường, núi dữ liệu (ví Macintosh)</v>
      </c>
      <c r="F807" t="str">
        <f t="shared" ca="1" si="12"/>
        <v>"2084041797" : "Bản đồ, đường, núi dữ liệu (ví Macintosh)",</v>
      </c>
    </row>
    <row r="808" spans="1:6" ht="15.75" customHeight="1">
      <c r="A808" s="14">
        <v>2084023010</v>
      </c>
      <c r="B808" s="14" t="s">
        <v>12171</v>
      </c>
      <c r="C808" s="14" t="s">
        <v>12172</v>
      </c>
      <c r="D808" s="5" t="str">
        <f ca="1">IFERROR(__xludf.DUMMYFUNCTION("GOOGLETRANSLATE(B808,""ja"",""vi"")"),"Bản đồ, đường, núi dữ liệu (dành cho Windows)")</f>
        <v>Bản đồ, đường, núi dữ liệu (dành cho Windows)</v>
      </c>
      <c r="E808" s="5" t="str">
        <f ca="1">IFERROR(__xludf.DUMMYFUNCTION("GOOGLETRANSLATE(C808,""ja"",""vi"")"),"Đấu giá&gt; thể thao, giải trí&gt; Du lịch&gt; Software&gt; bản đồ, tuyến đường, núi dữ liệu (dành cho Windows)")</f>
        <v>Đấu giá&gt; thể thao, giải trí&gt; Du lịch&gt; Software&gt; bản đồ, tuyến đường, núi dữ liệu (dành cho Windows)</v>
      </c>
      <c r="F808" t="str">
        <f t="shared" ca="1" si="12"/>
        <v>"2084023010" : "Bản đồ, đường, núi dữ liệu (dành cho Windows)",</v>
      </c>
    </row>
    <row r="809" spans="1:6" ht="15.75" customHeight="1">
      <c r="A809" s="14">
        <v>2084007699</v>
      </c>
      <c r="B809" s="14" t="s">
        <v>12177</v>
      </c>
      <c r="C809" s="14" t="s">
        <v>12178</v>
      </c>
      <c r="D809" s="5" t="str">
        <f ca="1">IFERROR(__xludf.DUMMYFUNCTION("GOOGLETRANSLATE(B809,""ja"",""vi"")"),"Quốc lộ thẻ")</f>
        <v>Quốc lộ thẻ</v>
      </c>
      <c r="E809" s="5" t="str">
        <f ca="1">IFERROR(__xludf.DUMMYFUNCTION("GOOGLETRANSLATE(C809,""ja"",""vi"")"),"Đấu giá&gt; vé, chứng từ, đặt phòng khách sạn&gt; theo thể loại&gt; Du lịch, Giao thông vận tải&gt; thẻ quốc lộ")</f>
        <v>Đấu giá&gt; vé, chứng từ, đặt phòng khách sạn&gt; theo thể loại&gt; Du lịch, Giao thông vận tải&gt; thẻ quốc lộ</v>
      </c>
      <c r="F809" t="str">
        <f t="shared" ca="1" si="12"/>
        <v>"2084007699" : "Quốc lộ thẻ",</v>
      </c>
    </row>
    <row r="810" spans="1:6" ht="15.75" customHeight="1">
      <c r="A810" s="14">
        <v>2084007698</v>
      </c>
      <c r="B810" s="14" t="s">
        <v>12181</v>
      </c>
      <c r="C810" s="14" t="s">
        <v>12183</v>
      </c>
      <c r="D810" s="5" t="str">
        <f ca="1">IFERROR(__xludf.DUMMYFUNCTION("GOOGLETRANSLATE(B810,""ja"",""vi"")"),"thẻ xe buýt")</f>
        <v>thẻ xe buýt</v>
      </c>
      <c r="E810" s="5" t="str">
        <f ca="1">IFERROR(__xludf.DUMMYFUNCTION("GOOGLETRANSLATE(C810,""ja"",""vi"")"),"Đấu giá&gt; vé, chứng từ, đặt phòng khách sạn&gt; theo thể loại&gt; du lịch, vận chuyển&gt; thẻ xe buýt")</f>
        <v>Đấu giá&gt; vé, chứng từ, đặt phòng khách sạn&gt; theo thể loại&gt; du lịch, vận chuyển&gt; thẻ xe buýt</v>
      </c>
      <c r="F810" t="str">
        <f t="shared" ca="1" si="12"/>
        <v>"2084007698" : "thẻ xe buýt",</v>
      </c>
    </row>
    <row r="811" spans="1:6" ht="15.75" customHeight="1">
      <c r="A811" s="14">
        <v>26180</v>
      </c>
      <c r="B811" s="14" t="s">
        <v>12187</v>
      </c>
      <c r="C811" s="14" t="s">
        <v>12189</v>
      </c>
      <c r="D811" s="5" t="str">
        <f ca="1">IFERROR(__xludf.DUMMYFUNCTION("GOOGLETRANSLATE(B811,""ja"",""vi"")"),"bán vé máy bay")</f>
        <v>bán vé máy bay</v>
      </c>
      <c r="E811" s="5" t="str">
        <f ca="1">IFERROR(__xludf.DUMMYFUNCTION("GOOGLETRANSLATE(C811,""ja"",""vi"")"),"Đấu giá vé, chứng từ, đặt&gt; Khách sạn&gt; theo thể loại&gt; du lịch, vận chuyển&gt; vé máy bay")</f>
        <v>Đấu giá vé, chứng từ, đặt&gt; Khách sạn&gt; theo thể loại&gt; du lịch, vận chuyển&gt; vé máy bay</v>
      </c>
      <c r="F811" t="str">
        <f t="shared" ca="1" si="12"/>
        <v>"26180" : "bán vé máy bay",</v>
      </c>
    </row>
    <row r="812" spans="1:6" ht="15.75" customHeight="1">
      <c r="A812" s="14">
        <v>42441</v>
      </c>
      <c r="B812" s="14" t="s">
        <v>12081</v>
      </c>
      <c r="C812" s="14" t="s">
        <v>12193</v>
      </c>
      <c r="D812" s="5" t="str">
        <f ca="1">IFERROR(__xludf.DUMMYFUNCTION("GOOGLETRANSLATE(B812,""ja"",""vi"")"),"voucher khách sạn")</f>
        <v>voucher khách sạn</v>
      </c>
      <c r="E812" s="5" t="str">
        <f ca="1">IFERROR(__xludf.DUMMYFUNCTION("GOOGLETRANSLATE(C812,""ja"",""vi"")"),"Đấu giá&gt; vé, chứng từ, đặt phòng khách sạn&gt; theo thể loại&gt; Du lịch, Giao thông vận tải&gt; voucher")</f>
        <v>Đấu giá&gt; vé, chứng từ, đặt phòng khách sạn&gt; theo thể loại&gt; Du lịch, Giao thông vận tải&gt; voucher</v>
      </c>
      <c r="F812" t="str">
        <f t="shared" ca="1" si="12"/>
        <v>"42441" : "voucher khách sạn",</v>
      </c>
    </row>
    <row r="813" spans="1:6" ht="15.75" customHeight="1">
      <c r="A813" s="14">
        <v>2084062636</v>
      </c>
      <c r="B813" s="14" t="s">
        <v>12195</v>
      </c>
      <c r="C813" s="14" t="s">
        <v>12197</v>
      </c>
      <c r="D813" s="5" t="str">
        <f ca="1">IFERROR(__xludf.DUMMYFUNCTION("GOOGLETRANSLATE(B813,""ja"",""vi"")"),"Đặt phòng khách sạn")</f>
        <v>Đặt phòng khách sạn</v>
      </c>
      <c r="E813" s="5" t="str">
        <f ca="1">IFERROR(__xludf.DUMMYFUNCTION("GOOGLETRANSLATE(C813,""ja"",""vi"")"),"Đấu giá&gt; vé, chứng từ, đặt phòng khách sạn&gt; theo thể loại&gt; Du lịch, Giao thông vận tải&gt; đặt phòng nơi ăn nghỉ")</f>
        <v>Đấu giá&gt; vé, chứng từ, đặt phòng khách sạn&gt; theo thể loại&gt; Du lịch, Giao thông vận tải&gt; đặt phòng nơi ăn nghỉ</v>
      </c>
      <c r="F813" t="str">
        <f t="shared" ca="1" si="12"/>
        <v>"2084062636" : "Đặt phòng khách sạn",</v>
      </c>
    </row>
    <row r="814" spans="1:6" ht="15.75" customHeight="1">
      <c r="A814" s="14">
        <v>2084007952</v>
      </c>
      <c r="B814" s="14" t="s">
        <v>12202</v>
      </c>
      <c r="C814" s="14" t="s">
        <v>12204</v>
      </c>
      <c r="D814" s="5" t="str">
        <f ca="1">IFERROR(__xludf.DUMMYFUNCTION("GOOGLETRANSLATE(B814,""ja"",""vi"")"),"vé tàu")</f>
        <v>vé tàu</v>
      </c>
      <c r="E814" s="5" t="str">
        <f ca="1">IFERROR(__xludf.DUMMYFUNCTION("GOOGLETRANSLATE(C814,""ja"",""vi"")"),"Đấu giá&gt; vé, chứng từ, đặt phòng khách sạn&gt; theo thể loại&gt; Du lịch, Giao thông vận tải&gt; vé tàu")</f>
        <v>Đấu giá&gt; vé, chứng từ, đặt phòng khách sạn&gt; theo thể loại&gt; Du lịch, Giao thông vận tải&gt; vé tàu</v>
      </c>
      <c r="F814" t="str">
        <f t="shared" ca="1" si="12"/>
        <v>"2084007952" : "vé tàu",</v>
      </c>
    </row>
    <row r="815" spans="1:6" ht="15.75" customHeight="1">
      <c r="A815" s="14">
        <v>2084007697</v>
      </c>
      <c r="B815" s="14" t="s">
        <v>12209</v>
      </c>
      <c r="C815" s="14" t="s">
        <v>12210</v>
      </c>
      <c r="D815" s="5" t="str">
        <f ca="1">IFERROR(__xludf.DUMMYFUNCTION("GOOGLETRANSLATE(B815,""ja"",""vi"")"),"Thẻ cho đường sắt")</f>
        <v>Thẻ cho đường sắt</v>
      </c>
      <c r="E815" s="5" t="str">
        <f ca="1">IFERROR(__xludf.DUMMYFUNCTION("GOOGLETRANSLATE(C815,""ja"",""vi"")"),"Đấu giá&gt; vé, chứng từ, đặt phòng khách sạn&gt; theo thể loại&gt; du lịch, giao thông&gt; Thẻ đường sắt")</f>
        <v>Đấu giá&gt; vé, chứng từ, đặt phòng khách sạn&gt; theo thể loại&gt; du lịch, giao thông&gt; Thẻ đường sắt</v>
      </c>
      <c r="F815" t="str">
        <f t="shared" ca="1" si="12"/>
        <v>"2084007697" : "Thẻ cho đường sắt",</v>
      </c>
    </row>
    <row r="816" spans="1:6" ht="15.75" customHeight="1">
      <c r="A816" s="14">
        <v>2084048816</v>
      </c>
      <c r="B816" s="14" t="s">
        <v>12217</v>
      </c>
      <c r="C816" s="14" t="s">
        <v>12218</v>
      </c>
      <c r="D816" s="5" t="str">
        <f ca="1">IFERROR(__xludf.DUMMYFUNCTION("GOOGLETRANSLATE(B816,""ja"",""vi"")"),"vé du lịch")</f>
        <v>vé du lịch</v>
      </c>
      <c r="E816" s="5" t="str">
        <f ca="1">IFERROR(__xludf.DUMMYFUNCTION("GOOGLETRANSLATE(C816,""ja"",""vi"")"),"Đấu giá vé, chứng từ, đặt&gt; Khách sạn&gt; theo thể loại&gt; du lịch, vận chuyển&gt; Vé du lịch")</f>
        <v>Đấu giá vé, chứng từ, đặt&gt; Khách sạn&gt; theo thể loại&gt; du lịch, vận chuyển&gt; Vé du lịch</v>
      </c>
      <c r="F816" t="str">
        <f t="shared" ca="1" si="12"/>
        <v>"2084048816" : "vé du lịch",</v>
      </c>
    </row>
    <row r="817" spans="1:6" ht="15.75" customHeight="1">
      <c r="A817" s="14">
        <v>2084005246</v>
      </c>
      <c r="B817" s="14" t="s">
        <v>46</v>
      </c>
      <c r="C817" s="14" t="s">
        <v>12222</v>
      </c>
      <c r="D817" s="5" t="str">
        <f ca="1">IFERROR(__xludf.DUMMYFUNCTION("GOOGLETRANSLATE(B817,""ja"",""vi"")"),"nếu không thì")</f>
        <v>nếu không thì</v>
      </c>
      <c r="E817" s="5" t="str">
        <f ca="1">IFERROR(__xludf.DUMMYFUNCTION("GOOGLETRANSLATE(C817,""ja"",""vi"")"),"Đấu giá vé, chứng từ, đặt&gt; Khách sạn&gt; theo thể loại&gt; du lịch, vận chuyển&gt; Khác")</f>
        <v>Đấu giá vé, chứng từ, đặt&gt; Khách sạn&gt; theo thể loại&gt; du lịch, vận chuyển&gt; Khác</v>
      </c>
      <c r="F817" t="str">
        <f t="shared" ca="1" si="12"/>
        <v>"2084005246" : "nếu không thì",</v>
      </c>
    </row>
    <row r="818" spans="1:6" ht="15.75" customHeight="1">
      <c r="A818" s="14">
        <v>21740</v>
      </c>
      <c r="B818" s="14" t="s">
        <v>5390</v>
      </c>
      <c r="C818" s="14" t="s">
        <v>12227</v>
      </c>
      <c r="D818" s="5" t="str">
        <f ca="1">IFERROR(__xludf.DUMMYFUNCTION("GOOGLETRANSLATE(B818,""ja"",""vi"")"),"bản đồ")</f>
        <v>bản đồ</v>
      </c>
      <c r="E818" s="5" t="str">
        <f ca="1">IFERROR(__xludf.DUMMYFUNCTION("GOOGLETRANSLATE(C818,""ja"",""vi"")"),"Đấu giá&gt; thể thao, giải trí&gt; Du lịch&gt; cuốn sách, tạp chí&gt; bản đồ")</f>
        <v>Đấu giá&gt; thể thao, giải trí&gt; Du lịch&gt; cuốn sách, tạp chí&gt; bản đồ</v>
      </c>
      <c r="F818" t="str">
        <f t="shared" ca="1" si="12"/>
        <v>"21740" : "bản đồ",</v>
      </c>
    </row>
    <row r="819" spans="1:6" ht="15.75" customHeight="1">
      <c r="A819" s="14">
        <v>2084008910</v>
      </c>
      <c r="B819" s="14" t="s">
        <v>12234</v>
      </c>
      <c r="C819" s="14" t="s">
        <v>12236</v>
      </c>
      <c r="D819" s="5" t="str">
        <f ca="1">IFERROR(__xludf.DUMMYFUNCTION("GOOGLETRANSLATE(B819,""ja"",""vi"")"),"Du lịch, hướng dẫn giải trí")</f>
        <v>Du lịch, hướng dẫn giải trí</v>
      </c>
      <c r="E819" s="5" t="str">
        <f ca="1">IFERROR(__xludf.DUMMYFUNCTION("GOOGLETRANSLATE(C819,""ja"",""vi"")"),"Đấu giá&gt; thể thao, giải trí&gt; Du lịch&gt; Sách, tạp chí&gt; du lịch, hướng dẫn giải trí")</f>
        <v>Đấu giá&gt; thể thao, giải trí&gt; Du lịch&gt; Sách, tạp chí&gt; du lịch, hướng dẫn giải trí</v>
      </c>
      <c r="F819" t="str">
        <f t="shared" ca="1" si="12"/>
        <v>"2084008910" : "Du lịch, hướng dẫn giải trí",</v>
      </c>
    </row>
    <row r="820" spans="1:6" ht="15.75" customHeight="1">
      <c r="A820" s="14">
        <v>2084008770</v>
      </c>
      <c r="B820" s="14" t="s">
        <v>6647</v>
      </c>
      <c r="C820" s="14" t="s">
        <v>12241</v>
      </c>
      <c r="D820" s="5" t="str">
        <f ca="1">IFERROR(__xludf.DUMMYFUNCTION("GOOGLETRANSLATE(B820,""ja"",""vi"")"),"Bảo vệ Travel trưởng")</f>
        <v>Bảo vệ Travel trưởng</v>
      </c>
      <c r="E820" s="5" t="str">
        <f ca="1">IFERROR(__xludf.DUMMYFUNCTION("GOOGLETRANSLATE(C820,""ja"",""vi"")"),"Đấu giá&gt; thể thao, giải trí&gt; Du lịch&gt; Sách, tạp chí&gt; Du lịch Bảo vệ trưởng")</f>
        <v>Đấu giá&gt; thể thao, giải trí&gt; Du lịch&gt; Sách, tạp chí&gt; Du lịch Bảo vệ trưởng</v>
      </c>
      <c r="F820" t="str">
        <f t="shared" ca="1" si="12"/>
        <v>"2084008770" : "Bảo vệ Travel trưởng",</v>
      </c>
    </row>
    <row r="821" spans="1:6" ht="15.75" customHeight="1">
      <c r="A821" s="14">
        <v>2084050693</v>
      </c>
      <c r="B821" s="14" t="s">
        <v>12249</v>
      </c>
      <c r="C821" s="14" t="s">
        <v>12250</v>
      </c>
      <c r="D821" s="5" t="str">
        <f ca="1">IFERROR(__xludf.DUMMYFUNCTION("GOOGLETRANSLATE(B821,""ja"",""vi"")"),"J-League")</f>
        <v>J-League</v>
      </c>
      <c r="E821" s="5" t="str">
        <f ca="1">IFERROR(__xludf.DUMMYFUNCTION("GOOGLETRANSLATE(C821,""ja"",""vi"")"),"Đấu giá&gt; vé, chứng từ, đặt phòng khách sạn&gt; vé vui chơi giải trí&gt; Thể thao&gt; Bóng đá&gt; J-League")</f>
        <v>Đấu giá&gt; vé, chứng từ, đặt phòng khách sạn&gt; vé vui chơi giải trí&gt; Thể thao&gt; Bóng đá&gt; J-League</v>
      </c>
      <c r="F821" t="str">
        <f t="shared" ca="1" si="12"/>
        <v>"2084050693" : "J-League",</v>
      </c>
    </row>
    <row r="822" spans="1:6" ht="15.75" customHeight="1">
      <c r="A822" s="14">
        <v>2084050704</v>
      </c>
      <c r="B822" s="14" t="s">
        <v>46</v>
      </c>
      <c r="C822" s="14" t="s">
        <v>12255</v>
      </c>
      <c r="D822" s="5" t="str">
        <f ca="1">IFERROR(__xludf.DUMMYFUNCTION("GOOGLETRANSLATE(B822,""ja"",""vi"")"),"nếu không thì")</f>
        <v>nếu không thì</v>
      </c>
      <c r="E822" s="5" t="str">
        <f ca="1">IFERROR(__xludf.DUMMYFUNCTION("GOOGLETRANSLATE(C822,""ja"",""vi"")"),"Đấu giá&gt; vé, chứng từ, đặt phòng khách sạn&gt; vé vui chơi giải trí&gt; Thể thao&gt; Bóng đá&gt; Khác")</f>
        <v>Đấu giá&gt; vé, chứng từ, đặt phòng khách sạn&gt; vé vui chơi giải trí&gt; Thể thao&gt; Bóng đá&gt; Khác</v>
      </c>
      <c r="F822" t="str">
        <f t="shared" ca="1" si="12"/>
        <v>"2084050704" : "nếu không thì",</v>
      </c>
    </row>
    <row r="823" spans="1:6" ht="15.75" customHeight="1">
      <c r="A823" s="14">
        <v>2084231007</v>
      </c>
      <c r="B823" s="14" t="s">
        <v>12260</v>
      </c>
      <c r="C823" s="14" t="s">
        <v>12261</v>
      </c>
      <c r="D823" s="5" t="str">
        <f ca="1">IFERROR(__xludf.DUMMYFUNCTION("GOOGLETRANSLATE(B823,""ja"",""vi"")"),"đấu vật")</f>
        <v>đấu vật</v>
      </c>
      <c r="E823" s="5" t="str">
        <f ca="1">IFERROR(__xludf.DUMMYFUNCTION("GOOGLETRANSLATE(C823,""ja"",""vi"")"),"Đấu giá&gt; vé, chứng từ, đặt phòng khách sạn&gt; vé vui chơi giải trí&gt; Thể thao&gt; Võ thuật, Wrestling&gt; Wrestling")</f>
        <v>Đấu giá&gt; vé, chứng từ, đặt phòng khách sạn&gt; vé vui chơi giải trí&gt; Thể thao&gt; Võ thuật, Wrestling&gt; Wrestling</v>
      </c>
      <c r="F823" t="str">
        <f t="shared" ca="1" si="12"/>
        <v>"2084231007" : "đấu vật",</v>
      </c>
    </row>
    <row r="824" spans="1:6" ht="15.75" customHeight="1">
      <c r="A824" s="14">
        <v>2084231008</v>
      </c>
      <c r="B824" s="14" t="s">
        <v>12265</v>
      </c>
      <c r="C824" s="14" t="s">
        <v>12266</v>
      </c>
      <c r="D824" s="5" t="str">
        <f ca="1">IFERROR(__xludf.DUMMYFUNCTION("GOOGLETRANSLATE(B824,""ja"",""vi"")"),"Boxing, kick boxing")</f>
        <v>Boxing, kick boxing</v>
      </c>
      <c r="E824" s="5" t="str">
        <f ca="1">IFERROR(__xludf.DUMMYFUNCTION("GOOGLETRANSLATE(C824,""ja"",""vi"")"),"Đấu giá&gt; vé, chứng từ, đặt phòng khách sạn&gt; vé vui chơi giải trí&gt; Thể thao&gt; Võ thuật, Wrestling&gt; boxing, kick boxing")</f>
        <v>Đấu giá&gt; vé, chứng từ, đặt phòng khách sạn&gt; vé vui chơi giải trí&gt; Thể thao&gt; Võ thuật, Wrestling&gt; boxing, kick boxing</v>
      </c>
      <c r="F824" t="str">
        <f t="shared" ca="1" si="12"/>
        <v>"2084231008" : "Boxing, kick boxing",</v>
      </c>
    </row>
    <row r="825" spans="1:6" ht="15.75" customHeight="1">
      <c r="A825" s="14">
        <v>2084231005</v>
      </c>
      <c r="B825" s="14" t="s">
        <v>11567</v>
      </c>
      <c r="C825" s="14" t="s">
        <v>12271</v>
      </c>
      <c r="D825" s="5" t="str">
        <f ca="1">IFERROR(__xludf.DUMMYFUNCTION("GOOGLETRANSLATE(B825,""ja"",""vi"")"),"Sumo đấu vật")</f>
        <v>Sumo đấu vật</v>
      </c>
      <c r="E825" s="5" t="str">
        <f ca="1">IFERROR(__xludf.DUMMYFUNCTION("GOOGLETRANSLATE(C825,""ja"",""vi"")"),"Đấu giá&gt; vé, chứng từ, đặt phòng khách sạn&gt; vé vui chơi giải trí&gt; Thể thao&gt; Võ thuật, Wrestling&gt; sumo")</f>
        <v>Đấu giá&gt; vé, chứng từ, đặt phòng khách sạn&gt; vé vui chơi giải trí&gt; Thể thao&gt; Võ thuật, Wrestling&gt; sumo</v>
      </c>
      <c r="F825" t="str">
        <f t="shared" ca="1" si="12"/>
        <v>"2084231005" : "Sumo đấu vật",</v>
      </c>
    </row>
    <row r="826" spans="1:6" ht="15.75" customHeight="1">
      <c r="A826" s="14">
        <v>2084231009</v>
      </c>
      <c r="B826" s="14" t="s">
        <v>12275</v>
      </c>
      <c r="C826" s="14" t="s">
        <v>12277</v>
      </c>
      <c r="D826" s="5" t="str">
        <f ca="1">IFERROR(__xludf.DUMMYFUNCTION("GOOGLETRANSLATE(B826,""ja"",""vi"")"),"võ tổng hợp")</f>
        <v>võ tổng hợp</v>
      </c>
      <c r="E826" s="5" t="str">
        <f ca="1">IFERROR(__xludf.DUMMYFUNCTION("GOOGLETRANSLATE(C826,""ja"",""vi"")"),"Đấu giá&gt; vé, chứng từ, đặt phòng khách sạn&gt; vé vui chơi giải trí&gt; Thể thao&gt; võ thuật, đấu vật chuyên nghiệp&gt; Mixed Martial Arts")</f>
        <v>Đấu giá&gt; vé, chứng từ, đặt phòng khách sạn&gt; vé vui chơi giải trí&gt; Thể thao&gt; võ thuật, đấu vật chuyên nghiệp&gt; Mixed Martial Arts</v>
      </c>
      <c r="F826" t="str">
        <f t="shared" ca="1" si="12"/>
        <v>"2084231009" : "võ tổng hợp",</v>
      </c>
    </row>
    <row r="827" spans="1:6" ht="15.75" customHeight="1">
      <c r="A827" s="14">
        <v>2084231006</v>
      </c>
      <c r="B827" s="14" t="s">
        <v>46</v>
      </c>
      <c r="C827" s="14" t="s">
        <v>12282</v>
      </c>
      <c r="D827" s="5" t="str">
        <f ca="1">IFERROR(__xludf.DUMMYFUNCTION("GOOGLETRANSLATE(B827,""ja"",""vi"")"),"nếu không thì")</f>
        <v>nếu không thì</v>
      </c>
      <c r="E827" s="5" t="str">
        <f ca="1">IFERROR(__xludf.DUMMYFUNCTION("GOOGLETRANSLATE(C827,""ja"",""vi"")"),"Đấu giá&gt; vé, chứng từ, đặt phòng khách sạn&gt; vé vui chơi giải trí&gt; Thể thao&gt; võ thuật, đấu vật chuyên nghiệp&gt; Khác")</f>
        <v>Đấu giá&gt; vé, chứng từ, đặt phòng khách sạn&gt; vé vui chơi giải trí&gt; Thể thao&gt; võ thuật, đấu vật chuyên nghiệp&gt; Khác</v>
      </c>
      <c r="F827" t="str">
        <f t="shared" ca="1" si="12"/>
        <v>"2084231006" : "nếu không thì",</v>
      </c>
    </row>
    <row r="828" spans="1:6" ht="15.75" customHeight="1">
      <c r="A828" s="14">
        <v>2084045758</v>
      </c>
      <c r="B828" s="14" t="s">
        <v>12285</v>
      </c>
      <c r="C828" s="14" t="s">
        <v>12287</v>
      </c>
      <c r="D828" s="5" t="str">
        <f ca="1">IFERROR(__xludf.DUMMYFUNCTION("GOOGLETRANSLATE(B828,""ja"",""vi"")"),"Central League")</f>
        <v>Central League</v>
      </c>
      <c r="E828" s="5" t="str">
        <f ca="1">IFERROR(__xludf.DUMMYFUNCTION("GOOGLETRANSLATE(C828,""ja"",""vi"")"),"Đấu giá&gt; vé, chứng từ, đặt phòng khách sạn&gt; vé vui chơi giải trí&gt; Thể thao&gt; Bóng chày&gt; Central League")</f>
        <v>Đấu giá&gt; vé, chứng từ, đặt phòng khách sạn&gt; vé vui chơi giải trí&gt; Thể thao&gt; Bóng chày&gt; Central League</v>
      </c>
      <c r="F828" t="str">
        <f t="shared" ca="1" si="12"/>
        <v>"2084045758" : "Central League",</v>
      </c>
    </row>
    <row r="829" spans="1:6" ht="15.75" customHeight="1">
      <c r="A829" s="14">
        <v>2084045759</v>
      </c>
      <c r="B829" s="14" t="s">
        <v>12289</v>
      </c>
      <c r="C829" s="14" t="s">
        <v>12291</v>
      </c>
      <c r="D829" s="5" t="str">
        <f ca="1">IFERROR(__xludf.DUMMYFUNCTION("GOOGLETRANSLATE(B829,""ja"",""vi"")"),"Pacific League")</f>
        <v>Pacific League</v>
      </c>
      <c r="E829" s="5" t="str">
        <f ca="1">IFERROR(__xludf.DUMMYFUNCTION("GOOGLETRANSLATE(C829,""ja"",""vi"")"),"Đấu giá&gt; vé, chứng từ, đặt phòng khách sạn&gt; vé vui chơi giải trí&gt; Thể thao&gt; Bóng chày&gt; Pacific League")</f>
        <v>Đấu giá&gt; vé, chứng từ, đặt phòng khách sạn&gt; vé vui chơi giải trí&gt; Thể thao&gt; Bóng chày&gt; Pacific League</v>
      </c>
      <c r="F829" t="str">
        <f t="shared" ca="1" si="12"/>
        <v>"2084045759" : "Pacific League",</v>
      </c>
    </row>
    <row r="830" spans="1:6" ht="15.75" customHeight="1">
      <c r="A830" s="14">
        <v>2084058583</v>
      </c>
      <c r="B830" s="14" t="s">
        <v>12295</v>
      </c>
      <c r="C830" s="14" t="s">
        <v>12296</v>
      </c>
      <c r="D830" s="5" t="str">
        <f ca="1">IFERROR(__xludf.DUMMYFUNCTION("GOOGLETRANSLATE(B830,""ja"",""vi"")"),"Softbank (phòng vé triển lãm chính)")</f>
        <v>Softbank (phòng vé triển lãm chính)</v>
      </c>
      <c r="E830" s="5" t="str">
        <f ca="1">IFERROR(__xludf.DUMMYFUNCTION("GOOGLETRANSLATE(C830,""ja"",""vi"")"),"Đấu giá&gt; vé, chứng từ, đặt phòng khách sạn&gt; vé vui chơi giải trí&gt; Thể thao&gt; Bóng chày&gt; Softbank (phòng vé triển lãm chính)")</f>
        <v>Đấu giá&gt; vé, chứng từ, đặt phòng khách sạn&gt; vé vui chơi giải trí&gt; Thể thao&gt; Bóng chày&gt; Softbank (phòng vé triển lãm chính)</v>
      </c>
      <c r="F830" t="str">
        <f t="shared" ca="1" si="12"/>
        <v>"2084058583" : "Softbank (phòng vé triển lãm chính)",</v>
      </c>
    </row>
    <row r="831" spans="1:6" ht="15.75" customHeight="1">
      <c r="A831" s="14">
        <v>2084045760</v>
      </c>
      <c r="B831" s="14" t="s">
        <v>46</v>
      </c>
      <c r="C831" s="14" t="s">
        <v>12303</v>
      </c>
      <c r="D831" s="5" t="str">
        <f ca="1">IFERROR(__xludf.DUMMYFUNCTION("GOOGLETRANSLATE(B831,""ja"",""vi"")"),"nếu không thì")</f>
        <v>nếu không thì</v>
      </c>
      <c r="E831" s="5" t="str">
        <f ca="1">IFERROR(__xludf.DUMMYFUNCTION("GOOGLETRANSLATE(C831,""ja"",""vi"")"),"Đấu giá&gt; vé, chứng từ, đặt phòng khách sạn&gt; vé vui chơi giải trí&gt; Thể thao&gt; Bóng chày&gt; Khác")</f>
        <v>Đấu giá&gt; vé, chứng từ, đặt phòng khách sạn&gt; vé vui chơi giải trí&gt; Thể thao&gt; Bóng chày&gt; Khác</v>
      </c>
      <c r="F831" t="str">
        <f t="shared" ca="1" si="12"/>
        <v>"2084045760" : "nếu không thì",</v>
      </c>
    </row>
    <row r="832" spans="1:6" ht="15.75" customHeight="1">
      <c r="A832" s="14">
        <v>42441</v>
      </c>
      <c r="B832" s="14" t="s">
        <v>12081</v>
      </c>
      <c r="C832" s="14" t="s">
        <v>12083</v>
      </c>
      <c r="D832" s="5" t="str">
        <f ca="1">IFERROR(__xludf.DUMMYFUNCTION("GOOGLETRANSLATE(B832,""ja"",""vi"")"),"voucher khách sạn")</f>
        <v>voucher khách sạn</v>
      </c>
      <c r="E832" s="5" t="str">
        <f ca="1">IFERROR(__xludf.DUMMYFUNCTION("GOOGLETRANSLATE(C832,""ja"",""vi"")"),"Đấu giá&gt; vé, chứng từ, đặt phòng khách sạn&gt; Reservation&gt; voucher khách sạn")</f>
        <v>Đấu giá&gt; vé, chứng từ, đặt phòng khách sạn&gt; Reservation&gt; voucher khách sạn</v>
      </c>
      <c r="F832" t="str">
        <f t="shared" ca="1" si="12"/>
        <v>"42441" : "voucher khách sạn",</v>
      </c>
    </row>
    <row r="833" spans="1:6" ht="15.75" customHeight="1">
      <c r="A833" s="14">
        <v>2084221302</v>
      </c>
      <c r="B833" s="14" t="s">
        <v>12087</v>
      </c>
      <c r="C833" s="14" t="s">
        <v>12089</v>
      </c>
      <c r="D833" s="5" t="str">
        <f ca="1">IFERROR(__xludf.DUMMYFUNCTION("GOOGLETRANSLATE(B833,""ja"",""vi"")"),"Hokkaido, Tohoku")</f>
        <v>Hokkaido, Tohoku</v>
      </c>
      <c r="E833" s="5" t="str">
        <f ca="1">IFERROR(__xludf.DUMMYFUNCTION("GOOGLETRANSLATE(C833,""ja"",""vi"")"),"Đấu giá&gt; vé, chứng từ, đặt phòng khách sạn&gt; Đặt phòng&gt; Hokkaido, Tohoku")</f>
        <v>Đấu giá&gt; vé, chứng từ, đặt phòng khách sạn&gt; Đặt phòng&gt; Hokkaido, Tohoku</v>
      </c>
      <c r="F833" t="str">
        <f t="shared" ca="1" si="12"/>
        <v>"2084221302" : "Hokkaido, Tohoku",</v>
      </c>
    </row>
    <row r="834" spans="1:6" ht="15.75" customHeight="1">
      <c r="A834" s="14">
        <v>2084221303</v>
      </c>
      <c r="B834" s="14" t="s">
        <v>5159</v>
      </c>
      <c r="C834" s="14" t="s">
        <v>12093</v>
      </c>
      <c r="D834" s="5" t="str">
        <f ca="1">IFERROR(__xludf.DUMMYFUNCTION("GOOGLETRANSLATE(B834,""ja"",""vi"")"),"Kanto")</f>
        <v>Kanto</v>
      </c>
      <c r="E834" s="5" t="str">
        <f ca="1">IFERROR(__xludf.DUMMYFUNCTION("GOOGLETRANSLATE(C834,""ja"",""vi"")"),"Đấu giá vé, chứng từ đặt phòng&gt;, Khách sạn&gt; phòng trọ&gt; Kanto")</f>
        <v>Đấu giá vé, chứng từ đặt phòng&gt;, Khách sạn&gt; phòng trọ&gt; Kanto</v>
      </c>
      <c r="F834" t="str">
        <f t="shared" ref="F834:F897" ca="1" si="13">CONCATENATE(CHAR(34)&amp;"",A834,""&amp;CHAR(34)," : ", CHAR(34)&amp;"",D834,""&amp;CHAR(34),",")</f>
        <v>"2084221303" : "Kanto",</v>
      </c>
    </row>
    <row r="835" spans="1:6" ht="15.75" customHeight="1">
      <c r="A835" s="14">
        <v>2084221309</v>
      </c>
      <c r="B835" s="14" t="s">
        <v>12095</v>
      </c>
      <c r="C835" s="14" t="s">
        <v>12096</v>
      </c>
      <c r="D835" s="5" t="str">
        <f ca="1">IFERROR(__xludf.DUMMYFUNCTION("GOOGLETRANSLATE(B835,""ja"",""vi"")"),"Shin-Etsu, Hokuriku")</f>
        <v>Shin-Etsu, Hokuriku</v>
      </c>
      <c r="E835" s="5" t="str">
        <f ca="1">IFERROR(__xludf.DUMMYFUNCTION("GOOGLETRANSLATE(C835,""ja"",""vi"")"),"Đấu giá&gt; vé, chứng từ, đặt phòng khách sạn&gt; Đặt phòng&gt; Shin-Etsu, Hokuriku")</f>
        <v>Đấu giá&gt; vé, chứng từ, đặt phòng khách sạn&gt; Đặt phòng&gt; Shin-Etsu, Hokuriku</v>
      </c>
      <c r="F835" t="str">
        <f t="shared" ca="1" si="13"/>
        <v>"2084221309" : "Shin-Etsu, Hokuriku",</v>
      </c>
    </row>
    <row r="836" spans="1:6" ht="15.75" customHeight="1">
      <c r="A836" s="14">
        <v>2084221310</v>
      </c>
      <c r="B836" s="14" t="s">
        <v>5170</v>
      </c>
      <c r="C836" s="14" t="s">
        <v>12101</v>
      </c>
      <c r="D836" s="5" t="str">
        <f ca="1">IFERROR(__xludf.DUMMYFUNCTION("GOOGLETRANSLATE(B836,""ja"",""vi"")"),"Tokai")</f>
        <v>Tokai</v>
      </c>
      <c r="E836" s="5" t="str">
        <f ca="1">IFERROR(__xludf.DUMMYFUNCTION("GOOGLETRANSLATE(C836,""ja"",""vi"")"),"Đấu giá vé, chứng từ đặt phòng&gt;, Khách sạn&gt; phòng trọ&gt; Tokai")</f>
        <v>Đấu giá vé, chứng từ đặt phòng&gt;, Khách sạn&gt; phòng trọ&gt; Tokai</v>
      </c>
      <c r="F836" t="str">
        <f t="shared" ca="1" si="13"/>
        <v>"2084221310" : "Tokai",</v>
      </c>
    </row>
    <row r="837" spans="1:6" ht="15.75" customHeight="1">
      <c r="A837" s="14">
        <v>2084221313</v>
      </c>
      <c r="B837" s="14" t="s">
        <v>5174</v>
      </c>
      <c r="C837" s="14" t="s">
        <v>12108</v>
      </c>
      <c r="D837" s="5" t="str">
        <f ca="1">IFERROR(__xludf.DUMMYFUNCTION("GOOGLETRANSLATE(B837,""ja"",""vi"")"),"Kinki")</f>
        <v>Kinki</v>
      </c>
      <c r="E837" s="5" t="str">
        <f ca="1">IFERROR(__xludf.DUMMYFUNCTION("GOOGLETRANSLATE(C837,""ja"",""vi"")"),"Đấu giá&gt; vé, chứng từ, đặt phòng khách sạn&gt; Đặt phòng&gt; Kinki")</f>
        <v>Đấu giá&gt; vé, chứng từ, đặt phòng khách sạn&gt; Đặt phòng&gt; Kinki</v>
      </c>
      <c r="F837" t="str">
        <f t="shared" ca="1" si="13"/>
        <v>"2084221313" : "Kinki",</v>
      </c>
    </row>
    <row r="838" spans="1:6" ht="15.75" customHeight="1">
      <c r="A838" s="14">
        <v>2084221314</v>
      </c>
      <c r="B838" s="14" t="s">
        <v>12112</v>
      </c>
      <c r="C838" s="14" t="s">
        <v>12113</v>
      </c>
      <c r="D838" s="5" t="str">
        <f ca="1">IFERROR(__xludf.DUMMYFUNCTION("GOOGLETRANSLATE(B838,""ja"",""vi"")"),"Trung Quốc, Shikoku, Kyushu, Okinawa")</f>
        <v>Trung Quốc, Shikoku, Kyushu, Okinawa</v>
      </c>
      <c r="E838" s="5" t="str">
        <f ca="1">IFERROR(__xludf.DUMMYFUNCTION("GOOGLETRANSLATE(C838,""ja"",""vi"")"),"Đấu giá&gt; vé, chứng từ, đặt phòng khách sạn&gt; Đặt phòng khách sạn&gt; Trung Quốc, Shikoku, Kyushu, Okinawa")</f>
        <v>Đấu giá&gt; vé, chứng từ, đặt phòng khách sạn&gt; Đặt phòng khách sạn&gt; Trung Quốc, Shikoku, Kyushu, Okinawa</v>
      </c>
      <c r="F838" t="str">
        <f t="shared" ca="1" si="13"/>
        <v>"2084221314" : "Trung Quốc, Shikoku, Kyushu, Okinawa",</v>
      </c>
    </row>
    <row r="839" spans="1:6" ht="15.75" customHeight="1">
      <c r="A839" s="14">
        <v>2084223104</v>
      </c>
      <c r="B839" s="14" t="s">
        <v>12118</v>
      </c>
      <c r="C839" s="14" t="s">
        <v>12120</v>
      </c>
      <c r="D839" s="5" t="str">
        <f ca="1">IFERROR(__xludf.DUMMYFUNCTION("GOOGLETRANSLATE(B839,""ja"",""vi"")"),"căn hộ hàng tháng")</f>
        <v>căn hộ hàng tháng</v>
      </c>
      <c r="E839" s="5" t="str">
        <f ca="1">IFERROR(__xludf.DUMMYFUNCTION("GOOGLETRANSLATE(C839,""ja"",""vi"")"),"Đấu giá&gt; vé, chứng từ, đặt phòng khách sạn&gt; phòng trọ&gt; căn hộ hàng tháng")</f>
        <v>Đấu giá&gt; vé, chứng từ, đặt phòng khách sạn&gt; phòng trọ&gt; căn hộ hàng tháng</v>
      </c>
      <c r="F839" t="str">
        <f t="shared" ca="1" si="13"/>
        <v>"2084223104" : "căn hộ hàng tháng",</v>
      </c>
    </row>
    <row r="840" spans="1:6" ht="15.75" customHeight="1">
      <c r="A840" s="14">
        <v>2084039899</v>
      </c>
      <c r="B840" s="14" t="s">
        <v>5151</v>
      </c>
      <c r="C840" s="14" t="s">
        <v>12339</v>
      </c>
      <c r="D840" s="5" t="str">
        <f ca="1">IFERROR(__xludf.DUMMYFUNCTION("GOOGLETRANSLATE(B840,""ja"",""vi"")"),"Hokkaido")</f>
        <v>Hokkaido</v>
      </c>
      <c r="E840" s="5" t="str">
        <f ca="1">IFERROR(__xludf.DUMMYFUNCTION("GOOGLETRANSLATE(C840,""ja"",""vi"")"),"Đấu giá&gt; vé, chứng từ, đặt phòng khách sạn&gt; Các cơ sở sử dụng vé&gt; Khu vui chơi giải trí, công viên giải trí&gt; Hokkaido")</f>
        <v>Đấu giá&gt; vé, chứng từ, đặt phòng khách sạn&gt; Các cơ sở sử dụng vé&gt; Khu vui chơi giải trí, công viên giải trí&gt; Hokkaido</v>
      </c>
      <c r="F840" t="str">
        <f t="shared" ca="1" si="13"/>
        <v>"2084039899" : "Hokkaido",</v>
      </c>
    </row>
    <row r="841" spans="1:6" ht="15.75" customHeight="1">
      <c r="A841" s="14">
        <v>2084039900</v>
      </c>
      <c r="B841" s="14" t="s">
        <v>5155</v>
      </c>
      <c r="C841" s="14" t="s">
        <v>12344</v>
      </c>
      <c r="D841" s="5" t="str">
        <f ca="1">IFERROR(__xludf.DUMMYFUNCTION("GOOGLETRANSLATE(B841,""ja"",""vi"")"),"đông bắc")</f>
        <v>đông bắc</v>
      </c>
      <c r="E841" s="5" t="str">
        <f ca="1">IFERROR(__xludf.DUMMYFUNCTION("GOOGLETRANSLATE(C841,""ja"",""vi"")"),"Đấu giá&gt; vé, chứng từ, đặt phòng khách sạn&gt; Các cơ sở sử dụng vé&gt; Khu vui chơi giải trí, công viên giải trí&gt; Đông Bắc")</f>
        <v>Đấu giá&gt; vé, chứng từ, đặt phòng khách sạn&gt; Các cơ sở sử dụng vé&gt; Khu vui chơi giải trí, công viên giải trí&gt; Đông Bắc</v>
      </c>
      <c r="F841" t="str">
        <f t="shared" ca="1" si="13"/>
        <v>"2084039900" : "đông bắc",</v>
      </c>
    </row>
    <row r="842" spans="1:6" ht="15.75" customHeight="1">
      <c r="A842" s="14">
        <v>2084039901</v>
      </c>
      <c r="B842" s="14" t="s">
        <v>5159</v>
      </c>
      <c r="C842" s="14" t="s">
        <v>12349</v>
      </c>
      <c r="D842" s="5" t="str">
        <f ca="1">IFERROR(__xludf.DUMMYFUNCTION("GOOGLETRANSLATE(B842,""ja"",""vi"")"),"Kanto")</f>
        <v>Kanto</v>
      </c>
      <c r="E842" s="5" t="str">
        <f ca="1">IFERROR(__xludf.DUMMYFUNCTION("GOOGLETRANSLATE(C842,""ja"",""vi"")"),"Đấu giá&gt; vé, chứng từ, đặt phòng khách sạn&gt; Các cơ sở sử dụng vé&gt; Khu vui chơi giải trí, công viên giải trí&gt; Kanto")</f>
        <v>Đấu giá&gt; vé, chứng từ, đặt phòng khách sạn&gt; Các cơ sở sử dụng vé&gt; Khu vui chơi giải trí, công viên giải trí&gt; Kanto</v>
      </c>
      <c r="F842" t="str">
        <f t="shared" ca="1" si="13"/>
        <v>"2084039901" : "Kanto",</v>
      </c>
    </row>
    <row r="843" spans="1:6" ht="15.75" customHeight="1">
      <c r="A843" s="14">
        <v>2084039902</v>
      </c>
      <c r="B843" s="14" t="s">
        <v>5163</v>
      </c>
      <c r="C843" s="14" t="s">
        <v>12354</v>
      </c>
      <c r="D843" s="5" t="str">
        <f ca="1">IFERROR(__xludf.DUMMYFUNCTION("GOOGLETRANSLATE(B843,""ja"",""vi"")"),"Hokuriku")</f>
        <v>Hokuriku</v>
      </c>
      <c r="E843" s="5" t="str">
        <f ca="1">IFERROR(__xludf.DUMMYFUNCTION("GOOGLETRANSLATE(C843,""ja"",""vi"")"),"Đấu giá&gt; vé, chứng từ, đặt phòng khách sạn&gt; Các cơ sở sử dụng vé&gt; Khu vui chơi giải trí, công viên giải trí&gt; Hokuriku")</f>
        <v>Đấu giá&gt; vé, chứng từ, đặt phòng khách sạn&gt; Các cơ sở sử dụng vé&gt; Khu vui chơi giải trí, công viên giải trí&gt; Hokuriku</v>
      </c>
      <c r="F843" t="str">
        <f t="shared" ca="1" si="13"/>
        <v>"2084039902" : "Hokuriku",</v>
      </c>
    </row>
    <row r="844" spans="1:6" ht="15.75" customHeight="1">
      <c r="A844" s="14">
        <v>2084039903</v>
      </c>
      <c r="B844" s="14" t="s">
        <v>5166</v>
      </c>
      <c r="C844" s="14" t="s">
        <v>12362</v>
      </c>
      <c r="D844" s="5" t="str">
        <f ca="1">IFERROR(__xludf.DUMMYFUNCTION("GOOGLETRANSLATE(B844,""ja"",""vi"")"),"Shin-Etsu")</f>
        <v>Shin-Etsu</v>
      </c>
      <c r="E844" s="5" t="str">
        <f ca="1">IFERROR(__xludf.DUMMYFUNCTION("GOOGLETRANSLATE(C844,""ja"",""vi"")"),"Đấu giá&gt; vé, chứng từ, đặt phòng khách sạn&gt; Các cơ sở sử dụng vé&gt; công viên giải trí, công viên chủ đề&gt; Shin-Etsu")</f>
        <v>Đấu giá&gt; vé, chứng từ, đặt phòng khách sạn&gt; Các cơ sở sử dụng vé&gt; công viên giải trí, công viên chủ đề&gt; Shin-Etsu</v>
      </c>
      <c r="F844" t="str">
        <f t="shared" ca="1" si="13"/>
        <v>"2084039903" : "Shin-Etsu",</v>
      </c>
    </row>
    <row r="845" spans="1:6" ht="15.75" customHeight="1">
      <c r="A845" s="14">
        <v>2084039904</v>
      </c>
      <c r="B845" s="14" t="s">
        <v>5170</v>
      </c>
      <c r="C845" s="14" t="s">
        <v>12368</v>
      </c>
      <c r="D845" s="5" t="str">
        <f ca="1">IFERROR(__xludf.DUMMYFUNCTION("GOOGLETRANSLATE(B845,""ja"",""vi"")"),"Tokai")</f>
        <v>Tokai</v>
      </c>
      <c r="E845" s="5" t="str">
        <f ca="1">IFERROR(__xludf.DUMMYFUNCTION("GOOGLETRANSLATE(C845,""ja"",""vi"")"),"Đấu giá&gt; vé, chứng từ, đặt phòng khách sạn&gt; Các cơ sở sử dụng vé&gt; Khu vui chơi giải trí, công viên giải trí&gt; Tokai")</f>
        <v>Đấu giá&gt; vé, chứng từ, đặt phòng khách sạn&gt; Các cơ sở sử dụng vé&gt; Khu vui chơi giải trí, công viên giải trí&gt; Tokai</v>
      </c>
      <c r="F845" t="str">
        <f t="shared" ca="1" si="13"/>
        <v>"2084039904" : "Tokai",</v>
      </c>
    </row>
    <row r="846" spans="1:6" ht="15.75" customHeight="1">
      <c r="A846" s="14">
        <v>2084039905</v>
      </c>
      <c r="B846" s="14" t="s">
        <v>5174</v>
      </c>
      <c r="C846" s="14" t="s">
        <v>12372</v>
      </c>
      <c r="D846" s="5" t="str">
        <f ca="1">IFERROR(__xludf.DUMMYFUNCTION("GOOGLETRANSLATE(B846,""ja"",""vi"")"),"Kinki")</f>
        <v>Kinki</v>
      </c>
      <c r="E846" s="5" t="str">
        <f ca="1">IFERROR(__xludf.DUMMYFUNCTION("GOOGLETRANSLATE(C846,""ja"",""vi"")"),"Đấu giá&gt; vé, chứng từ, đặt phòng khách sạn&gt; Các cơ sở sử dụng vé&gt; Khu vui chơi giải trí, công viên giải trí&gt; Kinki")</f>
        <v>Đấu giá&gt; vé, chứng từ, đặt phòng khách sạn&gt; Các cơ sở sử dụng vé&gt; Khu vui chơi giải trí, công viên giải trí&gt; Kinki</v>
      </c>
      <c r="F846" t="str">
        <f t="shared" ca="1" si="13"/>
        <v>"2084039905" : "Kinki",</v>
      </c>
    </row>
    <row r="847" spans="1:6" ht="15.75" customHeight="1">
      <c r="A847" s="14">
        <v>2084039906</v>
      </c>
      <c r="B847" s="14" t="s">
        <v>5177</v>
      </c>
      <c r="C847" s="14" t="s">
        <v>12375</v>
      </c>
      <c r="D847" s="5" t="str">
        <f ca="1">IFERROR(__xludf.DUMMYFUNCTION("GOOGLETRANSLATE(B847,""ja"",""vi"")"),"đồ sứ")</f>
        <v>đồ sứ</v>
      </c>
      <c r="E847" s="5" t="str">
        <f ca="1">IFERROR(__xludf.DUMMYFUNCTION("GOOGLETRANSLATE(C847,""ja"",""vi"")"),"Đấu giá&gt; vé, chứng từ, đặt phòng khách sạn&gt; Các cơ sở sử dụng vé&gt; Khu vui chơi giải trí, công viên giải trí&gt; Trung Quốc")</f>
        <v>Đấu giá&gt; vé, chứng từ, đặt phòng khách sạn&gt; Các cơ sở sử dụng vé&gt; Khu vui chơi giải trí, công viên giải trí&gt; Trung Quốc</v>
      </c>
      <c r="F847" t="str">
        <f t="shared" ca="1" si="13"/>
        <v>"2084039906" : "đồ sứ",</v>
      </c>
    </row>
    <row r="848" spans="1:6" ht="15.75" customHeight="1">
      <c r="A848" s="14">
        <v>2084039907</v>
      </c>
      <c r="B848" s="14" t="s">
        <v>5180</v>
      </c>
      <c r="C848" s="14" t="s">
        <v>12378</v>
      </c>
      <c r="D848" s="5" t="str">
        <f ca="1">IFERROR(__xludf.DUMMYFUNCTION("GOOGLETRANSLATE(B848,""ja"",""vi"")"),"Shikoku")</f>
        <v>Shikoku</v>
      </c>
      <c r="E848" s="5" t="str">
        <f ca="1">IFERROR(__xludf.DUMMYFUNCTION("GOOGLETRANSLATE(C848,""ja"",""vi"")"),"Đấu giá&gt; vé, chứng từ, đặt phòng khách sạn&gt; Các cơ sở sử dụng vé&gt; Khu vui chơi giải trí, công viên giải trí&gt; Shikoku")</f>
        <v>Đấu giá&gt; vé, chứng từ, đặt phòng khách sạn&gt; Các cơ sở sử dụng vé&gt; Khu vui chơi giải trí, công viên giải trí&gt; Shikoku</v>
      </c>
      <c r="F848" t="str">
        <f t="shared" ca="1" si="13"/>
        <v>"2084039907" : "Shikoku",</v>
      </c>
    </row>
    <row r="849" spans="1:6" ht="15.75" customHeight="1">
      <c r="A849" s="14">
        <v>2084039908</v>
      </c>
      <c r="B849" s="14" t="s">
        <v>5183</v>
      </c>
      <c r="C849" s="14" t="s">
        <v>12383</v>
      </c>
      <c r="D849" s="5" t="str">
        <f ca="1">IFERROR(__xludf.DUMMYFUNCTION("GOOGLETRANSLATE(B849,""ja"",""vi"")"),"Kyushu")</f>
        <v>Kyushu</v>
      </c>
      <c r="E849" s="5" t="str">
        <f ca="1">IFERROR(__xludf.DUMMYFUNCTION("GOOGLETRANSLATE(C849,""ja"",""vi"")"),"Đấu giá&gt; vé, chứng từ, đặt phòng khách sạn&gt; Các cơ sở sử dụng vé&gt; Khu vui chơi giải trí, công viên giải trí&gt; Kyushu")</f>
        <v>Đấu giá&gt; vé, chứng từ, đặt phòng khách sạn&gt; Các cơ sở sử dụng vé&gt; Khu vui chơi giải trí, công viên giải trí&gt; Kyushu</v>
      </c>
      <c r="F849" t="str">
        <f t="shared" ca="1" si="13"/>
        <v>"2084039908" : "Kyushu",</v>
      </c>
    </row>
    <row r="850" spans="1:6" ht="15.75" customHeight="1">
      <c r="A850" s="14">
        <v>2084039909</v>
      </c>
      <c r="B850" s="14" t="s">
        <v>5186</v>
      </c>
      <c r="C850" s="14" t="s">
        <v>12388</v>
      </c>
      <c r="D850" s="5" t="str">
        <f ca="1">IFERROR(__xludf.DUMMYFUNCTION("GOOGLETRANSLATE(B850,""ja"",""vi"")"),"Okinawa")</f>
        <v>Okinawa</v>
      </c>
      <c r="E850" s="5" t="str">
        <f ca="1">IFERROR(__xludf.DUMMYFUNCTION("GOOGLETRANSLATE(C850,""ja"",""vi"")"),"Đấu giá&gt; vé, chứng từ, đặt phòng khách sạn&gt; Các cơ sở sử dụng vé&gt; Khu vui chơi giải trí, công viên giải trí&gt; Okinawa")</f>
        <v>Đấu giá&gt; vé, chứng từ, đặt phòng khách sạn&gt; Các cơ sở sử dụng vé&gt; Khu vui chơi giải trí, công viên giải trí&gt; Okinawa</v>
      </c>
      <c r="F850" t="str">
        <f t="shared" ca="1" si="13"/>
        <v>"2084039909" : "Okinawa",</v>
      </c>
    </row>
    <row r="851" spans="1:6" ht="15.75" customHeight="1">
      <c r="A851" s="14">
        <v>2084042176</v>
      </c>
      <c r="B851" s="14" t="s">
        <v>12393</v>
      </c>
      <c r="C851" s="14" t="s">
        <v>12394</v>
      </c>
      <c r="D851" s="5" t="str">
        <f ca="1">IFERROR(__xludf.DUMMYFUNCTION("GOOGLETRANSLATE(B851,""ja"",""vi"")"),"hồ bơi")</f>
        <v>hồ bơi</v>
      </c>
      <c r="E851" s="5" t="str">
        <f ca="1">IFERROR(__xludf.DUMMYFUNCTION("GOOGLETRANSLATE(C851,""ja"",""vi"")"),"Đấu giá&gt; vé, chứng từ, đặt phòng khách sạn&gt; Các cơ sở sử dụng vé&gt; Khu vui chơi giải trí, công viên giải trí&gt; hồ bơi")</f>
        <v>Đấu giá&gt; vé, chứng từ, đặt phòng khách sạn&gt; Các cơ sở sử dụng vé&gt; Khu vui chơi giải trí, công viên giải trí&gt; hồ bơi</v>
      </c>
      <c r="F851" t="str">
        <f t="shared" ca="1" si="13"/>
        <v>"2084042176" : "hồ bơi",</v>
      </c>
    </row>
    <row r="852" spans="1:6" ht="15.75" customHeight="1">
      <c r="A852" s="14">
        <v>2084039910</v>
      </c>
      <c r="B852" s="14" t="s">
        <v>46</v>
      </c>
      <c r="C852" s="14" t="s">
        <v>12399</v>
      </c>
      <c r="D852" s="5" t="str">
        <f ca="1">IFERROR(__xludf.DUMMYFUNCTION("GOOGLETRANSLATE(B852,""ja"",""vi"")"),"nếu không thì")</f>
        <v>nếu không thì</v>
      </c>
      <c r="E852" s="5" t="str">
        <f ca="1">IFERROR(__xludf.DUMMYFUNCTION("GOOGLETRANSLATE(C852,""ja"",""vi"")"),"Đấu giá&gt; vé, chứng từ, đặt phòng khách sạn&gt; Các cơ sở sử dụng vé&gt; Khu vui chơi giải trí, công viên giải trí&gt; Khác")</f>
        <v>Đấu giá&gt; vé, chứng từ, đặt phòng khách sạn&gt; Các cơ sở sử dụng vé&gt; Khu vui chơi giải trí, công viên giải trí&gt; Khác</v>
      </c>
      <c r="F852" t="str">
        <f t="shared" ca="1" si="13"/>
        <v>"2084039910" : "nếu không thì",</v>
      </c>
    </row>
    <row r="853" spans="1:6" ht="15.75" customHeight="1">
      <c r="A853" s="14">
        <v>2084048397</v>
      </c>
      <c r="B853" s="14" t="s">
        <v>8602</v>
      </c>
      <c r="C853" s="14" t="s">
        <v>8603</v>
      </c>
      <c r="D853" s="5" t="str">
        <f ca="1">IFERROR(__xludf.DUMMYFUNCTION("GOOGLETRANSLATE(B853,""ja"",""vi"")"),"Đối với Windows")</f>
        <v>Đối với Windows</v>
      </c>
      <c r="E853" s="5" t="str">
        <f ca="1">IFERROR(__xludf.DUMMYFUNCTION("GOOGLETRANSLATE(C853,""ja"",""vi"")"),"Đấu giá&gt; Sở thích, văn hóa&gt; pachinko, pachislot&gt; Trò chơi&gt; cho Windows")</f>
        <v>Đấu giá&gt; Sở thích, văn hóa&gt; pachinko, pachislot&gt; Trò chơi&gt; cho Windows</v>
      </c>
      <c r="F853" t="str">
        <f t="shared" ca="1" si="13"/>
        <v>"2084048397" : "Đối với Windows",</v>
      </c>
    </row>
    <row r="854" spans="1:6" ht="15.75" customHeight="1">
      <c r="A854" s="14">
        <v>2084052362</v>
      </c>
      <c r="B854" s="14" t="s">
        <v>8605</v>
      </c>
      <c r="C854" s="14" t="s">
        <v>8606</v>
      </c>
      <c r="D854" s="5" t="str">
        <f ca="1">IFERROR(__xludf.DUMMYFUNCTION("GOOGLETRANSLATE(B854,""ja"",""vi"")"),"Đối với Super Nintendo Entertainment System")</f>
        <v>Đối với Super Nintendo Entertainment System</v>
      </c>
      <c r="E854" s="5" t="str">
        <f ca="1">IFERROR(__xludf.DUMMYFUNCTION("GOOGLETRANSLATE(C854,""ja"",""vi"")"),"Đấu giá&gt; Sở thích, văn hóa&gt; pachinko, pachislot&gt; Trò chơi&gt; cho Super Nintendo Entertainment System")</f>
        <v>Đấu giá&gt; Sở thích, văn hóa&gt; pachinko, pachislot&gt; Trò chơi&gt; cho Super Nintendo Entertainment System</v>
      </c>
      <c r="F854" t="str">
        <f t="shared" ca="1" si="13"/>
        <v>"2084052362" : "Đối với Super Nintendo Entertainment System",</v>
      </c>
    </row>
    <row r="855" spans="1:6" ht="15.75" customHeight="1">
      <c r="A855" s="14">
        <v>2084052361</v>
      </c>
      <c r="B855" s="14" t="s">
        <v>8610</v>
      </c>
      <c r="C855" s="14" t="s">
        <v>8612</v>
      </c>
      <c r="D855" s="5" t="str">
        <f ca="1">IFERROR(__xludf.DUMMYFUNCTION("GOOGLETRANSLATE(B855,""ja"",""vi"")"),"Cho PlayStation 2")</f>
        <v>Cho PlayStation 2</v>
      </c>
      <c r="E855" s="5" t="str">
        <f ca="1">IFERROR(__xludf.DUMMYFUNCTION("GOOGLETRANSLATE(C855,""ja"",""vi"")"),"Đấu giá&gt; Sở thích, văn hóa&gt; pachinko, pachislot&gt; Trò chơi&gt; cho PlayStation 2")</f>
        <v>Đấu giá&gt; Sở thích, văn hóa&gt; pachinko, pachislot&gt; Trò chơi&gt; cho PlayStation 2</v>
      </c>
      <c r="F855" t="str">
        <f t="shared" ca="1" si="13"/>
        <v>"2084052361" : "Cho PlayStation 2",</v>
      </c>
    </row>
    <row r="856" spans="1:6" ht="15.75" customHeight="1">
      <c r="A856" s="14">
        <v>2084052360</v>
      </c>
      <c r="B856" s="14" t="s">
        <v>8614</v>
      </c>
      <c r="C856" s="14" t="s">
        <v>8615</v>
      </c>
      <c r="D856" s="5" t="str">
        <f ca="1">IFERROR(__xludf.DUMMYFUNCTION("GOOGLETRANSLATE(B856,""ja"",""vi"")"),"cho PlayStation")</f>
        <v>cho PlayStation</v>
      </c>
      <c r="E856" s="5" t="str">
        <f ca="1">IFERROR(__xludf.DUMMYFUNCTION("GOOGLETRANSLATE(C856,""ja"",""vi"")"),"Đấu giá&gt; Sở thích, văn hóa&gt; pachinko, pachislot&gt; Trò chơi&gt; cho PlayStation")</f>
        <v>Đấu giá&gt; Sở thích, văn hóa&gt; pachinko, pachislot&gt; Trò chơi&gt; cho PlayStation</v>
      </c>
      <c r="F856" t="str">
        <f t="shared" ca="1" si="13"/>
        <v>"2084052360" : "cho PlayStation",</v>
      </c>
    </row>
    <row r="857" spans="1:6" ht="15.75" customHeight="1">
      <c r="A857" s="14">
        <v>2084008196</v>
      </c>
      <c r="B857" s="14" t="s">
        <v>134</v>
      </c>
      <c r="C857" s="14" t="s">
        <v>12420</v>
      </c>
      <c r="D857" s="5" t="str">
        <f ca="1">IFERROR(__xludf.DUMMYFUNCTION("GOOGLETRANSLATE(B857,""ja"",""vi"")"),"Một món đồ chơi")</f>
        <v>Một món đồ chơi</v>
      </c>
      <c r="E857" s="5" t="str">
        <f ca="1">IFERROR(__xludf.DUMMYFUNCTION("GOOGLETRANSLATE(C857,""ja"",""vi"")"),"Đấu giá&gt; nhà, nội thất&gt; Đồ Pet&gt; Chó&gt; Đồ chơi")</f>
        <v>Đấu giá&gt; nhà, nội thất&gt; Đồ Pet&gt; Chó&gt; Đồ chơi</v>
      </c>
      <c r="F857" t="str">
        <f t="shared" ca="1" si="13"/>
        <v>"2084008196" : "Một món đồ chơi",</v>
      </c>
    </row>
    <row r="858" spans="1:6" ht="15.75" customHeight="1">
      <c r="A858" s="14">
        <v>2084049721</v>
      </c>
      <c r="B858" s="14" t="s">
        <v>12425</v>
      </c>
      <c r="C858" s="14" t="s">
        <v>12426</v>
      </c>
      <c r="D858" s="5" t="str">
        <f ca="1">IFERROR(__xludf.DUMMYFUNCTION("GOOGLETRANSLATE(B858,""ja"",""vi"")"),"Đào tạo Hàng")</f>
        <v>Đào tạo Hàng</v>
      </c>
      <c r="E858" s="5" t="str">
        <f ca="1">IFERROR(__xludf.DUMMYFUNCTION("GOOGLETRANSLATE(C858,""ja"",""vi"")"),"Đấu giá&gt; nhà, nội thất&gt; Đồ Pet&gt; Chó&gt; Đào tạo Hàng")</f>
        <v>Đấu giá&gt; nhà, nội thất&gt; Đồ Pet&gt; Chó&gt; Đào tạo Hàng</v>
      </c>
      <c r="F858" t="str">
        <f t="shared" ca="1" si="13"/>
        <v>"2084049721" : "Đào tạo Hàng",</v>
      </c>
    </row>
    <row r="859" spans="1:6" ht="15.75" customHeight="1">
      <c r="A859" s="14">
        <v>2084008195</v>
      </c>
      <c r="B859" s="14" t="s">
        <v>12429</v>
      </c>
      <c r="C859" s="14" t="s">
        <v>12431</v>
      </c>
      <c r="D859" s="5" t="str">
        <f ca="1">IFERROR(__xludf.DUMMYFUNCTION("GOOGLETRANSLATE(B859,""ja"",""vi"")"),"nghề nghiệp")</f>
        <v>nghề nghiệp</v>
      </c>
      <c r="E859" s="5" t="str">
        <f ca="1">IFERROR(__xludf.DUMMYFUNCTION("GOOGLETRANSLATE(C859,""ja"",""vi"")"),"Đấu giá&gt; nhà, nội thất&gt; Đồ Pet&gt; Chó&gt; Career")</f>
        <v>Đấu giá&gt; nhà, nội thất&gt; Đồ Pet&gt; Chó&gt; Career</v>
      </c>
      <c r="F859" t="str">
        <f t="shared" ca="1" si="13"/>
        <v>"2084008195" : "nghề nghiệp",</v>
      </c>
    </row>
    <row r="860" spans="1:6" ht="15.75" customHeight="1">
      <c r="A860" s="14">
        <v>2084049722</v>
      </c>
      <c r="B860" s="14" t="s">
        <v>12434</v>
      </c>
      <c r="C860" s="14" t="s">
        <v>12435</v>
      </c>
      <c r="D860" s="5" t="str">
        <f ca="1">IFERROR(__xludf.DUMMYFUNCTION("GOOGLETRANSLATE(B860,""ja"",""vi"")"),"lồng")</f>
        <v>lồng</v>
      </c>
      <c r="E860" s="5" t="str">
        <f ca="1">IFERROR(__xludf.DUMMYFUNCTION("GOOGLETRANSLATE(C860,""ja"",""vi"")"),"Đấu giá&gt; nhà, nội thất&gt; nguồn cung cấp vật nuôi&gt; chó&gt; lồng")</f>
        <v>Đấu giá&gt; nhà, nội thất&gt; nguồn cung cấp vật nuôi&gt; chó&gt; lồng</v>
      </c>
      <c r="F860" t="str">
        <f t="shared" ca="1" si="13"/>
        <v>"2084049722" : "lồng",</v>
      </c>
    </row>
    <row r="861" spans="1:6" ht="15.75" customHeight="1">
      <c r="A861" s="14">
        <v>2084061521</v>
      </c>
      <c r="B861" s="14" t="s">
        <v>12440</v>
      </c>
      <c r="C861" s="14" t="s">
        <v>12441</v>
      </c>
      <c r="D861" s="5" t="str">
        <f ca="1">IFERROR(__xludf.DUMMYFUNCTION("GOOGLETRANSLATE(B861,""ja"",""vi"")"),"nhà vệ sinh")</f>
        <v>nhà vệ sinh</v>
      </c>
      <c r="E861" s="5" t="str">
        <f ca="1">IFERROR(__xludf.DUMMYFUNCTION("GOOGLETRANSLATE(C861,""ja"",""vi"")"),"Đấu giá&gt; nhà, nội thất&gt; Đồ Pet&gt; Chó&gt; nhà vệ sinh")</f>
        <v>Đấu giá&gt; nhà, nội thất&gt; Đồ Pet&gt; Chó&gt; nhà vệ sinh</v>
      </c>
      <c r="F861" t="str">
        <f t="shared" ca="1" si="13"/>
        <v>"2084061521" : "nhà vệ sinh",</v>
      </c>
    </row>
    <row r="862" spans="1:6" ht="15.75" customHeight="1">
      <c r="A862" s="14">
        <v>2084008199</v>
      </c>
      <c r="B862" s="14" t="s">
        <v>12446</v>
      </c>
      <c r="C862" s="14" t="s">
        <v>12447</v>
      </c>
      <c r="D862" s="5" t="str">
        <f ca="1">IFERROR(__xludf.DUMMYFUNCTION("GOOGLETRANSLATE(B862,""ja"",""vi"")"),"thức ăn cho chó")</f>
        <v>thức ăn cho chó</v>
      </c>
      <c r="E862" s="5" t="str">
        <f ca="1">IFERROR(__xludf.DUMMYFUNCTION("GOOGLETRANSLATE(C862,""ja"",""vi"")"),"Đấu giá&gt; nhà, nội thất&gt; nguồn cung cấp vật nuôi&gt; chó&gt; thức ăn cho chó")</f>
        <v>Đấu giá&gt; nhà, nội thất&gt; nguồn cung cấp vật nuôi&gt; chó&gt; thức ăn cho chó</v>
      </c>
      <c r="F862" t="str">
        <f t="shared" ca="1" si="13"/>
        <v>"2084008199" : "thức ăn cho chó",</v>
      </c>
    </row>
    <row r="863" spans="1:6" ht="15.75" customHeight="1">
      <c r="A863" s="14">
        <v>2084061550</v>
      </c>
      <c r="B863" s="14" t="s">
        <v>9648</v>
      </c>
      <c r="C863" s="14" t="s">
        <v>12452</v>
      </c>
      <c r="D863" s="5" t="str">
        <f ca="1">IFERROR(__xludf.DUMMYFUNCTION("GOOGLETRANSLATE(B863,""ja"",""vi"")"),"giường")</f>
        <v>giường</v>
      </c>
      <c r="E863" s="5" t="str">
        <f ca="1">IFERROR(__xludf.DUMMYFUNCTION("GOOGLETRANSLATE(C863,""ja"",""vi"")"),"Đấu giá&gt; nhà, nội thất&gt; Đồ Pet&gt; Chó&gt; Giường")</f>
        <v>Đấu giá&gt; nhà, nội thất&gt; Đồ Pet&gt; Chó&gt; Giường</v>
      </c>
      <c r="F863" t="str">
        <f t="shared" ca="1" si="13"/>
        <v>"2084061550" : "giường",</v>
      </c>
    </row>
    <row r="864" spans="1:6" ht="15.75" customHeight="1">
      <c r="A864" s="14">
        <v>2084008194</v>
      </c>
      <c r="B864" s="14" t="s">
        <v>12456</v>
      </c>
      <c r="C864" s="14" t="s">
        <v>12458</v>
      </c>
      <c r="D864" s="5" t="str">
        <f ca="1">IFERROR(__xludf.DUMMYFUNCTION("GOOGLETRANSLATE(B864,""ja"",""vi"")"),"chuồng chó")</f>
        <v>chuồng chó</v>
      </c>
      <c r="E864" s="5" t="str">
        <f ca="1">IFERROR(__xludf.DUMMYFUNCTION("GOOGLETRANSLATE(C864,""ja"",""vi"")"),"Đấu giá&gt; nhà, nội thất&gt; nguồn cung cấp vật nuôi&gt; chó&gt; cũi")</f>
        <v>Đấu giá&gt; nhà, nội thất&gt; nguồn cung cấp vật nuôi&gt; chó&gt; cũi</v>
      </c>
      <c r="F864" t="str">
        <f t="shared" ca="1" si="13"/>
        <v>"2084008194" : "chuồng chó",</v>
      </c>
    </row>
    <row r="865" spans="1:6" ht="15.75" customHeight="1">
      <c r="A865" s="14">
        <v>2084008198</v>
      </c>
      <c r="B865" s="14" t="s">
        <v>12463</v>
      </c>
      <c r="C865" s="14" t="s">
        <v>12464</v>
      </c>
      <c r="D865" s="5" t="str">
        <f ca="1">IFERROR(__xludf.DUMMYFUNCTION("GOOGLETRANSLATE(B865,""ja"",""vi"")"),"sản phẩm chăm sóc")</f>
        <v>sản phẩm chăm sóc</v>
      </c>
      <c r="E865" s="5" t="str">
        <f ca="1">IFERROR(__xludf.DUMMYFUNCTION("GOOGLETRANSLATE(C865,""ja"",""vi"")"),"Đấu giá&gt; nhà, nội thất&gt; nguồn cung cấp vật nuôi&gt; chó&gt; sản phẩm chăm sóc")</f>
        <v>Đấu giá&gt; nhà, nội thất&gt; nguồn cung cấp vật nuôi&gt; chó&gt; sản phẩm chăm sóc</v>
      </c>
      <c r="F865" t="str">
        <f t="shared" ca="1" si="13"/>
        <v>"2084008198" : "sản phẩm chăm sóc",</v>
      </c>
    </row>
    <row r="866" spans="1:6" ht="15.75" customHeight="1">
      <c r="A866" s="14">
        <v>2084008197</v>
      </c>
      <c r="B866" s="14" t="s">
        <v>12469</v>
      </c>
      <c r="C866" s="14" t="s">
        <v>12470</v>
      </c>
      <c r="D866" s="5" t="str">
        <f ca="1">IFERROR(__xludf.DUMMYFUNCTION("GOOGLETRANSLATE(B866,""ja"",""vi"")"),"Cổ áo, chì")</f>
        <v>Cổ áo, chì</v>
      </c>
      <c r="E866" s="5" t="str">
        <f ca="1">IFERROR(__xludf.DUMMYFUNCTION("GOOGLETRANSLATE(C866,""ja"",""vi"")"),"Đấu giá&gt; nhà, nội thất&gt; Đồ Pet&gt; Chó&gt; Collar, chì")</f>
        <v>Đấu giá&gt; nhà, nội thất&gt; Đồ Pet&gt; Chó&gt; Collar, chì</v>
      </c>
      <c r="F866" t="str">
        <f t="shared" ca="1" si="13"/>
        <v>"2084008197" : "Cổ áo, chì",</v>
      </c>
    </row>
    <row r="867" spans="1:6" ht="15.75" customHeight="1">
      <c r="A867" s="14">
        <v>2084048882</v>
      </c>
      <c r="B867" s="14" t="s">
        <v>8322</v>
      </c>
      <c r="C867" s="14" t="s">
        <v>12476</v>
      </c>
      <c r="D867" s="5" t="str">
        <f ca="1">IFERROR(__xludf.DUMMYFUNCTION("GOOGLETRANSLATE(B867,""ja"",""vi"")"),"đồ dùng trên bàn")</f>
        <v>đồ dùng trên bàn</v>
      </c>
      <c r="E867" s="5" t="str">
        <f ca="1">IFERROR(__xludf.DUMMYFUNCTION("GOOGLETRANSLATE(C867,""ja"",""vi"")"),"Đấu giá&gt; nhà, nội thất&gt; Đồ Pet&gt; Chó&gt; bộ đồ ăn")</f>
        <v>Đấu giá&gt; nhà, nội thất&gt; Đồ Pet&gt; Chó&gt; bộ đồ ăn</v>
      </c>
      <c r="F867" t="str">
        <f t="shared" ca="1" si="13"/>
        <v>"2084048882" : "đồ dùng trên bàn",</v>
      </c>
    </row>
    <row r="868" spans="1:6" ht="15.75" customHeight="1">
      <c r="A868" s="14">
        <v>2084045164</v>
      </c>
      <c r="B868" s="14" t="s">
        <v>12481</v>
      </c>
      <c r="C868" s="14" t="s">
        <v>12483</v>
      </c>
      <c r="D868" s="5" t="str">
        <f ca="1">IFERROR(__xludf.DUMMYFUNCTION("GOOGLETRANSLATE(B868,""ja"",""vi"")"),"quần áo")</f>
        <v>quần áo</v>
      </c>
      <c r="E868" s="5" t="str">
        <f ca="1">IFERROR(__xludf.DUMMYFUNCTION("GOOGLETRANSLATE(C868,""ja"",""vi"")"),"Đấu giá&gt; nhà, nội thất&gt; nguồn cung cấp vật nuôi&gt; chó&gt; quần áo")</f>
        <v>Đấu giá&gt; nhà, nội thất&gt; nguồn cung cấp vật nuôi&gt; chó&gt; quần áo</v>
      </c>
      <c r="F868" t="str">
        <f t="shared" ca="1" si="13"/>
        <v>"2084045164" : "quần áo",</v>
      </c>
    </row>
    <row r="869" spans="1:6" ht="15.75" customHeight="1">
      <c r="A869" s="14">
        <v>2084008885</v>
      </c>
      <c r="B869" s="14" t="s">
        <v>1632</v>
      </c>
      <c r="C869" s="14" t="s">
        <v>12489</v>
      </c>
      <c r="D869" s="5" t="str">
        <f ca="1">IFERROR(__xludf.DUMMYFUNCTION("GOOGLETRANSLATE(B869,""ja"",""vi"")"),"điều này")</f>
        <v>điều này</v>
      </c>
      <c r="E869" s="5" t="str">
        <f ca="1">IFERROR(__xludf.DUMMYFUNCTION("GOOGLETRANSLATE(C869,""ja"",""vi"")"),"Đấu giá&gt; nhà, nội thất&gt; Đồ Pet&gt; Chó&gt; Sách")</f>
        <v>Đấu giá&gt; nhà, nội thất&gt; Đồ Pet&gt; Chó&gt; Sách</v>
      </c>
      <c r="F869" t="str">
        <f t="shared" ca="1" si="13"/>
        <v>"2084008885" : "điều này",</v>
      </c>
    </row>
    <row r="870" spans="1:6" ht="15.75" customHeight="1">
      <c r="A870" s="14">
        <v>2084008200</v>
      </c>
      <c r="B870" s="14" t="s">
        <v>46</v>
      </c>
      <c r="C870" s="14" t="s">
        <v>12496</v>
      </c>
      <c r="D870" s="5" t="str">
        <f ca="1">IFERROR(__xludf.DUMMYFUNCTION("GOOGLETRANSLATE(B870,""ja"",""vi"")"),"nếu không thì")</f>
        <v>nếu không thì</v>
      </c>
      <c r="E870" s="5" t="str">
        <f ca="1">IFERROR(__xludf.DUMMYFUNCTION("GOOGLETRANSLATE(C870,""ja"",""vi"")"),"Đấu giá&gt; nhà, nội thất&gt; Đồ Pet&gt; Chó&gt; Khác")</f>
        <v>Đấu giá&gt; nhà, nội thất&gt; Đồ Pet&gt; Chó&gt; Khác</v>
      </c>
      <c r="F870" t="str">
        <f t="shared" ca="1" si="13"/>
        <v>"2084008200" : "nếu không thì",</v>
      </c>
    </row>
    <row r="871" spans="1:6" ht="15.75" customHeight="1">
      <c r="A871" s="14">
        <v>2084008203</v>
      </c>
      <c r="B871" s="14" t="s">
        <v>134</v>
      </c>
      <c r="C871" s="14" t="s">
        <v>12501</v>
      </c>
      <c r="D871" s="5" t="str">
        <f ca="1">IFERROR(__xludf.DUMMYFUNCTION("GOOGLETRANSLATE(B871,""ja"",""vi"")"),"Một món đồ chơi")</f>
        <v>Một món đồ chơi</v>
      </c>
      <c r="E871" s="5" t="str">
        <f ca="1">IFERROR(__xludf.DUMMYFUNCTION("GOOGLETRANSLATE(C871,""ja"",""vi"")"),"Đấu giá&gt; nhà, nội thất&gt; Đồ Pet&gt; Cát&gt; Đồ chơi")</f>
        <v>Đấu giá&gt; nhà, nội thất&gt; Đồ Pet&gt; Cát&gt; Đồ chơi</v>
      </c>
      <c r="F871" t="str">
        <f t="shared" ca="1" si="13"/>
        <v>"2084008203" : "Một món đồ chơi",</v>
      </c>
    </row>
    <row r="872" spans="1:6" ht="15.75" customHeight="1">
      <c r="A872" s="14">
        <v>2084192986</v>
      </c>
      <c r="B872" s="14" t="s">
        <v>12505</v>
      </c>
      <c r="C872" s="14" t="s">
        <v>12506</v>
      </c>
      <c r="D872" s="5" t="str">
        <f ca="1">IFERROR(__xludf.DUMMYFUNCTION("GOOGLETRANSLATE(B872,""ja"",""vi"")"),"Cát Tháp")</f>
        <v>Cát Tháp</v>
      </c>
      <c r="E872" s="5" t="str">
        <f ca="1">IFERROR(__xludf.DUMMYFUNCTION("GOOGLETRANSLATE(C872,""ja"",""vi"")"),"Đấu giá&gt; nhà, nội thất&gt; Đồ Pet&gt; Cát&gt; Cát Tháp")</f>
        <v>Đấu giá&gt; nhà, nội thất&gt; Đồ Pet&gt; Cát&gt; Cát Tháp</v>
      </c>
      <c r="F872" t="str">
        <f t="shared" ca="1" si="13"/>
        <v>"2084192986" : "Cát Tháp",</v>
      </c>
    </row>
    <row r="873" spans="1:6" ht="15.75" customHeight="1">
      <c r="A873" s="14">
        <v>2084008205</v>
      </c>
      <c r="B873" s="14" t="s">
        <v>12510</v>
      </c>
      <c r="C873" s="14" t="s">
        <v>12513</v>
      </c>
      <c r="D873" s="5" t="str">
        <f ca="1">IFERROR(__xludf.DUMMYFUNCTION("GOOGLETRANSLATE(B873,""ja"",""vi"")"),"Thức ăn cho mèo")</f>
        <v>Thức ăn cho mèo</v>
      </c>
      <c r="E873" s="5" t="str">
        <f ca="1">IFERROR(__xludf.DUMMYFUNCTION("GOOGLETRANSLATE(C873,""ja"",""vi"")"),"Đấu giá&gt; nhà, nội thất&gt; Đồ Pet&gt; mèo&gt; thức ăn cho mèo")</f>
        <v>Đấu giá&gt; nhà, nội thất&gt; Đồ Pet&gt; mèo&gt; thức ăn cho mèo</v>
      </c>
      <c r="F873" t="str">
        <f t="shared" ca="1" si="13"/>
        <v>"2084008205" : "Thức ăn cho mèo",</v>
      </c>
    </row>
    <row r="874" spans="1:6" ht="15.75" customHeight="1">
      <c r="A874" s="14">
        <v>2084008202</v>
      </c>
      <c r="B874" s="14" t="s">
        <v>12429</v>
      </c>
      <c r="C874" s="14" t="s">
        <v>12517</v>
      </c>
      <c r="D874" s="5" t="str">
        <f ca="1">IFERROR(__xludf.DUMMYFUNCTION("GOOGLETRANSLATE(B874,""ja"",""vi"")"),"nghề nghiệp")</f>
        <v>nghề nghiệp</v>
      </c>
      <c r="E874" s="5" t="str">
        <f ca="1">IFERROR(__xludf.DUMMYFUNCTION("GOOGLETRANSLATE(C874,""ja"",""vi"")"),"Đấu giá&gt; nhà, nội thất&gt; Đồ Pet&gt; mèo&gt; Career")</f>
        <v>Đấu giá&gt; nhà, nội thất&gt; Đồ Pet&gt; mèo&gt; Career</v>
      </c>
      <c r="F874" t="str">
        <f t="shared" ca="1" si="13"/>
        <v>"2084008202" : "nghề nghiệp",</v>
      </c>
    </row>
    <row r="875" spans="1:6" ht="15.75" customHeight="1">
      <c r="A875" s="14">
        <v>2084061522</v>
      </c>
      <c r="B875" s="14" t="s">
        <v>12440</v>
      </c>
      <c r="C875" s="14" t="s">
        <v>12522</v>
      </c>
      <c r="D875" s="5" t="str">
        <f ca="1">IFERROR(__xludf.DUMMYFUNCTION("GOOGLETRANSLATE(B875,""ja"",""vi"")"),"nhà vệ sinh")</f>
        <v>nhà vệ sinh</v>
      </c>
      <c r="E875" s="5" t="str">
        <f ca="1">IFERROR(__xludf.DUMMYFUNCTION("GOOGLETRANSLATE(C875,""ja"",""vi"")"),"Đấu giá&gt; nhà, nội thất&gt; Đồ Pet&gt; mèo&gt; nhà vệ sinh")</f>
        <v>Đấu giá&gt; nhà, nội thất&gt; Đồ Pet&gt; mèo&gt; nhà vệ sinh</v>
      </c>
      <c r="F875" t="str">
        <f t="shared" ca="1" si="13"/>
        <v>"2084061522" : "nhà vệ sinh",</v>
      </c>
    </row>
    <row r="876" spans="1:6" ht="15.75" customHeight="1">
      <c r="A876" s="14">
        <v>2084008201</v>
      </c>
      <c r="B876" s="14" t="s">
        <v>12525</v>
      </c>
      <c r="C876" s="14" t="s">
        <v>12527</v>
      </c>
      <c r="D876" s="5" t="str">
        <f ca="1">IFERROR(__xludf.DUMMYFUNCTION("GOOGLETRANSLATE(B876,""ja"",""vi"")"),"House, giường")</f>
        <v>House, giường</v>
      </c>
      <c r="E876" s="5" t="str">
        <f ca="1">IFERROR(__xludf.DUMMYFUNCTION("GOOGLETRANSLATE(C876,""ja"",""vi"")"),"Đấu giá&gt; nhà, nội thất&gt; Đồ Pet&gt; mèo&gt; nhà, giường")</f>
        <v>Đấu giá&gt; nhà, nội thất&gt; Đồ Pet&gt; mèo&gt; nhà, giường</v>
      </c>
      <c r="F876" t="str">
        <f t="shared" ca="1" si="13"/>
        <v>"2084008201" : "House, giường",</v>
      </c>
    </row>
    <row r="877" spans="1:6" ht="15.75" customHeight="1">
      <c r="A877" s="14">
        <v>2084008204</v>
      </c>
      <c r="B877" s="14" t="s">
        <v>12463</v>
      </c>
      <c r="C877" s="14" t="s">
        <v>12532</v>
      </c>
      <c r="D877" s="5" t="str">
        <f ca="1">IFERROR(__xludf.DUMMYFUNCTION("GOOGLETRANSLATE(B877,""ja"",""vi"")"),"sản phẩm chăm sóc")</f>
        <v>sản phẩm chăm sóc</v>
      </c>
      <c r="E877" s="5" t="str">
        <f ca="1">IFERROR(__xludf.DUMMYFUNCTION("GOOGLETRANSLATE(C877,""ja"",""vi"")"),"Đấu giá&gt; nhà, nội thất&gt; Đồ Pet&gt; mèo&gt; sản phẩm chăm sóc")</f>
        <v>Đấu giá&gt; nhà, nội thất&gt; Đồ Pet&gt; mèo&gt; sản phẩm chăm sóc</v>
      </c>
      <c r="F877" t="str">
        <f t="shared" ca="1" si="13"/>
        <v>"2084008204" : "sản phẩm chăm sóc",</v>
      </c>
    </row>
    <row r="878" spans="1:6" ht="15.75" customHeight="1">
      <c r="A878" s="14">
        <v>2084061897</v>
      </c>
      <c r="B878" s="14" t="s">
        <v>12535</v>
      </c>
      <c r="C878" s="14" t="s">
        <v>12537</v>
      </c>
      <c r="D878" s="5" t="str">
        <f ca="1">IFERROR(__xludf.DUMMYFUNCTION("GOOGLETRANSLATE(B878,""ja"",""vi"")"),"khăn quàng cổ")</f>
        <v>khăn quàng cổ</v>
      </c>
      <c r="E878" s="5" t="str">
        <f ca="1">IFERROR(__xludf.DUMMYFUNCTION("GOOGLETRANSLATE(C878,""ja"",""vi"")"),"Đấu giá&gt; nhà, nội thất&gt; Đồ Pet&gt; mèo&gt; Collar")</f>
        <v>Đấu giá&gt; nhà, nội thất&gt; Đồ Pet&gt; mèo&gt; Collar</v>
      </c>
      <c r="F878" t="str">
        <f t="shared" ca="1" si="13"/>
        <v>"2084061897" : "khăn quàng cổ",</v>
      </c>
    </row>
    <row r="879" spans="1:6" ht="15.75" customHeight="1">
      <c r="A879" s="14">
        <v>2084048883</v>
      </c>
      <c r="B879" s="14" t="s">
        <v>8322</v>
      </c>
      <c r="C879" s="14" t="s">
        <v>12540</v>
      </c>
      <c r="D879" s="5" t="str">
        <f ca="1">IFERROR(__xludf.DUMMYFUNCTION("GOOGLETRANSLATE(B879,""ja"",""vi"")"),"đồ dùng trên bàn")</f>
        <v>đồ dùng trên bàn</v>
      </c>
      <c r="E879" s="5" t="str">
        <f ca="1">IFERROR(__xludf.DUMMYFUNCTION("GOOGLETRANSLATE(C879,""ja"",""vi"")"),"Đấu giá&gt; nhà, nội thất&gt; Đồ Pet&gt; mèo&gt; bộ đồ ăn")</f>
        <v>Đấu giá&gt; nhà, nội thất&gt; Đồ Pet&gt; mèo&gt; bộ đồ ăn</v>
      </c>
      <c r="F879" t="str">
        <f t="shared" ca="1" si="13"/>
        <v>"2084048883" : "đồ dùng trên bàn",</v>
      </c>
    </row>
    <row r="880" spans="1:6" ht="15.75" customHeight="1">
      <c r="A880" s="14">
        <v>2084192987</v>
      </c>
      <c r="B880" s="14" t="s">
        <v>12545</v>
      </c>
      <c r="C880" s="14" t="s">
        <v>12546</v>
      </c>
      <c r="D880" s="5" t="str">
        <f ca="1">IFERROR(__xludf.DUMMYFUNCTION("GOOGLETRANSLATE(B880,""ja"",""vi"")"),"gãi nguồn cung cấp")</f>
        <v>gãi nguồn cung cấp</v>
      </c>
      <c r="E880" s="5" t="str">
        <f ca="1">IFERROR(__xludf.DUMMYFUNCTION("GOOGLETRANSLATE(C880,""ja"",""vi"")"),"Đấu giá&gt; nhà, nội thất&gt; Đồ Pet&gt; mèo&gt; nguồn cung cấp gãi")</f>
        <v>Đấu giá&gt; nhà, nội thất&gt; Đồ Pet&gt; mèo&gt; nguồn cung cấp gãi</v>
      </c>
      <c r="F880" t="str">
        <f t="shared" ca="1" si="13"/>
        <v>"2084192987" : "gãi nguồn cung cấp",</v>
      </c>
    </row>
    <row r="881" spans="1:6" ht="15.75" customHeight="1">
      <c r="A881" s="14">
        <v>2084192988</v>
      </c>
      <c r="B881" s="14" t="s">
        <v>12481</v>
      </c>
      <c r="C881" s="14" t="s">
        <v>12551</v>
      </c>
      <c r="D881" s="5" t="str">
        <f ca="1">IFERROR(__xludf.DUMMYFUNCTION("GOOGLETRANSLATE(B881,""ja"",""vi"")"),"quần áo")</f>
        <v>quần áo</v>
      </c>
      <c r="E881" s="5" t="str">
        <f ca="1">IFERROR(__xludf.DUMMYFUNCTION("GOOGLETRANSLATE(C881,""ja"",""vi"")"),"Đấu giá&gt; nhà, nội thất&gt; Đồ Pet&gt; mèo&gt; Quần áo")</f>
        <v>Đấu giá&gt; nhà, nội thất&gt; Đồ Pet&gt; mèo&gt; Quần áo</v>
      </c>
      <c r="F881" t="str">
        <f t="shared" ca="1" si="13"/>
        <v>"2084192988" : "quần áo",</v>
      </c>
    </row>
    <row r="882" spans="1:6" ht="15.75" customHeight="1">
      <c r="A882" s="14">
        <v>2084008886</v>
      </c>
      <c r="B882" s="14" t="s">
        <v>1632</v>
      </c>
      <c r="C882" s="14" t="s">
        <v>12556</v>
      </c>
      <c r="D882" s="5" t="str">
        <f ca="1">IFERROR(__xludf.DUMMYFUNCTION("GOOGLETRANSLATE(B882,""ja"",""vi"")"),"điều này")</f>
        <v>điều này</v>
      </c>
      <c r="E882" s="5" t="str">
        <f ca="1">IFERROR(__xludf.DUMMYFUNCTION("GOOGLETRANSLATE(C882,""ja"",""vi"")"),"Đấu giá&gt; nhà, nội thất&gt; Đồ Pet&gt; mèo&gt; Sách")</f>
        <v>Đấu giá&gt; nhà, nội thất&gt; Đồ Pet&gt; mèo&gt; Sách</v>
      </c>
      <c r="F882" t="str">
        <f t="shared" ca="1" si="13"/>
        <v>"2084008886" : "điều này",</v>
      </c>
    </row>
    <row r="883" spans="1:6" ht="15.75" customHeight="1">
      <c r="A883" s="14">
        <v>2084008206</v>
      </c>
      <c r="B883" s="14" t="s">
        <v>46</v>
      </c>
      <c r="C883" s="14" t="s">
        <v>12559</v>
      </c>
      <c r="D883" s="5" t="str">
        <f ca="1">IFERROR(__xludf.DUMMYFUNCTION("GOOGLETRANSLATE(B883,""ja"",""vi"")"),"nếu không thì")</f>
        <v>nếu không thì</v>
      </c>
      <c r="E883" s="5" t="str">
        <f ca="1">IFERROR(__xludf.DUMMYFUNCTION("GOOGLETRANSLATE(C883,""ja"",""vi"")"),"Đấu giá&gt; nhà, nội thất&gt; Đồ Pet&gt; mèo&gt; Khác")</f>
        <v>Đấu giá&gt; nhà, nội thất&gt; Đồ Pet&gt; mèo&gt; Khác</v>
      </c>
      <c r="F883" t="str">
        <f t="shared" ca="1" si="13"/>
        <v>"2084008206" : "nếu không thì",</v>
      </c>
    </row>
    <row r="884" spans="1:6" ht="15.75" customHeight="1">
      <c r="A884" s="14">
        <v>2084008208</v>
      </c>
      <c r="B884" s="14" t="s">
        <v>134</v>
      </c>
      <c r="C884" s="14" t="s">
        <v>12566</v>
      </c>
      <c r="D884" s="5" t="str">
        <f ca="1">IFERROR(__xludf.DUMMYFUNCTION("GOOGLETRANSLATE(B884,""ja"",""vi"")"),"Một món đồ chơi")</f>
        <v>Một món đồ chơi</v>
      </c>
      <c r="E884" s="5" t="str">
        <f ca="1">IFERROR(__xludf.DUMMYFUNCTION("GOOGLETRANSLATE(C884,""ja"",""vi"")"),"Đấu giá&gt; nhà, nội thất&gt; Đồ Pet&gt; động vật nhỏ&gt; Đồ chơi")</f>
        <v>Đấu giá&gt; nhà, nội thất&gt; Đồ Pet&gt; động vật nhỏ&gt; Đồ chơi</v>
      </c>
      <c r="F884" t="str">
        <f t="shared" ca="1" si="13"/>
        <v>"2084008208" : "Một món đồ chơi",</v>
      </c>
    </row>
    <row r="885" spans="1:6" ht="15.75" customHeight="1">
      <c r="A885" s="14">
        <v>2084008207</v>
      </c>
      <c r="B885" s="14" t="s">
        <v>12570</v>
      </c>
      <c r="C885" s="14" t="s">
        <v>12572</v>
      </c>
      <c r="D885" s="5" t="str">
        <f ca="1">IFERROR(__xludf.DUMMYFUNCTION("GOOGLETRANSLATE(B885,""ja"",""vi"")"),"Cage, lồng")</f>
        <v>Cage, lồng</v>
      </c>
      <c r="E885" s="5" t="str">
        <f ca="1">IFERROR(__xludf.DUMMYFUNCTION("GOOGLETRANSLATE(C885,""ja"",""vi"")"),"Đấu giá&gt; nhà, nội thất&gt; Đồ Pet&gt; động vật nhỏ&gt; lồng, lồng")</f>
        <v>Đấu giá&gt; nhà, nội thất&gt; Đồ Pet&gt; động vật nhỏ&gt; lồng, lồng</v>
      </c>
      <c r="F885" t="str">
        <f t="shared" ca="1" si="13"/>
        <v>"2084008207" : "Cage, lồng",</v>
      </c>
    </row>
    <row r="886" spans="1:6" ht="15.75" customHeight="1">
      <c r="A886" s="14">
        <v>2084008209</v>
      </c>
      <c r="B886" s="14" t="s">
        <v>12577</v>
      </c>
      <c r="C886" s="14" t="s">
        <v>12578</v>
      </c>
      <c r="D886" s="5" t="str">
        <f ca="1">IFERROR(__xludf.DUMMYFUNCTION("GOOGLETRANSLATE(B886,""ja"",""vi"")"),"mồi")</f>
        <v>mồi</v>
      </c>
      <c r="E886" s="5" t="str">
        <f ca="1">IFERROR(__xludf.DUMMYFUNCTION("GOOGLETRANSLATE(C886,""ja"",""vi"")"),"Đấu giá&gt; nhà, nội thất&gt; Đồ Pet&gt; động vật nhỏ&gt; mồi")</f>
        <v>Đấu giá&gt; nhà, nội thất&gt; Đồ Pet&gt; động vật nhỏ&gt; mồi</v>
      </c>
      <c r="F886" t="str">
        <f t="shared" ca="1" si="13"/>
        <v>"2084008209" : "mồi",</v>
      </c>
    </row>
    <row r="887" spans="1:6" ht="15.75" customHeight="1">
      <c r="A887" s="14">
        <v>2084008342</v>
      </c>
      <c r="B887" s="14" t="s">
        <v>12429</v>
      </c>
      <c r="C887" s="14" t="s">
        <v>12583</v>
      </c>
      <c r="D887" s="5" t="str">
        <f ca="1">IFERROR(__xludf.DUMMYFUNCTION("GOOGLETRANSLATE(B887,""ja"",""vi"")"),"nghề nghiệp")</f>
        <v>nghề nghiệp</v>
      </c>
      <c r="E887" s="5" t="str">
        <f ca="1">IFERROR(__xludf.DUMMYFUNCTION("GOOGLETRANSLATE(C887,""ja"",""vi"")"),"Đấu giá&gt; nhà, nội thất&gt; Đồ Pet&gt; động vật nhỏ&gt; Career")</f>
        <v>Đấu giá&gt; nhà, nội thất&gt; Đồ Pet&gt; động vật nhỏ&gt; Career</v>
      </c>
      <c r="F887" t="str">
        <f t="shared" ca="1" si="13"/>
        <v>"2084008342" : "nghề nghiệp",</v>
      </c>
    </row>
    <row r="888" spans="1:6" ht="15.75" customHeight="1">
      <c r="A888" s="14">
        <v>2084061523</v>
      </c>
      <c r="B888" s="14" t="s">
        <v>12440</v>
      </c>
      <c r="C888" s="14" t="s">
        <v>12588</v>
      </c>
      <c r="D888" s="5" t="str">
        <f ca="1">IFERROR(__xludf.DUMMYFUNCTION("GOOGLETRANSLATE(B888,""ja"",""vi"")"),"nhà vệ sinh")</f>
        <v>nhà vệ sinh</v>
      </c>
      <c r="E888" s="5" t="str">
        <f ca="1">IFERROR(__xludf.DUMMYFUNCTION("GOOGLETRANSLATE(C888,""ja"",""vi"")"),"Đấu giá&gt; nhà, nội thất&gt; Đồ Pet&gt; động vật nhỏ&gt; nhà vệ sinh")</f>
        <v>Đấu giá&gt; nhà, nội thất&gt; Đồ Pet&gt; động vật nhỏ&gt; nhà vệ sinh</v>
      </c>
      <c r="F888" t="str">
        <f t="shared" ca="1" si="13"/>
        <v>"2084061523" : "nhà vệ sinh",</v>
      </c>
    </row>
    <row r="889" spans="1:6" ht="15.75" customHeight="1">
      <c r="A889" s="14">
        <v>2084008889</v>
      </c>
      <c r="B889" s="14" t="s">
        <v>1632</v>
      </c>
      <c r="C889" s="14" t="s">
        <v>12594</v>
      </c>
      <c r="D889" s="5" t="str">
        <f ca="1">IFERROR(__xludf.DUMMYFUNCTION("GOOGLETRANSLATE(B889,""ja"",""vi"")"),"điều này")</f>
        <v>điều này</v>
      </c>
      <c r="E889" s="5" t="str">
        <f ca="1">IFERROR(__xludf.DUMMYFUNCTION("GOOGLETRANSLATE(C889,""ja"",""vi"")"),"Đấu giá&gt; nhà, Đồ nội thất&gt; Pet&gt; động vật nhỏ&gt; Sách")</f>
        <v>Đấu giá&gt; nhà, Đồ nội thất&gt; Pet&gt; động vật nhỏ&gt; Sách</v>
      </c>
      <c r="F889" t="str">
        <f t="shared" ca="1" si="13"/>
        <v>"2084008889" : "điều này",</v>
      </c>
    </row>
    <row r="890" spans="1:6" ht="15.75" customHeight="1">
      <c r="A890" s="14">
        <v>2084008210</v>
      </c>
      <c r="B890" s="14" t="s">
        <v>46</v>
      </c>
      <c r="C890" s="14" t="s">
        <v>12602</v>
      </c>
      <c r="D890" s="5" t="str">
        <f ca="1">IFERROR(__xludf.DUMMYFUNCTION("GOOGLETRANSLATE(B890,""ja"",""vi"")"),"nếu không thì")</f>
        <v>nếu không thì</v>
      </c>
      <c r="E890" s="5" t="str">
        <f ca="1">IFERROR(__xludf.DUMMYFUNCTION("GOOGLETRANSLATE(C890,""ja"",""vi"")"),"Đấu giá&gt; nhà, nội thất&gt; Đồ Pet&gt; động vật nhỏ&gt; Khác")</f>
        <v>Đấu giá&gt; nhà, nội thất&gt; Đồ Pet&gt; động vật nhỏ&gt; Khác</v>
      </c>
      <c r="F890" t="str">
        <f t="shared" ca="1" si="13"/>
        <v>"2084008210" : "nếu không thì",</v>
      </c>
    </row>
    <row r="891" spans="1:6" ht="15.75" customHeight="1">
      <c r="A891" s="14">
        <v>2084008212</v>
      </c>
      <c r="B891" s="14" t="s">
        <v>134</v>
      </c>
      <c r="C891" s="14" t="s">
        <v>12606</v>
      </c>
      <c r="D891" s="5" t="str">
        <f ca="1">IFERROR(__xludf.DUMMYFUNCTION("GOOGLETRANSLATE(B891,""ja"",""vi"")"),"Một món đồ chơi")</f>
        <v>Một món đồ chơi</v>
      </c>
      <c r="E891" s="5" t="str">
        <f ca="1">IFERROR(__xludf.DUMMYFUNCTION("GOOGLETRANSLATE(C891,""ja"",""vi"")"),"Đấu giá&gt; nhà, nội thất&gt; Đồ Pet&gt; Bird&gt; Đồ chơi")</f>
        <v>Đấu giá&gt; nhà, nội thất&gt; Đồ Pet&gt; Bird&gt; Đồ chơi</v>
      </c>
      <c r="F891" t="str">
        <f t="shared" ca="1" si="13"/>
        <v>"2084008212" : "Một món đồ chơi",</v>
      </c>
    </row>
    <row r="892" spans="1:6" ht="15.75" customHeight="1">
      <c r="A892" s="14">
        <v>2084008214</v>
      </c>
      <c r="B892" s="14" t="s">
        <v>12577</v>
      </c>
      <c r="C892" s="14" t="s">
        <v>12611</v>
      </c>
      <c r="D892" s="5" t="str">
        <f ca="1">IFERROR(__xludf.DUMMYFUNCTION("GOOGLETRANSLATE(B892,""ja"",""vi"")"),"mồi")</f>
        <v>mồi</v>
      </c>
      <c r="E892" s="5" t="str">
        <f ca="1">IFERROR(__xludf.DUMMYFUNCTION("GOOGLETRANSLATE(C892,""ja"",""vi"")"),"Đấu giá&gt; nhà, nội thất&gt; Đồ Pet&gt; Bird&gt; mồi")</f>
        <v>Đấu giá&gt; nhà, nội thất&gt; Đồ Pet&gt; Bird&gt; mồi</v>
      </c>
      <c r="F892" t="str">
        <f t="shared" ca="1" si="13"/>
        <v>"2084008214" : "mồi",</v>
      </c>
    </row>
    <row r="893" spans="1:6" ht="15.75" customHeight="1">
      <c r="A893" s="14">
        <v>2084008211</v>
      </c>
      <c r="B893" s="14" t="s">
        <v>12614</v>
      </c>
      <c r="C893" s="14" t="s">
        <v>12617</v>
      </c>
      <c r="D893" s="5" t="str">
        <f ca="1">IFERROR(__xludf.DUMMYFUNCTION("GOOGLETRANSLATE(B893,""ja"",""vi"")"),"Birdcage")</f>
        <v>Birdcage</v>
      </c>
      <c r="E893" s="5" t="str">
        <f ca="1">IFERROR(__xludf.DUMMYFUNCTION("GOOGLETRANSLATE(C893,""ja"",""vi"")"),"Đấu giá&gt; nhà, nội thất&gt; Đồ Pet&gt; Bird&gt; Bird Cage")</f>
        <v>Đấu giá&gt; nhà, nội thất&gt; Đồ Pet&gt; Bird&gt; Bird Cage</v>
      </c>
      <c r="F893" t="str">
        <f t="shared" ca="1" si="13"/>
        <v>"2084008211" : "Birdcage",</v>
      </c>
    </row>
    <row r="894" spans="1:6" ht="15.75" customHeight="1">
      <c r="A894" s="14">
        <v>2084008888</v>
      </c>
      <c r="B894" s="14" t="s">
        <v>1632</v>
      </c>
      <c r="C894" s="14" t="s">
        <v>12624</v>
      </c>
      <c r="D894" s="5" t="str">
        <f ca="1">IFERROR(__xludf.DUMMYFUNCTION("GOOGLETRANSLATE(B894,""ja"",""vi"")"),"điều này")</f>
        <v>điều này</v>
      </c>
      <c r="E894" s="5" t="str">
        <f ca="1">IFERROR(__xludf.DUMMYFUNCTION("GOOGLETRANSLATE(C894,""ja"",""vi"")"),"Đấu giá&gt; nhà, nội thất&gt; Đồ Pet&gt; Bird&gt; Sách")</f>
        <v>Đấu giá&gt; nhà, nội thất&gt; Đồ Pet&gt; Bird&gt; Sách</v>
      </c>
      <c r="F894" t="str">
        <f t="shared" ca="1" si="13"/>
        <v>"2084008888" : "điều này",</v>
      </c>
    </row>
    <row r="895" spans="1:6" ht="15.75" customHeight="1">
      <c r="A895" s="14">
        <v>2084008215</v>
      </c>
      <c r="B895" s="14" t="s">
        <v>46</v>
      </c>
      <c r="C895" s="14" t="s">
        <v>12629</v>
      </c>
      <c r="D895" s="5" t="str">
        <f ca="1">IFERROR(__xludf.DUMMYFUNCTION("GOOGLETRANSLATE(B895,""ja"",""vi"")"),"nếu không thì")</f>
        <v>nếu không thì</v>
      </c>
      <c r="E895" s="5" t="str">
        <f ca="1">IFERROR(__xludf.DUMMYFUNCTION("GOOGLETRANSLATE(C895,""ja"",""vi"")"),"Đấu giá&gt; nhà, nội thất&gt; Đồ Pet&gt; Bird&gt; Khác")</f>
        <v>Đấu giá&gt; nhà, nội thất&gt; Đồ Pet&gt; Bird&gt; Khác</v>
      </c>
      <c r="F895" t="str">
        <f t="shared" ca="1" si="13"/>
        <v>"2084008215" : "nếu không thì",</v>
      </c>
    </row>
    <row r="896" spans="1:6" ht="15.75" customHeight="1">
      <c r="A896" s="14">
        <v>24290</v>
      </c>
      <c r="B896" s="14" t="s">
        <v>3138</v>
      </c>
      <c r="C896" s="14" t="s">
        <v>12635</v>
      </c>
      <c r="D896" s="5" t="str">
        <f ca="1">IFERROR(__xludf.DUMMYFUNCTION("GOOGLETRANSLATE(B896,""ja"",""vi"")"),"bộ")</f>
        <v>bộ</v>
      </c>
      <c r="E896" s="5" t="str">
        <f ca="1">IFERROR(__xludf.DUMMYFUNCTION("GOOGLETRANSLATE(C896,""ja"",""vi"")"),"Đấu giá&gt; nhà, nội thất&gt; Đồ Pet&gt; cá, nhà máy nước&gt; bộ")</f>
        <v>Đấu giá&gt; nhà, nội thất&gt; Đồ Pet&gt; cá, nhà máy nước&gt; bộ</v>
      </c>
      <c r="F896" t="str">
        <f t="shared" ca="1" si="13"/>
        <v>"24290" : "bộ",</v>
      </c>
    </row>
    <row r="897" spans="1:6" ht="15.75" customHeight="1">
      <c r="A897" s="14">
        <v>2084061343</v>
      </c>
      <c r="B897" s="14" t="s">
        <v>12640</v>
      </c>
      <c r="C897" s="14" t="s">
        <v>12642</v>
      </c>
      <c r="D897" s="5" t="str">
        <f ca="1">IFERROR(__xludf.DUMMYFUNCTION("GOOGLETRANSLATE(B897,""ja"",""vi"")"),"vật liệu lọc")</f>
        <v>vật liệu lọc</v>
      </c>
      <c r="E897" s="5" t="str">
        <f ca="1">IFERROR(__xludf.DUMMYFUNCTION("GOOGLETRANSLATE(C897,""ja"",""vi"")"),"Đấu giá&gt; nhà, nội thất&gt; Đồ Pet&gt; cá, nhà máy nước&gt; vật liệu lọc")</f>
        <v>Đấu giá&gt; nhà, nội thất&gt; Đồ Pet&gt; cá, nhà máy nước&gt; vật liệu lọc</v>
      </c>
      <c r="F897" t="str">
        <f t="shared" ca="1" si="13"/>
        <v>"2084061343" : "vật liệu lọc",</v>
      </c>
    </row>
    <row r="898" spans="1:6" ht="15.75" customHeight="1">
      <c r="A898" s="14">
        <v>24274</v>
      </c>
      <c r="B898" s="14" t="s">
        <v>12646</v>
      </c>
      <c r="C898" s="14" t="s">
        <v>12648</v>
      </c>
      <c r="D898" s="5" t="str">
        <f ca="1">IFERROR(__xludf.DUMMYFUNCTION("GOOGLETRANSLATE(B898,""ja"",""vi"")"),"máy bơm không khí")</f>
        <v>máy bơm không khí</v>
      </c>
      <c r="E898" s="5" t="str">
        <f ca="1">IFERROR(__xludf.DUMMYFUNCTION("GOOGLETRANSLATE(C898,""ja"",""vi"")"),"Đấu giá&gt; nhà, nội thất&gt; Đồ Pet&gt; cá, nhà máy nước&gt; máy bơm không khí")</f>
        <v>Đấu giá&gt; nhà, nội thất&gt; Đồ Pet&gt; cá, nhà máy nước&gt; máy bơm không khí</v>
      </c>
      <c r="F898" t="str">
        <f t="shared" ref="F898:F961" ca="1" si="14">CONCATENATE(CHAR(34)&amp;"",A898,""&amp;CHAR(34)," : ", CHAR(34)&amp;"",D898,""&amp;CHAR(34),",")</f>
        <v>"24274" : "máy bơm không khí",</v>
      </c>
    </row>
    <row r="899" spans="1:6" ht="15.75" customHeight="1">
      <c r="A899" s="14">
        <v>2084008260</v>
      </c>
      <c r="B899" s="14" t="s">
        <v>12577</v>
      </c>
      <c r="C899" s="14" t="s">
        <v>12653</v>
      </c>
      <c r="D899" s="5" t="str">
        <f ca="1">IFERROR(__xludf.DUMMYFUNCTION("GOOGLETRANSLATE(B899,""ja"",""vi"")"),"mồi")</f>
        <v>mồi</v>
      </c>
      <c r="E899" s="5" t="str">
        <f ca="1">IFERROR(__xludf.DUMMYFUNCTION("GOOGLETRANSLATE(C899,""ja"",""vi"")"),"Đấu giá&gt; nhà, nội thất&gt; Đồ Pet&gt; cá, nhà máy nước&gt; mồi")</f>
        <v>Đấu giá&gt; nhà, nội thất&gt; Đồ Pet&gt; cá, nhà máy nước&gt; mồi</v>
      </c>
      <c r="F899" t="str">
        <f t="shared" ca="1" si="14"/>
        <v>"2084008260" : "mồi",</v>
      </c>
    </row>
    <row r="900" spans="1:6" ht="15.75" customHeight="1">
      <c r="A900" s="14">
        <v>2084061388</v>
      </c>
      <c r="B900" s="14" t="s">
        <v>12659</v>
      </c>
      <c r="C900" s="14" t="s">
        <v>12660</v>
      </c>
      <c r="D900" s="5" t="str">
        <f ca="1">IFERROR(__xludf.DUMMYFUNCTION("GOOGLETRANSLATE(B900,""ja"",""vi"")"),"Cooler")</f>
        <v>Cooler</v>
      </c>
      <c r="E900" s="5" t="str">
        <f ca="1">IFERROR(__xludf.DUMMYFUNCTION("GOOGLETRANSLATE(C900,""ja"",""vi"")"),"Đấu giá&gt; nhà, nội thất&gt; Đồ Pet&gt; cá, nhà máy nước&gt; mát")</f>
        <v>Đấu giá&gt; nhà, nội thất&gt; Đồ Pet&gt; cá, nhà máy nước&gt; mát</v>
      </c>
      <c r="F900" t="str">
        <f t="shared" ca="1" si="14"/>
        <v>"2084061388" : "Cooler",</v>
      </c>
    </row>
    <row r="901" spans="1:6" ht="15.75" customHeight="1">
      <c r="A901" s="14">
        <v>2084005549</v>
      </c>
      <c r="B901" s="14" t="s">
        <v>12663</v>
      </c>
      <c r="C901" s="14" t="s">
        <v>12664</v>
      </c>
      <c r="D901" s="5" t="str">
        <f ca="1">IFERROR(__xludf.DUMMYFUNCTION("GOOGLETRANSLATE(B901,""ja"",""vi"")"),"máy điều nhiệt")</f>
        <v>máy điều nhiệt</v>
      </c>
      <c r="E901" s="5" t="str">
        <f ca="1">IFERROR(__xludf.DUMMYFUNCTION("GOOGLETRANSLATE(C901,""ja"",""vi"")"),"Đấu giá&gt; nhà, nội thất&gt; Đồ Pet&gt; cá, nhà máy nước&gt; nhiệt")</f>
        <v>Đấu giá&gt; nhà, nội thất&gt; Đồ Pet&gt; cá, nhà máy nước&gt; nhiệt</v>
      </c>
      <c r="F901" t="str">
        <f t="shared" ca="1" si="14"/>
        <v>"2084005549" : "máy điều nhiệt",</v>
      </c>
    </row>
    <row r="902" spans="1:6" ht="15.75" customHeight="1">
      <c r="A902" s="14">
        <v>24294</v>
      </c>
      <c r="B902" s="14" t="s">
        <v>12669</v>
      </c>
      <c r="C902" s="14" t="s">
        <v>12670</v>
      </c>
      <c r="D902" s="5" t="str">
        <f ca="1">IFERROR(__xludf.DUMMYFUNCTION("GOOGLETRANSLATE(B902,""ja"",""vi"")"),"san hô")</f>
        <v>san hô</v>
      </c>
      <c r="E902" s="5" t="str">
        <f ca="1">IFERROR(__xludf.DUMMYFUNCTION("GOOGLETRANSLATE(C902,""ja"",""vi"")"),"Đấu giá&gt; nhà, nội thất&gt; Đồ Pet&gt; cá, nhà máy nước&gt; san hô")</f>
        <v>Đấu giá&gt; nhà, nội thất&gt; Đồ Pet&gt; cá, nhà máy nước&gt; san hô</v>
      </c>
      <c r="F902" t="str">
        <f t="shared" ca="1" si="14"/>
        <v>"24294" : "san hô",</v>
      </c>
    </row>
    <row r="903" spans="1:6" ht="15.75" customHeight="1">
      <c r="A903" s="14">
        <v>2084062684</v>
      </c>
      <c r="B903" s="14" t="s">
        <v>12673</v>
      </c>
      <c r="C903" s="14" t="s">
        <v>12676</v>
      </c>
      <c r="D903" s="5" t="str">
        <f ca="1">IFERROR(__xludf.DUMMYFUNCTION("GOOGLETRANSLATE(B903,""ja"",""vi"")"),"timer")</f>
        <v>timer</v>
      </c>
      <c r="E903" s="5" t="str">
        <f ca="1">IFERROR(__xludf.DUMMYFUNCTION("GOOGLETRANSLATE(C903,""ja"",""vi"")"),"Đấu giá&gt; nhà, nội thất&gt; Đồ Pet&gt; cá, nhà máy nước&gt; timer")</f>
        <v>Đấu giá&gt; nhà, nội thất&gt; Đồ Pet&gt; cá, nhà máy nước&gt; timer</v>
      </c>
      <c r="F903" t="str">
        <f t="shared" ca="1" si="14"/>
        <v>"2084062684" : "timer",</v>
      </c>
    </row>
    <row r="904" spans="1:6" ht="15.75" customHeight="1">
      <c r="A904" s="14">
        <v>24262</v>
      </c>
      <c r="B904" s="14" t="s">
        <v>12678</v>
      </c>
      <c r="C904" s="14" t="s">
        <v>12681</v>
      </c>
      <c r="D904" s="5" t="str">
        <f ca="1">IFERROR(__xludf.DUMMYFUNCTION("GOOGLETRANSLATE(B904,""ja"",""vi"")"),"lò sưởi")</f>
        <v>lò sưởi</v>
      </c>
      <c r="E904" s="5" t="str">
        <f ca="1">IFERROR(__xludf.DUMMYFUNCTION("GOOGLETRANSLATE(C904,""ja"",""vi"")"),"Đấu giá&gt; nhà, nội thất&gt; Đồ Pet&gt; cá, nhà máy nước&gt; nóng")</f>
        <v>Đấu giá&gt; nhà, nội thất&gt; Đồ Pet&gt; cá, nhà máy nước&gt; nóng</v>
      </c>
      <c r="F904" t="str">
        <f t="shared" ca="1" si="14"/>
        <v>"24262" : "lò sưởi",</v>
      </c>
    </row>
    <row r="905" spans="1:6" ht="15.75" customHeight="1">
      <c r="A905" s="14">
        <v>24250</v>
      </c>
      <c r="B905" s="14" t="s">
        <v>3400</v>
      </c>
      <c r="C905" s="14" t="s">
        <v>12687</v>
      </c>
      <c r="D905" s="5" t="str">
        <f ca="1">IFERROR(__xludf.DUMMYFUNCTION("GOOGLETRANSLATE(B905,""ja"",""vi"")"),"Lọc")</f>
        <v>Lọc</v>
      </c>
      <c r="E905" s="5" t="str">
        <f ca="1">IFERROR(__xludf.DUMMYFUNCTION("GOOGLETRANSLATE(C905,""ja"",""vi"")"),"Đấu giá&gt; nhà, nội thất&gt; Đồ Pet&gt; cá, nhà máy nước&gt; lọc")</f>
        <v>Đấu giá&gt; nhà, nội thất&gt; Đồ Pet&gt; cá, nhà máy nước&gt; lọc</v>
      </c>
      <c r="F905" t="str">
        <f t="shared" ca="1" si="14"/>
        <v>"24250" : "Lọc",</v>
      </c>
    </row>
    <row r="906" spans="1:6" ht="15.75" customHeight="1">
      <c r="A906" s="14">
        <v>2084061344</v>
      </c>
      <c r="B906" s="14" t="s">
        <v>12692</v>
      </c>
      <c r="C906" s="14" t="s">
        <v>12693</v>
      </c>
      <c r="D906" s="5" t="str">
        <f ca="1">IFERROR(__xludf.DUMMYFUNCTION("GOOGLETRANSLATE(B906,""ja"",""vi"")"),"Gravel, sàn")</f>
        <v>Gravel, sàn</v>
      </c>
      <c r="E906" s="5" t="str">
        <f ca="1">IFERROR(__xludf.DUMMYFUNCTION("GOOGLETRANSLATE(C906,""ja"",""vi"")"),"Đấu giá&gt; nhà, nội thất&gt; Đồ Pet&gt; cá, nhà máy nước&gt; sỏi, ván sàn")</f>
        <v>Đấu giá&gt; nhà, nội thất&gt; Đồ Pet&gt; cá, nhà máy nước&gt; sỏi, ván sàn</v>
      </c>
      <c r="F906" t="str">
        <f t="shared" ca="1" si="14"/>
        <v>"2084061344" : "Gravel, sàn",</v>
      </c>
    </row>
    <row r="907" spans="1:6" ht="15.75" customHeight="1">
      <c r="A907" s="14">
        <v>24266</v>
      </c>
      <c r="B907" s="14" t="s">
        <v>12697</v>
      </c>
      <c r="C907" s="14" t="s">
        <v>12698</v>
      </c>
      <c r="D907" s="5" t="str">
        <f ca="1">IFERROR(__xludf.DUMMYFUNCTION("GOOGLETRANSLATE(B907,""ja"",""vi"")"),"chiếu sáng")</f>
        <v>chiếu sáng</v>
      </c>
      <c r="E907" s="5" t="str">
        <f ca="1">IFERROR(__xludf.DUMMYFUNCTION("GOOGLETRANSLATE(C907,""ja"",""vi"")"),"Đấu giá&gt; nhà, nội thất&gt; Đồ Pet&gt; cá, nhà máy nước&gt; ánh sáng")</f>
        <v>Đấu giá&gt; nhà, nội thất&gt; Đồ Pet&gt; cá, nhà máy nước&gt; ánh sáng</v>
      </c>
      <c r="F907" t="str">
        <f t="shared" ca="1" si="14"/>
        <v>"24266" : "chiếu sáng",</v>
      </c>
    </row>
    <row r="908" spans="1:6" ht="15.75" customHeight="1">
      <c r="A908" s="14">
        <v>24258</v>
      </c>
      <c r="B908" s="14" t="s">
        <v>12700</v>
      </c>
      <c r="C908" s="14" t="s">
        <v>12703</v>
      </c>
      <c r="D908" s="5" t="str">
        <f ca="1">IFERROR(__xludf.DUMMYFUNCTION("GOOGLETRANSLATE(B908,""ja"",""vi"")"),"đo nhiệt độ nước")</f>
        <v>đo nhiệt độ nước</v>
      </c>
      <c r="E908" s="5" t="str">
        <f ca="1">IFERROR(__xludf.DUMMYFUNCTION("GOOGLETRANSLATE(C908,""ja"",""vi"")"),"Đấu giá&gt; nhà, nội thất&gt; Đồ Pet&gt; cá, nhà máy nước&gt; nhiệt kế nước")</f>
        <v>Đấu giá&gt; nhà, nội thất&gt; Đồ Pet&gt; cá, nhà máy nước&gt; nhiệt kế nước</v>
      </c>
      <c r="F908" t="str">
        <f t="shared" ca="1" si="14"/>
        <v>"24258" : "đo nhiệt độ nước",</v>
      </c>
    </row>
    <row r="909" spans="1:6" ht="15.75" customHeight="1">
      <c r="A909" s="14">
        <v>2084062659</v>
      </c>
      <c r="B909" s="14" t="s">
        <v>12705</v>
      </c>
      <c r="C909" s="14" t="s">
        <v>12708</v>
      </c>
      <c r="D909" s="5" t="str">
        <f ca="1">IFERROR(__xludf.DUMMYFUNCTION("GOOGLETRANSLATE(B909,""ja"",""vi"")"),"dụng cụ đo lường chất lượng nước")</f>
        <v>dụng cụ đo lường chất lượng nước</v>
      </c>
      <c r="E909" s="5" t="str">
        <f ca="1">IFERROR(__xludf.DUMMYFUNCTION("GOOGLETRANSLATE(C909,""ja"",""vi"")"),"Đấu giá&gt; nhà, nội thất&gt; Đồ Pet&gt; cá, nhà máy nước&gt; công cụ đo chất lượng nước")</f>
        <v>Đấu giá&gt; nhà, nội thất&gt; Đồ Pet&gt; cá, nhà máy nước&gt; công cụ đo chất lượng nước</v>
      </c>
      <c r="F909" t="str">
        <f t="shared" ca="1" si="14"/>
        <v>"2084062659" : "dụng cụ đo lường chất lượng nước",</v>
      </c>
    </row>
    <row r="910" spans="1:6" ht="15.75" customHeight="1">
      <c r="A910" s="14">
        <v>24286</v>
      </c>
      <c r="B910" s="14" t="s">
        <v>12712</v>
      </c>
      <c r="C910" s="14" t="s">
        <v>12713</v>
      </c>
      <c r="D910" s="5" t="str">
        <f ca="1">IFERROR(__xludf.DUMMYFUNCTION("GOOGLETRANSLATE(B910,""ja"",""vi"")"),"điều hòa nước")</f>
        <v>điều hòa nước</v>
      </c>
      <c r="E910" s="5" t="str">
        <f ca="1">IFERROR(__xludf.DUMMYFUNCTION("GOOGLETRANSLATE(C910,""ja"",""vi"")"),"Đấu giá&gt; nhà, nội thất&gt; Đồ Pet&gt; cá, nhà máy nước&gt; điều chỉnh chất lượng nước")</f>
        <v>Đấu giá&gt; nhà, nội thất&gt; Đồ Pet&gt; cá, nhà máy nước&gt; điều chỉnh chất lượng nước</v>
      </c>
      <c r="F910" t="str">
        <f t="shared" ca="1" si="14"/>
        <v>"24286" : "điều hòa nước",</v>
      </c>
    </row>
    <row r="911" spans="1:6" ht="15.75" customHeight="1">
      <c r="A911" s="14">
        <v>24254</v>
      </c>
      <c r="B911" s="14" t="s">
        <v>12718</v>
      </c>
      <c r="C911" s="14" t="s">
        <v>12719</v>
      </c>
      <c r="D911" s="5" t="str">
        <f ca="1">IFERROR(__xludf.DUMMYFUNCTION("GOOGLETRANSLATE(B911,""ja"",""vi"")"),"bồn nước")</f>
        <v>bồn nước</v>
      </c>
      <c r="E911" s="5" t="str">
        <f ca="1">IFERROR(__xludf.DUMMYFUNCTION("GOOGLETRANSLATE(C911,""ja"",""vi"")"),"Đấu giá&gt; nhà, nội thất&gt; Đồ Pet&gt; cá, nhà máy nước&gt; Bồn nước")</f>
        <v>Đấu giá&gt; nhà, nội thất&gt; Đồ Pet&gt; cá, nhà máy nước&gt; Bồn nước</v>
      </c>
      <c r="F911" t="str">
        <f t="shared" ca="1" si="14"/>
        <v>"24254" : "bồn nước",</v>
      </c>
    </row>
    <row r="912" spans="1:6" ht="15.75" customHeight="1">
      <c r="A912" s="14">
        <v>2084045165</v>
      </c>
      <c r="B912" s="14" t="s">
        <v>12722</v>
      </c>
      <c r="C912" s="14" t="s">
        <v>12723</v>
      </c>
      <c r="D912" s="5" t="str">
        <f ca="1">IFERROR(__xludf.DUMMYFUNCTION("GOOGLETRANSLATE(B912,""ja"",""vi"")"),"đồ trang trí bể cá")</f>
        <v>đồ trang trí bể cá</v>
      </c>
      <c r="E912" s="5" t="str">
        <f ca="1">IFERROR(__xludf.DUMMYFUNCTION("GOOGLETRANSLATE(C912,""ja"",""vi"")"),"Đấu giá&gt; nhà, nội thất&gt; Đồ Pet&gt; cá, nhà máy nước&gt; đồ trang trí bể nước")</f>
        <v>Đấu giá&gt; nhà, nội thất&gt; Đồ Pet&gt; cá, nhà máy nước&gt; đồ trang trí bể nước</v>
      </c>
      <c r="F912" t="str">
        <f t="shared" ca="1" si="14"/>
        <v>"2084045165" : "đồ trang trí bể cá",</v>
      </c>
    </row>
    <row r="913" spans="1:6" ht="15.75" customHeight="1">
      <c r="A913" s="14">
        <v>2084061387</v>
      </c>
      <c r="B913" s="14" t="s">
        <v>12727</v>
      </c>
      <c r="C913" s="14" t="s">
        <v>12728</v>
      </c>
      <c r="D913" s="5" t="str">
        <f ca="1">IFERROR(__xludf.DUMMYFUNCTION("GOOGLETRANSLATE(B913,""ja"",""vi"")"),"xe bồn")</f>
        <v>xe bồn</v>
      </c>
      <c r="E913" s="5" t="str">
        <f ca="1">IFERROR(__xludf.DUMMYFUNCTION("GOOGLETRANSLATE(C913,""ja"",""vi"")"),"Đấu giá&gt; nhà, nội thất&gt; Đồ Pet&gt; cá, nhà máy nước&gt; xe bồn")</f>
        <v>Đấu giá&gt; nhà, nội thất&gt; Đồ Pet&gt; cá, nhà máy nước&gt; xe bồn</v>
      </c>
      <c r="F913" t="str">
        <f t="shared" ca="1" si="14"/>
        <v>"2084061387" : "xe bồn",</v>
      </c>
    </row>
    <row r="914" spans="1:6" ht="15.75" customHeight="1">
      <c r="A914" s="14">
        <v>24306</v>
      </c>
      <c r="B914" s="14" t="s">
        <v>12732</v>
      </c>
      <c r="C914" s="14" t="s">
        <v>12734</v>
      </c>
      <c r="D914" s="5" t="str">
        <f ca="1">IFERROR(__xludf.DUMMYFUNCTION("GOOGLETRANSLATE(B914,""ja"",""vi"")"),"Các loài cây thủy")</f>
        <v>Các loài cây thủy</v>
      </c>
      <c r="E914" s="5" t="str">
        <f ca="1">IFERROR(__xludf.DUMMYFUNCTION("GOOGLETRANSLATE(C914,""ja"",""vi"")"),"Đấu giá&gt; nhà, nội thất&gt; Đồ Pet&gt; cá, nhà máy nước&gt; nhà máy nước")</f>
        <v>Đấu giá&gt; nhà, nội thất&gt; Đồ Pet&gt; cá, nhà máy nước&gt; nhà máy nước</v>
      </c>
      <c r="F914" t="str">
        <f t="shared" ca="1" si="14"/>
        <v>"24306" : "Các loài cây thủy",</v>
      </c>
    </row>
    <row r="915" spans="1:6" ht="15.75" customHeight="1">
      <c r="A915" s="14">
        <v>2084047555</v>
      </c>
      <c r="B915" s="14" t="s">
        <v>12737</v>
      </c>
      <c r="C915" s="14" t="s">
        <v>12738</v>
      </c>
      <c r="D915" s="5" t="str">
        <f ca="1">IFERROR(__xludf.DUMMYFUNCTION("GOOGLETRANSLATE(B915,""ja"",""vi"")"),"nguồn cung cấp nhà máy nước")</f>
        <v>nguồn cung cấp nhà máy nước</v>
      </c>
      <c r="E915" s="5" t="str">
        <f ca="1">IFERROR(__xludf.DUMMYFUNCTION("GOOGLETRANSLATE(C915,""ja"",""vi"")"),"Đấu giá&gt; nhà, nội thất&gt; Đồ Pet&gt; cá, nhà máy nước&gt; nguồn cung cấp nhà máy nước")</f>
        <v>Đấu giá&gt; nhà, nội thất&gt; Đồ Pet&gt; cá, nhà máy nước&gt; nguồn cung cấp nhà máy nước</v>
      </c>
      <c r="F915" t="str">
        <f t="shared" ca="1" si="14"/>
        <v>"2084047555" : "nguồn cung cấp nhà máy nước",</v>
      </c>
    </row>
    <row r="916" spans="1:6" ht="15.75" customHeight="1">
      <c r="A916" s="14">
        <v>24282</v>
      </c>
      <c r="B916" s="14" t="s">
        <v>12743</v>
      </c>
      <c r="C916" s="14" t="s">
        <v>12744</v>
      </c>
      <c r="D916" s="5" t="str">
        <f ca="1">IFERROR(__xludf.DUMMYFUNCTION("GOOGLETRANSLATE(B916,""ja"",""vi"")"),"công cụ làm sạch")</f>
        <v>công cụ làm sạch</v>
      </c>
      <c r="E916" s="5" t="str">
        <f ca="1">IFERROR(__xludf.DUMMYFUNCTION("GOOGLETRANSLATE(C916,""ja"",""vi"")"),"Đấu giá&gt; nhà, nội thất&gt; Đồ Pet&gt; cá, nhà máy nước&gt; công cụ làm sạch")</f>
        <v>Đấu giá&gt; nhà, nội thất&gt; Đồ Pet&gt; cá, nhà máy nước&gt; công cụ làm sạch</v>
      </c>
      <c r="F916" t="str">
        <f t="shared" ca="1" si="14"/>
        <v>"24282" : "công cụ làm sạch",</v>
      </c>
    </row>
    <row r="917" spans="1:6" ht="15.75" customHeight="1">
      <c r="A917" s="14">
        <v>2084008887</v>
      </c>
      <c r="B917" s="14" t="s">
        <v>1632</v>
      </c>
      <c r="C917" s="14" t="s">
        <v>12749</v>
      </c>
      <c r="D917" s="5" t="str">
        <f ca="1">IFERROR(__xludf.DUMMYFUNCTION("GOOGLETRANSLATE(B917,""ja"",""vi"")"),"điều này")</f>
        <v>điều này</v>
      </c>
      <c r="E917" s="5" t="str">
        <f ca="1">IFERROR(__xludf.DUMMYFUNCTION("GOOGLETRANSLATE(C917,""ja"",""vi"")"),"Đấu giá&gt; nhà, nội thất&gt; Đồ Pet&gt; cá, nhà máy nước&gt; Sách")</f>
        <v>Đấu giá&gt; nhà, nội thất&gt; Đồ Pet&gt; cá, nhà máy nước&gt; Sách</v>
      </c>
      <c r="F917" t="str">
        <f t="shared" ca="1" si="14"/>
        <v>"2084008887" : "điều này",</v>
      </c>
    </row>
    <row r="918" spans="1:6" ht="15.75" customHeight="1">
      <c r="A918" s="14">
        <v>24310</v>
      </c>
      <c r="B918" s="14" t="s">
        <v>46</v>
      </c>
      <c r="C918" s="14" t="s">
        <v>12754</v>
      </c>
      <c r="D918" s="5" t="str">
        <f ca="1">IFERROR(__xludf.DUMMYFUNCTION("GOOGLETRANSLATE(B918,""ja"",""vi"")"),"nếu không thì")</f>
        <v>nếu không thì</v>
      </c>
      <c r="E918" s="5" t="str">
        <f ca="1">IFERROR(__xludf.DUMMYFUNCTION("GOOGLETRANSLATE(C918,""ja"",""vi"")"),"Đấu giá&gt; nhà, nội thất&gt; Đồ Pet&gt; cá, nhà máy nước&gt; Khác")</f>
        <v>Đấu giá&gt; nhà, nội thất&gt; Đồ Pet&gt; cá, nhà máy nước&gt; Khác</v>
      </c>
      <c r="F918" t="str">
        <f t="shared" ca="1" si="14"/>
        <v>"24310" : "nếu không thì",</v>
      </c>
    </row>
    <row r="919" spans="1:6" ht="15.75" customHeight="1">
      <c r="A919" s="14">
        <v>2084062725</v>
      </c>
      <c r="B919" s="14" t="s">
        <v>3138</v>
      </c>
      <c r="C919" s="14" t="s">
        <v>12757</v>
      </c>
      <c r="D919" s="5" t="str">
        <f ca="1">IFERROR(__xludf.DUMMYFUNCTION("GOOGLETRANSLATE(B919,""ja"",""vi"")"),"bộ")</f>
        <v>bộ</v>
      </c>
      <c r="E919" s="5" t="str">
        <f ca="1">IFERROR(__xludf.DUMMYFUNCTION("GOOGLETRANSLATE(C919,""ja"",""vi"")"),"Đấu giá&gt; nhà, nội thất&gt; Đồ Pet&gt; bò sát, lưỡng cư nguồn cung cấp&gt; bộ")</f>
        <v>Đấu giá&gt; nhà, nội thất&gt; Đồ Pet&gt; bò sát, lưỡng cư nguồn cung cấp&gt; bộ</v>
      </c>
      <c r="F919" t="str">
        <f t="shared" ca="1" si="14"/>
        <v>"2084062725" : "bộ",</v>
      </c>
    </row>
    <row r="920" spans="1:6" ht="15.75" customHeight="1">
      <c r="A920" s="14">
        <v>2084062729</v>
      </c>
      <c r="B920" s="14" t="s">
        <v>12577</v>
      </c>
      <c r="C920" s="14" t="s">
        <v>12760</v>
      </c>
      <c r="D920" s="5" t="str">
        <f ca="1">IFERROR(__xludf.DUMMYFUNCTION("GOOGLETRANSLATE(B920,""ja"",""vi"")"),"mồi")</f>
        <v>mồi</v>
      </c>
      <c r="E920" s="5" t="str">
        <f ca="1">IFERROR(__xludf.DUMMYFUNCTION("GOOGLETRANSLATE(C920,""ja"",""vi"")"),"Đấu giá&gt; nhà, nội thất&gt; Đồ Pet&gt; bò sát, lưỡng cư và vườn&gt; mồi")</f>
        <v>Đấu giá&gt; nhà, nội thất&gt; Đồ Pet&gt; bò sát, lưỡng cư và vườn&gt; mồi</v>
      </c>
      <c r="F920" t="str">
        <f t="shared" ca="1" si="14"/>
        <v>"2084062729" : "mồi",</v>
      </c>
    </row>
    <row r="921" spans="1:6" ht="15.75" customHeight="1">
      <c r="A921" s="14">
        <v>2084062727</v>
      </c>
      <c r="B921" s="14" t="s">
        <v>12663</v>
      </c>
      <c r="C921" s="14" t="s">
        <v>12764</v>
      </c>
      <c r="D921" s="5" t="str">
        <f ca="1">IFERROR(__xludf.DUMMYFUNCTION("GOOGLETRANSLATE(B921,""ja"",""vi"")"),"máy điều nhiệt")</f>
        <v>máy điều nhiệt</v>
      </c>
      <c r="E921" s="5" t="str">
        <f ca="1">IFERROR(__xludf.DUMMYFUNCTION("GOOGLETRANSLATE(C921,""ja"",""vi"")"),"Đấu giá&gt; nhà, nội thất&gt; Đồ Pet&gt; bò sát, lưỡng cư và vườn&gt; nhiệt")</f>
        <v>Đấu giá&gt; nhà, nội thất&gt; Đồ Pet&gt; bò sát, lưỡng cư và vườn&gt; nhiệt</v>
      </c>
      <c r="F921" t="str">
        <f t="shared" ca="1" si="14"/>
        <v>"2084062727" : "máy điều nhiệt",</v>
      </c>
    </row>
    <row r="922" spans="1:6" ht="15.75" customHeight="1">
      <c r="A922" s="14">
        <v>2084062728</v>
      </c>
      <c r="B922" s="14" t="s">
        <v>12678</v>
      </c>
      <c r="C922" s="14" t="s">
        <v>12767</v>
      </c>
      <c r="D922" s="5" t="str">
        <f ca="1">IFERROR(__xludf.DUMMYFUNCTION("GOOGLETRANSLATE(B922,""ja"",""vi"")"),"lò sưởi")</f>
        <v>lò sưởi</v>
      </c>
      <c r="E922" s="5" t="str">
        <f ca="1">IFERROR(__xludf.DUMMYFUNCTION("GOOGLETRANSLATE(C922,""ja"",""vi"")"),"Đấu giá&gt; nhà, nội thất&gt; Đồ Pet&gt; bò sát, lưỡng cư và vườn&gt; nóng")</f>
        <v>Đấu giá&gt; nhà, nội thất&gt; Đồ Pet&gt; bò sát, lưỡng cư và vườn&gt; nóng</v>
      </c>
      <c r="F922" t="str">
        <f t="shared" ca="1" si="14"/>
        <v>"2084062728" : "lò sưởi",</v>
      </c>
    </row>
    <row r="923" spans="1:6" ht="15.75" customHeight="1">
      <c r="A923" s="14">
        <v>2084062730</v>
      </c>
      <c r="B923" s="14" t="s">
        <v>12771</v>
      </c>
      <c r="C923" s="14" t="s">
        <v>12773</v>
      </c>
      <c r="D923" s="5" t="str">
        <f ca="1">IFERROR(__xludf.DUMMYFUNCTION("GOOGLETRANSLATE(B923,""ja"",""vi"")"),"chỗ nuôi thú")</f>
        <v>chỗ nuôi thú</v>
      </c>
      <c r="E923" s="5" t="str">
        <f ca="1">IFERROR(__xludf.DUMMYFUNCTION("GOOGLETRANSLATE(C923,""ja"",""vi"")"),"Đấu giá&gt; nhà, nội thất&gt; Đồ Pet&gt; bò sát, lưỡng cư và vườn&gt; trường hợp chăn nuôi")</f>
        <v>Đấu giá&gt; nhà, nội thất&gt; Đồ Pet&gt; bò sát, lưỡng cư và vườn&gt; trường hợp chăn nuôi</v>
      </c>
      <c r="F923" t="str">
        <f t="shared" ca="1" si="14"/>
        <v>"2084062730" : "chỗ nuôi thú",</v>
      </c>
    </row>
    <row r="924" spans="1:6" ht="15.75" customHeight="1">
      <c r="A924" s="14">
        <v>2084062732</v>
      </c>
      <c r="B924" s="14" t="s">
        <v>12777</v>
      </c>
      <c r="C924" s="14" t="s">
        <v>12780</v>
      </c>
      <c r="D924" s="5" t="str">
        <f ca="1">IFERROR(__xludf.DUMMYFUNCTION("GOOGLETRANSLATE(B924,""ja"",""vi"")"),"sàn")</f>
        <v>sàn</v>
      </c>
      <c r="E924" s="5" t="str">
        <f ca="1">IFERROR(__xludf.DUMMYFUNCTION("GOOGLETRANSLATE(C924,""ja"",""vi"")"),"Đấu giá&gt; nhà, Đồ nội thất&gt; Pet&gt; bò sát, lưỡng cư nguồn cung cấp&gt; sàn")</f>
        <v>Đấu giá&gt; nhà, Đồ nội thất&gt; Pet&gt; bò sát, lưỡng cư nguồn cung cấp&gt; sàn</v>
      </c>
      <c r="F924" t="str">
        <f t="shared" ca="1" si="14"/>
        <v>"2084062732" : "sàn",</v>
      </c>
    </row>
    <row r="925" spans="1:6" ht="15.75" customHeight="1">
      <c r="A925" s="14">
        <v>2084062726</v>
      </c>
      <c r="B925" s="14" t="s">
        <v>12697</v>
      </c>
      <c r="C925" s="14" t="s">
        <v>12785</v>
      </c>
      <c r="D925" s="5" t="str">
        <f ca="1">IFERROR(__xludf.DUMMYFUNCTION("GOOGLETRANSLATE(B925,""ja"",""vi"")"),"chiếu sáng")</f>
        <v>chiếu sáng</v>
      </c>
      <c r="E925" s="5" t="str">
        <f ca="1">IFERROR(__xludf.DUMMYFUNCTION("GOOGLETRANSLATE(C925,""ja"",""vi"")"),"Đấu giá&gt; nhà, nội thất&gt; Đồ Pet&gt; bò sát, lưỡng cư nguồn cung cấp&gt; Ánh sáng")</f>
        <v>Đấu giá&gt; nhà, nội thất&gt; Đồ Pet&gt; bò sát, lưỡng cư nguồn cung cấp&gt; Ánh sáng</v>
      </c>
      <c r="F925" t="str">
        <f t="shared" ca="1" si="14"/>
        <v>"2084062726" : "chiếu sáng",</v>
      </c>
    </row>
    <row r="926" spans="1:6" ht="15.75" customHeight="1">
      <c r="A926" s="14">
        <v>2084062731</v>
      </c>
      <c r="B926" s="14" t="s">
        <v>12790</v>
      </c>
      <c r="C926" s="14" t="s">
        <v>12791</v>
      </c>
      <c r="D926" s="5" t="str">
        <f ca="1">IFERROR(__xludf.DUMMYFUNCTION("GOOGLETRANSLATE(B926,""ja"",""vi"")"),"đồ trang trí")</f>
        <v>đồ trang trí</v>
      </c>
      <c r="E926" s="5" t="str">
        <f ca="1">IFERROR(__xludf.DUMMYFUNCTION("GOOGLETRANSLATE(C926,""ja"",""vi"")"),"Đấu giá&gt; nhà, nội thất&gt; Đồ Pet&gt; bò sát, lưỡng cư và vườn&gt; đồ trang trí")</f>
        <v>Đấu giá&gt; nhà, nội thất&gt; Đồ Pet&gt; bò sát, lưỡng cư và vườn&gt; đồ trang trí</v>
      </c>
      <c r="F926" t="str">
        <f t="shared" ca="1" si="14"/>
        <v>"2084062731" : "đồ trang trí",</v>
      </c>
    </row>
    <row r="927" spans="1:6" ht="15.75" customHeight="1">
      <c r="A927" s="14">
        <v>2084047552</v>
      </c>
      <c r="B927" s="14" t="s">
        <v>1632</v>
      </c>
      <c r="C927" s="14" t="s">
        <v>12795</v>
      </c>
      <c r="D927" s="5" t="str">
        <f ca="1">IFERROR(__xludf.DUMMYFUNCTION("GOOGLETRANSLATE(B927,""ja"",""vi"")"),"điều này")</f>
        <v>điều này</v>
      </c>
      <c r="E927" s="5" t="str">
        <f ca="1">IFERROR(__xludf.DUMMYFUNCTION("GOOGLETRANSLATE(C927,""ja"",""vi"")"),"Đấu giá&gt; nhà, Đồ nội thất&gt; Pet&gt; bò sát, lưỡng cư và vườn&gt; Sách")</f>
        <v>Đấu giá&gt; nhà, Đồ nội thất&gt; Pet&gt; bò sát, lưỡng cư và vườn&gt; Sách</v>
      </c>
      <c r="F927" t="str">
        <f t="shared" ca="1" si="14"/>
        <v>"2084047552" : "điều này",</v>
      </c>
    </row>
    <row r="928" spans="1:6" ht="15.75" customHeight="1">
      <c r="A928" s="14">
        <v>2084062733</v>
      </c>
      <c r="B928" s="14" t="s">
        <v>46</v>
      </c>
      <c r="C928" s="14" t="s">
        <v>12799</v>
      </c>
      <c r="D928" s="5" t="str">
        <f ca="1">IFERROR(__xludf.DUMMYFUNCTION("GOOGLETRANSLATE(B928,""ja"",""vi"")"),"nếu không thì")</f>
        <v>nếu không thì</v>
      </c>
      <c r="E928" s="5" t="str">
        <f ca="1">IFERROR(__xludf.DUMMYFUNCTION("GOOGLETRANSLATE(C928,""ja"",""vi"")"),"Đấu giá&gt; nhà, nội thất&gt; Đồ Pet&gt; bò sát, lưỡng cư Vật tư&gt; Khác")</f>
        <v>Đấu giá&gt; nhà, nội thất&gt; Đồ Pet&gt; bò sát, lưỡng cư Vật tư&gt; Khác</v>
      </c>
      <c r="F928" t="str">
        <f t="shared" ca="1" si="14"/>
        <v>"2084062733" : "nếu không thì",</v>
      </c>
    </row>
    <row r="929" spans="1:6" ht="15.75" customHeight="1">
      <c r="A929" s="14">
        <v>2084061346</v>
      </c>
      <c r="B929" s="14" t="s">
        <v>12577</v>
      </c>
      <c r="C929" s="14" t="s">
        <v>12803</v>
      </c>
      <c r="D929" s="5" t="str">
        <f ca="1">IFERROR(__xludf.DUMMYFUNCTION("GOOGLETRANSLATE(B929,""ja"",""vi"")"),"mồi")</f>
        <v>mồi</v>
      </c>
      <c r="E929" s="5" t="str">
        <f ca="1">IFERROR(__xludf.DUMMYFUNCTION("GOOGLETRANSLATE(C929,""ja"",""vi"")"),"Đấu giá&gt; nhà, nội thất&gt; Pet Supplies&gt; côn trùng&gt; mồi")</f>
        <v>Đấu giá&gt; nhà, nội thất&gt; Pet Supplies&gt; côn trùng&gt; mồi</v>
      </c>
      <c r="F929" t="str">
        <f t="shared" ca="1" si="14"/>
        <v>"2084061346" : "mồi",</v>
      </c>
    </row>
    <row r="930" spans="1:6" ht="15.75" customHeight="1">
      <c r="A930" s="14">
        <v>2084061350</v>
      </c>
      <c r="B930" s="14" t="s">
        <v>3138</v>
      </c>
      <c r="C930" s="14" t="s">
        <v>12807</v>
      </c>
      <c r="D930" s="5" t="str">
        <f ca="1">IFERROR(__xludf.DUMMYFUNCTION("GOOGLETRANSLATE(B930,""ja"",""vi"")"),"bộ")</f>
        <v>bộ</v>
      </c>
      <c r="E930" s="5" t="str">
        <f ca="1">IFERROR(__xludf.DUMMYFUNCTION("GOOGLETRANSLATE(C930,""ja"",""vi"")"),"Đấu giá&gt; nhà, nội thất&gt; Đồ Pet&gt; côn trùng&gt; bộ")</f>
        <v>Đấu giá&gt; nhà, nội thất&gt; Đồ Pet&gt; côn trùng&gt; bộ</v>
      </c>
      <c r="F930" t="str">
        <f t="shared" ca="1" si="14"/>
        <v>"2084061350" : "bộ",</v>
      </c>
    </row>
    <row r="931" spans="1:6" ht="15.75" customHeight="1">
      <c r="A931" s="14">
        <v>2084061347</v>
      </c>
      <c r="B931" s="14" t="s">
        <v>12810</v>
      </c>
      <c r="C931" s="14" t="s">
        <v>12811</v>
      </c>
      <c r="D931" s="5" t="str">
        <f ca="1">IFERROR(__xludf.DUMMYFUNCTION("GOOGLETRANSLATE(B931,""ja"",""vi"")"),"Mat, sàn")</f>
        <v>Mat, sàn</v>
      </c>
      <c r="E931" s="5" t="str">
        <f ca="1">IFERROR(__xludf.DUMMYFUNCTION("GOOGLETRANSLATE(C931,""ja"",""vi"")"),"Đấu giá&gt; nhà, Đồ nội thất&gt; Pet&gt; côn trùng&gt; mat, sàn")</f>
        <v>Đấu giá&gt; nhà, Đồ nội thất&gt; Pet&gt; côn trùng&gt; mat, sàn</v>
      </c>
      <c r="F931" t="str">
        <f t="shared" ca="1" si="14"/>
        <v>"2084061347" : "Mat, sàn",</v>
      </c>
    </row>
    <row r="932" spans="1:6" ht="15.75" customHeight="1">
      <c r="A932" s="14">
        <v>2084061351</v>
      </c>
      <c r="B932" s="14" t="s">
        <v>12814</v>
      </c>
      <c r="C932" s="14" t="s">
        <v>12815</v>
      </c>
      <c r="D932" s="5" t="str">
        <f ca="1">IFERROR(__xludf.DUMMYFUNCTION("GOOGLETRANSLATE(B932,""ja"",""vi"")"),"Cá rô, Hodaki")</f>
        <v>Cá rô, Hodaki</v>
      </c>
      <c r="E932" s="5" t="str">
        <f ca="1">IFERROR(__xludf.DUMMYFUNCTION("GOOGLETRANSLATE(C932,""ja"",""vi"")"),"Đấu giá&gt; nhà, nội thất&gt; Pet Supplies&gt; côn trùng&gt; cá rô, Hodaki")</f>
        <v>Đấu giá&gt; nhà, nội thất&gt; Pet Supplies&gt; côn trùng&gt; cá rô, Hodaki</v>
      </c>
      <c r="F932" t="str">
        <f t="shared" ca="1" si="14"/>
        <v>"2084061351" : "Cá rô, Hodaki",</v>
      </c>
    </row>
    <row r="933" spans="1:6" ht="15.75" customHeight="1">
      <c r="A933" s="14">
        <v>2084061348</v>
      </c>
      <c r="B933" s="14" t="s">
        <v>12771</v>
      </c>
      <c r="C933" s="14" t="s">
        <v>12819</v>
      </c>
      <c r="D933" s="5" t="str">
        <f ca="1">IFERROR(__xludf.DUMMYFUNCTION("GOOGLETRANSLATE(B933,""ja"",""vi"")"),"chỗ nuôi thú")</f>
        <v>chỗ nuôi thú</v>
      </c>
      <c r="E933" s="5" t="str">
        <f ca="1">IFERROR(__xludf.DUMMYFUNCTION("GOOGLETRANSLATE(C933,""ja"",""vi"")"),"Đấu giá&gt; nhà, Đồ nội thất&gt; Pet&gt; côn trùng&gt; trường hợp chăn nuôi")</f>
        <v>Đấu giá&gt; nhà, Đồ nội thất&gt; Pet&gt; côn trùng&gt; trường hợp chăn nuôi</v>
      </c>
      <c r="F933" t="str">
        <f t="shared" ca="1" si="14"/>
        <v>"2084061348" : "chỗ nuôi thú",</v>
      </c>
    </row>
    <row r="934" spans="1:6" ht="15.75" customHeight="1">
      <c r="A934" s="14">
        <v>2084008890</v>
      </c>
      <c r="B934" s="14" t="s">
        <v>1632</v>
      </c>
      <c r="C934" s="14" t="s">
        <v>12823</v>
      </c>
      <c r="D934" s="5" t="str">
        <f ca="1">IFERROR(__xludf.DUMMYFUNCTION("GOOGLETRANSLATE(B934,""ja"",""vi"")"),"điều này")</f>
        <v>điều này</v>
      </c>
      <c r="E934" s="5" t="str">
        <f ca="1">IFERROR(__xludf.DUMMYFUNCTION("GOOGLETRANSLATE(C934,""ja"",""vi"")"),"Đấu giá&gt; nhà, Đồ nội thất&gt; Pet&gt; côn trùng&gt; Sách")</f>
        <v>Đấu giá&gt; nhà, Đồ nội thất&gt; Pet&gt; côn trùng&gt; Sách</v>
      </c>
      <c r="F934" t="str">
        <f t="shared" ca="1" si="14"/>
        <v>"2084008890" : "điều này",</v>
      </c>
    </row>
    <row r="935" spans="1:6" ht="15.75" customHeight="1">
      <c r="A935" s="14">
        <v>2084061349</v>
      </c>
      <c r="B935" s="14" t="s">
        <v>46</v>
      </c>
      <c r="C935" s="14" t="s">
        <v>12827</v>
      </c>
      <c r="D935" s="5" t="str">
        <f ca="1">IFERROR(__xludf.DUMMYFUNCTION("GOOGLETRANSLATE(B935,""ja"",""vi"")"),"nếu không thì")</f>
        <v>nếu không thì</v>
      </c>
      <c r="E935" s="5" t="str">
        <f ca="1">IFERROR(__xludf.DUMMYFUNCTION("GOOGLETRANSLATE(C935,""ja"",""vi"")"),"Đấu giá&gt; nhà, nội thất&gt; Đồ Pet&gt; côn trùng&gt; Khác")</f>
        <v>Đấu giá&gt; nhà, nội thất&gt; Đồ Pet&gt; côn trùng&gt; Khác</v>
      </c>
      <c r="F935" t="str">
        <f t="shared" ca="1" si="14"/>
        <v>"2084061349" : "nếu không thì",</v>
      </c>
    </row>
    <row r="936" spans="1:6" ht="15.75" customHeight="1">
      <c r="A936" s="14">
        <v>2084008194</v>
      </c>
      <c r="B936" s="14" t="s">
        <v>12456</v>
      </c>
      <c r="C936" s="14" t="s">
        <v>12832</v>
      </c>
      <c r="D936" s="5" t="str">
        <f ca="1">IFERROR(__xludf.DUMMYFUNCTION("GOOGLETRANSLATE(B936,""ja"",""vi"")"),"chuồng chó")</f>
        <v>chuồng chó</v>
      </c>
      <c r="E936" s="5" t="str">
        <f ca="1">IFERROR(__xludf.DUMMYFUNCTION("GOOGLETRANSLATE(C936,""ja"",""vi"")"),"Đấu giá&gt; nhà, Đồ nội thất&gt; Pet&gt; lồng, lồng&gt; cũi")</f>
        <v>Đấu giá&gt; nhà, Đồ nội thất&gt; Pet&gt; lồng, lồng&gt; cũi</v>
      </c>
      <c r="F936" t="str">
        <f t="shared" ca="1" si="14"/>
        <v>"2084008194" : "chuồng chó",</v>
      </c>
    </row>
    <row r="937" spans="1:6" ht="15.75" customHeight="1">
      <c r="A937" s="14">
        <v>2084008195</v>
      </c>
      <c r="B937" s="14" t="s">
        <v>12836</v>
      </c>
      <c r="C937" s="14" t="s">
        <v>12838</v>
      </c>
      <c r="D937" s="5" t="str">
        <f ca="1">IFERROR(__xludf.DUMMYFUNCTION("GOOGLETRANSLATE(B937,""ja"",""vi"")"),"hãng chó")</f>
        <v>hãng chó</v>
      </c>
      <c r="E937" s="5" t="str">
        <f ca="1">IFERROR(__xludf.DUMMYFUNCTION("GOOGLETRANSLATE(C937,""ja"",""vi"")"),"Đấu giá&gt; nhà, nội thất&gt; Đồ Pet&gt; lồng, lồng&gt; hãng chó")</f>
        <v>Đấu giá&gt; nhà, nội thất&gt; Đồ Pet&gt; lồng, lồng&gt; hãng chó</v>
      </c>
      <c r="F937" t="str">
        <f t="shared" ca="1" si="14"/>
        <v>"2084008195" : "hãng chó",</v>
      </c>
    </row>
    <row r="938" spans="1:6" ht="15.75" customHeight="1">
      <c r="A938" s="14">
        <v>2084008207</v>
      </c>
      <c r="B938" s="14" t="s">
        <v>12842</v>
      </c>
      <c r="C938" s="14" t="s">
        <v>12844</v>
      </c>
      <c r="D938" s="5" t="str">
        <f ca="1">IFERROR(__xludf.DUMMYFUNCTION("GOOGLETRANSLATE(B938,""ja"",""vi"")"),"Đối với động vật nhỏ giỏ, lồng")</f>
        <v>Đối với động vật nhỏ giỏ, lồng</v>
      </c>
      <c r="E938" s="5" t="str">
        <f ca="1">IFERROR(__xludf.DUMMYFUNCTION("GOOGLETRANSLATE(C938,""ja"",""vi"")"),"Đấu giá&gt; nhà, Đồ nội thất&gt; Pet&gt; lồng, lồng&gt; cho động vật nhỏ giỏ, lồng")</f>
        <v>Đấu giá&gt; nhà, Đồ nội thất&gt; Pet&gt; lồng, lồng&gt; cho động vật nhỏ giỏ, lồng</v>
      </c>
      <c r="F938" t="str">
        <f t="shared" ca="1" si="14"/>
        <v>"2084008207" : "Đối với động vật nhỏ giỏ, lồng",</v>
      </c>
    </row>
    <row r="939" spans="1:6" ht="15.75" customHeight="1">
      <c r="A939" s="14">
        <v>2084008342</v>
      </c>
      <c r="B939" s="14" t="s">
        <v>12848</v>
      </c>
      <c r="C939" s="14" t="s">
        <v>12851</v>
      </c>
      <c r="D939" s="5" t="str">
        <f ca="1">IFERROR(__xludf.DUMMYFUNCTION("GOOGLETRANSLATE(B939,""ja"",""vi"")"),"Hãng động vật nhỏ")</f>
        <v>Hãng động vật nhỏ</v>
      </c>
      <c r="E939" s="5" t="str">
        <f ca="1">IFERROR(__xludf.DUMMYFUNCTION("GOOGLETRANSLATE(C939,""ja"",""vi"")"),"Đấu giá&gt; nhà, nội thất&gt; Đồ Pet&gt; lồng, lồng&gt; hãng động vật nhỏ")</f>
        <v>Đấu giá&gt; nhà, nội thất&gt; Đồ Pet&gt; lồng, lồng&gt; hãng động vật nhỏ</v>
      </c>
      <c r="F939" t="str">
        <f t="shared" ca="1" si="14"/>
        <v>"2084008342" : "Hãng động vật nhỏ",</v>
      </c>
    </row>
    <row r="940" spans="1:6" ht="15.75" customHeight="1">
      <c r="A940" s="14">
        <v>2084061348</v>
      </c>
      <c r="B940" s="14" t="s">
        <v>12856</v>
      </c>
      <c r="C940" s="14" t="s">
        <v>12858</v>
      </c>
      <c r="D940" s="5" t="str">
        <f ca="1">IFERROR(__xludf.DUMMYFUNCTION("GOOGLETRANSLATE(B940,""ja"",""vi"")"),"côn trùng lồng")</f>
        <v>côn trùng lồng</v>
      </c>
      <c r="E940" s="5" t="str">
        <f ca="1">IFERROR(__xludf.DUMMYFUNCTION("GOOGLETRANSLATE(C940,""ja"",""vi"")"),"Đấu giá&gt; nhà, nội thất&gt; Đồ Pet&gt; lồng, lồng&gt; lồng côn trùng")</f>
        <v>Đấu giá&gt; nhà, nội thất&gt; Đồ Pet&gt; lồng, lồng&gt; lồng côn trùng</v>
      </c>
      <c r="F940" t="str">
        <f t="shared" ca="1" si="14"/>
        <v>"2084061348" : "côn trùng lồng",</v>
      </c>
    </row>
    <row r="941" spans="1:6" ht="15.75" customHeight="1">
      <c r="A941" s="14">
        <v>2084008211</v>
      </c>
      <c r="B941" s="14" t="s">
        <v>12614</v>
      </c>
      <c r="C941" s="14" t="s">
        <v>12864</v>
      </c>
      <c r="D941" s="5" t="str">
        <f ca="1">IFERROR(__xludf.DUMMYFUNCTION("GOOGLETRANSLATE(B941,""ja"",""vi"")"),"Birdcage")</f>
        <v>Birdcage</v>
      </c>
      <c r="E941" s="5" t="str">
        <f ca="1">IFERROR(__xludf.DUMMYFUNCTION("GOOGLETRANSLATE(C941,""ja"",""vi"")"),"Đấu giá&gt; nhà, nội thất&gt; Đồ Pet&gt; lồng, lồng&gt; lồng chim")</f>
        <v>Đấu giá&gt; nhà, nội thất&gt; Đồ Pet&gt; lồng, lồng&gt; lồng chim</v>
      </c>
      <c r="F941" t="str">
        <f t="shared" ca="1" si="14"/>
        <v>"2084008211" : "Birdcage",</v>
      </c>
    </row>
    <row r="942" spans="1:6" ht="15.75" customHeight="1">
      <c r="A942" s="14">
        <v>2084008202</v>
      </c>
      <c r="B942" s="14" t="s">
        <v>12867</v>
      </c>
      <c r="C942" s="14" t="s">
        <v>12870</v>
      </c>
      <c r="D942" s="5" t="str">
        <f ca="1">IFERROR(__xludf.DUMMYFUNCTION("GOOGLETRANSLATE(B942,""ja"",""vi"")"),"hãng Cát")</f>
        <v>hãng Cát</v>
      </c>
      <c r="E942" s="5" t="str">
        <f ca="1">IFERROR(__xludf.DUMMYFUNCTION("GOOGLETRANSLATE(C942,""ja"",""vi"")"),"Đấu giá&gt; nhà, nội thất&gt; Đồ Pet&gt; lồng, lồng&gt; hãng mèo")</f>
        <v>Đấu giá&gt; nhà, nội thất&gt; Đồ Pet&gt; lồng, lồng&gt; hãng mèo</v>
      </c>
      <c r="F942" t="str">
        <f t="shared" ca="1" si="14"/>
        <v>"2084008202" : "hãng Cát",</v>
      </c>
    </row>
    <row r="943" spans="1:6" ht="15.75" customHeight="1">
      <c r="A943" s="14">
        <v>2084008201</v>
      </c>
      <c r="B943" s="14" t="s">
        <v>12873</v>
      </c>
      <c r="C943" s="14" t="s">
        <v>12875</v>
      </c>
      <c r="D943" s="5" t="str">
        <f ca="1">IFERROR(__xludf.DUMMYFUNCTION("GOOGLETRANSLATE(B943,""ja"",""vi"")"),"Cát nhà, giường")</f>
        <v>Cát nhà, giường</v>
      </c>
      <c r="E943" s="5" t="str">
        <f ca="1">IFERROR(__xludf.DUMMYFUNCTION("GOOGLETRANSLATE(C943,""ja"",""vi"")"),"Đấu giá&gt; nhà, nội thất&gt; Đồ Pet&gt; lồng, lồng&gt; nhà mèo, giường")</f>
        <v>Đấu giá&gt; nhà, nội thất&gt; Đồ Pet&gt; lồng, lồng&gt; nhà mèo, giường</v>
      </c>
      <c r="F943" t="str">
        <f t="shared" ca="1" si="14"/>
        <v>"2084008201" : "Cát nhà, giường",</v>
      </c>
    </row>
    <row r="944" spans="1:6" ht="15.75" customHeight="1">
      <c r="A944" s="14">
        <v>2084062730</v>
      </c>
      <c r="B944" s="14" t="s">
        <v>12879</v>
      </c>
      <c r="C944" s="14" t="s">
        <v>12881</v>
      </c>
      <c r="D944" s="5" t="str">
        <f ca="1">IFERROR(__xludf.DUMMYFUNCTION("GOOGLETRANSLATE(B944,""ja"",""vi"")"),"Bò sát, trường hợp cho động vật lưỡng cư")</f>
        <v>Bò sát, trường hợp cho động vật lưỡng cư</v>
      </c>
      <c r="E944" s="5" t="str">
        <f ca="1">IFERROR(__xludf.DUMMYFUNCTION("GOOGLETRANSLATE(C944,""ja"",""vi"")"),"Đấu giá&gt; nhà, nội thất&gt; Đồ Pet&gt; lồng, lồng&gt; bò sát, trường hợp cho động vật lưỡng cư")</f>
        <v>Đấu giá&gt; nhà, nội thất&gt; Đồ Pet&gt; lồng, lồng&gt; bò sát, trường hợp cho động vật lưỡng cư</v>
      </c>
      <c r="F944" t="str">
        <f t="shared" ca="1" si="14"/>
        <v>"2084062730" : "Bò sát, trường hợp cho động vật lưỡng cư",</v>
      </c>
    </row>
    <row r="945" spans="1:6" ht="15.75" customHeight="1">
      <c r="A945" s="14">
        <v>2084008205</v>
      </c>
      <c r="B945" s="14" t="s">
        <v>12510</v>
      </c>
      <c r="C945" s="14" t="s">
        <v>12886</v>
      </c>
      <c r="D945" s="5" t="str">
        <f ca="1">IFERROR(__xludf.DUMMYFUNCTION("GOOGLETRANSLATE(B945,""ja"",""vi"")"),"Thức ăn cho mèo")</f>
        <v>Thức ăn cho mèo</v>
      </c>
      <c r="E945" s="5" t="str">
        <f ca="1">IFERROR(__xludf.DUMMYFUNCTION("GOOGLETRANSLATE(C945,""ja"",""vi"")"),"Đấu giá&gt; nhà, nội thất&gt; Đồ Pet&gt; Pet Food&gt; Cát Thực phẩm")</f>
        <v>Đấu giá&gt; nhà, nội thất&gt; Đồ Pet&gt; Pet Food&gt; Cát Thực phẩm</v>
      </c>
      <c r="F945" t="str">
        <f t="shared" ca="1" si="14"/>
        <v>"2084008205" : "Thức ăn cho mèo",</v>
      </c>
    </row>
    <row r="946" spans="1:6" ht="15.75" customHeight="1">
      <c r="A946" s="14">
        <v>2084008199</v>
      </c>
      <c r="B946" s="14" t="s">
        <v>12446</v>
      </c>
      <c r="C946" s="14" t="s">
        <v>12889</v>
      </c>
      <c r="D946" s="5" t="str">
        <f ca="1">IFERROR(__xludf.DUMMYFUNCTION("GOOGLETRANSLATE(B946,""ja"",""vi"")"),"thức ăn cho chó")</f>
        <v>thức ăn cho chó</v>
      </c>
      <c r="E946" s="5" t="str">
        <f ca="1">IFERROR(__xludf.DUMMYFUNCTION("GOOGLETRANSLATE(C946,""ja"",""vi"")"),"Đấu giá&gt; nhà, nội thất&gt; Đồ Pet&gt; Pet Food&gt; thức ăn cho chó")</f>
        <v>Đấu giá&gt; nhà, nội thất&gt; Đồ Pet&gt; Pet Food&gt; thức ăn cho chó</v>
      </c>
      <c r="F946" t="str">
        <f t="shared" ca="1" si="14"/>
        <v>"2084008199" : "thức ăn cho chó",</v>
      </c>
    </row>
    <row r="947" spans="1:6" ht="15.75" customHeight="1">
      <c r="A947" s="14">
        <v>2084008260</v>
      </c>
      <c r="B947" s="14" t="s">
        <v>12892</v>
      </c>
      <c r="C947" s="14" t="s">
        <v>12895</v>
      </c>
      <c r="D947" s="5" t="str">
        <f ca="1">IFERROR(__xludf.DUMMYFUNCTION("GOOGLETRANSLATE(B947,""ja"",""vi"")"),"Xem cá mồi")</f>
        <v>Xem cá mồi</v>
      </c>
      <c r="E947" s="5" t="str">
        <f ca="1">IFERROR(__xludf.DUMMYFUNCTION("GOOGLETRANSLATE(C947,""ja"",""vi"")"),"Đấu giá&gt; nhà, nội thất&gt; Đồ Pet&gt; Pet Food&gt; cá đánh giá cao cho mồi")</f>
        <v>Đấu giá&gt; nhà, nội thất&gt; Đồ Pet&gt; Pet Food&gt; cá đánh giá cao cho mồi</v>
      </c>
      <c r="F947" t="str">
        <f t="shared" ca="1" si="14"/>
        <v>"2084008260" : "Xem cá mồi",</v>
      </c>
    </row>
    <row r="948" spans="1:6" ht="15.75" customHeight="1">
      <c r="A948" s="14">
        <v>2084008209</v>
      </c>
      <c r="B948" s="14" t="s">
        <v>12899</v>
      </c>
      <c r="C948" s="14" t="s">
        <v>12901</v>
      </c>
      <c r="D948" s="5" t="str">
        <f ca="1">IFERROR(__xludf.DUMMYFUNCTION("GOOGLETRANSLATE(B948,""ja"",""vi"")"),"động vật nhỏ cho thực phẩm")</f>
        <v>động vật nhỏ cho thực phẩm</v>
      </c>
      <c r="E948" s="5" t="str">
        <f ca="1">IFERROR(__xludf.DUMMYFUNCTION("GOOGLETRANSLATE(C948,""ja"",""vi"")"),"Đấu giá&gt; nhà, nội thất&gt; Đồ Pet&gt; Pet Food&gt; mồi cho động vật nhỏ")</f>
        <v>Đấu giá&gt; nhà, nội thất&gt; Đồ Pet&gt; Pet Food&gt; mồi cho động vật nhỏ</v>
      </c>
      <c r="F948" t="str">
        <f t="shared" ca="1" si="14"/>
        <v>"2084008209" : "động vật nhỏ cho thực phẩm",</v>
      </c>
    </row>
    <row r="949" spans="1:6" ht="15.75" customHeight="1">
      <c r="A949" s="14">
        <v>2084061346</v>
      </c>
      <c r="B949" s="14" t="s">
        <v>12906</v>
      </c>
      <c r="C949" s="14" t="s">
        <v>12907</v>
      </c>
      <c r="D949" s="5" t="str">
        <f ca="1">IFERROR(__xludf.DUMMYFUNCTION("GOOGLETRANSLATE(B949,""ja"",""vi"")"),"Thức ăn nhử côn trùng")</f>
        <v>Thức ăn nhử côn trùng</v>
      </c>
      <c r="E949" s="5" t="str">
        <f ca="1">IFERROR(__xludf.DUMMYFUNCTION("GOOGLETRANSLATE(C949,""ja"",""vi"")"),"Đấu giá&gt; nhà, nội thất&gt; Đồ Pet&gt; Pet Food&gt; Thức ăn nhử côn trùng")</f>
        <v>Đấu giá&gt; nhà, nội thất&gt; Đồ Pet&gt; Pet Food&gt; Thức ăn nhử côn trùng</v>
      </c>
      <c r="F949" t="str">
        <f t="shared" ca="1" si="14"/>
        <v>"2084061346" : "Thức ăn nhử côn trùng",</v>
      </c>
    </row>
    <row r="950" spans="1:6" ht="15.75" customHeight="1">
      <c r="A950" s="14">
        <v>2084008214</v>
      </c>
      <c r="B950" s="14" t="s">
        <v>12911</v>
      </c>
      <c r="C950" s="14" t="s">
        <v>12913</v>
      </c>
      <c r="D950" s="5" t="str">
        <f ca="1">IFERROR(__xludf.DUMMYFUNCTION("GOOGLETRANSLATE(B950,""ja"",""vi"")"),"Thức ăn cho chim")</f>
        <v>Thức ăn cho chim</v>
      </c>
      <c r="E950" s="5" t="str">
        <f ca="1">IFERROR(__xludf.DUMMYFUNCTION("GOOGLETRANSLATE(C950,""ja"",""vi"")"),"Đấu giá&gt; nhà, nội thất&gt; Đồ Pet&gt; Pet Food&gt; thức ăn cho chim")</f>
        <v>Đấu giá&gt; nhà, nội thất&gt; Đồ Pet&gt; Pet Food&gt; thức ăn cho chim</v>
      </c>
      <c r="F950" t="str">
        <f t="shared" ca="1" si="14"/>
        <v>"2084008214" : "Thức ăn cho chim",</v>
      </c>
    </row>
    <row r="951" spans="1:6" ht="15.75" customHeight="1">
      <c r="A951" s="14">
        <v>2084062729</v>
      </c>
      <c r="B951" s="14" t="s">
        <v>12917</v>
      </c>
      <c r="C951" s="14" t="s">
        <v>12919</v>
      </c>
      <c r="D951" s="5" t="str">
        <f ca="1">IFERROR(__xludf.DUMMYFUNCTION("GOOGLETRANSLATE(B951,""ja"",""vi"")"),"Bò sát, lưỡng cư mồi cho")</f>
        <v>Bò sát, lưỡng cư mồi cho</v>
      </c>
      <c r="E951" s="5" t="str">
        <f ca="1">IFERROR(__xludf.DUMMYFUNCTION("GOOGLETRANSLATE(C951,""ja"",""vi"")"),"Đấu giá&gt; nhà, nội thất&gt; Đồ Pet&gt; Pet Food&gt; bò sát, lưỡng cư Thức ăn nhử")</f>
        <v>Đấu giá&gt; nhà, nội thất&gt; Đồ Pet&gt; Pet Food&gt; bò sát, lưỡng cư Thức ăn nhử</v>
      </c>
      <c r="F951" t="str">
        <f t="shared" ca="1" si="14"/>
        <v>"2084062729" : "Bò sát, lưỡng cư mồi cho",</v>
      </c>
    </row>
    <row r="952" spans="1:6" ht="15.75" customHeight="1">
      <c r="A952" s="14">
        <v>2084008887</v>
      </c>
      <c r="B952" s="14" t="s">
        <v>5455</v>
      </c>
      <c r="C952" s="14" t="s">
        <v>5456</v>
      </c>
      <c r="D952" s="5" t="str">
        <f ca="1">IFERROR(__xludf.DUMMYFUNCTION("GOOGLETRANSLATE(B952,""ja"",""vi"")"),"cá cảnh")</f>
        <v>cá cảnh</v>
      </c>
      <c r="E952" s="5" t="str">
        <f ca="1">IFERROR(__xludf.DUMMYFUNCTION("GOOGLETRANSLATE(C952,""ja"",""vi"")"),"Đấu giá&gt; cuốn sách, tạp chí&gt; sở thích, thể thao, sử dụng thực tế&gt; vật nuôi, động vật&gt; cá cảnh")</f>
        <v>Đấu giá&gt; cuốn sách, tạp chí&gt; sở thích, thể thao, sử dụng thực tế&gt; vật nuôi, động vật&gt; cá cảnh</v>
      </c>
      <c r="F952" t="str">
        <f t="shared" ca="1" si="14"/>
        <v>"2084008887" : "cá cảnh",</v>
      </c>
    </row>
    <row r="953" spans="1:6" ht="15.75" customHeight="1">
      <c r="A953" s="14">
        <v>2084008885</v>
      </c>
      <c r="B953" s="14" t="s">
        <v>5457</v>
      </c>
      <c r="C953" s="14" t="s">
        <v>5458</v>
      </c>
      <c r="D953" s="5" t="str">
        <f ca="1">IFERROR(__xludf.DUMMYFUNCTION("GOOGLETRANSLATE(B953,""ja"",""vi"")"),"chó")</f>
        <v>chó</v>
      </c>
      <c r="E953" s="5" t="str">
        <f ca="1">IFERROR(__xludf.DUMMYFUNCTION("GOOGLETRANSLATE(C953,""ja"",""vi"")"),"Đấu giá&gt; cuốn sách, tạp chí&gt; sở thích, thể thao, sử dụng thực tế&gt; vật nuôi, động vật&gt; chó")</f>
        <v>Đấu giá&gt; cuốn sách, tạp chí&gt; sở thích, thể thao, sử dụng thực tế&gt; vật nuôi, động vật&gt; chó</v>
      </c>
      <c r="F953" t="str">
        <f t="shared" ca="1" si="14"/>
        <v>"2084008885" : "chó",</v>
      </c>
    </row>
    <row r="954" spans="1:6" ht="15.75" customHeight="1">
      <c r="A954" s="14">
        <v>2084008890</v>
      </c>
      <c r="B954" s="14" t="s">
        <v>5460</v>
      </c>
      <c r="C954" s="14" t="s">
        <v>5461</v>
      </c>
      <c r="D954" s="5" t="str">
        <f ca="1">IFERROR(__xludf.DUMMYFUNCTION("GOOGLETRANSLATE(B954,""ja"",""vi"")"),"côn trùng")</f>
        <v>côn trùng</v>
      </c>
      <c r="E954" s="5" t="str">
        <f ca="1">IFERROR(__xludf.DUMMYFUNCTION("GOOGLETRANSLATE(C954,""ja"",""vi"")"),"Đấu giá&gt; cuốn sách, tạp chí&gt; sở thích, thể thao, sử dụng thực tế&gt; vật nuôi, động vật&gt; côn trùng")</f>
        <v>Đấu giá&gt; cuốn sách, tạp chí&gt; sở thích, thể thao, sử dụng thực tế&gt; vật nuôi, động vật&gt; côn trùng</v>
      </c>
      <c r="F954" t="str">
        <f t="shared" ca="1" si="14"/>
        <v>"2084008890" : "côn trùng",</v>
      </c>
    </row>
    <row r="955" spans="1:6" ht="15.75" customHeight="1">
      <c r="A955" s="14">
        <v>2084008095</v>
      </c>
      <c r="B955" s="14" t="s">
        <v>1586</v>
      </c>
      <c r="C955" s="14" t="s">
        <v>5463</v>
      </c>
      <c r="D955" s="5" t="str">
        <f ca="1">IFERROR(__xludf.DUMMYFUNCTION("GOOGLETRANSLATE(B955,""ja"",""vi"")"),"tạp chí")</f>
        <v>tạp chí</v>
      </c>
      <c r="E955" s="5" t="str">
        <f ca="1">IFERROR(__xludf.DUMMYFUNCTION("GOOGLETRANSLATE(C955,""ja"",""vi"")"),"Đấu giá&gt; cuốn sách, tạp chí&gt; sở thích, thể thao, sử dụng thực tế&gt; vật nuôi, động vật&gt; Tạp chí")</f>
        <v>Đấu giá&gt; cuốn sách, tạp chí&gt; sở thích, thể thao, sử dụng thực tế&gt; vật nuôi, động vật&gt; Tạp chí</v>
      </c>
      <c r="F955" t="str">
        <f t="shared" ca="1" si="14"/>
        <v>"2084008095" : "tạp chí",</v>
      </c>
    </row>
    <row r="956" spans="1:6" ht="15.75" customHeight="1">
      <c r="A956" s="14">
        <v>2084008888</v>
      </c>
      <c r="B956" s="14" t="s">
        <v>5464</v>
      </c>
      <c r="C956" s="14" t="s">
        <v>5466</v>
      </c>
      <c r="D956" s="5" t="str">
        <f ca="1">IFERROR(__xludf.DUMMYFUNCTION("GOOGLETRANSLATE(B956,""ja"",""vi"")"),"con chim nhỏ")</f>
        <v>con chim nhỏ</v>
      </c>
      <c r="E956" s="5" t="str">
        <f ca="1">IFERROR(__xludf.DUMMYFUNCTION("GOOGLETRANSLATE(C956,""ja"",""vi"")"),"Đấu giá&gt; cuốn sách, tạp chí&gt; sở thích, thể thao, sử dụng thực tế&gt; vật nuôi, động vật&gt; Chim")</f>
        <v>Đấu giá&gt; cuốn sách, tạp chí&gt; sở thích, thể thao, sử dụng thực tế&gt; vật nuôi, động vật&gt; Chim</v>
      </c>
      <c r="F956" t="str">
        <f t="shared" ca="1" si="14"/>
        <v>"2084008888" : "con chim nhỏ",</v>
      </c>
    </row>
    <row r="957" spans="1:6" ht="15.75" customHeight="1">
      <c r="A957" s="14">
        <v>2084008889</v>
      </c>
      <c r="B957" s="14" t="s">
        <v>5468</v>
      </c>
      <c r="C957" s="14" t="s">
        <v>5469</v>
      </c>
      <c r="D957" s="5" t="str">
        <f ca="1">IFERROR(__xludf.DUMMYFUNCTION("GOOGLETRANSLATE(B957,""ja"",""vi"")"),"động vật nhỏ")</f>
        <v>động vật nhỏ</v>
      </c>
      <c r="E957" s="5" t="str">
        <f ca="1">IFERROR(__xludf.DUMMYFUNCTION("GOOGLETRANSLATE(C957,""ja"",""vi"")"),"Đấu giá&gt; cuốn sách, tạp chí&gt; sở thích, thể thao, sử dụng thực tế&gt; vật nuôi, động vật&gt; động vật nhỏ")</f>
        <v>Đấu giá&gt; cuốn sách, tạp chí&gt; sở thích, thể thao, sử dụng thực tế&gt; vật nuôi, động vật&gt; động vật nhỏ</v>
      </c>
      <c r="F957" t="str">
        <f t="shared" ca="1" si="14"/>
        <v>"2084008889" : "động vật nhỏ",</v>
      </c>
    </row>
    <row r="958" spans="1:6" ht="15.75" customHeight="1">
      <c r="A958" s="14">
        <v>2084008886</v>
      </c>
      <c r="B958" s="14" t="s">
        <v>5471</v>
      </c>
      <c r="C958" s="14" t="s">
        <v>5473</v>
      </c>
      <c r="D958" s="5" t="str">
        <f ca="1">IFERROR(__xludf.DUMMYFUNCTION("GOOGLETRANSLATE(B958,""ja"",""vi"")"),"con mèo")</f>
        <v>con mèo</v>
      </c>
      <c r="E958" s="5" t="str">
        <f ca="1">IFERROR(__xludf.DUMMYFUNCTION("GOOGLETRANSLATE(C958,""ja"",""vi"")"),"Đấu giá&gt; cuốn sách, tạp chí&gt; sở thích, thể thao, sử dụng thực tế&gt; vật nuôi, động vật&gt; mèo")</f>
        <v>Đấu giá&gt; cuốn sách, tạp chí&gt; sở thích, thể thao, sử dụng thực tế&gt; vật nuôi, động vật&gt; mèo</v>
      </c>
      <c r="F958" t="str">
        <f t="shared" ca="1" si="14"/>
        <v>"2084008886" : "con mèo",</v>
      </c>
    </row>
    <row r="959" spans="1:6" ht="15.75" customHeight="1">
      <c r="A959" s="14">
        <v>2084047552</v>
      </c>
      <c r="B959" s="14" t="s">
        <v>5474</v>
      </c>
      <c r="C959" s="14" t="s">
        <v>5476</v>
      </c>
      <c r="D959" s="5" t="str">
        <f ca="1">IFERROR(__xludf.DUMMYFUNCTION("GOOGLETRANSLATE(B959,""ja"",""vi"")"),"Bò sát, động vật lưỡng cư")</f>
        <v>Bò sát, động vật lưỡng cư</v>
      </c>
      <c r="E959" s="5" t="str">
        <f ca="1">IFERROR(__xludf.DUMMYFUNCTION("GOOGLETRANSLATE(C959,""ja"",""vi"")"),"Đấu giá&gt; cuốn sách, tạp chí&gt; sở thích, thể thao, sử dụng thực tế&gt; vật nuôi, động vật&gt; bò sát, động vật lưỡng cư")</f>
        <v>Đấu giá&gt; cuốn sách, tạp chí&gt; sở thích, thể thao, sử dụng thực tế&gt; vật nuôi, động vật&gt; bò sát, động vật lưỡng cư</v>
      </c>
      <c r="F959" t="str">
        <f t="shared" ca="1" si="14"/>
        <v>"2084047552" : "Bò sát, động vật lưỡng cư",</v>
      </c>
    </row>
    <row r="960" spans="1:6" ht="15.75" customHeight="1">
      <c r="A960" s="14">
        <v>2084008891</v>
      </c>
      <c r="B960" s="14" t="s">
        <v>46</v>
      </c>
      <c r="C960" s="14" t="s">
        <v>5478</v>
      </c>
      <c r="D960" s="5" t="str">
        <f ca="1">IFERROR(__xludf.DUMMYFUNCTION("GOOGLETRANSLATE(B960,""ja"",""vi"")"),"nếu không thì")</f>
        <v>nếu không thì</v>
      </c>
      <c r="E960" s="5" t="str">
        <f ca="1">IFERROR(__xludf.DUMMYFUNCTION("GOOGLETRANSLATE(C960,""ja"",""vi"")"),"Đấu giá&gt; cuốn sách, tạp chí&gt; sở thích, thể thao, sử dụng thực tế&gt; vật nuôi, động vật&gt; Khác")</f>
        <v>Đấu giá&gt; cuốn sách, tạp chí&gt; sở thích, thể thao, sử dụng thực tế&gt; vật nuôi, động vật&gt; Khác</v>
      </c>
      <c r="F960" t="str">
        <f t="shared" ca="1" si="14"/>
        <v>"2084008891" : "nếu không thì",</v>
      </c>
    </row>
    <row r="961" spans="1:6" ht="15.75" customHeight="1">
      <c r="A961" s="14">
        <v>2084252938</v>
      </c>
      <c r="B961" s="14" t="s">
        <v>12957</v>
      </c>
      <c r="C961" s="14" t="s">
        <v>12959</v>
      </c>
      <c r="D961" s="5" t="str">
        <f ca="1">IFERROR(__xludf.DUMMYFUNCTION("GOOGLETRANSLATE(B961,""ja"",""vi"")"),"máy móc nông nghiệp")</f>
        <v>máy móc nông nghiệp</v>
      </c>
      <c r="E961" s="5" t="str">
        <f ca="1">IFERROR(__xludf.DUMMYFUNCTION("GOOGLETRANSLATE(C961,""ja"",""vi"")"),"Đấu giá&gt; hoa, làm vườn&gt; nông nghiệp&gt; máy móc nông nghiệp")</f>
        <v>Đấu giá&gt; hoa, làm vườn&gt; nông nghiệp&gt; máy móc nông nghiệp</v>
      </c>
      <c r="F961" t="str">
        <f t="shared" ca="1" si="14"/>
        <v>"2084252938" : "máy móc nông nghiệp",</v>
      </c>
    </row>
    <row r="962" spans="1:6" ht="15.75" customHeight="1">
      <c r="A962" s="14">
        <v>2084252942</v>
      </c>
      <c r="B962" s="14" t="s">
        <v>12963</v>
      </c>
      <c r="C962" s="14" t="s">
        <v>12964</v>
      </c>
      <c r="D962" s="5" t="str">
        <f ca="1">IFERROR(__xludf.DUMMYFUNCTION("GOOGLETRANSLATE(B962,""ja"",""vi"")"),"vật tư nông nghiệp")</f>
        <v>vật tư nông nghiệp</v>
      </c>
      <c r="E962" s="5" t="str">
        <f ca="1">IFERROR(__xludf.DUMMYFUNCTION("GOOGLETRANSLATE(C962,""ja"",""vi"")"),"Đấu giá&gt; hoa, làm vườn&gt; nông nghiệp&gt; vật tư nông nghiệp")</f>
        <v>Đấu giá&gt; hoa, làm vườn&gt; nông nghiệp&gt; vật tư nông nghiệp</v>
      </c>
      <c r="F962" t="str">
        <f t="shared" ref="F962:F1025" ca="1" si="15">CONCATENATE(CHAR(34)&amp;"",A962,""&amp;CHAR(34)," : ", CHAR(34)&amp;"",D962,""&amp;CHAR(34),",")</f>
        <v>"2084252942" : "vật tư nông nghiệp",</v>
      </c>
    </row>
    <row r="963" spans="1:6" ht="15.75" customHeight="1">
      <c r="A963" s="14">
        <v>2084252941</v>
      </c>
      <c r="B963" s="14" t="s">
        <v>12968</v>
      </c>
      <c r="C963" s="14" t="s">
        <v>12970</v>
      </c>
      <c r="D963" s="5" t="str">
        <f ca="1">IFERROR(__xludf.DUMMYFUNCTION("GOOGLETRANSLATE(B963,""ja"",""vi"")"),"Hiệu ứng nhà kính, nhà vinyl")</f>
        <v>Hiệu ứng nhà kính, nhà vinyl</v>
      </c>
      <c r="E963" s="5" t="str">
        <f ca="1">IFERROR(__xludf.DUMMYFUNCTION("GOOGLETRANSLATE(C963,""ja"",""vi"")"),"Đấu giá&gt; hoa, làm vườn&gt; nông nghiệp&gt; hiệu ứng nhà kính, nhà vinyl")</f>
        <v>Đấu giá&gt; hoa, làm vườn&gt; nông nghiệp&gt; hiệu ứng nhà kính, nhà vinyl</v>
      </c>
      <c r="F963" t="str">
        <f t="shared" ca="1" si="15"/>
        <v>"2084252941" : "Hiệu ứng nhà kính, nhà vinyl",</v>
      </c>
    </row>
    <row r="964" spans="1:6" ht="15.75" customHeight="1">
      <c r="A964" s="14">
        <v>2084206921</v>
      </c>
      <c r="B964" s="14" t="s">
        <v>12974</v>
      </c>
      <c r="C964" s="14" t="s">
        <v>12975</v>
      </c>
      <c r="D964" s="5" t="str">
        <f ca="1">IFERROR(__xludf.DUMMYFUNCTION("GOOGLETRANSLATE(B964,""ja"",""vi"")"),"thuốc làm vườn")</f>
        <v>thuốc làm vườn</v>
      </c>
      <c r="E964" s="5" t="str">
        <f ca="1">IFERROR(__xludf.DUMMYFUNCTION("GOOGLETRANSLATE(C964,""ja"",""vi"")"),"Đấu giá&gt; hoa, làm vườn&gt; nông nghiệp&gt; thuốc làm vườn")</f>
        <v>Đấu giá&gt; hoa, làm vườn&gt; nông nghiệp&gt; thuốc làm vườn</v>
      </c>
      <c r="F964" t="str">
        <f t="shared" ca="1" si="15"/>
        <v>"2084206921" : "thuốc làm vườn",</v>
      </c>
    </row>
    <row r="965" spans="1:6" ht="15.75" customHeight="1">
      <c r="A965" s="14">
        <v>2084207591</v>
      </c>
      <c r="B965" s="14" t="s">
        <v>12977</v>
      </c>
      <c r="C965" s="14" t="s">
        <v>12980</v>
      </c>
      <c r="D965" s="5" t="str">
        <f ca="1">IFERROR(__xludf.DUMMYFUNCTION("GOOGLETRANSLATE(B965,""ja"",""vi"")"),"máy rửa cao áp")</f>
        <v>máy rửa cao áp</v>
      </c>
      <c r="E965" s="5" t="str">
        <f ca="1">IFERROR(__xludf.DUMMYFUNCTION("GOOGLETRANSLATE(C965,""ja"",""vi"")"),"Đấu giá&gt; hoa, làm vườn&gt; nông nghiệp&gt; áp lực cao máy giặt")</f>
        <v>Đấu giá&gt; hoa, làm vườn&gt; nông nghiệp&gt; áp lực cao máy giặt</v>
      </c>
      <c r="F965" t="str">
        <f t="shared" ca="1" si="15"/>
        <v>"2084207591" : "máy rửa cao áp",</v>
      </c>
    </row>
    <row r="966" spans="1:6" ht="15.75" customHeight="1">
      <c r="A966" s="14">
        <v>2084206887</v>
      </c>
      <c r="B966" s="14" t="s">
        <v>12982</v>
      </c>
      <c r="C966" s="14" t="s">
        <v>12984</v>
      </c>
      <c r="D966" s="5" t="str">
        <f ca="1">IFERROR(__xludf.DUMMYFUNCTION("GOOGLETRANSLATE(B966,""ja"",""vi"")"),"loài")</f>
        <v>loài</v>
      </c>
      <c r="E966" s="5" t="str">
        <f ca="1">IFERROR(__xludf.DUMMYFUNCTION("GOOGLETRANSLATE(C966,""ja"",""vi"")"),"Đấu giá&gt; hoa, làm vườn&gt; nông nghiệp&gt; loài")</f>
        <v>Đấu giá&gt; hoa, làm vườn&gt; nông nghiệp&gt; loài</v>
      </c>
      <c r="F966" t="str">
        <f t="shared" ca="1" si="15"/>
        <v>"2084206887" : "loài",</v>
      </c>
    </row>
    <row r="967" spans="1:6" ht="15.75" customHeight="1">
      <c r="A967" s="14">
        <v>2084206923</v>
      </c>
      <c r="B967" s="14" t="s">
        <v>12988</v>
      </c>
      <c r="C967" s="14" t="s">
        <v>12989</v>
      </c>
      <c r="D967" s="5" t="str">
        <f ca="1">IFERROR(__xludf.DUMMYFUNCTION("GOOGLETRANSLATE(B967,""ja"",""vi"")"),"Phân bón, đất")</f>
        <v>Phân bón, đất</v>
      </c>
      <c r="E967" s="5" t="str">
        <f ca="1">IFERROR(__xludf.DUMMYFUNCTION("GOOGLETRANSLATE(C967,""ja"",""vi"")"),"Đấu giá&gt; hoa, làm vườn&gt; nông nghiệp&gt; Phân bón, đất")</f>
        <v>Đấu giá&gt; hoa, làm vườn&gt; nông nghiệp&gt; Phân bón, đất</v>
      </c>
      <c r="F967" t="str">
        <f t="shared" ca="1" si="15"/>
        <v>"2084206923" : "Phân bón, đất",</v>
      </c>
    </row>
    <row r="968" spans="1:6" ht="15.75" customHeight="1">
      <c r="A968" s="14">
        <v>2084206897</v>
      </c>
      <c r="B968" s="14" t="s">
        <v>12992</v>
      </c>
      <c r="C968" s="14" t="s">
        <v>12994</v>
      </c>
      <c r="D968" s="5" t="str">
        <f ca="1">IFERROR(__xludf.DUMMYFUNCTION("GOOGLETRANSLATE(B968,""ja"",""vi"")"),"cây giống")</f>
        <v>cây giống</v>
      </c>
      <c r="E968" s="5" t="str">
        <f ca="1">IFERROR(__xludf.DUMMYFUNCTION("GOOGLETRANSLATE(C968,""ja"",""vi"")"),"Đấu giá&gt; hoa, làm vườn&gt; nông nghiệp&gt; cây giống")</f>
        <v>Đấu giá&gt; hoa, làm vườn&gt; nông nghiệp&gt; cây giống</v>
      </c>
      <c r="F968" t="str">
        <f t="shared" ca="1" si="15"/>
        <v>"2084206897" : "cây giống",</v>
      </c>
    </row>
    <row r="969" spans="1:6" ht="15.75" customHeight="1">
      <c r="A969" s="14">
        <v>2084252939</v>
      </c>
      <c r="B969" s="14" t="s">
        <v>46</v>
      </c>
      <c r="C969" s="14" t="s">
        <v>12999</v>
      </c>
      <c r="D969" s="5" t="str">
        <f ca="1">IFERROR(__xludf.DUMMYFUNCTION("GOOGLETRANSLATE(B969,""ja"",""vi"")"),"nếu không thì")</f>
        <v>nếu không thì</v>
      </c>
      <c r="E969" s="5" t="str">
        <f ca="1">IFERROR(__xludf.DUMMYFUNCTION("GOOGLETRANSLATE(C969,""ja"",""vi"")"),"Đấu giá&gt; hoa, làm vườn&gt; nông nghiệp&gt; Khác")</f>
        <v>Đấu giá&gt; hoa, làm vườn&gt; nông nghiệp&gt; Khác</v>
      </c>
      <c r="F969" t="str">
        <f t="shared" ca="1" si="15"/>
        <v>"2084252939" : "nếu không thì",</v>
      </c>
    </row>
    <row r="970" spans="1:6" ht="15.75" customHeight="1">
      <c r="A970" s="14">
        <v>2084206882</v>
      </c>
      <c r="B970" s="14" t="s">
        <v>13003</v>
      </c>
      <c r="C970" s="14" t="s">
        <v>13005</v>
      </c>
      <c r="D970" s="5" t="str">
        <f ca="1">IFERROR(__xludf.DUMMYFUNCTION("GOOGLETRANSLATE(B970,""ja"",""vi"")"),"bóng đèn")</f>
        <v>bóng đèn</v>
      </c>
      <c r="E970" s="5" t="str">
        <f ca="1">IFERROR(__xludf.DUMMYFUNCTION("GOOGLETRANSLATE(C970,""ja"",""vi"")"),"Đấu giá&gt; hoa, làm vườn&gt; làm vườn&gt; bóng đèn")</f>
        <v>Đấu giá&gt; hoa, làm vườn&gt; làm vườn&gt; bóng đèn</v>
      </c>
      <c r="F970" t="str">
        <f t="shared" ca="1" si="15"/>
        <v>"2084206882" : "bóng đèn",</v>
      </c>
    </row>
    <row r="971" spans="1:6" ht="15.75" customHeight="1">
      <c r="A971" s="14">
        <v>2084206897</v>
      </c>
      <c r="B971" s="14" t="s">
        <v>12992</v>
      </c>
      <c r="C971" s="14" t="s">
        <v>13009</v>
      </c>
      <c r="D971" s="5" t="str">
        <f ca="1">IFERROR(__xludf.DUMMYFUNCTION("GOOGLETRANSLATE(B971,""ja"",""vi"")"),"cây giống")</f>
        <v>cây giống</v>
      </c>
      <c r="E971" s="5" t="str">
        <f ca="1">IFERROR(__xludf.DUMMYFUNCTION("GOOGLETRANSLATE(C971,""ja"",""vi"")"),"Đấu giá&gt; hoa, làm vườn&gt; làm vườn&gt; cây giống")</f>
        <v>Đấu giá&gt; hoa, làm vườn&gt; làm vườn&gt; cây giống</v>
      </c>
      <c r="F971" t="str">
        <f t="shared" ca="1" si="15"/>
        <v>"2084206897" : "cây giống",</v>
      </c>
    </row>
    <row r="972" spans="1:6" ht="15.75" customHeight="1">
      <c r="A972" s="14">
        <v>2084206921</v>
      </c>
      <c r="B972" s="14" t="s">
        <v>12974</v>
      </c>
      <c r="C972" s="14" t="s">
        <v>13013</v>
      </c>
      <c r="D972" s="5" t="str">
        <f ca="1">IFERROR(__xludf.DUMMYFUNCTION("GOOGLETRANSLATE(B972,""ja"",""vi"")"),"thuốc làm vườn")</f>
        <v>thuốc làm vườn</v>
      </c>
      <c r="E972" s="5" t="str">
        <f ca="1">IFERROR(__xludf.DUMMYFUNCTION("GOOGLETRANSLATE(C972,""ja"",""vi"")"),"Đấu giá&gt; hoa, làm vườn&gt; Làm vườn&gt; ma túy vườn")</f>
        <v>Đấu giá&gt; hoa, làm vườn&gt; Làm vườn&gt; ma túy vườn</v>
      </c>
      <c r="F972" t="str">
        <f t="shared" ca="1" si="15"/>
        <v>"2084206921" : "thuốc làm vườn",</v>
      </c>
    </row>
    <row r="973" spans="1:6" ht="15.75" customHeight="1">
      <c r="A973" s="14">
        <v>2084206923</v>
      </c>
      <c r="B973" s="14" t="s">
        <v>12988</v>
      </c>
      <c r="C973" s="14" t="s">
        <v>13017</v>
      </c>
      <c r="D973" s="5" t="str">
        <f ca="1">IFERROR(__xludf.DUMMYFUNCTION("GOOGLETRANSLATE(B973,""ja"",""vi"")"),"Phân bón, đất")</f>
        <v>Phân bón, đất</v>
      </c>
      <c r="E973" s="5" t="str">
        <f ca="1">IFERROR(__xludf.DUMMYFUNCTION("GOOGLETRANSLATE(C973,""ja"",""vi"")"),"Đấu giá&gt; hoa, làm vườn&gt; Làm vườn&gt; phân bón, đất")</f>
        <v>Đấu giá&gt; hoa, làm vườn&gt; Làm vườn&gt; phân bón, đất</v>
      </c>
      <c r="F973" t="str">
        <f t="shared" ca="1" si="15"/>
        <v>"2084206923" : "Phân bón, đất",</v>
      </c>
    </row>
    <row r="974" spans="1:6" ht="15.75" customHeight="1">
      <c r="A974" s="14">
        <v>2084206887</v>
      </c>
      <c r="B974" s="14" t="s">
        <v>12982</v>
      </c>
      <c r="C974" s="14" t="s">
        <v>13022</v>
      </c>
      <c r="D974" s="5" t="str">
        <f ca="1">IFERROR(__xludf.DUMMYFUNCTION("GOOGLETRANSLATE(B974,""ja"",""vi"")"),"loài")</f>
        <v>loài</v>
      </c>
      <c r="E974" s="5" t="str">
        <f ca="1">IFERROR(__xludf.DUMMYFUNCTION("GOOGLETRANSLATE(C974,""ja"",""vi"")"),"Đấu giá&gt; hoa, làm vườn&gt; làm vườn&gt; loại")</f>
        <v>Đấu giá&gt; hoa, làm vườn&gt; làm vườn&gt; loại</v>
      </c>
      <c r="F974" t="str">
        <f t="shared" ca="1" si="15"/>
        <v>"2084206887" : "loài",</v>
      </c>
    </row>
    <row r="975" spans="1:6" ht="15.75" customHeight="1">
      <c r="A975" s="14">
        <v>2084006717</v>
      </c>
      <c r="B975" s="14" t="s">
        <v>13027</v>
      </c>
      <c r="C975" s="14" t="s">
        <v>13028</v>
      </c>
      <c r="D975" s="5" t="str">
        <f ca="1">IFERROR(__xludf.DUMMYFUNCTION("GOOGLETRANSLATE(B975,""ja"",""vi"")"),"Kéo, cưa")</f>
        <v>Kéo, cưa</v>
      </c>
      <c r="E975" s="5" t="str">
        <f ca="1">IFERROR(__xludf.DUMMYFUNCTION("GOOGLETRANSLATE(C975,""ja"",""vi"")"),"Đấu giá&gt; hoa, làm vườn&gt; làm vườn&gt; kéo, cưa")</f>
        <v>Đấu giá&gt; hoa, làm vườn&gt; làm vườn&gt; kéo, cưa</v>
      </c>
      <c r="F975" t="str">
        <f t="shared" ca="1" si="15"/>
        <v>"2084006717" : "Kéo, cưa",</v>
      </c>
    </row>
    <row r="976" spans="1:6" ht="15.75" customHeight="1">
      <c r="A976" s="14">
        <v>2084006716</v>
      </c>
      <c r="B976" s="14" t="s">
        <v>13032</v>
      </c>
      <c r="C976" s="14" t="s">
        <v>13034</v>
      </c>
      <c r="D976" s="5" t="str">
        <f ca="1">IFERROR(__xludf.DUMMYFUNCTION("GOOGLETRANSLATE(B976,""ja"",""vi"")"),"Scoop, xẻng")</f>
        <v>Scoop, xẻng</v>
      </c>
      <c r="E976" s="5" t="str">
        <f ca="1">IFERROR(__xludf.DUMMYFUNCTION("GOOGLETRANSLATE(C976,""ja"",""vi"")"),"Đấu giá&gt; hoa, làm vườn&gt; làm vườn&gt; muỗng, xẻng")</f>
        <v>Đấu giá&gt; hoa, làm vườn&gt; làm vườn&gt; muỗng, xẻng</v>
      </c>
      <c r="F976" t="str">
        <f t="shared" ca="1" si="15"/>
        <v>"2084006716" : "Scoop, xẻng",</v>
      </c>
    </row>
    <row r="977" spans="1:6" ht="15.75" customHeight="1">
      <c r="A977" s="14">
        <v>2084006714</v>
      </c>
      <c r="B977" s="14" t="s">
        <v>46</v>
      </c>
      <c r="C977" s="14" t="s">
        <v>13037</v>
      </c>
      <c r="D977" s="5" t="str">
        <f ca="1">IFERROR(__xludf.DUMMYFUNCTION("GOOGLETRANSLATE(B977,""ja"",""vi"")"),"nếu không thì")</f>
        <v>nếu không thì</v>
      </c>
      <c r="E977" s="5" t="str">
        <f ca="1">IFERROR(__xludf.DUMMYFUNCTION("GOOGLETRANSLATE(C977,""ja"",""vi"")"),"Đấu giá&gt; hoa, làm vườn&gt; làm vườn&gt; Khác")</f>
        <v>Đấu giá&gt; hoa, làm vườn&gt; làm vườn&gt; Khác</v>
      </c>
      <c r="F977" t="str">
        <f t="shared" ca="1" si="15"/>
        <v>"2084006714" : "nếu không thì",</v>
      </c>
    </row>
    <row r="978" spans="1:6" ht="15.75" customHeight="1">
      <c r="A978" s="14">
        <v>2084047121</v>
      </c>
      <c r="B978" s="14" t="s">
        <v>7192</v>
      </c>
      <c r="C978" s="14" t="s">
        <v>13042</v>
      </c>
      <c r="D978" s="5" t="str">
        <f ca="1">IFERROR(__xludf.DUMMYFUNCTION("GOOGLETRANSLATE(B978,""ja"",""vi"")"),"hoa khô")</f>
        <v>hoa khô</v>
      </c>
      <c r="E978" s="5" t="str">
        <f ca="1">IFERROR(__xludf.DUMMYFUNCTION("GOOGLETRANSLATE(C978,""ja"",""vi"")"),"Đấu giá&gt; hoa, làm vườn&gt; sắp xếp&gt; hoa khô")</f>
        <v>Đấu giá&gt; hoa, làm vườn&gt; sắp xếp&gt; hoa khô</v>
      </c>
      <c r="F978" t="str">
        <f t="shared" ca="1" si="15"/>
        <v>"2084047121" : "hoa khô",</v>
      </c>
    </row>
    <row r="979" spans="1:6" ht="15.75" customHeight="1">
      <c r="A979" s="14">
        <v>2084047127</v>
      </c>
      <c r="B979" s="14" t="s">
        <v>13045</v>
      </c>
      <c r="C979" s="14" t="s">
        <v>13047</v>
      </c>
      <c r="D979" s="5" t="str">
        <f ca="1">IFERROR(__xludf.DUMMYFUNCTION("GOOGLETRANSLATE(B979,""ja"",""vi"")"),"cắm hoa")</f>
        <v>cắm hoa</v>
      </c>
      <c r="E979" s="5" t="str">
        <f ca="1">IFERROR(__xludf.DUMMYFUNCTION("GOOGLETRANSLATE(C979,""ja"",""vi"")"),"Đấu giá&gt; hoa, làm vườn&gt; sắp xếp&gt; cắm hoa")</f>
        <v>Đấu giá&gt; hoa, làm vườn&gt; sắp xếp&gt; cắm hoa</v>
      </c>
      <c r="F979" t="str">
        <f t="shared" ca="1" si="15"/>
        <v>"2084047127" : "cắm hoa",</v>
      </c>
    </row>
    <row r="980" spans="1:6" ht="15.75" customHeight="1">
      <c r="A980" s="14">
        <v>2084047123</v>
      </c>
      <c r="B980" s="14" t="s">
        <v>13049</v>
      </c>
      <c r="C980" s="14" t="s">
        <v>13051</v>
      </c>
      <c r="D980" s="5" t="str">
        <f ca="1">IFERROR(__xludf.DUMMYFUNCTION("GOOGLETRANSLATE(B980,""ja"",""vi"")"),"hoa nhân tạo")</f>
        <v>hoa nhân tạo</v>
      </c>
      <c r="E980" s="5" t="str">
        <f ca="1">IFERROR(__xludf.DUMMYFUNCTION("GOOGLETRANSLATE(C980,""ja"",""vi"")"),"Đấu giá&gt; hoa, làm vườn&gt; sắp xếp&gt; hoa giả")</f>
        <v>Đấu giá&gt; hoa, làm vườn&gt; sắp xếp&gt; hoa giả</v>
      </c>
      <c r="F980" t="str">
        <f t="shared" ca="1" si="15"/>
        <v>"2084047123" : "hoa nhân tạo",</v>
      </c>
    </row>
    <row r="981" spans="1:6" ht="15.75" customHeight="1">
      <c r="A981" s="14">
        <v>2084207326</v>
      </c>
      <c r="B981" s="14" t="s">
        <v>13045</v>
      </c>
      <c r="C981" s="14" t="s">
        <v>13056</v>
      </c>
      <c r="D981" s="5" t="str">
        <f ca="1">IFERROR(__xludf.DUMMYFUNCTION("GOOGLETRANSLATE(B981,""ja"",""vi"")"),"cắm hoa")</f>
        <v>cắm hoa</v>
      </c>
      <c r="E981" s="5" t="str">
        <f ca="1">IFERROR(__xludf.DUMMYFUNCTION("GOOGLETRANSLATE(C981,""ja"",""vi"")"),"Đấu giá&gt; hoa, làm vườn&gt; cắt hoa, bó hoa&gt; cắm hoa")</f>
        <v>Đấu giá&gt; hoa, làm vườn&gt; cắt hoa, bó hoa&gt; cắm hoa</v>
      </c>
      <c r="F981" t="str">
        <f t="shared" ca="1" si="15"/>
        <v>"2084207326" : "cắm hoa",</v>
      </c>
    </row>
    <row r="982" spans="1:6" ht="15.75" customHeight="1">
      <c r="A982" s="14">
        <v>2084006708</v>
      </c>
      <c r="B982" s="14" t="s">
        <v>7192</v>
      </c>
      <c r="C982" s="14" t="s">
        <v>13061</v>
      </c>
      <c r="D982" s="5" t="str">
        <f ca="1">IFERROR(__xludf.DUMMYFUNCTION("GOOGLETRANSLATE(B982,""ja"",""vi"")"),"hoa khô")</f>
        <v>hoa khô</v>
      </c>
      <c r="E982" s="5" t="str">
        <f ca="1">IFERROR(__xludf.DUMMYFUNCTION("GOOGLETRANSLATE(C982,""ja"",""vi"")"),"Đấu giá&gt; hoa, làm vườn&gt; hoa cắt, bó hoa&gt; hoa khô")</f>
        <v>Đấu giá&gt; hoa, làm vườn&gt; hoa cắt, bó hoa&gt; hoa khô</v>
      </c>
      <c r="F982" t="str">
        <f t="shared" ca="1" si="15"/>
        <v>"2084006708" : "hoa khô",</v>
      </c>
    </row>
    <row r="983" spans="1:6" ht="15.75" customHeight="1">
      <c r="A983" s="14">
        <v>2084048857</v>
      </c>
      <c r="B983" s="14" t="s">
        <v>13064</v>
      </c>
      <c r="C983" s="14" t="s">
        <v>13065</v>
      </c>
      <c r="D983" s="5" t="str">
        <f ca="1">IFERROR(__xludf.DUMMYFUNCTION("GOOGLETRANSLATE(B983,""ja"",""vi"")"),"bảo quản")</f>
        <v>bảo quản</v>
      </c>
      <c r="E983" s="5" t="str">
        <f ca="1">IFERROR(__xludf.DUMMYFUNCTION("GOOGLETRANSLATE(C983,""ja"",""vi"")"),"Đấu giá&gt; hoa, làm vườn&gt; cắt hoa, bó hoa&gt; bảo quản")</f>
        <v>Đấu giá&gt; hoa, làm vườn&gt; cắt hoa, bó hoa&gt; bảo quản</v>
      </c>
      <c r="F983" t="str">
        <f t="shared" ca="1" si="15"/>
        <v>"2084048857" : "bảo quản",</v>
      </c>
    </row>
    <row r="984" spans="1:6" ht="15.75" customHeight="1">
      <c r="A984" s="14">
        <v>2084006705</v>
      </c>
      <c r="B984" s="14" t="s">
        <v>13049</v>
      </c>
      <c r="C984" s="14" t="s">
        <v>13071</v>
      </c>
      <c r="D984" s="5" t="str">
        <f ca="1">IFERROR(__xludf.DUMMYFUNCTION("GOOGLETRANSLATE(B984,""ja"",""vi"")"),"hoa nhân tạo")</f>
        <v>hoa nhân tạo</v>
      </c>
      <c r="E984" s="5" t="str">
        <f ca="1">IFERROR(__xludf.DUMMYFUNCTION("GOOGLETRANSLATE(C984,""ja"",""vi"")"),"Đấu giá&gt; hoa, làm vườn&gt; hoa cắt, bó hoa&gt; hoa giả")</f>
        <v>Đấu giá&gt; hoa, làm vườn&gt; hoa cắt, bó hoa&gt; hoa giả</v>
      </c>
      <c r="F984" t="str">
        <f t="shared" ca="1" si="15"/>
        <v>"2084006705" : "hoa nhân tạo",</v>
      </c>
    </row>
    <row r="985" spans="1:6" ht="15.75" customHeight="1">
      <c r="A985" s="14">
        <v>2084207359</v>
      </c>
      <c r="B985" s="14" t="s">
        <v>5504</v>
      </c>
      <c r="C985" s="14" t="s">
        <v>13078</v>
      </c>
      <c r="D985" s="5" t="str">
        <f ca="1">IFERROR(__xludf.DUMMYFUNCTION("GOOGLETRANSLATE(B985,""ja"",""vi"")"),"Bonsai")</f>
        <v>Bonsai</v>
      </c>
      <c r="E985" s="5" t="str">
        <f ca="1">IFERROR(__xludf.DUMMYFUNCTION("GOOGLETRANSLATE(C985,""ja"",""vi"")"),"Đấu giá&gt; hoa, làm vườn&gt; cây cảnh&gt; Bonsai")</f>
        <v>Đấu giá&gt; hoa, làm vườn&gt; cây cảnh&gt; Bonsai</v>
      </c>
      <c r="F985" t="str">
        <f t="shared" ca="1" si="15"/>
        <v>"2084207359" : "Bonsai",</v>
      </c>
    </row>
    <row r="986" spans="1:6" ht="15.75" customHeight="1">
      <c r="A986" s="14">
        <v>2084207386</v>
      </c>
      <c r="B986" s="14" t="s">
        <v>13079</v>
      </c>
      <c r="C986" s="14" t="s">
        <v>13082</v>
      </c>
      <c r="D986" s="5" t="str">
        <f ca="1">IFERROR(__xludf.DUMMYFUNCTION("GOOGLETRANSLATE(B986,""ja"",""vi"")"),"Bonsai Công cụ")</f>
        <v>Bonsai Công cụ</v>
      </c>
      <c r="E986" s="5" t="str">
        <f ca="1">IFERROR(__xludf.DUMMYFUNCTION("GOOGLETRANSLATE(C986,""ja"",""vi"")"),"Đấu giá&gt; hoa, làm vườn&gt; cây cảnh&gt; Bonsai thiết bị")</f>
        <v>Đấu giá&gt; hoa, làm vườn&gt; cây cảnh&gt; Bonsai thiết bị</v>
      </c>
      <c r="F986" t="str">
        <f t="shared" ca="1" si="15"/>
        <v>"2084207386" : "Bonsai Công cụ",</v>
      </c>
    </row>
    <row r="987" spans="1:6" ht="15.75" customHeight="1">
      <c r="A987" s="14">
        <v>2084207389</v>
      </c>
      <c r="B987" s="14" t="s">
        <v>46</v>
      </c>
      <c r="C987" s="14" t="s">
        <v>13085</v>
      </c>
      <c r="D987" s="5" t="str">
        <f ca="1">IFERROR(__xludf.DUMMYFUNCTION("GOOGLETRANSLATE(B987,""ja"",""vi"")"),"nếu không thì")</f>
        <v>nếu không thì</v>
      </c>
      <c r="E987" s="5" t="str">
        <f ca="1">IFERROR(__xludf.DUMMYFUNCTION("GOOGLETRANSLATE(C987,""ja"",""vi"")"),"Đấu giá&gt; hoa, làm vườn&gt; cây cảnh&gt; Khác")</f>
        <v>Đấu giá&gt; hoa, làm vườn&gt; cây cảnh&gt; Khác</v>
      </c>
      <c r="F987" t="str">
        <f t="shared" ca="1" si="15"/>
        <v>"2084207389" : "nếu không thì",</v>
      </c>
    </row>
    <row r="988" spans="1:6" ht="15.75" customHeight="1">
      <c r="A988" s="14">
        <v>2084216952</v>
      </c>
      <c r="B988" s="14" t="s">
        <v>13089</v>
      </c>
      <c r="C988" s="14" t="s">
        <v>13091</v>
      </c>
      <c r="D988" s="5" t="str">
        <f ca="1">IFERROR(__xludf.DUMMYFUNCTION("GOOGLETRANSLATE(B988,""ja"",""vi"")"),"agave")</f>
        <v>agave</v>
      </c>
      <c r="E988" s="5" t="str">
        <f ca="1">IFERROR(__xludf.DUMMYFUNCTION("GOOGLETRANSLATE(C988,""ja"",""vi"")"),"Đấu giá&gt; hoa, làm vườn&gt; cây trang trí&gt; agave")</f>
        <v>Đấu giá&gt; hoa, làm vườn&gt; cây trang trí&gt; agave</v>
      </c>
      <c r="F988" t="str">
        <f t="shared" ca="1" si="15"/>
        <v>"2084216952" : "agave",</v>
      </c>
    </row>
    <row r="989" spans="1:6" ht="15.75" customHeight="1">
      <c r="A989" s="14">
        <v>2084063285</v>
      </c>
      <c r="B989" s="14" t="s">
        <v>13094</v>
      </c>
      <c r="C989" s="14" t="s">
        <v>13097</v>
      </c>
      <c r="D989" s="5" t="str">
        <f ca="1">IFERROR(__xludf.DUMMYFUNCTION("GOOGLETRANSLATE(B989,""ja"",""vi"")"),"trái thơm")</f>
        <v>trái thơm</v>
      </c>
      <c r="E989" s="5" t="str">
        <f ca="1">IFERROR(__xludf.DUMMYFUNCTION("GOOGLETRANSLATE(C989,""ja"",""vi"")"),"Đấu giá&gt; hoa, làm vườn&gt; cây trang trí&gt; bromeliad")</f>
        <v>Đấu giá&gt; hoa, làm vườn&gt; cây trang trí&gt; bromeliad</v>
      </c>
      <c r="F989" t="str">
        <f t="shared" ca="1" si="15"/>
        <v>"2084063285" : "trái thơm",</v>
      </c>
    </row>
    <row r="990" spans="1:6" ht="15.75" customHeight="1">
      <c r="A990" s="14">
        <v>2084063286</v>
      </c>
      <c r="B990" s="14" t="s">
        <v>13099</v>
      </c>
      <c r="C990" s="14" t="s">
        <v>13100</v>
      </c>
      <c r="D990" s="5" t="str">
        <f ca="1">IFERROR(__xludf.DUMMYFUNCTION("GOOGLETRANSLATE(B990,""ja"",""vi"")"),"cây lô hội")</f>
        <v>cây lô hội</v>
      </c>
      <c r="E990" s="5" t="str">
        <f ca="1">IFERROR(__xludf.DUMMYFUNCTION("GOOGLETRANSLATE(C990,""ja"",""vi"")"),"Đấu giá&gt; hoa, làm vườn&gt; cây trang trí&gt; lô hội")</f>
        <v>Đấu giá&gt; hoa, làm vườn&gt; cây trang trí&gt; lô hội</v>
      </c>
      <c r="F990" t="str">
        <f t="shared" ca="1" si="15"/>
        <v>"2084063286" : "cây lô hội",</v>
      </c>
    </row>
    <row r="991" spans="1:6" ht="15.75" customHeight="1">
      <c r="A991" s="14">
        <v>2084063287</v>
      </c>
      <c r="B991" s="14" t="s">
        <v>13105</v>
      </c>
      <c r="C991" s="14" t="s">
        <v>13106</v>
      </c>
      <c r="D991" s="5" t="str">
        <f ca="1">IFERROR(__xludf.DUMMYFUNCTION("GOOGLETRANSLATE(B991,""ja"",""vi"")"),"Unberata")</f>
        <v>Unberata</v>
      </c>
      <c r="E991" s="5" t="str">
        <f ca="1">IFERROR(__xludf.DUMMYFUNCTION("GOOGLETRANSLATE(C991,""ja"",""vi"")"),"Đấu giá&gt; hoa, làm vườn&gt; cây trang trí&gt; Unberata")</f>
        <v>Đấu giá&gt; hoa, làm vườn&gt; cây trang trí&gt; Unberata</v>
      </c>
      <c r="F991" t="str">
        <f t="shared" ca="1" si="15"/>
        <v>"2084063287" : "Unberata",</v>
      </c>
    </row>
    <row r="992" spans="1:6" ht="15.75" customHeight="1">
      <c r="A992" s="14">
        <v>2084216954</v>
      </c>
      <c r="B992" s="14" t="s">
        <v>13110</v>
      </c>
      <c r="C992" s="14" t="s">
        <v>13112</v>
      </c>
      <c r="D992" s="5" t="str">
        <f ca="1">IFERROR(__xludf.DUMMYFUNCTION("GOOGLETRANSLATE(B992,""ja"",""vi"")"),"Augusta")</f>
        <v>Augusta</v>
      </c>
      <c r="E992" s="5" t="str">
        <f ca="1">IFERROR(__xludf.DUMMYFUNCTION("GOOGLETRANSLATE(C992,""ja"",""vi"")"),"Đấu giá&gt; hoa, làm vườn&gt; cây trang trí&gt; Augusta")</f>
        <v>Đấu giá&gt; hoa, làm vườn&gt; cây trang trí&gt; Augusta</v>
      </c>
      <c r="F992" t="str">
        <f t="shared" ca="1" si="15"/>
        <v>"2084216954" : "Augusta",</v>
      </c>
    </row>
    <row r="993" spans="1:6" ht="15.75" customHeight="1">
      <c r="A993" s="14">
        <v>2084063294</v>
      </c>
      <c r="B993" s="14" t="s">
        <v>13114</v>
      </c>
      <c r="C993" s="14" t="s">
        <v>13115</v>
      </c>
      <c r="D993" s="5" t="str">
        <f ca="1">IFERROR(__xludf.DUMMYFUNCTION("GOOGLETRANSLATE(B993,""ja"",""vi"")"),"chi ráy")</f>
        <v>chi ráy</v>
      </c>
      <c r="E993" s="5" t="str">
        <f ca="1">IFERROR(__xludf.DUMMYFUNCTION("GOOGLETRANSLATE(C993,""ja"",""vi"")"),"Đấu giá&gt; hoa, làm vườn&gt; cây trang trí&gt; chi ráy")</f>
        <v>Đấu giá&gt; hoa, làm vườn&gt; cây trang trí&gt; chi ráy</v>
      </c>
      <c r="F993" t="str">
        <f t="shared" ca="1" si="15"/>
        <v>"2084063294" : "chi ráy",</v>
      </c>
    </row>
    <row r="994" spans="1:6" ht="15.75" customHeight="1">
      <c r="A994" s="14">
        <v>2084063278</v>
      </c>
      <c r="B994" s="14" t="s">
        <v>13120</v>
      </c>
      <c r="C994" s="14" t="s">
        <v>13121</v>
      </c>
      <c r="D994" s="5" t="str">
        <f ca="1">IFERROR(__xludf.DUMMYFUNCTION("GOOGLETRANSLATE(B994,""ja"",""vi"")"),"cây xương rồng")</f>
        <v>cây xương rồng</v>
      </c>
      <c r="E994" s="5" t="str">
        <f ca="1">IFERROR(__xludf.DUMMYFUNCTION("GOOGLETRANSLATE(C994,""ja"",""vi"")"),"Đấu giá&gt; hoa, làm vườn&gt; cây trang trí&gt; cây xương rồng")</f>
        <v>Đấu giá&gt; hoa, làm vườn&gt; cây trang trí&gt; cây xương rồng</v>
      </c>
      <c r="F994" t="str">
        <f t="shared" ca="1" si="15"/>
        <v>"2084063278" : "cây xương rồng",</v>
      </c>
    </row>
    <row r="995" spans="1:6" ht="15.75" customHeight="1">
      <c r="A995" s="14">
        <v>2084063284</v>
      </c>
      <c r="B995" s="14" t="s">
        <v>13124</v>
      </c>
      <c r="C995" s="14" t="s">
        <v>13126</v>
      </c>
      <c r="D995" s="5" t="str">
        <f ca="1">IFERROR(__xludf.DUMMYFUNCTION("GOOGLETRANSLATE(B995,""ja"",""vi"")"),"Jasmine")</f>
        <v>Jasmine</v>
      </c>
      <c r="E995" s="5" t="str">
        <f ca="1">IFERROR(__xludf.DUMMYFUNCTION("GOOGLETRANSLATE(C995,""ja"",""vi"")"),"Đấu giá&gt; hoa, làm vườn&gt; cây trang trí&gt; hoa nhài")</f>
        <v>Đấu giá&gt; hoa, làm vườn&gt; cây trang trí&gt; hoa nhài</v>
      </c>
      <c r="F995" t="str">
        <f t="shared" ca="1" si="15"/>
        <v>"2084063284" : "Jasmine",</v>
      </c>
    </row>
    <row r="996" spans="1:6" ht="15.75" customHeight="1">
      <c r="A996" s="14">
        <v>2084063288</v>
      </c>
      <c r="B996" s="14" t="s">
        <v>13127</v>
      </c>
      <c r="C996" s="14" t="s">
        <v>13128</v>
      </c>
      <c r="D996" s="5" t="str">
        <f ca="1">IFERROR(__xludf.DUMMYFUNCTION("GOOGLETRANSLATE(B996,""ja"",""vi"")"),"Seromu")</f>
        <v>Seromu</v>
      </c>
      <c r="E996" s="5" t="str">
        <f ca="1">IFERROR(__xludf.DUMMYFUNCTION("GOOGLETRANSLATE(C996,""ja"",""vi"")"),"Đấu giá&gt; hoa, làm vườn&gt; cây trang trí&gt; Seromu")</f>
        <v>Đấu giá&gt; hoa, làm vườn&gt; cây trang trí&gt; Seromu</v>
      </c>
      <c r="F996" t="str">
        <f t="shared" ca="1" si="15"/>
        <v>"2084063288" : "Seromu",</v>
      </c>
    </row>
    <row r="997" spans="1:6" ht="15.75" customHeight="1">
      <c r="A997" s="14">
        <v>2084063289</v>
      </c>
      <c r="B997" s="14" t="s">
        <v>13132</v>
      </c>
      <c r="C997" s="14" t="s">
        <v>13133</v>
      </c>
      <c r="D997" s="5" t="str">
        <f ca="1">IFERROR(__xludf.DUMMYFUNCTION("GOOGLETRANSLATE(B997,""ja"",""vi"")"),"cây long huyết")</f>
        <v>cây long huyết</v>
      </c>
      <c r="E997" s="5" t="str">
        <f ca="1">IFERROR(__xludf.DUMMYFUNCTION("GOOGLETRANSLATE(C997,""ja"",""vi"")"),"Đấu giá&gt; hoa, làm vườn&gt; cây trang trí&gt; Dracaena")</f>
        <v>Đấu giá&gt; hoa, làm vườn&gt; cây trang trí&gt; Dracaena</v>
      </c>
      <c r="F997" t="str">
        <f t="shared" ca="1" si="15"/>
        <v>"2084063289" : "cây long huyết",</v>
      </c>
    </row>
    <row r="998" spans="1:6" ht="15.75" customHeight="1">
      <c r="A998" s="14">
        <v>2084063290</v>
      </c>
      <c r="B998" s="14" t="s">
        <v>13137</v>
      </c>
      <c r="C998" s="14" t="s">
        <v>13139</v>
      </c>
      <c r="D998" s="5" t="str">
        <f ca="1">IFERROR(__xludf.DUMMYFUNCTION("GOOGLETRANSLATE(B998,""ja"",""vi"")"),"Pachira")</f>
        <v>Pachira</v>
      </c>
      <c r="E998" s="5" t="str">
        <f ca="1">IFERROR(__xludf.DUMMYFUNCTION("GOOGLETRANSLATE(C998,""ja"",""vi"")"),"Đấu giá&gt; hoa, làm vườn&gt; cây trang trí&gt; pachira")</f>
        <v>Đấu giá&gt; hoa, làm vườn&gt; cây trang trí&gt; pachira</v>
      </c>
      <c r="F998" t="str">
        <f t="shared" ca="1" si="15"/>
        <v>"2084063290" : "Pachira",</v>
      </c>
    </row>
    <row r="999" spans="1:6" ht="15.75" customHeight="1">
      <c r="A999" s="14">
        <v>2084216953</v>
      </c>
      <c r="B999" s="14" t="s">
        <v>13142</v>
      </c>
      <c r="C999" s="14" t="s">
        <v>13144</v>
      </c>
      <c r="D999" s="5" t="str">
        <f ca="1">IFERROR(__xludf.DUMMYFUNCTION("GOOGLETRANSLATE(B999,""ja"",""vi"")"),"Bikakushida, dơi chạy")</f>
        <v>Bikakushida, dơi chạy</v>
      </c>
      <c r="E999" s="5" t="str">
        <f ca="1">IFERROR(__xludf.DUMMYFUNCTION("GOOGLETRANSLATE(C999,""ja"",""vi"")"),"Đấu giá&gt; hoa, làm vườn&gt; cây trang trí&gt; Bikakushida, dơi chạy")</f>
        <v>Đấu giá&gt; hoa, làm vườn&gt; cây trang trí&gt; Bikakushida, dơi chạy</v>
      </c>
      <c r="F999" t="str">
        <f t="shared" ca="1" si="15"/>
        <v>"2084216953" : "Bikakushida, dơi chạy",</v>
      </c>
    </row>
    <row r="1000" spans="1:6" ht="15.75" customHeight="1">
      <c r="A1000" s="14">
        <v>2084063279</v>
      </c>
      <c r="B1000" s="14" t="s">
        <v>13148</v>
      </c>
      <c r="C1000" s="14" t="s">
        <v>13150</v>
      </c>
      <c r="D1000" s="5" t="str">
        <f ca="1">IFERROR(__xludf.DUMMYFUNCTION("GOOGLETRANSLATE(B1000,""ja"",""vi"")"),"cây bồ đề")</f>
        <v>cây bồ đề</v>
      </c>
      <c r="E1000" s="5" t="str">
        <f ca="1">IFERROR(__xludf.DUMMYFUNCTION("GOOGLETRANSLATE(C1000,""ja"",""vi"")"),"Đấu giá&gt; hoa, làm vườn&gt; cây trang trí&gt; Benjamin")</f>
        <v>Đấu giá&gt; hoa, làm vườn&gt; cây trang trí&gt; Benjamin</v>
      </c>
      <c r="F1000" t="str">
        <f t="shared" ca="1" si="15"/>
        <v>"2084063279" : "cây bồ đề",</v>
      </c>
    </row>
    <row r="1001" spans="1:6" ht="15.75" customHeight="1">
      <c r="A1001" s="14">
        <v>2084063293</v>
      </c>
      <c r="B1001" s="14" t="s">
        <v>13154</v>
      </c>
      <c r="C1001" s="14" t="s">
        <v>13156</v>
      </c>
      <c r="D1001" s="5" t="str">
        <f ca="1">IFERROR(__xludf.DUMMYFUNCTION("GOOGLETRANSLATE(B1001,""ja"",""vi"")"),"Hồng Kông bông gạo")</f>
        <v>Hồng Kông bông gạo</v>
      </c>
      <c r="E1001" s="5" t="str">
        <f ca="1">IFERROR(__xludf.DUMMYFUNCTION("GOOGLETRANSLATE(C1001,""ja"",""vi"")"),"Đấu giá&gt; hoa, làm vườn&gt; cây trang trí&gt; Hồng Kông bông gạo")</f>
        <v>Đấu giá&gt; hoa, làm vườn&gt; cây trang trí&gt; Hồng Kông bông gạo</v>
      </c>
      <c r="F1001" t="str">
        <f t="shared" ca="1" si="15"/>
        <v>"2084063293" : "Hồng Kông bông gạo",</v>
      </c>
    </row>
    <row r="1002" spans="1:6" ht="15.75" customHeight="1">
      <c r="A1002" s="14">
        <v>2084063291</v>
      </c>
      <c r="B1002" s="14" t="s">
        <v>13159</v>
      </c>
      <c r="C1002" s="14" t="s">
        <v>13161</v>
      </c>
      <c r="D1002" s="5" t="str">
        <f ca="1">IFERROR(__xludf.DUMMYFUNCTION("GOOGLETRANSLATE(B1002,""ja"",""vi"")"),"Pothos")</f>
        <v>Pothos</v>
      </c>
      <c r="E1002" s="5" t="str">
        <f ca="1">IFERROR(__xludf.DUMMYFUNCTION("GOOGLETRANSLATE(C1002,""ja"",""vi"")"),"Đấu giá&gt; hoa, làm vườn&gt; cây trang trí&gt; Pothos")</f>
        <v>Đấu giá&gt; hoa, làm vườn&gt; cây trang trí&gt; Pothos</v>
      </c>
      <c r="F1002" t="str">
        <f t="shared" ca="1" si="15"/>
        <v>"2084063291" : "Pothos",</v>
      </c>
    </row>
    <row r="1003" spans="1:6" ht="15.75" customHeight="1">
      <c r="A1003" s="14">
        <v>2084063282</v>
      </c>
      <c r="B1003" s="14" t="s">
        <v>13164</v>
      </c>
      <c r="C1003" s="14" t="s">
        <v>13166</v>
      </c>
      <c r="D1003" s="5" t="str">
        <f ca="1">IFERROR(__xludf.DUMMYFUNCTION("GOOGLETRANSLATE(B1003,""ja"",""vi"")"),"triệu tre")</f>
        <v>triệu tre</v>
      </c>
      <c r="E1003" s="5" t="str">
        <f ca="1">IFERROR(__xludf.DUMMYFUNCTION("GOOGLETRANSLATE(C1003,""ja"",""vi"")"),"Đấu giá&gt; hoa, làm vườn&gt; cây trang trí&gt; triệu tre")</f>
        <v>Đấu giá&gt; hoa, làm vườn&gt; cây trang trí&gt; triệu tre</v>
      </c>
      <c r="F1003" t="str">
        <f t="shared" ca="1" si="15"/>
        <v>"2084063282" : "triệu tre",</v>
      </c>
    </row>
    <row r="1004" spans="1:6" ht="15.75" customHeight="1">
      <c r="A1004" s="14">
        <v>2084063280</v>
      </c>
      <c r="B1004" s="14" t="s">
        <v>13169</v>
      </c>
      <c r="C1004" s="14" t="s">
        <v>13171</v>
      </c>
      <c r="D1004" s="5" t="str">
        <f ca="1">IFERROR(__xludf.DUMMYFUNCTION("GOOGLETRANSLATE(B1004,""ja"",""vi"")"),"Monstera")</f>
        <v>Monstera</v>
      </c>
      <c r="E1004" s="5" t="str">
        <f ca="1">IFERROR(__xludf.DUMMYFUNCTION("GOOGLETRANSLATE(C1004,""ja"",""vi"")"),"Đấu giá&gt; hoa, làm vườn&gt; cây trang trí&gt; Monstera")</f>
        <v>Đấu giá&gt; hoa, làm vườn&gt; cây trang trí&gt; Monstera</v>
      </c>
      <c r="F1004" t="str">
        <f t="shared" ca="1" si="15"/>
        <v>"2084063280" : "Monstera",</v>
      </c>
    </row>
    <row r="1005" spans="1:6" ht="15.75" customHeight="1">
      <c r="A1005" s="14">
        <v>2084063281</v>
      </c>
      <c r="B1005" s="14" t="s">
        <v>13177</v>
      </c>
      <c r="C1005" s="14" t="s">
        <v>13178</v>
      </c>
      <c r="D1005" s="5" t="str">
        <f ca="1">IFERROR(__xludf.DUMMYFUNCTION("GOOGLETRANSLATE(B1005,""ja"",""vi"")"),"lòng bàn tay")</f>
        <v>lòng bàn tay</v>
      </c>
      <c r="E1005" s="5" t="str">
        <f ca="1">IFERROR(__xludf.DUMMYFUNCTION("GOOGLETRANSLATE(C1005,""ja"",""vi"")"),"Đấu giá&gt; hoa, làm vườn&gt; cây trang trí&gt; cọ")</f>
        <v>Đấu giá&gt; hoa, làm vườn&gt; cây trang trí&gt; cọ</v>
      </c>
      <c r="F1005" t="str">
        <f t="shared" ca="1" si="15"/>
        <v>"2084063281" : "lòng bàn tay",</v>
      </c>
    </row>
    <row r="1006" spans="1:6" ht="15.75" customHeight="1">
      <c r="A1006" s="14">
        <v>2084063292</v>
      </c>
      <c r="B1006" s="14" t="s">
        <v>13183</v>
      </c>
      <c r="C1006" s="14" t="s">
        <v>13184</v>
      </c>
      <c r="D1006" s="5" t="str">
        <f ca="1">IFERROR(__xludf.DUMMYFUNCTION("GOOGLETRANSLATE(B1006,""ja"",""vi"")"),"cây ngọc da hoa")</f>
        <v>cây ngọc da hoa</v>
      </c>
      <c r="E1006" s="5" t="str">
        <f ca="1">IFERROR(__xludf.DUMMYFUNCTION("GOOGLETRANSLATE(C1006,""ja"",""vi"")"),"Đấu giá&gt; hoa, làm vườn&gt; cây trang trí&gt; yucca")</f>
        <v>Đấu giá&gt; hoa, làm vườn&gt; cây trang trí&gt; yucca</v>
      </c>
      <c r="F1006" t="str">
        <f t="shared" ca="1" si="15"/>
        <v>"2084063292" : "cây ngọc da hoa",</v>
      </c>
    </row>
    <row r="1007" spans="1:6" ht="15.75" customHeight="1">
      <c r="A1007" s="14">
        <v>2084006705</v>
      </c>
      <c r="B1007" s="14" t="s">
        <v>13049</v>
      </c>
      <c r="C1007" s="14" t="s">
        <v>13189</v>
      </c>
      <c r="D1007" s="5" t="str">
        <f ca="1">IFERROR(__xludf.DUMMYFUNCTION("GOOGLETRANSLATE(B1007,""ja"",""vi"")"),"hoa nhân tạo")</f>
        <v>hoa nhân tạo</v>
      </c>
      <c r="E1007" s="5" t="str">
        <f ca="1">IFERROR(__xludf.DUMMYFUNCTION("GOOGLETRANSLATE(C1007,""ja"",""vi"")"),"Đấu giá&gt; hoa, làm vườn&gt; cây trang trí&gt; hoa giả")</f>
        <v>Đấu giá&gt; hoa, làm vườn&gt; cây trang trí&gt; hoa giả</v>
      </c>
      <c r="F1007" t="str">
        <f t="shared" ca="1" si="15"/>
        <v>"2084006705" : "hoa nhân tạo",</v>
      </c>
    </row>
    <row r="1008" spans="1:6" ht="15.75" customHeight="1">
      <c r="A1008" s="14">
        <v>2084063283</v>
      </c>
      <c r="B1008" s="14" t="s">
        <v>46</v>
      </c>
      <c r="C1008" s="14" t="s">
        <v>13193</v>
      </c>
      <c r="D1008" s="5" t="str">
        <f ca="1">IFERROR(__xludf.DUMMYFUNCTION("GOOGLETRANSLATE(B1008,""ja"",""vi"")"),"nếu không thì")</f>
        <v>nếu không thì</v>
      </c>
      <c r="E1008" s="5" t="str">
        <f ca="1">IFERROR(__xludf.DUMMYFUNCTION("GOOGLETRANSLATE(C1008,""ja"",""vi"")"),"Đấu giá&gt; hoa, làm vườn&gt; cây trang trí&gt; Khác")</f>
        <v>Đấu giá&gt; hoa, làm vườn&gt; cây trang trí&gt; Khác</v>
      </c>
      <c r="F1008" t="str">
        <f t="shared" ca="1" si="15"/>
        <v>"2084063283" : "nếu không thì",</v>
      </c>
    </row>
    <row r="1009" spans="1:6" ht="15.75" customHeight="1">
      <c r="A1009" s="14">
        <v>2084048018</v>
      </c>
      <c r="B1009" s="14" t="s">
        <v>13197</v>
      </c>
      <c r="C1009" s="14" t="s">
        <v>13199</v>
      </c>
      <c r="D1009" s="5" t="str">
        <f ca="1">IFERROR(__xludf.DUMMYFUNCTION("GOOGLETRANSLATE(B1009,""ja"",""vi"")"),"Herbs")</f>
        <v>Herbs</v>
      </c>
      <c r="E1009" s="5" t="str">
        <f ca="1">IFERROR(__xludf.DUMMYFUNCTION("GOOGLETRANSLATE(C1009,""ja"",""vi"")"),"Đấu giá&gt; hoa, làm vườn&gt; chậu cây&gt; thảo mộc")</f>
        <v>Đấu giá&gt; hoa, làm vườn&gt; chậu cây&gt; thảo mộc</v>
      </c>
      <c r="F1009" t="str">
        <f t="shared" ca="1" si="15"/>
        <v>"2084048018" : "Herbs",</v>
      </c>
    </row>
    <row r="1010" spans="1:6" ht="15.75" customHeight="1">
      <c r="A1010" s="14">
        <v>2084048019</v>
      </c>
      <c r="B1010" s="14" t="s">
        <v>13203</v>
      </c>
      <c r="C1010" s="14" t="s">
        <v>13205</v>
      </c>
      <c r="D1010" s="5" t="str">
        <f ca="1">IFERROR(__xludf.DUMMYFUNCTION("GOOGLETRANSLATE(B1010,""ja"",""vi"")"),"hoa")</f>
        <v>hoa</v>
      </c>
      <c r="E1010" s="5" t="str">
        <f ca="1">IFERROR(__xludf.DUMMYFUNCTION("GOOGLETRANSLATE(C1010,""ja"",""vi"")"),"Đấu giá&gt; hoa, làm vườn&gt; chậu cây&gt; hoa")</f>
        <v>Đấu giá&gt; hoa, làm vườn&gt; chậu cây&gt; hoa</v>
      </c>
      <c r="F1010" t="str">
        <f t="shared" ca="1" si="15"/>
        <v>"2084048019" : "hoa",</v>
      </c>
    </row>
    <row r="1011" spans="1:6" ht="15.75" customHeight="1">
      <c r="A1011" s="14">
        <v>2084048017</v>
      </c>
      <c r="B1011" s="14" t="s">
        <v>13209</v>
      </c>
      <c r="C1011" s="14" t="s">
        <v>13210</v>
      </c>
      <c r="D1011" s="5" t="str">
        <f ca="1">IFERROR(__xludf.DUMMYFUNCTION("GOOGLETRANSLATE(B1011,""ja"",""vi"")"),"cây trong nhà")</f>
        <v>cây trong nhà</v>
      </c>
      <c r="E1011" s="5" t="str">
        <f ca="1">IFERROR(__xludf.DUMMYFUNCTION("GOOGLETRANSLATE(C1011,""ja"",""vi"")"),"Đấu giá&gt; hoa, làm vườn&gt; chậu&gt; houseplant")</f>
        <v>Đấu giá&gt; hoa, làm vườn&gt; chậu&gt; houseplant</v>
      </c>
      <c r="F1011" t="str">
        <f t="shared" ca="1" si="15"/>
        <v>"2084048017" : "cây trong nhà",</v>
      </c>
    </row>
    <row r="1012" spans="1:6" ht="15.75" customHeight="1">
      <c r="A1012" s="14">
        <v>2084006705</v>
      </c>
      <c r="B1012" s="14" t="s">
        <v>13049</v>
      </c>
      <c r="C1012" s="14" t="s">
        <v>13213</v>
      </c>
      <c r="D1012" s="5" t="str">
        <f ca="1">IFERROR(__xludf.DUMMYFUNCTION("GOOGLETRANSLATE(B1012,""ja"",""vi"")"),"hoa nhân tạo")</f>
        <v>hoa nhân tạo</v>
      </c>
      <c r="E1012" s="5" t="str">
        <f ca="1">IFERROR(__xludf.DUMMYFUNCTION("GOOGLETRANSLATE(C1012,""ja"",""vi"")"),"Đấu giá&gt; hoa, làm vườn&gt; chậu&gt; hoa giả")</f>
        <v>Đấu giá&gt; hoa, làm vườn&gt; chậu&gt; hoa giả</v>
      </c>
      <c r="F1012" t="str">
        <f t="shared" ca="1" si="15"/>
        <v>"2084006705" : "hoa nhân tạo",</v>
      </c>
    </row>
    <row r="1013" spans="1:6" ht="15.75" customHeight="1">
      <c r="A1013" s="14">
        <v>2084048020</v>
      </c>
      <c r="B1013" s="14" t="s">
        <v>5504</v>
      </c>
      <c r="C1013" s="14" t="s">
        <v>13217</v>
      </c>
      <c r="D1013" s="5" t="str">
        <f ca="1">IFERROR(__xludf.DUMMYFUNCTION("GOOGLETRANSLATE(B1013,""ja"",""vi"")"),"Bonsai")</f>
        <v>Bonsai</v>
      </c>
      <c r="E1013" s="5" t="str">
        <f ca="1">IFERROR(__xludf.DUMMYFUNCTION("GOOGLETRANSLATE(C1013,""ja"",""vi"")"),"Đấu giá&gt; hoa, làm vườn&gt; chậu&gt; Bonsai")</f>
        <v>Đấu giá&gt; hoa, làm vườn&gt; chậu&gt; Bonsai</v>
      </c>
      <c r="F1013" t="str">
        <f t="shared" ca="1" si="15"/>
        <v>"2084048020" : "Bonsai",</v>
      </c>
    </row>
    <row r="1014" spans="1:6" ht="15.75" customHeight="1">
      <c r="A1014" s="14">
        <v>2084048021</v>
      </c>
      <c r="B1014" s="14" t="s">
        <v>46</v>
      </c>
      <c r="C1014" s="14" t="s">
        <v>13221</v>
      </c>
      <c r="D1014" s="5" t="str">
        <f ca="1">IFERROR(__xludf.DUMMYFUNCTION("GOOGLETRANSLATE(B1014,""ja"",""vi"")"),"nếu không thì")</f>
        <v>nếu không thì</v>
      </c>
      <c r="E1014" s="5" t="str">
        <f ca="1">IFERROR(__xludf.DUMMYFUNCTION("GOOGLETRANSLATE(C1014,""ja"",""vi"")"),"Đấu giá&gt; hoa, làm vườn&gt; chậu&gt; Khác")</f>
        <v>Đấu giá&gt; hoa, làm vườn&gt; chậu&gt; Khác</v>
      </c>
      <c r="F1014" t="str">
        <f t="shared" ca="1" si="15"/>
        <v>"2084048021" : "nếu không thì",</v>
      </c>
    </row>
    <row r="1015" spans="1:6" ht="15.75" customHeight="1">
      <c r="A1015" s="14">
        <v>2084006712</v>
      </c>
      <c r="B1015" s="14" t="s">
        <v>13223</v>
      </c>
      <c r="C1015" s="14" t="s">
        <v>13224</v>
      </c>
      <c r="D1015" s="5" t="str">
        <f ca="1">IFERROR(__xludf.DUMMYFUNCTION("GOOGLETRANSLATE(B1015,""ja"",""vi"")"),"nồi")</f>
        <v>nồi</v>
      </c>
      <c r="E1015" s="5" t="str">
        <f ca="1">IFERROR(__xludf.DUMMYFUNCTION("GOOGLETRANSLATE(C1015,""ja"",""vi"")"),"Đấu giá&gt; hoa, làm vườn&gt; công cụ cây cảnh, vật liệu&gt; nồi")</f>
        <v>Đấu giá&gt; hoa, làm vườn&gt; công cụ cây cảnh, vật liệu&gt; nồi</v>
      </c>
      <c r="F1015" t="str">
        <f t="shared" ca="1" si="15"/>
        <v>"2084006712" : "nồi",</v>
      </c>
    </row>
    <row r="1016" spans="1:6" ht="15.75" customHeight="1">
      <c r="A1016" s="14">
        <v>2084006713</v>
      </c>
      <c r="B1016" s="14" t="s">
        <v>13228</v>
      </c>
      <c r="C1016" s="14" t="s">
        <v>13229</v>
      </c>
      <c r="D1016" s="5" t="str">
        <f ca="1">IFERROR(__xludf.DUMMYFUNCTION("GOOGLETRANSLATE(B1016,""ja"",""vi"")"),"người đóng cọc")</f>
        <v>người đóng cọc</v>
      </c>
      <c r="E1016" s="5" t="str">
        <f ca="1">IFERROR(__xludf.DUMMYFUNCTION("GOOGLETRANSLATE(C1016,""ja"",""vi"")"),"Đấu giá&gt; hoa, làm vườn&gt; công cụ cây cảnh, vật liệu&gt; trồng")</f>
        <v>Đấu giá&gt; hoa, làm vườn&gt; công cụ cây cảnh, vật liệu&gt; trồng</v>
      </c>
      <c r="F1016" t="str">
        <f t="shared" ca="1" si="15"/>
        <v>"2084006713" : "người đóng cọc",</v>
      </c>
    </row>
    <row r="1017" spans="1:6" ht="15.75" customHeight="1">
      <c r="A1017" s="14">
        <v>2084006715</v>
      </c>
      <c r="B1017" s="14" t="s">
        <v>13233</v>
      </c>
      <c r="C1017" s="14" t="s">
        <v>13234</v>
      </c>
      <c r="D1017" s="5" t="str">
        <f ca="1">IFERROR(__xludf.DUMMYFUNCTION("GOOGLETRANSLATE(B1017,""ja"",""vi"")"),"Tưới nước, tưới nước")</f>
        <v>Tưới nước, tưới nước</v>
      </c>
      <c r="E1017" s="5" t="str">
        <f ca="1">IFERROR(__xludf.DUMMYFUNCTION("GOOGLETRANSLATE(C1017,""ja"",""vi"")"),"Đấu giá&gt; hoa, làm vườn&gt; công cụ cây cảnh, vật liệu&gt; tưới nước, tưới nước")</f>
        <v>Đấu giá&gt; hoa, làm vườn&gt; công cụ cây cảnh, vật liệu&gt; tưới nước, tưới nước</v>
      </c>
      <c r="F1017" t="str">
        <f t="shared" ca="1" si="15"/>
        <v>"2084006715" : "Tưới nước, tưới nước",</v>
      </c>
    </row>
    <row r="1018" spans="1:6" ht="15.75" customHeight="1">
      <c r="A1018" s="14">
        <v>2084006717</v>
      </c>
      <c r="B1018" s="14" t="s">
        <v>13027</v>
      </c>
      <c r="C1018" s="14" t="s">
        <v>13239</v>
      </c>
      <c r="D1018" s="5" t="str">
        <f ca="1">IFERROR(__xludf.DUMMYFUNCTION("GOOGLETRANSLATE(B1018,""ja"",""vi"")"),"Kéo, cưa")</f>
        <v>Kéo, cưa</v>
      </c>
      <c r="E1018" s="5" t="str">
        <f ca="1">IFERROR(__xludf.DUMMYFUNCTION("GOOGLETRANSLATE(C1018,""ja"",""vi"")"),"Đấu giá&gt; hoa, làm vườn&gt; công cụ cây cảnh, vật liệu&gt; kéo, cưa")</f>
        <v>Đấu giá&gt; hoa, làm vườn&gt; công cụ cây cảnh, vật liệu&gt; kéo, cưa</v>
      </c>
      <c r="F1018" t="str">
        <f t="shared" ca="1" si="15"/>
        <v>"2084006717" : "Kéo, cưa",</v>
      </c>
    </row>
    <row r="1019" spans="1:6" ht="15.75" customHeight="1">
      <c r="A1019" s="14">
        <v>44372</v>
      </c>
      <c r="B1019" s="14" t="s">
        <v>13243</v>
      </c>
      <c r="C1019" s="14" t="s">
        <v>13245</v>
      </c>
      <c r="D1019" s="5" t="str">
        <f ca="1">IFERROR(__xludf.DUMMYFUNCTION("GOOGLETRANSLATE(B1019,""ja"",""vi"")"),"Accent, trang trí")</f>
        <v>Accent, trang trí</v>
      </c>
      <c r="E1019" s="5" t="str">
        <f ca="1">IFERROR(__xludf.DUMMYFUNCTION("GOOGLETRANSLATE(C1019,""ja"",""vi"")"),"Đấu giá&gt; hoa, làm vườn&gt; công cụ cây cảnh, vật liệu&gt; giọng, trang trí")</f>
        <v>Đấu giá&gt; hoa, làm vườn&gt; công cụ cây cảnh, vật liệu&gt; giọng, trang trí</v>
      </c>
      <c r="F1019" t="str">
        <f t="shared" ca="1" si="15"/>
        <v>"44372" : "Accent, trang trí",</v>
      </c>
    </row>
    <row r="1020" spans="1:6" ht="15.75" customHeight="1">
      <c r="A1020" s="14">
        <v>2084045614</v>
      </c>
      <c r="B1020" s="14" t="s">
        <v>13250</v>
      </c>
      <c r="C1020" s="14" t="s">
        <v>13252</v>
      </c>
      <c r="D1020" s="5" t="str">
        <f ca="1">IFERROR(__xludf.DUMMYFUNCTION("GOOGLETRANSLATE(B1020,""ja"",""vi"")"),"Bàn ghế trong vườn")</f>
        <v>Bàn ghế trong vườn</v>
      </c>
      <c r="E1020" s="5" t="str">
        <f ca="1">IFERROR(__xludf.DUMMYFUNCTION("GOOGLETRANSLATE(C1020,""ja"",""vi"")"),"Đấu giá&gt; hoa, làm vườn&gt; công cụ cây cảnh, vật liệu&gt; nội thất sân vườn")</f>
        <v>Đấu giá&gt; hoa, làm vườn&gt; công cụ cây cảnh, vật liệu&gt; nội thất sân vườn</v>
      </c>
      <c r="F1020" t="str">
        <f t="shared" ca="1" si="15"/>
        <v>"2084045614" : "Bàn ghế trong vườn",</v>
      </c>
    </row>
    <row r="1021" spans="1:6" ht="15.75" customHeight="1">
      <c r="A1021" s="14">
        <v>2084047047</v>
      </c>
      <c r="B1021" s="14" t="s">
        <v>5881</v>
      </c>
      <c r="C1021" s="14" t="s">
        <v>13256</v>
      </c>
      <c r="D1021" s="5" t="str">
        <f ca="1">IFERROR(__xludf.DUMMYFUNCTION("GOOGLETRANSLATE(B1021,""ja"",""vi"")"),"vườn ánh sáng")</f>
        <v>vườn ánh sáng</v>
      </c>
      <c r="E1021" s="5" t="str">
        <f ca="1">IFERROR(__xludf.DUMMYFUNCTION("GOOGLETRANSLATE(C1021,""ja"",""vi"")"),"Đấu giá&gt; hoa, làm vườn&gt; công cụ cây cảnh, vật liệu&gt; Vườn Đèn")</f>
        <v>Đấu giá&gt; hoa, làm vườn&gt; công cụ cây cảnh, vật liệu&gt; Vườn Đèn</v>
      </c>
      <c r="F1021" t="str">
        <f t="shared" ca="1" si="15"/>
        <v>"2084047047" : "vườn ánh sáng",</v>
      </c>
    </row>
    <row r="1022" spans="1:6" ht="15.75" customHeight="1">
      <c r="A1022" s="14">
        <v>2084006716</v>
      </c>
      <c r="B1022" s="14" t="s">
        <v>13032</v>
      </c>
      <c r="C1022" s="14" t="s">
        <v>13262</v>
      </c>
      <c r="D1022" s="5" t="str">
        <f ca="1">IFERROR(__xludf.DUMMYFUNCTION("GOOGLETRANSLATE(B1022,""ja"",""vi"")"),"Scoop, xẻng")</f>
        <v>Scoop, xẻng</v>
      </c>
      <c r="E1022" s="5" t="str">
        <f ca="1">IFERROR(__xludf.DUMMYFUNCTION("GOOGLETRANSLATE(C1022,""ja"",""vi"")"),"Đấu giá&gt; hoa, làm vườn&gt; công cụ cây cảnh, vật liệu&gt; muỗng, xẻng")</f>
        <v>Đấu giá&gt; hoa, làm vườn&gt; công cụ cây cảnh, vật liệu&gt; muỗng, xẻng</v>
      </c>
      <c r="F1022" t="str">
        <f t="shared" ca="1" si="15"/>
        <v>"2084006716" : "Scoop, xẻng",</v>
      </c>
    </row>
    <row r="1023" spans="1:6" ht="15.75" customHeight="1">
      <c r="A1023" s="14">
        <v>2084263007</v>
      </c>
      <c r="B1023" s="14" t="s">
        <v>13266</v>
      </c>
      <c r="C1023" s="14" t="s">
        <v>13267</v>
      </c>
      <c r="D1023" s="5" t="str">
        <f ca="1">IFERROR(__xludf.DUMMYFUNCTION("GOOGLETRANSLATE(B1023,""ja"",""vi"")"),"Stepladder, thang, giàn giáo")</f>
        <v>Stepladder, thang, giàn giáo</v>
      </c>
      <c r="E1023" s="5" t="str">
        <f ca="1">IFERROR(__xludf.DUMMYFUNCTION("GOOGLETRANSLATE(C1023,""ja"",""vi"")"),"Đấu giá&gt; hoa, làm vườn&gt; công cụ cây cảnh, vật liệu&gt; stepladder, thang, giàn giáo")</f>
        <v>Đấu giá&gt; hoa, làm vườn&gt; công cụ cây cảnh, vật liệu&gt; stepladder, thang, giàn giáo</v>
      </c>
      <c r="F1023" t="str">
        <f t="shared" ca="1" si="15"/>
        <v>"2084263007" : "Stepladder, thang, giàn giáo",</v>
      </c>
    </row>
    <row r="1024" spans="1:6" ht="15.75" customHeight="1">
      <c r="A1024" s="14">
        <v>2084048889</v>
      </c>
      <c r="B1024" s="14" t="s">
        <v>13273</v>
      </c>
      <c r="C1024" s="14" t="s">
        <v>13274</v>
      </c>
      <c r="D1024" s="5" t="str">
        <f ca="1">IFERROR(__xludf.DUMMYFUNCTION("GOOGLETRANSLATE(B1024,""ja"",""vi"")"),"Sprayer")</f>
        <v>Sprayer</v>
      </c>
      <c r="E1024" s="5" t="str">
        <f ca="1">IFERROR(__xludf.DUMMYFUNCTION("GOOGLETRANSLATE(C1024,""ja"",""vi"")"),"Đấu giá&gt; hoa, làm vườn&gt; công cụ cây cảnh, vật liệu&gt; phun")</f>
        <v>Đấu giá&gt; hoa, làm vườn&gt; công cụ cây cảnh, vật liệu&gt; phun</v>
      </c>
      <c r="F1024" t="str">
        <f t="shared" ca="1" si="15"/>
        <v>"2084048889" : "Sprayer",</v>
      </c>
    </row>
    <row r="1025" spans="1:6" ht="15.75" customHeight="1">
      <c r="A1025" s="14">
        <v>2084252942</v>
      </c>
      <c r="B1025" s="14" t="s">
        <v>12963</v>
      </c>
      <c r="C1025" s="14" t="s">
        <v>13279</v>
      </c>
      <c r="D1025" s="5" t="str">
        <f ca="1">IFERROR(__xludf.DUMMYFUNCTION("GOOGLETRANSLATE(B1025,""ja"",""vi"")"),"vật tư nông nghiệp")</f>
        <v>vật tư nông nghiệp</v>
      </c>
      <c r="E1025" s="5" t="str">
        <f ca="1">IFERROR(__xludf.DUMMYFUNCTION("GOOGLETRANSLATE(C1025,""ja"",""vi"")"),"Đấu giá&gt; hoa, làm vườn&gt; công cụ cây cảnh, vật liệu&gt; vật tư nông nghiệp")</f>
        <v>Đấu giá&gt; hoa, làm vườn&gt; công cụ cây cảnh, vật liệu&gt; vật tư nông nghiệp</v>
      </c>
      <c r="F1025" t="str">
        <f t="shared" ca="1" si="15"/>
        <v>"2084252942" : "vật tư nông nghiệp",</v>
      </c>
    </row>
    <row r="1026" spans="1:6" ht="15.75" customHeight="1">
      <c r="A1026" s="14">
        <v>2084206881</v>
      </c>
      <c r="B1026" s="14" t="s">
        <v>46</v>
      </c>
      <c r="C1026" s="14" t="s">
        <v>13284</v>
      </c>
      <c r="D1026" s="5" t="str">
        <f ca="1">IFERROR(__xludf.DUMMYFUNCTION("GOOGLETRANSLATE(B1026,""ja"",""vi"")"),"nếu không thì")</f>
        <v>nếu không thì</v>
      </c>
      <c r="E1026" s="5" t="str">
        <f ca="1">IFERROR(__xludf.DUMMYFUNCTION("GOOGLETRANSLATE(C1026,""ja"",""vi"")"),"Đấu giá&gt; hoa, làm vườn&gt; công cụ cây cảnh, vật liệu&gt; Khác")</f>
        <v>Đấu giá&gt; hoa, làm vườn&gt; công cụ cây cảnh, vật liệu&gt; Khác</v>
      </c>
      <c r="F1026" t="str">
        <f t="shared" ref="F1026:F1049" ca="1" si="16">CONCATENATE(CHAR(34)&amp;"",A1026,""&amp;CHAR(34)," : ", CHAR(34)&amp;"",D1026,""&amp;CHAR(34),",")</f>
        <v>"2084206881" : "nếu không thì",</v>
      </c>
    </row>
    <row r="1027" spans="1:6" ht="15.75" customHeight="1">
      <c r="A1027" s="14">
        <v>2084047119</v>
      </c>
      <c r="B1027" s="14" t="s">
        <v>2241</v>
      </c>
      <c r="C1027" s="14" t="s">
        <v>13289</v>
      </c>
      <c r="D1027" s="5" t="str">
        <f ca="1">IFERROR(__xludf.DUMMYFUNCTION("GOOGLETRANSLATE(B1027,""ja"",""vi"")"),"chung")</f>
        <v>chung</v>
      </c>
      <c r="E1027" s="5" t="str">
        <f ca="1">IFERROR(__xludf.DUMMYFUNCTION("GOOGLETRANSLATE(C1027,""ja"",""vi"")"),"Đấu giá&gt; hoa, làm vườn&gt; hoa khô&gt; chung")</f>
        <v>Đấu giá&gt; hoa, làm vườn&gt; hoa khô&gt; chung</v>
      </c>
      <c r="F1027" t="str">
        <f t="shared" ca="1" si="16"/>
        <v>"2084047119" : "chung",</v>
      </c>
    </row>
    <row r="1028" spans="1:6" ht="15.75" customHeight="1">
      <c r="A1028" s="14">
        <v>2084047121</v>
      </c>
      <c r="B1028" s="14" t="s">
        <v>7155</v>
      </c>
      <c r="C1028" s="14" t="s">
        <v>13296</v>
      </c>
      <c r="D1028" s="5" t="str">
        <f ca="1">IFERROR(__xludf.DUMMYFUNCTION("GOOGLETRANSLATE(B1028,""ja"",""vi"")"),"sắp xếp")</f>
        <v>sắp xếp</v>
      </c>
      <c r="E1028" s="5" t="str">
        <f ca="1">IFERROR(__xludf.DUMMYFUNCTION("GOOGLETRANSLATE(C1028,""ja"",""vi"")"),"Đấu giá&gt; hoa, làm vườn&gt; hoa khô&gt; sắp xếp")</f>
        <v>Đấu giá&gt; hoa, làm vườn&gt; hoa khô&gt; sắp xếp</v>
      </c>
      <c r="F1028" t="str">
        <f t="shared" ca="1" si="16"/>
        <v>"2084047121" : "sắp xếp",</v>
      </c>
    </row>
    <row r="1029" spans="1:6" ht="15.75" customHeight="1">
      <c r="A1029" s="14">
        <v>2084047755</v>
      </c>
      <c r="B1029" s="14" t="s">
        <v>13301</v>
      </c>
      <c r="C1029" s="14" t="s">
        <v>13302</v>
      </c>
      <c r="D1029" s="5" t="str">
        <f ca="1">IFERROR(__xludf.DUMMYFUNCTION("GOOGLETRANSLATE(B1029,""ja"",""vi"")"),"potpourri")</f>
        <v>potpourri</v>
      </c>
      <c r="E1029" s="5" t="str">
        <f ca="1">IFERROR(__xludf.DUMMYFUNCTION("GOOGLETRANSLATE(C1029,""ja"",""vi"")"),"Đấu giá&gt; hoa, làm vườn&gt; hoa khô&gt; Potpourri")</f>
        <v>Đấu giá&gt; hoa, làm vườn&gt; hoa khô&gt; Potpourri</v>
      </c>
      <c r="F1029" t="str">
        <f t="shared" ca="1" si="16"/>
        <v>"2084047755" : "potpourri",</v>
      </c>
    </row>
    <row r="1030" spans="1:6" ht="15.75" customHeight="1">
      <c r="A1030" s="14">
        <v>2084047120</v>
      </c>
      <c r="B1030" s="14" t="s">
        <v>7164</v>
      </c>
      <c r="C1030" s="14" t="s">
        <v>13308</v>
      </c>
      <c r="D1030" s="5" t="str">
        <f ca="1">IFERROR(__xludf.DUMMYFUNCTION("GOOGLETRANSLATE(B1030,""ja"",""vi"")"),"cho thuê")</f>
        <v>cho thuê</v>
      </c>
      <c r="E1030" s="5" t="str">
        <f ca="1">IFERROR(__xludf.DUMMYFUNCTION("GOOGLETRANSLATE(C1030,""ja"",""vi"")"),"Đấu giá&gt; hoa, làm vườn&gt; hoa khô&gt; thuê")</f>
        <v>Đấu giá&gt; hoa, làm vườn&gt; hoa khô&gt; thuê</v>
      </c>
      <c r="F1030" t="str">
        <f t="shared" ca="1" si="16"/>
        <v>"2084047120" : "cho thuê",</v>
      </c>
    </row>
    <row r="1031" spans="1:6" ht="15.75" customHeight="1">
      <c r="A1031" s="14">
        <v>2084207325</v>
      </c>
      <c r="B1031" s="14" t="s">
        <v>13310</v>
      </c>
      <c r="C1031" s="14" t="s">
        <v>13312</v>
      </c>
      <c r="D1031" s="5" t="str">
        <f ca="1">IFERROR(__xludf.DUMMYFUNCTION("GOOGLETRANSLATE(B1031,""ja"",""vi"")"),"bó hoa")</f>
        <v>bó hoa</v>
      </c>
      <c r="E1031" s="5" t="str">
        <f ca="1">IFERROR(__xludf.DUMMYFUNCTION("GOOGLETRANSLATE(C1031,""ja"",""vi"")"),"Đấu giá&gt; hoa, làm vườn&gt; hoa khô&gt; bó")</f>
        <v>Đấu giá&gt; hoa, làm vườn&gt; hoa khô&gt; bó</v>
      </c>
      <c r="F1031" t="str">
        <f t="shared" ca="1" si="16"/>
        <v>"2084207325" : "bó hoa",</v>
      </c>
    </row>
    <row r="1032" spans="1:6" ht="15.75" customHeight="1">
      <c r="A1032" s="14">
        <v>2084047118</v>
      </c>
      <c r="B1032" s="14" t="s">
        <v>13314</v>
      </c>
      <c r="C1032" s="14" t="s">
        <v>13316</v>
      </c>
      <c r="D1032" s="5" t="str">
        <f ca="1">IFERROR(__xludf.DUMMYFUNCTION("GOOGLETRANSLATE(B1032,""ja"",""vi"")"),"Giáng sinh vòng hoa")</f>
        <v>Giáng sinh vòng hoa</v>
      </c>
      <c r="E1032" s="5" t="str">
        <f ca="1">IFERROR(__xludf.DUMMYFUNCTION("GOOGLETRANSLATE(C1032,""ja"",""vi"")"),"Đấu giá&gt; hoa, làm vườn&gt; thuê&gt; Giáng sinh vòng hoa")</f>
        <v>Đấu giá&gt; hoa, làm vườn&gt; thuê&gt; Giáng sinh vòng hoa</v>
      </c>
      <c r="F1032" t="str">
        <f t="shared" ca="1" si="16"/>
        <v>"2084047118" : "Giáng sinh vòng hoa",</v>
      </c>
    </row>
    <row r="1033" spans="1:6" ht="15.75" customHeight="1">
      <c r="A1033" s="14">
        <v>2084047120</v>
      </c>
      <c r="B1033" s="14" t="s">
        <v>7192</v>
      </c>
      <c r="C1033" s="14" t="s">
        <v>13318</v>
      </c>
      <c r="D1033" s="5" t="str">
        <f ca="1">IFERROR(__xludf.DUMMYFUNCTION("GOOGLETRANSLATE(B1033,""ja"",""vi"")"),"hoa khô")</f>
        <v>hoa khô</v>
      </c>
      <c r="E1033" s="5" t="str">
        <f ca="1">IFERROR(__xludf.DUMMYFUNCTION("GOOGLETRANSLATE(C1033,""ja"",""vi"")"),"Đấu giá&gt; hoa, làm vườn&gt; thuê&gt; hoa khô")</f>
        <v>Đấu giá&gt; hoa, làm vườn&gt; thuê&gt; hoa khô</v>
      </c>
      <c r="F1033" t="str">
        <f t="shared" ca="1" si="16"/>
        <v>"2084047120" : "hoa khô",</v>
      </c>
    </row>
    <row r="1034" spans="1:6" ht="15.75" customHeight="1">
      <c r="A1034" s="14">
        <v>2084047126</v>
      </c>
      <c r="B1034" s="14" t="s">
        <v>13045</v>
      </c>
      <c r="C1034" s="14" t="s">
        <v>13323</v>
      </c>
      <c r="D1034" s="5" t="str">
        <f ca="1">IFERROR(__xludf.DUMMYFUNCTION("GOOGLETRANSLATE(B1034,""ja"",""vi"")"),"cắm hoa")</f>
        <v>cắm hoa</v>
      </c>
      <c r="E1034" s="5" t="str">
        <f ca="1">IFERROR(__xludf.DUMMYFUNCTION("GOOGLETRANSLATE(C1034,""ja"",""vi"")"),"Đấu giá&gt; hoa, làm vườn&gt; thuê&gt; cắm hoa")</f>
        <v>Đấu giá&gt; hoa, làm vườn&gt; thuê&gt; cắm hoa</v>
      </c>
      <c r="F1034" t="str">
        <f t="shared" ca="1" si="16"/>
        <v>"2084047126" : "cắm hoa",</v>
      </c>
    </row>
    <row r="1035" spans="1:6" ht="15.75" customHeight="1">
      <c r="A1035" s="14">
        <v>2084047122</v>
      </c>
      <c r="B1035" s="14" t="s">
        <v>13049</v>
      </c>
      <c r="C1035" s="14" t="s">
        <v>13327</v>
      </c>
      <c r="D1035" s="5" t="str">
        <f ca="1">IFERROR(__xludf.DUMMYFUNCTION("GOOGLETRANSLATE(B1035,""ja"",""vi"")"),"hoa nhân tạo")</f>
        <v>hoa nhân tạo</v>
      </c>
      <c r="E1035" s="5" t="str">
        <f ca="1">IFERROR(__xludf.DUMMYFUNCTION("GOOGLETRANSLATE(C1035,""ja"",""vi"")"),"Đấu giá&gt; hoa, làm vườn&gt; thuê&gt; hoa giả")</f>
        <v>Đấu giá&gt; hoa, làm vườn&gt; thuê&gt; hoa giả</v>
      </c>
      <c r="F1035" t="str">
        <f t="shared" ca="1" si="16"/>
        <v>"2084047122" : "hoa nhân tạo",</v>
      </c>
    </row>
    <row r="1036" spans="1:6" ht="15.75" customHeight="1">
      <c r="A1036" s="14">
        <v>2084047124</v>
      </c>
      <c r="B1036" s="14" t="s">
        <v>2241</v>
      </c>
      <c r="C1036" s="14" t="s">
        <v>7150</v>
      </c>
      <c r="D1036" s="5" t="str">
        <f ca="1">IFERROR(__xludf.DUMMYFUNCTION("GOOGLETRANSLATE(B1036,""ja"",""vi"")"),"chung")</f>
        <v>chung</v>
      </c>
      <c r="E1036" s="5" t="str">
        <f ca="1">IFERROR(__xludf.DUMMYFUNCTION("GOOGLETRANSLATE(C1036,""ja"",""vi"")"),"Đấu giá&gt; Sở thích, văn hóa&gt; thủ công, thủ công mỹ nghệ&gt; Nghệ thuật hoa, hoa ép&gt; General")</f>
        <v>Đấu giá&gt; Sở thích, văn hóa&gt; thủ công, thủ công mỹ nghệ&gt; Nghệ thuật hoa, hoa ép&gt; General</v>
      </c>
      <c r="F1036" t="str">
        <f t="shared" ca="1" si="16"/>
        <v>"2084047124" : "chung",</v>
      </c>
    </row>
    <row r="1037" spans="1:6" ht="15.75" customHeight="1">
      <c r="A1037" s="14">
        <v>2084047123</v>
      </c>
      <c r="B1037" s="14" t="s">
        <v>7155</v>
      </c>
      <c r="C1037" s="14" t="s">
        <v>7157</v>
      </c>
      <c r="D1037" s="5" t="str">
        <f ca="1">IFERROR(__xludf.DUMMYFUNCTION("GOOGLETRANSLATE(B1037,""ja"",""vi"")"),"sắp xếp")</f>
        <v>sắp xếp</v>
      </c>
      <c r="E1037" s="5" t="str">
        <f ca="1">IFERROR(__xludf.DUMMYFUNCTION("GOOGLETRANSLATE(C1037,""ja"",""vi"")"),"Đấu giá&gt; Sở thích, văn hóa&gt; thủ công, thủ công mỹ nghệ&gt; Nghệ thuật hoa, hoa ép&gt; sắp xếp")</f>
        <v>Đấu giá&gt; Sở thích, văn hóa&gt; thủ công, thủ công mỹ nghệ&gt; Nghệ thuật hoa, hoa ép&gt; sắp xếp</v>
      </c>
      <c r="F1037" t="str">
        <f t="shared" ca="1" si="16"/>
        <v>"2084047123" : "sắp xếp",</v>
      </c>
    </row>
    <row r="1038" spans="1:6" ht="15.75" customHeight="1">
      <c r="A1038" s="14">
        <v>2084047122</v>
      </c>
      <c r="B1038" s="14" t="s">
        <v>7164</v>
      </c>
      <c r="C1038" s="14" t="s">
        <v>7165</v>
      </c>
      <c r="D1038" s="5" t="str">
        <f ca="1">IFERROR(__xludf.DUMMYFUNCTION("GOOGLETRANSLATE(B1038,""ja"",""vi"")"),"cho thuê")</f>
        <v>cho thuê</v>
      </c>
      <c r="E1038" s="5" t="str">
        <f ca="1">IFERROR(__xludf.DUMMYFUNCTION("GOOGLETRANSLATE(C1038,""ja"",""vi"")"),"Đấu giá&gt; Sở thích, văn hóa&gt; thủ công, thủ công mỹ nghệ&gt; Art Flower, ép hoa&gt; thuê")</f>
        <v>Đấu giá&gt; Sở thích, văn hóa&gt; thủ công, thủ công mỹ nghệ&gt; Art Flower, ép hoa&gt; thuê</v>
      </c>
      <c r="F1038" t="str">
        <f t="shared" ca="1" si="16"/>
        <v>"2084047122" : "cho thuê",</v>
      </c>
    </row>
    <row r="1039" spans="1:6" ht="15.75" customHeight="1">
      <c r="A1039" s="14">
        <v>2084048858</v>
      </c>
      <c r="B1039" s="14" t="s">
        <v>7171</v>
      </c>
      <c r="C1039" s="14" t="s">
        <v>7172</v>
      </c>
      <c r="D1039" s="5" t="str">
        <f ca="1">IFERROR(__xludf.DUMMYFUNCTION("GOOGLETRANSLATE(B1039,""ja"",""vi"")"),"ép hoa")</f>
        <v>ép hoa</v>
      </c>
      <c r="E1039" s="5" t="str">
        <f ca="1">IFERROR(__xludf.DUMMYFUNCTION("GOOGLETRANSLATE(C1039,""ja"",""vi"")"),"Đấu giá&gt; Sở thích, văn hóa&gt; thủ công, thủ công mỹ nghệ&gt; Art Flower, Pressed&gt; hoa ép")</f>
        <v>Đấu giá&gt; Sở thích, văn hóa&gt; thủ công, thủ công mỹ nghệ&gt; Art Flower, Pressed&gt; hoa ép</v>
      </c>
      <c r="F1039" t="str">
        <f t="shared" ca="1" si="16"/>
        <v>"2084048858" : "ép hoa",</v>
      </c>
    </row>
    <row r="1040" spans="1:6" ht="15.75" customHeight="1">
      <c r="A1040" s="14">
        <v>2084305337</v>
      </c>
      <c r="B1040" s="14" t="s">
        <v>7176</v>
      </c>
      <c r="C1040" s="14" t="s">
        <v>7178</v>
      </c>
      <c r="D1040" s="5" t="str">
        <f ca="1">IFERROR(__xludf.DUMMYFUNCTION("GOOGLETRANSLATE(B1040,""ja"",""vi"")"),"Vật liệu, dụng cụ")</f>
        <v>Vật liệu, dụng cụ</v>
      </c>
      <c r="E1040" s="5" t="str">
        <f ca="1">IFERROR(__xludf.DUMMYFUNCTION("GOOGLETRANSLATE(C1040,""ja"",""vi"")"),"Đấu giá&gt; Sở thích, văn hóa&gt; thủ công, thủ công mỹ nghệ&gt; Nghệ thuật hoa, hoa ép&gt; nguyên liệu, dụng cụ")</f>
        <v>Đấu giá&gt; Sở thích, văn hóa&gt; thủ công, thủ công mỹ nghệ&gt; Nghệ thuật hoa, hoa ép&gt; nguyên liệu, dụng cụ</v>
      </c>
      <c r="F1040" t="str">
        <f t="shared" ca="1" si="16"/>
        <v>"2084305337" : "Vật liệu, dụng cụ",</v>
      </c>
    </row>
    <row r="1041" spans="1:6" ht="15.75" customHeight="1">
      <c r="A1041" s="14">
        <v>2084305338</v>
      </c>
      <c r="B1041" s="14" t="s">
        <v>6950</v>
      </c>
      <c r="C1041" s="14" t="s">
        <v>7183</v>
      </c>
      <c r="D1041" s="5" t="str">
        <f ca="1">IFERROR(__xludf.DUMMYFUNCTION("GOOGLETRANSLATE(B1041,""ja"",""vi"")"),"xây dựng Kit")</f>
        <v>xây dựng Kit</v>
      </c>
      <c r="E1041" s="5" t="str">
        <f ca="1">IFERROR(__xludf.DUMMYFUNCTION("GOOGLETRANSLATE(C1041,""ja"",""vi"")"),"Đấu giá&gt; Sở thích, văn hóa&gt; thủ công, thủ công mỹ nghệ&gt; Nghệ thuật hoa, hoa ép&gt; Xây dựng Kit")</f>
        <v>Đấu giá&gt; Sở thích, văn hóa&gt; thủ công, thủ công mỹ nghệ&gt; Nghệ thuật hoa, hoa ép&gt; Xây dựng Kit</v>
      </c>
      <c r="F1041" t="str">
        <f t="shared" ca="1" si="16"/>
        <v>"2084305338" : "xây dựng Kit",</v>
      </c>
    </row>
    <row r="1042" spans="1:6" ht="15.75" customHeight="1">
      <c r="A1042" s="14">
        <v>2084305336</v>
      </c>
      <c r="B1042" s="14" t="s">
        <v>3665</v>
      </c>
      <c r="C1042" s="14" t="s">
        <v>7188</v>
      </c>
      <c r="D1042" s="5" t="str">
        <f ca="1">IFERROR(__xludf.DUMMYFUNCTION("GOOGLETRANSLATE(B1042,""ja"",""vi"")"),"thành phẩm")</f>
        <v>thành phẩm</v>
      </c>
      <c r="E1042" s="5" t="str">
        <f ca="1">IFERROR(__xludf.DUMMYFUNCTION("GOOGLETRANSLATE(C1042,""ja"",""vi"")"),"Đấu giá&gt; Sở thích, văn hóa&gt; thủ công, thủ công mỹ nghệ&gt; Nghệ thuật hoa, hoa ép&gt; thành phẩm")</f>
        <v>Đấu giá&gt; Sở thích, văn hóa&gt; thủ công, thủ công mỹ nghệ&gt; Nghệ thuật hoa, hoa ép&gt; thành phẩm</v>
      </c>
      <c r="F1042" t="str">
        <f t="shared" ca="1" si="16"/>
        <v>"2084305336" : "thành phẩm",</v>
      </c>
    </row>
    <row r="1043" spans="1:6" ht="15.75" customHeight="1">
      <c r="A1043" s="14">
        <v>2084006708</v>
      </c>
      <c r="B1043" s="14" t="s">
        <v>7192</v>
      </c>
      <c r="C1043" s="14" t="s">
        <v>7194</v>
      </c>
      <c r="D1043" s="5" t="str">
        <f ca="1">IFERROR(__xludf.DUMMYFUNCTION("GOOGLETRANSLATE(B1043,""ja"",""vi"")"),"hoa khô")</f>
        <v>hoa khô</v>
      </c>
      <c r="E1043" s="5" t="str">
        <f ca="1">IFERROR(__xludf.DUMMYFUNCTION("GOOGLETRANSLATE(C1043,""ja"",""vi"")"),"Đấu giá&gt; Sở thích, văn hóa&gt; thủ công, thủ công mỹ nghệ&gt; Nghệ thuật hoa, hoa ép&gt; hoa khô")</f>
        <v>Đấu giá&gt; Sở thích, văn hóa&gt; thủ công, thủ công mỹ nghệ&gt; Nghệ thuật hoa, hoa ép&gt; hoa khô</v>
      </c>
      <c r="F1043" t="str">
        <f t="shared" ca="1" si="16"/>
        <v>"2084006708" : "hoa khô",</v>
      </c>
    </row>
    <row r="1044" spans="1:6" ht="15.75" customHeight="1">
      <c r="A1044" s="14">
        <v>2084047774</v>
      </c>
      <c r="B1044" s="14" t="s">
        <v>5489</v>
      </c>
      <c r="C1044" s="14" t="s">
        <v>5491</v>
      </c>
      <c r="D1044" s="5" t="str">
        <f ca="1">IFERROR(__xludf.DUMMYFUNCTION("GOOGLETRANSLATE(B1044,""ja"",""vi"")"),"nghề làm vườn")</f>
        <v>nghề làm vườn</v>
      </c>
      <c r="E1044" s="5" t="str">
        <f ca="1">IFERROR(__xludf.DUMMYFUNCTION("GOOGLETRANSLATE(C1044,""ja"",""vi"")"),"Đấu giá&gt; cuốn sách, tạp chí&gt; nhà, sinh hoạt, chăm sóc trẻ&gt; hoa, làm vườn&gt; Làm vườn")</f>
        <v>Đấu giá&gt; cuốn sách, tạp chí&gt; nhà, sinh hoạt, chăm sóc trẻ&gt; hoa, làm vườn&gt; Làm vườn</v>
      </c>
      <c r="F1044" t="str">
        <f t="shared" ca="1" si="16"/>
        <v>"2084047774" : "nghề làm vườn",</v>
      </c>
    </row>
    <row r="1045" spans="1:6" ht="15.75" customHeight="1">
      <c r="A1045" s="14">
        <v>2084047775</v>
      </c>
      <c r="B1045" s="14" t="s">
        <v>5493</v>
      </c>
      <c r="C1045" s="14" t="s">
        <v>5495</v>
      </c>
      <c r="D1045" s="5" t="str">
        <f ca="1">IFERROR(__xludf.DUMMYFUNCTION("GOOGLETRANSLATE(B1045,""ja"",""vi"")"),"Flower Arrangement")</f>
        <v>Flower Arrangement</v>
      </c>
      <c r="E1045" s="5" t="str">
        <f ca="1">IFERROR(__xludf.DUMMYFUNCTION("GOOGLETRANSLATE(C1045,""ja"",""vi"")"),"Đấu giá&gt; cuốn sách, tạp chí&gt; nhà, sinh hoạt, chăm sóc trẻ&gt; hoa, làm vườn&gt; cắm hoa")</f>
        <v>Đấu giá&gt; cuốn sách, tạp chí&gt; nhà, sinh hoạt, chăm sóc trẻ&gt; hoa, làm vườn&gt; cắm hoa</v>
      </c>
      <c r="F1045" t="str">
        <f t="shared" ca="1" si="16"/>
        <v>"2084047775" : "Flower Arrangement",</v>
      </c>
    </row>
    <row r="1046" spans="1:6" ht="15.75" customHeight="1">
      <c r="A1046" s="14">
        <v>2084047776</v>
      </c>
      <c r="B1046" s="14" t="s">
        <v>5497</v>
      </c>
      <c r="C1046" s="14" t="s">
        <v>5498</v>
      </c>
      <c r="D1046" s="5" t="str">
        <f ca="1">IFERROR(__xludf.DUMMYFUNCTION("GOOGLETRANSLATE(B1046,""ja"",""vi"")"),"nhà vườn")</f>
        <v>nhà vườn</v>
      </c>
      <c r="E1046" s="5" t="str">
        <f ca="1">IFERROR(__xludf.DUMMYFUNCTION("GOOGLETRANSLATE(C1046,""ja"",""vi"")"),"Đấu giá&gt; cuốn sách, tạp chí&gt; nhà, sinh hoạt, chăm sóc trẻ&gt; hoa, làm vườn&gt; vườn nhà")</f>
        <v>Đấu giá&gt; cuốn sách, tạp chí&gt; nhà, sinh hoạt, chăm sóc trẻ&gt; hoa, làm vườn&gt; vườn nhà</v>
      </c>
      <c r="F1046" t="str">
        <f t="shared" ca="1" si="16"/>
        <v>"2084047776" : "nhà vườn",</v>
      </c>
    </row>
    <row r="1047" spans="1:6" ht="15.75" customHeight="1">
      <c r="A1047" s="14">
        <v>2084008127</v>
      </c>
      <c r="B1047" s="14" t="s">
        <v>1586</v>
      </c>
      <c r="C1047" s="14" t="s">
        <v>5501</v>
      </c>
      <c r="D1047" s="5" t="str">
        <f ca="1">IFERROR(__xludf.DUMMYFUNCTION("GOOGLETRANSLATE(B1047,""ja"",""vi"")"),"tạp chí")</f>
        <v>tạp chí</v>
      </c>
      <c r="E1047" s="5" t="str">
        <f ca="1">IFERROR(__xludf.DUMMYFUNCTION("GOOGLETRANSLATE(C1047,""ja"",""vi"")"),"Đấu giá&gt; cuốn sách, tạp chí&gt; nhà, sinh hoạt, chăm sóc trẻ&gt; hoa, làm vườn&gt; Tạp chí")</f>
        <v>Đấu giá&gt; cuốn sách, tạp chí&gt; nhà, sinh hoạt, chăm sóc trẻ&gt; hoa, làm vườn&gt; Tạp chí</v>
      </c>
      <c r="F1047" t="str">
        <f t="shared" ca="1" si="16"/>
        <v>"2084008127" : "tạp chí",</v>
      </c>
    </row>
    <row r="1048" spans="1:6" ht="15.75" customHeight="1">
      <c r="A1048" s="14">
        <v>2084047777</v>
      </c>
      <c r="B1048" s="14" t="s">
        <v>5504</v>
      </c>
      <c r="C1048" s="14" t="s">
        <v>5505</v>
      </c>
      <c r="D1048" s="5" t="str">
        <f ca="1">IFERROR(__xludf.DUMMYFUNCTION("GOOGLETRANSLATE(B1048,""ja"",""vi"")"),"Bonsai")</f>
        <v>Bonsai</v>
      </c>
      <c r="E1048" s="5" t="str">
        <f ca="1">IFERROR(__xludf.DUMMYFUNCTION("GOOGLETRANSLATE(C1048,""ja"",""vi"")"),"Đấu giá&gt; cuốn sách, tạp chí&gt; nhà, sinh hoạt, chăm sóc trẻ&gt; hoa, làm vườn&gt; cây cảnh")</f>
        <v>Đấu giá&gt; cuốn sách, tạp chí&gt; nhà, sinh hoạt, chăm sóc trẻ&gt; hoa, làm vườn&gt; cây cảnh</v>
      </c>
      <c r="F1048" t="str">
        <f t="shared" ca="1" si="16"/>
        <v>"2084047777" : "Bonsai",</v>
      </c>
    </row>
    <row r="1049" spans="1:6" ht="15.75" customHeight="1">
      <c r="A1049" s="14">
        <v>2084047778</v>
      </c>
      <c r="B1049" s="14" t="s">
        <v>5508</v>
      </c>
      <c r="C1049" s="14" t="s">
        <v>5509</v>
      </c>
      <c r="D1049" s="5" t="str">
        <f ca="1">IFERROR(__xludf.DUMMYFUNCTION("GOOGLETRANSLATE(B1049,""ja"",""vi"")"),"cỏ dại, cây")</f>
        <v>cỏ dại, cây</v>
      </c>
      <c r="E1049" s="5" t="str">
        <f ca="1">IFERROR(__xludf.DUMMYFUNCTION("GOOGLETRANSLATE(C1049,""ja"",""vi"")"),"Đấu giá&gt; cuốn sách, tạp chí&gt; nhà, sinh hoạt, chăm sóc trẻ&gt; hoa, làm vườn&gt; cỏ hoang dã, nhà máy")</f>
        <v>Đấu giá&gt; cuốn sách, tạp chí&gt; nhà, sinh hoạt, chăm sóc trẻ&gt; hoa, làm vườn&gt; cỏ hoang dã, nhà máy</v>
      </c>
      <c r="F1049" t="str">
        <f t="shared" ca="1" si="16"/>
        <v>"2084047778" : "cỏ dại, cây",</v>
      </c>
    </row>
  </sheetData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3"/>
  <sheetViews>
    <sheetView workbookViewId="0">
      <selection activeCell="F1" sqref="F1"/>
    </sheetView>
  </sheetViews>
  <sheetFormatPr defaultColWidth="12.59765625" defaultRowHeight="15" customHeight="1"/>
  <cols>
    <col min="1" max="1" width="13.09765625" customWidth="1"/>
    <col min="2" max="2" width="11.69921875" customWidth="1"/>
    <col min="3" max="3" width="49.8984375" customWidth="1"/>
    <col min="4" max="4" width="7.59765625" customWidth="1"/>
    <col min="5" max="5" width="41.3984375" customWidth="1"/>
    <col min="6" max="26" width="7.59765625" customWidth="1"/>
  </cols>
  <sheetData>
    <row r="1" spans="1:6" ht="28.2">
      <c r="A1" s="18">
        <v>2084055960</v>
      </c>
      <c r="B1" s="18" t="s">
        <v>8634</v>
      </c>
      <c r="C1" s="18" t="s">
        <v>8635</v>
      </c>
      <c r="D1" s="5" t="str">
        <f ca="1">IFERROR(__xludf.DUMMYFUNCTION("GOOGLETRANSLATE(B1,""ja"",""vi"")"),"2000GT")</f>
        <v>2000GT</v>
      </c>
      <c r="E1" s="5" t="str">
        <f ca="1">IFERROR(__xludf.DUMMYFUNCTION("GOOGLETRANSLATE(C1,""ja"",""vi"")"),"Đấu giá&gt; ô tô, xe máy&gt; ô tô cũ, ô tô mới&gt; Toyota&gt; 2000GT")</f>
        <v>Đấu giá&gt; ô tô, xe máy&gt; ô tô cũ, ô tô mới&gt; Toyota&gt; 2000GT</v>
      </c>
      <c r="F1" t="str">
        <f ca="1">CONCATENATE(CHAR(34)&amp;"",A1,""&amp;CHAR(34)," : ", CHAR(34)&amp;"",D1,""&amp;CHAR(34),",")</f>
        <v>"2084055960" : "2000GT",</v>
      </c>
    </row>
    <row r="2" spans="1:6" ht="28.2">
      <c r="A2" s="18">
        <v>2084311301</v>
      </c>
      <c r="B2" s="18">
        <v>86</v>
      </c>
      <c r="C2" s="18" t="s">
        <v>8639</v>
      </c>
      <c r="D2" s="5" t="str">
        <f ca="1">IFERROR(__xludf.DUMMYFUNCTION("GOOGLETRANSLATE(B2,""ja"",""vi"")"),"86")</f>
        <v>86</v>
      </c>
      <c r="E2" s="5" t="str">
        <f ca="1">IFERROR(__xludf.DUMMYFUNCTION("GOOGLETRANSLATE(C2,""ja"",""vi"")"),"Đấu giá&gt; ô tô, xe máy&gt; ô tô cũ, ô tô mới&gt; Toyota&gt; 86")</f>
        <v>Đấu giá&gt; ô tô, xe máy&gt; ô tô cũ, ô tô mới&gt; Toyota&gt; 86</v>
      </c>
      <c r="F2" t="str">
        <f t="shared" ref="F2:F65" ca="1" si="0">CONCATENATE(CHAR(34)&amp;"",A2,""&amp;CHAR(34)," : ", CHAR(34)&amp;"",D2,""&amp;CHAR(34),",")</f>
        <v>"2084311301" : "86",</v>
      </c>
    </row>
    <row r="3" spans="1:6" ht="28.2">
      <c r="A3" s="18">
        <v>2084299522</v>
      </c>
      <c r="B3" s="18" t="s">
        <v>8640</v>
      </c>
      <c r="C3" s="18" t="s">
        <v>8641</v>
      </c>
      <c r="D3" s="5" t="str">
        <f ca="1">IFERROR(__xludf.DUMMYFUNCTION("GOOGLETRANSLATE(B3,""ja"",""vi"")"),"FJ Cruiser")</f>
        <v>FJ Cruiser</v>
      </c>
      <c r="E3" s="5" t="str">
        <f ca="1">IFERROR(__xludf.DUMMYFUNCTION("GOOGLETRANSLATE(C3,""ja"",""vi"")"),"Đấu giá&gt; ô tô, xe máy&gt; ô tô cũ, ô tô mới&gt; Toyota&gt; FJ Cruiser")</f>
        <v>Đấu giá&gt; ô tô, xe máy&gt; ô tô cũ, ô tô mới&gt; Toyota&gt; FJ Cruiser</v>
      </c>
      <c r="F3" t="str">
        <f t="shared" ca="1" si="0"/>
        <v>"2084299522" : "FJ Cruiser",</v>
      </c>
    </row>
    <row r="4" spans="1:6" ht="28.2">
      <c r="A4" s="18">
        <v>2084016627</v>
      </c>
      <c r="B4" s="18" t="s">
        <v>8643</v>
      </c>
      <c r="C4" s="18" t="s">
        <v>8644</v>
      </c>
      <c r="D4" s="5" t="str">
        <f ca="1">IFERROR(__xludf.DUMMYFUNCTION("GOOGLETRANSLATE(B4,""ja"",""vi"")"),"MR-S")</f>
        <v>MR-S</v>
      </c>
      <c r="E4" s="5" t="str">
        <f ca="1">IFERROR(__xludf.DUMMYFUNCTION("GOOGLETRANSLATE(C4,""ja"",""vi"")"),"Đấu giá&gt; ô tô, xe máy&gt; ô tô cũ, ô tô mới&gt; Toyota&gt; MR-S")</f>
        <v>Đấu giá&gt; ô tô, xe máy&gt; ô tô cũ, ô tô mới&gt; Toyota&gt; MR-S</v>
      </c>
      <c r="F4" t="str">
        <f t="shared" ca="1" si="0"/>
        <v>"2084016627" : "MR-S",</v>
      </c>
    </row>
    <row r="5" spans="1:6" ht="28.2">
      <c r="A5" s="18">
        <v>2084016626</v>
      </c>
      <c r="B5" s="18" t="s">
        <v>8647</v>
      </c>
      <c r="C5" s="18" t="s">
        <v>8648</v>
      </c>
      <c r="D5" s="5" t="str">
        <f ca="1">IFERROR(__xludf.DUMMYFUNCTION("GOOGLETRANSLATE(B5,""ja"",""vi"")"),"MR2")</f>
        <v>MR2</v>
      </c>
      <c r="E5" s="5" t="str">
        <f ca="1">IFERROR(__xludf.DUMMYFUNCTION("GOOGLETRANSLATE(C5,""ja"",""vi"")"),"Đấu giá&gt; ô tô, xe máy&gt; ô tô cũ, ô tô mới&gt; Toyota&gt; MR2")</f>
        <v>Đấu giá&gt; ô tô, xe máy&gt; ô tô cũ, ô tô mới&gt; Toyota&gt; MR2</v>
      </c>
      <c r="F5" t="str">
        <f t="shared" ca="1" si="0"/>
        <v>"2084016626" : "MR2",</v>
      </c>
    </row>
    <row r="6" spans="1:6" ht="28.2">
      <c r="A6" s="18">
        <v>2084016630</v>
      </c>
      <c r="B6" s="18" t="s">
        <v>8651</v>
      </c>
      <c r="C6" s="18" t="s">
        <v>8653</v>
      </c>
      <c r="D6" s="5" t="str">
        <f ca="1">IFERROR(__xludf.DUMMYFUNCTION("GOOGLETRANSLATE(B6,""ja"",""vi"")"),"RAV4")</f>
        <v>RAV4</v>
      </c>
      <c r="E6" s="5" t="str">
        <f ca="1">IFERROR(__xludf.DUMMYFUNCTION("GOOGLETRANSLATE(C6,""ja"",""vi"")"),"Đấu giá&gt; ô tô, xe máy&gt; ô tô cũ, ô tô mới&gt; Toyota&gt; RAV4")</f>
        <v>Đấu giá&gt; ô tô, xe máy&gt; ô tô cũ, ô tô mới&gt; Toyota&gt; RAV4</v>
      </c>
      <c r="F6" t="str">
        <f t="shared" ca="1" si="0"/>
        <v>"2084016630" : "RAV4",</v>
      </c>
    </row>
    <row r="7" spans="1:6" ht="28.2">
      <c r="A7" s="18">
        <v>2084299523</v>
      </c>
      <c r="B7" s="18" t="s">
        <v>8654</v>
      </c>
      <c r="C7" s="18" t="s">
        <v>8655</v>
      </c>
      <c r="D7" s="5" t="str">
        <f ca="1">IFERROR(__xludf.DUMMYFUNCTION("GOOGLETRANSLATE(B7,""ja"",""vi"")"),"SÀI")</f>
        <v>SÀI</v>
      </c>
      <c r="E7" s="5" t="str">
        <f ca="1">IFERROR(__xludf.DUMMYFUNCTION("GOOGLETRANSLATE(C7,""ja"",""vi"")"),"Đấu giá&gt; ô tô, xe máy&gt; ô tô cũ, ô tô mới&gt; Toyota&gt; SÀI")</f>
        <v>Đấu giá&gt; ô tô, xe máy&gt; ô tô cũ, ô tô mới&gt; Toyota&gt; SÀI</v>
      </c>
      <c r="F7" t="str">
        <f t="shared" ca="1" si="0"/>
        <v>"2084299523" : "SÀI",</v>
      </c>
    </row>
    <row r="8" spans="1:6" ht="28.2">
      <c r="A8" s="18">
        <v>2084049053</v>
      </c>
      <c r="B8" s="18" t="s">
        <v>8657</v>
      </c>
      <c r="C8" s="18" t="s">
        <v>8659</v>
      </c>
      <c r="D8" s="5" t="str">
        <f ca="1">IFERROR(__xludf.DUMMYFUNCTION("GOOGLETRANSLATE(B8,""ja"",""vi"")"),"WiLLVS")</f>
        <v>WiLLVS</v>
      </c>
      <c r="E8" s="5" t="str">
        <f ca="1">IFERROR(__xludf.DUMMYFUNCTION("GOOGLETRANSLATE(C8,""ja"",""vi"")"),"Đấu giá&gt; ô tô, xe máy&gt; ô tô cũ, ô tô mới&gt; Toyota&gt; WiLLVS")</f>
        <v>Đấu giá&gt; ô tô, xe máy&gt; ô tô cũ, ô tô mới&gt; Toyota&gt; WiLLVS</v>
      </c>
      <c r="F8" t="str">
        <f t="shared" ca="1" si="0"/>
        <v>"2084049053" : "WiLLVS",</v>
      </c>
    </row>
    <row r="9" spans="1:6" ht="28.2">
      <c r="A9" s="18">
        <v>2084055956</v>
      </c>
      <c r="B9" s="18" t="s">
        <v>8661</v>
      </c>
      <c r="C9" s="18" t="s">
        <v>8662</v>
      </c>
      <c r="D9" s="5" t="str">
        <f ca="1">IFERROR(__xludf.DUMMYFUNCTION("GOOGLETRANSLATE(B9,""ja"",""vi"")"),"sẽ cipher")</f>
        <v>sẽ cipher</v>
      </c>
      <c r="E9" s="5" t="str">
        <f ca="1">IFERROR(__xludf.DUMMYFUNCTION("GOOGLETRANSLATE(C9,""ja"",""vi"")"),"Đấu giá&gt; ô tô, xe máy&gt; ô tô cũ, ô tô mới&gt; Toyota&gt; sẽ mật mã")</f>
        <v>Đấu giá&gt; ô tô, xe máy&gt; ô tô cũ, ô tô mới&gt; Toyota&gt; sẽ mật mã</v>
      </c>
      <c r="F9" t="str">
        <f t="shared" ca="1" si="0"/>
        <v>"2084055956" : "sẽ cipher",</v>
      </c>
    </row>
    <row r="10" spans="1:6" ht="28.2">
      <c r="A10" s="18">
        <v>2084016631</v>
      </c>
      <c r="B10" s="18" t="s">
        <v>8664</v>
      </c>
      <c r="C10" s="18" t="s">
        <v>8666</v>
      </c>
      <c r="D10" s="5" t="str">
        <f ca="1">IFERROR(__xludf.DUMMYFUNCTION("GOOGLETRANSLATE(B10,""ja"",""vi"")"),"WillVi")</f>
        <v>WillVi</v>
      </c>
      <c r="E10" s="5" t="str">
        <f ca="1">IFERROR(__xludf.DUMMYFUNCTION("GOOGLETRANSLATE(C10,""ja"",""vi"")"),"Đấu giá&gt; ô tô, xe máy&gt; ô tô cũ, ô tô mới&gt; Toyota&gt; WillVi")</f>
        <v>Đấu giá&gt; ô tô, xe máy&gt; ô tô cũ, ô tô mới&gt; Toyota&gt; WillVi</v>
      </c>
      <c r="F10" t="str">
        <f t="shared" ca="1" si="0"/>
        <v>"2084016631" : "WillVi",</v>
      </c>
    </row>
    <row r="11" spans="1:6" ht="28.2">
      <c r="A11" s="18">
        <v>2084016625</v>
      </c>
      <c r="B11" s="18" t="s">
        <v>8668</v>
      </c>
      <c r="C11" s="18" t="s">
        <v>8669</v>
      </c>
      <c r="D11" s="5" t="str">
        <f ca="1">IFERROR(__xludf.DUMMYFUNCTION("GOOGLETRANSLATE(B11,""ja"",""vi"")"),"bB")</f>
        <v>bB</v>
      </c>
      <c r="E11" s="5" t="str">
        <f ca="1">IFERROR(__xludf.DUMMYFUNCTION("GOOGLETRANSLATE(C11,""ja"",""vi"")"),"Đấu giá&gt; ô tô, xe máy&gt; ô tô cũ, ô tô mới&gt; Toyota&gt; bB")</f>
        <v>Đấu giá&gt; ô tô, xe máy&gt; ô tô cũ, ô tô mới&gt; Toyota&gt; bB</v>
      </c>
      <c r="F11" t="str">
        <f t="shared" ca="1" si="0"/>
        <v>"2084016625" : "bB",</v>
      </c>
    </row>
    <row r="12" spans="1:6" ht="28.2">
      <c r="A12" s="18">
        <v>2084243766</v>
      </c>
      <c r="B12" s="18" t="s">
        <v>8672</v>
      </c>
      <c r="C12" s="18" t="s">
        <v>8673</v>
      </c>
      <c r="D12" s="5" t="str">
        <f ca="1">IFERROR(__xludf.DUMMYFUNCTION("GOOGLETRANSLATE(B12,""ja"",""vi"")"),"iQ")</f>
        <v>iQ</v>
      </c>
      <c r="E12" s="5" t="str">
        <f ca="1">IFERROR(__xludf.DUMMYFUNCTION("GOOGLETRANSLATE(C12,""ja"",""vi"")"),"Đấu giá&gt; ô tô, xe máy&gt; ô tô cũ, ô tô mới&gt; Toyota&gt; iQ")</f>
        <v>Đấu giá&gt; ô tô, xe máy&gt; ô tô cũ, ô tô mới&gt; Toyota&gt; iQ</v>
      </c>
      <c r="F12" t="str">
        <f t="shared" ca="1" si="0"/>
        <v>"2084243766" : "iQ",</v>
      </c>
    </row>
    <row r="13" spans="1:6" ht="28.2">
      <c r="A13" s="18">
        <v>2084049539</v>
      </c>
      <c r="B13" s="18" t="s">
        <v>8676</v>
      </c>
      <c r="C13" s="18" t="s">
        <v>8677</v>
      </c>
      <c r="D13" s="5" t="str">
        <f ca="1">IFERROR(__xludf.DUMMYFUNCTION("GOOGLETRANSLATE(B13,""ja"",""vi"")"),"ist")</f>
        <v>ist</v>
      </c>
      <c r="E13" s="5" t="str">
        <f ca="1">IFERROR(__xludf.DUMMYFUNCTION("GOOGLETRANSLATE(C13,""ja"",""vi"")"),"Đấu giá&gt; ô tô, xe máy&gt; ô tô cũ, ô tô mới&gt; Toyota&gt; ist")</f>
        <v>Đấu giá&gt; ô tô, xe máy&gt; ô tô cũ, ô tô mới&gt; Toyota&gt; ist</v>
      </c>
      <c r="F13" t="str">
        <f t="shared" ca="1" si="0"/>
        <v>"2084049539" : "ist",</v>
      </c>
    </row>
    <row r="14" spans="1:6" ht="28.2">
      <c r="A14" s="18">
        <v>2084058459</v>
      </c>
      <c r="B14" s="18" t="s">
        <v>8680</v>
      </c>
      <c r="C14" s="18" t="s">
        <v>8681</v>
      </c>
      <c r="D14" s="5" t="str">
        <f ca="1">IFERROR(__xludf.DUMMYFUNCTION("GOOGLETRANSLATE(B14,""ja"",""vi"")"),"Isis")</f>
        <v>Isis</v>
      </c>
      <c r="E14" s="5" t="str">
        <f ca="1">IFERROR(__xludf.DUMMYFUNCTION("GOOGLETRANSLATE(C14,""ja"",""vi"")"),"Đấu giá&gt; ô tô, xe máy&gt; ô tô cũ, ô tô mới&gt; Toyota&gt; Isis")</f>
        <v>Đấu giá&gt; ô tô, xe máy&gt; ô tô cũ, ô tô mới&gt; Toyota&gt; Isis</v>
      </c>
      <c r="F14" t="str">
        <f t="shared" ca="1" si="0"/>
        <v>"2084058459" : "Isis",</v>
      </c>
    </row>
    <row r="15" spans="1:6" ht="28.2">
      <c r="A15" s="18">
        <v>2084311300</v>
      </c>
      <c r="B15" s="18" t="s">
        <v>8685</v>
      </c>
      <c r="C15" s="18" t="s">
        <v>8687</v>
      </c>
      <c r="D15" s="5" t="str">
        <f ca="1">IFERROR(__xludf.DUMMYFUNCTION("GOOGLETRANSLATE(B15,""ja"",""vi"")"),"Aqua")</f>
        <v>Aqua</v>
      </c>
      <c r="E15" s="5" t="str">
        <f ca="1">IFERROR(__xludf.DUMMYFUNCTION("GOOGLETRANSLATE(C15,""ja"",""vi"")"),"Đấu giá&gt; ô tô, xe máy&gt; ô tô cũ, ô tô mới&gt; Toyota&gt; Aqua")</f>
        <v>Đấu giá&gt; ô tô, xe máy&gt; ô tô cũ, ô tô mới&gt; Toyota&gt; Aqua</v>
      </c>
      <c r="F15" t="str">
        <f t="shared" ca="1" si="0"/>
        <v>"2084311300" : "Aqua",</v>
      </c>
    </row>
    <row r="16" spans="1:6" ht="28.2">
      <c r="A16" s="18">
        <v>2084049054</v>
      </c>
      <c r="B16" s="18" t="s">
        <v>8690</v>
      </c>
      <c r="C16" s="18" t="s">
        <v>8692</v>
      </c>
      <c r="D16" s="5" t="str">
        <f ca="1">IFERROR(__xludf.DUMMYFUNCTION("GOOGLETRANSLATE(B16,""ja"",""vi"")"),"Avalon")</f>
        <v>Avalon</v>
      </c>
      <c r="E16" s="5" t="str">
        <f ca="1">IFERROR(__xludf.DUMMYFUNCTION("GOOGLETRANSLATE(C16,""ja"",""vi"")"),"Đấu giá&gt; ô tô, xe máy&gt; ô tô cũ, ô tô mới&gt; Toyota&gt; Avalon")</f>
        <v>Đấu giá&gt; ô tô, xe máy&gt; ô tô cũ, ô tô mới&gt; Toyota&gt; Avalon</v>
      </c>
      <c r="F16" t="str">
        <f t="shared" ca="1" si="0"/>
        <v>"2084049054" : "Avalon",</v>
      </c>
    </row>
    <row r="17" spans="1:6" ht="28.2">
      <c r="A17" s="18">
        <v>2084055958</v>
      </c>
      <c r="B17" s="18" t="s">
        <v>8696</v>
      </c>
      <c r="C17" s="18" t="s">
        <v>8698</v>
      </c>
      <c r="D17" s="5" t="str">
        <f ca="1">IFERROR(__xludf.DUMMYFUNCTION("GOOGLETRANSLATE(B17,""ja"",""vi"")"),"Avensis")</f>
        <v>Avensis</v>
      </c>
      <c r="E17" s="5" t="str">
        <f ca="1">IFERROR(__xludf.DUMMYFUNCTION("GOOGLETRANSLATE(C17,""ja"",""vi"")"),"Đấu giá&gt; ô tô, xe máy&gt; ô tô cũ, ô tô mới&gt; Toyota&gt; Avensis")</f>
        <v>Đấu giá&gt; ô tô, xe máy&gt; ô tô cũ, ô tô mới&gt; Toyota&gt; Avensis</v>
      </c>
      <c r="F17" t="str">
        <f t="shared" ca="1" si="0"/>
        <v>"2084055958" : "Avensis",</v>
      </c>
    </row>
    <row r="18" spans="1:6" ht="28.2">
      <c r="A18" s="18">
        <v>2084049055</v>
      </c>
      <c r="B18" s="18" t="s">
        <v>8703</v>
      </c>
      <c r="C18" s="18" t="s">
        <v>8705</v>
      </c>
      <c r="D18" s="5" t="str">
        <f ca="1">IFERROR(__xludf.DUMMYFUNCTION("GOOGLETRANSLATE(B18,""ja"",""vi"")"),"Arion")</f>
        <v>Arion</v>
      </c>
      <c r="E18" s="5" t="str">
        <f ca="1">IFERROR(__xludf.DUMMYFUNCTION("GOOGLETRANSLATE(C18,""ja"",""vi"")"),"Đấu giá&gt; ô tô, xe máy&gt; ô tô cũ, ô tô mới&gt; Toyota&gt; Arion")</f>
        <v>Đấu giá&gt; ô tô, xe máy&gt; ô tô cũ, ô tô mới&gt; Toyota&gt; Arion</v>
      </c>
      <c r="F18" t="str">
        <f t="shared" ca="1" si="0"/>
        <v>"2084049055" : "Arion",</v>
      </c>
    </row>
    <row r="19" spans="1:6" ht="28.2">
      <c r="A19" s="18">
        <v>2084016632</v>
      </c>
      <c r="B19" s="18" t="s">
        <v>8708</v>
      </c>
      <c r="C19" s="18" t="s">
        <v>8710</v>
      </c>
      <c r="D19" s="5" t="str">
        <f ca="1">IFERROR(__xludf.DUMMYFUNCTION("GOOGLETRANSLATE(B19,""ja"",""vi"")"),"Aristo")</f>
        <v>Aristo</v>
      </c>
      <c r="E19" s="5" t="str">
        <f ca="1">IFERROR(__xludf.DUMMYFUNCTION("GOOGLETRANSLATE(C19,""ja"",""vi"")"),"Đấu giá&gt; ô tô, xe máy&gt; ô tô cũ, ô tô mới&gt; Toyota&gt; Aristo")</f>
        <v>Đấu giá&gt; ô tô, xe máy&gt; ô tô cũ, ô tô mới&gt; Toyota&gt; Aristo</v>
      </c>
      <c r="F19" t="str">
        <f t="shared" ca="1" si="0"/>
        <v>"2084016632" : "Aristo",</v>
      </c>
    </row>
    <row r="20" spans="1:6" ht="28.2">
      <c r="A20" s="18">
        <v>2084016633</v>
      </c>
      <c r="B20" s="18" t="s">
        <v>8714</v>
      </c>
      <c r="C20" s="18" t="s">
        <v>8717</v>
      </c>
      <c r="D20" s="5" t="str">
        <f ca="1">IFERROR(__xludf.DUMMYFUNCTION("GOOGLETRANSLATE(B20,""ja"",""vi"")"),"Altezza")</f>
        <v>Altezza</v>
      </c>
      <c r="E20" s="5" t="str">
        <f ca="1">IFERROR(__xludf.DUMMYFUNCTION("GOOGLETRANSLATE(C20,""ja"",""vi"")"),"Đấu giá&gt; ô tô, xe máy&gt; ô tô cũ, ô tô mới&gt; Toyota&gt; Altezza")</f>
        <v>Đấu giá&gt; ô tô, xe máy&gt; ô tô cũ, ô tô mới&gt; Toyota&gt; Altezza</v>
      </c>
      <c r="F20" t="str">
        <f t="shared" ca="1" si="0"/>
        <v>"2084016633" : "Altezza",</v>
      </c>
    </row>
    <row r="21" spans="1:6" ht="15.75" customHeight="1">
      <c r="A21" s="18">
        <v>2084231228</v>
      </c>
      <c r="B21" s="18" t="s">
        <v>8718</v>
      </c>
      <c r="C21" s="18" t="s">
        <v>8721</v>
      </c>
      <c r="D21" s="5" t="str">
        <f ca="1">IFERROR(__xludf.DUMMYFUNCTION("GOOGLETRANSLATE(B21,""ja"",""vi"")"),"Altezza Zita")</f>
        <v>Altezza Zita</v>
      </c>
      <c r="E21" s="5" t="str">
        <f ca="1">IFERROR(__xludf.DUMMYFUNCTION("GOOGLETRANSLATE(C21,""ja"",""vi"")"),"Đấu giá&gt; ô tô, xe máy&gt; ô tô cũ, ô tô mới&gt; Toyota&gt; Altezza Zita")</f>
        <v>Đấu giá&gt; ô tô, xe máy&gt; ô tô cũ, ô tô mới&gt; Toyota&gt; Altezza Zita</v>
      </c>
      <c r="F21" t="str">
        <f t="shared" ca="1" si="0"/>
        <v>"2084231228" : "Altezza Zita",</v>
      </c>
    </row>
    <row r="22" spans="1:6" ht="15.75" customHeight="1">
      <c r="A22" s="18">
        <v>2084049538</v>
      </c>
      <c r="B22" s="18" t="s">
        <v>8724</v>
      </c>
      <c r="C22" s="18" t="s">
        <v>8727</v>
      </c>
      <c r="D22" s="5" t="str">
        <f ca="1">IFERROR(__xludf.DUMMYFUNCTION("GOOGLETRANSLATE(B22,""ja"",""vi"")"),"Alphard")</f>
        <v>Alphard</v>
      </c>
      <c r="E22" s="5" t="str">
        <f ca="1">IFERROR(__xludf.DUMMYFUNCTION("GOOGLETRANSLATE(C22,""ja"",""vi"")"),"Đấu giá&gt; ô tô, xe máy&gt; ô tô cũ, ô tô mới&gt; Toyota&gt; Alphard")</f>
        <v>Đấu giá&gt; ô tô, xe máy&gt; ô tô cũ, ô tô mới&gt; Toyota&gt; Alphard</v>
      </c>
      <c r="F22" t="str">
        <f t="shared" ca="1" si="0"/>
        <v>"2084049538" : "Alphard",</v>
      </c>
    </row>
    <row r="23" spans="1:6" ht="15.75" customHeight="1">
      <c r="A23" s="18">
        <v>2084231229</v>
      </c>
      <c r="B23" s="18" t="s">
        <v>8731</v>
      </c>
      <c r="C23" s="18" t="s">
        <v>8732</v>
      </c>
      <c r="D23" s="5" t="str">
        <f ca="1">IFERROR(__xludf.DUMMYFUNCTION("GOOGLETRANSLATE(B23,""ja"",""vi"")"),"Alphard lai")</f>
        <v>Alphard lai</v>
      </c>
      <c r="E23" s="5" t="str">
        <f ca="1">IFERROR(__xludf.DUMMYFUNCTION("GOOGLETRANSLATE(C23,""ja"",""vi"")"),"Đấu giá&gt; ô tô, xe máy&gt; ô tô cũ, ô tô mới&gt; Toyota&gt; Alphard lai")</f>
        <v>Đấu giá&gt; ô tô, xe máy&gt; ô tô cũ, ô tô mới&gt; Toyota&gt; Alphard lai</v>
      </c>
      <c r="F23" t="str">
        <f t="shared" ca="1" si="0"/>
        <v>"2084231229" : "Alphard lai",</v>
      </c>
    </row>
    <row r="24" spans="1:6" ht="15.75" customHeight="1">
      <c r="A24" s="18">
        <v>2084049056</v>
      </c>
      <c r="B24" s="18" t="s">
        <v>8735</v>
      </c>
      <c r="C24" s="18" t="s">
        <v>8737</v>
      </c>
      <c r="D24" s="5" t="str">
        <f ca="1">IFERROR(__xludf.DUMMYFUNCTION("GOOGLETRANSLATE(B24,""ja"",""vi"")"),"Alex")</f>
        <v>Alex</v>
      </c>
      <c r="E24" s="5" t="str">
        <f ca="1">IFERROR(__xludf.DUMMYFUNCTION("GOOGLETRANSLATE(C24,""ja"",""vi"")"),"Đấu giá&gt; ô tô, xe máy&gt; ô tô cũ, ô tô mới&gt; Toyota&gt; Alex")</f>
        <v>Đấu giá&gt; ô tô, xe máy&gt; ô tô cũ, ô tô mới&gt; Toyota&gt; Alex</v>
      </c>
      <c r="F24" t="str">
        <f t="shared" ca="1" si="0"/>
        <v>"2084049056" : "Alex",</v>
      </c>
    </row>
    <row r="25" spans="1:6" ht="15.75" customHeight="1">
      <c r="A25" s="18">
        <v>2084016634</v>
      </c>
      <c r="B25" s="18" t="s">
        <v>8740</v>
      </c>
      <c r="C25" s="18" t="s">
        <v>8742</v>
      </c>
      <c r="D25" s="5" t="str">
        <f ca="1">IFERROR(__xludf.DUMMYFUNCTION("GOOGLETRANSLATE(B25,""ja"",""vi"")"),"Ipsum")</f>
        <v>Ipsum</v>
      </c>
      <c r="E25" s="5" t="str">
        <f ca="1">IFERROR(__xludf.DUMMYFUNCTION("GOOGLETRANSLATE(C25,""ja"",""vi"")"),"Đấu giá&gt; ô tô, xe máy&gt; ô tô cũ, ô tô mới&gt; Toyota&gt; Ipsum")</f>
        <v>Đấu giá&gt; ô tô, xe máy&gt; ô tô cũ, ô tô mới&gt; Toyota&gt; Ipsum</v>
      </c>
      <c r="F25" t="str">
        <f t="shared" ca="1" si="0"/>
        <v>"2084016634" : "Ipsum",</v>
      </c>
    </row>
    <row r="26" spans="1:6" ht="15.75" customHeight="1">
      <c r="A26" s="18">
        <v>2084051733</v>
      </c>
      <c r="B26" s="18" t="s">
        <v>8745</v>
      </c>
      <c r="C26" s="18" t="s">
        <v>8748</v>
      </c>
      <c r="D26" s="5" t="str">
        <f ca="1">IFERROR(__xludf.DUMMYFUNCTION("GOOGLETRANSLATE(B26,""ja"",""vi"")"),"mong muốn")</f>
        <v>mong muốn</v>
      </c>
      <c r="E26" s="5" t="str">
        <f ca="1">IFERROR(__xludf.DUMMYFUNCTION("GOOGLETRANSLATE(C26,""ja"",""vi"")"),"Đấu giá&gt; ô tô, xe máy&gt; ô tô cũ, ô tô mới&gt; Toyota&gt; Wish")</f>
        <v>Đấu giá&gt; ô tô, xe máy&gt; ô tô cũ, ô tô mới&gt; Toyota&gt; Wish</v>
      </c>
      <c r="F26" t="str">
        <f t="shared" ca="1" si="0"/>
        <v>"2084051733" : "mong muốn",</v>
      </c>
    </row>
    <row r="27" spans="1:6" ht="15.75" customHeight="1">
      <c r="A27" s="18">
        <v>2084016636</v>
      </c>
      <c r="B27" s="18" t="s">
        <v>8751</v>
      </c>
      <c r="C27" s="18" t="s">
        <v>8754</v>
      </c>
      <c r="D27" s="5" t="str">
        <f ca="1">IFERROR(__xludf.DUMMYFUNCTION("GOOGLETRANSLATE(B27,""ja"",""vi"")"),"Wyndham")</f>
        <v>Wyndham</v>
      </c>
      <c r="E27" s="5" t="str">
        <f ca="1">IFERROR(__xludf.DUMMYFUNCTION("GOOGLETRANSLATE(C27,""ja"",""vi"")"),"Đấu giá&gt; ô tô, xe máy&gt; ô tô cũ, ô tô mới&gt; Toyota&gt; Wyndham")</f>
        <v>Đấu giá&gt; ô tô, xe máy&gt; ô tô cũ, ô tô mới&gt; Toyota&gt; Wyndham</v>
      </c>
      <c r="F27" t="str">
        <f t="shared" ca="1" si="0"/>
        <v>"2084016636" : "Wyndham",</v>
      </c>
    </row>
    <row r="28" spans="1:6" ht="15.75" customHeight="1">
      <c r="A28" s="18">
        <v>2084315387</v>
      </c>
      <c r="B28" s="18" t="s">
        <v>8758</v>
      </c>
      <c r="C28" s="18" t="s">
        <v>8760</v>
      </c>
      <c r="D28" s="5" t="str">
        <f ca="1">IFERROR(__xludf.DUMMYFUNCTION("GOOGLETRANSLATE(B28,""ja"",""vi"")"),"chữ viết tắt")</f>
        <v>chữ viết tắt</v>
      </c>
      <c r="E28" s="5" t="str">
        <f ca="1">IFERROR(__xludf.DUMMYFUNCTION("GOOGLETRANSLATE(C28,""ja"",""vi"")"),"Đấu giá&gt; ô tô, xe máy&gt; ô tô cũ, ô tô mới&gt; Toyota&gt; Esquire")</f>
        <v>Đấu giá&gt; ô tô, xe máy&gt; ô tô cũ, ô tô mới&gt; Toyota&gt; Esquire</v>
      </c>
      <c r="F28" t="str">
        <f t="shared" ca="1" si="0"/>
        <v>"2084315387" : "chữ viết tắt",</v>
      </c>
    </row>
    <row r="29" spans="1:6" ht="15.75" customHeight="1">
      <c r="A29" s="18">
        <v>2084315388</v>
      </c>
      <c r="B29" s="18" t="s">
        <v>8762</v>
      </c>
      <c r="C29" s="18" t="s">
        <v>8764</v>
      </c>
      <c r="D29" s="5" t="str">
        <f ca="1">IFERROR(__xludf.DUMMYFUNCTION("GOOGLETRANSLATE(B29,""ja"",""vi"")"),"Esquire lai")</f>
        <v>Esquire lai</v>
      </c>
      <c r="E29" s="5" t="str">
        <f ca="1">IFERROR(__xludf.DUMMYFUNCTION("GOOGLETRANSLATE(C29,""ja"",""vi"")"),"Đấu giá&gt; ô tô, xe máy&gt; ô tô cũ, ô tô mới&gt; Toyota&gt; Esquire lai")</f>
        <v>Đấu giá&gt; ô tô, xe máy&gt; ô tô cũ, ô tô mới&gt; Toyota&gt; Esquire lai</v>
      </c>
      <c r="F29" t="str">
        <f t="shared" ca="1" si="0"/>
        <v>"2084315388" : "Esquire lai",</v>
      </c>
    </row>
    <row r="30" spans="1:6" ht="15.75" customHeight="1">
      <c r="A30" s="18">
        <v>2084016637</v>
      </c>
      <c r="B30" s="18" t="s">
        <v>8768</v>
      </c>
      <c r="C30" s="18" t="s">
        <v>8769</v>
      </c>
      <c r="D30" s="5" t="str">
        <f ca="1">IFERROR(__xludf.DUMMYFUNCTION("GOOGLETRANSLATE(B30,""ja"",""vi"")"),"Estima")</f>
        <v>Estima</v>
      </c>
      <c r="E30" s="5" t="str">
        <f ca="1">IFERROR(__xludf.DUMMYFUNCTION("GOOGLETRANSLATE(C30,""ja"",""vi"")"),"Đấu giá&gt; ô tô, xe máy&gt; ô tô cũ, ô tô mới&gt; Toyota&gt; Estima")</f>
        <v>Đấu giá&gt; ô tô, xe máy&gt; ô tô cũ, ô tô mới&gt; Toyota&gt; Estima</v>
      </c>
      <c r="F30" t="str">
        <f t="shared" ca="1" si="0"/>
        <v>"2084016637" : "Estima",</v>
      </c>
    </row>
    <row r="31" spans="1:6" ht="15.75" customHeight="1">
      <c r="A31" s="18">
        <v>2084049059</v>
      </c>
      <c r="B31" s="18" t="s">
        <v>8774</v>
      </c>
      <c r="C31" s="18" t="s">
        <v>8775</v>
      </c>
      <c r="D31" s="5" t="str">
        <f ca="1">IFERROR(__xludf.DUMMYFUNCTION("GOOGLETRANSLATE(B31,""ja"",""vi"")"),"Estima Emina")</f>
        <v>Estima Emina</v>
      </c>
      <c r="E31" s="5" t="str">
        <f ca="1">IFERROR(__xludf.DUMMYFUNCTION("GOOGLETRANSLATE(C31,""ja"",""vi"")"),"Đấu giá&gt; ô tô, xe máy&gt; ô tô cũ, ô tô mới&gt; Toyota&gt; Estima Emina")</f>
        <v>Đấu giá&gt; ô tô, xe máy&gt; ô tô cũ, ô tô mới&gt; Toyota&gt; Estima Emina</v>
      </c>
      <c r="F31" t="str">
        <f t="shared" ca="1" si="0"/>
        <v>"2084049059" : "Estima Emina",</v>
      </c>
    </row>
    <row r="32" spans="1:6" ht="15.75" customHeight="1">
      <c r="A32" s="18">
        <v>2084231230</v>
      </c>
      <c r="B32" s="18" t="s">
        <v>8780</v>
      </c>
      <c r="C32" s="18" t="s">
        <v>8782</v>
      </c>
      <c r="D32" s="5" t="str">
        <f ca="1">IFERROR(__xludf.DUMMYFUNCTION("GOOGLETRANSLATE(B32,""ja"",""vi"")"),"Estima lai")</f>
        <v>Estima lai</v>
      </c>
      <c r="E32" s="5" t="str">
        <f ca="1">IFERROR(__xludf.DUMMYFUNCTION("GOOGLETRANSLATE(C32,""ja"",""vi"")"),"Đấu giá&gt; ô tô, xe máy&gt; ô tô cũ, ô tô mới&gt; Toyota&gt; Estima lai")</f>
        <v>Đấu giá&gt; ô tô, xe máy&gt; ô tô cũ, ô tô mới&gt; Toyota&gt; Estima lai</v>
      </c>
      <c r="F32" t="str">
        <f t="shared" ca="1" si="0"/>
        <v>"2084231230" : "Estima lai",</v>
      </c>
    </row>
    <row r="33" spans="1:6" ht="15.75" customHeight="1">
      <c r="A33" s="18">
        <v>2084049060</v>
      </c>
      <c r="B33" s="18" t="s">
        <v>8785</v>
      </c>
      <c r="C33" s="18" t="s">
        <v>8788</v>
      </c>
      <c r="D33" s="5" t="str">
        <f ca="1">IFERROR(__xludf.DUMMYFUNCTION("GOOGLETRANSLATE(B33,""ja"",""vi"")"),"Estima Lucida")</f>
        <v>Estima Lucida</v>
      </c>
      <c r="E33" s="5" t="str">
        <f ca="1">IFERROR(__xludf.DUMMYFUNCTION("GOOGLETRANSLATE(C33,""ja"",""vi"")"),"Đấu giá&gt; ô tô, xe máy&gt; ô tô cũ, ô tô mới&gt; Toyota&gt; Estima Lucida")</f>
        <v>Đấu giá&gt; ô tô, xe máy&gt; ô tô cũ, ô tô mới&gt; Toyota&gt; Estima Lucida</v>
      </c>
      <c r="F33" t="str">
        <f t="shared" ca="1" si="0"/>
        <v>"2084049060" : "Estima Lucida",</v>
      </c>
    </row>
    <row r="34" spans="1:6" ht="15.75" customHeight="1">
      <c r="A34" s="18">
        <v>2084016629</v>
      </c>
      <c r="B34" s="18" t="s">
        <v>8793</v>
      </c>
      <c r="C34" s="18" t="s">
        <v>8794</v>
      </c>
      <c r="D34" s="5" t="str">
        <f ca="1">IFERROR(__xludf.DUMMYFUNCTION("GOOGLETRANSLATE(B34,""ja"",""vi"")"),"Opa")</f>
        <v>Opa</v>
      </c>
      <c r="E34" s="5" t="str">
        <f ca="1">IFERROR(__xludf.DUMMYFUNCTION("GOOGLETRANSLATE(C34,""ja"",""vi"")"),"Đấu giá&gt; ô tô, xe máy&gt; ô tô cũ, ô tô mới&gt; Toyota&gt; Opa")</f>
        <v>Đấu giá&gt; ô tô, xe máy&gt; ô tô cũ, ô tô mới&gt; Toyota&gt; Opa</v>
      </c>
      <c r="F34" t="str">
        <f t="shared" ca="1" si="0"/>
        <v>"2084016629" : "Opa",</v>
      </c>
    </row>
    <row r="35" spans="1:6" ht="15.75" customHeight="1">
      <c r="A35" s="18">
        <v>2084231231</v>
      </c>
      <c r="B35" s="18" t="s">
        <v>8798</v>
      </c>
      <c r="C35" s="18" t="s">
        <v>8799</v>
      </c>
      <c r="D35" s="5" t="str">
        <f ca="1">IFERROR(__xludf.DUMMYFUNCTION("GOOGLETRANSLATE(B35,""ja"",""vi"")"),"Auris")</f>
        <v>Auris</v>
      </c>
      <c r="E35" s="5" t="str">
        <f ca="1">IFERROR(__xludf.DUMMYFUNCTION("GOOGLETRANSLATE(C35,""ja"",""vi"")"),"Đấu giá&gt; ô tô, xe máy&gt; ô tô cũ, ô tô mới&gt; Toyota&gt; Auris")</f>
        <v>Đấu giá&gt; ô tô, xe máy&gt; ô tô cũ, ô tô mới&gt; Toyota&gt; Auris</v>
      </c>
      <c r="F35" t="str">
        <f t="shared" ca="1" si="0"/>
        <v>"2084231231" : "Auris",</v>
      </c>
    </row>
    <row r="36" spans="1:6" ht="15.75" customHeight="1">
      <c r="A36" s="18">
        <v>2084016639</v>
      </c>
      <c r="B36" s="18" t="s">
        <v>8804</v>
      </c>
      <c r="C36" s="18" t="s">
        <v>8808</v>
      </c>
      <c r="D36" s="5" t="str">
        <f ca="1">IFERROR(__xludf.DUMMYFUNCTION("GOOGLETRANSLATE(B36,""ja"",""vi"")"),"Camry")</f>
        <v>Camry</v>
      </c>
      <c r="E36" s="5" t="str">
        <f ca="1">IFERROR(__xludf.DUMMYFUNCTION("GOOGLETRANSLATE(C36,""ja"",""vi"")"),"Đấu giá&gt; ô tô, xe máy&gt; ô tô cũ, ô tô mới&gt; Toyota&gt; Camry")</f>
        <v>Đấu giá&gt; ô tô, xe máy&gt; ô tô cũ, ô tô mới&gt; Toyota&gt; Camry</v>
      </c>
      <c r="F36" t="str">
        <f t="shared" ca="1" si="0"/>
        <v>"2084016639" : "Camry",</v>
      </c>
    </row>
    <row r="37" spans="1:6" ht="15.75" customHeight="1">
      <c r="A37" s="18">
        <v>2084016640</v>
      </c>
      <c r="B37" s="18" t="s">
        <v>8811</v>
      </c>
      <c r="C37" s="18" t="s">
        <v>8813</v>
      </c>
      <c r="D37" s="5" t="str">
        <f ca="1">IFERROR(__xludf.DUMMYFUNCTION("GOOGLETRANSLATE(B37,""ja"",""vi"")"),"Camry Gracia")</f>
        <v>Camry Gracia</v>
      </c>
      <c r="E37" s="5" t="str">
        <f ca="1">IFERROR(__xludf.DUMMYFUNCTION("GOOGLETRANSLATE(C37,""ja"",""vi"")"),"Đấu giá&gt; ô tô, xe máy&gt; ô tô cũ, ô tô mới&gt; Toyota&gt; Camry Gracia")</f>
        <v>Đấu giá&gt; ô tô, xe máy&gt; ô tô cũ, ô tô mới&gt; Toyota&gt; Camry Gracia</v>
      </c>
      <c r="F37" t="str">
        <f t="shared" ca="1" si="0"/>
        <v>"2084016640" : "Camry Gracia",</v>
      </c>
    </row>
    <row r="38" spans="1:6" ht="15.75" customHeight="1">
      <c r="A38" s="18">
        <v>2084016641</v>
      </c>
      <c r="B38" s="18" t="s">
        <v>8817</v>
      </c>
      <c r="C38" s="18" t="s">
        <v>8819</v>
      </c>
      <c r="D38" s="5" t="str">
        <f ca="1">IFERROR(__xludf.DUMMYFUNCTION("GOOGLETRANSLATE(B38,""ja"",""vi"")"),"Carina")</f>
        <v>Carina</v>
      </c>
      <c r="E38" s="5" t="str">
        <f ca="1">IFERROR(__xludf.DUMMYFUNCTION("GOOGLETRANSLATE(C38,""ja"",""vi"")"),"Đấu giá&gt; ô tô, xe máy&gt; ô tô cũ, ô tô mới&gt; Toyota&gt; Carina")</f>
        <v>Đấu giá&gt; ô tô, xe máy&gt; ô tô cũ, ô tô mới&gt; Toyota&gt; Carina</v>
      </c>
      <c r="F38" t="str">
        <f t="shared" ca="1" si="0"/>
        <v>"2084016641" : "Carina",</v>
      </c>
    </row>
    <row r="39" spans="1:6" ht="15.75" customHeight="1">
      <c r="A39" s="18">
        <v>2084016642</v>
      </c>
      <c r="B39" s="18" t="s">
        <v>8822</v>
      </c>
      <c r="C39" s="18" t="s">
        <v>8824</v>
      </c>
      <c r="D39" s="5" t="str">
        <f ca="1">IFERROR(__xludf.DUMMYFUNCTION("GOOGLETRANSLATE(B39,""ja"",""vi"")"),"Carina ED")</f>
        <v>Carina ED</v>
      </c>
      <c r="E39" s="5" t="str">
        <f ca="1">IFERROR(__xludf.DUMMYFUNCTION("GOOGLETRANSLATE(C39,""ja"",""vi"")"),"Đấu giá&gt; ô tô, xe máy&gt; ô tô cũ, ô tô mới&gt; Toyota&gt; Carina ED")</f>
        <v>Đấu giá&gt; ô tô, xe máy&gt; ô tô cũ, ô tô mới&gt; Toyota&gt; Carina ED</v>
      </c>
      <c r="F39" t="str">
        <f t="shared" ca="1" si="0"/>
        <v>"2084016642" : "Carina ED",</v>
      </c>
    </row>
    <row r="40" spans="1:6" ht="15.75" customHeight="1">
      <c r="A40" s="18">
        <v>2084016643</v>
      </c>
      <c r="B40" s="18" t="s">
        <v>8828</v>
      </c>
      <c r="C40" s="18" t="s">
        <v>8829</v>
      </c>
      <c r="D40" s="5" t="str">
        <f ca="1">IFERROR(__xludf.DUMMYFUNCTION("GOOGLETRANSLATE(B40,""ja"",""vi"")"),"chủ yếu")</f>
        <v>chủ yếu</v>
      </c>
      <c r="E40" s="5" t="str">
        <f ca="1">IFERROR(__xludf.DUMMYFUNCTION("GOOGLETRANSLATE(C40,""ja"",""vi"")"),"Đấu giá&gt; ô tô, xe máy&gt; ô tô cũ, ô tô mới&gt; Toyota&gt; Đức Hồng Y")</f>
        <v>Đấu giá&gt; ô tô, xe máy&gt; ô tô cũ, ô tô mới&gt; Toyota&gt; Đức Hồng Y</v>
      </c>
      <c r="F40" t="str">
        <f t="shared" ca="1" si="0"/>
        <v>"2084016643" : "chủ yếu",</v>
      </c>
    </row>
    <row r="41" spans="1:6" ht="15.75" customHeight="1">
      <c r="A41" s="18">
        <v>2084016644</v>
      </c>
      <c r="B41" s="18" t="s">
        <v>8833</v>
      </c>
      <c r="C41" s="18" t="s">
        <v>8836</v>
      </c>
      <c r="D41" s="5" t="str">
        <f ca="1">IFERROR(__xludf.DUMMYFUNCTION("GOOGLETRANSLATE(B41,""ja"",""vi"")"),"Karen")</f>
        <v>Karen</v>
      </c>
      <c r="E41" s="5" t="str">
        <f ca="1">IFERROR(__xludf.DUMMYFUNCTION("GOOGLETRANSLATE(C41,""ja"",""vi"")"),"Đấu giá&gt; ô tô, xe máy&gt; ô tô cũ, ô tô mới&gt; Toyota&gt; Karen")</f>
        <v>Đấu giá&gt; ô tô, xe máy&gt; ô tô cũ, ô tô mới&gt; Toyota&gt; Karen</v>
      </c>
      <c r="F41" t="str">
        <f t="shared" ca="1" si="0"/>
        <v>"2084016644" : "Karen",</v>
      </c>
    </row>
    <row r="42" spans="1:6" ht="15.75" customHeight="1">
      <c r="A42" s="18">
        <v>2084016645</v>
      </c>
      <c r="B42" s="18" t="s">
        <v>8838</v>
      </c>
      <c r="C42" s="18" t="s">
        <v>8841</v>
      </c>
      <c r="D42" s="5" t="str">
        <f ca="1">IFERROR(__xludf.DUMMYFUNCTION("GOOGLETRANSLATE(B42,""ja"",""vi"")"),"vành hoa")</f>
        <v>vành hoa</v>
      </c>
      <c r="E42" s="5" t="str">
        <f ca="1">IFERROR(__xludf.DUMMYFUNCTION("GOOGLETRANSLATE(C42,""ja"",""vi"")"),"Đấu giá&gt; ô tô, xe máy&gt; ô tô cũ, ô tô mới&gt; Toyota&gt; Corolla")</f>
        <v>Đấu giá&gt; ô tô, xe máy&gt; ô tô cũ, ô tô mới&gt; Toyota&gt; Corolla</v>
      </c>
      <c r="F42" t="str">
        <f t="shared" ca="1" si="0"/>
        <v>"2084016645" : "vành hoa",</v>
      </c>
    </row>
    <row r="43" spans="1:6" ht="15.75" customHeight="1">
      <c r="A43" s="18">
        <v>2084016646</v>
      </c>
      <c r="B43" s="18" t="s">
        <v>8844</v>
      </c>
      <c r="C43" s="18" t="s">
        <v>8846</v>
      </c>
      <c r="D43" s="5" t="str">
        <f ca="1">IFERROR(__xludf.DUMMYFUNCTION("GOOGLETRANSLATE(B43,""ja"",""vi"")"),"Corolla FX")</f>
        <v>Corolla FX</v>
      </c>
      <c r="E43" s="5" t="str">
        <f ca="1">IFERROR(__xludf.DUMMYFUNCTION("GOOGLETRANSLATE(C43,""ja"",""vi"")"),"Đấu giá&gt; ô tô, xe máy&gt; ô tô cũ, ô tô mới&gt; Toyota&gt; Corolla FX")</f>
        <v>Đấu giá&gt; ô tô, xe máy&gt; ô tô cũ, ô tô mới&gt; Toyota&gt; Corolla FX</v>
      </c>
      <c r="F43" t="str">
        <f t="shared" ca="1" si="0"/>
        <v>"2084016646" : "Corolla FX",</v>
      </c>
    </row>
    <row r="44" spans="1:6" ht="15.75" customHeight="1">
      <c r="A44" s="18">
        <v>2084016647</v>
      </c>
      <c r="B44" s="18" t="s">
        <v>8850</v>
      </c>
      <c r="C44" s="18" t="s">
        <v>8852</v>
      </c>
      <c r="D44" s="5" t="str">
        <f ca="1">IFERROR(__xludf.DUMMYFUNCTION("GOOGLETRANSLATE(B44,""ja"",""vi"")"),"Corolla II")</f>
        <v>Corolla II</v>
      </c>
      <c r="E44" s="5" t="str">
        <f ca="1">IFERROR(__xludf.DUMMYFUNCTION("GOOGLETRANSLATE(C44,""ja"",""vi"")"),"Đấu giá&gt; ô tô, xe máy&gt; ô tô cũ, ô tô mới&gt; Toyota&gt; Corolla II")</f>
        <v>Đấu giá&gt; ô tô, xe máy&gt; ô tô cũ, ô tô mới&gt; Toyota&gt; Corolla II</v>
      </c>
      <c r="F44" t="str">
        <f t="shared" ca="1" si="0"/>
        <v>"2084016647" : "Corolla II",</v>
      </c>
    </row>
    <row r="45" spans="1:6" ht="15.75" customHeight="1">
      <c r="A45" s="18">
        <v>2084231232</v>
      </c>
      <c r="B45" s="18" t="s">
        <v>8857</v>
      </c>
      <c r="C45" s="18" t="s">
        <v>8860</v>
      </c>
      <c r="D45" s="5" t="str">
        <f ca="1">IFERROR(__xludf.DUMMYFUNCTION("GOOGLETRANSLATE(B45,""ja"",""vi"")"),"Corolla Axio")</f>
        <v>Corolla Axio</v>
      </c>
      <c r="E45" s="5" t="str">
        <f ca="1">IFERROR(__xludf.DUMMYFUNCTION("GOOGLETRANSLATE(C45,""ja"",""vi"")"),"Đấu giá&gt; ô tô, xe máy&gt; ô tô cũ, ô tô mới&gt; Toyota&gt; Corolla Axio")</f>
        <v>Đấu giá&gt; ô tô, xe máy&gt; ô tô cũ, ô tô mới&gt; Toyota&gt; Corolla Axio</v>
      </c>
      <c r="F45" t="str">
        <f t="shared" ca="1" si="0"/>
        <v>"2084231232" : "Corolla Axio",</v>
      </c>
    </row>
    <row r="46" spans="1:6" ht="15.75" customHeight="1">
      <c r="A46" s="18">
        <v>2084016648</v>
      </c>
      <c r="B46" s="18" t="s">
        <v>8863</v>
      </c>
      <c r="C46" s="18" t="s">
        <v>8865</v>
      </c>
      <c r="D46" s="5" t="str">
        <f ca="1">IFERROR(__xludf.DUMMYFUNCTION("GOOGLETRANSLATE(B46,""ja"",""vi"")"),"Corolla Spacio")</f>
        <v>Corolla Spacio</v>
      </c>
      <c r="E46" s="5" t="str">
        <f ca="1">IFERROR(__xludf.DUMMYFUNCTION("GOOGLETRANSLATE(C46,""ja"",""vi"")"),"Đấu giá&gt; ô tô, xe máy&gt; ô tô cũ, ô tô mới&gt; Toyota&gt; Corolla Spacio")</f>
        <v>Đấu giá&gt; ô tô, xe máy&gt; ô tô cũ, ô tô mới&gt; Toyota&gt; Corolla Spacio</v>
      </c>
      <c r="F46" t="str">
        <f t="shared" ca="1" si="0"/>
        <v>"2084016648" : "Corolla Spacio",</v>
      </c>
    </row>
    <row r="47" spans="1:6" ht="15.75" customHeight="1">
      <c r="A47" s="18">
        <v>2084016649</v>
      </c>
      <c r="B47" s="18" t="s">
        <v>8868</v>
      </c>
      <c r="C47" s="18" t="s">
        <v>8870</v>
      </c>
      <c r="D47" s="5" t="str">
        <f ca="1">IFERROR(__xludf.DUMMYFUNCTION("GOOGLETRANSLATE(B47,""ja"",""vi"")"),"Corolla Ceres")</f>
        <v>Corolla Ceres</v>
      </c>
      <c r="E47" s="5" t="str">
        <f ca="1">IFERROR(__xludf.DUMMYFUNCTION("GOOGLETRANSLATE(C47,""ja"",""vi"")"),"Đấu giá&gt; ô tô, xe máy&gt; ô tô cũ, ô tô mới&gt; Toyota&gt; Corolla Ceres")</f>
        <v>Đấu giá&gt; ô tô, xe máy&gt; ô tô cũ, ô tô mới&gt; Toyota&gt; Corolla Ceres</v>
      </c>
      <c r="F47" t="str">
        <f t="shared" ca="1" si="0"/>
        <v>"2084016649" : "Corolla Ceres",</v>
      </c>
    </row>
    <row r="48" spans="1:6" ht="15.75" customHeight="1">
      <c r="A48" s="18">
        <v>2084016652</v>
      </c>
      <c r="B48" s="18" t="s">
        <v>8875</v>
      </c>
      <c r="C48" s="18" t="s">
        <v>8877</v>
      </c>
      <c r="D48" s="5" t="str">
        <f ca="1">IFERROR(__xludf.DUMMYFUNCTION("GOOGLETRANSLATE(B48,""ja"",""vi"")"),"Corolla Touring Wagon")</f>
        <v>Corolla Touring Wagon</v>
      </c>
      <c r="E48" s="5" t="str">
        <f ca="1">IFERROR(__xludf.DUMMYFUNCTION("GOOGLETRANSLATE(C48,""ja"",""vi"")"),"Đấu giá&gt; ô tô, xe máy&gt; ô tô cũ, ô tô mới&gt; Toyota&gt; Corolla Touring Wagon")</f>
        <v>Đấu giá&gt; ô tô, xe máy&gt; ô tô cũ, ô tô mới&gt; Toyota&gt; Corolla Touring Wagon</v>
      </c>
      <c r="F48" t="str">
        <f t="shared" ca="1" si="0"/>
        <v>"2084016652" : "Corolla Touring Wagon",</v>
      </c>
    </row>
    <row r="49" spans="1:6" ht="15.75" customHeight="1">
      <c r="A49" s="18">
        <v>2084048041</v>
      </c>
      <c r="B49" s="18" t="s">
        <v>8882</v>
      </c>
      <c r="C49" s="18" t="s">
        <v>8886</v>
      </c>
      <c r="D49" s="5" t="str">
        <f ca="1">IFERROR(__xludf.DUMMYFUNCTION("GOOGLETRANSLATE(B49,""ja"",""vi"")"),"Corolla van")</f>
        <v>Corolla van</v>
      </c>
      <c r="E49" s="5" t="str">
        <f ca="1">IFERROR(__xludf.DUMMYFUNCTION("GOOGLETRANSLATE(C49,""ja"",""vi"")"),"Đấu giá&gt; ô tô, xe máy&gt; ô tô cũ, ô tô mới&gt; Toyota&gt; Corolla van")</f>
        <v>Đấu giá&gt; ô tô, xe máy&gt; ô tô cũ, ô tô mới&gt; Toyota&gt; Corolla van</v>
      </c>
      <c r="F49" t="str">
        <f t="shared" ca="1" si="0"/>
        <v>"2084048041" : "Corolla van",</v>
      </c>
    </row>
    <row r="50" spans="1:6" ht="15.75" customHeight="1">
      <c r="A50" s="18">
        <v>2084016650</v>
      </c>
      <c r="B50" s="18" t="s">
        <v>8891</v>
      </c>
      <c r="C50" s="18" t="s">
        <v>8892</v>
      </c>
      <c r="D50" s="5" t="str">
        <f ca="1">IFERROR(__xludf.DUMMYFUNCTION("GOOGLETRANSLATE(B50,""ja"",""vi"")"),"Corolla Fielder")</f>
        <v>Corolla Fielder</v>
      </c>
      <c r="E50" s="5" t="str">
        <f ca="1">IFERROR(__xludf.DUMMYFUNCTION("GOOGLETRANSLATE(C50,""ja"",""vi"")"),"Đấu giá&gt; ô tô, xe máy&gt; ô tô cũ, ô tô mới&gt; Toyota&gt; Corolla Fielder")</f>
        <v>Đấu giá&gt; ô tô, xe máy&gt; ô tô cũ, ô tô mới&gt; Toyota&gt; Corolla Fielder</v>
      </c>
      <c r="F50" t="str">
        <f t="shared" ca="1" si="0"/>
        <v>"2084016650" : "Corolla Fielder",</v>
      </c>
    </row>
    <row r="51" spans="1:6" ht="15.75" customHeight="1">
      <c r="A51" s="18">
        <v>2084049061</v>
      </c>
      <c r="B51" s="18" t="s">
        <v>8897</v>
      </c>
      <c r="C51" s="18" t="s">
        <v>8900</v>
      </c>
      <c r="D51" s="5" t="str">
        <f ca="1">IFERROR(__xludf.DUMMYFUNCTION("GOOGLETRANSLATE(B51,""ja"",""vi"")"),"Xếp hạng Corolla")</f>
        <v>Xếp hạng Corolla</v>
      </c>
      <c r="E51" s="5" t="str">
        <f ca="1">IFERROR(__xludf.DUMMYFUNCTION("GOOGLETRANSLATE(C51,""ja"",""vi"")"),"Đấu giá&gt; ô tô, xe máy&gt; ô tô cũ, ô tô mới&gt; Toyota&gt; Ranks Corolla")</f>
        <v>Đấu giá&gt; ô tô, xe máy&gt; ô tô cũ, ô tô mới&gt; Toyota&gt; Ranks Corolla</v>
      </c>
      <c r="F51" t="str">
        <f t="shared" ca="1" si="0"/>
        <v>"2084049061" : "Xếp hạng Corolla",</v>
      </c>
    </row>
    <row r="52" spans="1:6" ht="15.75" customHeight="1">
      <c r="A52" s="18">
        <v>2084231233</v>
      </c>
      <c r="B52" s="18" t="s">
        <v>8905</v>
      </c>
      <c r="C52" s="18" t="s">
        <v>8906</v>
      </c>
      <c r="D52" s="5" t="str">
        <f ca="1">IFERROR(__xludf.DUMMYFUNCTION("GOOGLETRANSLATE(B52,""ja"",""vi"")"),"Corolla Rumion")</f>
        <v>Corolla Rumion</v>
      </c>
      <c r="E52" s="5" t="str">
        <f ca="1">IFERROR(__xludf.DUMMYFUNCTION("GOOGLETRANSLATE(C52,""ja"",""vi"")"),"Đấu giá&gt; ô tô, xe máy&gt; ô tô cũ, ô tô mới&gt; Toyota&gt; Corolla Rumion")</f>
        <v>Đấu giá&gt; ô tô, xe máy&gt; ô tô cũ, ô tô mới&gt; Toyota&gt; Corolla Rumion</v>
      </c>
      <c r="F52" t="str">
        <f t="shared" ca="1" si="0"/>
        <v>"2084231233" : "Corolla Rumion",</v>
      </c>
    </row>
    <row r="53" spans="1:6" ht="15.75" customHeight="1">
      <c r="A53" s="18">
        <v>2084016651</v>
      </c>
      <c r="B53" s="18" t="s">
        <v>8911</v>
      </c>
      <c r="C53" s="18" t="s">
        <v>8915</v>
      </c>
      <c r="D53" s="5" t="str">
        <f ca="1">IFERROR(__xludf.DUMMYFUNCTION("GOOGLETRANSLATE(B53,""ja"",""vi"")"),"Corolla Levin")</f>
        <v>Corolla Levin</v>
      </c>
      <c r="E53" s="5" t="str">
        <f ca="1">IFERROR(__xludf.DUMMYFUNCTION("GOOGLETRANSLATE(C53,""ja"",""vi"")"),"Đấu giá&gt; ô tô, xe máy&gt; ô tô cũ, ô tô mới&gt; Toyota&gt; Corolla Levin")</f>
        <v>Đấu giá&gt; ô tô, xe máy&gt; ô tô cũ, ô tô mới&gt; Toyota&gt; Corolla Levin</v>
      </c>
      <c r="F53" t="str">
        <f t="shared" ca="1" si="0"/>
        <v>"2084016651" : "Corolla Levin",</v>
      </c>
    </row>
    <row r="54" spans="1:6" ht="15.75" customHeight="1">
      <c r="A54" s="18">
        <v>2084016638</v>
      </c>
      <c r="B54" s="18" t="s">
        <v>8919</v>
      </c>
      <c r="C54" s="18" t="s">
        <v>8920</v>
      </c>
      <c r="D54" s="5" t="str">
        <f ca="1">IFERROR(__xludf.DUMMYFUNCTION("GOOGLETRANSLATE(B54,""ja"",""vi"")"),"Gaia")</f>
        <v>Gaia</v>
      </c>
      <c r="E54" s="5" t="str">
        <f ca="1">IFERROR(__xludf.DUMMYFUNCTION("GOOGLETRANSLATE(C54,""ja"",""vi"")"),"Đấu giá&gt; ô tô, xe máy&gt; ô tô cũ, ô tô mới&gt; Toyota&gt; Gaia")</f>
        <v>Đấu giá&gt; ô tô, xe máy&gt; ô tô cũ, ô tô mới&gt; Toyota&gt; Gaia</v>
      </c>
      <c r="F54" t="str">
        <f t="shared" ca="1" si="0"/>
        <v>"2084016638" : "Gaia",</v>
      </c>
    </row>
    <row r="55" spans="1:6" ht="15.75" customHeight="1">
      <c r="A55" s="18">
        <v>2084016653</v>
      </c>
      <c r="B55" s="18" t="s">
        <v>8924</v>
      </c>
      <c r="C55" s="18" t="s">
        <v>8927</v>
      </c>
      <c r="D55" s="5" t="str">
        <f ca="1">IFERROR(__xludf.DUMMYFUNCTION("GOOGLETRANSLATE(B55,""ja"",""vi"")"),"ung dung")</f>
        <v>ung dung</v>
      </c>
      <c r="E55" s="5" t="str">
        <f ca="1">IFERROR(__xludf.DUMMYFUNCTION("GOOGLETRANSLATE(C55,""ja"",""vi"")"),"Đấu giá&gt; ô tô, xe máy&gt; ô tô cũ, ô tô mới&gt; Toyota&gt; Cavalier")</f>
        <v>Đấu giá&gt; ô tô, xe máy&gt; ô tô cũ, ô tô mới&gt; Toyota&gt; Cavalier</v>
      </c>
      <c r="F55" t="str">
        <f t="shared" ca="1" si="0"/>
        <v>"2084016653" : "ung dung",</v>
      </c>
    </row>
    <row r="56" spans="1:6" ht="15.75" customHeight="1">
      <c r="A56" s="18">
        <v>2084016654</v>
      </c>
      <c r="B56" s="18" t="s">
        <v>8932</v>
      </c>
      <c r="C56" s="18" t="s">
        <v>8933</v>
      </c>
      <c r="D56" s="5" t="str">
        <f ca="1">IFERROR(__xludf.DUMMYFUNCTION("GOOGLETRANSLATE(B56,""ja"",""vi"")"),"Cami")</f>
        <v>Cami</v>
      </c>
      <c r="E56" s="5" t="str">
        <f ca="1">IFERROR(__xludf.DUMMYFUNCTION("GOOGLETRANSLATE(C56,""ja"",""vi"")"),"Đấu giá&gt; ô tô, xe máy&gt; ô tô cũ, ô tô mới&gt; Toyota&gt; Cami")</f>
        <v>Đấu giá&gt; ô tô, xe máy&gt; ô tô cũ, ô tô mới&gt; Toyota&gt; Cami</v>
      </c>
      <c r="F56" t="str">
        <f t="shared" ca="1" si="0"/>
        <v>"2084016654" : "Cami",</v>
      </c>
    </row>
    <row r="57" spans="1:6" ht="15.75" customHeight="1">
      <c r="A57" s="18">
        <v>2084204885</v>
      </c>
      <c r="B57" s="18" t="s">
        <v>8937</v>
      </c>
      <c r="C57" s="18" t="s">
        <v>8940</v>
      </c>
      <c r="D57" s="5" t="str">
        <f ca="1">IFERROR(__xludf.DUMMYFUNCTION("GOOGLETRANSLATE(B57,""ja"",""vi"")"),"giao hàng nhanh")</f>
        <v>giao hàng nhanh</v>
      </c>
      <c r="E57" s="5" t="str">
        <f ca="1">IFERROR(__xludf.DUMMYFUNCTION("GOOGLETRANSLATE(C57,""ja"",""vi"")"),"Đấu giá&gt; ô tô, xe máy&gt; ô tô cũ, ô tô mới&gt; Toyota&gt; giao hàng nhanh")</f>
        <v>Đấu giá&gt; ô tô, xe máy&gt; ô tô cũ, ô tô mới&gt; Toyota&gt; giao hàng nhanh</v>
      </c>
      <c r="F57" t="str">
        <f t="shared" ca="1" si="0"/>
        <v>"2084204885" : "giao hàng nhanh",</v>
      </c>
    </row>
    <row r="58" spans="1:6" ht="15.75" customHeight="1">
      <c r="A58" s="18">
        <v>2084016655</v>
      </c>
      <c r="B58" s="18" t="s">
        <v>8945</v>
      </c>
      <c r="C58" s="18" t="s">
        <v>8947</v>
      </c>
      <c r="D58" s="5" t="str">
        <f ca="1">IFERROR(__xludf.DUMMYFUNCTION("GOOGLETRANSLATE(B58,""ja"",""vi"")"),"tôn lên")</f>
        <v>tôn lên</v>
      </c>
      <c r="E58" s="5" t="str">
        <f ca="1">IFERROR(__xludf.DUMMYFUNCTION("GOOGLETRANSLATE(C58,""ja"",""vi"")"),"Đấu giá&gt; ô tô, xe máy&gt; ô tô cũ, ô tô mới&gt; Toyota&gt; Crown")</f>
        <v>Đấu giá&gt; ô tô, xe máy&gt; ô tô cũ, ô tô mới&gt; Toyota&gt; Crown</v>
      </c>
      <c r="F58" t="str">
        <f t="shared" ca="1" si="0"/>
        <v>"2084016655" : "tôn lên",</v>
      </c>
    </row>
    <row r="59" spans="1:6" ht="15.75" customHeight="1">
      <c r="A59" s="18">
        <v>2084048042</v>
      </c>
      <c r="B59" s="18" t="s">
        <v>8952</v>
      </c>
      <c r="C59" s="18" t="s">
        <v>8954</v>
      </c>
      <c r="D59" s="5" t="str">
        <f ca="1">IFERROR(__xludf.DUMMYFUNCTION("GOOGLETRANSLATE(B59,""ja"",""vi"")"),"Vương miện station wagon")</f>
        <v>Vương miện station wagon</v>
      </c>
      <c r="E59" s="5" t="str">
        <f ca="1">IFERROR(__xludf.DUMMYFUNCTION("GOOGLETRANSLATE(C59,""ja"",""vi"")"),"Đấu giá&gt; ô tô, xe máy&gt; ô tô cũ, ô tô mới&gt; Toyota&gt; Trạm Thái toa xe")</f>
        <v>Đấu giá&gt; ô tô, xe máy&gt; ô tô cũ, ô tô mới&gt; Toyota&gt; Trạm Thái toa xe</v>
      </c>
      <c r="F59" t="str">
        <f t="shared" ca="1" si="0"/>
        <v>"2084048042" : "Vương miện station wagon",</v>
      </c>
    </row>
    <row r="60" spans="1:6" ht="15.75" customHeight="1">
      <c r="A60" s="18">
        <v>2084231234</v>
      </c>
      <c r="B60" s="18" t="s">
        <v>8960</v>
      </c>
      <c r="C60" s="18" t="s">
        <v>8962</v>
      </c>
      <c r="D60" s="5" t="str">
        <f ca="1">IFERROR(__xludf.DUMMYFUNCTION("GOOGLETRANSLATE(B60,""ja"",""vi"")"),"vương miện Athlete")</f>
        <v>vương miện Athlete</v>
      </c>
      <c r="E60" s="5" t="str">
        <f ca="1">IFERROR(__xludf.DUMMYFUNCTION("GOOGLETRANSLATE(C60,""ja"",""vi"")"),"Đấu giá&gt; ô tô, xe máy&gt; ô tô cũ, ô tô mới&gt; Toyota&gt; Thái Athlete")</f>
        <v>Đấu giá&gt; ô tô, xe máy&gt; ô tô cũ, ô tô mới&gt; Toyota&gt; Thái Athlete</v>
      </c>
      <c r="F60" t="str">
        <f t="shared" ca="1" si="0"/>
        <v>"2084231234" : "vương miện Athlete",</v>
      </c>
    </row>
    <row r="61" spans="1:6" ht="15.75" customHeight="1">
      <c r="A61" s="18">
        <v>2084204886</v>
      </c>
      <c r="B61" s="18" t="s">
        <v>8967</v>
      </c>
      <c r="C61" s="18" t="s">
        <v>8969</v>
      </c>
      <c r="D61" s="5" t="str">
        <f ca="1">IFERROR(__xludf.DUMMYFUNCTION("GOOGLETRANSLATE(B61,""ja"",""vi"")"),"vương miện nghi")</f>
        <v>vương miện nghi</v>
      </c>
      <c r="E61" s="5" t="str">
        <f ca="1">IFERROR(__xludf.DUMMYFUNCTION("GOOGLETRANSLATE(C61,""ja"",""vi"")"),"Đấu giá&gt; ô tô, xe máy&gt; ô tô cũ, ô tô mới&gt; Toyota&gt; Crown nghi")</f>
        <v>Đấu giá&gt; ô tô, xe máy&gt; ô tô cũ, ô tô mới&gt; Toyota&gt; Crown nghi</v>
      </c>
      <c r="F61" t="str">
        <f t="shared" ca="1" si="0"/>
        <v>"2084204886" : "vương miện nghi",</v>
      </c>
    </row>
    <row r="62" spans="1:6" ht="15.75" customHeight="1">
      <c r="A62" s="18">
        <v>2084243767</v>
      </c>
      <c r="B62" s="18" t="s">
        <v>8973</v>
      </c>
      <c r="C62" s="18" t="s">
        <v>8974</v>
      </c>
      <c r="D62" s="5" t="str">
        <f ca="1">IFERROR(__xludf.DUMMYFUNCTION("GOOGLETRANSLATE(B62,""ja"",""vi"")"),"crown hybrid")</f>
        <v>crown hybrid</v>
      </c>
      <c r="E62" s="5" t="str">
        <f ca="1">IFERROR(__xludf.DUMMYFUNCTION("GOOGLETRANSLATE(C62,""ja"",""vi"")"),"Đấu giá&gt; ô tô, xe máy&gt; ô tô cũ, ô tô mới&gt; Toyota&gt; Crown Hybrid")</f>
        <v>Đấu giá&gt; ô tô, xe máy&gt; ô tô cũ, ô tô mới&gt; Toyota&gt; Crown Hybrid</v>
      </c>
      <c r="F62" t="str">
        <f t="shared" ca="1" si="0"/>
        <v>"2084243767" : "crown hybrid",</v>
      </c>
    </row>
    <row r="63" spans="1:6" ht="15.75" customHeight="1">
      <c r="A63" s="18">
        <v>2084048043</v>
      </c>
      <c r="B63" s="18" t="s">
        <v>8978</v>
      </c>
      <c r="C63" s="18" t="s">
        <v>8980</v>
      </c>
      <c r="D63" s="5" t="str">
        <f ca="1">IFERROR(__xludf.DUMMYFUNCTION("GOOGLETRANSLATE(B63,""ja"",""vi"")"),"vương miện Majesta")</f>
        <v>vương miện Majesta</v>
      </c>
      <c r="E63" s="5" t="str">
        <f ca="1">IFERROR(__xludf.DUMMYFUNCTION("GOOGLETRANSLATE(C63,""ja"",""vi"")"),"Đấu giá&gt; ô tô, xe máy&gt; ô tô cũ, ô tô mới&gt; Toyota&gt; Crown Majesta")</f>
        <v>Đấu giá&gt; ô tô, xe máy&gt; ô tô cũ, ô tô mới&gt; Toyota&gt; Crown Majesta</v>
      </c>
      <c r="F63" t="str">
        <f t="shared" ca="1" si="0"/>
        <v>"2084048043" : "vương miện Majesta",</v>
      </c>
    </row>
    <row r="64" spans="1:6" ht="15.75" customHeight="1">
      <c r="A64" s="18">
        <v>2084231235</v>
      </c>
      <c r="B64" s="18" t="s">
        <v>8984</v>
      </c>
      <c r="C64" s="18" t="s">
        <v>8987</v>
      </c>
      <c r="D64" s="5" t="str">
        <f ca="1">IFERROR(__xludf.DUMMYFUNCTION("GOOGLETRANSLATE(B64,""ja"",""vi"")"),"crown Royal")</f>
        <v>crown Royal</v>
      </c>
      <c r="E64" s="5" t="str">
        <f ca="1">IFERROR(__xludf.DUMMYFUNCTION("GOOGLETRANSLATE(C64,""ja"",""vi"")"),"Đấu giá&gt; ô tô, xe máy&gt; ô tô cũ, ô tô mới&gt; Toyota&gt; Crown Royal")</f>
        <v>Đấu giá&gt; ô tô, xe máy&gt; ô tô cũ, ô tô mới&gt; Toyota&gt; Crown Royal</v>
      </c>
      <c r="F64" t="str">
        <f t="shared" ca="1" si="0"/>
        <v>"2084231235" : "crown Royal",</v>
      </c>
    </row>
    <row r="65" spans="1:6" ht="15.75" customHeight="1">
      <c r="A65" s="18">
        <v>2084049062</v>
      </c>
      <c r="B65" s="18" t="s">
        <v>8989</v>
      </c>
      <c r="C65" s="18" t="s">
        <v>8992</v>
      </c>
      <c r="D65" s="5" t="str">
        <f ca="1">IFERROR(__xludf.DUMMYFUNCTION("GOOGLETRANSLATE(B65,""ja"",""vi"")"),"Kruger")</f>
        <v>Kruger</v>
      </c>
      <c r="E65" s="5" t="str">
        <f ca="1">IFERROR(__xludf.DUMMYFUNCTION("GOOGLETRANSLATE(C65,""ja"",""vi"")"),"Đấu giá&gt; ô tô, xe máy&gt; ô tô cũ, ô tô mới&gt; Toyota&gt; Kruger")</f>
        <v>Đấu giá&gt; ô tô, xe máy&gt; ô tô cũ, ô tô mới&gt; Toyota&gt; Kruger</v>
      </c>
      <c r="F65" t="str">
        <f t="shared" ca="1" si="0"/>
        <v>"2084049062" : "Kruger",</v>
      </c>
    </row>
    <row r="66" spans="1:6" ht="15.75" customHeight="1">
      <c r="A66" s="18">
        <v>2084231236</v>
      </c>
      <c r="B66" s="18" t="s">
        <v>8994</v>
      </c>
      <c r="C66" s="18" t="s">
        <v>8996</v>
      </c>
      <c r="D66" s="5" t="str">
        <f ca="1">IFERROR(__xludf.DUMMYFUNCTION("GOOGLETRANSLATE(B66,""ja"",""vi"")"),"Kruger lai")</f>
        <v>Kruger lai</v>
      </c>
      <c r="E66" s="5" t="str">
        <f ca="1">IFERROR(__xludf.DUMMYFUNCTION("GOOGLETRANSLATE(C66,""ja"",""vi"")"),"Đấu giá&gt; ô tô, xe máy&gt; ô tô cũ, ô tô mới&gt; Toyota&gt; Kruger lai")</f>
        <v>Đấu giá&gt; ô tô, xe máy&gt; ô tô cũ, ô tô mới&gt; Toyota&gt; Kruger lai</v>
      </c>
      <c r="F66" t="str">
        <f t="shared" ref="F66:F129" ca="1" si="1">CONCATENATE(CHAR(34)&amp;"",A66,""&amp;CHAR(34)," : ", CHAR(34)&amp;"",D66,""&amp;CHAR(34),",")</f>
        <v>"2084231236" : "Kruger lai",</v>
      </c>
    </row>
    <row r="67" spans="1:6" ht="15.75" customHeight="1">
      <c r="A67" s="18">
        <v>2084016658</v>
      </c>
      <c r="B67" s="18" t="s">
        <v>9001</v>
      </c>
      <c r="C67" s="18" t="s">
        <v>9002</v>
      </c>
      <c r="D67" s="5" t="str">
        <f ca="1">IFERROR(__xludf.DUMMYFUNCTION("GOOGLETRANSLATE(B67,""ja"",""vi"")"),"Cresta")</f>
        <v>Cresta</v>
      </c>
      <c r="E67" s="5" t="str">
        <f ca="1">IFERROR(__xludf.DUMMYFUNCTION("GOOGLETRANSLATE(C67,""ja"",""vi"")"),"Đấu giá&gt; ô tô, xe máy&gt; ô tô cũ, ô tô mới&gt; Toyota&gt; Cresta")</f>
        <v>Đấu giá&gt; ô tô, xe máy&gt; ô tô cũ, ô tô mới&gt; Toyota&gt; Cresta</v>
      </c>
      <c r="F67" t="str">
        <f t="shared" ca="1" si="1"/>
        <v>"2084016658" : "Cresta",</v>
      </c>
    </row>
    <row r="68" spans="1:6" ht="15.75" customHeight="1">
      <c r="A68" s="18">
        <v>2084016656</v>
      </c>
      <c r="B68" s="18" t="s">
        <v>9005</v>
      </c>
      <c r="C68" s="18" t="s">
        <v>9007</v>
      </c>
      <c r="D68" s="5" t="str">
        <f ca="1">IFERROR(__xludf.DUMMYFUNCTION("GOOGLETRANSLATE(B68,""ja"",""vi"")"),"Đại Hiace")</f>
        <v>Đại Hiace</v>
      </c>
      <c r="E68" s="5" t="str">
        <f ca="1">IFERROR(__xludf.DUMMYFUNCTION("GOOGLETRANSLATE(C68,""ja"",""vi"")"),"Đấu giá&gt; ô tô, xe máy&gt; ô tô cũ, ô tô mới&gt; Toyota&gt; Grand Hiace")</f>
        <v>Đấu giá&gt; ô tô, xe máy&gt; ô tô cũ, ô tô mới&gt; Toyota&gt; Grand Hiace</v>
      </c>
      <c r="F68" t="str">
        <f t="shared" ca="1" si="1"/>
        <v>"2084016656" : "Đại Hiace",</v>
      </c>
    </row>
    <row r="69" spans="1:6" ht="15.75" customHeight="1">
      <c r="A69" s="18">
        <v>2084016657</v>
      </c>
      <c r="B69" s="18" t="s">
        <v>9009</v>
      </c>
      <c r="C69" s="18" t="s">
        <v>9011</v>
      </c>
      <c r="D69" s="5" t="str">
        <f ca="1">IFERROR(__xludf.DUMMYFUNCTION("GOOGLETRANSLATE(B69,""ja"",""vi"")"),"Gran Via")</f>
        <v>Gran Via</v>
      </c>
      <c r="E69" s="5" t="str">
        <f ca="1">IFERROR(__xludf.DUMMYFUNCTION("GOOGLETRANSLATE(C69,""ja"",""vi"")"),"Đấu giá&gt; ô tô, xe máy&gt; ô tô cũ, ô tô mới&gt; Toyota&gt; Gran Via")</f>
        <v>Đấu giá&gt; ô tô, xe máy&gt; ô tô cũ, ô tô mới&gt; Toyota&gt; Gran Via</v>
      </c>
      <c r="F69" t="str">
        <f t="shared" ca="1" si="1"/>
        <v>"2084016657" : "Gran Via",</v>
      </c>
    </row>
    <row r="70" spans="1:6" ht="15.75" customHeight="1">
      <c r="A70" s="18">
        <v>2084049063</v>
      </c>
      <c r="B70" s="18" t="s">
        <v>9014</v>
      </c>
      <c r="C70" s="18" t="s">
        <v>9016</v>
      </c>
      <c r="D70" s="5" t="str">
        <f ca="1">IFERROR(__xludf.DUMMYFUNCTION("GOOGLETRANSLATE(B70,""ja"",""vi"")"),"coaster")</f>
        <v>coaster</v>
      </c>
      <c r="E70" s="5" t="str">
        <f ca="1">IFERROR(__xludf.DUMMYFUNCTION("GOOGLETRANSLATE(C70,""ja"",""vi"")"),"Đấu giá&gt; ô tô, xe máy&gt; ô tô cũ, ô tô mới&gt; Toyota&gt; Coaster")</f>
        <v>Đấu giá&gt; ô tô, xe máy&gt; ô tô cũ, ô tô mới&gt; Toyota&gt; Coaster</v>
      </c>
      <c r="F70" t="str">
        <f t="shared" ca="1" si="1"/>
        <v>"2084049063" : "coaster",</v>
      </c>
    </row>
    <row r="71" spans="1:6" ht="15.75" customHeight="1">
      <c r="A71" s="18">
        <v>2084016659</v>
      </c>
      <c r="B71" s="18" t="s">
        <v>9019</v>
      </c>
      <c r="C71" s="18" t="s">
        <v>9020</v>
      </c>
      <c r="D71" s="5" t="str">
        <f ca="1">IFERROR(__xludf.DUMMYFUNCTION("GOOGLETRANSLATE(B71,""ja"",""vi"")"),"Corsa")</f>
        <v>Corsa</v>
      </c>
      <c r="E71" s="5" t="str">
        <f ca="1">IFERROR(__xludf.DUMMYFUNCTION("GOOGLETRANSLATE(C71,""ja"",""vi"")"),"Đấu giá&gt; ô tô, xe máy&gt; ô tô cũ, ô tô mới&gt; Toyota&gt; Corsa")</f>
        <v>Đấu giá&gt; ô tô, xe máy&gt; ô tô cũ, ô tô mới&gt; Toyota&gt; Corsa</v>
      </c>
      <c r="F71" t="str">
        <f t="shared" ca="1" si="1"/>
        <v>"2084016659" : "Corsa",</v>
      </c>
    </row>
    <row r="72" spans="1:6" ht="15.75" customHeight="1">
      <c r="A72" s="18">
        <v>2084016660</v>
      </c>
      <c r="B72" s="18" t="s">
        <v>9024</v>
      </c>
      <c r="C72" s="18" t="s">
        <v>9026</v>
      </c>
      <c r="D72" s="5" t="str">
        <f ca="1">IFERROR(__xludf.DUMMYFUNCTION("GOOGLETRANSLATE(B72,""ja"",""vi"")"),"nhật hoa")</f>
        <v>nhật hoa</v>
      </c>
      <c r="E72" s="5" t="str">
        <f ca="1">IFERROR(__xludf.DUMMYFUNCTION("GOOGLETRANSLATE(C72,""ja"",""vi"")"),"Đấu giá&gt; ô tô, xe máy&gt; ô tô cũ, ô tô mới&gt; Toyota&gt; Corona")</f>
        <v>Đấu giá&gt; ô tô, xe máy&gt; ô tô cũ, ô tô mới&gt; Toyota&gt; Corona</v>
      </c>
      <c r="F72" t="str">
        <f t="shared" ca="1" si="1"/>
        <v>"2084016660" : "nhật hoa",</v>
      </c>
    </row>
    <row r="73" spans="1:6" ht="15.75" customHeight="1">
      <c r="A73" s="18">
        <v>2084016661</v>
      </c>
      <c r="B73" s="18" t="s">
        <v>9030</v>
      </c>
      <c r="C73" s="18" t="s">
        <v>9032</v>
      </c>
      <c r="D73" s="5" t="str">
        <f ca="1">IFERROR(__xludf.DUMMYFUNCTION("GOOGLETRANSLATE(B73,""ja"",""vi"")"),"Corona Ekushivu")</f>
        <v>Corona Ekushivu</v>
      </c>
      <c r="E73" s="5" t="str">
        <f ca="1">IFERROR(__xludf.DUMMYFUNCTION("GOOGLETRANSLATE(C73,""ja"",""vi"")"),"Đấu giá&gt; ô tô, xe máy&gt; ô tô cũ, ô tô mới&gt; Toyota&gt; Corona Ekushivu")</f>
        <v>Đấu giá&gt; ô tô, xe máy&gt; ô tô cũ, ô tô mới&gt; Toyota&gt; Corona Ekushivu</v>
      </c>
      <c r="F73" t="str">
        <f t="shared" ca="1" si="1"/>
        <v>"2084016661" : "Corona Ekushivu",</v>
      </c>
    </row>
    <row r="74" spans="1:6" ht="15.75" customHeight="1">
      <c r="A74" s="18">
        <v>2084016662</v>
      </c>
      <c r="B74" s="18" t="s">
        <v>9036</v>
      </c>
      <c r="C74" s="18" t="s">
        <v>9037</v>
      </c>
      <c r="D74" s="5" t="str">
        <f ca="1">IFERROR(__xludf.DUMMYFUNCTION("GOOGLETRANSLATE(B74,""ja"",""vi"")"),"Corona Premio")</f>
        <v>Corona Premio</v>
      </c>
      <c r="E74" s="5" t="str">
        <f ca="1">IFERROR(__xludf.DUMMYFUNCTION("GOOGLETRANSLATE(C74,""ja"",""vi"")"),"Đấu giá&gt; ô tô, xe máy&gt; ô tô cũ, ô tô mới&gt; Toyota&gt; Corona Premio")</f>
        <v>Đấu giá&gt; ô tô, xe máy&gt; ô tô cũ, ô tô mới&gt; Toyota&gt; Corona Premio</v>
      </c>
      <c r="F74" t="str">
        <f t="shared" ca="1" si="1"/>
        <v>"2084016662" : "Corona Premio",</v>
      </c>
    </row>
    <row r="75" spans="1:6" ht="15.75" customHeight="1">
      <c r="A75" s="18">
        <v>2084016663</v>
      </c>
      <c r="B75" s="18" t="s">
        <v>9042</v>
      </c>
      <c r="C75" s="18" t="s">
        <v>9043</v>
      </c>
      <c r="D75" s="5" t="str">
        <f ca="1">IFERROR(__xludf.DUMMYFUNCTION("GOOGLETRANSLATE(B75,""ja"",""vi"")"),"Sainosu")</f>
        <v>Sainosu</v>
      </c>
      <c r="E75" s="5" t="str">
        <f ca="1">IFERROR(__xludf.DUMMYFUNCTION("GOOGLETRANSLATE(C75,""ja"",""vi"")"),"Đấu giá&gt; ô tô, xe máy&gt; ô tô cũ, ô tô mới&gt; Toyota&gt; Sainosu")</f>
        <v>Đấu giá&gt; ô tô, xe máy&gt; ô tô cũ, ô tô mới&gt; Toyota&gt; Sainosu</v>
      </c>
      <c r="F75" t="str">
        <f t="shared" ca="1" si="1"/>
        <v>"2084016663" : "Sainosu",</v>
      </c>
    </row>
    <row r="76" spans="1:6" ht="15.75" customHeight="1">
      <c r="A76" s="18">
        <v>2084053610</v>
      </c>
      <c r="B76" s="18" t="s">
        <v>9046</v>
      </c>
      <c r="C76" s="18" t="s">
        <v>9048</v>
      </c>
      <c r="D76" s="5" t="str">
        <f ca="1">IFERROR(__xludf.DUMMYFUNCTION("GOOGLETRANSLATE(B76,""ja"",""vi"")"),"thành công")</f>
        <v>thành công</v>
      </c>
      <c r="E76" s="5" t="str">
        <f ca="1">IFERROR(__xludf.DUMMYFUNCTION("GOOGLETRANSLATE(C76,""ja"",""vi"")"),"Đấu giá&gt; ô tô, xe máy&gt; ô tô cũ, ô tô mới&gt; Toyota&gt; Thành công")</f>
        <v>Đấu giá&gt; ô tô, xe máy&gt; ô tô cũ, ô tô mới&gt; Toyota&gt; Thành công</v>
      </c>
      <c r="F76" t="str">
        <f t="shared" ca="1" si="1"/>
        <v>"2084053610" : "thành công",</v>
      </c>
    </row>
    <row r="77" spans="1:6" ht="15.75" customHeight="1">
      <c r="A77" s="18">
        <v>2084054059</v>
      </c>
      <c r="B77" s="18" t="s">
        <v>9052</v>
      </c>
      <c r="C77" s="18" t="s">
        <v>9053</v>
      </c>
      <c r="D77" s="5" t="str">
        <f ca="1">IFERROR(__xludf.DUMMYFUNCTION("GOOGLETRANSLATE(B77,""ja"",""vi"")"),"Sienta")</f>
        <v>Sienta</v>
      </c>
      <c r="E77" s="5" t="str">
        <f ca="1">IFERROR(__xludf.DUMMYFUNCTION("GOOGLETRANSLATE(C77,""ja"",""vi"")"),"Đấu giá&gt; ô tô, xe máy&gt; ô tô cũ, ô tô mới&gt; Toyota&gt; Sienta")</f>
        <v>Đấu giá&gt; ô tô, xe máy&gt; ô tô cũ, ô tô mới&gt; Toyota&gt; Sienta</v>
      </c>
      <c r="F77" t="str">
        <f t="shared" ca="1" si="1"/>
        <v>"2084054059" : "Sienta",</v>
      </c>
    </row>
    <row r="78" spans="1:6" ht="15.75" customHeight="1">
      <c r="A78" s="18">
        <v>2084016664</v>
      </c>
      <c r="B78" s="18" t="s">
        <v>9057</v>
      </c>
      <c r="C78" s="18" t="s">
        <v>9058</v>
      </c>
      <c r="D78" s="5" t="str">
        <f ca="1">IFERROR(__xludf.DUMMYFUNCTION("GOOGLETRANSLATE(B78,""ja"",""vi"")"),"ở trên")</f>
        <v>ở trên</v>
      </c>
      <c r="E78" s="5" t="str">
        <f ca="1">IFERROR(__xludf.DUMMYFUNCTION("GOOGLETRANSLATE(C78,""ja"",""vi"")"),"Đấu giá&gt; ô tô, xe máy&gt; ô tô cũ, ô tô mới&gt; Toyota&gt; Supra")</f>
        <v>Đấu giá&gt; ô tô, xe máy&gt; ô tô cũ, ô tô mới&gt; Toyota&gt; Supra</v>
      </c>
      <c r="F78" t="str">
        <f t="shared" ca="1" si="1"/>
        <v>"2084016664" : "ở trên",</v>
      </c>
    </row>
    <row r="79" spans="1:6" ht="15.75" customHeight="1">
      <c r="A79" s="18">
        <v>2084016665</v>
      </c>
      <c r="B79" s="18" t="s">
        <v>9063</v>
      </c>
      <c r="C79" s="18" t="s">
        <v>9064</v>
      </c>
      <c r="D79" s="5" t="str">
        <f ca="1">IFERROR(__xludf.DUMMYFUNCTION("GOOGLETRANSLATE(B79,""ja"",""vi"")"),"Starlet")</f>
        <v>Starlet</v>
      </c>
      <c r="E79" s="5" t="str">
        <f ca="1">IFERROR(__xludf.DUMMYFUNCTION("GOOGLETRANSLATE(C79,""ja"",""vi"")"),"Đấu giá&gt; ô tô, xe máy&gt; ô tô cũ, ô tô mới&gt; Toyota&gt; Starlet")</f>
        <v>Đấu giá&gt; ô tô, xe máy&gt; ô tô cũ, ô tô mới&gt; Toyota&gt; Starlet</v>
      </c>
      <c r="F79" t="str">
        <f t="shared" ca="1" si="1"/>
        <v>"2084016665" : "Starlet",</v>
      </c>
    </row>
    <row r="80" spans="1:6" ht="15.75" customHeight="1">
      <c r="A80" s="18">
        <v>2084049064</v>
      </c>
      <c r="B80" s="18" t="s">
        <v>9068</v>
      </c>
      <c r="C80" s="18" t="s">
        <v>9069</v>
      </c>
      <c r="D80" s="5" t="str">
        <f ca="1">IFERROR(__xludf.DUMMYFUNCTION("GOOGLETRANSLATE(B80,""ja"",""vi"")"),"Sparky")</f>
        <v>Sparky</v>
      </c>
      <c r="E80" s="5" t="str">
        <f ca="1">IFERROR(__xludf.DUMMYFUNCTION("GOOGLETRANSLATE(C80,""ja"",""vi"")"),"Đấu giá&gt; ô tô, xe máy&gt; ô tô cũ, ô tô mới&gt; Toyota&gt; Sparky")</f>
        <v>Đấu giá&gt; ô tô, xe máy&gt; ô tô cũ, ô tô mới&gt; Toyota&gt; Sparky</v>
      </c>
      <c r="F80" t="str">
        <f t="shared" ca="1" si="1"/>
        <v>"2084049064" : "Sparky",</v>
      </c>
    </row>
    <row r="81" spans="1:6" ht="15.75" customHeight="1">
      <c r="A81" s="18">
        <v>2084016666</v>
      </c>
      <c r="B81" s="18" t="s">
        <v>9073</v>
      </c>
      <c r="C81" s="18" t="s">
        <v>9074</v>
      </c>
      <c r="D81" s="5" t="str">
        <f ca="1">IFERROR(__xludf.DUMMYFUNCTION("GOOGLETRANSLATE(B81,""ja"",""vi"")"),"người chạy nước rút")</f>
        <v>người chạy nước rút</v>
      </c>
      <c r="E81" s="5" t="str">
        <f ca="1">IFERROR(__xludf.DUMMYFUNCTION("GOOGLETRANSLATE(C81,""ja"",""vi"")"),"Đấu giá&gt; ô tô, xe máy&gt; ô tô cũ, ô tô mới&gt; Toyota&gt; Sprinter")</f>
        <v>Đấu giá&gt; ô tô, xe máy&gt; ô tô cũ, ô tô mới&gt; Toyota&gt; Sprinter</v>
      </c>
      <c r="F81" t="str">
        <f t="shared" ca="1" si="1"/>
        <v>"2084016666" : "người chạy nước rút",</v>
      </c>
    </row>
    <row r="82" spans="1:6" ht="15.75" customHeight="1">
      <c r="A82" s="18">
        <v>2084016667</v>
      </c>
      <c r="B82" s="18" t="s">
        <v>9078</v>
      </c>
      <c r="C82" s="18" t="s">
        <v>9079</v>
      </c>
      <c r="D82" s="5" t="str">
        <f ca="1">IFERROR(__xludf.DUMMYFUNCTION("GOOGLETRANSLATE(B82,""ja"",""vi"")"),"Sprinter Caribbean")</f>
        <v>Sprinter Caribbean</v>
      </c>
      <c r="E82" s="5" t="str">
        <f ca="1">IFERROR(__xludf.DUMMYFUNCTION("GOOGLETRANSLATE(C82,""ja"",""vi"")"),"Đấu giá&gt; ô tô, xe máy&gt; ô tô cũ, ô tô mới&gt; Toyota&gt; Sprinter Caribbean")</f>
        <v>Đấu giá&gt; ô tô, xe máy&gt; ô tô cũ, ô tô mới&gt; Toyota&gt; Sprinter Caribbean</v>
      </c>
      <c r="F82" t="str">
        <f t="shared" ca="1" si="1"/>
        <v>"2084016667" : "Sprinter Caribbean",</v>
      </c>
    </row>
    <row r="83" spans="1:6" ht="15.75" customHeight="1">
      <c r="A83" s="18">
        <v>2084016668</v>
      </c>
      <c r="B83" s="18" t="s">
        <v>9083</v>
      </c>
      <c r="C83" s="18" t="s">
        <v>9084</v>
      </c>
      <c r="D83" s="5" t="str">
        <f ca="1">IFERROR(__xludf.DUMMYFUNCTION("GOOGLETRANSLATE(B83,""ja"",""vi"")"),"Sprinter Trueno")</f>
        <v>Sprinter Trueno</v>
      </c>
      <c r="E83" s="5" t="str">
        <f ca="1">IFERROR(__xludf.DUMMYFUNCTION("GOOGLETRANSLATE(C83,""ja"",""vi"")"),"Đấu giá&gt; ô tô, xe máy&gt; ô tô cũ, ô tô mới&gt; Toyota&gt; Sprinter Trueno")</f>
        <v>Đấu giá&gt; ô tô, xe máy&gt; ô tô cũ, ô tô mới&gt; Toyota&gt; Sprinter Trueno</v>
      </c>
      <c r="F83" t="str">
        <f t="shared" ca="1" si="1"/>
        <v>"2084016668" : "Sprinter Trueno",</v>
      </c>
    </row>
    <row r="84" spans="1:6" ht="15.75" customHeight="1">
      <c r="A84" s="18">
        <v>2084016669</v>
      </c>
      <c r="B84" s="18" t="s">
        <v>9087</v>
      </c>
      <c r="C84" s="18" t="s">
        <v>9090</v>
      </c>
      <c r="D84" s="5" t="str">
        <f ca="1">IFERROR(__xludf.DUMMYFUNCTION("GOOGLETRANSLATE(B84,""ja"",""vi"")"),"Sprinter Marino")</f>
        <v>Sprinter Marino</v>
      </c>
      <c r="E84" s="5" t="str">
        <f ca="1">IFERROR(__xludf.DUMMYFUNCTION("GOOGLETRANSLATE(C84,""ja"",""vi"")"),"Đấu giá&gt; ô tô, xe máy&gt; ô tô cũ, ô tô mới&gt; Toyota&gt; Sprinter Marino")</f>
        <v>Đấu giá&gt; ô tô, xe máy&gt; ô tô cũ, ô tô mới&gt; Toyota&gt; Sprinter Marino</v>
      </c>
      <c r="F84" t="str">
        <f t="shared" ca="1" si="1"/>
        <v>"2084016669" : "Sprinter Marino",</v>
      </c>
    </row>
    <row r="85" spans="1:6" ht="15.75" customHeight="1">
      <c r="A85" s="18">
        <v>2084311302</v>
      </c>
      <c r="B85" s="18" t="s">
        <v>9092</v>
      </c>
      <c r="C85" s="18" t="s">
        <v>9095</v>
      </c>
      <c r="D85" s="5" t="str">
        <f ca="1">IFERROR(__xludf.DUMMYFUNCTION("GOOGLETRANSLATE(B85,""ja"",""vi"")"),"Supeido")</f>
        <v>Supeido</v>
      </c>
      <c r="E85" s="5" t="str">
        <f ca="1">IFERROR(__xludf.DUMMYFUNCTION("GOOGLETRANSLATE(C85,""ja"",""vi"")"),"Đấu giá&gt; ô tô, xe máy&gt; ô tô cũ, ô tô mới&gt; Toyota&gt; Supeido")</f>
        <v>Đấu giá&gt; ô tô, xe máy&gt; ô tô cũ, ô tô mới&gt; Toyota&gt; Supeido</v>
      </c>
      <c r="F85" t="str">
        <f t="shared" ca="1" si="1"/>
        <v>"2084311302" : "Supeido",</v>
      </c>
    </row>
    <row r="86" spans="1:6" ht="15.75" customHeight="1">
      <c r="A86" s="18">
        <v>2084016670</v>
      </c>
      <c r="B86" s="18" t="s">
        <v>9099</v>
      </c>
      <c r="C86" s="18" t="s">
        <v>9100</v>
      </c>
      <c r="D86" s="5" t="str">
        <f ca="1">IFERROR(__xludf.DUMMYFUNCTION("GOOGLETRANSLATE(B86,""ja"",""vi"")"),"chó đánh hơi")</f>
        <v>chó đánh hơi</v>
      </c>
      <c r="E86" s="5" t="str">
        <f ca="1">IFERROR(__xludf.DUMMYFUNCTION("GOOGLETRANSLATE(C86,""ja"",""vi"")"),"Đấu giá&gt; ô tô, xe máy&gt; ô tô cũ, ô tô mới&gt; Toyota&gt; vương trượng")</f>
        <v>Đấu giá&gt; ô tô, xe máy&gt; ô tô cũ, ô tô mới&gt; Toyota&gt; vương trượng</v>
      </c>
      <c r="F86" t="str">
        <f t="shared" ca="1" si="1"/>
        <v>"2084016670" : "chó đánh hơi",</v>
      </c>
    </row>
    <row r="87" spans="1:6" ht="15.75" customHeight="1">
      <c r="A87" s="18">
        <v>2084016671</v>
      </c>
      <c r="B87" s="18" t="s">
        <v>9104</v>
      </c>
      <c r="C87" s="18" t="s">
        <v>9106</v>
      </c>
      <c r="D87" s="5" t="str">
        <f ca="1">IFERROR(__xludf.DUMMYFUNCTION("GOOGLETRANSLATE(B87,""ja"",""vi"")"),"Sera")</f>
        <v>Sera</v>
      </c>
      <c r="E87" s="5" t="str">
        <f ca="1">IFERROR(__xludf.DUMMYFUNCTION("GOOGLETRANSLATE(C87,""ja"",""vi"")"),"Đấu giá&gt; ô tô, xe máy&gt; ô tô cũ, ô tô mới&gt; Toyota&gt; Sera")</f>
        <v>Đấu giá&gt; ô tô, xe máy&gt; ô tô cũ, ô tô mới&gt; Toyota&gt; Sera</v>
      </c>
      <c r="F87" t="str">
        <f t="shared" ca="1" si="1"/>
        <v>"2084016671" : "Sera",</v>
      </c>
    </row>
    <row r="88" spans="1:6" ht="15.75" customHeight="1">
      <c r="A88" s="18">
        <v>2084016672</v>
      </c>
      <c r="B88" s="18" t="s">
        <v>9109</v>
      </c>
      <c r="C88" s="18" t="s">
        <v>9110</v>
      </c>
      <c r="D88" s="5" t="str">
        <f ca="1">IFERROR(__xludf.DUMMYFUNCTION("GOOGLETRANSLATE(B88,""ja"",""vi"")"),"Celica")</f>
        <v>Celica</v>
      </c>
      <c r="E88" s="5" t="str">
        <f ca="1">IFERROR(__xludf.DUMMYFUNCTION("GOOGLETRANSLATE(C88,""ja"",""vi"")"),"Đấu giá&gt; ô tô, xe máy&gt; ô tô cũ, ô tô mới&gt; Toyota&gt; Celica")</f>
        <v>Đấu giá&gt; ô tô, xe máy&gt; ô tô cũ, ô tô mới&gt; Toyota&gt; Celica</v>
      </c>
      <c r="F88" t="str">
        <f t="shared" ca="1" si="1"/>
        <v>"2084016672" : "Celica",</v>
      </c>
    </row>
    <row r="89" spans="1:6" ht="15.75" customHeight="1">
      <c r="A89" s="18">
        <v>2084016673</v>
      </c>
      <c r="B89" s="18" t="s">
        <v>9114</v>
      </c>
      <c r="C89" s="18" t="s">
        <v>9115</v>
      </c>
      <c r="D89" s="5" t="str">
        <f ca="1">IFERROR(__xludf.DUMMYFUNCTION("GOOGLETRANSLATE(B89,""ja"",""vi"")"),"Celsior")</f>
        <v>Celsior</v>
      </c>
      <c r="E89" s="5" t="str">
        <f ca="1">IFERROR(__xludf.DUMMYFUNCTION("GOOGLETRANSLATE(C89,""ja"",""vi"")"),"Đấu giá&gt; ô tô, xe máy&gt; ô tô cũ, ô tô mới&gt; Toyota&gt; Celsior")</f>
        <v>Đấu giá&gt; ô tô, xe máy&gt; ô tô cũ, ô tô mới&gt; Toyota&gt; Celsior</v>
      </c>
      <c r="F89" t="str">
        <f t="shared" ca="1" si="1"/>
        <v>"2084016673" : "Celsior",</v>
      </c>
    </row>
    <row r="90" spans="1:6" ht="15.75" customHeight="1">
      <c r="A90" s="18">
        <v>2084016674</v>
      </c>
      <c r="B90" s="18" t="s">
        <v>9119</v>
      </c>
      <c r="C90" s="18" t="s">
        <v>9120</v>
      </c>
      <c r="D90" s="5" t="str">
        <f ca="1">IFERROR(__xludf.DUMMYFUNCTION("GOOGLETRANSLATE(B90,""ja"",""vi"")"),"thế kỷ")</f>
        <v>thế kỷ</v>
      </c>
      <c r="E90" s="5" t="str">
        <f ca="1">IFERROR(__xludf.DUMMYFUNCTION("GOOGLETRANSLATE(C90,""ja"",""vi"")"),"Đấu giá&gt; ô tô, xe máy&gt; ô tô cũ, ô tô mới&gt; Toyota&gt; Century")</f>
        <v>Đấu giá&gt; ô tô, xe máy&gt; ô tô cũ, ô tô mới&gt; Toyota&gt; Century</v>
      </c>
      <c r="F90" t="str">
        <f t="shared" ca="1" si="1"/>
        <v>"2084016674" : "thế kỷ",</v>
      </c>
    </row>
    <row r="91" spans="1:6" ht="15.75" customHeight="1">
      <c r="A91" s="18">
        <v>2084016675</v>
      </c>
      <c r="B91" s="18" t="s">
        <v>9122</v>
      </c>
      <c r="C91" s="18" t="s">
        <v>9124</v>
      </c>
      <c r="D91" s="5" t="str">
        <f ca="1">IFERROR(__xludf.DUMMYFUNCTION("GOOGLETRANSLATE(B91,""ja"",""vi"")"),"Soarer")</f>
        <v>Soarer</v>
      </c>
      <c r="E91" s="5" t="str">
        <f ca="1">IFERROR(__xludf.DUMMYFUNCTION("GOOGLETRANSLATE(C91,""ja"",""vi"")"),"Đấu giá&gt; ô tô, xe máy&gt; ô tô cũ, ô tô mới&gt; Toyota&gt; Soarer")</f>
        <v>Đấu giá&gt; ô tô, xe máy&gt; ô tô cũ, ô tô mới&gt; Toyota&gt; Soarer</v>
      </c>
      <c r="F91" t="str">
        <f t="shared" ca="1" si="1"/>
        <v>"2084016675" : "Soarer",</v>
      </c>
    </row>
    <row r="92" spans="1:6" ht="15.75" customHeight="1">
      <c r="A92" s="18">
        <v>2084016677</v>
      </c>
      <c r="B92" s="18" t="s">
        <v>9128</v>
      </c>
      <c r="C92" s="18" t="s">
        <v>9129</v>
      </c>
      <c r="D92" s="5" t="str">
        <f ca="1">IFERROR(__xludf.DUMMYFUNCTION("GOOGLETRANSLATE(B92,""ja"",""vi"")"),"chim ưng trống")</f>
        <v>chim ưng trống</v>
      </c>
      <c r="E92" s="5" t="str">
        <f ca="1">IFERROR(__xludf.DUMMYFUNCTION("GOOGLETRANSLATE(C92,""ja"",""vi"")"),"Đấu giá&gt; ô tô, xe máy&gt; ô tô cũ, ô tô mới&gt; Toyota&gt; Tercel")</f>
        <v>Đấu giá&gt; ô tô, xe máy&gt; ô tô cũ, ô tô mới&gt; Toyota&gt; Tercel</v>
      </c>
      <c r="F92" t="str">
        <f t="shared" ca="1" si="1"/>
        <v>"2084016677" : "chim ưng trống",</v>
      </c>
    </row>
    <row r="93" spans="1:6" ht="15.75" customHeight="1">
      <c r="A93" s="18">
        <v>2084048045</v>
      </c>
      <c r="B93" s="18" t="s">
        <v>9132</v>
      </c>
      <c r="C93" s="18" t="s">
        <v>9133</v>
      </c>
      <c r="D93" s="5" t="str">
        <f ca="1">IFERROR(__xludf.DUMMYFUNCTION("GOOGLETRANSLATE(B93,""ja"",""vi"")"),"Town Ace")</f>
        <v>Town Ace</v>
      </c>
      <c r="E93" s="5" t="str">
        <f ca="1">IFERROR(__xludf.DUMMYFUNCTION("GOOGLETRANSLATE(C93,""ja"",""vi"")"),"Đấu giá&gt; ô tô, xe máy&gt; ô tô cũ, ô tô mới&gt; Toyota&gt; Town Ace")</f>
        <v>Đấu giá&gt; ô tô, xe máy&gt; ô tô cũ, ô tô mới&gt; Toyota&gt; Town Ace</v>
      </c>
      <c r="F93" t="str">
        <f t="shared" ca="1" si="1"/>
        <v>"2084048045" : "Town Ace",</v>
      </c>
    </row>
    <row r="94" spans="1:6" ht="15.75" customHeight="1">
      <c r="A94" s="18">
        <v>2084048044</v>
      </c>
      <c r="B94" s="18" t="s">
        <v>9137</v>
      </c>
      <c r="C94" s="18" t="s">
        <v>9139</v>
      </c>
      <c r="D94" s="5" t="str">
        <f ca="1">IFERROR(__xludf.DUMMYFUNCTION("GOOGLETRANSLATE(B94,""ja"",""vi"")"),"Ace Noah Town")</f>
        <v>Ace Noah Town</v>
      </c>
      <c r="E94" s="5" t="str">
        <f ca="1">IFERROR(__xludf.DUMMYFUNCTION("GOOGLETRANSLATE(C94,""ja"",""vi"")"),"Đấu giá&gt; ô tô, xe máy&gt; ô tô cũ, ô tô mới&gt; Toyota&gt; Town Ace Noah")</f>
        <v>Đấu giá&gt; ô tô, xe máy&gt; ô tô cũ, ô tô mới&gt; Toyota&gt; Town Ace Noah</v>
      </c>
      <c r="F94" t="str">
        <f t="shared" ca="1" si="1"/>
        <v>"2084048044" : "Ace Noah Town",</v>
      </c>
    </row>
    <row r="95" spans="1:6" ht="15.75" customHeight="1">
      <c r="A95" s="18">
        <v>2084054061</v>
      </c>
      <c r="B95" s="18" t="s">
        <v>9143</v>
      </c>
      <c r="C95" s="18" t="s">
        <v>9144</v>
      </c>
      <c r="D95" s="5" t="str">
        <f ca="1">IFERROR(__xludf.DUMMYFUNCTION("GOOGLETRANSLATE(B95,""ja"",""vi"")"),"Tundra")</f>
        <v>Tundra</v>
      </c>
      <c r="E95" s="5" t="str">
        <f ca="1">IFERROR(__xludf.DUMMYFUNCTION("GOOGLETRANSLATE(C95,""ja"",""vi"")"),"Đấu giá&gt; ô tô, xe máy&gt; ô tô cũ, ô tô mới&gt; Toyota&gt; Tundra")</f>
        <v>Đấu giá&gt; ô tô, xe máy&gt; ô tô cũ, ô tô mới&gt; Toyota&gt; Tundra</v>
      </c>
      <c r="F95" t="str">
        <f t="shared" ca="1" si="1"/>
        <v>"2084054061" : "Tundra",</v>
      </c>
    </row>
    <row r="96" spans="1:6" ht="15.75" customHeight="1">
      <c r="A96" s="18">
        <v>2084048046</v>
      </c>
      <c r="B96" s="18" t="s">
        <v>9149</v>
      </c>
      <c r="C96" s="18" t="s">
        <v>9152</v>
      </c>
      <c r="D96" s="5" t="str">
        <f ca="1">IFERROR(__xludf.DUMMYFUNCTION("GOOGLETRANSLATE(B96,""ja"",""vi"")"),"Dyna")</f>
        <v>Dyna</v>
      </c>
      <c r="E96" s="5" t="str">
        <f ca="1">IFERROR(__xludf.DUMMYFUNCTION("GOOGLETRANSLATE(C96,""ja"",""vi"")"),"Đấu giá&gt; ô tô, xe máy&gt; ô tô cũ, ô tô mới&gt; Toyota&gt; Dyna")</f>
        <v>Đấu giá&gt; ô tô, xe máy&gt; ô tô cũ, ô tô mới&gt; Toyota&gt; Dyna</v>
      </c>
      <c r="F96" t="str">
        <f t="shared" ca="1" si="1"/>
        <v>"2084048046" : "Dyna",</v>
      </c>
    </row>
    <row r="97" spans="1:6" ht="15.75" customHeight="1">
      <c r="A97" s="18">
        <v>2084016678</v>
      </c>
      <c r="B97" s="18" t="s">
        <v>9158</v>
      </c>
      <c r="C97" s="18" t="s">
        <v>9161</v>
      </c>
      <c r="D97" s="5" t="str">
        <f ca="1">IFERROR(__xludf.DUMMYFUNCTION("GOOGLETRANSLATE(B97,""ja"",""vi"")"),"khu trục cơ")</f>
        <v>khu trục cơ</v>
      </c>
      <c r="E97" s="5" t="str">
        <f ca="1">IFERROR(__xludf.DUMMYFUNCTION("GOOGLETRANSLATE(C97,""ja"",""vi"")"),"Đấu giá&gt; ô tô, xe máy&gt; ô tô cũ, ô tô mới&gt; Toyota&gt; Chaser")</f>
        <v>Đấu giá&gt; ô tô, xe máy&gt; ô tô cũ, ô tô mới&gt; Toyota&gt; Chaser</v>
      </c>
      <c r="F97" t="str">
        <f t="shared" ca="1" si="1"/>
        <v>"2084016678" : "khu trục cơ",</v>
      </c>
    </row>
    <row r="98" spans="1:6" ht="15.75" customHeight="1">
      <c r="A98" s="18">
        <v>2084049065</v>
      </c>
      <c r="B98" s="18" t="s">
        <v>9166</v>
      </c>
      <c r="C98" s="18" t="s">
        <v>9167</v>
      </c>
      <c r="D98" s="5" t="str">
        <f ca="1">IFERROR(__xludf.DUMMYFUNCTION("GOOGLETRANSLATE(B98,""ja"",""vi"")"),"Touring Hiace")</f>
        <v>Touring Hiace</v>
      </c>
      <c r="E98" s="5" t="str">
        <f ca="1">IFERROR(__xludf.DUMMYFUNCTION("GOOGLETRANSLATE(C98,""ja"",""vi"")"),"Đấu giá&gt; ô tô, xe máy&gt; ô tô cũ, ô tô mới&gt; Toyota&gt; Touring Hiace")</f>
        <v>Đấu giá&gt; ô tô, xe máy&gt; ô tô cũ, ô tô mới&gt; Toyota&gt; Touring Hiace</v>
      </c>
      <c r="F98" t="str">
        <f t="shared" ca="1" si="1"/>
        <v>"2084049065" : "Touring Hiace",</v>
      </c>
    </row>
    <row r="99" spans="1:6" ht="15.75" customHeight="1">
      <c r="A99" s="18">
        <v>2084016679</v>
      </c>
      <c r="B99" s="18" t="s">
        <v>9171</v>
      </c>
      <c r="C99" s="18" t="s">
        <v>9174</v>
      </c>
      <c r="D99" s="5" t="str">
        <f ca="1">IFERROR(__xludf.DUMMYFUNCTION("GOOGLETRANSLATE(B99,""ja"",""vi"")"),"Duet")</f>
        <v>Duet</v>
      </c>
      <c r="E99" s="5" t="str">
        <f ca="1">IFERROR(__xludf.DUMMYFUNCTION("GOOGLETRANSLATE(C99,""ja"",""vi"")"),"Đấu giá&gt; ô tô, xe máy&gt; ô tô cũ, ô tô mới&gt; Toyota&gt; Duet")</f>
        <v>Đấu giá&gt; ô tô, xe máy&gt; ô tô cũ, ô tô mới&gt; Toyota&gt; Duet</v>
      </c>
      <c r="F99" t="str">
        <f t="shared" ca="1" si="1"/>
        <v>"2084016679" : "Duet",</v>
      </c>
    </row>
    <row r="100" spans="1:6" ht="15.75" customHeight="1">
      <c r="A100" s="18">
        <v>2084204887</v>
      </c>
      <c r="B100" s="18" t="s">
        <v>9179</v>
      </c>
      <c r="C100" s="18" t="s">
        <v>9181</v>
      </c>
      <c r="D100" s="5" t="str">
        <f ca="1">IFERROR(__xludf.DUMMYFUNCTION("GOOGLETRANSLATE(B100,""ja"",""vi"")"),"Deriboi")</f>
        <v>Deriboi</v>
      </c>
      <c r="E100" s="5" t="str">
        <f ca="1">IFERROR(__xludf.DUMMYFUNCTION("GOOGLETRANSLATE(C100,""ja"",""vi"")"),"Đấu giá&gt; ô tô, xe máy&gt; ô tô cũ, ô tô mới&gt; Toyota&gt; Deriboi")</f>
        <v>Đấu giá&gt; ô tô, xe máy&gt; ô tô cũ, ô tô mới&gt; Toyota&gt; Deriboi</v>
      </c>
      <c r="F100" t="str">
        <f t="shared" ca="1" si="1"/>
        <v>"2084204887" : "Deriboi",</v>
      </c>
    </row>
    <row r="101" spans="1:6" ht="15.75" customHeight="1">
      <c r="A101" s="18">
        <v>2084049066</v>
      </c>
      <c r="B101" s="18" t="s">
        <v>9186</v>
      </c>
      <c r="C101" s="18" t="s">
        <v>9188</v>
      </c>
      <c r="D101" s="5" t="str">
        <f ca="1">IFERROR(__xludf.DUMMYFUNCTION("GOOGLETRANSLATE(B101,""ja"",""vi"")"),"Toyoace")</f>
        <v>Toyoace</v>
      </c>
      <c r="E101" s="5" t="str">
        <f ca="1">IFERROR(__xludf.DUMMYFUNCTION("GOOGLETRANSLATE(C101,""ja"",""vi"")"),"Đấu giá&gt; ô tô, xe máy&gt; ô tô cũ, ô tô mới&gt; Toyota&gt; Toyoace")</f>
        <v>Đấu giá&gt; ô tô, xe máy&gt; ô tô cũ, ô tô mới&gt; Toyota&gt; Toyoace</v>
      </c>
      <c r="F101" t="str">
        <f t="shared" ca="1" si="1"/>
        <v>"2084049066" : "Toyoace",</v>
      </c>
    </row>
    <row r="102" spans="1:6" ht="15.75" customHeight="1">
      <c r="A102" s="18">
        <v>2084016681</v>
      </c>
      <c r="B102" s="18" t="s">
        <v>9193</v>
      </c>
      <c r="C102" s="18" t="s">
        <v>9195</v>
      </c>
      <c r="D102" s="5" t="str">
        <f ca="1">IFERROR(__xludf.DUMMYFUNCTION("GOOGLETRANSLATE(B102,""ja"",""vi"")"),"Nadia")</f>
        <v>Nadia</v>
      </c>
      <c r="E102" s="5" t="str">
        <f ca="1">IFERROR(__xludf.DUMMYFUNCTION("GOOGLETRANSLATE(C102,""ja"",""vi"")"),"Đấu giá&gt; ô tô, xe máy&gt; ô tô cũ, ô tô mới&gt; Toyota&gt; Nadia")</f>
        <v>Đấu giá&gt; ô tô, xe máy&gt; ô tô cũ, ô tô mới&gt; Toyota&gt; Nadia</v>
      </c>
      <c r="F102" t="str">
        <f t="shared" ca="1" si="1"/>
        <v>"2084016681" : "Nadia",</v>
      </c>
    </row>
    <row r="103" spans="1:6" ht="15.75" customHeight="1">
      <c r="A103" s="18">
        <v>2084016682</v>
      </c>
      <c r="B103" s="18" t="s">
        <v>9199</v>
      </c>
      <c r="C103" s="18" t="s">
        <v>9200</v>
      </c>
      <c r="D103" s="5" t="str">
        <f ca="1">IFERROR(__xludf.DUMMYFUNCTION("GOOGLETRANSLATE(B103,""ja"",""vi"")"),"Noah")</f>
        <v>Noah</v>
      </c>
      <c r="E103" s="5" t="str">
        <f ca="1">IFERROR(__xludf.DUMMYFUNCTION("GOOGLETRANSLATE(C103,""ja"",""vi"")"),"Đấu giá&gt; ô tô, xe máy&gt; ô tô cũ, ô tô mới&gt; Toyota&gt; Noah")</f>
        <v>Đấu giá&gt; ô tô, xe máy&gt; ô tô cũ, ô tô mới&gt; Toyota&gt; Noah</v>
      </c>
      <c r="F103" t="str">
        <f t="shared" ca="1" si="1"/>
        <v>"2084016682" : "Noah",</v>
      </c>
    </row>
    <row r="104" spans="1:6" ht="15.75" customHeight="1">
      <c r="A104" s="18">
        <v>2084315389</v>
      </c>
      <c r="B104" s="18" t="s">
        <v>9206</v>
      </c>
      <c r="C104" s="18" t="s">
        <v>9208</v>
      </c>
      <c r="D104" s="5" t="str">
        <f ca="1">IFERROR(__xludf.DUMMYFUNCTION("GOOGLETRANSLATE(B104,""ja"",""vi"")"),"Hiace van")</f>
        <v>Hiace van</v>
      </c>
      <c r="E104" s="5" t="str">
        <f ca="1">IFERROR(__xludf.DUMMYFUNCTION("GOOGLETRANSLATE(C104,""ja"",""vi"")"),"Đấu giá&gt; ô tô, xe máy&gt; ô tô cũ, ô tô mới&gt; Toyota&gt; Hiace van")</f>
        <v>Đấu giá&gt; ô tô, xe máy&gt; ô tô cũ, ô tô mới&gt; Toyota&gt; Hiace van</v>
      </c>
      <c r="F104" t="str">
        <f t="shared" ca="1" si="1"/>
        <v>"2084315389" : "Hiace van",</v>
      </c>
    </row>
    <row r="105" spans="1:6" ht="15.75" customHeight="1">
      <c r="A105" s="18">
        <v>2084016684</v>
      </c>
      <c r="B105" s="18" t="s">
        <v>9212</v>
      </c>
      <c r="C105" s="18" t="s">
        <v>9213</v>
      </c>
      <c r="D105" s="5" t="str">
        <f ca="1">IFERROR(__xludf.DUMMYFUNCTION("GOOGLETRANSLATE(B105,""ja"",""vi"")"),"Hiace Regius")</f>
        <v>Hiace Regius</v>
      </c>
      <c r="E105" s="5" t="str">
        <f ca="1">IFERROR(__xludf.DUMMYFUNCTION("GOOGLETRANSLATE(C105,""ja"",""vi"")"),"Đấu giá&gt; ô tô, xe máy&gt; ô tô cũ, ô tô mới&gt; Toyota&gt; Hiace Regius")</f>
        <v>Đấu giá&gt; ô tô, xe máy&gt; ô tô cũ, ô tô mới&gt; Toyota&gt; Hiace Regius</v>
      </c>
      <c r="F105" t="str">
        <f t="shared" ca="1" si="1"/>
        <v>"2084016684" : "Hiace Regius",</v>
      </c>
    </row>
    <row r="106" spans="1:6" ht="15.75" customHeight="1">
      <c r="A106" s="18">
        <v>2084315390</v>
      </c>
      <c r="B106" s="18" t="s">
        <v>9217</v>
      </c>
      <c r="C106" s="18" t="s">
        <v>9219</v>
      </c>
      <c r="D106" s="5" t="str">
        <f ca="1">IFERROR(__xludf.DUMMYFUNCTION("GOOGLETRANSLATE(B106,""ja"",""vi"")"),"Hiace toa xe")</f>
        <v>Hiace toa xe</v>
      </c>
      <c r="E106" s="5" t="str">
        <f ca="1">IFERROR(__xludf.DUMMYFUNCTION("GOOGLETRANSLATE(C106,""ja"",""vi"")"),"Đấu giá&gt; ô tô, xe máy&gt; ô tô cũ, ô tô mới&gt; Toyota&gt; Hiace toa xe")</f>
        <v>Đấu giá&gt; ô tô, xe máy&gt; ô tô cũ, ô tô mới&gt; Toyota&gt; Hiace toa xe</v>
      </c>
      <c r="F106" t="str">
        <f t="shared" ca="1" si="1"/>
        <v>"2084315390" : "Hiace toa xe",</v>
      </c>
    </row>
    <row r="107" spans="1:6" ht="15.75" customHeight="1">
      <c r="A107" s="18">
        <v>2084016685</v>
      </c>
      <c r="B107" s="18" t="s">
        <v>9223</v>
      </c>
      <c r="C107" s="18" t="s">
        <v>9224</v>
      </c>
      <c r="D107" s="5" t="str">
        <f ca="1">IFERROR(__xludf.DUMMYFUNCTION("GOOGLETRANSLATE(B107,""ja"",""vi"")"),"Hilux")</f>
        <v>Hilux</v>
      </c>
      <c r="E107" s="5" t="str">
        <f ca="1">IFERROR(__xludf.DUMMYFUNCTION("GOOGLETRANSLATE(C107,""ja"",""vi"")"),"Đấu giá&gt; ô tô, xe máy&gt; ô tô cũ, ô tô mới&gt; Toyota&gt; Hilux")</f>
        <v>Đấu giá&gt; ô tô, xe máy&gt; ô tô cũ, ô tô mới&gt; Toyota&gt; Hilux</v>
      </c>
      <c r="F107" t="str">
        <f t="shared" ca="1" si="1"/>
        <v>"2084016685" : "Hilux",</v>
      </c>
    </row>
    <row r="108" spans="1:6" ht="15.75" customHeight="1">
      <c r="A108" s="18">
        <v>2084016686</v>
      </c>
      <c r="B108" s="18" t="s">
        <v>9228</v>
      </c>
      <c r="C108" s="18" t="s">
        <v>9229</v>
      </c>
      <c r="D108" s="5" t="str">
        <f ca="1">IFERROR(__xludf.DUMMYFUNCTION("GOOGLETRANSLATE(B108,""ja"",""vi"")"),"Hilux Surf")</f>
        <v>Hilux Surf</v>
      </c>
      <c r="E108" s="5" t="str">
        <f ca="1">IFERROR(__xludf.DUMMYFUNCTION("GOOGLETRANSLATE(C108,""ja"",""vi"")"),"Đấu giá&gt; ô tô, xe máy&gt; ô tô cũ, ô tô mới&gt; Toyota&gt; Hilux Surf")</f>
        <v>Đấu giá&gt; ô tô, xe máy&gt; ô tô cũ, ô tô mới&gt; Toyota&gt; Hilux Surf</v>
      </c>
      <c r="F108" t="str">
        <f t="shared" ca="1" si="1"/>
        <v>"2084016686" : "Hilux Surf",</v>
      </c>
    </row>
    <row r="109" spans="1:6" ht="15.75" customHeight="1">
      <c r="A109" s="18">
        <v>2084016687</v>
      </c>
      <c r="B109" s="18" t="s">
        <v>9233</v>
      </c>
      <c r="C109" s="18" t="s">
        <v>9234</v>
      </c>
      <c r="D109" s="5" t="str">
        <f ca="1">IFERROR(__xludf.DUMMYFUNCTION("GOOGLETRANSLATE(B109,""ja"",""vi"")"),"chim ưng")</f>
        <v>chim ưng</v>
      </c>
      <c r="E109" s="5" t="str">
        <f ca="1">IFERROR(__xludf.DUMMYFUNCTION("GOOGLETRANSLATE(C109,""ja"",""vi"")"),"Đấu giá&gt; ô tô, xe máy&gt; ô tô cũ, ô tô mới&gt; Toyota&gt; Harrier")</f>
        <v>Đấu giá&gt; ô tô, xe máy&gt; ô tô cũ, ô tô mới&gt; Toyota&gt; Harrier</v>
      </c>
      <c r="F109" t="str">
        <f t="shared" ca="1" si="1"/>
        <v>"2084016687" : "chim ưng",</v>
      </c>
    </row>
    <row r="110" spans="1:6" ht="15.75" customHeight="1">
      <c r="A110" s="18">
        <v>2084231237</v>
      </c>
      <c r="B110" s="18" t="s">
        <v>9238</v>
      </c>
      <c r="C110" s="18" t="s">
        <v>9239</v>
      </c>
      <c r="D110" s="5" t="str">
        <f ca="1">IFERROR(__xludf.DUMMYFUNCTION("GOOGLETRANSLATE(B110,""ja"",""vi"")"),"Harrier lai")</f>
        <v>Harrier lai</v>
      </c>
      <c r="E110" s="5" t="str">
        <f ca="1">IFERROR(__xludf.DUMMYFUNCTION("GOOGLETRANSLATE(C110,""ja"",""vi"")"),"Đấu giá&gt; ô tô, xe máy&gt; ô tô cũ, ô tô mới&gt; Toyota&gt; Harrier lai")</f>
        <v>Đấu giá&gt; ô tô, xe máy&gt; ô tô cũ, ô tô mới&gt; Toyota&gt; Harrier lai</v>
      </c>
      <c r="F110" t="str">
        <f t="shared" ca="1" si="1"/>
        <v>"2084231237" : "Harrier lai",</v>
      </c>
    </row>
    <row r="111" spans="1:6" ht="15.75" customHeight="1">
      <c r="A111" s="18">
        <v>2084054060</v>
      </c>
      <c r="B111" s="18" t="s">
        <v>9243</v>
      </c>
      <c r="C111" s="18" t="s">
        <v>9245</v>
      </c>
      <c r="D111" s="5" t="str">
        <f ca="1">IFERROR(__xludf.DUMMYFUNCTION("GOOGLETRANSLATE(B111,""ja"",""vi"")"),"Passo")</f>
        <v>Passo</v>
      </c>
      <c r="E111" s="5" t="str">
        <f ca="1">IFERROR(__xludf.DUMMYFUNCTION("GOOGLETRANSLATE(C111,""ja"",""vi"")"),"Đấu giá&gt; ô tô, xe máy&gt; ô tô cũ, ô tô mới&gt; Toyota&gt; Passo")</f>
        <v>Đấu giá&gt; ô tô, xe máy&gt; ô tô cũ, ô tô mới&gt; Toyota&gt; Passo</v>
      </c>
      <c r="F111" t="str">
        <f t="shared" ca="1" si="1"/>
        <v>"2084054060" : "Passo",</v>
      </c>
    </row>
    <row r="112" spans="1:6" ht="15.75" customHeight="1">
      <c r="A112" s="18">
        <v>2084243765</v>
      </c>
      <c r="B112" s="18" t="s">
        <v>9249</v>
      </c>
      <c r="C112" s="18" t="s">
        <v>9251</v>
      </c>
      <c r="D112" s="5" t="str">
        <f ca="1">IFERROR(__xludf.DUMMYFUNCTION("GOOGLETRANSLATE(B112,""ja"",""vi"")"),"Passosette")</f>
        <v>Passosette</v>
      </c>
      <c r="E112" s="5" t="str">
        <f ca="1">IFERROR(__xludf.DUMMYFUNCTION("GOOGLETRANSLATE(C112,""ja"",""vi"")"),"Đấu giá&gt; ô tô, xe máy&gt; ô tô cũ, ô tô mới&gt; Toyota&gt; Passosette")</f>
        <v>Đấu giá&gt; ô tô, xe máy&gt; ô tô cũ, ô tô mới&gt; Toyota&gt; Passosette</v>
      </c>
      <c r="F112" t="str">
        <f t="shared" ca="1" si="1"/>
        <v>"2084243765" : "Passosette",</v>
      </c>
    </row>
    <row r="113" spans="1:6" ht="15.75" customHeight="1">
      <c r="A113" s="18">
        <v>2084016688</v>
      </c>
      <c r="B113" s="18" t="s">
        <v>9254</v>
      </c>
      <c r="C113" s="18" t="s">
        <v>9257</v>
      </c>
      <c r="D113" s="5" t="str">
        <f ca="1">IFERROR(__xludf.DUMMYFUNCTION("GOOGLETRANSLATE(B113,""ja"",""vi"")"),"Vista")</f>
        <v>Vista</v>
      </c>
      <c r="E113" s="5" t="str">
        <f ca="1">IFERROR(__xludf.DUMMYFUNCTION("GOOGLETRANSLATE(C113,""ja"",""vi"")"),"Đấu giá&gt; ô tô, xe máy&gt; ô tô cũ, ô tô mới&gt; Toyota&gt; Vista")</f>
        <v>Đấu giá&gt; ô tô, xe máy&gt; ô tô cũ, ô tô mới&gt; Toyota&gt; Vista</v>
      </c>
      <c r="F113" t="str">
        <f t="shared" ca="1" si="1"/>
        <v>"2084016688" : "Vista",</v>
      </c>
    </row>
    <row r="114" spans="1:6" ht="15.75" customHeight="1">
      <c r="A114" s="18">
        <v>2084016689</v>
      </c>
      <c r="B114" s="18" t="s">
        <v>9260</v>
      </c>
      <c r="C114" s="18" t="s">
        <v>9262</v>
      </c>
      <c r="D114" s="5" t="str">
        <f ca="1">IFERROR(__xludf.DUMMYFUNCTION("GOOGLETRANSLATE(B114,""ja"",""vi"")"),"Vista Arudeo")</f>
        <v>Vista Arudeo</v>
      </c>
      <c r="E114" s="5" t="str">
        <f ca="1">IFERROR(__xludf.DUMMYFUNCTION("GOOGLETRANSLATE(C114,""ja"",""vi"")"),"Đấu giá&gt; ô tô, xe máy&gt; ô tô cũ, ô tô mới&gt; Toyota&gt; Vista Arudeo")</f>
        <v>Đấu giá&gt; ô tô, xe máy&gt; ô tô cũ, ô tô mới&gt; Toyota&gt; Vista Arudeo</v>
      </c>
      <c r="F114" t="str">
        <f t="shared" ca="1" si="1"/>
        <v>"2084016689" : "Vista Arudeo",</v>
      </c>
    </row>
    <row r="115" spans="1:6" ht="15.75" customHeight="1">
      <c r="A115" s="18">
        <v>2084299526</v>
      </c>
      <c r="B115" s="18" t="s">
        <v>9265</v>
      </c>
      <c r="C115" s="18" t="s">
        <v>9267</v>
      </c>
      <c r="D115" s="5" t="str">
        <f ca="1">IFERROR(__xludf.DUMMYFUNCTION("GOOGLETRANSLATE(B115,""ja"",""vi"")"),"không gian Pyxis")</f>
        <v>không gian Pyxis</v>
      </c>
      <c r="E115" s="5" t="str">
        <f ca="1">IFERROR(__xludf.DUMMYFUNCTION("GOOGLETRANSLATE(C115,""ja"",""vi"")"),"Đấu giá&gt; ô tô, xe máy&gt; ô tô cũ, ô tô mới&gt; Toyota&gt; không gian Pyxis")</f>
        <v>Đấu giá&gt; ô tô, xe máy&gt; ô tô cũ, ô tô mới&gt; Toyota&gt; không gian Pyxis</v>
      </c>
      <c r="F115" t="str">
        <f t="shared" ca="1" si="1"/>
        <v>"2084299526" : "không gian Pyxis",</v>
      </c>
    </row>
    <row r="116" spans="1:6" ht="15.75" customHeight="1">
      <c r="A116" s="18">
        <v>2084016690</v>
      </c>
      <c r="B116" s="18" t="s">
        <v>9271</v>
      </c>
      <c r="C116" s="18" t="s">
        <v>9273</v>
      </c>
      <c r="D116" s="5" t="str">
        <f ca="1">IFERROR(__xludf.DUMMYFUNCTION("GOOGLETRANSLATE(B116,""ja"",""vi"")"),"FunCargo")</f>
        <v>FunCargo</v>
      </c>
      <c r="E116" s="5" t="str">
        <f ca="1">IFERROR(__xludf.DUMMYFUNCTION("GOOGLETRANSLATE(C116,""ja"",""vi"")"),"Đấu giá&gt; ô tô, xe máy&gt; ô tô cũ, ô tô mới&gt; Toyota&gt; FunCargo")</f>
        <v>Đấu giá&gt; ô tô, xe máy&gt; ô tô cũ, ô tô mới&gt; Toyota&gt; FunCargo</v>
      </c>
      <c r="F116" t="str">
        <f t="shared" ca="1" si="1"/>
        <v>"2084016690" : "FunCargo",</v>
      </c>
    </row>
    <row r="117" spans="1:6" ht="15.75" customHeight="1">
      <c r="A117" s="18">
        <v>2084231238</v>
      </c>
      <c r="B117" s="18" t="s">
        <v>9276</v>
      </c>
      <c r="C117" s="18" t="s">
        <v>9278</v>
      </c>
      <c r="D117" s="5" t="str">
        <f ca="1">IFERROR(__xludf.DUMMYFUNCTION("GOOGLETRANSLATE(B117,""ja"",""vi"")"),"gươm")</f>
        <v>gươm</v>
      </c>
      <c r="E117" s="5" t="str">
        <f ca="1">IFERROR(__xludf.DUMMYFUNCTION("GOOGLETRANSLATE(C117,""ja"",""vi"")"),"Đấu giá&gt; ô tô, xe máy&gt; ô tô cũ, ô tô mới&gt; Toyota&gt; Blade")</f>
        <v>Đấu giá&gt; ô tô, xe máy&gt; ô tô cũ, ô tô mới&gt; Toyota&gt; Blade</v>
      </c>
      <c r="F117" t="str">
        <f t="shared" ca="1" si="1"/>
        <v>"2084231238" : "gươm",</v>
      </c>
    </row>
    <row r="118" spans="1:6" ht="15.75" customHeight="1">
      <c r="A118" s="18">
        <v>2084049067</v>
      </c>
      <c r="B118" s="18" t="s">
        <v>9282</v>
      </c>
      <c r="C118" s="18" t="s">
        <v>9284</v>
      </c>
      <c r="D118" s="5" t="str">
        <f ca="1">IFERROR(__xludf.DUMMYFUNCTION("GOOGLETRANSLATE(B118,""ja"",""vi"")"),"brevis")</f>
        <v>brevis</v>
      </c>
      <c r="E118" s="5" t="str">
        <f ca="1">IFERROR(__xludf.DUMMYFUNCTION("GOOGLETRANSLATE(C118,""ja"",""vi"")"),"Đấu giá&gt; ô tô, xe máy&gt; ô tô cũ, ô tô mới&gt; Toyota&gt; brevis")</f>
        <v>Đấu giá&gt; ô tô, xe máy&gt; ô tô cũ, ô tô mới&gt; Toyota&gt; brevis</v>
      </c>
      <c r="F118" t="str">
        <f t="shared" ca="1" si="1"/>
        <v>"2084049067" : "brevis",</v>
      </c>
    </row>
    <row r="119" spans="1:6" ht="15.75" customHeight="1">
      <c r="A119" s="18">
        <v>2084016691</v>
      </c>
      <c r="B119" s="18" t="s">
        <v>9289</v>
      </c>
      <c r="C119" s="18" t="s">
        <v>9291</v>
      </c>
      <c r="D119" s="5" t="str">
        <f ca="1">IFERROR(__xludf.DUMMYFUNCTION("GOOGLETRANSLATE(B119,""ja"",""vi"")"),"Platts")</f>
        <v>Platts</v>
      </c>
      <c r="E119" s="5" t="str">
        <f ca="1">IFERROR(__xludf.DUMMYFUNCTION("GOOGLETRANSLATE(C119,""ja"",""vi"")"),"Đấu giá&gt; ô tô, xe máy&gt; ô tô cũ, ô tô mới&gt; Toyota&gt; Platz")</f>
        <v>Đấu giá&gt; ô tô, xe máy&gt; ô tô cũ, ô tô mới&gt; Toyota&gt; Platz</v>
      </c>
      <c r="F119" t="str">
        <f t="shared" ca="1" si="1"/>
        <v>"2084016691" : "Platts",</v>
      </c>
    </row>
    <row r="120" spans="1:6" ht="15.75" customHeight="1">
      <c r="A120" s="18">
        <v>2084016692</v>
      </c>
      <c r="B120" s="18" t="s">
        <v>9295</v>
      </c>
      <c r="C120" s="18" t="s">
        <v>9297</v>
      </c>
      <c r="D120" s="5" t="str">
        <f ca="1">IFERROR(__xludf.DUMMYFUNCTION("GOOGLETRANSLATE(B120,""ja"",""vi"")"),"Prius")</f>
        <v>Prius</v>
      </c>
      <c r="E120" s="5" t="str">
        <f ca="1">IFERROR(__xludf.DUMMYFUNCTION("GOOGLETRANSLATE(C120,""ja"",""vi"")"),"Đấu giá&gt; ô tô, xe máy&gt; ô tô cũ, ô tô mới&gt; Toyota&gt; Prius")</f>
        <v>Đấu giá&gt; ô tô, xe máy&gt; ô tô cũ, ô tô mới&gt; Toyota&gt; Prius</v>
      </c>
      <c r="F120" t="str">
        <f t="shared" ca="1" si="1"/>
        <v>"2084016692" : "Prius",</v>
      </c>
    </row>
    <row r="121" spans="1:6" ht="15.75" customHeight="1">
      <c r="A121" s="18">
        <v>2084299524</v>
      </c>
      <c r="B121" s="18" t="s">
        <v>9301</v>
      </c>
      <c r="C121" s="18" t="s">
        <v>9303</v>
      </c>
      <c r="D121" s="5" t="str">
        <f ca="1">IFERROR(__xludf.DUMMYFUNCTION("GOOGLETRANSLATE(B121,""ja"",""vi"")"),"Prius α")</f>
        <v>Prius α</v>
      </c>
      <c r="E121" s="5" t="str">
        <f ca="1">IFERROR(__xludf.DUMMYFUNCTION("GOOGLETRANSLATE(C121,""ja"",""vi"")"),"Đấu giá&gt; ô tô, xe máy&gt; ô tô cũ, ô tô mới&gt; Toyota&gt; Prius α")</f>
        <v>Đấu giá&gt; ô tô, xe máy&gt; ô tô cũ, ô tô mới&gt; Toyota&gt; Prius α</v>
      </c>
      <c r="F121" t="str">
        <f t="shared" ca="1" si="1"/>
        <v>"2084299524" : "Prius α",</v>
      </c>
    </row>
    <row r="122" spans="1:6" ht="15.75" customHeight="1">
      <c r="A122" s="18">
        <v>2084299525</v>
      </c>
      <c r="B122" s="18" t="s">
        <v>9308</v>
      </c>
      <c r="C122" s="18" t="s">
        <v>9309</v>
      </c>
      <c r="D122" s="5" t="str">
        <f ca="1">IFERROR(__xludf.DUMMYFUNCTION("GOOGLETRANSLATE(B122,""ja"",""vi"")"),"Premio")</f>
        <v>Premio</v>
      </c>
      <c r="E122" s="5" t="str">
        <f ca="1">IFERROR(__xludf.DUMMYFUNCTION("GOOGLETRANSLATE(C122,""ja"",""vi"")"),"Đấu giá&gt; ô tô, xe máy&gt; ô tô cũ, ô tô mới&gt; Toyota&gt; Premio")</f>
        <v>Đấu giá&gt; ô tô, xe máy&gt; ô tô cũ, ô tô mới&gt; Toyota&gt; Premio</v>
      </c>
      <c r="F122" t="str">
        <f t="shared" ca="1" si="1"/>
        <v>"2084299525" : "Premio",</v>
      </c>
    </row>
    <row r="123" spans="1:6" ht="15.75" customHeight="1">
      <c r="A123" s="18">
        <v>2084016693</v>
      </c>
      <c r="B123" s="18" t="s">
        <v>9311</v>
      </c>
      <c r="C123" s="18" t="s">
        <v>9312</v>
      </c>
      <c r="D123" s="5" t="str">
        <f ca="1">IFERROR(__xludf.DUMMYFUNCTION("GOOGLETRANSLATE(B123,""ja"",""vi"")"),"cấp tiến")</f>
        <v>cấp tiến</v>
      </c>
      <c r="E123" s="5" t="str">
        <f ca="1">IFERROR(__xludf.DUMMYFUNCTION("GOOGLETRANSLATE(C123,""ja"",""vi"")"),"Đấu giá&gt; ô tô, xe máy&gt; ô tô cũ, ô tô mới&gt; Toyota&gt; Prog")</f>
        <v>Đấu giá&gt; ô tô, xe máy&gt; ô tô cũ, ô tô mới&gt; Toyota&gt; Prog</v>
      </c>
      <c r="F123" t="str">
        <f t="shared" ca="1" si="1"/>
        <v>"2084016693" : "cấp tiến",</v>
      </c>
    </row>
    <row r="124" spans="1:6" ht="15.75" customHeight="1">
      <c r="A124" s="18">
        <v>2084049537</v>
      </c>
      <c r="B124" s="18" t="s">
        <v>9316</v>
      </c>
      <c r="C124" s="18" t="s">
        <v>9318</v>
      </c>
      <c r="D124" s="5" t="str">
        <f ca="1">IFERROR(__xludf.DUMMYFUNCTION("GOOGLETRANSLATE(B124,""ja"",""vi"")"),"Pronard")</f>
        <v>Pronard</v>
      </c>
      <c r="E124" s="5" t="str">
        <f ca="1">IFERROR(__xludf.DUMMYFUNCTION("GOOGLETRANSLATE(C124,""ja"",""vi"")"),"Đấu giá&gt; ô tô, xe máy&gt; ô tô cũ, ô tô mới&gt; Toyota&gt; Pronard")</f>
        <v>Đấu giá&gt; ô tô, xe máy&gt; ô tô cũ, ô tô mới&gt; Toyota&gt; Pronard</v>
      </c>
      <c r="F124" t="str">
        <f t="shared" ca="1" si="1"/>
        <v>"2084049537" : "Pronard",</v>
      </c>
    </row>
    <row r="125" spans="1:6" ht="15.75" customHeight="1">
      <c r="A125" s="18">
        <v>2084053609</v>
      </c>
      <c r="B125" s="18" t="s">
        <v>9322</v>
      </c>
      <c r="C125" s="18" t="s">
        <v>9323</v>
      </c>
      <c r="D125" s="5" t="str">
        <f ca="1">IFERROR(__xludf.DUMMYFUNCTION("GOOGLETRANSLATE(B125,""ja"",""vi"")"),"hộp chuyên nghiệp")</f>
        <v>hộp chuyên nghiệp</v>
      </c>
      <c r="E125" s="5" t="str">
        <f ca="1">IFERROR(__xludf.DUMMYFUNCTION("GOOGLETRANSLATE(C125,""ja"",""vi"")"),"Đấu giá&gt; ô tô, xe máy&gt; ô tô cũ, ô tô mới&gt; Toyota&gt; hộp chuyên nghiệp")</f>
        <v>Đấu giá&gt; ô tô, xe máy&gt; ô tô cũ, ô tô mới&gt; Toyota&gt; hộp chuyên nghiệp</v>
      </c>
      <c r="F125" t="str">
        <f t="shared" ca="1" si="1"/>
        <v>"2084053609" : "hộp chuyên nghiệp",</v>
      </c>
    </row>
    <row r="126" spans="1:6" ht="15.75" customHeight="1">
      <c r="A126" s="18">
        <v>2084205147</v>
      </c>
      <c r="B126" s="18" t="s">
        <v>9328</v>
      </c>
      <c r="C126" s="18" t="s">
        <v>9329</v>
      </c>
      <c r="D126" s="5" t="str">
        <f ca="1">IFERROR(__xludf.DUMMYFUNCTION("GOOGLETRANSLATE(B126,""ja"",""vi"")"),"Berta")</f>
        <v>Berta</v>
      </c>
      <c r="E126" s="5" t="str">
        <f ca="1">IFERROR(__xludf.DUMMYFUNCTION("GOOGLETRANSLATE(C126,""ja"",""vi"")"),"Đấu giá&gt; ô tô, xe máy&gt; ô tô cũ, ô tô mới&gt; Toyota&gt; Bertha")</f>
        <v>Đấu giá&gt; ô tô, xe máy&gt; ô tô cũ, ô tô mới&gt; Toyota&gt; Bertha</v>
      </c>
      <c r="F126" t="str">
        <f t="shared" ca="1" si="1"/>
        <v>"2084205147" : "Berta",</v>
      </c>
    </row>
    <row r="127" spans="1:6" ht="15.75" customHeight="1">
      <c r="A127" s="18">
        <v>2084057455</v>
      </c>
      <c r="B127" s="18" t="s">
        <v>9333</v>
      </c>
      <c r="C127" s="18" t="s">
        <v>9334</v>
      </c>
      <c r="D127" s="5" t="str">
        <f ca="1">IFERROR(__xludf.DUMMYFUNCTION("GOOGLETRANSLATE(B127,""ja"",""vi"")"),"Porte")</f>
        <v>Porte</v>
      </c>
      <c r="E127" s="5" t="str">
        <f ca="1">IFERROR(__xludf.DUMMYFUNCTION("GOOGLETRANSLATE(C127,""ja"",""vi"")"),"Đấu giá&gt; ô tô, xe máy&gt; ô tô cũ, ô tô mới&gt; Toyota&gt; Porte")</f>
        <v>Đấu giá&gt; ô tô, xe máy&gt; ô tô cũ, ô tô mới&gt; Toyota&gt; Porte</v>
      </c>
      <c r="F127" t="str">
        <f t="shared" ca="1" si="1"/>
        <v>"2084057455" : "Porte",</v>
      </c>
    </row>
    <row r="128" spans="1:6" ht="15.75" customHeight="1">
      <c r="A128" s="18">
        <v>2084016694</v>
      </c>
      <c r="B128" s="18" t="s">
        <v>9337</v>
      </c>
      <c r="C128" s="18" t="s">
        <v>9339</v>
      </c>
      <c r="D128" s="5" t="str">
        <f ca="1">IFERROR(__xludf.DUMMYFUNCTION("GOOGLETRANSLATE(B128,""ja"",""vi"")"),"Mark II")</f>
        <v>Mark II</v>
      </c>
      <c r="E128" s="5" t="str">
        <f ca="1">IFERROR(__xludf.DUMMYFUNCTION("GOOGLETRANSLATE(C128,""ja"",""vi"")"),"Đấu giá&gt; ô tô, xe máy&gt; ô tô cũ, ô tô mới&gt; Toyota&gt; Mark II")</f>
        <v>Đấu giá&gt; ô tô, xe máy&gt; ô tô cũ, ô tô mới&gt; Toyota&gt; Mark II</v>
      </c>
      <c r="F128" t="str">
        <f t="shared" ca="1" si="1"/>
        <v>"2084016694" : "Mark II",</v>
      </c>
    </row>
    <row r="129" spans="1:6" ht="15.75" customHeight="1">
      <c r="A129" s="18">
        <v>2084016695</v>
      </c>
      <c r="B129" s="18" t="s">
        <v>9341</v>
      </c>
      <c r="C129" s="18" t="s">
        <v>9343</v>
      </c>
      <c r="D129" s="5" t="str">
        <f ca="1">IFERROR(__xludf.DUMMYFUNCTION("GOOGLETRANSLATE(B129,""ja"",""vi"")"),"Mark II Qualis")</f>
        <v>Mark II Qualis</v>
      </c>
      <c r="E129" s="5" t="str">
        <f ca="1">IFERROR(__xludf.DUMMYFUNCTION("GOOGLETRANSLATE(C129,""ja"",""vi"")"),"Đấu giá&gt; ô tô, xe máy&gt; ô tô cũ, ô tô mới&gt; Toyota&gt; Mark II Qualis")</f>
        <v>Đấu giá&gt; ô tô, xe máy&gt; ô tô cũ, ô tô mới&gt; Toyota&gt; Mark II Qualis</v>
      </c>
      <c r="F129" t="str">
        <f t="shared" ca="1" si="1"/>
        <v>"2084016695" : "Mark II Qualis",</v>
      </c>
    </row>
    <row r="130" spans="1:6" ht="15.75" customHeight="1">
      <c r="A130" s="18">
        <v>2084048047</v>
      </c>
      <c r="B130" s="18" t="s">
        <v>9347</v>
      </c>
      <c r="C130" s="18" t="s">
        <v>9349</v>
      </c>
      <c r="D130" s="5" t="str">
        <f ca="1">IFERROR(__xludf.DUMMYFUNCTION("GOOGLETRANSLATE(B130,""ja"",""vi"")"),"Mark II van")</f>
        <v>Mark II van</v>
      </c>
      <c r="E130" s="5" t="str">
        <f ca="1">IFERROR(__xludf.DUMMYFUNCTION("GOOGLETRANSLATE(C130,""ja"",""vi"")"),"Đấu giá&gt; ô tô, xe máy&gt; ô tô cũ, ô tô mới&gt; Toyota&gt; Mark II van")</f>
        <v>Đấu giá&gt; ô tô, xe máy&gt; ô tô cũ, ô tô mới&gt; Toyota&gt; Mark II van</v>
      </c>
      <c r="F130" t="str">
        <f t="shared" ref="F130:F193" ca="1" si="2">CONCATENATE(CHAR(34)&amp;"",A130,""&amp;CHAR(34)," : ", CHAR(34)&amp;"",D130,""&amp;CHAR(34),",")</f>
        <v>"2084048047" : "Mark II van",</v>
      </c>
    </row>
    <row r="131" spans="1:6" ht="15.75" customHeight="1">
      <c r="A131" s="18">
        <v>2084053618</v>
      </c>
      <c r="B131" s="18" t="s">
        <v>9351</v>
      </c>
      <c r="C131" s="18" t="s">
        <v>9353</v>
      </c>
      <c r="D131" s="5" t="str">
        <f ca="1">IFERROR(__xludf.DUMMYFUNCTION("GOOGLETRANSLATE(B131,""ja"",""vi"")"),"Mark II Brit")</f>
        <v>Mark II Brit</v>
      </c>
      <c r="E131" s="5" t="str">
        <f ca="1">IFERROR(__xludf.DUMMYFUNCTION("GOOGLETRANSLATE(C131,""ja"",""vi"")"),"Đấu giá&gt; ô tô, xe máy&gt; ô tô cũ, ô tô mới&gt; Toyota&gt; Mark II Brit")</f>
        <v>Đấu giá&gt; ô tô, xe máy&gt; ô tô cũ, ô tô mới&gt; Toyota&gt; Mark II Brit</v>
      </c>
      <c r="F131" t="str">
        <f t="shared" ca="1" si="2"/>
        <v>"2084053618" : "Mark II Brit",</v>
      </c>
    </row>
    <row r="132" spans="1:6" ht="15.75" customHeight="1">
      <c r="A132" s="18">
        <v>2084048048</v>
      </c>
      <c r="B132" s="18" t="s">
        <v>9357</v>
      </c>
      <c r="C132" s="18" t="s">
        <v>9358</v>
      </c>
      <c r="D132" s="5" t="str">
        <f ca="1">IFERROR(__xludf.DUMMYFUNCTION("GOOGLETRANSLATE(B132,""ja"",""vi"")"),"Mark II Wagon")</f>
        <v>Mark II Wagon</v>
      </c>
      <c r="E132" s="5" t="str">
        <f ca="1">IFERROR(__xludf.DUMMYFUNCTION("GOOGLETRANSLATE(C132,""ja"",""vi"")"),"Đấu giá&gt; ô tô, xe máy&gt; ô tô cũ, ô tô mới&gt; Toyota&gt; Mark II Wagon")</f>
        <v>Đấu giá&gt; ô tô, xe máy&gt; ô tô cũ, ô tô mới&gt; Toyota&gt; Mark II Wagon</v>
      </c>
      <c r="F132" t="str">
        <f t="shared" ca="1" si="2"/>
        <v>"2084048048" : "Mark II Wagon",</v>
      </c>
    </row>
    <row r="133" spans="1:6" ht="15.75" customHeight="1">
      <c r="A133" s="18">
        <v>2084059195</v>
      </c>
      <c r="B133" s="18" t="s">
        <v>9362</v>
      </c>
      <c r="C133" s="18" t="s">
        <v>9363</v>
      </c>
      <c r="D133" s="5" t="str">
        <f ca="1">IFERROR(__xludf.DUMMYFUNCTION("GOOGLETRANSLATE(B133,""ja"",""vi"")"),"Mark X")</f>
        <v>Mark X</v>
      </c>
      <c r="E133" s="5" t="str">
        <f ca="1">IFERROR(__xludf.DUMMYFUNCTION("GOOGLETRANSLATE(C133,""ja"",""vi"")"),"Đấu giá&gt; ô tô, xe máy&gt; ô tô cũ, ô tô mới&gt; Toyota&gt; Mark X")</f>
        <v>Đấu giá&gt; ô tô, xe máy&gt; ô tô cũ, ô tô mới&gt; Toyota&gt; Mark X</v>
      </c>
      <c r="F133" t="str">
        <f t="shared" ca="1" si="2"/>
        <v>"2084059195" : "Mark X",</v>
      </c>
    </row>
    <row r="134" spans="1:6" ht="15.75" customHeight="1">
      <c r="A134" s="18">
        <v>2084231239</v>
      </c>
      <c r="B134" s="18" t="s">
        <v>9367</v>
      </c>
      <c r="C134" s="18" t="s">
        <v>9368</v>
      </c>
      <c r="D134" s="5" t="str">
        <f ca="1">IFERROR(__xludf.DUMMYFUNCTION("GOOGLETRANSLATE(B134,""ja"",""vi"")"),"Mark X Geo")</f>
        <v>Mark X Geo</v>
      </c>
      <c r="E134" s="5" t="str">
        <f ca="1">IFERROR(__xludf.DUMMYFUNCTION("GOOGLETRANSLATE(C134,""ja"",""vi"")"),"Đấu giá&gt; ô tô, xe máy&gt; ô tô cũ, ô tô mới&gt; Toyota&gt; Mark X Geo")</f>
        <v>Đấu giá&gt; ô tô, xe máy&gt; ô tô cũ, ô tô mới&gt; Toyota&gt; Mark X Geo</v>
      </c>
      <c r="F134" t="str">
        <f t="shared" ca="1" si="2"/>
        <v>"2084231239" : "Mark X Geo",</v>
      </c>
    </row>
    <row r="135" spans="1:6" ht="15.75" customHeight="1">
      <c r="A135" s="18">
        <v>2084049068</v>
      </c>
      <c r="B135" s="18" t="s">
        <v>9371</v>
      </c>
      <c r="C135" s="18" t="s">
        <v>9372</v>
      </c>
      <c r="D135" s="5" t="str">
        <f ca="1">IFERROR(__xludf.DUMMYFUNCTION("GOOGLETRANSLATE(B135,""ja"",""vi"")"),"Thạc sĩ Ace Surf")</f>
        <v>Thạc sĩ Ace Surf</v>
      </c>
      <c r="E135" s="5" t="str">
        <f ca="1">IFERROR(__xludf.DUMMYFUNCTION("GOOGLETRANSLATE(C135,""ja"",""vi"")"),"Đấu giá&gt; ô tô, xe máy&gt; ô tô cũ, ô tô mới&gt; Toyota&gt; Thạc sĩ Ace Surf")</f>
        <v>Đấu giá&gt; ô tô, xe máy&gt; ô tô cũ, ô tô mới&gt; Toyota&gt; Thạc sĩ Ace Surf</v>
      </c>
      <c r="F135" t="str">
        <f t="shared" ca="1" si="2"/>
        <v>"2084049068" : "Thạc sĩ Ace Surf",</v>
      </c>
    </row>
    <row r="136" spans="1:6" ht="15.75" customHeight="1">
      <c r="A136" s="18">
        <v>2084048050</v>
      </c>
      <c r="B136" s="18" t="s">
        <v>9376</v>
      </c>
      <c r="C136" s="18" t="s">
        <v>9377</v>
      </c>
      <c r="D136" s="5" t="str">
        <f ca="1">IFERROR(__xludf.DUMMYFUNCTION("GOOGLETRANSLATE(B136,""ja"",""vi"")"),"Liteace")</f>
        <v>Liteace</v>
      </c>
      <c r="E136" s="5" t="str">
        <f ca="1">IFERROR(__xludf.DUMMYFUNCTION("GOOGLETRANSLATE(C136,""ja"",""vi"")"),"Đấu giá&gt; ô tô, xe máy&gt; ô tô cũ, ô tô mới&gt; Toyota&gt; Liteace")</f>
        <v>Đấu giá&gt; ô tô, xe máy&gt; ô tô cũ, ô tô mới&gt; Toyota&gt; Liteace</v>
      </c>
      <c r="F136" t="str">
        <f t="shared" ca="1" si="2"/>
        <v>"2084048050" : "Liteace",</v>
      </c>
    </row>
    <row r="137" spans="1:6" ht="15.75" customHeight="1">
      <c r="A137" s="18">
        <v>2084048049</v>
      </c>
      <c r="B137" s="18" t="s">
        <v>9381</v>
      </c>
      <c r="C137" s="18" t="s">
        <v>9382</v>
      </c>
      <c r="D137" s="5" t="str">
        <f ca="1">IFERROR(__xludf.DUMMYFUNCTION("GOOGLETRANSLATE(B137,""ja"",""vi"")"),"Ace Noah ánh sáng")</f>
        <v>Ace Noah ánh sáng</v>
      </c>
      <c r="E137" s="5" t="str">
        <f ca="1">IFERROR(__xludf.DUMMYFUNCTION("GOOGLETRANSLATE(C137,""ja"",""vi"")"),"Đấu giá&gt; ô tô, xe máy&gt; ô tô cũ, ô tô mới&gt; Toyota&gt; Ace Noah nhẹ")</f>
        <v>Đấu giá&gt; ô tô, xe máy&gt; ô tô cũ, ô tô mới&gt; Toyota&gt; Ace Noah nhẹ</v>
      </c>
      <c r="F137" t="str">
        <f t="shared" ca="1" si="2"/>
        <v>"2084048049" : "Ace Noah ánh sáng",</v>
      </c>
    </row>
    <row r="138" spans="1:6" ht="15.75" customHeight="1">
      <c r="A138" s="18">
        <v>2084016697</v>
      </c>
      <c r="B138" s="18" t="s">
        <v>9386</v>
      </c>
      <c r="C138" s="18" t="s">
        <v>9388</v>
      </c>
      <c r="D138" s="5" t="str">
        <f ca="1">IFERROR(__xludf.DUMMYFUNCTION("GOOGLETRANSLATE(B138,""ja"",""vi"")"),"Raum")</f>
        <v>Raum</v>
      </c>
      <c r="E138" s="5" t="str">
        <f ca="1">IFERROR(__xludf.DUMMYFUNCTION("GOOGLETRANSLATE(C138,""ja"",""vi"")"),"Đấu giá&gt; ô tô, xe máy&gt; ô tô cũ, ô tô mới&gt; Toyota&gt; Raum")</f>
        <v>Đấu giá&gt; ô tô, xe máy&gt; ô tô cũ, ô tô mới&gt; Toyota&gt; Raum</v>
      </c>
      <c r="F138" t="str">
        <f t="shared" ca="1" si="2"/>
        <v>"2084016697" : "Raum",</v>
      </c>
    </row>
    <row r="139" spans="1:6" ht="15.75" customHeight="1">
      <c r="A139" s="18">
        <v>2084204519</v>
      </c>
      <c r="B139" s="18" t="s">
        <v>9392</v>
      </c>
      <c r="C139" s="18" t="s">
        <v>9393</v>
      </c>
      <c r="D139" s="5" t="str">
        <f ca="1">IFERROR(__xludf.DUMMYFUNCTION("GOOGLETRANSLATE(B139,""ja"",""vi"")"),"lactis")</f>
        <v>lactis</v>
      </c>
      <c r="E139" s="5" t="str">
        <f ca="1">IFERROR(__xludf.DUMMYFUNCTION("GOOGLETRANSLATE(C139,""ja"",""vi"")"),"Đấu giá&gt; ô tô, xe máy&gt; ô tô cũ, ô tô mới&gt; Toyota&gt; thực hành")</f>
        <v>Đấu giá&gt; ô tô, xe máy&gt; ô tô cũ, ô tô mới&gt; Toyota&gt; thực hành</v>
      </c>
      <c r="F139" t="str">
        <f t="shared" ca="1" si="2"/>
        <v>"2084204519" : "lactis",</v>
      </c>
    </row>
    <row r="140" spans="1:6" ht="15.75" customHeight="1">
      <c r="A140" s="18">
        <v>2084231240</v>
      </c>
      <c r="B140" s="18" t="s">
        <v>9397</v>
      </c>
      <c r="C140" s="18" t="s">
        <v>9398</v>
      </c>
      <c r="D140" s="5" t="str">
        <f ca="1">IFERROR(__xludf.DUMMYFUNCTION("GOOGLETRANSLATE(B140,""ja"",""vi"")"),"vội vàng")</f>
        <v>vội vàng</v>
      </c>
      <c r="E140" s="5" t="str">
        <f ca="1">IFERROR(__xludf.DUMMYFUNCTION("GOOGLETRANSLATE(C140,""ja"",""vi"")"),"Đấu giá&gt; ô tô, xe máy&gt; ô tô cũ, ô tô mới&gt; Toyota&gt; rush")</f>
        <v>Đấu giá&gt; ô tô, xe máy&gt; ô tô cũ, ô tô mới&gt; Toyota&gt; rush</v>
      </c>
      <c r="F140" t="str">
        <f t="shared" ca="1" si="2"/>
        <v>"2084231240" : "vội vàng",</v>
      </c>
    </row>
    <row r="141" spans="1:6" ht="15.75" customHeight="1">
      <c r="A141" s="18">
        <v>2084016698</v>
      </c>
      <c r="B141" s="18" t="s">
        <v>9402</v>
      </c>
      <c r="C141" s="18" t="s">
        <v>9403</v>
      </c>
      <c r="D141" s="5" t="str">
        <f ca="1">IFERROR(__xludf.DUMMYFUNCTION("GOOGLETRANSLATE(B141,""ja"",""vi"")"),"Land Cruiser")</f>
        <v>Land Cruiser</v>
      </c>
      <c r="E141" s="5" t="str">
        <f ca="1">IFERROR(__xludf.DUMMYFUNCTION("GOOGLETRANSLATE(C141,""ja"",""vi"")"),"Đấu giá&gt; ô tô, xe máy&gt; ô tô cũ, ô tô mới&gt; Toyota&gt; Land Cruiser")</f>
        <v>Đấu giá&gt; ô tô, xe máy&gt; ô tô cũ, ô tô mới&gt; Toyota&gt; Land Cruiser</v>
      </c>
      <c r="F141" t="str">
        <f t="shared" ca="1" si="2"/>
        <v>"2084016698" : "Land Cruiser",</v>
      </c>
    </row>
    <row r="142" spans="1:6" ht="15.75" customHeight="1">
      <c r="A142" s="18">
        <v>2084243768</v>
      </c>
      <c r="B142" s="18" t="s">
        <v>9407</v>
      </c>
      <c r="C142" s="18" t="s">
        <v>9409</v>
      </c>
      <c r="D142" s="5" t="str">
        <f ca="1">IFERROR(__xludf.DUMMYFUNCTION("GOOGLETRANSLATE(B142,""ja"",""vi"")"),"Land Cruiser 200")</f>
        <v>Land Cruiser 200</v>
      </c>
      <c r="E142" s="5" t="str">
        <f ca="1">IFERROR(__xludf.DUMMYFUNCTION("GOOGLETRANSLATE(C142,""ja"",""vi"")"),"Đấu giá&gt; ô tô, xe máy&gt; ô tô cũ, ô tô mới&gt; Toyota&gt; Land Cruiser 200")</f>
        <v>Đấu giá&gt; ô tô, xe máy&gt; ô tô cũ, ô tô mới&gt; Toyota&gt; Land Cruiser 200</v>
      </c>
      <c r="F142" t="str">
        <f t="shared" ca="1" si="2"/>
        <v>"2084243768" : "Land Cruiser 200",</v>
      </c>
    </row>
    <row r="143" spans="1:6" ht="15.75" customHeight="1">
      <c r="A143" s="18">
        <v>2084016699</v>
      </c>
      <c r="B143" s="18" t="s">
        <v>9413</v>
      </c>
      <c r="C143" s="18" t="s">
        <v>9417</v>
      </c>
      <c r="D143" s="5" t="str">
        <f ca="1">IFERROR(__xludf.DUMMYFUNCTION("GOOGLETRANSLATE(B143,""ja"",""vi"")"),"Land Cruiser Prado")</f>
        <v>Land Cruiser Prado</v>
      </c>
      <c r="E143" s="5" t="str">
        <f ca="1">IFERROR(__xludf.DUMMYFUNCTION("GOOGLETRANSLATE(C143,""ja"",""vi"")"),"Đấu giá&gt; ô tô, xe máy&gt; ô tô cũ, ô tô mới&gt; Toyota&gt; Land Cruiser Prado")</f>
        <v>Đấu giá&gt; ô tô, xe máy&gt; ô tô cũ, ô tô mới&gt; Toyota&gt; Land Cruiser Prado</v>
      </c>
      <c r="F143" t="str">
        <f t="shared" ca="1" si="2"/>
        <v>"2084016699" : "Land Cruiser Prado",</v>
      </c>
    </row>
    <row r="144" spans="1:6" ht="15.75" customHeight="1">
      <c r="A144" s="18">
        <v>2084048051</v>
      </c>
      <c r="B144" s="18" t="s">
        <v>9420</v>
      </c>
      <c r="C144" s="18" t="s">
        <v>9423</v>
      </c>
      <c r="D144" s="5" t="str">
        <f ca="1">IFERROR(__xludf.DUMMYFUNCTION("GOOGLETRANSLATE(B144,""ja"",""vi"")"),"Regius")</f>
        <v>Regius</v>
      </c>
      <c r="E144" s="5" t="str">
        <f ca="1">IFERROR(__xludf.DUMMYFUNCTION("GOOGLETRANSLATE(C144,""ja"",""vi"")"),"Đấu giá&gt; ô tô, xe máy&gt; ô tô cũ, ô tô mới&gt; Toyota&gt; Regius")</f>
        <v>Đấu giá&gt; ô tô, xe máy&gt; ô tô cũ, ô tô mới&gt; Toyota&gt; Regius</v>
      </c>
      <c r="F144" t="str">
        <f t="shared" ca="1" si="2"/>
        <v>"2084048051" : "Regius",</v>
      </c>
    </row>
    <row r="145" spans="1:6" ht="15.75" customHeight="1">
      <c r="A145" s="18">
        <v>2084049069</v>
      </c>
      <c r="B145" s="18" t="s">
        <v>9426</v>
      </c>
      <c r="C145" s="18" t="s">
        <v>9428</v>
      </c>
      <c r="D145" s="5" t="str">
        <f ca="1">IFERROR(__xludf.DUMMYFUNCTION("GOOGLETRANSLATE(B145,""ja"",""vi"")"),"Regius Ace")</f>
        <v>Regius Ace</v>
      </c>
      <c r="E145" s="5" t="str">
        <f ca="1">IFERROR(__xludf.DUMMYFUNCTION("GOOGLETRANSLATE(C145,""ja"",""vi"")"),"Đấu giá&gt; ô tô, xe máy&gt; ô tô cũ, ô tô mới&gt; Toyota&gt; Regius Ace")</f>
        <v>Đấu giá&gt; ô tô, xe máy&gt; ô tô cũ, ô tô mới&gt; Toyota&gt; Regius Ace</v>
      </c>
      <c r="F145" t="str">
        <f t="shared" ca="1" si="2"/>
        <v>"2084049069" : "Regius Ace",</v>
      </c>
    </row>
    <row r="146" spans="1:6" ht="15.75" customHeight="1">
      <c r="A146" s="18">
        <v>2084299520</v>
      </c>
      <c r="B146" s="18" t="s">
        <v>9431</v>
      </c>
      <c r="C146" s="18" t="s">
        <v>9439</v>
      </c>
      <c r="D146" s="5" t="str">
        <f ca="1">IFERROR(__xludf.DUMMYFUNCTION("GOOGLETRANSLATE(B146,""ja"",""vi"")"),"Vanguard")</f>
        <v>Vanguard</v>
      </c>
      <c r="E146" s="5" t="str">
        <f ca="1">IFERROR(__xludf.DUMMYFUNCTION("GOOGLETRANSLATE(C146,""ja"",""vi"")"),"Đấu giá&gt; ô tô, xe máy&gt; ô tô cũ, ô tô mới&gt; Toyota&gt; Vanguard")</f>
        <v>Đấu giá&gt; ô tô, xe máy&gt; ô tô cũ, ô tô mới&gt; Toyota&gt; Vanguard</v>
      </c>
      <c r="F146" t="str">
        <f t="shared" ca="1" si="2"/>
        <v>"2084299520" : "Vanguard",</v>
      </c>
    </row>
    <row r="147" spans="1:6" ht="15.75" customHeight="1">
      <c r="A147" s="18">
        <v>2084016635</v>
      </c>
      <c r="B147" s="18" t="s">
        <v>9441</v>
      </c>
      <c r="C147" s="18" t="s">
        <v>9442</v>
      </c>
      <c r="D147" s="5" t="str">
        <f ca="1">IFERROR(__xludf.DUMMYFUNCTION("GOOGLETRANSLATE(B147,""ja"",""vi"")"),"Vitz")</f>
        <v>Vitz</v>
      </c>
      <c r="E147" s="5" t="str">
        <f ca="1">IFERROR(__xludf.DUMMYFUNCTION("GOOGLETRANSLATE(C147,""ja"",""vi"")"),"Đấu giá&gt; ô tô, xe máy&gt; ô tô cũ, ô tô mới&gt; Toyota&gt; Vitz")</f>
        <v>Đấu giá&gt; ô tô, xe máy&gt; ô tô cũ, ô tô mới&gt; Toyota&gt; Vitz</v>
      </c>
      <c r="F147" t="str">
        <f t="shared" ca="1" si="2"/>
        <v>"2084016635" : "Vitz",</v>
      </c>
    </row>
    <row r="148" spans="1:6" ht="15.75" customHeight="1">
      <c r="A148" s="18">
        <v>2084231724</v>
      </c>
      <c r="B148" s="18" t="s">
        <v>9447</v>
      </c>
      <c r="C148" s="18" t="s">
        <v>9448</v>
      </c>
      <c r="D148" s="5" t="str">
        <f ca="1">IFERROR(__xludf.DUMMYFUNCTION("GOOGLETRANSLATE(B148,""ja"",""vi"")"),"VELLFIRE")</f>
        <v>VELLFIRE</v>
      </c>
      <c r="E148" s="5" t="str">
        <f ca="1">IFERROR(__xludf.DUMMYFUNCTION("GOOGLETRANSLATE(C148,""ja"",""vi"")"),"Đấu giá&gt; ô tô, xe máy&gt; ô tô cũ, ô tô mới&gt; Toyota&gt; VELLFIRE")</f>
        <v>Đấu giá&gt; ô tô, xe máy&gt; ô tô cũ, ô tô mới&gt; Toyota&gt; VELLFIRE</v>
      </c>
      <c r="F148" t="str">
        <f t="shared" ca="1" si="2"/>
        <v>"2084231724" : "VELLFIRE",</v>
      </c>
    </row>
    <row r="149" spans="1:6" ht="15.75" customHeight="1">
      <c r="A149" s="18">
        <v>2084299521</v>
      </c>
      <c r="B149" s="18" t="s">
        <v>9453</v>
      </c>
      <c r="C149" s="18" t="s">
        <v>9454</v>
      </c>
      <c r="D149" s="5" t="str">
        <f ca="1">IFERROR(__xludf.DUMMYFUNCTION("GOOGLETRANSLATE(B149,""ja"",""vi"")"),"VELLFIRE lai")</f>
        <v>VELLFIRE lai</v>
      </c>
      <c r="E149" s="5" t="str">
        <f ca="1">IFERROR(__xludf.DUMMYFUNCTION("GOOGLETRANSLATE(C149,""ja"",""vi"")"),"Đấu giá&gt; ô tô, xe máy&gt; ô tô cũ, ô tô mới&gt; Toyota&gt; VELLFIRE lai")</f>
        <v>Đấu giá&gt; ô tô, xe máy&gt; ô tô cũ, ô tô mới&gt; Toyota&gt; VELLFIRE lai</v>
      </c>
      <c r="F149" t="str">
        <f t="shared" ca="1" si="2"/>
        <v>"2084299521" : "VELLFIRE lai",</v>
      </c>
    </row>
    <row r="150" spans="1:6" ht="15.75" customHeight="1">
      <c r="A150" s="18">
        <v>2084049057</v>
      </c>
      <c r="B150" s="18" t="s">
        <v>9458</v>
      </c>
      <c r="C150" s="18" t="s">
        <v>9460</v>
      </c>
      <c r="D150" s="5" t="str">
        <f ca="1">IFERROR(__xludf.DUMMYFUNCTION("GOOGLETRANSLATE(B150,""ja"",""vi"")"),"Verossa")</f>
        <v>Verossa</v>
      </c>
      <c r="E150" s="5" t="str">
        <f ca="1">IFERROR(__xludf.DUMMYFUNCTION("GOOGLETRANSLATE(C150,""ja"",""vi"")"),"Đấu giá&gt; ô tô, xe máy&gt; ô tô cũ, ô tô mới&gt; Toyota&gt; Verossa")</f>
        <v>Đấu giá&gt; ô tô, xe máy&gt; ô tô cũ, ô tô mới&gt; Toyota&gt; Verossa</v>
      </c>
      <c r="F150" t="str">
        <f t="shared" ca="1" si="2"/>
        <v>"2084049057" : "Verossa",</v>
      </c>
    </row>
    <row r="151" spans="1:6" ht="15.75" customHeight="1">
      <c r="A151" s="18">
        <v>2084049058</v>
      </c>
      <c r="B151" s="18" t="s">
        <v>9464</v>
      </c>
      <c r="C151" s="18" t="s">
        <v>9466</v>
      </c>
      <c r="D151" s="5" t="str">
        <f ca="1">IFERROR(__xludf.DUMMYFUNCTION("GOOGLETRANSLATE(B151,""ja"",""vi"")"),"Voxy")</f>
        <v>Voxy</v>
      </c>
      <c r="E151" s="5" t="str">
        <f ca="1">IFERROR(__xludf.DUMMYFUNCTION("GOOGLETRANSLATE(C151,""ja"",""vi"")"),"Đấu giá&gt; ô tô, xe máy&gt; ô tô cũ, ô tô mới&gt; Toyota&gt; Voxy")</f>
        <v>Đấu giá&gt; ô tô, xe máy&gt; ô tô cũ, ô tô mới&gt; Toyota&gt; Voxy</v>
      </c>
      <c r="F151" t="str">
        <f t="shared" ca="1" si="2"/>
        <v>"2084049058" : "Voxy",</v>
      </c>
    </row>
    <row r="152" spans="1:6" ht="15.75" customHeight="1">
      <c r="A152" s="18">
        <v>2084204520</v>
      </c>
      <c r="B152" s="18" t="s">
        <v>9468</v>
      </c>
      <c r="C152" s="18" t="s">
        <v>9470</v>
      </c>
      <c r="D152" s="5" t="str">
        <f ca="1">IFERROR(__xludf.DUMMYFUNCTION("GOOGLETRANSLATE(B152,""ja"",""vi"")"),"Voltz")</f>
        <v>Voltz</v>
      </c>
      <c r="E152" s="5" t="str">
        <f ca="1">IFERROR(__xludf.DUMMYFUNCTION("GOOGLETRANSLATE(C152,""ja"",""vi"")"),"Đấu giá&gt; ô tô, xe máy&gt; ô tô cũ, ô tô mới&gt; Toyota&gt; Vaults")</f>
        <v>Đấu giá&gt; ô tô, xe máy&gt; ô tô cũ, ô tô mới&gt; Toyota&gt; Vaults</v>
      </c>
      <c r="F152" t="str">
        <f t="shared" ca="1" si="2"/>
        <v>"2084204520" : "Voltz",</v>
      </c>
    </row>
    <row r="153" spans="1:6" ht="15.75" customHeight="1">
      <c r="A153" s="18">
        <v>2084311303</v>
      </c>
      <c r="B153" s="18" t="s">
        <v>9473</v>
      </c>
      <c r="C153" s="18" t="s">
        <v>9474</v>
      </c>
      <c r="D153" s="5" t="str">
        <f ca="1">IFERROR(__xludf.DUMMYFUNCTION("GOOGLETRANSLATE(B153,""ja"",""vi"")"),"Mỹ Toyota")</f>
        <v>Mỹ Toyota</v>
      </c>
      <c r="E153" s="5" t="str">
        <f ca="1">IFERROR(__xludf.DUMMYFUNCTION("GOOGLETRANSLATE(C153,""ja"",""vi"")"),"Đấu giá&gt; ô tô, xe máy&gt; ô tô cũ, ô tô mới&gt; Toyota&gt; Mỹ Toyota")</f>
        <v>Đấu giá&gt; ô tô, xe máy&gt; ô tô cũ, ô tô mới&gt; Toyota&gt; Mỹ Toyota</v>
      </c>
      <c r="F153" t="str">
        <f t="shared" ca="1" si="2"/>
        <v>"2084311303" : "Mỹ Toyota",</v>
      </c>
    </row>
    <row r="154" spans="1:6" ht="15.75" customHeight="1">
      <c r="A154" s="18">
        <v>2084016676</v>
      </c>
      <c r="B154" s="18" t="s">
        <v>46</v>
      </c>
      <c r="C154" s="18" t="s">
        <v>9479</v>
      </c>
      <c r="D154" s="5" t="str">
        <f ca="1">IFERROR(__xludf.DUMMYFUNCTION("GOOGLETRANSLATE(B154,""ja"",""vi"")"),"nếu không thì")</f>
        <v>nếu không thì</v>
      </c>
      <c r="E154" s="5" t="str">
        <f ca="1">IFERROR(__xludf.DUMMYFUNCTION("GOOGLETRANSLATE(C154,""ja"",""vi"")"),"Đấu giá&gt; ô tô, xe máy&gt; ô tô cũ, ô tô mới&gt; Toyota&gt; Khác")</f>
        <v>Đấu giá&gt; ô tô, xe máy&gt; ô tô cũ, ô tô mới&gt; Toyota&gt; Khác</v>
      </c>
      <c r="F154" t="str">
        <f t="shared" ca="1" si="2"/>
        <v>"2084016676" : "nếu không thì",</v>
      </c>
    </row>
    <row r="155" spans="1:6" ht="15.75" customHeight="1">
      <c r="A155" s="18">
        <v>2084299583</v>
      </c>
      <c r="B155" s="18" t="s">
        <v>9483</v>
      </c>
      <c r="C155" s="18" t="s">
        <v>9485</v>
      </c>
      <c r="D155" s="5" t="str">
        <f ca="1">IFERROR(__xludf.DUMMYFUNCTION("GOOGLETRANSLATE(B155,""ja"",""vi"")"),"CT")</f>
        <v>CT</v>
      </c>
      <c r="E155" s="5" t="str">
        <f ca="1">IFERROR(__xludf.DUMMYFUNCTION("GOOGLETRANSLATE(C155,""ja"",""vi"")"),"Đấu giá&gt; ô tô, xe máy&gt; ô tô cũ, ô tô mới&gt; Lexus&gt; CT")</f>
        <v>Đấu giá&gt; ô tô, xe máy&gt; ô tô cũ, ô tô mới&gt; Lexus&gt; CT</v>
      </c>
      <c r="F155" t="str">
        <f t="shared" ca="1" si="2"/>
        <v>"2084299583" : "CT",</v>
      </c>
    </row>
    <row r="156" spans="1:6" ht="15.75" customHeight="1">
      <c r="A156" s="18">
        <v>2084200157</v>
      </c>
      <c r="B156" s="18" t="s">
        <v>9490</v>
      </c>
      <c r="C156" s="18" t="s">
        <v>9492</v>
      </c>
      <c r="D156" s="5" t="str">
        <f ca="1">IFERROR(__xludf.DUMMYFUNCTION("GOOGLETRANSLATE(B156,""ja"",""vi"")"),"GS")</f>
        <v>GS</v>
      </c>
      <c r="E156" s="5" t="str">
        <f ca="1">IFERROR(__xludf.DUMMYFUNCTION("GOOGLETRANSLATE(C156,""ja"",""vi"")"),"Đấu giá&gt; ô tô, xe máy&gt; ô tô cũ, ô tô mới&gt; Lexus&gt; GS")</f>
        <v>Đấu giá&gt; ô tô, xe máy&gt; ô tô cũ, ô tô mới&gt; Lexus&gt; GS</v>
      </c>
      <c r="F156" t="str">
        <f t="shared" ca="1" si="2"/>
        <v>"2084200157" : "GS",</v>
      </c>
    </row>
    <row r="157" spans="1:6" ht="15.75" customHeight="1">
      <c r="A157" s="18">
        <v>2084243783</v>
      </c>
      <c r="B157" s="18" t="s">
        <v>9497</v>
      </c>
      <c r="C157" s="18" t="s">
        <v>9498</v>
      </c>
      <c r="D157" s="5" t="str">
        <f ca="1">IFERROR(__xludf.DUMMYFUNCTION("GOOGLETRANSLATE(B157,""ja"",""vi"")"),"HS")</f>
        <v>HS</v>
      </c>
      <c r="E157" s="5" t="str">
        <f ca="1">IFERROR(__xludf.DUMMYFUNCTION("GOOGLETRANSLATE(C157,""ja"",""vi"")"),"Đấu giá&gt; ô tô, xe máy&gt; ô tô cũ, ô tô mới&gt; Lexus&gt; HS")</f>
        <v>Đấu giá&gt; ô tô, xe máy&gt; ô tô cũ, ô tô mới&gt; Lexus&gt; HS</v>
      </c>
      <c r="F157" t="str">
        <f t="shared" ca="1" si="2"/>
        <v>"2084243783" : "HS",</v>
      </c>
    </row>
    <row r="158" spans="1:6" ht="15.75" customHeight="1">
      <c r="A158" s="18">
        <v>2084200158</v>
      </c>
      <c r="B158" s="18" t="s">
        <v>9503</v>
      </c>
      <c r="C158" s="18" t="s">
        <v>9504</v>
      </c>
      <c r="D158" s="5" t="str">
        <f ca="1">IFERROR(__xludf.DUMMYFUNCTION("GOOGLETRANSLATE(B158,""ja"",""vi"")"),"IS")</f>
        <v>IS</v>
      </c>
      <c r="E158" s="5" t="str">
        <f ca="1">IFERROR(__xludf.DUMMYFUNCTION("GOOGLETRANSLATE(C158,""ja"",""vi"")"),"Đấu giá&gt; ô tô, xe máy&gt; ô tô cũ, ô tô mới&gt; Lexus&gt; LÀ")</f>
        <v>Đấu giá&gt; ô tô, xe máy&gt; ô tô cũ, ô tô mới&gt; Lexus&gt; LÀ</v>
      </c>
      <c r="F158" t="str">
        <f t="shared" ca="1" si="2"/>
        <v>"2084200158" : "IS",</v>
      </c>
    </row>
    <row r="159" spans="1:6" ht="15.75" customHeight="1">
      <c r="A159" s="18">
        <v>2084243780</v>
      </c>
      <c r="B159" s="18" t="s">
        <v>9506</v>
      </c>
      <c r="C159" s="18" t="s">
        <v>9508</v>
      </c>
      <c r="D159" s="5" t="str">
        <f ca="1">IFERROR(__xludf.DUMMYFUNCTION("GOOGLETRANSLATE(B159,""ja"",""vi"")"),"IS F")</f>
        <v>IS F</v>
      </c>
      <c r="E159" s="5" t="str">
        <f ca="1">IFERROR(__xludf.DUMMYFUNCTION("GOOGLETRANSLATE(C159,""ja"",""vi"")"),"Đấu giá&gt; ô tô, xe máy&gt; ô tô cũ, ô tô mới&gt; Lexus&gt; IS F")</f>
        <v>Đấu giá&gt; ô tô, xe máy&gt; ô tô cũ, ô tô mới&gt; Lexus&gt; IS F</v>
      </c>
      <c r="F159" t="str">
        <f t="shared" ca="1" si="2"/>
        <v>"2084243780" : "IS F",</v>
      </c>
    </row>
    <row r="160" spans="1:6" ht="15.75" customHeight="1">
      <c r="A160" s="18">
        <v>2084243779</v>
      </c>
      <c r="B160" s="18" t="s">
        <v>9510</v>
      </c>
      <c r="C160" s="18" t="s">
        <v>9512</v>
      </c>
      <c r="D160" s="5" t="str">
        <f ca="1">IFERROR(__xludf.DUMMYFUNCTION("GOOGLETRANSLATE(B160,""ja"",""vi"")"),"IS Convertible")</f>
        <v>IS Convertible</v>
      </c>
      <c r="E160" s="5" t="str">
        <f ca="1">IFERROR(__xludf.DUMMYFUNCTION("GOOGLETRANSLATE(C160,""ja"",""vi"")"),"Đấu giá&gt; ô tô, xe máy&gt; ô tô cũ, ô tô mới&gt; Lexus&gt; LÀ Convertible")</f>
        <v>Đấu giá&gt; ô tô, xe máy&gt; ô tô cũ, ô tô mới&gt; Lexus&gt; LÀ Convertible</v>
      </c>
      <c r="F160" t="str">
        <f t="shared" ca="1" si="2"/>
        <v>"2084243779" : "IS Convertible",</v>
      </c>
    </row>
    <row r="161" spans="1:6" ht="15.75" customHeight="1">
      <c r="A161" s="18">
        <v>2084299584</v>
      </c>
      <c r="B161" s="18" t="s">
        <v>9514</v>
      </c>
      <c r="C161" s="18" t="s">
        <v>9515</v>
      </c>
      <c r="D161" s="5" t="str">
        <f ca="1">IFERROR(__xludf.DUMMYFUNCTION("GOOGLETRANSLATE(B161,""ja"",""vi"")"),"LFA")</f>
        <v>LFA</v>
      </c>
      <c r="E161" s="5" t="str">
        <f ca="1">IFERROR(__xludf.DUMMYFUNCTION("GOOGLETRANSLATE(C161,""ja"",""vi"")"),"Đấu giá&gt; ô tô, xe máy&gt; ô tô cũ, ô tô mới&gt; Lexus&gt; LFA")</f>
        <v>Đấu giá&gt; ô tô, xe máy&gt; ô tô cũ, ô tô mới&gt; Lexus&gt; LFA</v>
      </c>
      <c r="F161" t="str">
        <f t="shared" ca="1" si="2"/>
        <v>"2084299584" : "LFA",</v>
      </c>
    </row>
    <row r="162" spans="1:6" ht="15.75" customHeight="1">
      <c r="A162" s="18">
        <v>2084216475</v>
      </c>
      <c r="B162" s="18" t="s">
        <v>9517</v>
      </c>
      <c r="C162" s="18" t="s">
        <v>9518</v>
      </c>
      <c r="D162" s="5" t="str">
        <f ca="1">IFERROR(__xludf.DUMMYFUNCTION("GOOGLETRANSLATE(B162,""ja"",""vi"")"),"LS")</f>
        <v>LS</v>
      </c>
      <c r="E162" s="5" t="str">
        <f ca="1">IFERROR(__xludf.DUMMYFUNCTION("GOOGLETRANSLATE(C162,""ja"",""vi"")"),"Đấu giá&gt; ô tô, xe máy&gt; ô tô cũ, ô tô mới&gt; Lexus&gt; LS")</f>
        <v>Đấu giá&gt; ô tô, xe máy&gt; ô tô cũ, ô tô mới&gt; Lexus&gt; LS</v>
      </c>
      <c r="F162" t="str">
        <f t="shared" ca="1" si="2"/>
        <v>"2084216475" : "LS",</v>
      </c>
    </row>
    <row r="163" spans="1:6" ht="15.75" customHeight="1">
      <c r="A163" s="18">
        <v>2084243781</v>
      </c>
      <c r="B163" s="18" t="s">
        <v>9522</v>
      </c>
      <c r="C163" s="18" t="s">
        <v>9524</v>
      </c>
      <c r="D163" s="5" t="str">
        <f ca="1">IFERROR(__xludf.DUMMYFUNCTION("GOOGLETRANSLATE(B163,""ja"",""vi"")"),"RX")</f>
        <v>RX</v>
      </c>
      <c r="E163" s="5" t="str">
        <f ca="1">IFERROR(__xludf.DUMMYFUNCTION("GOOGLETRANSLATE(C163,""ja"",""vi"")"),"Đấu giá&gt; ô tô, xe máy&gt; ô tô cũ, ô tô mới&gt; Lexus&gt; RX")</f>
        <v>Đấu giá&gt; ô tô, xe máy&gt; ô tô cũ, ô tô mới&gt; Lexus&gt; RX</v>
      </c>
      <c r="F163" t="str">
        <f t="shared" ca="1" si="2"/>
        <v>"2084243781" : "RX",</v>
      </c>
    </row>
    <row r="164" spans="1:6" ht="15.75" customHeight="1">
      <c r="A164" s="18">
        <v>2084243782</v>
      </c>
      <c r="B164" s="18" t="s">
        <v>9527</v>
      </c>
      <c r="C164" s="18" t="s">
        <v>9529</v>
      </c>
      <c r="D164" s="5" t="str">
        <f ca="1">IFERROR(__xludf.DUMMYFUNCTION("GOOGLETRANSLATE(B164,""ja"",""vi"")"),"RX hybrid")</f>
        <v>RX hybrid</v>
      </c>
      <c r="E164" s="5" t="str">
        <f ca="1">IFERROR(__xludf.DUMMYFUNCTION("GOOGLETRANSLATE(C164,""ja"",""vi"")"),"Đấu giá&gt; ô tô, xe máy&gt; ô tô cũ, ô tô mới&gt; Lexus&gt; RX hybrid")</f>
        <v>Đấu giá&gt; ô tô, xe máy&gt; ô tô cũ, ô tô mới&gt; Lexus&gt; RX hybrid</v>
      </c>
      <c r="F164" t="str">
        <f t="shared" ca="1" si="2"/>
        <v>"2084243782" : "RX hybrid",</v>
      </c>
    </row>
    <row r="165" spans="1:6" ht="15.75" customHeight="1">
      <c r="A165" s="18">
        <v>2084200159</v>
      </c>
      <c r="B165" s="18" t="s">
        <v>9532</v>
      </c>
      <c r="C165" s="18" t="s">
        <v>9534</v>
      </c>
      <c r="D165" s="5" t="str">
        <f ca="1">IFERROR(__xludf.DUMMYFUNCTION("GOOGLETRANSLATE(B165,""ja"",""vi"")"),"SC")</f>
        <v>SC</v>
      </c>
      <c r="E165" s="5" t="str">
        <f ca="1">IFERROR(__xludf.DUMMYFUNCTION("GOOGLETRANSLATE(C165,""ja"",""vi"")"),"Đấu giá&gt; ô tô, xe máy&gt; ô tô cũ, ô tô mới&gt; Lexus&gt; SC")</f>
        <v>Đấu giá&gt; ô tô, xe máy&gt; ô tô cũ, ô tô mới&gt; Lexus&gt; SC</v>
      </c>
      <c r="F165" t="str">
        <f t="shared" ca="1" si="2"/>
        <v>"2084200159" : "SC",</v>
      </c>
    </row>
    <row r="166" spans="1:6" ht="15.75" customHeight="1">
      <c r="A166" s="18">
        <v>2084312159</v>
      </c>
      <c r="B166" s="18" t="s">
        <v>46</v>
      </c>
      <c r="C166" s="18" t="s">
        <v>9539</v>
      </c>
      <c r="D166" s="5" t="str">
        <f ca="1">IFERROR(__xludf.DUMMYFUNCTION("GOOGLETRANSLATE(B166,""ja"",""vi"")"),"nếu không thì")</f>
        <v>nếu không thì</v>
      </c>
      <c r="E166" s="5" t="str">
        <f ca="1">IFERROR(__xludf.DUMMYFUNCTION("GOOGLETRANSLATE(C166,""ja"",""vi"")"),"Đấu giá&gt; ô tô, xe máy&gt; ô tô cũ, ô tô mới&gt; Lexus&gt; Khác")</f>
        <v>Đấu giá&gt; ô tô, xe máy&gt; ô tô cũ, ô tô mới&gt; Lexus&gt; Khác</v>
      </c>
      <c r="F166" t="str">
        <f t="shared" ca="1" si="2"/>
        <v>"2084312159" : "nếu không thì",</v>
      </c>
    </row>
    <row r="167" spans="1:6" ht="15.75" customHeight="1">
      <c r="A167" s="18">
        <v>2084051820</v>
      </c>
      <c r="B167" s="18" t="s">
        <v>9544</v>
      </c>
      <c r="C167" s="18" t="s">
        <v>9546</v>
      </c>
      <c r="D167" s="5" t="str">
        <f ca="1">IFERROR(__xludf.DUMMYFUNCTION("GOOGLETRANSLATE(B167,""ja"",""vi"")"),"117 Coupe")</f>
        <v>117 Coupe</v>
      </c>
      <c r="E167" s="5" t="str">
        <f ca="1">IFERROR(__xludf.DUMMYFUNCTION("GOOGLETRANSLATE(C167,""ja"",""vi"")"),"Đấu giá&gt; ô tô, xe máy&gt; ô tô cũ, ô tô mới&gt; Isuzu&gt; 117 Coupe")</f>
        <v>Đấu giá&gt; ô tô, xe máy&gt; ô tô cũ, ô tô mới&gt; Isuzu&gt; 117 Coupe</v>
      </c>
      <c r="F167" t="str">
        <f t="shared" ca="1" si="2"/>
        <v>"2084051820" : "117 Coupe",</v>
      </c>
    </row>
    <row r="168" spans="1:6" ht="15.75" customHeight="1">
      <c r="A168" s="18">
        <v>2084048978</v>
      </c>
      <c r="B168" s="18" t="s">
        <v>9550</v>
      </c>
      <c r="C168" s="18" t="s">
        <v>9551</v>
      </c>
      <c r="D168" s="5" t="str">
        <f ca="1">IFERROR(__xludf.DUMMYFUNCTION("GOOGLETRANSLATE(B168,""ja"",""vi"")"),"Hướng dẫn")</f>
        <v>Hướng dẫn</v>
      </c>
      <c r="E168" s="5" t="str">
        <f ca="1">IFERROR(__xludf.DUMMYFUNCTION("GOOGLETRANSLATE(C168,""ja"",""vi"")"),"Đấu giá&gt; ô tô, xe máy&gt; ô tô cũ, ô tô mới&gt; Isuzu&gt; Wizard")</f>
        <v>Đấu giá&gt; ô tô, xe máy&gt; ô tô cũ, ô tô mới&gt; Isuzu&gt; Wizard</v>
      </c>
      <c r="F168" t="str">
        <f t="shared" ca="1" si="2"/>
        <v>"2084048978" : "Hướng dẫn",</v>
      </c>
    </row>
    <row r="169" spans="1:6" ht="15.75" customHeight="1">
      <c r="A169" s="18">
        <v>2084048979</v>
      </c>
      <c r="B169" s="18" t="s">
        <v>9556</v>
      </c>
      <c r="C169" s="18" t="s">
        <v>9557</v>
      </c>
      <c r="D169" s="5" t="str">
        <f ca="1">IFERROR(__xludf.DUMMYFUNCTION("GOOGLETRANSLATE(B169,""ja"",""vi"")"),"thần")</f>
        <v>thần</v>
      </c>
      <c r="E169" s="5" t="str">
        <f ca="1">IFERROR(__xludf.DUMMYFUNCTION("GOOGLETRANSLATE(C169,""ja"",""vi"")"),"Đấu giá&gt; ô tô, xe máy&gt; ô tô cũ, ô tô mới&gt; Isuzu&gt; Elf")</f>
        <v>Đấu giá&gt; ô tô, xe máy&gt; ô tô cũ, ô tô mới&gt; Isuzu&gt; Elf</v>
      </c>
      <c r="F169" t="str">
        <f t="shared" ca="1" si="2"/>
        <v>"2084048979" : "thần",</v>
      </c>
    </row>
    <row r="170" spans="1:6" ht="15.75" customHeight="1">
      <c r="A170" s="18">
        <v>2084048980</v>
      </c>
      <c r="B170" s="18" t="s">
        <v>9561</v>
      </c>
      <c r="C170" s="18" t="s">
        <v>9562</v>
      </c>
      <c r="D170" s="5" t="str">
        <f ca="1">IFERROR(__xludf.DUMMYFUNCTION("GOOGLETRANSLATE(B170,""ja"",""vi"")"),"Gemini")</f>
        <v>Gemini</v>
      </c>
      <c r="E170" s="5" t="str">
        <f ca="1">IFERROR(__xludf.DUMMYFUNCTION("GOOGLETRANSLATE(C170,""ja"",""vi"")"),"Đấu giá&gt; ô tô, xe máy&gt; ô tô cũ, ô tô mới&gt; Isuzu&gt; Gemini")</f>
        <v>Đấu giá&gt; ô tô, xe máy&gt; ô tô cũ, ô tô mới&gt; Isuzu&gt; Gemini</v>
      </c>
      <c r="F170" t="str">
        <f t="shared" ca="1" si="2"/>
        <v>"2084048980" : "Gemini",</v>
      </c>
    </row>
    <row r="171" spans="1:6" ht="15.75" customHeight="1">
      <c r="A171" s="18">
        <v>2084048982</v>
      </c>
      <c r="B171" s="18" t="s">
        <v>9566</v>
      </c>
      <c r="C171" s="18" t="s">
        <v>9568</v>
      </c>
      <c r="D171" s="5" t="str">
        <f ca="1">IFERROR(__xludf.DUMMYFUNCTION("GOOGLETRANSLATE(B171,""ja"",""vi"")"),"Bikurosu")</f>
        <v>Bikurosu</v>
      </c>
      <c r="E171" s="5" t="str">
        <f ca="1">IFERROR(__xludf.DUMMYFUNCTION("GOOGLETRANSLATE(C171,""ja"",""vi"")"),"Đấu giá&gt; ô tô, xe máy&gt; ô tô cũ, ô tô mới&gt; Isuzu&gt; Bikurosu")</f>
        <v>Đấu giá&gt; ô tô, xe máy&gt; ô tô cũ, ô tô mới&gt; Isuzu&gt; Bikurosu</v>
      </c>
      <c r="F171" t="str">
        <f t="shared" ca="1" si="2"/>
        <v>"2084048982" : "Bikurosu",</v>
      </c>
    </row>
    <row r="172" spans="1:6" ht="15.75" customHeight="1">
      <c r="A172" s="18">
        <v>2084048168</v>
      </c>
      <c r="B172" s="18" t="s">
        <v>9572</v>
      </c>
      <c r="C172" s="18" t="s">
        <v>9573</v>
      </c>
      <c r="D172" s="5" t="str">
        <f ca="1">IFERROR(__xludf.DUMMYFUNCTION("GOOGLETRANSLATE(B172,""ja"",""vi"")"),"Big sừng")</f>
        <v>Big sừng</v>
      </c>
      <c r="E172" s="5" t="str">
        <f ca="1">IFERROR(__xludf.DUMMYFUNCTION("GOOGLETRANSLATE(C172,""ja"",""vi"")"),"Đấu giá&gt; ô tô, xe máy&gt; ô tô cũ, ô tô mới&gt; Isuzu&gt; Big Horn")</f>
        <v>Đấu giá&gt; ô tô, xe máy&gt; ô tô cũ, ô tô mới&gt; Isuzu&gt; Big Horn</v>
      </c>
      <c r="F172" t="str">
        <f t="shared" ca="1" si="2"/>
        <v>"2084048168" : "Big sừng",</v>
      </c>
    </row>
    <row r="173" spans="1:6" ht="15.75" customHeight="1">
      <c r="A173" s="18">
        <v>2084048981</v>
      </c>
      <c r="B173" s="18" t="s">
        <v>9577</v>
      </c>
      <c r="C173" s="18" t="s">
        <v>9578</v>
      </c>
      <c r="D173" s="5" t="str">
        <f ca="1">IFERROR(__xludf.DUMMYFUNCTION("GOOGLETRANSLATE(B173,""ja"",""vi"")"),"chợ")</f>
        <v>chợ</v>
      </c>
      <c r="E173" s="5" t="str">
        <f ca="1">IFERROR(__xludf.DUMMYFUNCTION("GOOGLETRANSLATE(C173,""ja"",""vi"")"),"Đấu giá&gt; ô tô, xe máy&gt; ô tô cũ, ô tô mới&gt; Isuzu&gt; Piazza")</f>
        <v>Đấu giá&gt; ô tô, xe máy&gt; ô tô cũ, ô tô mới&gt; Isuzu&gt; Piazza</v>
      </c>
      <c r="F173" t="str">
        <f t="shared" ca="1" si="2"/>
        <v>"2084048981" : "chợ",</v>
      </c>
    </row>
    <row r="174" spans="1:6" ht="15.75" customHeight="1">
      <c r="A174" s="18">
        <v>2084048983</v>
      </c>
      <c r="B174" s="18" t="s">
        <v>9582</v>
      </c>
      <c r="C174" s="18" t="s">
        <v>9584</v>
      </c>
      <c r="D174" s="5" t="str">
        <f ca="1">IFERROR(__xludf.DUMMYFUNCTION("GOOGLETRANSLATE(B174,""ja"",""vi"")"),"phía trước")</f>
        <v>phía trước</v>
      </c>
      <c r="E174" s="5" t="str">
        <f ca="1">IFERROR(__xludf.DUMMYFUNCTION("GOOGLETRANSLATE(C174,""ja"",""vi"")"),"Đấu giá&gt; ô tô, xe máy&gt; ô tô cũ, ô tô mới&gt; Isuzu&gt; Chuyển tiếp")</f>
        <v>Đấu giá&gt; ô tô, xe máy&gt; ô tô cũ, ô tô mới&gt; Isuzu&gt; Chuyển tiếp</v>
      </c>
      <c r="F174" t="str">
        <f t="shared" ca="1" si="2"/>
        <v>"2084048983" : "phía trước",</v>
      </c>
    </row>
    <row r="175" spans="1:6" ht="15.75" customHeight="1">
      <c r="A175" s="18">
        <v>2084048984</v>
      </c>
      <c r="B175" s="18" t="s">
        <v>9589</v>
      </c>
      <c r="C175" s="18" t="s">
        <v>9591</v>
      </c>
      <c r="D175" s="5" t="str">
        <f ca="1">IFERROR(__xludf.DUMMYFUNCTION("GOOGLETRANSLATE(B175,""ja"",""vi"")"),"Mu")</f>
        <v>Mu</v>
      </c>
      <c r="E175" s="5" t="str">
        <f ca="1">IFERROR(__xludf.DUMMYFUNCTION("GOOGLETRANSLATE(C175,""ja"",""vi"")"),"Đấu giá&gt; ô tô, xe máy&gt; ô tô cũ, ô tô mới&gt; Isuzu&gt; mu")</f>
        <v>Đấu giá&gt; ô tô, xe máy&gt; ô tô cũ, ô tô mới&gt; Isuzu&gt; mu</v>
      </c>
      <c r="F175" t="str">
        <f t="shared" ca="1" si="2"/>
        <v>"2084048984" : "Mu",</v>
      </c>
    </row>
    <row r="176" spans="1:6" ht="15.75" customHeight="1">
      <c r="A176" s="18">
        <v>2084048166</v>
      </c>
      <c r="B176" s="18" t="s">
        <v>46</v>
      </c>
      <c r="C176" s="18" t="s">
        <v>9596</v>
      </c>
      <c r="D176" s="5" t="str">
        <f ca="1">IFERROR(__xludf.DUMMYFUNCTION("GOOGLETRANSLATE(B176,""ja"",""vi"")"),"nếu không thì")</f>
        <v>nếu không thì</v>
      </c>
      <c r="E176" s="5" t="str">
        <f ca="1">IFERROR(__xludf.DUMMYFUNCTION("GOOGLETRANSLATE(C176,""ja"",""vi"")"),"Đấu giá&gt; ô tô, xe máy&gt; ô tô cũ, ô tô mới&gt; Isuzu&gt; Khác")</f>
        <v>Đấu giá&gt; ô tô, xe máy&gt; ô tô cũ, ô tô mới&gt; Isuzu&gt; Khác</v>
      </c>
      <c r="F176" t="str">
        <f t="shared" ca="1" si="2"/>
        <v>"2084048166" : "nếu không thì",</v>
      </c>
    </row>
    <row r="177" spans="1:6" ht="15.75" customHeight="1">
      <c r="A177" s="18">
        <v>2084048150</v>
      </c>
      <c r="B177" s="18" t="s">
        <v>9601</v>
      </c>
      <c r="C177" s="18" t="s">
        <v>9603</v>
      </c>
      <c r="D177" s="5" t="str">
        <f ca="1">IFERROR(__xludf.DUMMYFUNCTION("GOOGLETRANSLATE(B177,""ja"",""vi"")"),"Kei")</f>
        <v>Kei</v>
      </c>
      <c r="E177" s="5" t="str">
        <f ca="1">IFERROR(__xludf.DUMMYFUNCTION("GOOGLETRANSLATE(C177,""ja"",""vi"")"),"Đấu giá&gt; ô tô, xe máy&gt; ô tô cũ, ô tô mới&gt; Suzuki&gt; Kei")</f>
        <v>Đấu giá&gt; ô tô, xe máy&gt; ô tô cũ, ô tô mới&gt; Suzuki&gt; Kei</v>
      </c>
      <c r="F177" t="str">
        <f t="shared" ca="1" si="2"/>
        <v>"2084048150" : "Kei",</v>
      </c>
    </row>
    <row r="178" spans="1:6" ht="15.75" customHeight="1">
      <c r="A178" s="18">
        <v>2084048151</v>
      </c>
      <c r="B178" s="18" t="s">
        <v>9606</v>
      </c>
      <c r="C178" s="18" t="s">
        <v>9608</v>
      </c>
      <c r="D178" s="5" t="str">
        <f ca="1">IFERROR(__xludf.DUMMYFUNCTION("GOOGLETRANSLATE(B178,""ja"",""vi"")"),"MR Wagon")</f>
        <v>MR Wagon</v>
      </c>
      <c r="E178" s="5" t="str">
        <f ca="1">IFERROR(__xludf.DUMMYFUNCTION("GOOGLETRANSLATE(C178,""ja"",""vi"")"),"Đấu giá&gt; ô tô, xe máy&gt; ô tô cũ, ô tô mới&gt; Suzuki&gt; MR Wagon")</f>
        <v>Đấu giá&gt; ô tô, xe máy&gt; ô tô cũ, ô tô mới&gt; Suzuki&gt; MR Wagon</v>
      </c>
      <c r="F178" t="str">
        <f t="shared" ca="1" si="2"/>
        <v>"2084048151" : "MR Wagon",</v>
      </c>
    </row>
    <row r="179" spans="1:6" ht="15.75" customHeight="1">
      <c r="A179" s="18">
        <v>2084231251</v>
      </c>
      <c r="B179" s="18" t="s">
        <v>9610</v>
      </c>
      <c r="C179" s="18" t="s">
        <v>9613</v>
      </c>
      <c r="D179" s="5" t="str">
        <f ca="1">IFERROR(__xludf.DUMMYFUNCTION("GOOGLETRANSLATE(B179,""ja"",""vi"")"),"SX4")</f>
        <v>SX4</v>
      </c>
      <c r="E179" s="5" t="str">
        <f ca="1">IFERROR(__xludf.DUMMYFUNCTION("GOOGLETRANSLATE(C179,""ja"",""vi"")"),"Đấu giá&gt; ô tô, xe máy&gt; ô tô cũ, ô tô mới&gt; Suzuki&gt; SX4")</f>
        <v>Đấu giá&gt; ô tô, xe máy&gt; ô tô cũ, ô tô mới&gt; Suzuki&gt; SX4</v>
      </c>
      <c r="F179" t="str">
        <f t="shared" ca="1" si="2"/>
        <v>"2084231251" : "SX4",</v>
      </c>
    </row>
    <row r="180" spans="1:6" ht="15.75" customHeight="1">
      <c r="A180" s="18">
        <v>2084205144</v>
      </c>
      <c r="B180" s="18" t="s">
        <v>9615</v>
      </c>
      <c r="C180" s="18" t="s">
        <v>9618</v>
      </c>
      <c r="D180" s="5" t="str">
        <f ca="1">IFERROR(__xludf.DUMMYFUNCTION("GOOGLETRANSLATE(B180,""ja"",""vi"")"),"X-90")</f>
        <v>X-90</v>
      </c>
      <c r="E180" s="5" t="str">
        <f ca="1">IFERROR(__xludf.DUMMYFUNCTION("GOOGLETRANSLATE(C180,""ja"",""vi"")"),"Đấu giá&gt; ô tô, xe máy&gt; ô tô cũ, ô tô mới&gt; Suzuki&gt; X-90")</f>
        <v>Đấu giá&gt; ô tô, xe máy&gt; ô tô cũ, ô tô mới&gt; Suzuki&gt; X-90</v>
      </c>
      <c r="F180" t="str">
        <f t="shared" ca="1" si="2"/>
        <v>"2084205144" : "X-90",</v>
      </c>
    </row>
    <row r="181" spans="1:6" ht="15.75" customHeight="1">
      <c r="A181" s="18">
        <v>2084048152</v>
      </c>
      <c r="B181" s="18" t="s">
        <v>9621</v>
      </c>
      <c r="C181" s="18" t="s">
        <v>9624</v>
      </c>
      <c r="D181" s="5" t="str">
        <f ca="1">IFERROR(__xludf.DUMMYFUNCTION("GOOGLETRANSLATE(B181,""ja"",""vi"")"),"giọng hát cao thấp")</f>
        <v>giọng hát cao thấp</v>
      </c>
      <c r="E181" s="5" t="str">
        <f ca="1">IFERROR(__xludf.DUMMYFUNCTION("GOOGLETRANSLATE(C181,""ja"",""vi"")"),"Đấu giá&gt; ô tô, xe máy&gt; ô tô cũ, ô tô mới&gt; Suzuki&gt; Alto")</f>
        <v>Đấu giá&gt; ô tô, xe máy&gt; ô tô cũ, ô tô mới&gt; Suzuki&gt; Alto</v>
      </c>
      <c r="F181" t="str">
        <f t="shared" ca="1" si="2"/>
        <v>"2084048152" : "giọng hát cao thấp",</v>
      </c>
    </row>
    <row r="182" spans="1:6" ht="15.75" customHeight="1">
      <c r="A182" s="18">
        <v>2084049020</v>
      </c>
      <c r="B182" s="18" t="s">
        <v>9626</v>
      </c>
      <c r="C182" s="18" t="s">
        <v>9630</v>
      </c>
      <c r="D182" s="5" t="str">
        <f ca="1">IFERROR(__xludf.DUMMYFUNCTION("GOOGLETRANSLATE(B182,""ja"",""vi"")"),"bánh ALTRA")</f>
        <v>bánh ALTRA</v>
      </c>
      <c r="E182" s="5" t="str">
        <f ca="1">IFERROR(__xludf.DUMMYFUNCTION("GOOGLETRANSLATE(C182,""ja"",""vi"")"),"Đấu giá&gt; ô tô, xe máy&gt; ô tô cũ, ô tô mới&gt; Suzuki&gt; bánh mì ALTRA")</f>
        <v>Đấu giá&gt; ô tô, xe máy&gt; ô tô cũ, ô tô mới&gt; Suzuki&gt; bánh mì ALTRA</v>
      </c>
      <c r="F182" t="str">
        <f t="shared" ca="1" si="2"/>
        <v>"2084049020" : "bánh ALTRA",</v>
      </c>
    </row>
    <row r="183" spans="1:6" ht="15.75" customHeight="1">
      <c r="A183" s="18">
        <v>2084048153</v>
      </c>
      <c r="B183" s="18" t="s">
        <v>9632</v>
      </c>
      <c r="C183" s="18" t="s">
        <v>9635</v>
      </c>
      <c r="D183" s="5" t="str">
        <f ca="1">IFERROR(__xludf.DUMMYFUNCTION("GOOGLETRANSLATE(B183,""ja"",""vi"")"),"Alto trình")</f>
        <v>Alto trình</v>
      </c>
      <c r="E183" s="5" t="str">
        <f ca="1">IFERROR(__xludf.DUMMYFUNCTION("GOOGLETRANSLATE(C183,""ja"",""vi"")"),"Đấu giá&gt; ô tô, xe máy&gt; ô tô cũ, ô tô mới&gt; Suzuki&gt; Alto trình")</f>
        <v>Đấu giá&gt; ô tô, xe máy&gt; ô tô cũ, ô tô mới&gt; Suzuki&gt; Alto trình</v>
      </c>
      <c r="F183" t="str">
        <f t="shared" ca="1" si="2"/>
        <v>"2084048153" : "Alto trình",</v>
      </c>
    </row>
    <row r="184" spans="1:6" ht="15.75" customHeight="1">
      <c r="A184" s="18">
        <v>2084048154</v>
      </c>
      <c r="B184" s="18" t="s">
        <v>9640</v>
      </c>
      <c r="C184" s="18" t="s">
        <v>9642</v>
      </c>
      <c r="D184" s="5" t="str">
        <f ca="1">IFERROR(__xludf.DUMMYFUNCTION("GOOGLETRANSLATE(B184,""ja"",""vi"")"),"Escudo")</f>
        <v>Escudo</v>
      </c>
      <c r="E184" s="5" t="str">
        <f ca="1">IFERROR(__xludf.DUMMYFUNCTION("GOOGLETRANSLATE(C184,""ja"",""vi"")"),"Đấu giá&gt; ô tô, xe máy&gt; ô tô cũ, ô tô mới&gt; Suzuki&gt; Escudo")</f>
        <v>Đấu giá&gt; ô tô, xe máy&gt; ô tô cũ, ô tô mới&gt; Suzuki&gt; Escudo</v>
      </c>
      <c r="F184" t="str">
        <f t="shared" ca="1" si="2"/>
        <v>"2084048154" : "Escudo",</v>
      </c>
    </row>
    <row r="185" spans="1:6" ht="15.75" customHeight="1">
      <c r="A185" s="18">
        <v>2084049021</v>
      </c>
      <c r="B185" s="18" t="s">
        <v>9647</v>
      </c>
      <c r="C185" s="18" t="s">
        <v>9650</v>
      </c>
      <c r="D185" s="5" t="str">
        <f ca="1">IFERROR(__xludf.DUMMYFUNCTION("GOOGLETRANSLATE(B185,""ja"",""vi"")"),"MỌI + (cộng)")</f>
        <v>MỌI + (cộng)</v>
      </c>
      <c r="E185" s="5" t="str">
        <f ca="1">IFERROR(__xludf.DUMMYFUNCTION("GOOGLETRANSLATE(C185,""ja"",""vi"")"),"Đấu giá&gt; ô tô, xe máy&gt; ô tô cũ, ô tô mới&gt; Suzuki&gt; MỌI + (cộng)")</f>
        <v>Đấu giá&gt; ô tô, xe máy&gt; ô tô cũ, ô tô mới&gt; Suzuki&gt; MỌI + (cộng)</v>
      </c>
      <c r="F185" t="str">
        <f t="shared" ca="1" si="2"/>
        <v>"2084049021" : "MỌI + (cộng)",</v>
      </c>
    </row>
    <row r="186" spans="1:6" ht="15.75" customHeight="1">
      <c r="A186" s="18">
        <v>2084049022</v>
      </c>
      <c r="B186" s="18" t="s">
        <v>9655</v>
      </c>
      <c r="C186" s="18" t="s">
        <v>9656</v>
      </c>
      <c r="D186" s="5" t="str">
        <f ca="1">IFERROR(__xludf.DUMMYFUNCTION("GOOGLETRANSLATE(B186,""ja"",""vi"")"),"MỌI Randy")</f>
        <v>MỌI Randy</v>
      </c>
      <c r="E186" s="5" t="str">
        <f ca="1">IFERROR(__xludf.DUMMYFUNCTION("GOOGLETRANSLATE(C186,""ja"",""vi"")"),"Đấu giá&gt; ô tô, xe máy&gt; ô tô cũ, ô tô mới&gt; Suzuki&gt; MỌI Randy")</f>
        <v>Đấu giá&gt; ô tô, xe máy&gt; ô tô cũ, ô tô mới&gt; Suzuki&gt; MỌI Randy</v>
      </c>
      <c r="F186" t="str">
        <f t="shared" ca="1" si="2"/>
        <v>"2084049022" : "MỌI Randy",</v>
      </c>
    </row>
    <row r="187" spans="1:6" ht="15.75" customHeight="1">
      <c r="A187" s="18">
        <v>2084048155</v>
      </c>
      <c r="B187" s="18" t="s">
        <v>9660</v>
      </c>
      <c r="C187" s="18" t="s">
        <v>9661</v>
      </c>
      <c r="D187" s="5" t="str">
        <f ca="1">IFERROR(__xludf.DUMMYFUNCTION("GOOGLETRANSLATE(B187,""ja"",""vi"")"),"MỌI")</f>
        <v>MỌI</v>
      </c>
      <c r="E187" s="5" t="str">
        <f ca="1">IFERROR(__xludf.DUMMYFUNCTION("GOOGLETRANSLATE(C187,""ja"",""vi"")"),"Đấu giá&gt; ô tô, xe máy&gt; ô tô cũ, ô tô mới&gt; Suzuki&gt; EVERY")</f>
        <v>Đấu giá&gt; ô tô, xe máy&gt; ô tô cũ, ô tô mới&gt; Suzuki&gt; EVERY</v>
      </c>
      <c r="F187" t="str">
        <f t="shared" ca="1" si="2"/>
        <v>"2084048155" : "MỌI",</v>
      </c>
    </row>
    <row r="188" spans="1:6" ht="15.75" customHeight="1">
      <c r="A188" s="18">
        <v>2084049023</v>
      </c>
      <c r="B188" s="18" t="s">
        <v>9666</v>
      </c>
      <c r="C188" s="18" t="s">
        <v>9667</v>
      </c>
      <c r="D188" s="5" t="str">
        <f ca="1">IFERROR(__xludf.DUMMYFUNCTION("GOOGLETRANSLATE(B188,""ja"",""vi"")"),"MỌI toa xe")</f>
        <v>MỌI toa xe</v>
      </c>
      <c r="E188" s="5" t="str">
        <f ca="1">IFERROR(__xludf.DUMMYFUNCTION("GOOGLETRANSLATE(C188,""ja"",""vi"")"),"Đấu giá&gt; ô tô, xe máy&gt; ô tô cũ, ô tô mới&gt; Suzuki&gt; MỌI Wagon")</f>
        <v>Đấu giá&gt; ô tô, xe máy&gt; ô tô cũ, ô tô mới&gt; Suzuki&gt; MỌI Wagon</v>
      </c>
      <c r="F188" t="str">
        <f t="shared" ca="1" si="2"/>
        <v>"2084049023" : "MỌI toa xe",</v>
      </c>
    </row>
    <row r="189" spans="1:6" ht="15.75" customHeight="1">
      <c r="A189" s="18">
        <v>2084048156</v>
      </c>
      <c r="B189" s="18" t="s">
        <v>9671</v>
      </c>
      <c r="C189" s="18" t="s">
        <v>9672</v>
      </c>
      <c r="D189" s="5" t="str">
        <f ca="1">IFERROR(__xludf.DUMMYFUNCTION("GOOGLETRANSLATE(B189,""ja"",""vi"")"),"thuật in ảnh chìm")</f>
        <v>thuật in ảnh chìm</v>
      </c>
      <c r="E189" s="5" t="str">
        <f ca="1">IFERROR(__xludf.DUMMYFUNCTION("GOOGLETRANSLATE(C189,""ja"",""vi"")"),"Đấu giá&gt; ô tô, xe máy&gt; ô tô cũ, ô tô mới&gt; Suzuki&gt; Helio")</f>
        <v>Đấu giá&gt; ô tô, xe máy&gt; ô tô cũ, ô tô mới&gt; Suzuki&gt; Helio</v>
      </c>
      <c r="F189" t="str">
        <f t="shared" ca="1" si="2"/>
        <v>"2084048156" : "thuật in ảnh chìm",</v>
      </c>
    </row>
    <row r="190" spans="1:6" ht="15.75" customHeight="1">
      <c r="A190" s="18">
        <v>2084048157</v>
      </c>
      <c r="B190" s="18" t="s">
        <v>9676</v>
      </c>
      <c r="C190" s="18" t="s">
        <v>9677</v>
      </c>
      <c r="D190" s="5" t="str">
        <f ca="1">IFERROR(__xludf.DUMMYFUNCTION("GOOGLETRANSLATE(B190,""ja"",""vi"")"),"cà phê sữa")</f>
        <v>cà phê sữa</v>
      </c>
      <c r="E190" s="5" t="str">
        <f ca="1">IFERROR(__xludf.DUMMYFUNCTION("GOOGLETRANSLATE(C190,""ja"",""vi"")"),"Đấu giá&gt; ô tô, xe máy&gt; ô tô cũ, ô tô mới&gt; Suzuki&gt; Cappuccino")</f>
        <v>Đấu giá&gt; ô tô, xe máy&gt; ô tô cũ, ô tô mới&gt; Suzuki&gt; Cappuccino</v>
      </c>
      <c r="F190" t="str">
        <f t="shared" ca="1" si="2"/>
        <v>"2084048157" : "cà phê sữa",</v>
      </c>
    </row>
    <row r="191" spans="1:6" ht="15.75" customHeight="1">
      <c r="A191" s="18">
        <v>2084048158</v>
      </c>
      <c r="B191" s="18" t="s">
        <v>9681</v>
      </c>
      <c r="C191" s="18" t="s">
        <v>9683</v>
      </c>
      <c r="D191" s="5" t="str">
        <f ca="1">IFERROR(__xludf.DUMMYFUNCTION("GOOGLETRANSLATE(B191,""ja"",""vi"")"),"Cultus")</f>
        <v>Cultus</v>
      </c>
      <c r="E191" s="5" t="str">
        <f ca="1">IFERROR(__xludf.DUMMYFUNCTION("GOOGLETRANSLATE(C191,""ja"",""vi"")"),"Đấu giá&gt; ô tô, xe máy&gt; ô tô cũ, ô tô mới&gt; Suzuki&gt; Cultus")</f>
        <v>Đấu giá&gt; ô tô, xe máy&gt; ô tô cũ, ô tô mới&gt; Suzuki&gt; Cultus</v>
      </c>
      <c r="F191" t="str">
        <f t="shared" ca="1" si="2"/>
        <v>"2084048158" : "Cultus",</v>
      </c>
    </row>
    <row r="192" spans="1:6" ht="15.75" customHeight="1">
      <c r="A192" s="18">
        <v>2084299542</v>
      </c>
      <c r="B192" s="18" t="s">
        <v>9688</v>
      </c>
      <c r="C192" s="18" t="s">
        <v>9689</v>
      </c>
      <c r="D192" s="5" t="str">
        <f ca="1">IFERROR(__xludf.DUMMYFUNCTION("GOOGLETRANSLATE(B192,""ja"",""vi"")"),"Kizashi")</f>
        <v>Kizashi</v>
      </c>
      <c r="E192" s="5" t="str">
        <f ca="1">IFERROR(__xludf.DUMMYFUNCTION("GOOGLETRANSLATE(C192,""ja"",""vi"")"),"Đấu giá&gt; ô tô, xe máy&gt; ô tô cũ, ô tô mới&gt; Suzuki&gt; Kizashi")</f>
        <v>Đấu giá&gt; ô tô, xe máy&gt; ô tô cũ, ô tô mới&gt; Suzuki&gt; Kizashi</v>
      </c>
      <c r="F192" t="str">
        <f t="shared" ca="1" si="2"/>
        <v>"2084299542" : "Kizashi",</v>
      </c>
    </row>
    <row r="193" spans="1:6" ht="15.75" customHeight="1">
      <c r="A193" s="18">
        <v>2084048159</v>
      </c>
      <c r="B193" s="18" t="s">
        <v>9691</v>
      </c>
      <c r="C193" s="18" t="s">
        <v>9693</v>
      </c>
      <c r="D193" s="5" t="str">
        <f ca="1">IFERROR(__xludf.DUMMYFUNCTION("GOOGLETRANSLATE(B193,""ja"",""vi"")"),"carry")</f>
        <v>carry</v>
      </c>
      <c r="E193" s="5" t="str">
        <f ca="1">IFERROR(__xludf.DUMMYFUNCTION("GOOGLETRANSLATE(C193,""ja"",""vi"")"),"Đấu giá&gt; ô tô, xe máy&gt; ô tô cũ, ô tô mới&gt; Suzuki&gt; Carry")</f>
        <v>Đấu giá&gt; ô tô, xe máy&gt; ô tô cũ, ô tô mới&gt; Suzuki&gt; Carry</v>
      </c>
      <c r="F193" t="str">
        <f t="shared" ca="1" si="2"/>
        <v>"2084048159" : "carry",</v>
      </c>
    </row>
    <row r="194" spans="1:6" ht="15.75" customHeight="1">
      <c r="A194" s="18">
        <v>2084204890</v>
      </c>
      <c r="B194" s="18" t="s">
        <v>9697</v>
      </c>
      <c r="C194" s="18" t="s">
        <v>9699</v>
      </c>
      <c r="D194" s="5" t="str">
        <f ca="1">IFERROR(__xludf.DUMMYFUNCTION("GOOGLETRANSLATE(B194,""ja"",""vi"")"),"Đại Escudo")</f>
        <v>Đại Escudo</v>
      </c>
      <c r="E194" s="5" t="str">
        <f ca="1">IFERROR(__xludf.DUMMYFUNCTION("GOOGLETRANSLATE(C194,""ja"",""vi"")"),"Đấu giá&gt; ô tô, xe máy&gt; ô tô cũ, ô tô mới&gt; Suzuki&gt; Grand Escudo")</f>
        <v>Đấu giá&gt; ô tô, xe máy&gt; ô tô cũ, ô tô mới&gt; Suzuki&gt; Grand Escudo</v>
      </c>
      <c r="F194" t="str">
        <f t="shared" ref="F194:F257" ca="1" si="3">CONCATENATE(CHAR(34)&amp;"",A194,""&amp;CHAR(34)," : ", CHAR(34)&amp;"",D194,""&amp;CHAR(34),",")</f>
        <v>"2084204890" : "Đại Escudo",</v>
      </c>
    </row>
    <row r="195" spans="1:6" ht="15.75" customHeight="1">
      <c r="A195" s="18">
        <v>2084048160</v>
      </c>
      <c r="B195" s="18" t="s">
        <v>9704</v>
      </c>
      <c r="C195" s="18" t="s">
        <v>9705</v>
      </c>
      <c r="D195" s="5" t="str">
        <f ca="1">IFERROR(__xludf.DUMMYFUNCTION("GOOGLETRANSLATE(B195,""ja"",""vi"")"),"Jimny")</f>
        <v>Jimny</v>
      </c>
      <c r="E195" s="5" t="str">
        <f ca="1">IFERROR(__xludf.DUMMYFUNCTION("GOOGLETRANSLATE(C195,""ja"",""vi"")"),"Đấu giá&gt; ô tô, xe máy&gt; ô tô cũ, ô tô mới&gt; Suzuki&gt; Jimny")</f>
        <v>Đấu giá&gt; ô tô, xe máy&gt; ô tô cũ, ô tô mới&gt; Suzuki&gt; Jimny</v>
      </c>
      <c r="F195" t="str">
        <f t="shared" ca="1" si="3"/>
        <v>"2084048160" : "Jimny",</v>
      </c>
    </row>
    <row r="196" spans="1:6" ht="15.75" customHeight="1">
      <c r="A196" s="18">
        <v>2084049024</v>
      </c>
      <c r="B196" s="18" t="s">
        <v>9710</v>
      </c>
      <c r="C196" s="18" t="s">
        <v>9712</v>
      </c>
      <c r="D196" s="5" t="str">
        <f ca="1">IFERROR(__xludf.DUMMYFUNCTION("GOOGLETRANSLATE(B196,""ja"",""vi"")"),"Jimny 1300")</f>
        <v>Jimny 1300</v>
      </c>
      <c r="E196" s="5" t="str">
        <f ca="1">IFERROR(__xludf.DUMMYFUNCTION("GOOGLETRANSLATE(C196,""ja"",""vi"")"),"Đấu giá&gt; ô tô, xe máy&gt; ô tô cũ, ô tô mới&gt; Suzuki&gt; Jimny 1300")</f>
        <v>Đấu giá&gt; ô tô, xe máy&gt; ô tô cũ, ô tô mới&gt; Suzuki&gt; Jimny 1300</v>
      </c>
      <c r="F196" t="str">
        <f t="shared" ca="1" si="3"/>
        <v>"2084049024" : "Jimny 1300",</v>
      </c>
    </row>
    <row r="197" spans="1:6" ht="15.75" customHeight="1">
      <c r="A197" s="18">
        <v>2084054525</v>
      </c>
      <c r="B197" s="18" t="s">
        <v>9716</v>
      </c>
      <c r="C197" s="18" t="s">
        <v>9717</v>
      </c>
      <c r="D197" s="5" t="str">
        <f ca="1">IFERROR(__xludf.DUMMYFUNCTION("GOOGLETRANSLATE(B197,""ja"",""vi"")"),"Jimny Sierra")</f>
        <v>Jimny Sierra</v>
      </c>
      <c r="E197" s="5" t="str">
        <f ca="1">IFERROR(__xludf.DUMMYFUNCTION("GOOGLETRANSLATE(C197,""ja"",""vi"")"),"Đấu giá&gt; ô tô, xe máy&gt; ô tô cũ, ô tô mới&gt; Suzuki&gt; Jimny Sierra")</f>
        <v>Đấu giá&gt; ô tô, xe máy&gt; ô tô cũ, ô tô mới&gt; Suzuki&gt; Jimny Sierra</v>
      </c>
      <c r="F197" t="str">
        <f t="shared" ca="1" si="3"/>
        <v>"2084054525" : "Jimny Sierra",</v>
      </c>
    </row>
    <row r="198" spans="1:6" ht="15.75" customHeight="1">
      <c r="A198" s="18">
        <v>2084048161</v>
      </c>
      <c r="B198" s="18" t="s">
        <v>9722</v>
      </c>
      <c r="C198" s="18" t="s">
        <v>9723</v>
      </c>
      <c r="D198" s="5" t="str">
        <f ca="1">IFERROR(__xludf.DUMMYFUNCTION("GOOGLETRANSLATE(B198,""ja"",""vi"")"),"Jimny Wide")</f>
        <v>Jimny Wide</v>
      </c>
      <c r="E198" s="5" t="str">
        <f ca="1">IFERROR(__xludf.DUMMYFUNCTION("GOOGLETRANSLATE(C198,""ja"",""vi"")"),"Đấu giá&gt; ô tô, xe máy&gt; ô tô cũ, ô tô mới&gt; Suzuki&gt; Jimny Wide")</f>
        <v>Đấu giá&gt; ô tô, xe máy&gt; ô tô cũ, ô tô mới&gt; Suzuki&gt; Jimny Wide</v>
      </c>
      <c r="F198" t="str">
        <f t="shared" ca="1" si="3"/>
        <v>"2084048161" : "Jimny Wide",</v>
      </c>
    </row>
    <row r="199" spans="1:6" ht="15.75" customHeight="1">
      <c r="A199" s="18">
        <v>2084048162</v>
      </c>
      <c r="B199" s="18" t="s">
        <v>9728</v>
      </c>
      <c r="C199" s="18" t="s">
        <v>9729</v>
      </c>
      <c r="D199" s="5" t="str">
        <f ca="1">IFERROR(__xludf.DUMMYFUNCTION("GOOGLETRANSLATE(B199,""ja"",""vi"")"),"nhanh")</f>
        <v>nhanh</v>
      </c>
      <c r="E199" s="5" t="str">
        <f ca="1">IFERROR(__xludf.DUMMYFUNCTION("GOOGLETRANSLATE(C199,""ja"",""vi"")"),"Đấu giá&gt; ô tô, xe máy&gt; ô tô cũ, ô tô mới&gt; Suzuki&gt; Swift")</f>
        <v>Đấu giá&gt; ô tô, xe máy&gt; ô tô cũ, ô tô mới&gt; Suzuki&gt; Swift</v>
      </c>
      <c r="F199" t="str">
        <f t="shared" ca="1" si="3"/>
        <v>"2084048162" : "nhanh",</v>
      </c>
    </row>
    <row r="200" spans="1:6" ht="15.75" customHeight="1">
      <c r="A200" s="18">
        <v>2084243758</v>
      </c>
      <c r="B200" s="18" t="s">
        <v>9734</v>
      </c>
      <c r="C200" s="18" t="s">
        <v>9735</v>
      </c>
      <c r="D200" s="5" t="str">
        <f ca="1">IFERROR(__xludf.DUMMYFUNCTION("GOOGLETRANSLATE(B200,""ja"",""vi"")"),"Splash")</f>
        <v>Splash</v>
      </c>
      <c r="E200" s="5" t="str">
        <f ca="1">IFERROR(__xludf.DUMMYFUNCTION("GOOGLETRANSLATE(C200,""ja"",""vi"")"),"Đấu giá&gt; ô tô, xe máy&gt; ô tô cũ, ô tô mới&gt; Suzuki&gt; Splash")</f>
        <v>Đấu giá&gt; ô tô, xe máy&gt; ô tô cũ, ô tô mới&gt; Suzuki&gt; Splash</v>
      </c>
      <c r="F200" t="str">
        <f t="shared" ca="1" si="3"/>
        <v>"2084243758" : "Splash",</v>
      </c>
    </row>
    <row r="201" spans="1:6" ht="15.75" customHeight="1">
      <c r="A201" s="18">
        <v>2084315380</v>
      </c>
      <c r="B201" s="18" t="s">
        <v>9739</v>
      </c>
      <c r="C201" s="18" t="s">
        <v>9741</v>
      </c>
      <c r="D201" s="5" t="str">
        <f ca="1">IFERROR(__xludf.DUMMYFUNCTION("GOOGLETRANSLATE(B201,""ja"",""vi"")"),"Spacia")</f>
        <v>Spacia</v>
      </c>
      <c r="E201" s="5" t="str">
        <f ca="1">IFERROR(__xludf.DUMMYFUNCTION("GOOGLETRANSLATE(C201,""ja"",""vi"")"),"Đấu giá&gt; ô tô, xe máy&gt; ô tô cũ, ô tô mới&gt; Suzuki&gt; Spacia")</f>
        <v>Đấu giá&gt; ô tô, xe máy&gt; ô tô cũ, ô tô mới&gt; Suzuki&gt; Spacia</v>
      </c>
      <c r="F201" t="str">
        <f t="shared" ca="1" si="3"/>
        <v>"2084315380" : "Spacia",</v>
      </c>
    </row>
    <row r="202" spans="1:6" ht="15.75" customHeight="1">
      <c r="A202" s="18">
        <v>2084315381</v>
      </c>
      <c r="B202" s="18" t="s">
        <v>9744</v>
      </c>
      <c r="C202" s="18" t="s">
        <v>9745</v>
      </c>
      <c r="D202" s="5" t="str">
        <f ca="1">IFERROR(__xludf.DUMMYFUNCTION("GOOGLETRANSLATE(B202,""ja"",""vi"")"),"Spacia tùy chỉnh")</f>
        <v>Spacia tùy chỉnh</v>
      </c>
      <c r="E202" s="5" t="str">
        <f ca="1">IFERROR(__xludf.DUMMYFUNCTION("GOOGLETRANSLATE(C202,""ja"",""vi"")"),"Đấu giá&gt; ô tô, xe máy&gt; ô tô cũ, ô tô mới&gt; Suzuki&gt; Spacia tùy chỉnh")</f>
        <v>Đấu giá&gt; ô tô, xe máy&gt; ô tô cũ, ô tô mới&gt; Suzuki&gt; Spacia tùy chỉnh</v>
      </c>
      <c r="F202" t="str">
        <f t="shared" ca="1" si="3"/>
        <v>"2084315381" : "Spacia tùy chỉnh",</v>
      </c>
    </row>
    <row r="203" spans="1:6" ht="15.75" customHeight="1">
      <c r="A203" s="18">
        <v>2084048163</v>
      </c>
      <c r="B203" s="18" t="s">
        <v>9750</v>
      </c>
      <c r="C203" s="18" t="s">
        <v>9753</v>
      </c>
      <c r="D203" s="5" t="str">
        <f ca="1">IFERROR(__xludf.DUMMYFUNCTION("GOOGLETRANSLATE(B203,""ja"",""vi"")"),"Serbo")</f>
        <v>Serbo</v>
      </c>
      <c r="E203" s="5" t="str">
        <f ca="1">IFERROR(__xludf.DUMMYFUNCTION("GOOGLETRANSLATE(C203,""ja"",""vi"")"),"Đấu giá&gt; ô tô, xe máy&gt; ô tô cũ, ô tô mới&gt; Suzuki&gt; Cervo")</f>
        <v>Đấu giá&gt; ô tô, xe máy&gt; ô tô cũ, ô tô mới&gt; Suzuki&gt; Cervo</v>
      </c>
      <c r="F203" t="str">
        <f t="shared" ca="1" si="3"/>
        <v>"2084048163" : "Serbo",</v>
      </c>
    </row>
    <row r="204" spans="1:6" ht="15.75" customHeight="1">
      <c r="A204" s="18">
        <v>2084048164</v>
      </c>
      <c r="B204" s="18" t="s">
        <v>9758</v>
      </c>
      <c r="C204" s="18" t="s">
        <v>9760</v>
      </c>
      <c r="D204" s="5" t="str">
        <f ca="1">IFERROR(__xludf.DUMMYFUNCTION("GOOGLETRANSLATE(B204,""ja"",""vi"")"),"chế độ Serbo")</f>
        <v>chế độ Serbo</v>
      </c>
      <c r="E204" s="5" t="str">
        <f ca="1">IFERROR(__xludf.DUMMYFUNCTION("GOOGLETRANSLATE(C204,""ja"",""vi"")"),"Đấu giá&gt; ô tô, xe máy&gt; ô tô cũ, ô tô mới&gt; Suzuki&gt; Chế độ Cervo")</f>
        <v>Đấu giá&gt; ô tô, xe máy&gt; ô tô cũ, ô tô mới&gt; Suzuki&gt; Chế độ Cervo</v>
      </c>
      <c r="F204" t="str">
        <f t="shared" ca="1" si="3"/>
        <v>"2084048164" : "chế độ Serbo",</v>
      </c>
    </row>
    <row r="205" spans="1:6" ht="15.75" customHeight="1">
      <c r="A205" s="18">
        <v>2084299543</v>
      </c>
      <c r="B205" s="18" t="s">
        <v>9763</v>
      </c>
      <c r="C205" s="18" t="s">
        <v>9764</v>
      </c>
      <c r="D205" s="5" t="str">
        <f ca="1">IFERROR(__xludf.DUMMYFUNCTION("GOOGLETRANSLATE(B205,""ja"",""vi"")"),"Solio")</f>
        <v>Solio</v>
      </c>
      <c r="E205" s="5" t="str">
        <f ca="1">IFERROR(__xludf.DUMMYFUNCTION("GOOGLETRANSLATE(C205,""ja"",""vi"")"),"Đấu giá&gt; ô tô, xe máy&gt; ô tô cũ, ô tô mới&gt; Suzuki&gt; Solio")</f>
        <v>Đấu giá&gt; ô tô, xe máy&gt; ô tô cũ, ô tô mới&gt; Suzuki&gt; Solio</v>
      </c>
      <c r="F205" t="str">
        <f t="shared" ca="1" si="3"/>
        <v>"2084299543" : "Solio",</v>
      </c>
    </row>
    <row r="206" spans="1:6" ht="15.75" customHeight="1">
      <c r="A206" s="18">
        <v>2084053062</v>
      </c>
      <c r="B206" s="18" t="s">
        <v>9768</v>
      </c>
      <c r="C206" s="18" t="s">
        <v>9771</v>
      </c>
      <c r="D206" s="5" t="str">
        <f ca="1">IFERROR(__xludf.DUMMYFUNCTION("GOOGLETRANSLATE(B206,""ja"",""vi"")"),"Twin")</f>
        <v>Twin</v>
      </c>
      <c r="E206" s="5" t="str">
        <f ca="1">IFERROR(__xludf.DUMMYFUNCTION("GOOGLETRANSLATE(C206,""ja"",""vi"")"),"Đấu giá&gt; ô tô, xe máy&gt; ô tô cũ, ô tô mới&gt; Suzuki&gt; đôi")</f>
        <v>Đấu giá&gt; ô tô, xe máy&gt; ô tô cũ, ô tô mới&gt; Suzuki&gt; đôi</v>
      </c>
      <c r="F206" t="str">
        <f t="shared" ca="1" si="3"/>
        <v>"2084053062" : "Twin",</v>
      </c>
    </row>
    <row r="207" spans="1:6" ht="15.75" customHeight="1">
      <c r="A207" s="18">
        <v>2084315382</v>
      </c>
      <c r="B207" s="18" t="s">
        <v>9776</v>
      </c>
      <c r="C207" s="18" t="s">
        <v>9777</v>
      </c>
      <c r="D207" s="5" t="str">
        <f ca="1">IFERROR(__xludf.DUMMYFUNCTION("GOOGLETRANSLATE(B207,""ja"",""vi"")"),"mẫn tiệp")</f>
        <v>mẫn tiệp</v>
      </c>
      <c r="E207" s="5" t="str">
        <f ca="1">IFERROR(__xludf.DUMMYFUNCTION("GOOGLETRANSLATE(C207,""ja"",""vi"")"),"Đấu giá&gt; ô tô, xe máy&gt; ô tô cũ, ô tô mới&gt; Suzuki&gt; Hustler")</f>
        <v>Đấu giá&gt; ô tô, xe máy&gt; ô tô cũ, ô tô mới&gt; Suzuki&gt; Hustler</v>
      </c>
      <c r="F207" t="str">
        <f t="shared" ca="1" si="3"/>
        <v>"2084315382" : "mẫn tiệp",</v>
      </c>
    </row>
    <row r="208" spans="1:6" ht="15.75" customHeight="1">
      <c r="A208" s="18">
        <v>2084231725</v>
      </c>
      <c r="B208" s="18" t="s">
        <v>9781</v>
      </c>
      <c r="C208" s="18" t="s">
        <v>9784</v>
      </c>
      <c r="D208" s="5" t="str">
        <f ca="1">IFERROR(__xludf.DUMMYFUNCTION("GOOGLETRANSLATE(B208,""ja"",""vi"")"),"giường")</f>
        <v>giường</v>
      </c>
      <c r="E208" s="5" t="str">
        <f ca="1">IFERROR(__xludf.DUMMYFUNCTION("GOOGLETRANSLATE(C208,""ja"",""vi"")"),"Đấu giá&gt; ô tô, xe máy&gt; ô tô cũ, ô tô mới&gt; Suzuki&gt; bảng")</f>
        <v>Đấu giá&gt; ô tô, xe máy&gt; ô tô cũ, ô tô mới&gt; Suzuki&gt; bảng</v>
      </c>
      <c r="F208" t="str">
        <f t="shared" ca="1" si="3"/>
        <v>"2084231725" : "giường",</v>
      </c>
    </row>
    <row r="209" spans="1:6" ht="15.75" customHeight="1">
      <c r="A209" s="18">
        <v>2084299540</v>
      </c>
      <c r="B209" s="18" t="s">
        <v>9787</v>
      </c>
      <c r="C209" s="18" t="s">
        <v>9789</v>
      </c>
      <c r="D209" s="5" t="str">
        <f ca="1">IFERROR(__xludf.DUMMYFUNCTION("GOOGLETRANSLATE(B209,""ja"",""vi"")"),"Palette SW")</f>
        <v>Palette SW</v>
      </c>
      <c r="E209" s="5" t="str">
        <f ca="1">IFERROR(__xludf.DUMMYFUNCTION("GOOGLETRANSLATE(C209,""ja"",""vi"")"),"Đấu giá&gt; ô tô, xe máy&gt; ô tô cũ, ô tô mới&gt; Suzuki&gt; bảng SW")</f>
        <v>Đấu giá&gt; ô tô, xe máy&gt; ô tô cũ, ô tô mới&gt; Suzuki&gt; bảng SW</v>
      </c>
      <c r="F209" t="str">
        <f t="shared" ca="1" si="3"/>
        <v>"2084299540" : "Palette SW",</v>
      </c>
    </row>
    <row r="210" spans="1:6" ht="15.75" customHeight="1">
      <c r="A210" s="18">
        <v>2084205143</v>
      </c>
      <c r="B210" s="18" t="s">
        <v>9791</v>
      </c>
      <c r="C210" s="18" t="s">
        <v>9794</v>
      </c>
      <c r="D210" s="5" t="str">
        <f ca="1">IFERROR(__xludf.DUMMYFUNCTION("GOOGLETRANSLATE(B210,""ja"",""vi"")"),"Frontera")</f>
        <v>Frontera</v>
      </c>
      <c r="E210" s="5" t="str">
        <f ca="1">IFERROR(__xludf.DUMMYFUNCTION("GOOGLETRANSLATE(C210,""ja"",""vi"")"),"Đấu giá&gt; ô tô, xe máy&gt; ô tô cũ, ô tô mới&gt; Suzuki&gt; Fronte")</f>
        <v>Đấu giá&gt; ô tô, xe máy&gt; ô tô cũ, ô tô mới&gt; Suzuki&gt; Fronte</v>
      </c>
      <c r="F210" t="str">
        <f t="shared" ca="1" si="3"/>
        <v>"2084205143" : "Frontera",</v>
      </c>
    </row>
    <row r="211" spans="1:6" ht="15.75" customHeight="1">
      <c r="A211" s="18">
        <v>2084049025</v>
      </c>
      <c r="B211" s="18" t="s">
        <v>9797</v>
      </c>
      <c r="C211" s="18" t="s">
        <v>9800</v>
      </c>
      <c r="D211" s="5" t="str">
        <f ca="1">IFERROR(__xludf.DUMMYFUNCTION("GOOGLETRANSLATE(B211,""ja"",""vi"")"),"Mighty Boy")</f>
        <v>Mighty Boy</v>
      </c>
      <c r="E211" s="5" t="str">
        <f ca="1">IFERROR(__xludf.DUMMYFUNCTION("GOOGLETRANSLATE(C211,""ja"",""vi"")"),"Đấu giá&gt; ô tô, xe máy&gt; ô tô cũ, ô tô mới&gt; Suzuki&gt; Mighty Boy")</f>
        <v>Đấu giá&gt; ô tô, xe máy&gt; ô tô cũ, ô tô mới&gt; Suzuki&gt; Mighty Boy</v>
      </c>
      <c r="F211" t="str">
        <f t="shared" ca="1" si="3"/>
        <v>"2084049025" : "Mighty Boy",</v>
      </c>
    </row>
    <row r="212" spans="1:6" ht="15.75" customHeight="1">
      <c r="A212" s="18">
        <v>2084299544</v>
      </c>
      <c r="B212" s="18" t="s">
        <v>9803</v>
      </c>
      <c r="C212" s="18" t="s">
        <v>9806</v>
      </c>
      <c r="D212" s="5" t="str">
        <f ca="1">IFERROR(__xludf.DUMMYFUNCTION("GOOGLETRANSLATE(B212,""ja"",""vi"")"),"bất kham")</f>
        <v>bất kham</v>
      </c>
      <c r="E212" s="5" t="str">
        <f ca="1">IFERROR(__xludf.DUMMYFUNCTION("GOOGLETRANSLATE(C212,""ja"",""vi"")"),"Đấu giá&gt; ô tô, xe máy&gt; ô tô cũ, ô tô mới&gt; Suzuki&gt; Randy")</f>
        <v>Đấu giá&gt; ô tô, xe máy&gt; ô tô cũ, ô tô mới&gt; Suzuki&gt; Randy</v>
      </c>
      <c r="F212" t="str">
        <f t="shared" ca="1" si="3"/>
        <v>"2084299544" : "bất kham",</v>
      </c>
    </row>
    <row r="213" spans="1:6" ht="15.75" customHeight="1">
      <c r="A213" s="18">
        <v>2084048165</v>
      </c>
      <c r="B213" s="18" t="s">
        <v>9812</v>
      </c>
      <c r="C213" s="18" t="s">
        <v>9813</v>
      </c>
      <c r="D213" s="5" t="str">
        <f ca="1">IFERROR(__xludf.DUMMYFUNCTION("GOOGLETRANSLATE(B213,""ja"",""vi"")"),"wagon R")</f>
        <v>wagon R</v>
      </c>
      <c r="E213" s="5" t="str">
        <f ca="1">IFERROR(__xludf.DUMMYFUNCTION("GOOGLETRANSLATE(C213,""ja"",""vi"")"),"Đấu giá&gt; ô tô, xe máy&gt; ô tô cũ, ô tô mới&gt; Suzuki&gt; Wagon R")</f>
        <v>Đấu giá&gt; ô tô, xe máy&gt; ô tô cũ, ô tô mới&gt; Suzuki&gt; Wagon R</v>
      </c>
      <c r="F213" t="str">
        <f t="shared" ca="1" si="3"/>
        <v>"2084048165" : "wagon R",</v>
      </c>
    </row>
    <row r="214" spans="1:6" ht="15.75" customHeight="1">
      <c r="A214" s="18">
        <v>2084299541</v>
      </c>
      <c r="B214" s="18" t="s">
        <v>9818</v>
      </c>
      <c r="C214" s="18" t="s">
        <v>9819</v>
      </c>
      <c r="D214" s="5" t="str">
        <f ca="1">IFERROR(__xludf.DUMMYFUNCTION("GOOGLETRANSLATE(B214,""ja"",""vi"")"),"Wagon R Stingray")</f>
        <v>Wagon R Stingray</v>
      </c>
      <c r="E214" s="5" t="str">
        <f ca="1">IFERROR(__xludf.DUMMYFUNCTION("GOOGLETRANSLATE(C214,""ja"",""vi"")"),"Đấu giá&gt; ô tô, xe máy&gt; ô tô cũ, ô tô mới&gt; Suzuki&gt; Wagon R Stingray")</f>
        <v>Đấu giá&gt; ô tô, xe máy&gt; ô tô cũ, ô tô mới&gt; Suzuki&gt; Wagon R Stingray</v>
      </c>
      <c r="F214" t="str">
        <f t="shared" ca="1" si="3"/>
        <v>"2084299541" : "Wagon R Stingray",</v>
      </c>
    </row>
    <row r="215" spans="1:6" ht="15.75" customHeight="1">
      <c r="A215" s="18">
        <v>2084049026</v>
      </c>
      <c r="B215" s="18" t="s">
        <v>9824</v>
      </c>
      <c r="C215" s="18" t="s">
        <v>9825</v>
      </c>
      <c r="D215" s="5" t="str">
        <f ca="1">IFERROR(__xludf.DUMMYFUNCTION("GOOGLETRANSLATE(B215,""ja"",""vi"")"),"Wagon R Solio")</f>
        <v>Wagon R Solio</v>
      </c>
      <c r="E215" s="5" t="str">
        <f ca="1">IFERROR(__xludf.DUMMYFUNCTION("GOOGLETRANSLATE(C215,""ja"",""vi"")"),"Đấu giá&gt; ô tô, xe máy&gt; ô tô cũ, ô tô mới&gt; Suzuki&gt; Wagon R Solio")</f>
        <v>Đấu giá&gt; ô tô, xe máy&gt; ô tô cũ, ô tô mới&gt; Suzuki&gt; Wagon R Solio</v>
      </c>
      <c r="F215" t="str">
        <f t="shared" ca="1" si="3"/>
        <v>"2084049026" : "Wagon R Solio",</v>
      </c>
    </row>
    <row r="216" spans="1:6" ht="15.75" customHeight="1">
      <c r="A216" s="18">
        <v>2084049027</v>
      </c>
      <c r="B216" s="18" t="s">
        <v>9827</v>
      </c>
      <c r="C216" s="18" t="s">
        <v>9828</v>
      </c>
      <c r="D216" s="5" t="str">
        <f ca="1">IFERROR(__xludf.DUMMYFUNCTION("GOOGLETRANSLATE(B216,""ja"",""vi"")"),"Wagon R cộng")</f>
        <v>Wagon R cộng</v>
      </c>
      <c r="E216" s="5" t="str">
        <f ca="1">IFERROR(__xludf.DUMMYFUNCTION("GOOGLETRANSLATE(C216,""ja"",""vi"")"),"Đấu giá&gt; ô tô, xe máy&gt; ô tô cũ, ô tô mới&gt; Suzuki&gt; Wagon R cộng")</f>
        <v>Đấu giá&gt; ô tô, xe máy&gt; ô tô cũ, ô tô mới&gt; Suzuki&gt; Wagon R cộng</v>
      </c>
      <c r="F216" t="str">
        <f t="shared" ca="1" si="3"/>
        <v>"2084049027" : "Wagon R cộng",</v>
      </c>
    </row>
    <row r="217" spans="1:6" ht="15.75" customHeight="1">
      <c r="A217" s="18">
        <v>2084049028</v>
      </c>
      <c r="B217" s="18" t="s">
        <v>9832</v>
      </c>
      <c r="C217" s="18" t="s">
        <v>9833</v>
      </c>
      <c r="D217" s="5" t="str">
        <f ca="1">IFERROR(__xludf.DUMMYFUNCTION("GOOGLETRANSLATE(B217,""ja"",""vi"")"),"Wagon R Wide")</f>
        <v>Wagon R Wide</v>
      </c>
      <c r="E217" s="5" t="str">
        <f ca="1">IFERROR(__xludf.DUMMYFUNCTION("GOOGLETRANSLATE(C217,""ja"",""vi"")"),"Đấu giá&gt; ô tô, xe máy&gt; ô tô cũ, ô tô mới&gt; Suzuki&gt; Wagon R Wide")</f>
        <v>Đấu giá&gt; ô tô, xe máy&gt; ô tô cũ, ô tô mới&gt; Suzuki&gt; Wagon R Wide</v>
      </c>
      <c r="F217" t="str">
        <f t="shared" ca="1" si="3"/>
        <v>"2084049028" : "Wagon R Wide",</v>
      </c>
    </row>
    <row r="218" spans="1:6" ht="15.75" customHeight="1">
      <c r="A218" s="18">
        <v>2084048149</v>
      </c>
      <c r="B218" s="18" t="s">
        <v>46</v>
      </c>
      <c r="C218" s="18" t="s">
        <v>9838</v>
      </c>
      <c r="D218" s="5" t="str">
        <f ca="1">IFERROR(__xludf.DUMMYFUNCTION("GOOGLETRANSLATE(B218,""ja"",""vi"")"),"nếu không thì")</f>
        <v>nếu không thì</v>
      </c>
      <c r="E218" s="5" t="str">
        <f ca="1">IFERROR(__xludf.DUMMYFUNCTION("GOOGLETRANSLATE(C218,""ja"",""vi"")"),"Đấu giá&gt; ô tô, xe máy&gt; ô tô cũ, ô tô mới&gt; Suzuki&gt; Khác")</f>
        <v>Đấu giá&gt; ô tô, xe máy&gt; ô tô cũ, ô tô mới&gt; Suzuki&gt; Khác</v>
      </c>
      <c r="F218" t="str">
        <f t="shared" ca="1" si="3"/>
        <v>"2084048149" : "nếu không thì",</v>
      </c>
    </row>
    <row r="219" spans="1:6" ht="15.75" customHeight="1">
      <c r="A219" s="18">
        <v>2084315383</v>
      </c>
      <c r="B219" s="18" t="s">
        <v>9843</v>
      </c>
      <c r="C219" s="18" t="s">
        <v>9846</v>
      </c>
      <c r="D219" s="5" t="str">
        <f ca="1">IFERROR(__xludf.DUMMYFUNCTION("GOOGLETRANSLATE(B219,""ja"",""vi"")"),"BRZ")</f>
        <v>BRZ</v>
      </c>
      <c r="E219" s="5" t="str">
        <f ca="1">IFERROR(__xludf.DUMMYFUNCTION("GOOGLETRANSLATE(C219,""ja"",""vi"")"),"Đấu giá&gt; ô tô, xe máy&gt; ô tô cũ, ô tô mới&gt; Subaru&gt; BRZ")</f>
        <v>Đấu giá&gt; ô tô, xe máy&gt; ô tô cũ, ô tô mới&gt; Subaru&gt; BRZ</v>
      </c>
      <c r="F219" t="str">
        <f t="shared" ca="1" si="3"/>
        <v>"2084315383" : "BRZ",</v>
      </c>
    </row>
    <row r="220" spans="1:6" ht="15.75" customHeight="1">
      <c r="A220" s="18">
        <v>2084059201</v>
      </c>
      <c r="B220" s="18" t="s">
        <v>9849</v>
      </c>
      <c r="C220" s="18" t="s">
        <v>9850</v>
      </c>
      <c r="D220" s="5" t="str">
        <f ca="1">IFERROR(__xludf.DUMMYFUNCTION("GOOGLETRANSLATE(B220,""ja"",""vi"")"),"R1")</f>
        <v>R1</v>
      </c>
      <c r="E220" s="5" t="str">
        <f ca="1">IFERROR(__xludf.DUMMYFUNCTION("GOOGLETRANSLATE(C220,""ja"",""vi"")"),"Đấu giá&gt; ô tô, xe máy&gt; ô tô cũ, ô tô mới&gt; Subaru&gt; R1")</f>
        <v>Đấu giá&gt; ô tô, xe máy&gt; ô tô cũ, ô tô mới&gt; Subaru&gt; R1</v>
      </c>
      <c r="F220" t="str">
        <f t="shared" ca="1" si="3"/>
        <v>"2084059201" : "R1",</v>
      </c>
    </row>
    <row r="221" spans="1:6" ht="15.75" customHeight="1">
      <c r="A221" s="18">
        <v>2084051822</v>
      </c>
      <c r="B221" s="18" t="s">
        <v>9854</v>
      </c>
      <c r="C221" s="18" t="s">
        <v>9856</v>
      </c>
      <c r="D221" s="5" t="str">
        <f ca="1">IFERROR(__xludf.DUMMYFUNCTION("GOOGLETRANSLATE(B221,""ja"",""vi"")"),"R2")</f>
        <v>R2</v>
      </c>
      <c r="E221" s="5" t="str">
        <f ca="1">IFERROR(__xludf.DUMMYFUNCTION("GOOGLETRANSLATE(C221,""ja"",""vi"")"),"Đấu giá&gt; ô tô, xe máy&gt; ô tô cũ, ô tô mới&gt; Subaru&gt; R2")</f>
        <v>Đấu giá&gt; ô tô, xe máy&gt; ô tô cũ, ô tô mới&gt; Subaru&gt; R2</v>
      </c>
      <c r="F221" t="str">
        <f t="shared" ca="1" si="3"/>
        <v>"2084051822" : "R2",</v>
      </c>
    </row>
    <row r="222" spans="1:6" ht="15.75" customHeight="1">
      <c r="A222" s="18">
        <v>2084049029</v>
      </c>
      <c r="B222" s="18" t="s">
        <v>9860</v>
      </c>
      <c r="C222" s="18" t="s">
        <v>9862</v>
      </c>
      <c r="D222" s="5" t="str">
        <f ca="1">IFERROR(__xludf.DUMMYFUNCTION("GOOGLETRANSLATE(B222,""ja"",""vi"")"),"Alcyone SVX")</f>
        <v>Alcyone SVX</v>
      </c>
      <c r="E222" s="5" t="str">
        <f ca="1">IFERROR(__xludf.DUMMYFUNCTION("GOOGLETRANSLATE(C222,""ja"",""vi"")"),"Đấu giá&gt; ô tô, xe máy&gt; ô tô cũ, ô tô mới&gt; Subaru&gt; Alcyone SVX")</f>
        <v>Đấu giá&gt; ô tô, xe máy&gt; ô tô cũ, ô tô mới&gt; Subaru&gt; Alcyone SVX</v>
      </c>
      <c r="F222" t="str">
        <f t="shared" ca="1" si="3"/>
        <v>"2084049029" : "Alcyone SVX",</v>
      </c>
    </row>
    <row r="223" spans="1:6" ht="15.75" customHeight="1">
      <c r="A223" s="18">
        <v>2084048121</v>
      </c>
      <c r="B223" s="18" t="s">
        <v>9866</v>
      </c>
      <c r="C223" s="18" t="s">
        <v>9867</v>
      </c>
      <c r="D223" s="5" t="str">
        <f ca="1">IFERROR(__xludf.DUMMYFUNCTION("GOOGLETRANSLATE(B223,""ja"",""vi"")"),"Impreza")</f>
        <v>Impreza</v>
      </c>
      <c r="E223" s="5" t="str">
        <f ca="1">IFERROR(__xludf.DUMMYFUNCTION("GOOGLETRANSLATE(C223,""ja"",""vi"")"),"Đấu giá&gt; ô tô, xe máy&gt; ô tô cũ, ô tô mới&gt; Subaru&gt; Impreza")</f>
        <v>Đấu giá&gt; ô tô, xe máy&gt; ô tô cũ, ô tô mới&gt; Subaru&gt; Impreza</v>
      </c>
      <c r="F223" t="str">
        <f t="shared" ca="1" si="3"/>
        <v>"2084048121" : "Impreza",</v>
      </c>
    </row>
    <row r="224" spans="1:6" ht="15.75" customHeight="1">
      <c r="A224" s="18">
        <v>2084048122</v>
      </c>
      <c r="B224" s="18" t="s">
        <v>9872</v>
      </c>
      <c r="C224" s="18" t="s">
        <v>9874</v>
      </c>
      <c r="D224" s="5" t="str">
        <f ca="1">IFERROR(__xludf.DUMMYFUNCTION("GOOGLETRANSLATE(B224,""ja"",""vi"")"),"Impreza Sport Wagon")</f>
        <v>Impreza Sport Wagon</v>
      </c>
      <c r="E224" s="5" t="str">
        <f ca="1">IFERROR(__xludf.DUMMYFUNCTION("GOOGLETRANSLATE(C224,""ja"",""vi"")"),"Đấu giá&gt; ô tô, xe máy&gt; ô tô cũ, ô tô mới&gt; Subaru&gt; Impreza Sport Wagon")</f>
        <v>Đấu giá&gt; ô tô, xe máy&gt; ô tô cũ, ô tô mới&gt; Subaru&gt; Impreza Sport Wagon</v>
      </c>
      <c r="F224" t="str">
        <f t="shared" ca="1" si="3"/>
        <v>"2084048122" : "Impreza Sport Wagon",</v>
      </c>
    </row>
    <row r="225" spans="1:6" ht="15.75" customHeight="1">
      <c r="A225" s="18">
        <v>2084243761</v>
      </c>
      <c r="B225" s="18" t="s">
        <v>9880</v>
      </c>
      <c r="C225" s="18" t="s">
        <v>9881</v>
      </c>
      <c r="D225" s="5" t="str">
        <f ca="1">IFERROR(__xludf.DUMMYFUNCTION("GOOGLETRANSLATE(B225,""ja"",""vi"")"),"Impreza hatchback")</f>
        <v>Impreza hatchback</v>
      </c>
      <c r="E225" s="5" t="str">
        <f ca="1">IFERROR(__xludf.DUMMYFUNCTION("GOOGLETRANSLATE(C225,""ja"",""vi"")"),"Đấu giá&gt; ô tô, xe máy&gt; ô tô cũ, ô tô mới&gt; Subaru&gt; Impreza hatchback")</f>
        <v>Đấu giá&gt; ô tô, xe máy&gt; ô tô cũ, ô tô mới&gt; Subaru&gt; Impreza hatchback</v>
      </c>
      <c r="F225" t="str">
        <f t="shared" ca="1" si="3"/>
        <v>"2084243761" : "Impreza hatchback",</v>
      </c>
    </row>
    <row r="226" spans="1:6" ht="15.75" customHeight="1">
      <c r="A226" s="18">
        <v>2084243760</v>
      </c>
      <c r="B226" s="18" t="s">
        <v>9886</v>
      </c>
      <c r="C226" s="18" t="s">
        <v>9887</v>
      </c>
      <c r="D226" s="5" t="str">
        <f ca="1">IFERROR(__xludf.DUMMYFUNCTION("GOOGLETRANSLATE(B226,""ja"",""vi"")"),"Exiga")</f>
        <v>Exiga</v>
      </c>
      <c r="E226" s="5" t="str">
        <f ca="1">IFERROR(__xludf.DUMMYFUNCTION("GOOGLETRANSLATE(C226,""ja"",""vi"")"),"Đấu giá&gt; ô tô, xe máy&gt; ô tô cũ, ô tô mới&gt; Subaru&gt; Exiga")</f>
        <v>Đấu giá&gt; ô tô, xe máy&gt; ô tô cũ, ô tô mới&gt; Subaru&gt; Exiga</v>
      </c>
      <c r="F226" t="str">
        <f t="shared" ca="1" si="3"/>
        <v>"2084243760" : "Exiga",</v>
      </c>
    </row>
    <row r="227" spans="1:6" ht="15.75" customHeight="1">
      <c r="A227" s="18">
        <v>2084049030</v>
      </c>
      <c r="B227" s="18" t="s">
        <v>9892</v>
      </c>
      <c r="C227" s="18" t="s">
        <v>9893</v>
      </c>
      <c r="D227" s="5" t="str">
        <f ca="1">IFERROR(__xludf.DUMMYFUNCTION("GOOGLETRANSLATE(B227,""ja"",""vi"")"),"Sambar")</f>
        <v>Sambar</v>
      </c>
      <c r="E227" s="5" t="str">
        <f ca="1">IFERROR(__xludf.DUMMYFUNCTION("GOOGLETRANSLATE(C227,""ja"",""vi"")"),"Đấu giá&gt; ô tô, xe máy&gt; ô tô cũ, ô tô mới&gt; Subaru&gt; Sambar")</f>
        <v>Đấu giá&gt; ô tô, xe máy&gt; ô tô cũ, ô tô mới&gt; Subaru&gt; Sambar</v>
      </c>
      <c r="F227" t="str">
        <f t="shared" ca="1" si="3"/>
        <v>"2084049030" : "Sambar",</v>
      </c>
    </row>
    <row r="228" spans="1:6" ht="15.75" customHeight="1">
      <c r="A228" s="18">
        <v>2084048123</v>
      </c>
      <c r="B228" s="18" t="s">
        <v>9898</v>
      </c>
      <c r="C228" s="18" t="s">
        <v>9899</v>
      </c>
      <c r="D228" s="5" t="str">
        <f ca="1">IFERROR(__xludf.DUMMYFUNCTION("GOOGLETRANSLATE(B228,""ja"",""vi"")"),"Sambar Trì, Diaz")</f>
        <v>Sambar Trì, Diaz</v>
      </c>
      <c r="E228" s="5" t="str">
        <f ca="1">IFERROR(__xludf.DUMMYFUNCTION("GOOGLETRANSLATE(C228,""ja"",""vi"")"),"Đấu giá&gt; ô tô, xe máy&gt; ô tô cũ, ô tô mới&gt; Subaru&gt; Sambar thử, Diaz")</f>
        <v>Đấu giá&gt; ô tô, xe máy&gt; ô tô cũ, ô tô mới&gt; Subaru&gt; Sambar thử, Diaz</v>
      </c>
      <c r="F228" t="str">
        <f t="shared" ca="1" si="3"/>
        <v>"2084048123" : "Sambar Trì, Diaz",</v>
      </c>
    </row>
    <row r="229" spans="1:6" ht="15.75" customHeight="1">
      <c r="A229" s="18">
        <v>2084048124</v>
      </c>
      <c r="B229" s="18" t="s">
        <v>9904</v>
      </c>
      <c r="C229" s="18" t="s">
        <v>9906</v>
      </c>
      <c r="D229" s="5" t="str">
        <f ca="1">IFERROR(__xludf.DUMMYFUNCTION("GOOGLETRANSLATE(B229,""ja"",""vi"")"),"Sambar theo dõi")</f>
        <v>Sambar theo dõi</v>
      </c>
      <c r="E229" s="5" t="str">
        <f ca="1">IFERROR(__xludf.DUMMYFUNCTION("GOOGLETRANSLATE(C229,""ja"",""vi"")"),"Đấu giá&gt; ô tô, xe máy&gt; ô tô cũ, ô tô mới&gt; Subaru&gt; Sambar theo dõi")</f>
        <v>Đấu giá&gt; ô tô, xe máy&gt; ô tô cũ, ô tô mới&gt; Subaru&gt; Sambar theo dõi</v>
      </c>
      <c r="F229" t="str">
        <f t="shared" ca="1" si="3"/>
        <v>"2084048124" : "Sambar theo dõi",</v>
      </c>
    </row>
    <row r="230" spans="1:6" ht="15.75" customHeight="1">
      <c r="A230" s="18">
        <v>2084048125</v>
      </c>
      <c r="B230" s="18" t="s">
        <v>9909</v>
      </c>
      <c r="C230" s="18" t="s">
        <v>9911</v>
      </c>
      <c r="D230" s="5" t="str">
        <f ca="1">IFERROR(__xludf.DUMMYFUNCTION("GOOGLETRANSLATE(B230,""ja"",""vi"")"),"Sambar van")</f>
        <v>Sambar van</v>
      </c>
      <c r="E230" s="5" t="str">
        <f ca="1">IFERROR(__xludf.DUMMYFUNCTION("GOOGLETRANSLATE(C230,""ja"",""vi"")"),"Đấu giá&gt; ô tô, xe máy&gt; ô tô cũ, ô tô mới&gt; Subaru&gt; Sambar van")</f>
        <v>Đấu giá&gt; ô tô, xe máy&gt; ô tô cũ, ô tô mới&gt; Subaru&gt; Sambar van</v>
      </c>
      <c r="F230" t="str">
        <f t="shared" ca="1" si="3"/>
        <v>"2084048125" : "Sambar van",</v>
      </c>
    </row>
    <row r="231" spans="1:6" ht="15.75" customHeight="1">
      <c r="A231" s="18">
        <v>2084299552</v>
      </c>
      <c r="B231" s="18" t="s">
        <v>9913</v>
      </c>
      <c r="C231" s="18" t="s">
        <v>9915</v>
      </c>
      <c r="D231" s="5" t="str">
        <f ca="1">IFERROR(__xludf.DUMMYFUNCTION("GOOGLETRANSLATE(B231,""ja"",""vi"")"),"Stella")</f>
        <v>Stella</v>
      </c>
      <c r="E231" s="5" t="str">
        <f ca="1">IFERROR(__xludf.DUMMYFUNCTION("GOOGLETRANSLATE(C231,""ja"",""vi"")"),"Đấu giá&gt; ô tô, xe máy&gt; ô tô cũ, ô tô mới&gt; Subaru&gt; Stella")</f>
        <v>Đấu giá&gt; ô tô, xe máy&gt; ô tô cũ, ô tô mới&gt; Subaru&gt; Stella</v>
      </c>
      <c r="F231" t="str">
        <f t="shared" ca="1" si="3"/>
        <v>"2084299552" : "Stella",</v>
      </c>
    </row>
    <row r="232" spans="1:6" ht="15.75" customHeight="1">
      <c r="A232" s="18">
        <v>2084051730</v>
      </c>
      <c r="B232" s="18" t="s">
        <v>9917</v>
      </c>
      <c r="C232" s="18" t="s">
        <v>9919</v>
      </c>
      <c r="D232" s="5" t="str">
        <f ca="1">IFERROR(__xludf.DUMMYFUNCTION("GOOGLETRANSLATE(B232,""ja"",""vi"")"),"Subaru 360")</f>
        <v>Subaru 360</v>
      </c>
      <c r="E232" s="5" t="str">
        <f ca="1">IFERROR(__xludf.DUMMYFUNCTION("GOOGLETRANSLATE(C232,""ja"",""vi"")"),"Đấu giá&gt; ô tô, xe máy&gt; ô tô cũ, ô tô mới&gt; Subaru&gt; Subaru 360")</f>
        <v>Đấu giá&gt; ô tô, xe máy&gt; ô tô cũ, ô tô mới&gt; Subaru&gt; Subaru 360</v>
      </c>
      <c r="F232" t="str">
        <f t="shared" ca="1" si="3"/>
        <v>"2084051730" : "Subaru 360",</v>
      </c>
    </row>
    <row r="233" spans="1:6" ht="15.75" customHeight="1">
      <c r="A233" s="18">
        <v>2084053057</v>
      </c>
      <c r="B233" s="18" t="s">
        <v>9923</v>
      </c>
      <c r="C233" s="18" t="s">
        <v>9924</v>
      </c>
      <c r="D233" s="5" t="str">
        <f ca="1">IFERROR(__xludf.DUMMYFUNCTION("GOOGLETRANSLATE(B233,""ja"",""vi"")"),"Subaru R-2")</f>
        <v>Subaru R-2</v>
      </c>
      <c r="E233" s="5" t="str">
        <f ca="1">IFERROR(__xludf.DUMMYFUNCTION("GOOGLETRANSLATE(C233,""ja"",""vi"")"),"Đấu giá&gt; ô tô, xe máy&gt; ô tô cũ, ô tô mới&gt; Subaru&gt; Subaru R-2")</f>
        <v>Đấu giá&gt; ô tô, xe máy&gt; ô tô cũ, ô tô mới&gt; Subaru&gt; Subaru R-2</v>
      </c>
      <c r="F233" t="str">
        <f t="shared" ca="1" si="3"/>
        <v>"2084053057" : "Subaru R-2",</v>
      </c>
    </row>
    <row r="234" spans="1:6" ht="15.75" customHeight="1">
      <c r="A234" s="18">
        <v>2084243759</v>
      </c>
      <c r="B234" s="18" t="s">
        <v>9927</v>
      </c>
      <c r="C234" s="18" t="s">
        <v>9928</v>
      </c>
      <c r="D234" s="5" t="str">
        <f ca="1">IFERROR(__xludf.DUMMYFUNCTION("GOOGLETRANSLATE(B234,""ja"",""vi"")"),"mục lục")</f>
        <v>mục lục</v>
      </c>
      <c r="E234" s="5" t="str">
        <f ca="1">IFERROR(__xludf.DUMMYFUNCTION("GOOGLETRANSLATE(C234,""ja"",""vi"")"),"Đấu giá&gt; ô tô, xe máy&gt; ô tô cũ, ô tô mới&gt; Subaru&gt; index")</f>
        <v>Đấu giá&gt; ô tô, xe máy&gt; ô tô cũ, ô tô mới&gt; Subaru&gt; index</v>
      </c>
      <c r="F234" t="str">
        <f t="shared" ca="1" si="3"/>
        <v>"2084243759" : "mục lục",</v>
      </c>
    </row>
    <row r="235" spans="1:6" ht="15.75" customHeight="1">
      <c r="A235" s="18">
        <v>2084049032</v>
      </c>
      <c r="B235" s="18" t="s">
        <v>9932</v>
      </c>
      <c r="C235" s="18" t="s">
        <v>9934</v>
      </c>
      <c r="D235" s="5" t="str">
        <f ca="1">IFERROR(__xludf.DUMMYFUNCTION("GOOGLETRANSLATE(B235,""ja"",""vi"")"),"Toravikku")</f>
        <v>Toravikku</v>
      </c>
      <c r="E235" s="5" t="str">
        <f ca="1">IFERROR(__xludf.DUMMYFUNCTION("GOOGLETRANSLATE(C235,""ja"",""vi"")"),"Đấu giá&gt; ô tô, xe máy&gt; ô tô cũ, ô tô mới&gt; Subaru&gt; Toravikku")</f>
        <v>Đấu giá&gt; ô tô, xe máy&gt; ô tô cũ, ô tô mới&gt; Subaru&gt; Toravikku</v>
      </c>
      <c r="F235" t="str">
        <f t="shared" ca="1" si="3"/>
        <v>"2084049032" : "Toravikku",</v>
      </c>
    </row>
    <row r="236" spans="1:6" ht="15.75" customHeight="1">
      <c r="A236" s="18">
        <v>2084299549</v>
      </c>
      <c r="B236" s="18" t="s">
        <v>9937</v>
      </c>
      <c r="C236" s="18" t="s">
        <v>9938</v>
      </c>
      <c r="D236" s="5" t="str">
        <f ca="1">IFERROR(__xludf.DUMMYFUNCTION("GOOGLETRANSLATE(B236,""ja"",""vi"")"),"Torejia")</f>
        <v>Torejia</v>
      </c>
      <c r="E236" s="5" t="str">
        <f ca="1">IFERROR(__xludf.DUMMYFUNCTION("GOOGLETRANSLATE(C236,""ja"",""vi"")"),"Đấu giá&gt; ô tô, xe máy&gt; ô tô cũ, ô tô mới&gt; Subaru&gt; Torejia")</f>
        <v>Đấu giá&gt; ô tô, xe máy&gt; ô tô cũ, ô tô mới&gt; Subaru&gt; Torejia</v>
      </c>
      <c r="F236" t="str">
        <f t="shared" ca="1" si="3"/>
        <v>"2084299549" : "Torejia",</v>
      </c>
    </row>
    <row r="237" spans="1:6" ht="15.75" customHeight="1">
      <c r="A237" s="18">
        <v>2084049031</v>
      </c>
      <c r="B237" s="18" t="s">
        <v>9941</v>
      </c>
      <c r="C237" s="18" t="s">
        <v>9942</v>
      </c>
      <c r="D237" s="5" t="str">
        <f ca="1">IFERROR(__xludf.DUMMYFUNCTION("GOOGLETRANSLATE(B237,""ja"",""vi"")"),"Domingo")</f>
        <v>Domingo</v>
      </c>
      <c r="E237" s="5" t="str">
        <f ca="1">IFERROR(__xludf.DUMMYFUNCTION("GOOGLETRANSLATE(C237,""ja"",""vi"")"),"Đấu giá&gt; ô tô, xe máy&gt; ô tô cũ, ô tô mới&gt; Subaru&gt; Domingo")</f>
        <v>Đấu giá&gt; ô tô, xe máy&gt; ô tô cũ, ô tô mới&gt; Subaru&gt; Domingo</v>
      </c>
      <c r="F237" t="str">
        <f t="shared" ca="1" si="3"/>
        <v>"2084049031" : "Domingo",</v>
      </c>
    </row>
    <row r="238" spans="1:6" ht="15.75" customHeight="1">
      <c r="A238" s="18">
        <v>2084048126</v>
      </c>
      <c r="B238" s="18" t="s">
        <v>9945</v>
      </c>
      <c r="C238" s="18" t="s">
        <v>9946</v>
      </c>
      <c r="D238" s="5" t="str">
        <f ca="1">IFERROR(__xludf.DUMMYFUNCTION("GOOGLETRANSLATE(B238,""ja"",""vi"")"),"Forrester")</f>
        <v>Forrester</v>
      </c>
      <c r="E238" s="5" t="str">
        <f ca="1">IFERROR(__xludf.DUMMYFUNCTION("GOOGLETRANSLATE(C238,""ja"",""vi"")"),"Đấu giá&gt; ô tô, xe máy&gt; ô tô cũ, ô tô mới&gt; Subaru&gt; Forester")</f>
        <v>Đấu giá&gt; ô tô, xe máy&gt; ô tô cũ, ô tô mới&gt; Subaru&gt; Forester</v>
      </c>
      <c r="F238" t="str">
        <f t="shared" ca="1" si="3"/>
        <v>"2084048126" : "Forrester",</v>
      </c>
    </row>
    <row r="239" spans="1:6" ht="15.75" customHeight="1">
      <c r="A239" s="18">
        <v>2084048127</v>
      </c>
      <c r="B239" s="18" t="s">
        <v>9948</v>
      </c>
      <c r="C239" s="18" t="s">
        <v>9950</v>
      </c>
      <c r="D239" s="5" t="str">
        <f ca="1">IFERROR(__xludf.DUMMYFUNCTION("GOOGLETRANSLATE(B239,""ja"",""vi"")"),"PLEO")</f>
        <v>PLEO</v>
      </c>
      <c r="E239" s="5" t="str">
        <f ca="1">IFERROR(__xludf.DUMMYFUNCTION("GOOGLETRANSLATE(C239,""ja"",""vi"")"),"Đấu giá&gt; ô tô, xe máy&gt; ô tô cũ, ô tô mới&gt; Subaru&gt; PLEO")</f>
        <v>Đấu giá&gt; ô tô, xe máy&gt; ô tô cũ, ô tô mới&gt; Subaru&gt; PLEO</v>
      </c>
      <c r="F239" t="str">
        <f t="shared" ca="1" si="3"/>
        <v>"2084048127" : "PLEO",</v>
      </c>
    </row>
    <row r="240" spans="1:6" ht="15.75" customHeight="1">
      <c r="A240" s="18">
        <v>2084048128</v>
      </c>
      <c r="B240" s="18" t="s">
        <v>9952</v>
      </c>
      <c r="C240" s="18" t="s">
        <v>9953</v>
      </c>
      <c r="D240" s="5" t="str">
        <f ca="1">IFERROR(__xludf.DUMMYFUNCTION("GOOGLETRANSLATE(B240,""ja"",""vi"")"),"PLEO Nesta")</f>
        <v>PLEO Nesta</v>
      </c>
      <c r="E240" s="5" t="str">
        <f ca="1">IFERROR(__xludf.DUMMYFUNCTION("GOOGLETRANSLATE(C240,""ja"",""vi"")"),"Đấu giá&gt; ô tô, xe máy&gt; ô tô cũ, ô tô mới&gt; Subaru&gt; PLEO Nesta")</f>
        <v>Đấu giá&gt; ô tô, xe máy&gt; ô tô cũ, ô tô mới&gt; Subaru&gt; PLEO Nesta</v>
      </c>
      <c r="F240" t="str">
        <f t="shared" ca="1" si="3"/>
        <v>"2084048128" : "PLEO Nesta",</v>
      </c>
    </row>
    <row r="241" spans="1:6" ht="15.75" customHeight="1">
      <c r="A241" s="18">
        <v>2084299551</v>
      </c>
      <c r="B241" s="18" t="s">
        <v>9956</v>
      </c>
      <c r="C241" s="18" t="s">
        <v>9957</v>
      </c>
      <c r="D241" s="5" t="str">
        <f ca="1">IFERROR(__xludf.DUMMYFUNCTION("GOOGLETRANSLATE(B241,""ja"",""vi"")"),"Lukla")</f>
        <v>Lukla</v>
      </c>
      <c r="E241" s="5" t="str">
        <f ca="1">IFERROR(__xludf.DUMMYFUNCTION("GOOGLETRANSLATE(C241,""ja"",""vi"")"),"Đấu giá&gt; ô tô, xe máy&gt; ô tô cũ, ô tô mới&gt; Subaru&gt; Lukla")</f>
        <v>Đấu giá&gt; ô tô, xe máy&gt; ô tô cũ, ô tô mới&gt; Subaru&gt; Lukla</v>
      </c>
      <c r="F241" t="str">
        <f t="shared" ca="1" si="3"/>
        <v>"2084299551" : "Lukla",</v>
      </c>
    </row>
    <row r="242" spans="1:6" ht="15.75" customHeight="1">
      <c r="A242" s="18">
        <v>2084048129</v>
      </c>
      <c r="B242" s="18" t="s">
        <v>9960</v>
      </c>
      <c r="C242" s="18" t="s">
        <v>9961</v>
      </c>
      <c r="D242" s="5" t="str">
        <f ca="1">IFERROR(__xludf.DUMMYFUNCTION("GOOGLETRANSLATE(B242,""ja"",""vi"")"),"Legacy")</f>
        <v>Legacy</v>
      </c>
      <c r="E242" s="5" t="str">
        <f ca="1">IFERROR(__xludf.DUMMYFUNCTION("GOOGLETRANSLATE(C242,""ja"",""vi"")"),"Đấu giá&gt; ô tô, xe máy&gt; ô tô cũ, ô tô mới&gt; Subaru&gt; Legacy")</f>
        <v>Đấu giá&gt; ô tô, xe máy&gt; ô tô cũ, ô tô mới&gt; Subaru&gt; Legacy</v>
      </c>
      <c r="F242" t="str">
        <f t="shared" ca="1" si="3"/>
        <v>"2084048129" : "Legacy",</v>
      </c>
    </row>
    <row r="243" spans="1:6" ht="15.75" customHeight="1">
      <c r="A243" s="18">
        <v>2084048130</v>
      </c>
      <c r="B243" s="18" t="s">
        <v>9964</v>
      </c>
      <c r="C243" s="18" t="s">
        <v>9965</v>
      </c>
      <c r="D243" s="5" t="str">
        <f ca="1">IFERROR(__xludf.DUMMYFUNCTION("GOOGLETRANSLATE(B243,""ja"",""vi"")"),"Legacy B4")</f>
        <v>Legacy B4</v>
      </c>
      <c r="E243" s="5" t="str">
        <f ca="1">IFERROR(__xludf.DUMMYFUNCTION("GOOGLETRANSLATE(C243,""ja"",""vi"")"),"Đấu giá&gt; ô tô, xe máy&gt; ô tô cũ, ô tô mới&gt; Subaru&gt; Legacy B4")</f>
        <v>Đấu giá&gt; ô tô, xe máy&gt; ô tô cũ, ô tô mới&gt; Subaru&gt; Legacy B4</v>
      </c>
      <c r="F243" t="str">
        <f t="shared" ca="1" si="3"/>
        <v>"2084048130" : "Legacy B4",</v>
      </c>
    </row>
    <row r="244" spans="1:6" ht="15.75" customHeight="1">
      <c r="A244" s="18">
        <v>2084231250</v>
      </c>
      <c r="B244" s="18" t="s">
        <v>9968</v>
      </c>
      <c r="C244" s="18" t="s">
        <v>9969</v>
      </c>
      <c r="D244" s="5" t="str">
        <f ca="1">IFERROR(__xludf.DUMMYFUNCTION("GOOGLETRANSLATE(B244,""ja"",""vi"")"),"Legacy Outback")</f>
        <v>Legacy Outback</v>
      </c>
      <c r="E244" s="5" t="str">
        <f ca="1">IFERROR(__xludf.DUMMYFUNCTION("GOOGLETRANSLATE(C244,""ja"",""vi"")"),"Đấu giá&gt; ô tô, xe máy&gt; ô tô cũ, ô tô mới&gt; Subaru&gt; Legacy Outback")</f>
        <v>Đấu giá&gt; ô tô, xe máy&gt; ô tô cũ, ô tô mới&gt; Subaru&gt; Legacy Outback</v>
      </c>
      <c r="F244" t="str">
        <f t="shared" ca="1" si="3"/>
        <v>"2084231250" : "Legacy Outback",</v>
      </c>
    </row>
    <row r="245" spans="1:6" ht="15.75" customHeight="1">
      <c r="A245" s="18">
        <v>2084048131</v>
      </c>
      <c r="B245" s="18" t="s">
        <v>9972</v>
      </c>
      <c r="C245" s="18" t="s">
        <v>9973</v>
      </c>
      <c r="D245" s="5" t="str">
        <f ca="1">IFERROR(__xludf.DUMMYFUNCTION("GOOGLETRANSLATE(B245,""ja"",""vi"")"),"Legacy Touring Wagon")</f>
        <v>Legacy Touring Wagon</v>
      </c>
      <c r="E245" s="5" t="str">
        <f ca="1">IFERROR(__xludf.DUMMYFUNCTION("GOOGLETRANSLATE(C245,""ja"",""vi"")"),"Đấu giá&gt; ô tô, xe máy&gt; ô tô cũ, ô tô mới&gt; Subaru&gt; Legacy Touring Wagon")</f>
        <v>Đấu giá&gt; ô tô, xe máy&gt; ô tô cũ, ô tô mới&gt; Subaru&gt; Legacy Touring Wagon</v>
      </c>
      <c r="F245" t="str">
        <f t="shared" ca="1" si="3"/>
        <v>"2084048131" : "Legacy Touring Wagon",</v>
      </c>
    </row>
    <row r="246" spans="1:6" ht="15.75" customHeight="1">
      <c r="A246" s="18">
        <v>2084049033</v>
      </c>
      <c r="B246" s="18" t="s">
        <v>9977</v>
      </c>
      <c r="C246" s="18" t="s">
        <v>9978</v>
      </c>
      <c r="D246" s="5" t="str">
        <f ca="1">IFERROR(__xludf.DUMMYFUNCTION("GOOGLETRANSLATE(B246,""ja"",""vi"")"),"Rex")</f>
        <v>Rex</v>
      </c>
      <c r="E246" s="5" t="str">
        <f ca="1">IFERROR(__xludf.DUMMYFUNCTION("GOOGLETRANSLATE(C246,""ja"",""vi"")"),"Đấu giá&gt; ô tô, xe máy&gt; ô tô cũ, ô tô mới&gt; Subaru&gt; Rex")</f>
        <v>Đấu giá&gt; ô tô, xe máy&gt; ô tô cũ, ô tô mới&gt; Subaru&gt; Rex</v>
      </c>
      <c r="F246" t="str">
        <f t="shared" ca="1" si="3"/>
        <v>"2084049033" : "Rex",</v>
      </c>
    </row>
    <row r="247" spans="1:6" ht="15.75" customHeight="1">
      <c r="A247" s="18">
        <v>2084315384</v>
      </c>
      <c r="B247" s="18" t="s">
        <v>9983</v>
      </c>
      <c r="C247" s="18" t="s">
        <v>9984</v>
      </c>
      <c r="D247" s="5" t="str">
        <f ca="1">IFERROR(__xludf.DUMMYFUNCTION("GOOGLETRANSLATE(B247,""ja"",""vi"")"),"Revogu")</f>
        <v>Revogu</v>
      </c>
      <c r="E247" s="5" t="str">
        <f ca="1">IFERROR(__xludf.DUMMYFUNCTION("GOOGLETRANSLATE(C247,""ja"",""vi"")"),"Đấu giá&gt; ô tô, xe máy&gt; ô tô cũ, ô tô mới&gt; Subaru&gt; Revogu")</f>
        <v>Đấu giá&gt; ô tô, xe máy&gt; ô tô cũ, ô tô mới&gt; Subaru&gt; Revogu</v>
      </c>
      <c r="F247" t="str">
        <f t="shared" ca="1" si="3"/>
        <v>"2084315384" : "Revogu",</v>
      </c>
    </row>
    <row r="248" spans="1:6" ht="15.75" customHeight="1">
      <c r="A248" s="18">
        <v>2084048132</v>
      </c>
      <c r="B248" s="18" t="s">
        <v>9987</v>
      </c>
      <c r="C248" s="18" t="s">
        <v>9989</v>
      </c>
      <c r="D248" s="5" t="str">
        <f ca="1">IFERROR(__xludf.DUMMYFUNCTION("GOOGLETRANSLATE(B248,""ja"",""vi"")"),"Vivio")</f>
        <v>Vivio</v>
      </c>
      <c r="E248" s="5" t="str">
        <f ca="1">IFERROR(__xludf.DUMMYFUNCTION("GOOGLETRANSLATE(C248,""ja"",""vi"")"),"Đấu giá&gt; ô tô, xe máy&gt; ô tô cũ, ô tô mới&gt; Subaru&gt; Vivio")</f>
        <v>Đấu giá&gt; ô tô, xe máy&gt; ô tô cũ, ô tô mới&gt; Subaru&gt; Vivio</v>
      </c>
      <c r="F248" t="str">
        <f t="shared" ca="1" si="3"/>
        <v>"2084048132" : "Vivio",</v>
      </c>
    </row>
    <row r="249" spans="1:6" ht="15.75" customHeight="1">
      <c r="A249" s="18">
        <v>2084048133</v>
      </c>
      <c r="B249" s="18" t="s">
        <v>9994</v>
      </c>
      <c r="C249" s="18" t="s">
        <v>9995</v>
      </c>
      <c r="D249" s="5" t="str">
        <f ca="1">IFERROR(__xludf.DUMMYFUNCTION("GOOGLETRANSLATE(B249,""ja"",""vi"")"),"Vivio Bistro")</f>
        <v>Vivio Bistro</v>
      </c>
      <c r="E249" s="5" t="str">
        <f ca="1">IFERROR(__xludf.DUMMYFUNCTION("GOOGLETRANSLATE(C249,""ja"",""vi"")"),"Đấu giá&gt; ô tô, xe máy&gt; ô tô cũ, ô tô mới&gt; Subaru&gt; Vivio Bistro")</f>
        <v>Đấu giá&gt; ô tô, xe máy&gt; ô tô cũ, ô tô mới&gt; Subaru&gt; Vivio Bistro</v>
      </c>
      <c r="F249" t="str">
        <f t="shared" ca="1" si="3"/>
        <v>"2084048133" : "Vivio Bistro",</v>
      </c>
    </row>
    <row r="250" spans="1:6" ht="15.75" customHeight="1">
      <c r="A250" s="18">
        <v>2084048120</v>
      </c>
      <c r="B250" s="18" t="s">
        <v>46</v>
      </c>
      <c r="C250" s="18" t="s">
        <v>10000</v>
      </c>
      <c r="D250" s="5" t="str">
        <f ca="1">IFERROR(__xludf.DUMMYFUNCTION("GOOGLETRANSLATE(B250,""ja"",""vi"")"),"nếu không thì")</f>
        <v>nếu không thì</v>
      </c>
      <c r="E250" s="5" t="str">
        <f ca="1">IFERROR(__xludf.DUMMYFUNCTION("GOOGLETRANSLATE(C250,""ja"",""vi"")"),"Đấu giá&gt; ô tô, xe máy&gt; ô tô cũ, ô tô mới&gt; Subaru&gt; Khác")</f>
        <v>Đấu giá&gt; ô tô, xe máy&gt; ô tô cũ, ô tô mới&gt; Subaru&gt; Khác</v>
      </c>
      <c r="F250" t="str">
        <f t="shared" ca="1" si="3"/>
        <v>"2084048120" : "nếu không thì",</v>
      </c>
    </row>
    <row r="251" spans="1:6" ht="15.75" customHeight="1">
      <c r="A251" s="18">
        <v>2084049038</v>
      </c>
      <c r="B251" s="18" t="s">
        <v>10006</v>
      </c>
      <c r="C251" s="18" t="s">
        <v>10008</v>
      </c>
      <c r="D251" s="5" t="str">
        <f ca="1">IFERROR(__xludf.DUMMYFUNCTION("GOOGLETRANSLATE(B251,""ja"",""vi"")"),"MAX")</f>
        <v>MAX</v>
      </c>
      <c r="E251" s="5" t="str">
        <f ca="1">IFERROR(__xludf.DUMMYFUNCTION("GOOGLETRANSLATE(C251,""ja"",""vi"")"),"Đấu giá&gt; ô tô, xe máy&gt; ô tô cũ, ô tô mới&gt; Daihatsu&gt; MAX")</f>
        <v>Đấu giá&gt; ô tô, xe máy&gt; ô tô cũ, ô tô mới&gt; Daihatsu&gt; MAX</v>
      </c>
      <c r="F251" t="str">
        <f t="shared" ca="1" si="3"/>
        <v>"2084049038" : "MAX",</v>
      </c>
    </row>
    <row r="252" spans="1:6" ht="15.75" customHeight="1">
      <c r="A252" s="18">
        <v>2084049039</v>
      </c>
      <c r="B252" s="18" t="s">
        <v>10012</v>
      </c>
      <c r="C252" s="18" t="s">
        <v>10013</v>
      </c>
      <c r="D252" s="5" t="str">
        <f ca="1">IFERROR(__xludf.DUMMYFUNCTION("GOOGLETRANSLATE(B252,""ja"",""vi"")"),"YRV")</f>
        <v>YRV</v>
      </c>
      <c r="E252" s="5" t="str">
        <f ca="1">IFERROR(__xludf.DUMMYFUNCTION("GOOGLETRANSLATE(C252,""ja"",""vi"")"),"Đấu giá&gt; ô tô, xe máy&gt; ô tô cũ, ô tô mới&gt; Daihatsu&gt; YRV")</f>
        <v>Đấu giá&gt; ô tô, xe máy&gt; ô tô cũ, ô tô mới&gt; Daihatsu&gt; YRV</v>
      </c>
      <c r="F252" t="str">
        <f t="shared" ca="1" si="3"/>
        <v>"2084049039" : "YRV",</v>
      </c>
    </row>
    <row r="253" spans="1:6" ht="15.75" customHeight="1">
      <c r="A253" s="18">
        <v>2084048135</v>
      </c>
      <c r="B253" s="18" t="s">
        <v>10018</v>
      </c>
      <c r="C253" s="18" t="s">
        <v>10019</v>
      </c>
      <c r="D253" s="5" t="str">
        <f ca="1">IFERROR(__xludf.DUMMYFUNCTION("GOOGLETRANSLATE(B253,""ja"",""vi"")"),"Atrai")</f>
        <v>Atrai</v>
      </c>
      <c r="E253" s="5" t="str">
        <f ca="1">IFERROR(__xludf.DUMMYFUNCTION("GOOGLETRANSLATE(C253,""ja"",""vi"")"),"Đấu giá&gt; ô tô, xe máy&gt; ô tô cũ, ô tô mới&gt; Daihatsu&gt; Atrai")</f>
        <v>Đấu giá&gt; ô tô, xe máy&gt; ô tô cũ, ô tô mới&gt; Daihatsu&gt; Atrai</v>
      </c>
      <c r="F253" t="str">
        <f t="shared" ca="1" si="3"/>
        <v>"2084048135" : "Atrai",</v>
      </c>
    </row>
    <row r="254" spans="1:6" ht="15.75" customHeight="1">
      <c r="A254" s="18">
        <v>2084049040</v>
      </c>
      <c r="B254" s="18" t="s">
        <v>10023</v>
      </c>
      <c r="C254" s="18" t="s">
        <v>10024</v>
      </c>
      <c r="D254" s="5" t="str">
        <f ca="1">IFERROR(__xludf.DUMMYFUNCTION("GOOGLETRANSLATE(B254,""ja"",""vi"")"),"Atrai 7")</f>
        <v>Atrai 7</v>
      </c>
      <c r="E254" s="5" t="str">
        <f ca="1">IFERROR(__xludf.DUMMYFUNCTION("GOOGLETRANSLATE(C254,""ja"",""vi"")"),"Đấu giá&gt; ô tô, xe máy&gt; ô tô cũ, ô tô mới&gt; Daihatsu&gt; Atrai 7")</f>
        <v>Đấu giá&gt; ô tô, xe máy&gt; ô tô cũ, ô tô mới&gt; Daihatsu&gt; Atrai 7</v>
      </c>
      <c r="F254" t="str">
        <f t="shared" ca="1" si="3"/>
        <v>"2084049040" : "Atrai 7",</v>
      </c>
    </row>
    <row r="255" spans="1:6" ht="15.75" customHeight="1">
      <c r="A255" s="18">
        <v>2084048136</v>
      </c>
      <c r="B255" s="18" t="s">
        <v>10029</v>
      </c>
      <c r="C255" s="18" t="s">
        <v>10030</v>
      </c>
      <c r="D255" s="5" t="str">
        <f ca="1">IFERROR(__xludf.DUMMYFUNCTION("GOOGLETRANSLATE(B255,""ja"",""vi"")"),"Atrai toa xe")</f>
        <v>Atrai toa xe</v>
      </c>
      <c r="E255" s="5" t="str">
        <f ca="1">IFERROR(__xludf.DUMMYFUNCTION("GOOGLETRANSLATE(C255,""ja"",""vi"")"),"Đấu giá&gt; ô tô, xe máy&gt; ô tô cũ, ô tô mới&gt; Daihatsu&gt; Atrai Wagon")</f>
        <v>Đấu giá&gt; ô tô, xe máy&gt; ô tô cũ, ô tô mới&gt; Daihatsu&gt; Atrai Wagon</v>
      </c>
      <c r="F255" t="str">
        <f t="shared" ca="1" si="3"/>
        <v>"2084048136" : "Atrai toa xe",</v>
      </c>
    </row>
    <row r="256" spans="1:6" ht="15.75" customHeight="1">
      <c r="A256" s="18">
        <v>2084315385</v>
      </c>
      <c r="B256" s="18" t="s">
        <v>10035</v>
      </c>
      <c r="C256" s="18" t="s">
        <v>10040</v>
      </c>
      <c r="D256" s="5" t="str">
        <f ca="1">IFERROR(__xludf.DUMMYFUNCTION("GOOGLETRANSLATE(B256,""ja"",""vi"")"),"Wake")</f>
        <v>Wake</v>
      </c>
      <c r="E256" s="5" t="str">
        <f ca="1">IFERROR(__xludf.DUMMYFUNCTION("GOOGLETRANSLATE(C256,""ja"",""vi"")"),"Đấu giá&gt; ô tô, xe máy&gt; ô tô cũ, ô tô mới&gt; Daihatsu&gt; trỗi dậy")</f>
        <v>Đấu giá&gt; ô tô, xe máy&gt; ô tô cũ, ô tô mới&gt; Daihatsu&gt; trỗi dậy</v>
      </c>
      <c r="F256" t="str">
        <f t="shared" ca="1" si="3"/>
        <v>"2084315385" : "Wake",</v>
      </c>
    </row>
    <row r="257" spans="1:6" ht="15.75" customHeight="1">
      <c r="A257" s="18">
        <v>2084204523</v>
      </c>
      <c r="B257" s="18" t="s">
        <v>10046</v>
      </c>
      <c r="C257" s="18" t="s">
        <v>10048</v>
      </c>
      <c r="D257" s="5" t="str">
        <f ca="1">IFERROR(__xludf.DUMMYFUNCTION("GOOGLETRANSLATE(B257,""ja"",""vi"")"),"esse")</f>
        <v>esse</v>
      </c>
      <c r="E257" s="5" t="str">
        <f ca="1">IFERROR(__xludf.DUMMYFUNCTION("GOOGLETRANSLATE(C257,""ja"",""vi"")"),"Đấu giá&gt; ô tô, xe máy&gt; ô tô cũ, ô tô mới&gt; Daihatsu&gt; Esse")</f>
        <v>Đấu giá&gt; ô tô, xe máy&gt; ô tô cũ, ô tô mới&gt; Daihatsu&gt; Esse</v>
      </c>
      <c r="F257" t="str">
        <f t="shared" ca="1" si="3"/>
        <v>"2084204523" : "esse",</v>
      </c>
    </row>
    <row r="258" spans="1:6" ht="15.75" customHeight="1">
      <c r="A258" s="18">
        <v>2084048137</v>
      </c>
      <c r="B258" s="18" t="s">
        <v>10050</v>
      </c>
      <c r="C258" s="18" t="s">
        <v>10053</v>
      </c>
      <c r="D258" s="5" t="str">
        <f ca="1">IFERROR(__xludf.DUMMYFUNCTION("GOOGLETRANSLATE(B258,""ja"",""vi"")"),"lạc quan")</f>
        <v>lạc quan</v>
      </c>
      <c r="E258" s="5" t="str">
        <f ca="1">IFERROR(__xludf.DUMMYFUNCTION("GOOGLETRANSLATE(C258,""ja"",""vi"")"),"Đấu giá&gt; ô tô, xe máy&gt; ô tô cũ, ô tô mới&gt; Daihatsu&gt; lạc")</f>
        <v>Đấu giá&gt; ô tô, xe máy&gt; ô tô cũ, ô tô mới&gt; Daihatsu&gt; lạc</v>
      </c>
      <c r="F258" t="str">
        <f t="shared" ref="F258:F321" ca="1" si="4">CONCATENATE(CHAR(34)&amp;"",A258,""&amp;CHAR(34)," : ", CHAR(34)&amp;"",D258,""&amp;CHAR(34),",")</f>
        <v>"2084048137" : "lạc quan",</v>
      </c>
    </row>
    <row r="259" spans="1:6" ht="15.75" customHeight="1">
      <c r="A259" s="18">
        <v>2084299547</v>
      </c>
      <c r="B259" s="18" t="s">
        <v>10058</v>
      </c>
      <c r="C259" s="18" t="s">
        <v>10059</v>
      </c>
      <c r="D259" s="5" t="str">
        <f ca="1">IFERROR(__xludf.DUMMYFUNCTION("GOOGLETRANSLATE(B259,""ja"",""vi"")"),"Khoo")</f>
        <v>Khoo</v>
      </c>
      <c r="E259" s="5" t="str">
        <f ca="1">IFERROR(__xludf.DUMMYFUNCTION("GOOGLETRANSLATE(C259,""ja"",""vi"")"),"Đấu giá&gt; ô tô, xe máy&gt; ô tô cũ, ô tô mới&gt; Daihatsu&gt; Coo")</f>
        <v>Đấu giá&gt; ô tô, xe máy&gt; ô tô cũ, ô tô mới&gt; Daihatsu&gt; Coo</v>
      </c>
      <c r="F259" t="str">
        <f t="shared" ca="1" si="4"/>
        <v>"2084299547" : "Khoo",</v>
      </c>
    </row>
    <row r="260" spans="1:6" ht="15.75" customHeight="1">
      <c r="A260" s="18">
        <v>2084049041</v>
      </c>
      <c r="B260" s="18" t="s">
        <v>10064</v>
      </c>
      <c r="C260" s="18" t="s">
        <v>10065</v>
      </c>
      <c r="D260" s="5" t="str">
        <f ca="1">IFERROR(__xludf.DUMMYFUNCTION("GOOGLETRANSLATE(B260,""ja"",""vi"")"),"Copen")</f>
        <v>Copen</v>
      </c>
      <c r="E260" s="5" t="str">
        <f ca="1">IFERROR(__xludf.DUMMYFUNCTION("GOOGLETRANSLATE(C260,""ja"",""vi"")"),"Đấu giá&gt; ô tô, xe máy&gt; ô tô cũ, ô tô mới&gt; Daihatsu&gt; Copen")</f>
        <v>Đấu giá&gt; ô tô, xe máy&gt; ô tô cũ, ô tô mới&gt; Daihatsu&gt; Copen</v>
      </c>
      <c r="F260" t="str">
        <f t="shared" ca="1" si="4"/>
        <v>"2084049041" : "Copen",</v>
      </c>
    </row>
    <row r="261" spans="1:6" ht="15.75" customHeight="1">
      <c r="A261" s="18">
        <v>2084049042</v>
      </c>
      <c r="B261" s="18" t="s">
        <v>10067</v>
      </c>
      <c r="C261" s="18" t="s">
        <v>10070</v>
      </c>
      <c r="D261" s="5" t="str">
        <f ca="1">IFERROR(__xludf.DUMMYFUNCTION("GOOGLETRANSLATE(B261,""ja"",""vi"")"),"câu đố")</f>
        <v>câu đố</v>
      </c>
      <c r="E261" s="5" t="str">
        <f ca="1">IFERROR(__xludf.DUMMYFUNCTION("GOOGLETRANSLATE(C261,""ja"",""vi"")"),"Đấu giá&gt; ô tô, xe máy&gt; ô tô cũ, ô tô mới&gt; Daihatsu&gt; Charade")</f>
        <v>Đấu giá&gt; ô tô, xe máy&gt; ô tô cũ, ô tô mới&gt; Daihatsu&gt; Charade</v>
      </c>
      <c r="F261" t="str">
        <f t="shared" ca="1" si="4"/>
        <v>"2084049042" : "câu đố",</v>
      </c>
    </row>
    <row r="262" spans="1:6" ht="15.75" customHeight="1">
      <c r="A262" s="18">
        <v>2084049043</v>
      </c>
      <c r="B262" s="18" t="s">
        <v>10074</v>
      </c>
      <c r="C262" s="18" t="s">
        <v>10076</v>
      </c>
      <c r="D262" s="5" t="str">
        <f ca="1">IFERROR(__xludf.DUMMYFUNCTION("GOOGLETRANSLATE(B262,""ja"",""vi"")"),"Storia")</f>
        <v>Storia</v>
      </c>
      <c r="E262" s="5" t="str">
        <f ca="1">IFERROR(__xludf.DUMMYFUNCTION("GOOGLETRANSLATE(C262,""ja"",""vi"")"),"Đấu giá&gt; ô tô, xe máy&gt; ô tô cũ, ô tô mới&gt; Daihatsu&gt; Storia")</f>
        <v>Đấu giá&gt; ô tô, xe máy&gt; ô tô cũ, ô tô mới&gt; Daihatsu&gt; Storia</v>
      </c>
      <c r="F262" t="str">
        <f t="shared" ca="1" si="4"/>
        <v>"2084049043" : "Storia",</v>
      </c>
    </row>
    <row r="263" spans="1:6" ht="15.75" customHeight="1">
      <c r="A263" s="18">
        <v>2084315386</v>
      </c>
      <c r="B263" s="18" t="s">
        <v>10079</v>
      </c>
      <c r="C263" s="18" t="s">
        <v>10080</v>
      </c>
      <c r="D263" s="5" t="str">
        <f ca="1">IFERROR(__xludf.DUMMYFUNCTION("GOOGLETRANSLATE(B263,""ja"",""vi"")"),"Sonica")</f>
        <v>Sonica</v>
      </c>
      <c r="E263" s="5" t="str">
        <f ca="1">IFERROR(__xludf.DUMMYFUNCTION("GOOGLETRANSLATE(C263,""ja"",""vi"")"),"Đấu giá&gt; ô tô, xe máy&gt; ô tô cũ, ô tô mới&gt; Daihatsu&gt; Sonica")</f>
        <v>Đấu giá&gt; ô tô, xe máy&gt; ô tô cũ, ô tô mới&gt; Daihatsu&gt; Sonica</v>
      </c>
      <c r="F263" t="str">
        <f t="shared" ca="1" si="4"/>
        <v>"2084315386" : "Sonica",</v>
      </c>
    </row>
    <row r="264" spans="1:6" ht="15.75" customHeight="1">
      <c r="A264" s="18">
        <v>2084051731</v>
      </c>
      <c r="B264" s="18" t="s">
        <v>10083</v>
      </c>
      <c r="C264" s="18" t="s">
        <v>10086</v>
      </c>
      <c r="D264" s="5" t="str">
        <f ca="1">IFERROR(__xludf.DUMMYFUNCTION("GOOGLETRANSLATE(B264,""ja"",""vi"")"),"tanto")</f>
        <v>tanto</v>
      </c>
      <c r="E264" s="5" t="str">
        <f ca="1">IFERROR(__xludf.DUMMYFUNCTION("GOOGLETRANSLATE(C264,""ja"",""vi"")"),"Đấu giá&gt; ô tô, xe máy&gt; ô tô cũ, ô tô mới&gt; Daihatsu&gt; Tanto")</f>
        <v>Đấu giá&gt; ô tô, xe máy&gt; ô tô cũ, ô tô mới&gt; Daihatsu&gt; Tanto</v>
      </c>
      <c r="F264" t="str">
        <f t="shared" ca="1" si="4"/>
        <v>"2084051731" : "tanto",</v>
      </c>
    </row>
    <row r="265" spans="1:6" ht="15.75" customHeight="1">
      <c r="A265" s="18">
        <v>2084299545</v>
      </c>
      <c r="B265" s="18" t="s">
        <v>10089</v>
      </c>
      <c r="C265" s="18" t="s">
        <v>10090</v>
      </c>
      <c r="D265" s="5" t="str">
        <f ca="1">IFERROR(__xludf.DUMMYFUNCTION("GOOGLETRANSLATE(B265,""ja"",""vi"")"),"Tantoekuze")</f>
        <v>Tantoekuze</v>
      </c>
      <c r="E265" s="5" t="str">
        <f ca="1">IFERROR(__xludf.DUMMYFUNCTION("GOOGLETRANSLATE(C265,""ja"",""vi"")"),"Đấu giá&gt; ô tô, xe máy&gt; ô tô cũ, ô tô mới&gt; Daihatsu&gt; Tantoekuze")</f>
        <v>Đấu giá&gt; ô tô, xe máy&gt; ô tô cũ, ô tô mới&gt; Daihatsu&gt; Tantoekuze</v>
      </c>
      <c r="F265" t="str">
        <f t="shared" ca="1" si="4"/>
        <v>"2084299545" : "Tantoekuze",</v>
      </c>
    </row>
    <row r="266" spans="1:6" ht="15.75" customHeight="1">
      <c r="A266" s="18">
        <v>2084048138</v>
      </c>
      <c r="B266" s="18" t="s">
        <v>10093</v>
      </c>
      <c r="C266" s="18" t="s">
        <v>10095</v>
      </c>
      <c r="D266" s="5" t="str">
        <f ca="1">IFERROR(__xludf.DUMMYFUNCTION("GOOGLETRANSLATE(B266,""ja"",""vi"")"),"Terios")</f>
        <v>Terios</v>
      </c>
      <c r="E266" s="5" t="str">
        <f ca="1">IFERROR(__xludf.DUMMYFUNCTION("GOOGLETRANSLATE(C266,""ja"",""vi"")"),"Đấu giá&gt; ô tô, xe máy&gt; ô tô cũ, ô tô mới&gt; Daihatsu&gt; Terios")</f>
        <v>Đấu giá&gt; ô tô, xe máy&gt; ô tô cũ, ô tô mới&gt; Daihatsu&gt; Terios</v>
      </c>
      <c r="F266" t="str">
        <f t="shared" ca="1" si="4"/>
        <v>"2084048138" : "Terios",</v>
      </c>
    </row>
    <row r="267" spans="1:6" ht="15.75" customHeight="1">
      <c r="A267" s="18">
        <v>2084048139</v>
      </c>
      <c r="B267" s="18" t="s">
        <v>10099</v>
      </c>
      <c r="C267" s="18" t="s">
        <v>10101</v>
      </c>
      <c r="D267" s="5" t="str">
        <f ca="1">IFERROR(__xludf.DUMMYFUNCTION("GOOGLETRANSLATE(B267,""ja"",""vi"")"),"Terios Kid")</f>
        <v>Terios Kid</v>
      </c>
      <c r="E267" s="5" t="str">
        <f ca="1">IFERROR(__xludf.DUMMYFUNCTION("GOOGLETRANSLATE(C267,""ja"",""vi"")"),"Đấu giá&gt; ô tô, xe máy&gt; ô tô cũ, ô tô mới&gt; Daihatsu&gt; Terios Kid")</f>
        <v>Đấu giá&gt; ô tô, xe máy&gt; ô tô cũ, ô tô mới&gt; Daihatsu&gt; Terios Kid</v>
      </c>
      <c r="F267" t="str">
        <f t="shared" ca="1" si="4"/>
        <v>"2084048139" : "Terios Kid",</v>
      </c>
    </row>
    <row r="268" spans="1:6" ht="15.75" customHeight="1">
      <c r="A268" s="18">
        <v>2084204557</v>
      </c>
      <c r="B268" s="18" t="s">
        <v>10105</v>
      </c>
      <c r="C268" s="18" t="s">
        <v>10106</v>
      </c>
      <c r="D268" s="5" t="str">
        <f ca="1">IFERROR(__xludf.DUMMYFUNCTION("GOOGLETRANSLATE(B268,""ja"",""vi"")"),"Delta")</f>
        <v>Delta</v>
      </c>
      <c r="E268" s="5" t="str">
        <f ca="1">IFERROR(__xludf.DUMMYFUNCTION("GOOGLETRANSLATE(C268,""ja"",""vi"")"),"Đấu giá&gt; ô tô, xe máy&gt; ô tô cũ, ô tô mới&gt; Daihatsu&gt; Delta")</f>
        <v>Đấu giá&gt; ô tô, xe máy&gt; ô tô cũ, ô tô mới&gt; Daihatsu&gt; Delta</v>
      </c>
      <c r="F268" t="str">
        <f t="shared" ca="1" si="4"/>
        <v>"2084204557" : "Delta",</v>
      </c>
    </row>
    <row r="269" spans="1:6" ht="15.75" customHeight="1">
      <c r="A269" s="18">
        <v>2084048140</v>
      </c>
      <c r="B269" s="18" t="s">
        <v>10110</v>
      </c>
      <c r="C269" s="18" t="s">
        <v>10112</v>
      </c>
      <c r="D269" s="5" t="str">
        <f ca="1">IFERROR(__xludf.DUMMYFUNCTION("GOOGLETRANSLATE(B269,""ja"",""vi"")"),"trần truồng")</f>
        <v>trần truồng</v>
      </c>
      <c r="E269" s="5" t="str">
        <f ca="1">IFERROR(__xludf.DUMMYFUNCTION("GOOGLETRANSLATE(C269,""ja"",""vi"")"),"Đấu giá&gt; ô tô, xe máy&gt; ô tô cũ, ô tô mới&gt; Daihatsu&gt; Naked")</f>
        <v>Đấu giá&gt; ô tô, xe máy&gt; ô tô cũ, ô tô mới&gt; Daihatsu&gt; Naked</v>
      </c>
      <c r="F269" t="str">
        <f t="shared" ca="1" si="4"/>
        <v>"2084048140" : "trần truồng",</v>
      </c>
    </row>
    <row r="270" spans="1:6" ht="15.75" customHeight="1">
      <c r="A270" s="18">
        <v>2084049044</v>
      </c>
      <c r="B270" s="18" t="s">
        <v>10117</v>
      </c>
      <c r="C270" s="18" t="s">
        <v>10120</v>
      </c>
      <c r="D270" s="5" t="str">
        <f ca="1">IFERROR(__xludf.DUMMYFUNCTION("GOOGLETRANSLATE(B270,""ja"",""vi"")"),"Hijet")</f>
        <v>Hijet</v>
      </c>
      <c r="E270" s="5" t="str">
        <f ca="1">IFERROR(__xludf.DUMMYFUNCTION("GOOGLETRANSLATE(C270,""ja"",""vi"")"),"Đấu giá&gt; ô tô, xe máy&gt; ô tô cũ, ô tô mới&gt; Daihatsu&gt; Hijet")</f>
        <v>Đấu giá&gt; ô tô, xe máy&gt; ô tô cũ, ô tô mới&gt; Daihatsu&gt; Hijet</v>
      </c>
      <c r="F270" t="str">
        <f t="shared" ca="1" si="4"/>
        <v>"2084049044" : "Hijet",</v>
      </c>
    </row>
    <row r="271" spans="1:6" ht="15.75" customHeight="1">
      <c r="A271" s="18">
        <v>2084204558</v>
      </c>
      <c r="B271" s="18" t="s">
        <v>10124</v>
      </c>
      <c r="C271" s="18" t="s">
        <v>10125</v>
      </c>
      <c r="D271" s="5" t="str">
        <f ca="1">IFERROR(__xludf.DUMMYFUNCTION("GOOGLETRANSLATE(B271,""ja"",""vi"")"),"Hijet Gran hàng")</f>
        <v>Hijet Gran hàng</v>
      </c>
      <c r="E271" s="5" t="str">
        <f ca="1">IFERROR(__xludf.DUMMYFUNCTION("GOOGLETRANSLATE(C271,""ja"",""vi"")"),"Đấu giá&gt; ô tô, xe máy&gt; ô tô cũ, ô tô mới&gt; Daihatsu&gt; Hijet Gran hàng")</f>
        <v>Đấu giá&gt; ô tô, xe máy&gt; ô tô cũ, ô tô mới&gt; Daihatsu&gt; Hijet Gran hàng</v>
      </c>
      <c r="F271" t="str">
        <f t="shared" ca="1" si="4"/>
        <v>"2084204558" : "Hijet Gran hàng",</v>
      </c>
    </row>
    <row r="272" spans="1:6" ht="15.75" customHeight="1">
      <c r="A272" s="18">
        <v>2084048141</v>
      </c>
      <c r="B272" s="18" t="s">
        <v>10130</v>
      </c>
      <c r="C272" s="18" t="s">
        <v>10132</v>
      </c>
      <c r="D272" s="5" t="str">
        <f ca="1">IFERROR(__xludf.DUMMYFUNCTION("GOOGLETRANSLATE(B272,""ja"",""vi"")"),"Hijet theo dõi")</f>
        <v>Hijet theo dõi</v>
      </c>
      <c r="E272" s="5" t="str">
        <f ca="1">IFERROR(__xludf.DUMMYFUNCTION("GOOGLETRANSLATE(C272,""ja"",""vi"")"),"Đấu giá&gt; ô tô, xe máy&gt; ô tô cũ, ô tô mới&gt; Daihatsu&gt; Hijet theo dõi")</f>
        <v>Đấu giá&gt; ô tô, xe máy&gt; ô tô cũ, ô tô mới&gt; Daihatsu&gt; Hijet theo dõi</v>
      </c>
      <c r="F272" t="str">
        <f t="shared" ca="1" si="4"/>
        <v>"2084048141" : "Hijet theo dõi",</v>
      </c>
    </row>
    <row r="273" spans="1:6" ht="15.75" customHeight="1">
      <c r="A273" s="18">
        <v>2084048142</v>
      </c>
      <c r="B273" s="18" t="s">
        <v>10135</v>
      </c>
      <c r="C273" s="18" t="s">
        <v>10136</v>
      </c>
      <c r="D273" s="5" t="str">
        <f ca="1">IFERROR(__xludf.DUMMYFUNCTION("GOOGLETRANSLATE(B273,""ja"",""vi"")"),"Hijet van")</f>
        <v>Hijet van</v>
      </c>
      <c r="E273" s="5" t="str">
        <f ca="1">IFERROR(__xludf.DUMMYFUNCTION("GOOGLETRANSLATE(C273,""ja"",""vi"")"),"Đấu giá&gt; ô tô, xe máy&gt; ô tô cũ, ô tô mới&gt; Daihatsu&gt; Hijet van")</f>
        <v>Đấu giá&gt; ô tô, xe máy&gt; ô tô cũ, ô tô mới&gt; Daihatsu&gt; Hijet van</v>
      </c>
      <c r="F273" t="str">
        <f t="shared" ca="1" si="4"/>
        <v>"2084048142" : "Hijet van",</v>
      </c>
    </row>
    <row r="274" spans="1:6" ht="15.75" customHeight="1">
      <c r="A274" s="18">
        <v>2084048143</v>
      </c>
      <c r="B274" s="18" t="s">
        <v>10141</v>
      </c>
      <c r="C274" s="18" t="s">
        <v>10144</v>
      </c>
      <c r="D274" s="5" t="str">
        <f ca="1">IFERROR(__xludf.DUMMYFUNCTION("GOOGLETRANSLATE(B274,""ja"",""vi"")"),"Paiza")</f>
        <v>Paiza</v>
      </c>
      <c r="E274" s="5" t="str">
        <f ca="1">IFERROR(__xludf.DUMMYFUNCTION("GOOGLETRANSLATE(C274,""ja"",""vi"")"),"Đấu giá&gt; ô tô, xe máy&gt; ô tô cũ, ô tô mới&gt; Daihatsu&gt; Paiza")</f>
        <v>Đấu giá&gt; ô tô, xe máy&gt; ô tô cũ, ô tô mới&gt; Daihatsu&gt; Paiza</v>
      </c>
      <c r="F274" t="str">
        <f t="shared" ca="1" si="4"/>
        <v>"2084048143" : "Paiza",</v>
      </c>
    </row>
    <row r="275" spans="1:6" ht="15.75" customHeight="1">
      <c r="A275" s="18">
        <v>2084299548</v>
      </c>
      <c r="B275" s="18" t="s">
        <v>10147</v>
      </c>
      <c r="C275" s="18" t="s">
        <v>10148</v>
      </c>
      <c r="D275" s="5" t="str">
        <f ca="1">IFERROR(__xludf.DUMMYFUNCTION("GOOGLETRANSLATE(B275,""ja"",""vi"")"),"Vigo")</f>
        <v>Vigo</v>
      </c>
      <c r="E275" s="5" t="str">
        <f ca="1">IFERROR(__xludf.DUMMYFUNCTION("GOOGLETRANSLATE(C275,""ja"",""vi"")"),"Đấu giá&gt; ô tô, xe máy&gt; ô tô cũ, ô tô mới&gt; Daihatsu&gt; Vigo")</f>
        <v>Đấu giá&gt; ô tô, xe máy&gt; ô tô cũ, ô tô mới&gt; Daihatsu&gt; Vigo</v>
      </c>
      <c r="F275" t="str">
        <f t="shared" ca="1" si="4"/>
        <v>"2084299548" : "Vigo",</v>
      </c>
    </row>
    <row r="276" spans="1:6" ht="15.75" customHeight="1">
      <c r="A276" s="18">
        <v>2084054068</v>
      </c>
      <c r="B276" s="18" t="s">
        <v>10153</v>
      </c>
      <c r="C276" s="18" t="s">
        <v>10154</v>
      </c>
      <c r="D276" s="5" t="str">
        <f ca="1">IFERROR(__xludf.DUMMYFUNCTION("GOOGLETRANSLATE(B276,""ja"",""vi"")"),"Boone")</f>
        <v>Boone</v>
      </c>
      <c r="E276" s="5" t="str">
        <f ca="1">IFERROR(__xludf.DUMMYFUNCTION("GOOGLETRANSLATE(C276,""ja"",""vi"")"),"Đấu giá&gt; ô tô, xe máy&gt; ô tô cũ, ô tô mới&gt; Daihatsu&gt; Boone")</f>
        <v>Đấu giá&gt; ô tô, xe máy&gt; ô tô cũ, ô tô mới&gt; Daihatsu&gt; Boone</v>
      </c>
      <c r="F276" t="str">
        <f t="shared" ca="1" si="4"/>
        <v>"2084054068" : "Boone",</v>
      </c>
    </row>
    <row r="277" spans="1:6" ht="15.75" customHeight="1">
      <c r="A277" s="18">
        <v>2084243763</v>
      </c>
      <c r="B277" s="18" t="s">
        <v>10158</v>
      </c>
      <c r="C277" s="18" t="s">
        <v>10160</v>
      </c>
      <c r="D277" s="5" t="str">
        <f ca="1">IFERROR(__xludf.DUMMYFUNCTION("GOOGLETRANSLATE(B277,""ja"",""vi"")"),"Boone Luminous")</f>
        <v>Boone Luminous</v>
      </c>
      <c r="E277" s="5" t="str">
        <f ca="1">IFERROR(__xludf.DUMMYFUNCTION("GOOGLETRANSLATE(C277,""ja"",""vi"")"),"Đấu giá&gt; ô tô, xe máy&gt; ô tô cũ, ô tô mới&gt; Daihatsu&gt; Boon Luminous")</f>
        <v>Đấu giá&gt; ô tô, xe máy&gt; ô tô cũ, ô tô mới&gt; Daihatsu&gt; Boon Luminous</v>
      </c>
      <c r="F277" t="str">
        <f t="shared" ca="1" si="4"/>
        <v>"2084243763" : "Boone Luminous",</v>
      </c>
    </row>
    <row r="278" spans="1:6" ht="15.75" customHeight="1">
      <c r="A278" s="18">
        <v>2084049045</v>
      </c>
      <c r="B278" s="18" t="s">
        <v>10164</v>
      </c>
      <c r="C278" s="18" t="s">
        <v>10166</v>
      </c>
      <c r="D278" s="5" t="str">
        <f ca="1">IFERROR(__xludf.DUMMYFUNCTION("GOOGLETRANSLATE(B278,""ja"",""vi"")"),"Midget II")</f>
        <v>Midget II</v>
      </c>
      <c r="E278" s="5" t="str">
        <f ca="1">IFERROR(__xludf.DUMMYFUNCTION("GOOGLETRANSLATE(C278,""ja"",""vi"")"),"Đấu giá&gt; ô tô, xe máy&gt; ô tô cũ, ô tô mới&gt; Daihatsu&gt; Midget II")</f>
        <v>Đấu giá&gt; ô tô, xe máy&gt; ô tô cũ, ô tô mới&gt; Daihatsu&gt; Midget II</v>
      </c>
      <c r="F278" t="str">
        <f t="shared" ca="1" si="4"/>
        <v>"2084049045" : "Midget II",</v>
      </c>
    </row>
    <row r="279" spans="1:6" ht="15.75" customHeight="1">
      <c r="A279" s="18">
        <v>2084048144</v>
      </c>
      <c r="B279" s="18" t="s">
        <v>10168</v>
      </c>
      <c r="C279" s="18" t="s">
        <v>10170</v>
      </c>
      <c r="D279" s="5" t="str">
        <f ca="1">IFERROR(__xludf.DUMMYFUNCTION("GOOGLETRANSLATE(B279,""ja"",""vi"")"),"Mira")</f>
        <v>Mira</v>
      </c>
      <c r="E279" s="5" t="str">
        <f ca="1">IFERROR(__xludf.DUMMYFUNCTION("GOOGLETRANSLATE(C279,""ja"",""vi"")"),"Đấu giá&gt; ô tô, xe máy&gt; ô tô cũ, ô tô mới&gt; Daihatsu&gt; Mira")</f>
        <v>Đấu giá&gt; ô tô, xe máy&gt; ô tô cũ, ô tô mới&gt; Daihatsu&gt; Mira</v>
      </c>
      <c r="F279" t="str">
        <f t="shared" ca="1" si="4"/>
        <v>"2084048144" : "Mira",</v>
      </c>
    </row>
    <row r="280" spans="1:6" ht="15.75" customHeight="1">
      <c r="A280" s="18">
        <v>2084048145</v>
      </c>
      <c r="B280" s="18" t="s">
        <v>10175</v>
      </c>
      <c r="C280" s="18" t="s">
        <v>10176</v>
      </c>
      <c r="D280" s="5" t="str">
        <f ca="1">IFERROR(__xludf.DUMMYFUNCTION("GOOGLETRANSLATE(B280,""ja"",""vi"")"),"Mira TR-XX")</f>
        <v>Mira TR-XX</v>
      </c>
      <c r="E280" s="5" t="str">
        <f ca="1">IFERROR(__xludf.DUMMYFUNCTION("GOOGLETRANSLATE(C280,""ja"",""vi"")"),"Đấu giá&gt; ô tô, xe máy&gt; ô tô cũ, ô tô mới&gt; Daihatsu&gt; Mira TR-XX")</f>
        <v>Đấu giá&gt; ô tô, xe máy&gt; ô tô cũ, ô tô mới&gt; Daihatsu&gt; Mira TR-XX</v>
      </c>
      <c r="F280" t="str">
        <f t="shared" ca="1" si="4"/>
        <v>"2084048145" : "Mira TR-XX",</v>
      </c>
    </row>
    <row r="281" spans="1:6" ht="15.75" customHeight="1">
      <c r="A281" s="18">
        <v>2084048146</v>
      </c>
      <c r="B281" s="18" t="s">
        <v>10180</v>
      </c>
      <c r="C281" s="18" t="s">
        <v>10181</v>
      </c>
      <c r="D281" s="5" t="str">
        <f ca="1">IFERROR(__xludf.DUMMYFUNCTION("GOOGLETRANSLATE(B281,""ja"",""vi"")"),"Mira Moderno")</f>
        <v>Mira Moderno</v>
      </c>
      <c r="E281" s="5" t="str">
        <f ca="1">IFERROR(__xludf.DUMMYFUNCTION("GOOGLETRANSLATE(C281,""ja"",""vi"")"),"Đấu giá&gt; ô tô, xe máy&gt; ô tô cũ, ô tô mới&gt; Daihatsu&gt; Mira Moderno")</f>
        <v>Đấu giá&gt; ô tô, xe máy&gt; ô tô cũ, ô tô mới&gt; Daihatsu&gt; Mira Moderno</v>
      </c>
      <c r="F281" t="str">
        <f t="shared" ca="1" si="4"/>
        <v>"2084048146" : "Mira Moderno",</v>
      </c>
    </row>
    <row r="282" spans="1:6" ht="15.75" customHeight="1">
      <c r="A282" s="18">
        <v>2084299546</v>
      </c>
      <c r="B282" s="18" t="s">
        <v>10185</v>
      </c>
      <c r="C282" s="18" t="s">
        <v>10186</v>
      </c>
      <c r="D282" s="5" t="str">
        <f ca="1">IFERROR(__xludf.DUMMYFUNCTION("GOOGLETRANSLATE(B282,""ja"",""vi"")"),"Miraisu")</f>
        <v>Miraisu</v>
      </c>
      <c r="E282" s="5" t="str">
        <f ca="1">IFERROR(__xludf.DUMMYFUNCTION("GOOGLETRANSLATE(C282,""ja"",""vi"")"),"Đấu giá&gt; ô tô, xe máy&gt; ô tô cũ, ô tô mới&gt; Daihatsu&gt; Miraisu")</f>
        <v>Đấu giá&gt; ô tô, xe máy&gt; ô tô cũ, ô tô mới&gt; Daihatsu&gt; Miraisu</v>
      </c>
      <c r="F282" t="str">
        <f t="shared" ca="1" si="4"/>
        <v>"2084299546" : "Miraisu",</v>
      </c>
    </row>
    <row r="283" spans="1:6" ht="15.75" customHeight="1">
      <c r="A283" s="18">
        <v>2084243762</v>
      </c>
      <c r="B283" s="18" t="s">
        <v>10190</v>
      </c>
      <c r="C283" s="18" t="s">
        <v>10192</v>
      </c>
      <c r="D283" s="5" t="str">
        <f ca="1">IFERROR(__xludf.DUMMYFUNCTION("GOOGLETRANSLATE(B283,""ja"",""vi"")"),"Mirakokoa")</f>
        <v>Mirakokoa</v>
      </c>
      <c r="E283" s="5" t="str">
        <f ca="1">IFERROR(__xludf.DUMMYFUNCTION("GOOGLETRANSLATE(C283,""ja"",""vi"")"),"Đấu giá&gt; ô tô, xe máy&gt; ô tô cũ, ô tô mới&gt; Daihatsu&gt; Mirakokoa")</f>
        <v>Đấu giá&gt; ô tô, xe máy&gt; ô tô cũ, ô tô mới&gt; Daihatsu&gt; Mirakokoa</v>
      </c>
      <c r="F283" t="str">
        <f t="shared" ca="1" si="4"/>
        <v>"2084243762" : "Mirakokoa",</v>
      </c>
    </row>
    <row r="284" spans="1:6" ht="15.75" customHeight="1">
      <c r="A284" s="18">
        <v>2084048147</v>
      </c>
      <c r="B284" s="18" t="s">
        <v>10196</v>
      </c>
      <c r="C284" s="18" t="s">
        <v>10198</v>
      </c>
      <c r="D284" s="5" t="str">
        <f ca="1">IFERROR(__xludf.DUMMYFUNCTION("GOOGLETRANSLATE(B284,""ja"",""vi"")"),"Mirajino")</f>
        <v>Mirajino</v>
      </c>
      <c r="E284" s="5" t="str">
        <f ca="1">IFERROR(__xludf.DUMMYFUNCTION("GOOGLETRANSLATE(C284,""ja"",""vi"")"),"Đấu giá&gt; ô tô, xe máy&gt; ô tô cũ, ô tô mới&gt; Daihatsu&gt; Mirajino")</f>
        <v>Đấu giá&gt; ô tô, xe máy&gt; ô tô cũ, ô tô mới&gt; Daihatsu&gt; Mirajino</v>
      </c>
      <c r="F284" t="str">
        <f t="shared" ca="1" si="4"/>
        <v>"2084048147" : "Mirajino",</v>
      </c>
    </row>
    <row r="285" spans="1:6" ht="15.75" customHeight="1">
      <c r="A285" s="18">
        <v>2084048148</v>
      </c>
      <c r="B285" s="18" t="s">
        <v>10202</v>
      </c>
      <c r="C285" s="18" t="s">
        <v>10204</v>
      </c>
      <c r="D285" s="5" t="str">
        <f ca="1">IFERROR(__xludf.DUMMYFUNCTION("GOOGLETRANSLATE(B285,""ja"",""vi"")"),"MOVE")</f>
        <v>MOVE</v>
      </c>
      <c r="E285" s="5" t="str">
        <f ca="1">IFERROR(__xludf.DUMMYFUNCTION("GOOGLETRANSLATE(C285,""ja"",""vi"")"),"Đấu giá&gt; ô tô, xe máy&gt; ô tô cũ, ô tô mới&gt; Daihatsu&gt; Move")</f>
        <v>Đấu giá&gt; ô tô, xe máy&gt; ô tô cũ, ô tô mới&gt; Daihatsu&gt; Move</v>
      </c>
      <c r="F285" t="str">
        <f t="shared" ca="1" si="4"/>
        <v>"2084048148" : "MOVE",</v>
      </c>
    </row>
    <row r="286" spans="1:6" ht="15.75" customHeight="1">
      <c r="A286" s="18">
        <v>2084243764</v>
      </c>
      <c r="B286" s="18" t="s">
        <v>10208</v>
      </c>
      <c r="C286" s="18" t="s">
        <v>10209</v>
      </c>
      <c r="D286" s="5" t="str">
        <f ca="1">IFERROR(__xludf.DUMMYFUNCTION("GOOGLETRANSLATE(B286,""ja"",""vi"")"),"Muvukonte")</f>
        <v>Muvukonte</v>
      </c>
      <c r="E286" s="5" t="str">
        <f ca="1">IFERROR(__xludf.DUMMYFUNCTION("GOOGLETRANSLATE(C286,""ja"",""vi"")"),"Đấu giá&gt; ô tô, xe máy&gt; ô tô cũ, ô tô mới&gt; Daihatsu&gt; Muvukonte")</f>
        <v>Đấu giá&gt; ô tô, xe máy&gt; ô tô cũ, ô tô mới&gt; Daihatsu&gt; Muvukonte</v>
      </c>
      <c r="F286" t="str">
        <f t="shared" ca="1" si="4"/>
        <v>"2084243764" : "Muvukonte",</v>
      </c>
    </row>
    <row r="287" spans="1:6" ht="15.75" customHeight="1">
      <c r="A287" s="18">
        <v>2084058455</v>
      </c>
      <c r="B287" s="18" t="s">
        <v>10211</v>
      </c>
      <c r="C287" s="18" t="s">
        <v>10213</v>
      </c>
      <c r="D287" s="5" t="str">
        <f ca="1">IFERROR(__xludf.DUMMYFUNCTION("GOOGLETRANSLATE(B287,""ja"",""vi"")"),"Muvurate")</f>
        <v>Muvurate</v>
      </c>
      <c r="E287" s="5" t="str">
        <f ca="1">IFERROR(__xludf.DUMMYFUNCTION("GOOGLETRANSLATE(C287,""ja"",""vi"")"),"Đấu giá&gt; ô tô, xe máy&gt; ô tô cũ, ô tô mới&gt; Daihatsu&gt; Muvurate")</f>
        <v>Đấu giá&gt; ô tô, xe máy&gt; ô tô cũ, ô tô mới&gt; Daihatsu&gt; Muvurate</v>
      </c>
      <c r="F287" t="str">
        <f t="shared" ca="1" si="4"/>
        <v>"2084058455" : "Muvurate",</v>
      </c>
    </row>
    <row r="288" spans="1:6" ht="15.75" customHeight="1">
      <c r="A288" s="18">
        <v>2084051823</v>
      </c>
      <c r="B288" s="18" t="s">
        <v>10215</v>
      </c>
      <c r="C288" s="18" t="s">
        <v>10217</v>
      </c>
      <c r="D288" s="5" t="str">
        <f ca="1">IFERROR(__xludf.DUMMYFUNCTION("GOOGLETRANSLATE(B288,""ja"",""vi"")"),"Riesa")</f>
        <v>Riesa</v>
      </c>
      <c r="E288" s="5" t="str">
        <f ca="1">IFERROR(__xludf.DUMMYFUNCTION("GOOGLETRANSLATE(C288,""ja"",""vi"")"),"Đấu giá&gt; ô tô, xe máy&gt; ô tô cũ, ô tô mới&gt; Daihatsu&gt; Riesa")</f>
        <v>Đấu giá&gt; ô tô, xe máy&gt; ô tô cũ, ô tô mới&gt; Daihatsu&gt; Riesa</v>
      </c>
      <c r="F288" t="str">
        <f t="shared" ca="1" si="4"/>
        <v>"2084051823" : "Riesa",</v>
      </c>
    </row>
    <row r="289" spans="1:6" ht="15.75" customHeight="1">
      <c r="A289" s="18">
        <v>2084049046</v>
      </c>
      <c r="B289" s="18" t="s">
        <v>10219</v>
      </c>
      <c r="C289" s="18" t="s">
        <v>10221</v>
      </c>
      <c r="D289" s="5" t="str">
        <f ca="1">IFERROR(__xludf.DUMMYFUNCTION("GOOGLETRANSLATE(B289,""ja"",""vi"")"),"có nhiều đá")</f>
        <v>có nhiều đá</v>
      </c>
      <c r="E289" s="5" t="str">
        <f ca="1">IFERROR(__xludf.DUMMYFUNCTION("GOOGLETRANSLATE(C289,""ja"",""vi"")"),"Đấu giá&gt; ô tô, xe máy&gt; ô tô cũ, ô tô mới&gt; Daihatsu&gt; Rocky")</f>
        <v>Đấu giá&gt; ô tô, xe máy&gt; ô tô cũ, ô tô mới&gt; Daihatsu&gt; Rocky</v>
      </c>
      <c r="F289" t="str">
        <f t="shared" ca="1" si="4"/>
        <v>"2084049046" : "có nhiều đá",</v>
      </c>
    </row>
    <row r="290" spans="1:6" ht="15.75" customHeight="1">
      <c r="A290" s="18">
        <v>2084048134</v>
      </c>
      <c r="B290" s="18" t="s">
        <v>46</v>
      </c>
      <c r="C290" s="18" t="s">
        <v>10224</v>
      </c>
      <c r="D290" s="5" t="str">
        <f ca="1">IFERROR(__xludf.DUMMYFUNCTION("GOOGLETRANSLATE(B290,""ja"",""vi"")"),"nếu không thì")</f>
        <v>nếu không thì</v>
      </c>
      <c r="E290" s="5" t="str">
        <f ca="1">IFERROR(__xludf.DUMMYFUNCTION("GOOGLETRANSLATE(C290,""ja"",""vi"")"),"Đấu giá&gt; ô tô, xe máy&gt; ô tô cũ, ô tô mới&gt; Daihatsu&gt; Khác")</f>
        <v>Đấu giá&gt; ô tô, xe máy&gt; ô tô cũ, ô tô mới&gt; Daihatsu&gt; Khác</v>
      </c>
      <c r="F290" t="str">
        <f t="shared" ca="1" si="4"/>
        <v>"2084048134" : "nếu không thì",</v>
      </c>
    </row>
    <row r="291" spans="1:6" ht="15.75" customHeight="1">
      <c r="A291" s="18">
        <v>2084023014</v>
      </c>
      <c r="B291" s="18" t="s">
        <v>10227</v>
      </c>
      <c r="C291" s="18" t="s">
        <v>10228</v>
      </c>
      <c r="D291" s="5" t="str">
        <f ca="1">IFERROR(__xludf.DUMMYFUNCTION("GOOGLETRANSLATE(B291,""ja"",""vi"")"),"CR-V")</f>
        <v>CR-V</v>
      </c>
      <c r="E291" s="5" t="str">
        <f ca="1">IFERROR(__xludf.DUMMYFUNCTION("GOOGLETRANSLATE(C291,""ja"",""vi"")"),"Đấu giá&gt; ô tô, xe máy&gt; ô tô cũ, ô tô mới&gt; Honda&gt; CR-V")</f>
        <v>Đấu giá&gt; ô tô, xe máy&gt; ô tô cũ, ô tô mới&gt; Honda&gt; CR-V</v>
      </c>
      <c r="F291" t="str">
        <f t="shared" ca="1" si="4"/>
        <v>"2084023014" : "CR-V",</v>
      </c>
    </row>
    <row r="292" spans="1:6" ht="15.75" customHeight="1">
      <c r="A292" s="18">
        <v>2084023015</v>
      </c>
      <c r="B292" s="18" t="s">
        <v>10231</v>
      </c>
      <c r="C292" s="18" t="s">
        <v>10233</v>
      </c>
      <c r="D292" s="5" t="str">
        <f ca="1">IFERROR(__xludf.DUMMYFUNCTION("GOOGLETRANSLATE(B292,""ja"",""vi"")"),"CR-X")</f>
        <v>CR-X</v>
      </c>
      <c r="E292" s="5" t="str">
        <f ca="1">IFERROR(__xludf.DUMMYFUNCTION("GOOGLETRANSLATE(C292,""ja"",""vi"")"),"Đấu giá&gt; ô tô, xe máy&gt; ô tô cũ, ô tô mới&gt; Honda&gt; CR-X")</f>
        <v>Đấu giá&gt; ô tô, xe máy&gt; ô tô cũ, ô tô mới&gt; Honda&gt; CR-X</v>
      </c>
      <c r="F292" t="str">
        <f t="shared" ca="1" si="4"/>
        <v>"2084023015" : "CR-X",</v>
      </c>
    </row>
    <row r="293" spans="1:6" ht="15.75" customHeight="1">
      <c r="A293" s="18">
        <v>2084049119</v>
      </c>
      <c r="B293" s="18" t="s">
        <v>10237</v>
      </c>
      <c r="C293" s="18" t="s">
        <v>10238</v>
      </c>
      <c r="D293" s="5" t="str">
        <f ca="1">IFERROR(__xludf.DUMMYFUNCTION("GOOGLETRANSLATE(B293,""ja"",""vi"")"),"CR-X del Sol")</f>
        <v>CR-X del Sol</v>
      </c>
      <c r="E293" s="5" t="str">
        <f ca="1">IFERROR(__xludf.DUMMYFUNCTION("GOOGLETRANSLATE(C293,""ja"",""vi"")"),"Đấu giá&gt; ô tô, xe máy&gt; ô tô cũ, ô tô mới&gt; Honda&gt; CR-X del Sol")</f>
        <v>Đấu giá&gt; ô tô, xe máy&gt; ô tô cũ, ô tô mới&gt; Honda&gt; CR-X del Sol</v>
      </c>
      <c r="F293" t="str">
        <f t="shared" ca="1" si="4"/>
        <v>"2084049119" : "CR-X del Sol",</v>
      </c>
    </row>
    <row r="294" spans="1:6" ht="15.75" customHeight="1">
      <c r="A294" s="18">
        <v>2084299532</v>
      </c>
      <c r="B294" s="18" t="s">
        <v>10241</v>
      </c>
      <c r="C294" s="18" t="s">
        <v>10242</v>
      </c>
      <c r="D294" s="5" t="str">
        <f ca="1">IFERROR(__xludf.DUMMYFUNCTION("GOOGLETRANSLATE(B294,""ja"",""vi"")"),"CR-Z")</f>
        <v>CR-Z</v>
      </c>
      <c r="E294" s="5" t="str">
        <f ca="1">IFERROR(__xludf.DUMMYFUNCTION("GOOGLETRANSLATE(C294,""ja"",""vi"")"),"Đấu giá&gt; ô tô, xe máy&gt; ô tô cũ, ô tô mới&gt; Honda&gt; CR-Z")</f>
        <v>Đấu giá&gt; ô tô, xe máy&gt; ô tô cũ, ô tô mới&gt; Honda&gt; CR-Z</v>
      </c>
      <c r="F294" t="str">
        <f t="shared" ca="1" si="4"/>
        <v>"2084299532" : "CR-Z",</v>
      </c>
    </row>
    <row r="295" spans="1:6" ht="15.75" customHeight="1">
      <c r="A295" s="18">
        <v>2084023016</v>
      </c>
      <c r="B295" s="18" t="s">
        <v>10245</v>
      </c>
      <c r="C295" s="18" t="s">
        <v>10247</v>
      </c>
      <c r="D295" s="5" t="str">
        <f ca="1">IFERROR(__xludf.DUMMYFUNCTION("GOOGLETRANSLATE(B295,""ja"",""vi"")"),"HR-V")</f>
        <v>HR-V</v>
      </c>
      <c r="E295" s="5" t="str">
        <f ca="1">IFERROR(__xludf.DUMMYFUNCTION("GOOGLETRANSLATE(C295,""ja"",""vi"")"),"Đấu giá&gt; ô tô, xe máy&gt; ô tô cũ, ô tô mới&gt; Honda&gt; HR-V")</f>
        <v>Đấu giá&gt; ô tô, xe máy&gt; ô tô cũ, ô tô mới&gt; Honda&gt; HR-V</v>
      </c>
      <c r="F295" t="str">
        <f t="shared" ca="1" si="4"/>
        <v>"2084023016" : "HR-V",</v>
      </c>
    </row>
    <row r="296" spans="1:6" ht="15.75" customHeight="1">
      <c r="A296" s="18">
        <v>2084054511</v>
      </c>
      <c r="B296" s="18" t="s">
        <v>10249</v>
      </c>
      <c r="C296" s="18" t="s">
        <v>10252</v>
      </c>
      <c r="D296" s="5" t="str">
        <f ca="1">IFERROR(__xludf.DUMMYFUNCTION("GOOGLETRANSLATE(B296,""ja"",""vi"")"),"MDX")</f>
        <v>MDX</v>
      </c>
      <c r="E296" s="5" t="str">
        <f ca="1">IFERROR(__xludf.DUMMYFUNCTION("GOOGLETRANSLATE(C296,""ja"",""vi"")"),"Đấu giá&gt; ô tô, xe máy&gt; ô tô cũ, ô tô mới&gt; Honda&gt; MDX")</f>
        <v>Đấu giá&gt; ô tô, xe máy&gt; ô tô cũ, ô tô mới&gt; Honda&gt; MDX</v>
      </c>
      <c r="F296" t="str">
        <f t="shared" ca="1" si="4"/>
        <v>"2084054511" : "MDX",</v>
      </c>
    </row>
    <row r="297" spans="1:6" ht="15.75" customHeight="1">
      <c r="A297" s="18">
        <v>2084310494</v>
      </c>
      <c r="B297" s="18" t="s">
        <v>10255</v>
      </c>
      <c r="C297" s="18" t="s">
        <v>10256</v>
      </c>
      <c r="D297" s="5" t="str">
        <f ca="1">IFERROR(__xludf.DUMMYFUNCTION("GOOGLETRANSLATE(B297,""ja"",""vi"")"),"N BOX")</f>
        <v>N BOX</v>
      </c>
      <c r="E297" s="5" t="str">
        <f ca="1">IFERROR(__xludf.DUMMYFUNCTION("GOOGLETRANSLATE(C297,""ja"",""vi"")"),"Đấu giá&gt; ô tô, xe máy&gt; ô tô cũ, ô tô mới&gt; Honda&gt; N BOX")</f>
        <v>Đấu giá&gt; ô tô, xe máy&gt; ô tô cũ, ô tô mới&gt; Honda&gt; N BOX</v>
      </c>
      <c r="F297" t="str">
        <f t="shared" ca="1" si="4"/>
        <v>"2084310494" : "N BOX",</v>
      </c>
    </row>
    <row r="298" spans="1:6" ht="15.75" customHeight="1">
      <c r="A298" s="18">
        <v>2084313086</v>
      </c>
      <c r="B298" s="18" t="s">
        <v>10258</v>
      </c>
      <c r="C298" s="18" t="s">
        <v>10260</v>
      </c>
      <c r="D298" s="5" t="str">
        <f ca="1">IFERROR(__xludf.DUMMYFUNCTION("GOOGLETRANSLATE(B298,""ja"",""vi"")"),"N-ONE")</f>
        <v>N-ONE</v>
      </c>
      <c r="E298" s="5" t="str">
        <f ca="1">IFERROR(__xludf.DUMMYFUNCTION("GOOGLETRANSLATE(C298,""ja"",""vi"")"),"Đấu giá&gt; ô tô, xe máy&gt; ô tô cũ, ô tô mới&gt; Honda&gt; N-ONE")</f>
        <v>Đấu giá&gt; ô tô, xe máy&gt; ô tô cũ, ô tô mới&gt; Honda&gt; N-ONE</v>
      </c>
      <c r="F298" t="str">
        <f t="shared" ca="1" si="4"/>
        <v>"2084313086" : "N-ONE",</v>
      </c>
    </row>
    <row r="299" spans="1:6" ht="15.75" customHeight="1">
      <c r="A299" s="18">
        <v>2084315400</v>
      </c>
      <c r="B299" s="18" t="s">
        <v>10264</v>
      </c>
      <c r="C299" s="18" t="s">
        <v>10266</v>
      </c>
      <c r="D299" s="5" t="str">
        <f ca="1">IFERROR(__xludf.DUMMYFUNCTION("GOOGLETRANSLATE(B299,""ja"",""vi"")"),"N-WGN")</f>
        <v>N-WGN</v>
      </c>
      <c r="E299" s="5" t="str">
        <f ca="1">IFERROR(__xludf.DUMMYFUNCTION("GOOGLETRANSLATE(C299,""ja"",""vi"")"),"Đấu giá&gt; ô tô, xe máy&gt; ô tô cũ, ô tô mới&gt; Honda&gt; N-WGN")</f>
        <v>Đấu giá&gt; ô tô, xe máy&gt; ô tô cũ, ô tô mới&gt; Honda&gt; N-WGN</v>
      </c>
      <c r="F299" t="str">
        <f t="shared" ca="1" si="4"/>
        <v>"2084315400" : "N-WGN",</v>
      </c>
    </row>
    <row r="300" spans="1:6" ht="15.75" customHeight="1">
      <c r="A300" s="18">
        <v>2084315401</v>
      </c>
      <c r="B300" s="18" t="s">
        <v>10271</v>
      </c>
      <c r="C300" s="18" t="s">
        <v>10274</v>
      </c>
      <c r="D300" s="5" t="str">
        <f ca="1">IFERROR(__xludf.DUMMYFUNCTION("GOOGLETRANSLATE(B300,""ja"",""vi"")"),"N-WGN tùy chỉnh")</f>
        <v>N-WGN tùy chỉnh</v>
      </c>
      <c r="E300" s="5" t="str">
        <f ca="1">IFERROR(__xludf.DUMMYFUNCTION("GOOGLETRANSLATE(C300,""ja"",""vi"")"),"Đấu giá&gt; ô tô, xe máy&gt; ô tô cũ, ô tô mới&gt; Honda&gt; N-WGN tùy chỉnh")</f>
        <v>Đấu giá&gt; ô tô, xe máy&gt; ô tô cũ, ô tô mới&gt; Honda&gt; N-WGN tùy chỉnh</v>
      </c>
      <c r="F300" t="str">
        <f t="shared" ca="1" si="4"/>
        <v>"2084315401" : "N-WGN tùy chỉnh",</v>
      </c>
    </row>
    <row r="301" spans="1:6" ht="15.75" customHeight="1">
      <c r="A301" s="18">
        <v>2084053613</v>
      </c>
      <c r="B301" s="18" t="s">
        <v>10284</v>
      </c>
      <c r="C301" s="18" t="s">
        <v>10285</v>
      </c>
      <c r="D301" s="5" t="str">
        <f ca="1">IFERROR(__xludf.DUMMYFUNCTION("GOOGLETRANSLATE(B301,""ja"",""vi"")"),"N360")</f>
        <v>N360</v>
      </c>
      <c r="E301" s="5" t="str">
        <f ca="1">IFERROR(__xludf.DUMMYFUNCTION("GOOGLETRANSLATE(C301,""ja"",""vi"")"),"Đấu giá&gt; ô tô, xe máy&gt; ô tô cũ, ô tô mới&gt; Honda&gt; N360")</f>
        <v>Đấu giá&gt; ô tô, xe máy&gt; ô tô cũ, ô tô mới&gt; Honda&gt; N360</v>
      </c>
      <c r="F301" t="str">
        <f t="shared" ca="1" si="4"/>
        <v>"2084053613" : "N360",</v>
      </c>
    </row>
    <row r="302" spans="1:6" ht="15.75" customHeight="1">
      <c r="A302" s="18">
        <v>2084023018</v>
      </c>
      <c r="B302" s="18" t="s">
        <v>10292</v>
      </c>
      <c r="C302" s="18" t="s">
        <v>10294</v>
      </c>
      <c r="D302" s="5" t="str">
        <f ca="1">IFERROR(__xludf.DUMMYFUNCTION("GOOGLETRANSLATE(B302,""ja"",""vi"")"),"NSX")</f>
        <v>NSX</v>
      </c>
      <c r="E302" s="5" t="str">
        <f ca="1">IFERROR(__xludf.DUMMYFUNCTION("GOOGLETRANSLATE(C302,""ja"",""vi"")"),"Đấu giá&gt; ô tô, xe máy&gt; ô tô cũ, ô tô mới&gt; Honda&gt; NSX")</f>
        <v>Đấu giá&gt; ô tô, xe máy&gt; ô tô cũ, ô tô mới&gt; Honda&gt; NSX</v>
      </c>
      <c r="F302" t="str">
        <f t="shared" ca="1" si="4"/>
        <v>"2084023018" : "NSX",</v>
      </c>
    </row>
    <row r="303" spans="1:6" ht="15.75" customHeight="1">
      <c r="A303" s="18">
        <v>2084023022</v>
      </c>
      <c r="B303" s="18" t="s">
        <v>10300</v>
      </c>
      <c r="C303" s="18" t="s">
        <v>10302</v>
      </c>
      <c r="D303" s="5" t="str">
        <f ca="1">IFERROR(__xludf.DUMMYFUNCTION("GOOGLETRANSLATE(B303,""ja"",""vi"")"),"S-MX")</f>
        <v>S-MX</v>
      </c>
      <c r="E303" s="5" t="str">
        <f ca="1">IFERROR(__xludf.DUMMYFUNCTION("GOOGLETRANSLATE(C303,""ja"",""vi"")"),"Đấu giá&gt; ô tô, xe máy&gt; ô tô cũ, ô tô mới&gt; Honda&gt; S-MX")</f>
        <v>Đấu giá&gt; ô tô, xe máy&gt; ô tô cũ, ô tô mới&gt; Honda&gt; S-MX</v>
      </c>
      <c r="F303" t="str">
        <f t="shared" ca="1" si="4"/>
        <v>"2084023022" : "S-MX",</v>
      </c>
    </row>
    <row r="304" spans="1:6" ht="15.75" customHeight="1">
      <c r="A304" s="18">
        <v>2084023019</v>
      </c>
      <c r="B304" s="18" t="s">
        <v>10307</v>
      </c>
      <c r="C304" s="18" t="s">
        <v>10308</v>
      </c>
      <c r="D304" s="5" t="str">
        <f ca="1">IFERROR(__xludf.DUMMYFUNCTION("GOOGLETRANSLATE(B304,""ja"",""vi"")"),"S2000")</f>
        <v>S2000</v>
      </c>
      <c r="E304" s="5" t="str">
        <f ca="1">IFERROR(__xludf.DUMMYFUNCTION("GOOGLETRANSLATE(C304,""ja"",""vi"")"),"Đấu giá&gt; ô tô, xe máy&gt; ô tô cũ, ô tô mới&gt; Honda&gt; S2000")</f>
        <v>Đấu giá&gt; ô tô, xe máy&gt; ô tô cũ, ô tô mới&gt; Honda&gt; S2000</v>
      </c>
      <c r="F304" t="str">
        <f t="shared" ca="1" si="4"/>
        <v>"2084023019" : "S2000",</v>
      </c>
    </row>
    <row r="305" spans="1:6" ht="15.75" customHeight="1">
      <c r="A305" s="18">
        <v>2084315402</v>
      </c>
      <c r="B305" s="18" t="s">
        <v>10314</v>
      </c>
      <c r="C305" s="18" t="s">
        <v>10316</v>
      </c>
      <c r="D305" s="5" t="str">
        <f ca="1">IFERROR(__xludf.DUMMYFUNCTION("GOOGLETRANSLATE(B305,""ja"",""vi"")"),"S660")</f>
        <v>S660</v>
      </c>
      <c r="E305" s="5" t="str">
        <f ca="1">IFERROR(__xludf.DUMMYFUNCTION("GOOGLETRANSLATE(C305,""ja"",""vi"")"),"Đấu giá&gt; ô tô, xe máy&gt; ô tô cũ, ô tô mới&gt; Honda&gt; S660")</f>
        <v>Đấu giá&gt; ô tô, xe máy&gt; ô tô cũ, ô tô mới&gt; Honda&gt; S660</v>
      </c>
      <c r="F305" t="str">
        <f t="shared" ca="1" si="4"/>
        <v>"2084315402" : "S660",</v>
      </c>
    </row>
    <row r="306" spans="1:6" ht="15.75" customHeight="1">
      <c r="A306" s="18">
        <v>2084023023</v>
      </c>
      <c r="B306" s="18" t="s">
        <v>10321</v>
      </c>
      <c r="C306" s="18" t="s">
        <v>10322</v>
      </c>
      <c r="D306" s="5" t="str">
        <f ca="1">IFERROR(__xludf.DUMMYFUNCTION("GOOGLETRANSLATE(B306,""ja"",""vi"")"),"Z")</f>
        <v>Z</v>
      </c>
      <c r="E306" s="5" t="str">
        <f ca="1">IFERROR(__xludf.DUMMYFUNCTION("GOOGLETRANSLATE(C306,""ja"",""vi"")"),"Đấu giá&gt; ô tô, xe máy&gt; ô tô cũ, ô tô mới&gt; Honda&gt; Z")</f>
        <v>Đấu giá&gt; ô tô, xe máy&gt; ô tô cũ, ô tô mới&gt; Honda&gt; Z</v>
      </c>
      <c r="F306" t="str">
        <f t="shared" ca="1" si="4"/>
        <v>"2084023023" : "Z",</v>
      </c>
    </row>
    <row r="307" spans="1:6" ht="15.75" customHeight="1">
      <c r="A307" s="18">
        <v>2084204521</v>
      </c>
      <c r="B307" s="18" t="s">
        <v>10327</v>
      </c>
      <c r="C307" s="18" t="s">
        <v>10328</v>
      </c>
      <c r="D307" s="5" t="str">
        <f ca="1">IFERROR(__xludf.DUMMYFUNCTION("GOOGLETRANSLATE(B307,""ja"",""vi"")"),"Acura")</f>
        <v>Acura</v>
      </c>
      <c r="E307" s="5" t="str">
        <f ca="1">IFERROR(__xludf.DUMMYFUNCTION("GOOGLETRANSLATE(C307,""ja"",""vi"")"),"Đấu giá&gt; ô tô, xe máy&gt; ô tô cũ, ô tô mới&gt; Honda&gt; Acura")</f>
        <v>Đấu giá&gt; ô tô, xe máy&gt; ô tô cũ, ô tô mới&gt; Honda&gt; Acura</v>
      </c>
      <c r="F307" t="str">
        <f t="shared" ca="1" si="4"/>
        <v>"2084204521" : "Acura",</v>
      </c>
    </row>
    <row r="308" spans="1:6" ht="15.75" customHeight="1">
      <c r="A308" s="18">
        <v>2084049120</v>
      </c>
      <c r="B308" s="18" t="s">
        <v>10333</v>
      </c>
      <c r="C308" s="18" t="s">
        <v>10334</v>
      </c>
      <c r="D308" s="5" t="str">
        <f ca="1">IFERROR(__xludf.DUMMYFUNCTION("GOOGLETRANSLATE(B308,""ja"",""vi"")"),"Activision")</f>
        <v>Activision</v>
      </c>
      <c r="E308" s="5" t="str">
        <f ca="1">IFERROR(__xludf.DUMMYFUNCTION("GOOGLETRANSLATE(C308,""ja"",""vi"")"),"Đấu giá&gt; ô tô, xe máy&gt; ô tô cũ, ô tô mới&gt; Honda&gt; Activision")</f>
        <v>Đấu giá&gt; ô tô, xe máy&gt; ô tô cũ, ô tô mới&gt; Honda&gt; Activision</v>
      </c>
      <c r="F308" t="str">
        <f t="shared" ca="1" si="4"/>
        <v>"2084049120" : "Activision",</v>
      </c>
    </row>
    <row r="309" spans="1:6" ht="15.75" customHeight="1">
      <c r="A309" s="18">
        <v>2084299539</v>
      </c>
      <c r="B309" s="18" t="s">
        <v>10339</v>
      </c>
      <c r="C309" s="18" t="s">
        <v>10340</v>
      </c>
      <c r="D309" s="5" t="str">
        <f ca="1">IFERROR(__xludf.DUMMYFUNCTION("GOOGLETRANSLATE(B309,""ja"",""vi"")"),"theo dõi Activision")</f>
        <v>theo dõi Activision</v>
      </c>
      <c r="E309" s="5" t="str">
        <f ca="1">IFERROR(__xludf.DUMMYFUNCTION("GOOGLETRANSLATE(C309,""ja"",""vi"")"),"Đấu giá&gt; ô tô, xe máy&gt; ô tô cũ, ô tô mới&gt; Honda&gt; Activision theo dõi")</f>
        <v>Đấu giá&gt; ô tô, xe máy&gt; ô tô cũ, ô tô mới&gt; Honda&gt; Activision theo dõi</v>
      </c>
      <c r="F309" t="str">
        <f t="shared" ca="1" si="4"/>
        <v>"2084299539" : "theo dõi Activision",</v>
      </c>
    </row>
    <row r="310" spans="1:6" ht="15.75" customHeight="1">
      <c r="A310" s="18">
        <v>2084023025</v>
      </c>
      <c r="B310" s="18" t="s">
        <v>10345</v>
      </c>
      <c r="C310" s="18" t="s">
        <v>10346</v>
      </c>
      <c r="D310" s="5" t="str">
        <f ca="1">IFERROR(__xludf.DUMMYFUNCTION("GOOGLETRANSLATE(B310,""ja"",""vi"")"),"phù hợp")</f>
        <v>phù hợp</v>
      </c>
      <c r="E310" s="5" t="str">
        <f ca="1">IFERROR(__xludf.DUMMYFUNCTION("GOOGLETRANSLATE(C310,""ja"",""vi"")"),"Đấu giá&gt; ô tô, xe máy&gt; ô tô cũ, ô tô mới&gt; Honda&gt; Accord")</f>
        <v>Đấu giá&gt; ô tô, xe máy&gt; ô tô cũ, ô tô mới&gt; Honda&gt; Accord</v>
      </c>
      <c r="F310" t="str">
        <f t="shared" ca="1" si="4"/>
        <v>"2084023025" : "phù hợp",</v>
      </c>
    </row>
    <row r="311" spans="1:6" ht="15.75" customHeight="1">
      <c r="A311" s="18">
        <v>2084049121</v>
      </c>
      <c r="B311" s="18" t="s">
        <v>10350</v>
      </c>
      <c r="C311" s="18" t="s">
        <v>10351</v>
      </c>
      <c r="D311" s="5" t="str">
        <f ca="1">IFERROR(__xludf.DUMMYFUNCTION("GOOGLETRANSLATE(B311,""ja"",""vi"")"),"Accord Inspire")</f>
        <v>Accord Inspire</v>
      </c>
      <c r="E311" s="5" t="str">
        <f ca="1">IFERROR(__xludf.DUMMYFUNCTION("GOOGLETRANSLATE(C311,""ja"",""vi"")"),"Đấu giá&gt; ô tô, xe máy&gt; ô tô cũ, ô tô mới&gt; Honda&gt; Accord Inspire")</f>
        <v>Đấu giá&gt; ô tô, xe máy&gt; ô tô cũ, ô tô mới&gt; Honda&gt; Accord Inspire</v>
      </c>
      <c r="F311" t="str">
        <f t="shared" ca="1" si="4"/>
        <v>"2084049121" : "Accord Inspire",</v>
      </c>
    </row>
    <row r="312" spans="1:6" ht="15.75" customHeight="1">
      <c r="A312" s="18">
        <v>2084023026</v>
      </c>
      <c r="B312" s="18" t="s">
        <v>10354</v>
      </c>
      <c r="C312" s="18" t="s">
        <v>10356</v>
      </c>
      <c r="D312" s="5" t="str">
        <f ca="1">IFERROR(__xludf.DUMMYFUNCTION("GOOGLETRANSLATE(B312,""ja"",""vi"")"),"Accord Coupe")</f>
        <v>Accord Coupe</v>
      </c>
      <c r="E312" s="5" t="str">
        <f ca="1">IFERROR(__xludf.DUMMYFUNCTION("GOOGLETRANSLATE(C312,""ja"",""vi"")"),"Đấu giá&gt; ô tô, xe máy&gt; ô tô cũ, ô tô mới&gt; Honda&gt; Accord Coupe")</f>
        <v>Đấu giá&gt; ô tô, xe máy&gt; ô tô cũ, ô tô mới&gt; Honda&gt; Accord Coupe</v>
      </c>
      <c r="F312" t="str">
        <f t="shared" ca="1" si="4"/>
        <v>"2084023026" : "Accord Coupe",</v>
      </c>
    </row>
    <row r="313" spans="1:6" ht="15.75" customHeight="1">
      <c r="A313" s="18">
        <v>2084243773</v>
      </c>
      <c r="B313" s="18" t="s">
        <v>10359</v>
      </c>
      <c r="C313" s="18" t="s">
        <v>10360</v>
      </c>
      <c r="D313" s="5" t="str">
        <f ca="1">IFERROR(__xludf.DUMMYFUNCTION("GOOGLETRANSLATE(B313,""ja"",""vi"")"),"Accord Tourer")</f>
        <v>Accord Tourer</v>
      </c>
      <c r="E313" s="5" t="str">
        <f ca="1">IFERROR(__xludf.DUMMYFUNCTION("GOOGLETRANSLATE(C313,""ja"",""vi"")"),"Đấu giá&gt; ô tô, xe máy&gt; ô tô cũ, ô tô mới&gt; Honda&gt; Accord Tourer")</f>
        <v>Đấu giá&gt; ô tô, xe máy&gt; ô tô cũ, ô tô mới&gt; Honda&gt; Accord Tourer</v>
      </c>
      <c r="F313" t="str">
        <f t="shared" ca="1" si="4"/>
        <v>"2084243773" : "Accord Tourer",</v>
      </c>
    </row>
    <row r="314" spans="1:6" ht="15.75" customHeight="1">
      <c r="A314" s="18">
        <v>2084023027</v>
      </c>
      <c r="B314" s="18" t="s">
        <v>10363</v>
      </c>
      <c r="C314" s="18" t="s">
        <v>10365</v>
      </c>
      <c r="D314" s="5" t="str">
        <f ca="1">IFERROR(__xludf.DUMMYFUNCTION("GOOGLETRANSLATE(B314,""ja"",""vi"")"),"Accord Wagon")</f>
        <v>Accord Wagon</v>
      </c>
      <c r="E314" s="5" t="str">
        <f ca="1">IFERROR(__xludf.DUMMYFUNCTION("GOOGLETRANSLATE(C314,""ja"",""vi"")"),"Đấu giá&gt; ô tô, xe máy&gt; ô tô cũ, ô tô mới&gt; Honda&gt; Accord Wagon")</f>
        <v>Đấu giá&gt; ô tô, xe máy&gt; ô tô cũ, ô tô mới&gt; Honda&gt; Accord Wagon</v>
      </c>
      <c r="F314" t="str">
        <f t="shared" ca="1" si="4"/>
        <v>"2084023027" : "Accord Wagon",</v>
      </c>
    </row>
    <row r="315" spans="1:6" ht="15.75" customHeight="1">
      <c r="A315" s="18">
        <v>2084049122</v>
      </c>
      <c r="B315" s="18" t="s">
        <v>10368</v>
      </c>
      <c r="C315" s="18" t="s">
        <v>10369</v>
      </c>
      <c r="D315" s="5" t="str">
        <f ca="1">IFERROR(__xludf.DUMMYFUNCTION("GOOGLETRANSLATE(B315,""ja"",""vi"")"),"Ascot")</f>
        <v>Ascot</v>
      </c>
      <c r="E315" s="5" t="str">
        <f ca="1">IFERROR(__xludf.DUMMYFUNCTION("GOOGLETRANSLATE(C315,""ja"",""vi"")"),"Đấu giá&gt; ô tô, xe máy&gt; ô tô cũ, ô tô mới&gt; Honda&gt; Ascot")</f>
        <v>Đấu giá&gt; ô tô, xe máy&gt; ô tô cũ, ô tô mới&gt; Honda&gt; Ascot</v>
      </c>
      <c r="F315" t="str">
        <f t="shared" ca="1" si="4"/>
        <v>"2084049122" : "Ascot",</v>
      </c>
    </row>
    <row r="316" spans="1:6" ht="15.75" customHeight="1">
      <c r="A316" s="18">
        <v>2084023029</v>
      </c>
      <c r="B316" s="18" t="s">
        <v>10374</v>
      </c>
      <c r="C316" s="18" t="s">
        <v>10375</v>
      </c>
      <c r="D316" s="5" t="str">
        <f ca="1">IFERROR(__xludf.DUMMYFUNCTION("GOOGLETRANSLATE(B316,""ja"",""vi"")"),"Avanshia")</f>
        <v>Avanshia</v>
      </c>
      <c r="E316" s="5" t="str">
        <f ca="1">IFERROR(__xludf.DUMMYFUNCTION("GOOGLETRANSLATE(C316,""ja"",""vi"")"),"Đấu giá&gt; ô tô, xe máy&gt; ô tô cũ, ô tô mới&gt; Honda&gt; Avanshia")</f>
        <v>Đấu giá&gt; ô tô, xe máy&gt; ô tô cũ, ô tô mới&gt; Honda&gt; Avanshia</v>
      </c>
      <c r="F316" t="str">
        <f t="shared" ca="1" si="4"/>
        <v>"2084023029" : "Avanshia",</v>
      </c>
    </row>
    <row r="317" spans="1:6" ht="15.75" customHeight="1">
      <c r="A317" s="18">
        <v>2084023030</v>
      </c>
      <c r="B317" s="18" t="s">
        <v>10380</v>
      </c>
      <c r="C317" s="18" t="s">
        <v>10381</v>
      </c>
      <c r="D317" s="5" t="str">
        <f ca="1">IFERROR(__xludf.DUMMYFUNCTION("GOOGLETRANSLATE(B317,""ja"",""vi"")"),"sáng suốt")</f>
        <v>sáng suốt</v>
      </c>
      <c r="E317" s="5" t="str">
        <f ca="1">IFERROR(__xludf.DUMMYFUNCTION("GOOGLETRANSLATE(C317,""ja"",""vi"")"),"Đấu giá&gt; ô tô, xe máy&gt; ô tô cũ, ô tô mới&gt; Honda&gt; Cái nhìn sâu sắc")</f>
        <v>Đấu giá&gt; ô tô, xe máy&gt; ô tô cũ, ô tô mới&gt; Honda&gt; Cái nhìn sâu sắc</v>
      </c>
      <c r="F317" t="str">
        <f t="shared" ca="1" si="4"/>
        <v>"2084023030" : "sáng suốt",</v>
      </c>
    </row>
    <row r="318" spans="1:6" ht="15.75" customHeight="1">
      <c r="A318" s="18">
        <v>2084023031</v>
      </c>
      <c r="B318" s="18" t="s">
        <v>10387</v>
      </c>
      <c r="C318" s="18" t="s">
        <v>10391</v>
      </c>
      <c r="D318" s="5" t="str">
        <f ca="1">IFERROR(__xludf.DUMMYFUNCTION("GOOGLETRANSLATE(B318,""ja"",""vi"")"),"Lấy cảm hứng từ")</f>
        <v>Lấy cảm hứng từ</v>
      </c>
      <c r="E318" s="5" t="str">
        <f ca="1">IFERROR(__xludf.DUMMYFUNCTION("GOOGLETRANSLATE(C318,""ja"",""vi"")"),"Đấu giá&gt; ô tô, xe máy&gt; ô tô cũ, ô tô mới&gt; Honda&gt; Inspire")</f>
        <v>Đấu giá&gt; ô tô, xe máy&gt; ô tô cũ, ô tô mới&gt; Honda&gt; Inspire</v>
      </c>
      <c r="F318" t="str">
        <f t="shared" ca="1" si="4"/>
        <v>"2084023031" : "Lấy cảm hứng từ",</v>
      </c>
    </row>
    <row r="319" spans="1:6" ht="15.75" customHeight="1">
      <c r="A319" s="18">
        <v>2084023032</v>
      </c>
      <c r="B319" s="18" t="s">
        <v>10395</v>
      </c>
      <c r="C319" s="18" t="s">
        <v>10397</v>
      </c>
      <c r="D319" s="5" t="str">
        <f ca="1">IFERROR(__xludf.DUMMYFUNCTION("GOOGLETRANSLATE(B319,""ja"",""vi"")"),"Integra")</f>
        <v>Integra</v>
      </c>
      <c r="E319" s="5" t="str">
        <f ca="1">IFERROR(__xludf.DUMMYFUNCTION("GOOGLETRANSLATE(C319,""ja"",""vi"")"),"Đấu giá&gt; ô tô, xe máy&gt; ô tô cũ, ô tô mới&gt; Honda&gt; Integra")</f>
        <v>Đấu giá&gt; ô tô, xe máy&gt; ô tô cũ, ô tô mới&gt; Honda&gt; Integra</v>
      </c>
      <c r="F319" t="str">
        <f t="shared" ca="1" si="4"/>
        <v>"2084023032" : "Integra",</v>
      </c>
    </row>
    <row r="320" spans="1:6" ht="15.75" customHeight="1">
      <c r="A320" s="18">
        <v>2084231241</v>
      </c>
      <c r="B320" s="18" t="s">
        <v>10399</v>
      </c>
      <c r="C320" s="18" t="s">
        <v>10402</v>
      </c>
      <c r="D320" s="5" t="str">
        <f ca="1">IFERROR(__xludf.DUMMYFUNCTION("GOOGLETRANSLATE(B320,""ja"",""vi"")"),"Integra Type R")</f>
        <v>Integra Type R</v>
      </c>
      <c r="E320" s="5" t="str">
        <f ca="1">IFERROR(__xludf.DUMMYFUNCTION("GOOGLETRANSLATE(C320,""ja"",""vi"")"),"Đấu giá&gt; ô tô, xe máy&gt; ô tô cũ, ô tô mới&gt; Honda&gt; Integra Type R")</f>
        <v>Đấu giá&gt; ô tô, xe máy&gt; ô tô cũ, ô tô mới&gt; Honda&gt; Integra Type R</v>
      </c>
      <c r="F320" t="str">
        <f t="shared" ca="1" si="4"/>
        <v>"2084231241" : "Integra Type R",</v>
      </c>
    </row>
    <row r="321" spans="1:6" ht="15.75" customHeight="1">
      <c r="A321" s="18">
        <v>2084062136</v>
      </c>
      <c r="B321" s="18" t="s">
        <v>10404</v>
      </c>
      <c r="C321" s="18" t="s">
        <v>10406</v>
      </c>
      <c r="D321" s="5" t="str">
        <f ca="1">IFERROR(__xludf.DUMMYFUNCTION("GOOGLETRANSLATE(B321,""ja"",""vi"")"),"Airwave")</f>
        <v>Airwave</v>
      </c>
      <c r="E321" s="5" t="str">
        <f ca="1">IFERROR(__xludf.DUMMYFUNCTION("GOOGLETRANSLATE(C321,""ja"",""vi"")"),"Đấu giá&gt; ô tô, xe máy&gt; ô tô cũ, ô tô mới&gt; Honda&gt; Airwave")</f>
        <v>Đấu giá&gt; ô tô, xe máy&gt; ô tô cũ, ô tô mới&gt; Honda&gt; Airwave</v>
      </c>
      <c r="F321" t="str">
        <f t="shared" ca="1" si="4"/>
        <v>"2084062136" : "Airwave",</v>
      </c>
    </row>
    <row r="322" spans="1:6" ht="15.75" customHeight="1">
      <c r="A322" s="18">
        <v>2084057667</v>
      </c>
      <c r="B322" s="18" t="s">
        <v>10410</v>
      </c>
      <c r="C322" s="18" t="s">
        <v>10411</v>
      </c>
      <c r="D322" s="5" t="str">
        <f ca="1">IFERROR(__xludf.DUMMYFUNCTION("GOOGLETRANSLATE(B322,""ja"",""vi"")"),"Edix")</f>
        <v>Edix</v>
      </c>
      <c r="E322" s="5" t="str">
        <f ca="1">IFERROR(__xludf.DUMMYFUNCTION("GOOGLETRANSLATE(C322,""ja"",""vi"")"),"Đấu giá&gt; ô tô, xe máy&gt; ô tô cũ, ô tô mới&gt; Honda&gt; Edix")</f>
        <v>Đấu giá&gt; ô tô, xe máy&gt; ô tô cũ, ô tô mới&gt; Honda&gt; Edix</v>
      </c>
      <c r="F322" t="str">
        <f t="shared" ref="F322:F385" ca="1" si="5">CONCATENATE(CHAR(34)&amp;"",A322,""&amp;CHAR(34)," : ", CHAR(34)&amp;"",D322,""&amp;CHAR(34),",")</f>
        <v>"2084057667" : "Edix",</v>
      </c>
    </row>
    <row r="323" spans="1:6" ht="15.75" customHeight="1">
      <c r="A323" s="18">
        <v>2084051826</v>
      </c>
      <c r="B323" s="18" t="s">
        <v>10416</v>
      </c>
      <c r="C323" s="18" t="s">
        <v>10417</v>
      </c>
      <c r="D323" s="5" t="str">
        <f ca="1">IFERROR(__xludf.DUMMYFUNCTION("GOOGLETRANSLATE(B323,""ja"",""vi"")"),"Elysion")</f>
        <v>Elysion</v>
      </c>
      <c r="E323" s="5" t="str">
        <f ca="1">IFERROR(__xludf.DUMMYFUNCTION("GOOGLETRANSLATE(C323,""ja"",""vi"")"),"Đấu giá&gt; ô tô, xe máy&gt; ô tô cũ, ô tô mới&gt; Honda&gt; Elysion")</f>
        <v>Đấu giá&gt; ô tô, xe máy&gt; ô tô cũ, ô tô mới&gt; Honda&gt; Elysion</v>
      </c>
      <c r="F323" t="str">
        <f t="shared" ca="1" si="5"/>
        <v>"2084051826" : "Elysion",</v>
      </c>
    </row>
    <row r="324" spans="1:6" ht="15.75" customHeight="1">
      <c r="A324" s="18">
        <v>2084299533</v>
      </c>
      <c r="B324" s="18" t="s">
        <v>10420</v>
      </c>
      <c r="C324" s="18" t="s">
        <v>10423</v>
      </c>
      <c r="D324" s="5" t="str">
        <f ca="1">IFERROR(__xludf.DUMMYFUNCTION("GOOGLETRANSLATE(B324,""ja"",""vi"")"),"Elysion uy tín")</f>
        <v>Elysion uy tín</v>
      </c>
      <c r="E324" s="5" t="str">
        <f ca="1">IFERROR(__xludf.DUMMYFUNCTION("GOOGLETRANSLATE(C324,""ja"",""vi"")"),"Đấu giá&gt; ô tô, xe máy&gt; ô tô cũ, ô tô mới&gt; Honda&gt; Elysion uy tín")</f>
        <v>Đấu giá&gt; ô tô, xe máy&gt; ô tô cũ, ô tô mới&gt; Honda&gt; Elysion uy tín</v>
      </c>
      <c r="F324" t="str">
        <f t="shared" ca="1" si="5"/>
        <v>"2084299533" : "Elysion uy tín",</v>
      </c>
    </row>
    <row r="325" spans="1:6" ht="15.75" customHeight="1">
      <c r="A325" s="18">
        <v>2084056546</v>
      </c>
      <c r="B325" s="18" t="s">
        <v>10426</v>
      </c>
      <c r="C325" s="18" t="s">
        <v>10429</v>
      </c>
      <c r="D325" s="5" t="str">
        <f ca="1">IFERROR(__xludf.DUMMYFUNCTION("GOOGLETRANSLATE(B325,""ja"",""vi"")"),"yếu tố")</f>
        <v>yếu tố</v>
      </c>
      <c r="E325" s="5" t="str">
        <f ca="1">IFERROR(__xludf.DUMMYFUNCTION("GOOGLETRANSLATE(C325,""ja"",""vi"")"),"Đấu giá&gt; ô tô, xe máy&gt; ô tô cũ, ô tô mới&gt; Honda&gt; yếu tố")</f>
        <v>Đấu giá&gt; ô tô, xe máy&gt; ô tô cũ, ô tô mới&gt; Honda&gt; yếu tố</v>
      </c>
      <c r="F325" t="str">
        <f t="shared" ca="1" si="5"/>
        <v>"2084056546" : "yếu tố",</v>
      </c>
    </row>
    <row r="326" spans="1:6" ht="15.75" customHeight="1">
      <c r="A326" s="18">
        <v>2084023033</v>
      </c>
      <c r="B326" s="18" t="s">
        <v>10433</v>
      </c>
      <c r="C326" s="18" t="s">
        <v>10435</v>
      </c>
      <c r="D326" s="5" t="str">
        <f ca="1">IFERROR(__xludf.DUMMYFUNCTION("GOOGLETRANSLATE(B326,""ja"",""vi"")"),"Odyssey")</f>
        <v>Odyssey</v>
      </c>
      <c r="E326" s="5" t="str">
        <f ca="1">IFERROR(__xludf.DUMMYFUNCTION("GOOGLETRANSLATE(C326,""ja"",""vi"")"),"Đấu giá&gt; ô tô, xe máy&gt; ô tô cũ, ô tô mới&gt; Honda&gt; Odyssey")</f>
        <v>Đấu giá&gt; ô tô, xe máy&gt; ô tô cũ, ô tô mới&gt; Honda&gt; Odyssey</v>
      </c>
      <c r="F326" t="str">
        <f t="shared" ca="1" si="5"/>
        <v>"2084023033" : "Odyssey",</v>
      </c>
    </row>
    <row r="327" spans="1:6" ht="15.75" customHeight="1">
      <c r="A327" s="18">
        <v>2084023042</v>
      </c>
      <c r="B327" s="18" t="s">
        <v>10439</v>
      </c>
      <c r="C327" s="18" t="s">
        <v>10441</v>
      </c>
      <c r="D327" s="5" t="str">
        <f ca="1">IFERROR(__xludf.DUMMYFUNCTION("GOOGLETRANSLATE(B327,""ja"",""vi"")"),"Orutia")</f>
        <v>Orutia</v>
      </c>
      <c r="E327" s="5" t="str">
        <f ca="1">IFERROR(__xludf.DUMMYFUNCTION("GOOGLETRANSLATE(C327,""ja"",""vi"")"),"Đấu giá&gt; ô tô, xe máy&gt; ô tô cũ, ô tô mới&gt; Honda&gt; Orutia")</f>
        <v>Đấu giá&gt; ô tô, xe máy&gt; ô tô cũ, ô tô mới&gt; Honda&gt; Orutia</v>
      </c>
      <c r="F327" t="str">
        <f t="shared" ca="1" si="5"/>
        <v>"2084023042" : "Orutia",</v>
      </c>
    </row>
    <row r="328" spans="1:6" ht="15.75" customHeight="1">
      <c r="A328" s="18">
        <v>2084023043</v>
      </c>
      <c r="B328" s="18" t="s">
        <v>10444</v>
      </c>
      <c r="C328" s="18" t="s">
        <v>10447</v>
      </c>
      <c r="D328" s="5" t="str">
        <f ca="1">IFERROR(__xludf.DUMMYFUNCTION("GOOGLETRANSLATE(B328,""ja"",""vi"")"),"khả năng")</f>
        <v>khả năng</v>
      </c>
      <c r="E328" s="5" t="str">
        <f ca="1">IFERROR(__xludf.DUMMYFUNCTION("GOOGLETRANSLATE(C328,""ja"",""vi"")"),"Đấu giá&gt; ô tô, xe máy&gt; ô tô cũ, ô tô mới&gt; Honda&gt; Công suất")</f>
        <v>Đấu giá&gt; ô tô, xe máy&gt; ô tô cũ, ô tô mới&gt; Honda&gt; Công suất</v>
      </c>
      <c r="F328" t="str">
        <f t="shared" ca="1" si="5"/>
        <v>"2084023043" : "khả năng",</v>
      </c>
    </row>
    <row r="329" spans="1:6" ht="15.75" customHeight="1">
      <c r="A329" s="18">
        <v>2084231242</v>
      </c>
      <c r="B329" s="18" t="s">
        <v>10451</v>
      </c>
      <c r="C329" s="18" t="s">
        <v>10454</v>
      </c>
      <c r="D329" s="5" t="str">
        <f ca="1">IFERROR(__xludf.DUMMYFUNCTION("GOOGLETRANSLATE(B329,""ja"",""vi"")"),"ngã tư")</f>
        <v>ngã tư</v>
      </c>
      <c r="E329" s="5" t="str">
        <f ca="1">IFERROR(__xludf.DUMMYFUNCTION("GOOGLETRANSLATE(C329,""ja"",""vi"")"),"Đấu giá&gt; ô tô, xe máy&gt; ô tô cũ, ô tô mới&gt; Honda&gt; Crossroads")</f>
        <v>Đấu giá&gt; ô tô, xe máy&gt; ô tô cũ, ô tô mới&gt; Honda&gt; Crossroads</v>
      </c>
      <c r="F329" t="str">
        <f t="shared" ca="1" si="5"/>
        <v>"2084231242" : "ngã tư",</v>
      </c>
    </row>
    <row r="330" spans="1:6" ht="15.75" customHeight="1">
      <c r="A330" s="18">
        <v>2084049124</v>
      </c>
      <c r="B330" s="18" t="s">
        <v>10460</v>
      </c>
      <c r="C330" s="18" t="s">
        <v>10461</v>
      </c>
      <c r="D330" s="5" t="str">
        <f ca="1">IFERROR(__xludf.DUMMYFUNCTION("GOOGLETRANSLATE(B330,""ja"",""vi"")"),"đó là của")</f>
        <v>đó là của</v>
      </c>
      <c r="E330" s="5" t="str">
        <f ca="1">IFERROR(__xludf.DUMMYFUNCTION("GOOGLETRANSLATE(C330,""ja"",""vi"")"),"Đấu giá&gt; ô tô, xe máy&gt; ô tô cũ, ô tô mới&gt; Honda&gt; Đó của")</f>
        <v>Đấu giá&gt; ô tô, xe máy&gt; ô tô cũ, ô tô mới&gt; Honda&gt; Đó của</v>
      </c>
      <c r="F330" t="str">
        <f t="shared" ca="1" si="5"/>
        <v>"2084049124" : "đó là của",</v>
      </c>
    </row>
    <row r="331" spans="1:6" ht="15.75" customHeight="1">
      <c r="A331" s="18">
        <v>2084023044</v>
      </c>
      <c r="B331" s="18" t="s">
        <v>10464</v>
      </c>
      <c r="C331" s="18" t="s">
        <v>10465</v>
      </c>
      <c r="D331" s="5" t="str">
        <f ca="1">IFERROR(__xludf.DUMMYFUNCTION("GOOGLETRANSLATE(B331,""ja"",""vi"")"),"thành phố")</f>
        <v>thành phố</v>
      </c>
      <c r="E331" s="5" t="str">
        <f ca="1">IFERROR(__xludf.DUMMYFUNCTION("GOOGLETRANSLATE(C331,""ja"",""vi"")"),"Đấu giá&gt; ô tô, xe máy&gt; ô tô cũ, ô tô mới&gt; Honda&gt; Thành phố")</f>
        <v>Đấu giá&gt; ô tô, xe máy&gt; ô tô cũ, ô tô mới&gt; Honda&gt; Thành phố</v>
      </c>
      <c r="F331" t="str">
        <f t="shared" ca="1" si="5"/>
        <v>"2084023044" : "thành phố",</v>
      </c>
    </row>
    <row r="332" spans="1:6" ht="15.75" customHeight="1">
      <c r="A332" s="18">
        <v>2084023045</v>
      </c>
      <c r="B332" s="18" t="s">
        <v>10469</v>
      </c>
      <c r="C332" s="18" t="s">
        <v>10471</v>
      </c>
      <c r="D332" s="5" t="str">
        <f ca="1">IFERROR(__xludf.DUMMYFUNCTION("GOOGLETRANSLATE(B332,""ja"",""vi"")"),"Civic")</f>
        <v>Civic</v>
      </c>
      <c r="E332" s="5" t="str">
        <f ca="1">IFERROR(__xludf.DUMMYFUNCTION("GOOGLETRANSLATE(C332,""ja"",""vi"")"),"Đấu giá&gt; ô tô, xe máy&gt; ô tô cũ, ô tô mới&gt; Honda&gt; Civic")</f>
        <v>Đấu giá&gt; ô tô, xe máy&gt; ô tô cũ, ô tô mới&gt; Honda&gt; Civic</v>
      </c>
      <c r="F332" t="str">
        <f t="shared" ca="1" si="5"/>
        <v>"2084023045" : "Civic",</v>
      </c>
    </row>
    <row r="333" spans="1:6" ht="15.75" customHeight="1">
      <c r="A333" s="18">
        <v>2084049125</v>
      </c>
      <c r="B333" s="18" t="s">
        <v>10475</v>
      </c>
      <c r="C333" s="18" t="s">
        <v>10478</v>
      </c>
      <c r="D333" s="5" t="str">
        <f ca="1">IFERROR(__xludf.DUMMYFUNCTION("GOOGLETRANSLATE(B333,""ja"",""vi"")"),"Civic Shuttle")</f>
        <v>Civic Shuttle</v>
      </c>
      <c r="E333" s="5" t="str">
        <f ca="1">IFERROR(__xludf.DUMMYFUNCTION("GOOGLETRANSLATE(C333,""ja"",""vi"")"),"Đấu giá&gt; ô tô, xe máy&gt; ô tô cũ, ô tô mới&gt; Honda&gt; Civic Shuttle")</f>
        <v>Đấu giá&gt; ô tô, xe máy&gt; ô tô cũ, ô tô mới&gt; Honda&gt; Civic Shuttle</v>
      </c>
      <c r="F333" t="str">
        <f t="shared" ca="1" si="5"/>
        <v>"2084049125" : "Civic Shuttle",</v>
      </c>
    </row>
    <row r="334" spans="1:6" ht="15.75" customHeight="1">
      <c r="A334" s="18">
        <v>2084231244</v>
      </c>
      <c r="B334" s="18" t="s">
        <v>10483</v>
      </c>
      <c r="C334" s="18" t="s">
        <v>10485</v>
      </c>
      <c r="D334" s="5" t="str">
        <f ca="1">IFERROR(__xludf.DUMMYFUNCTION("GOOGLETRANSLATE(B334,""ja"",""vi"")"),"Civic Type R")</f>
        <v>Civic Type R</v>
      </c>
      <c r="E334" s="5" t="str">
        <f ca="1">IFERROR(__xludf.DUMMYFUNCTION("GOOGLETRANSLATE(C334,""ja"",""vi"")"),"Đấu giá&gt; ô tô, xe máy&gt; ô tô cũ, ô tô mới&gt; Honda&gt; Civic loại R")</f>
        <v>Đấu giá&gt; ô tô, xe máy&gt; ô tô cũ, ô tô mới&gt; Honda&gt; Civic loại R</v>
      </c>
      <c r="F334" t="str">
        <f t="shared" ca="1" si="5"/>
        <v>"2084231244" : "Civic Type R",</v>
      </c>
    </row>
    <row r="335" spans="1:6" ht="15.75" customHeight="1">
      <c r="A335" s="18">
        <v>2084231245</v>
      </c>
      <c r="B335" s="18" t="s">
        <v>10488</v>
      </c>
      <c r="C335" s="18" t="s">
        <v>10491</v>
      </c>
      <c r="D335" s="5" t="str">
        <f ca="1">IFERROR(__xludf.DUMMYFUNCTION("GOOGLETRANSLATE(B335,""ja"",""vi"")"),"Civic hybrid")</f>
        <v>Civic hybrid</v>
      </c>
      <c r="E335" s="5" t="str">
        <f ca="1">IFERROR(__xludf.DUMMYFUNCTION("GOOGLETRANSLATE(C335,""ja"",""vi"")"),"Đấu giá&gt; ô tô, xe máy&gt; ô tô cũ, ô tô mới&gt; Honda&gt; Civic Hybrid")</f>
        <v>Đấu giá&gt; ô tô, xe máy&gt; ô tô cũ, ô tô mới&gt; Honda&gt; Civic Hybrid</v>
      </c>
      <c r="F335" t="str">
        <f t="shared" ca="1" si="5"/>
        <v>"2084231245" : "Civic hybrid",</v>
      </c>
    </row>
    <row r="336" spans="1:6" ht="15.75" customHeight="1">
      <c r="A336" s="18">
        <v>2084049126</v>
      </c>
      <c r="B336" s="18" t="s">
        <v>10493</v>
      </c>
      <c r="C336" s="18" t="s">
        <v>10496</v>
      </c>
      <c r="D336" s="5" t="str">
        <f ca="1">IFERROR(__xludf.DUMMYFUNCTION("GOOGLETRANSLATE(B336,""ja"",""vi"")"),"Civic Ferio")</f>
        <v>Civic Ferio</v>
      </c>
      <c r="E336" s="5" t="str">
        <f ca="1">IFERROR(__xludf.DUMMYFUNCTION("GOOGLETRANSLATE(C336,""ja"",""vi"")"),"Đấu giá&gt; ô tô, xe máy&gt; ô tô cũ, ô tô mới&gt; Honda&gt; Civic Ferio")</f>
        <v>Đấu giá&gt; ô tô, xe máy&gt; ô tô cũ, ô tô mới&gt; Honda&gt; Civic Ferio</v>
      </c>
      <c r="F336" t="str">
        <f t="shared" ca="1" si="5"/>
        <v>"2084049126" : "Civic Ferio",</v>
      </c>
    </row>
    <row r="337" spans="1:6" ht="15.75" customHeight="1">
      <c r="A337" s="18">
        <v>2084315405</v>
      </c>
      <c r="B337" s="18" t="s">
        <v>10500</v>
      </c>
      <c r="C337" s="18" t="s">
        <v>10502</v>
      </c>
      <c r="D337" s="5" t="str">
        <f ca="1">IFERROR(__xludf.DUMMYFUNCTION("GOOGLETRANSLATE(B337,""ja"",""vi"")"),"ngọc bích")</f>
        <v>ngọc bích</v>
      </c>
      <c r="E337" s="5" t="str">
        <f ca="1">IFERROR(__xludf.DUMMYFUNCTION("GOOGLETRANSLATE(C337,""ja"",""vi"")"),"Đấu giá&gt; ô tô, xe máy&gt; ô tô cũ, ô tô mới&gt; Honda&gt; Jade")</f>
        <v>Đấu giá&gt; ô tô, xe máy&gt; ô tô cũ, ô tô mới&gt; Honda&gt; Jade</v>
      </c>
      <c r="F337" t="str">
        <f t="shared" ca="1" si="5"/>
        <v>"2084315405" : "ngọc bích",</v>
      </c>
    </row>
    <row r="338" spans="1:6" ht="15.75" customHeight="1">
      <c r="A338" s="18">
        <v>2084056547</v>
      </c>
      <c r="B338" s="18" t="s">
        <v>10506</v>
      </c>
      <c r="C338" s="18" t="s">
        <v>10508</v>
      </c>
      <c r="D338" s="5" t="str">
        <f ca="1">IFERROR(__xludf.DUMMYFUNCTION("GOOGLETRANSLATE(B338,""ja"",""vi"")"),"xe tải bước")</f>
        <v>xe tải bước</v>
      </c>
      <c r="E338" s="5" t="str">
        <f ca="1">IFERROR(__xludf.DUMMYFUNCTION("GOOGLETRANSLATE(C338,""ja"",""vi"")"),"Đấu giá&gt; ô tô, xe máy&gt; ô tô cũ, ô tô mới&gt; Honda&gt; xe bước")</f>
        <v>Đấu giá&gt; ô tô, xe máy&gt; ô tô cũ, ô tô mới&gt; Honda&gt; xe bước</v>
      </c>
      <c r="F338" t="str">
        <f t="shared" ca="1" si="5"/>
        <v>"2084056547" : "xe tải bước",</v>
      </c>
    </row>
    <row r="339" spans="1:6" ht="15.75" customHeight="1">
      <c r="A339" s="18">
        <v>2084023046</v>
      </c>
      <c r="B339" s="18" t="s">
        <v>10512</v>
      </c>
      <c r="C339" s="18" t="s">
        <v>10513</v>
      </c>
      <c r="D339" s="5" t="str">
        <f ca="1">IFERROR(__xludf.DUMMYFUNCTION("GOOGLETRANSLATE(B339,""ja"",""vi"")"),"bước Wagon")</f>
        <v>bước Wagon</v>
      </c>
      <c r="E339" s="5" t="str">
        <f ca="1">IFERROR(__xludf.DUMMYFUNCTION("GOOGLETRANSLATE(C339,""ja"",""vi"")"),"Đấu giá&gt; ô tô, xe máy&gt; ô tô cũ, ô tô mới&gt; Honda&gt; Bước WGN")</f>
        <v>Đấu giá&gt; ô tô, xe máy&gt; ô tô cũ, ô tô mới&gt; Honda&gt; Bước WGN</v>
      </c>
      <c r="F339" t="str">
        <f t="shared" ca="1" si="5"/>
        <v>"2084023046" : "bước Wagon",</v>
      </c>
    </row>
    <row r="340" spans="1:6" ht="15.75" customHeight="1">
      <c r="A340" s="18">
        <v>2084048063</v>
      </c>
      <c r="B340" s="18" t="s">
        <v>10517</v>
      </c>
      <c r="C340" s="18" t="s">
        <v>10518</v>
      </c>
      <c r="D340" s="5" t="str">
        <f ca="1">IFERROR(__xludf.DUMMYFUNCTION("GOOGLETRANSLATE(B340,""ja"",""vi"")"),"đường phố")</f>
        <v>đường phố</v>
      </c>
      <c r="E340" s="5" t="str">
        <f ca="1">IFERROR(__xludf.DUMMYFUNCTION("GOOGLETRANSLATE(C340,""ja"",""vi"")"),"Đấu giá&gt; ô tô, xe máy&gt; ô tô cũ, ô tô mới&gt; Honda&gt; đường")</f>
        <v>Đấu giá&gt; ô tô, xe máy&gt; ô tô cũ, ô tô mới&gt; Honda&gt; đường</v>
      </c>
      <c r="F340" t="str">
        <f t="shared" ca="1" si="5"/>
        <v>"2084048063" : "đường phố",</v>
      </c>
    </row>
    <row r="341" spans="1:6" ht="15.75" customHeight="1">
      <c r="A341" s="18">
        <v>2084023047</v>
      </c>
      <c r="B341" s="18" t="s">
        <v>10522</v>
      </c>
      <c r="C341" s="18" t="s">
        <v>10523</v>
      </c>
      <c r="D341" s="5" t="str">
        <f ca="1">IFERROR(__xludf.DUMMYFUNCTION("GOOGLETRANSLATE(B341,""ja"",""vi"")"),"suối")</f>
        <v>suối</v>
      </c>
      <c r="E341" s="5" t="str">
        <f ca="1">IFERROR(__xludf.DUMMYFUNCTION("GOOGLETRANSLATE(C341,""ja"",""vi"")"),"Đấu giá&gt; ô tô, xe máy&gt; ô tô cũ, ô tô mới&gt; Honda&gt; Suối")</f>
        <v>Đấu giá&gt; ô tô, xe máy&gt; ô tô cũ, ô tô mới&gt; Honda&gt; Suối</v>
      </c>
      <c r="F341" t="str">
        <f t="shared" ca="1" si="5"/>
        <v>"2084023047" : "suối",</v>
      </c>
    </row>
    <row r="342" spans="1:6" ht="15.75" customHeight="1">
      <c r="A342" s="18">
        <v>2084023048</v>
      </c>
      <c r="B342" s="18" t="s">
        <v>10528</v>
      </c>
      <c r="C342" s="18" t="s">
        <v>10529</v>
      </c>
      <c r="D342" s="5" t="str">
        <f ca="1">IFERROR(__xludf.DUMMYFUNCTION("GOOGLETRANSLATE(B342,""ja"",""vi"")"),"Saber")</f>
        <v>Saber</v>
      </c>
      <c r="E342" s="5" t="str">
        <f ca="1">IFERROR(__xludf.DUMMYFUNCTION("GOOGLETRANSLATE(C342,""ja"",""vi"")"),"Đấu giá&gt; ô tô, xe máy&gt; ô tô cũ, ô tô mới&gt; Honda&gt; Saber")</f>
        <v>Đấu giá&gt; ô tô, xe máy&gt; ô tô cũ, ô tô mới&gt; Honda&gt; Saber</v>
      </c>
      <c r="F342" t="str">
        <f t="shared" ca="1" si="5"/>
        <v>"2084023048" : "Saber",</v>
      </c>
    </row>
    <row r="343" spans="1:6" ht="15.75" customHeight="1">
      <c r="A343" s="18">
        <v>2084204554</v>
      </c>
      <c r="B343" s="18" t="s">
        <v>10533</v>
      </c>
      <c r="C343" s="18" t="s">
        <v>10534</v>
      </c>
      <c r="D343" s="5" t="str">
        <f ca="1">IFERROR(__xludf.DUMMYFUNCTION("GOOGLETRANSLATE(B343,""ja"",""vi"")"),"sự hăng hái")</f>
        <v>sự hăng hái</v>
      </c>
      <c r="E343" s="5" t="str">
        <f ca="1">IFERROR(__xludf.DUMMYFUNCTION("GOOGLETRANSLATE(C343,""ja"",""vi"")"),"Đấu giá&gt; ô tô, xe máy&gt; ô tô cũ, ô tô mới&gt; Honda&gt; Zest")</f>
        <v>Đấu giá&gt; ô tô, xe máy&gt; ô tô cũ, ô tô mới&gt; Honda&gt; Zest</v>
      </c>
      <c r="F343" t="str">
        <f t="shared" ca="1" si="5"/>
        <v>"2084204554" : "sự hăng hái",</v>
      </c>
    </row>
    <row r="344" spans="1:6" ht="15.75" customHeight="1">
      <c r="A344" s="18">
        <v>2084299534</v>
      </c>
      <c r="B344" s="18" t="s">
        <v>10538</v>
      </c>
      <c r="C344" s="18" t="s">
        <v>10539</v>
      </c>
      <c r="D344" s="5" t="str">
        <f ca="1">IFERROR(__xludf.DUMMYFUNCTION("GOOGLETRANSLATE(B344,""ja"",""vi"")"),"spark Zest")</f>
        <v>spark Zest</v>
      </c>
      <c r="E344" s="5" t="str">
        <f ca="1">IFERROR(__xludf.DUMMYFUNCTION("GOOGLETRANSLATE(C344,""ja"",""vi"")"),"Đấu giá&gt; ô tô, xe máy&gt; ô tô cũ, ô tô mới&gt; Honda&gt; spark Zest")</f>
        <v>Đấu giá&gt; ô tô, xe máy&gt; ô tô cũ, ô tô mới&gt; Honda&gt; spark Zest</v>
      </c>
      <c r="F344" t="str">
        <f t="shared" ca="1" si="5"/>
        <v>"2084299534" : "spark Zest",</v>
      </c>
    </row>
    <row r="345" spans="1:6" ht="15.75" customHeight="1">
      <c r="A345" s="18">
        <v>2084023050</v>
      </c>
      <c r="B345" s="18" t="s">
        <v>10543</v>
      </c>
      <c r="C345" s="18" t="s">
        <v>10544</v>
      </c>
      <c r="D345" s="5" t="str">
        <f ca="1">IFERROR(__xludf.DUMMYFUNCTION("GOOGLETRANSLATE(B345,""ja"",""vi"")"),"ngày nay")</f>
        <v>ngày nay</v>
      </c>
      <c r="E345" s="5" t="str">
        <f ca="1">IFERROR(__xludf.DUMMYFUNCTION("GOOGLETRANSLATE(C345,""ja"",""vi"")"),"Đấu giá&gt; ô tô, xe máy&gt; ô tô cũ, ô tô mới&gt; Honda&gt; Hôm nay")</f>
        <v>Đấu giá&gt; ô tô, xe máy&gt; ô tô cũ, ô tô mới&gt; Honda&gt; Hôm nay</v>
      </c>
      <c r="F345" t="str">
        <f t="shared" ca="1" si="5"/>
        <v>"2084023050" : "ngày nay",</v>
      </c>
    </row>
    <row r="346" spans="1:6" ht="15.75" customHeight="1">
      <c r="A346" s="18">
        <v>2084023052</v>
      </c>
      <c r="B346" s="18" t="s">
        <v>10548</v>
      </c>
      <c r="C346" s="18" t="s">
        <v>10549</v>
      </c>
      <c r="D346" s="5" t="str">
        <f ca="1">IFERROR(__xludf.DUMMYFUNCTION("GOOGLETRANSLATE(B346,""ja"",""vi"")"),"Torneo")</f>
        <v>Torneo</v>
      </c>
      <c r="E346" s="5" t="str">
        <f ca="1">IFERROR(__xludf.DUMMYFUNCTION("GOOGLETRANSLATE(C346,""ja"",""vi"")"),"Đấu giá&gt; ô tô, xe máy&gt; ô tô cũ, ô tô mới&gt; Honda&gt; Torneo")</f>
        <v>Đấu giá&gt; ô tô, xe máy&gt; ô tô cũ, ô tô mới&gt; Honda&gt; Torneo</v>
      </c>
      <c r="F346" t="str">
        <f t="shared" ca="1" si="5"/>
        <v>"2084023052" : "Torneo",</v>
      </c>
    </row>
    <row r="347" spans="1:6" ht="15.75" customHeight="1">
      <c r="A347" s="18">
        <v>2084023051</v>
      </c>
      <c r="B347" s="18" t="s">
        <v>10553</v>
      </c>
      <c r="C347" s="18" t="s">
        <v>10554</v>
      </c>
      <c r="D347" s="5" t="str">
        <f ca="1">IFERROR(__xludf.DUMMYFUNCTION("GOOGLETRANSLATE(B347,""ja"",""vi"")"),"Domani")</f>
        <v>Domani</v>
      </c>
      <c r="E347" s="5" t="str">
        <f ca="1">IFERROR(__xludf.DUMMYFUNCTION("GOOGLETRANSLATE(C347,""ja"",""vi"")"),"Đấu giá&gt; ô tô, xe máy&gt; ô tô cũ, ô tô mới&gt; Honda&gt; Domani")</f>
        <v>Đấu giá&gt; ô tô, xe máy&gt; ô tô cũ, ô tô mới&gt; Honda&gt; Domani</v>
      </c>
      <c r="F347" t="str">
        <f t="shared" ca="1" si="5"/>
        <v>"2084023051" : "Domani",</v>
      </c>
    </row>
    <row r="348" spans="1:6" ht="15.75" customHeight="1">
      <c r="A348" s="18">
        <v>2084023054</v>
      </c>
      <c r="B348" s="18" t="s">
        <v>10559</v>
      </c>
      <c r="C348" s="18" t="s">
        <v>10560</v>
      </c>
      <c r="D348" s="5" t="str">
        <f ca="1">IFERROR(__xludf.DUMMYFUNCTION("GOOGLETRANSLATE(B348,""ja"",""vi"")"),"Vamos")</f>
        <v>Vamos</v>
      </c>
      <c r="E348" s="5" t="str">
        <f ca="1">IFERROR(__xludf.DUMMYFUNCTION("GOOGLETRANSLATE(C348,""ja"",""vi"")"),"Đấu giá&gt; ô tô, xe máy&gt; ô tô cũ, ô tô mới&gt; Honda&gt; Vamos")</f>
        <v>Đấu giá&gt; ô tô, xe máy&gt; ô tô cũ, ô tô mới&gt; Honda&gt; Vamos</v>
      </c>
      <c r="F348" t="str">
        <f t="shared" ca="1" si="5"/>
        <v>"2084023054" : "Vamos",</v>
      </c>
    </row>
    <row r="349" spans="1:6" ht="15.75" customHeight="1">
      <c r="A349" s="18">
        <v>2084055965</v>
      </c>
      <c r="B349" s="18" t="s">
        <v>10564</v>
      </c>
      <c r="C349" s="18" t="s">
        <v>10566</v>
      </c>
      <c r="D349" s="5" t="str">
        <f ca="1">IFERROR(__xludf.DUMMYFUNCTION("GOOGLETRANSLATE(B349,""ja"",""vi"")"),"Bamosuhobio")</f>
        <v>Bamosuhobio</v>
      </c>
      <c r="E349" s="5" t="str">
        <f ca="1">IFERROR(__xludf.DUMMYFUNCTION("GOOGLETRANSLATE(C349,""ja"",""vi"")"),"Đấu giá&gt; ô tô, xe máy&gt; ô tô cũ, ô tô mới&gt; Honda&gt; Bamosuhobio")</f>
        <v>Đấu giá&gt; ô tô, xe máy&gt; ô tô cũ, ô tô mới&gt; Honda&gt; Bamosuhobio</v>
      </c>
      <c r="F349" t="str">
        <f t="shared" ca="1" si="5"/>
        <v>"2084055965" : "Bamosuhobio",</v>
      </c>
    </row>
    <row r="350" spans="1:6" ht="15.75" customHeight="1">
      <c r="A350" s="18">
        <v>2084049127</v>
      </c>
      <c r="B350" s="18" t="s">
        <v>10569</v>
      </c>
      <c r="C350" s="18" t="s">
        <v>10572</v>
      </c>
      <c r="D350" s="5" t="str">
        <f ca="1">IFERROR(__xludf.DUMMYFUNCTION("GOOGLETRANSLATE(B350,""ja"",""vi"")"),"Đối tác")</f>
        <v>Đối tác</v>
      </c>
      <c r="E350" s="5" t="str">
        <f ca="1">IFERROR(__xludf.DUMMYFUNCTION("GOOGLETRANSLATE(C350,""ja"",""vi"")"),"Đấu giá&gt; ô tô, xe máy&gt; ô tô cũ, ô tô mới&gt; Honda&gt; Đối tác")</f>
        <v>Đấu giá&gt; ô tô, xe máy&gt; ô tô cũ, ô tô mới&gt; Honda&gt; Đối tác</v>
      </c>
      <c r="F350" t="str">
        <f t="shared" ca="1" si="5"/>
        <v>"2084049127" : "Đối tác",</v>
      </c>
    </row>
    <row r="351" spans="1:6" ht="15.75" customHeight="1">
      <c r="A351" s="18">
        <v>2084023034</v>
      </c>
      <c r="B351" s="18" t="s">
        <v>10574</v>
      </c>
      <c r="C351" s="18" t="s">
        <v>10577</v>
      </c>
      <c r="D351" s="5" t="str">
        <f ca="1">IFERROR(__xludf.DUMMYFUNCTION("GOOGLETRANSLATE(B351,""ja"",""vi"")"),"beat")</f>
        <v>beat</v>
      </c>
      <c r="E351" s="5" t="str">
        <f ca="1">IFERROR(__xludf.DUMMYFUNCTION("GOOGLETRANSLATE(C351,""ja"",""vi"")"),"Đấu giá&gt; ô tô, xe máy&gt; ô tô cũ, ô tô mới&gt; Honda&gt; beat")</f>
        <v>Đấu giá&gt; ô tô, xe máy&gt; ô tô cũ, ô tô mới&gt; Honda&gt; beat</v>
      </c>
      <c r="F351" t="str">
        <f t="shared" ca="1" si="5"/>
        <v>"2084023034" : "beat",</v>
      </c>
    </row>
    <row r="352" spans="1:6" ht="15.75" customHeight="1">
      <c r="A352" s="18">
        <v>2084023035</v>
      </c>
      <c r="B352" s="18" t="s">
        <v>10579</v>
      </c>
      <c r="C352" s="18" t="s">
        <v>10582</v>
      </c>
      <c r="D352" s="5" t="str">
        <f ca="1">IFERROR(__xludf.DUMMYFUNCTION("GOOGLETRANSLATE(B352,""ja"",""vi"")"),"Biggar")</f>
        <v>Biggar</v>
      </c>
      <c r="E352" s="5" t="str">
        <f ca="1">IFERROR(__xludf.DUMMYFUNCTION("GOOGLETRANSLATE(C352,""ja"",""vi"")"),"Đấu giá&gt; ô tô, xe máy&gt; ô tô cũ, ô tô mới&gt; Honda&gt; Biggar")</f>
        <v>Đấu giá&gt; ô tô, xe máy&gt; ô tô cũ, ô tô mới&gt; Honda&gt; Biggar</v>
      </c>
      <c r="F352" t="str">
        <f t="shared" ca="1" si="5"/>
        <v>"2084023035" : "Biggar",</v>
      </c>
    </row>
    <row r="353" spans="1:6" ht="15.75" customHeight="1">
      <c r="A353" s="18">
        <v>2084049128</v>
      </c>
      <c r="B353" s="18" t="s">
        <v>10587</v>
      </c>
      <c r="C353" s="18" t="s">
        <v>10589</v>
      </c>
      <c r="D353" s="5" t="str">
        <f ca="1">IFERROR(__xludf.DUMMYFUNCTION("GOOGLETRANSLATE(B353,""ja"",""vi"")"),"Fit")</f>
        <v>Fit</v>
      </c>
      <c r="E353" s="5" t="str">
        <f ca="1">IFERROR(__xludf.DUMMYFUNCTION("GOOGLETRANSLATE(C353,""ja"",""vi"")"),"Đấu giá&gt; ô tô, xe máy&gt; ô tô cũ, ô tô mới&gt; Honda&gt; Fit")</f>
        <v>Đấu giá&gt; ô tô, xe máy&gt; ô tô cũ, ô tô mới&gt; Honda&gt; Fit</v>
      </c>
      <c r="F353" t="str">
        <f t="shared" ca="1" si="5"/>
        <v>"2084049128" : "Fit",</v>
      </c>
    </row>
    <row r="354" spans="1:6" ht="15.75" customHeight="1">
      <c r="A354" s="18">
        <v>2084057666</v>
      </c>
      <c r="B354" s="18" t="s">
        <v>10593</v>
      </c>
      <c r="C354" s="18" t="s">
        <v>10594</v>
      </c>
      <c r="D354" s="5" t="str">
        <f ca="1">IFERROR(__xludf.DUMMYFUNCTION("GOOGLETRANSLATE(B354,""ja"",""vi"")"),"Fit Aria")</f>
        <v>Fit Aria</v>
      </c>
      <c r="E354" s="5" t="str">
        <f ca="1">IFERROR(__xludf.DUMMYFUNCTION("GOOGLETRANSLATE(C354,""ja"",""vi"")"),"Đấu giá&gt; ô tô, xe máy&gt; ô tô cũ, ô tô mới&gt; Honda&gt; Fit Aria")</f>
        <v>Đấu giá&gt; ô tô, xe máy&gt; ô tô cũ, ô tô mới&gt; Honda&gt; Fit Aria</v>
      </c>
      <c r="F354" t="str">
        <f t="shared" ca="1" si="5"/>
        <v>"2084057666" : "Fit Aria",</v>
      </c>
    </row>
    <row r="355" spans="1:6" ht="15.75" customHeight="1">
      <c r="A355" s="18">
        <v>2084299536</v>
      </c>
      <c r="B355" s="18" t="s">
        <v>10599</v>
      </c>
      <c r="C355" s="18" t="s">
        <v>10600</v>
      </c>
      <c r="D355" s="5" t="str">
        <f ca="1">IFERROR(__xludf.DUMMYFUNCTION("GOOGLETRANSLATE(B355,""ja"",""vi"")"),"Fit Shuttle")</f>
        <v>Fit Shuttle</v>
      </c>
      <c r="E355" s="5" t="str">
        <f ca="1">IFERROR(__xludf.DUMMYFUNCTION("GOOGLETRANSLATE(C355,""ja"",""vi"")"),"Đấu giá&gt; ô tô, xe máy&gt; ô tô cũ, ô tô mới&gt; Honda&gt; Fit Shuttle")</f>
        <v>Đấu giá&gt; ô tô, xe máy&gt; ô tô cũ, ô tô mới&gt; Honda&gt; Fit Shuttle</v>
      </c>
      <c r="F355" t="str">
        <f t="shared" ca="1" si="5"/>
        <v>"2084299536" : "Fit Shuttle",</v>
      </c>
    </row>
    <row r="356" spans="1:6" ht="15.75" customHeight="1">
      <c r="A356" s="18">
        <v>2084299535</v>
      </c>
      <c r="B356" s="18" t="s">
        <v>10604</v>
      </c>
      <c r="C356" s="18" t="s">
        <v>10605</v>
      </c>
      <c r="D356" s="5" t="str">
        <f ca="1">IFERROR(__xludf.DUMMYFUNCTION("GOOGLETRANSLATE(B356,""ja"",""vi"")"),"lai Fit")</f>
        <v>lai Fit</v>
      </c>
      <c r="E356" s="5" t="str">
        <f ca="1">IFERROR(__xludf.DUMMYFUNCTION("GOOGLETRANSLATE(C356,""ja"",""vi"")"),"Đấu giá&gt; ô tô, xe máy&gt; ô tô cũ, ô tô mới&gt; Honda&gt; lai Fit")</f>
        <v>Đấu giá&gt; ô tô, xe máy&gt; ô tô cũ, ô tô mới&gt; Honda&gt; lai Fit</v>
      </c>
      <c r="F356" t="str">
        <f t="shared" ca="1" si="5"/>
        <v>"2084299535" : "lai Fit",</v>
      </c>
    </row>
    <row r="357" spans="1:6" ht="15.75" customHeight="1">
      <c r="A357" s="18">
        <v>2084243774</v>
      </c>
      <c r="B357" s="18" t="s">
        <v>10610</v>
      </c>
      <c r="C357" s="18" t="s">
        <v>10612</v>
      </c>
      <c r="D357" s="5" t="str">
        <f ca="1">IFERROR(__xludf.DUMMYFUNCTION("GOOGLETRANSLATE(B357,""ja"",""vi"")"),"Freed")</f>
        <v>Freed</v>
      </c>
      <c r="E357" s="5" t="str">
        <f ca="1">IFERROR(__xludf.DUMMYFUNCTION("GOOGLETRANSLATE(C357,""ja"",""vi"")"),"Đấu giá&gt; ô tô, xe máy&gt; ô tô cũ, ô tô mới&gt; Honda&gt; Freed")</f>
        <v>Đấu giá&gt; ô tô, xe máy&gt; ô tô cũ, ô tô mới&gt; Honda&gt; Freed</v>
      </c>
      <c r="F357" t="str">
        <f t="shared" ca="1" si="5"/>
        <v>"2084243774" : "Freed",</v>
      </c>
    </row>
    <row r="358" spans="1:6" ht="15.75" customHeight="1">
      <c r="A358" s="18">
        <v>2084299537</v>
      </c>
      <c r="B358" s="18" t="s">
        <v>10616</v>
      </c>
      <c r="C358" s="18" t="s">
        <v>10618</v>
      </c>
      <c r="D358" s="5" t="str">
        <f ca="1">IFERROR(__xludf.DUMMYFUNCTION("GOOGLETRANSLATE(B358,""ja"",""vi"")"),"Freed tăng vọt")</f>
        <v>Freed tăng vọt</v>
      </c>
      <c r="E358" s="5" t="str">
        <f ca="1">IFERROR(__xludf.DUMMYFUNCTION("GOOGLETRANSLATE(C358,""ja"",""vi"")"),"Đấu giá&gt; ô tô, xe máy&gt; ô tô cũ, ô tô mới&gt; Honda&gt; Freed tăng vọt")</f>
        <v>Đấu giá&gt; ô tô, xe máy&gt; ô tô cũ, ô tô mới&gt; Honda&gt; Freed tăng vọt</v>
      </c>
      <c r="F358" t="str">
        <f t="shared" ca="1" si="5"/>
        <v>"2084299537" : "Freed tăng vọt",</v>
      </c>
    </row>
    <row r="359" spans="1:6" ht="15.75" customHeight="1">
      <c r="A359" s="18">
        <v>2084023036</v>
      </c>
      <c r="B359" s="18" t="s">
        <v>10622</v>
      </c>
      <c r="C359" s="18" t="s">
        <v>10624</v>
      </c>
      <c r="D359" s="5" t="str">
        <f ca="1">IFERROR(__xludf.DUMMYFUNCTION("GOOGLETRANSLATE(B359,""ja"",""vi"")"),"khúc dạo đầu")</f>
        <v>khúc dạo đầu</v>
      </c>
      <c r="E359" s="5" t="str">
        <f ca="1">IFERROR(__xludf.DUMMYFUNCTION("GOOGLETRANSLATE(C359,""ja"",""vi"")"),"Đấu giá&gt; ô tô, xe máy&gt; ô tô cũ, ô tô mới&gt; Honda&gt; Prelude")</f>
        <v>Đấu giá&gt; ô tô, xe máy&gt; ô tô cũ, ô tô mới&gt; Honda&gt; Prelude</v>
      </c>
      <c r="F359" t="str">
        <f t="shared" ca="1" si="5"/>
        <v>"2084023036" : "khúc dạo đầu",</v>
      </c>
    </row>
    <row r="360" spans="1:6" ht="15.75" customHeight="1">
      <c r="A360" s="18">
        <v>2084204919</v>
      </c>
      <c r="B360" s="18" t="s">
        <v>10628</v>
      </c>
      <c r="C360" s="18" t="s">
        <v>10630</v>
      </c>
      <c r="D360" s="5" t="str">
        <f ca="1">IFERROR(__xludf.DUMMYFUNCTION("GOOGLETRANSLATE(B360,""ja"",""vi"")"),"Honda S600")</f>
        <v>Honda S600</v>
      </c>
      <c r="E360" s="5" t="str">
        <f ca="1">IFERROR(__xludf.DUMMYFUNCTION("GOOGLETRANSLATE(C360,""ja"",""vi"")"),"Đấu giá&gt; ô tô, xe máy&gt; ô tô cũ, ô tô mới&gt; Honda&gt; Honda S600")</f>
        <v>Đấu giá&gt; ô tô, xe máy&gt; ô tô cũ, ô tô mới&gt; Honda&gt; Honda S600</v>
      </c>
      <c r="F360" t="str">
        <f t="shared" ca="1" si="5"/>
        <v>"2084204919" : "Honda S600",</v>
      </c>
    </row>
    <row r="361" spans="1:6" ht="15.75" customHeight="1">
      <c r="A361" s="18">
        <v>2084204920</v>
      </c>
      <c r="B361" s="18" t="s">
        <v>10634</v>
      </c>
      <c r="C361" s="18" t="s">
        <v>10635</v>
      </c>
      <c r="D361" s="5" t="str">
        <f ca="1">IFERROR(__xludf.DUMMYFUNCTION("GOOGLETRANSLATE(B361,""ja"",""vi"")"),"Honda S800")</f>
        <v>Honda S800</v>
      </c>
      <c r="E361" s="5" t="str">
        <f ca="1">IFERROR(__xludf.DUMMYFUNCTION("GOOGLETRANSLATE(C361,""ja"",""vi"")"),"Đấu giá&gt; ô tô, xe máy&gt; ô tô cũ, ô tô mới&gt; Honda&gt; Honda S800")</f>
        <v>Đấu giá&gt; ô tô, xe máy&gt; ô tô cũ, ô tô mới&gt; Honda&gt; Honda S800</v>
      </c>
      <c r="F361" t="str">
        <f t="shared" ca="1" si="5"/>
        <v>"2084204920" : "Honda S800",</v>
      </c>
    </row>
    <row r="362" spans="1:6" ht="15.75" customHeight="1">
      <c r="A362" s="18">
        <v>2084049129</v>
      </c>
      <c r="B362" s="18" t="s">
        <v>10639</v>
      </c>
      <c r="C362" s="18" t="s">
        <v>10640</v>
      </c>
      <c r="D362" s="5" t="str">
        <f ca="1">IFERROR(__xludf.DUMMYFUNCTION("GOOGLETRANSLATE(B362,""ja"",""vi"")"),"Mobilio")</f>
        <v>Mobilio</v>
      </c>
      <c r="E362" s="5" t="str">
        <f ca="1">IFERROR(__xludf.DUMMYFUNCTION("GOOGLETRANSLATE(C362,""ja"",""vi"")"),"Đấu giá&gt; ô tô, xe máy&gt; ô tô cũ, ô tô mới&gt; Honda&gt; Mobilio")</f>
        <v>Đấu giá&gt; ô tô, xe máy&gt; ô tô cũ, ô tô mới&gt; Honda&gt; Mobilio</v>
      </c>
      <c r="F362" t="str">
        <f t="shared" ca="1" si="5"/>
        <v>"2084049129" : "Mobilio",</v>
      </c>
    </row>
    <row r="363" spans="1:6" ht="15.75" customHeight="1">
      <c r="A363" s="18">
        <v>2084051739</v>
      </c>
      <c r="B363" s="18" t="s">
        <v>10644</v>
      </c>
      <c r="C363" s="18" t="s">
        <v>10645</v>
      </c>
      <c r="D363" s="5" t="str">
        <f ca="1">IFERROR(__xludf.DUMMYFUNCTION("GOOGLETRANSLATE(B363,""ja"",""vi"")"),"Mobilio Spike")</f>
        <v>Mobilio Spike</v>
      </c>
      <c r="E363" s="5" t="str">
        <f ca="1">IFERROR(__xludf.DUMMYFUNCTION("GOOGLETRANSLATE(C363,""ja"",""vi"")"),"Đấu giá&gt; ô tô, xe máy&gt; ô tô cũ, ô tô mới&gt; Honda&gt; Mobilio Spike")</f>
        <v>Đấu giá&gt; ô tô, xe máy&gt; ô tô cũ, ô tô mới&gt; Honda&gt; Mobilio Spike</v>
      </c>
      <c r="F363" t="str">
        <f t="shared" ca="1" si="5"/>
        <v>"2084051739" : "Mobilio Spike",</v>
      </c>
    </row>
    <row r="364" spans="1:6" ht="15.75" customHeight="1">
      <c r="A364" s="18">
        <v>2084023037</v>
      </c>
      <c r="B364" s="18" t="s">
        <v>10648</v>
      </c>
      <c r="C364" s="18" t="s">
        <v>10650</v>
      </c>
      <c r="D364" s="5" t="str">
        <f ca="1">IFERROR(__xludf.DUMMYFUNCTION("GOOGLETRANSLATE(B364,""ja"",""vi"")"),"đời sống")</f>
        <v>đời sống</v>
      </c>
      <c r="E364" s="5" t="str">
        <f ca="1">IFERROR(__xludf.DUMMYFUNCTION("GOOGLETRANSLATE(C364,""ja"",""vi"")"),"Đấu giá&gt; ô tô, xe máy&gt; ô tô cũ, ô tô mới&gt; Honda&gt; Cuộc sống")</f>
        <v>Đấu giá&gt; ô tô, xe máy&gt; ô tô cũ, ô tô mới&gt; Honda&gt; Cuộc sống</v>
      </c>
      <c r="F364" t="str">
        <f t="shared" ca="1" si="5"/>
        <v>"2084023037" : "đời sống",</v>
      </c>
    </row>
    <row r="365" spans="1:6" ht="15.75" customHeight="1">
      <c r="A365" s="18">
        <v>2084049130</v>
      </c>
      <c r="B365" s="18" t="s">
        <v>10654</v>
      </c>
      <c r="C365" s="18" t="s">
        <v>10656</v>
      </c>
      <c r="D365" s="5" t="str">
        <f ca="1">IFERROR(__xludf.DUMMYFUNCTION("GOOGLETRANSLATE(B365,""ja"",""vi"")"),"Cuộc sống Dunk")</f>
        <v>Cuộc sống Dunk</v>
      </c>
      <c r="E365" s="5" t="str">
        <f ca="1">IFERROR(__xludf.DUMMYFUNCTION("GOOGLETRANSLATE(C365,""ja"",""vi"")"),"Đấu giá&gt; ô tô, xe máy&gt; ô tô cũ, ô tô mới&gt; Honda&gt; Cuộc sống Dunk")</f>
        <v>Đấu giá&gt; ô tô, xe máy&gt; ô tô cũ, ô tô mới&gt; Honda&gt; Cuộc sống Dunk</v>
      </c>
      <c r="F365" t="str">
        <f t="shared" ca="1" si="5"/>
        <v>"2084049130" : "Cuộc sống Dunk",</v>
      </c>
    </row>
    <row r="366" spans="1:6" ht="15.75" customHeight="1">
      <c r="A366" s="18">
        <v>2084299538</v>
      </c>
      <c r="B366" s="18" t="s">
        <v>10660</v>
      </c>
      <c r="C366" s="18" t="s">
        <v>10662</v>
      </c>
      <c r="D366" s="5" t="str">
        <f ca="1">IFERROR(__xludf.DUMMYFUNCTION("GOOGLETRANSLATE(B366,""ja"",""vi"")"),"Cuộc sống Tiba")</f>
        <v>Cuộc sống Tiba</v>
      </c>
      <c r="E366" s="5" t="str">
        <f ca="1">IFERROR(__xludf.DUMMYFUNCTION("GOOGLETRANSLATE(C366,""ja"",""vi"")"),"Đấu giá&gt; ô tô, xe máy&gt; ô tô cũ, ô tô mới&gt; Honda&gt; Cuộc sống Tiba")</f>
        <v>Đấu giá&gt; ô tô, xe máy&gt; ô tô cũ, ô tô mới&gt; Honda&gt; Cuộc sống Tiba</v>
      </c>
      <c r="F366" t="str">
        <f t="shared" ca="1" si="5"/>
        <v>"2084299538" : "Cuộc sống Tiba",</v>
      </c>
    </row>
    <row r="367" spans="1:6" ht="15.75" customHeight="1">
      <c r="A367" s="18">
        <v>2084023039</v>
      </c>
      <c r="B367" s="18" t="s">
        <v>10665</v>
      </c>
      <c r="C367" s="18" t="s">
        <v>10666</v>
      </c>
      <c r="D367" s="5" t="str">
        <f ca="1">IFERROR(__xludf.DUMMYFUNCTION("GOOGLETRANSLATE(B367,""ja"",""vi"")"),"Ragureito")</f>
        <v>Ragureito</v>
      </c>
      <c r="E367" s="5" t="str">
        <f ca="1">IFERROR(__xludf.DUMMYFUNCTION("GOOGLETRANSLATE(C367,""ja"",""vi"")"),"Đấu giá&gt; ô tô, xe máy&gt; ô tô cũ, ô tô mới&gt; Honda&gt; Ragureito")</f>
        <v>Đấu giá&gt; ô tô, xe máy&gt; ô tô cũ, ô tô mới&gt; Honda&gt; Ragureito</v>
      </c>
      <c r="F367" t="str">
        <f t="shared" ca="1" si="5"/>
        <v>"2084023039" : "Ragureito",</v>
      </c>
    </row>
    <row r="368" spans="1:6" ht="15.75" customHeight="1">
      <c r="A368" s="18">
        <v>2084023040</v>
      </c>
      <c r="B368" s="18" t="s">
        <v>10670</v>
      </c>
      <c r="C368" s="18" t="s">
        <v>10672</v>
      </c>
      <c r="D368" s="5" t="str">
        <f ca="1">IFERROR(__xludf.DUMMYFUNCTION("GOOGLETRANSLATE(B368,""ja"",""vi"")"),"huyền thoại")</f>
        <v>huyền thoại</v>
      </c>
      <c r="E368" s="5" t="str">
        <f ca="1">IFERROR(__xludf.DUMMYFUNCTION("GOOGLETRANSLATE(C368,""ja"",""vi"")"),"Đấu giá&gt; ô tô, xe máy&gt; ô tô cũ, ô tô mới&gt; Honda&gt; Truyền thuyết")</f>
        <v>Đấu giá&gt; ô tô, xe máy&gt; ô tô cũ, ô tô mới&gt; Honda&gt; Truyền thuyết</v>
      </c>
      <c r="F368" t="str">
        <f t="shared" ca="1" si="5"/>
        <v>"2084023040" : "huyền thoại",</v>
      </c>
    </row>
    <row r="369" spans="1:6" ht="15.75" customHeight="1">
      <c r="A369" s="18">
        <v>2084023041</v>
      </c>
      <c r="B369" s="18" t="s">
        <v>10676</v>
      </c>
      <c r="C369" s="18" t="s">
        <v>10678</v>
      </c>
      <c r="D369" s="5" t="str">
        <f ca="1">IFERROR(__xludf.DUMMYFUNCTION("GOOGLETRANSLATE(B369,""ja"",""vi"")"),"Logo")</f>
        <v>Logo</v>
      </c>
      <c r="E369" s="5" t="str">
        <f ca="1">IFERROR(__xludf.DUMMYFUNCTION("GOOGLETRANSLATE(C369,""ja"",""vi"")"),"Đấu giá&gt; ô tô, xe máy&gt; ô tô cũ, ô tô mới&gt; Honda&gt; Logo")</f>
        <v>Đấu giá&gt; ô tô, xe máy&gt; ô tô cũ, ô tô mới&gt; Honda&gt; Logo</v>
      </c>
      <c r="F369" t="str">
        <f t="shared" ca="1" si="5"/>
        <v>"2084023041" : "Logo",</v>
      </c>
    </row>
    <row r="370" spans="1:6" ht="15.75" customHeight="1">
      <c r="A370" s="18">
        <v>2084315403</v>
      </c>
      <c r="B370" s="18" t="s">
        <v>10685</v>
      </c>
      <c r="C370" s="18" t="s">
        <v>10687</v>
      </c>
      <c r="D370" s="5" t="str">
        <f ca="1">IFERROR(__xludf.DUMMYFUNCTION("GOOGLETRANSLATE(B370,""ja"",""vi"")"),"Vezeru")</f>
        <v>Vezeru</v>
      </c>
      <c r="E370" s="5" t="str">
        <f ca="1">IFERROR(__xludf.DUMMYFUNCTION("GOOGLETRANSLATE(C370,""ja"",""vi"")"),"Đấu giá&gt; ô tô, xe máy&gt; ô tô cũ, ô tô mới&gt; Honda&gt; Vezeru")</f>
        <v>Đấu giá&gt; ô tô, xe máy&gt; ô tô cũ, ô tô mới&gt; Honda&gt; Vezeru</v>
      </c>
      <c r="F370" t="str">
        <f t="shared" ca="1" si="5"/>
        <v>"2084315403" : "Vezeru",</v>
      </c>
    </row>
    <row r="371" spans="1:6" ht="15.75" customHeight="1">
      <c r="A371" s="18">
        <v>2084315404</v>
      </c>
      <c r="B371" s="18" t="s">
        <v>10690</v>
      </c>
      <c r="C371" s="18" t="s">
        <v>10691</v>
      </c>
      <c r="D371" s="5" t="str">
        <f ca="1">IFERROR(__xludf.DUMMYFUNCTION("GOOGLETRANSLATE(B371,""ja"",""vi"")"),"Gothenburg, hybrid diesel")</f>
        <v>Gothenburg, hybrid diesel</v>
      </c>
      <c r="E371" s="5" t="str">
        <f ca="1">IFERROR(__xludf.DUMMYFUNCTION("GOOGLETRANSLATE(C371,""ja"",""vi"")"),"Đấu giá&gt; ô tô, xe máy&gt; ô tô cũ, ô tô mới&gt; Honda&gt; Gothenburg, hybrid diesel")</f>
        <v>Đấu giá&gt; ô tô, xe máy&gt; ô tô cũ, ô tô mới&gt; Honda&gt; Gothenburg, hybrid diesel</v>
      </c>
      <c r="F371" t="str">
        <f t="shared" ca="1" si="5"/>
        <v>"2084315404" : "Gothenburg, hybrid diesel",</v>
      </c>
    </row>
    <row r="372" spans="1:6" ht="15.75" customHeight="1">
      <c r="A372" s="18">
        <v>2084023049</v>
      </c>
      <c r="B372" s="18" t="s">
        <v>46</v>
      </c>
      <c r="C372" s="18" t="s">
        <v>10697</v>
      </c>
      <c r="D372" s="5" t="str">
        <f ca="1">IFERROR(__xludf.DUMMYFUNCTION("GOOGLETRANSLATE(B372,""ja"",""vi"")"),"nếu không thì")</f>
        <v>nếu không thì</v>
      </c>
      <c r="E372" s="5" t="str">
        <f ca="1">IFERROR(__xludf.DUMMYFUNCTION("GOOGLETRANSLATE(C372,""ja"",""vi"")"),"Đấu giá&gt; ô tô, xe máy&gt; ô tô cũ, ô tô mới&gt; Honda&gt; Khác")</f>
        <v>Đấu giá&gt; ô tô, xe máy&gt; ô tô cũ, ô tô mới&gt; Honda&gt; Khác</v>
      </c>
      <c r="F372" t="str">
        <f t="shared" ca="1" si="5"/>
        <v>"2084023049" : "nếu không thì",</v>
      </c>
    </row>
    <row r="373" spans="1:6" ht="15.75" customHeight="1">
      <c r="A373" s="18">
        <v>2084049139</v>
      </c>
      <c r="B373" s="18" t="s">
        <v>10702</v>
      </c>
      <c r="C373" s="18" t="s">
        <v>10703</v>
      </c>
      <c r="D373" s="5" t="str">
        <f ca="1">IFERROR(__xludf.DUMMYFUNCTION("GOOGLETRANSLATE(B373,""ja"",""vi"")"),"AZ-1")</f>
        <v>AZ-1</v>
      </c>
      <c r="E373" s="5" t="str">
        <f ca="1">IFERROR(__xludf.DUMMYFUNCTION("GOOGLETRANSLATE(C373,""ja"",""vi"")"),"Đấu giá&gt; ô tô, xe máy&gt; ô tô cũ, ô tô mới&gt; Mazda&gt; AZ-1")</f>
        <v>Đấu giá&gt; ô tô, xe máy&gt; ô tô cũ, ô tô mới&gt; Mazda&gt; AZ-1</v>
      </c>
      <c r="F373" t="str">
        <f t="shared" ca="1" si="5"/>
        <v>"2084049139" : "AZ-1",</v>
      </c>
    </row>
    <row r="374" spans="1:6" ht="15.75" customHeight="1">
      <c r="A374" s="18">
        <v>2084204888</v>
      </c>
      <c r="B374" s="18" t="s">
        <v>10708</v>
      </c>
      <c r="C374" s="18" t="s">
        <v>10710</v>
      </c>
      <c r="D374" s="5" t="str">
        <f ca="1">IFERROR(__xludf.DUMMYFUNCTION("GOOGLETRANSLATE(B374,""ja"",""vi"")"),"AZ-3")</f>
        <v>AZ-3</v>
      </c>
      <c r="E374" s="5" t="str">
        <f ca="1">IFERROR(__xludf.DUMMYFUNCTION("GOOGLETRANSLATE(C374,""ja"",""vi"")"),"Đấu giá&gt; ô tô, xe máy&gt; ô tô cũ, ô tô mới&gt; Mazda&gt; AZ-3")</f>
        <v>Đấu giá&gt; ô tô, xe máy&gt; ô tô cũ, ô tô mới&gt; Mazda&gt; AZ-3</v>
      </c>
      <c r="F374" t="str">
        <f t="shared" ca="1" si="5"/>
        <v>"2084204888" : "AZ-3",</v>
      </c>
    </row>
    <row r="375" spans="1:6" ht="15.75" customHeight="1">
      <c r="A375" s="18">
        <v>2084204921</v>
      </c>
      <c r="B375" s="18" t="s">
        <v>10713</v>
      </c>
      <c r="C375" s="18" t="s">
        <v>10714</v>
      </c>
      <c r="D375" s="5" t="str">
        <f ca="1">IFERROR(__xludf.DUMMYFUNCTION("GOOGLETRANSLATE(B375,""ja"",""vi"")"),"AZ- off-road")</f>
        <v>AZ- off-road</v>
      </c>
      <c r="E375" s="5" t="str">
        <f ca="1">IFERROR(__xludf.DUMMYFUNCTION("GOOGLETRANSLATE(C375,""ja"",""vi"")"),"Đấu giá&gt; ô tô, xe máy&gt; ô tô cũ, ô tô mới&gt; Mazda&gt; AZ- off-road")</f>
        <v>Đấu giá&gt; ô tô, xe máy&gt; ô tô cũ, ô tô mới&gt; Mazda&gt; AZ- off-road</v>
      </c>
      <c r="F375" t="str">
        <f t="shared" ca="1" si="5"/>
        <v>"2084204921" : "AZ- off-road",</v>
      </c>
    </row>
    <row r="376" spans="1:6" ht="15.75" customHeight="1">
      <c r="A376" s="18">
        <v>2084048064</v>
      </c>
      <c r="B376" s="18" t="s">
        <v>10719</v>
      </c>
      <c r="C376" s="18" t="s">
        <v>10720</v>
      </c>
      <c r="D376" s="5" t="str">
        <f ca="1">IFERROR(__xludf.DUMMYFUNCTION("GOOGLETRANSLATE(B376,""ja"",""vi"")"),"AZ- Wagon")</f>
        <v>AZ- Wagon</v>
      </c>
      <c r="E376" s="5" t="str">
        <f ca="1">IFERROR(__xludf.DUMMYFUNCTION("GOOGLETRANSLATE(C376,""ja"",""vi"")"),"Đấu giá&gt; ô tô, xe máy&gt; ô tô cũ, ô tô mới&gt; Mazda&gt; AZ- Wagon")</f>
        <v>Đấu giá&gt; ô tô, xe máy&gt; ô tô cũ, ô tô mới&gt; Mazda&gt; AZ- Wagon</v>
      </c>
      <c r="F376" t="str">
        <f t="shared" ca="1" si="5"/>
        <v>"2084048064" : "AZ- Wagon",</v>
      </c>
    </row>
    <row r="377" spans="1:6" ht="15.75" customHeight="1">
      <c r="A377" s="18">
        <v>2084315406</v>
      </c>
      <c r="B377" s="18" t="s">
        <v>10725</v>
      </c>
      <c r="C377" s="18" t="s">
        <v>10726</v>
      </c>
      <c r="D377" s="5" t="str">
        <f ca="1">IFERROR(__xludf.DUMMYFUNCTION("GOOGLETRANSLATE(B377,""ja"",""vi"")"),"CX-5")</f>
        <v>CX-5</v>
      </c>
      <c r="E377" s="5" t="str">
        <f ca="1">IFERROR(__xludf.DUMMYFUNCTION("GOOGLETRANSLATE(C377,""ja"",""vi"")"),"Đấu giá&gt; ô tô, xe máy&gt; ô tô cũ, ô tô mới&gt; Mazda&gt; CX-5")</f>
        <v>Đấu giá&gt; ô tô, xe máy&gt; ô tô cũ, ô tô mới&gt; Mazda&gt; CX-5</v>
      </c>
      <c r="F377" t="str">
        <f t="shared" ca="1" si="5"/>
        <v>"2084315406" : "CX-5",</v>
      </c>
    </row>
    <row r="378" spans="1:6" ht="15.75" customHeight="1">
      <c r="A378" s="18">
        <v>2084231246</v>
      </c>
      <c r="B378" s="18" t="s">
        <v>10731</v>
      </c>
      <c r="C378" s="18" t="s">
        <v>10732</v>
      </c>
      <c r="D378" s="5" t="str">
        <f ca="1">IFERROR(__xludf.DUMMYFUNCTION("GOOGLETRANSLATE(B378,""ja"",""vi"")"),"CX-7")</f>
        <v>CX-7</v>
      </c>
      <c r="E378" s="5" t="str">
        <f ca="1">IFERROR(__xludf.DUMMYFUNCTION("GOOGLETRANSLATE(C378,""ja"",""vi"")"),"Đấu giá&gt; ô tô, xe máy&gt; ô tô cũ, ô tô mới&gt; Mazda&gt; CX-7")</f>
        <v>Đấu giá&gt; ô tô, xe máy&gt; ô tô cũ, ô tô mới&gt; Mazda&gt; CX-7</v>
      </c>
      <c r="F378" t="str">
        <f t="shared" ca="1" si="5"/>
        <v>"2084231246" : "CX-7",</v>
      </c>
    </row>
    <row r="379" spans="1:6" ht="15.75" customHeight="1">
      <c r="A379" s="18">
        <v>2084048066</v>
      </c>
      <c r="B379" s="18" t="s">
        <v>10735</v>
      </c>
      <c r="C379" s="18" t="s">
        <v>10737</v>
      </c>
      <c r="D379" s="5" t="str">
        <f ca="1">IFERROR(__xludf.DUMMYFUNCTION("GOOGLETRANSLATE(B379,""ja"",""vi"")"),"MPV")</f>
        <v>MPV</v>
      </c>
      <c r="E379" s="5" t="str">
        <f ca="1">IFERROR(__xludf.DUMMYFUNCTION("GOOGLETRANSLATE(C379,""ja"",""vi"")"),"Đấu giá&gt; ô tô, xe máy&gt; ô tô cũ, ô tô mới&gt; Mazda&gt; MPV")</f>
        <v>Đấu giá&gt; ô tô, xe máy&gt; ô tô cũ, ô tô mới&gt; Mazda&gt; MPV</v>
      </c>
      <c r="F379" t="str">
        <f t="shared" ca="1" si="5"/>
        <v>"2084048066" : "MPV",</v>
      </c>
    </row>
    <row r="380" spans="1:6" ht="15.75" customHeight="1">
      <c r="A380" s="18">
        <v>2084204922</v>
      </c>
      <c r="B380" s="18" t="s">
        <v>10741</v>
      </c>
      <c r="C380" s="18" t="s">
        <v>10743</v>
      </c>
      <c r="D380" s="5" t="str">
        <f ca="1">IFERROR(__xludf.DUMMYFUNCTION("GOOGLETRANSLATE(B380,""ja"",""vi"")"),"MX-6")</f>
        <v>MX-6</v>
      </c>
      <c r="E380" s="5" t="str">
        <f ca="1">IFERROR(__xludf.DUMMYFUNCTION("GOOGLETRANSLATE(C380,""ja"",""vi"")"),"Đấu giá&gt; ô tô, xe máy&gt; ô tô cũ, ô tô mới&gt; Mazda&gt; MX-6")</f>
        <v>Đấu giá&gt; ô tô, xe máy&gt; ô tô cũ, ô tô mới&gt; Mazda&gt; MX-6</v>
      </c>
      <c r="F380" t="str">
        <f t="shared" ca="1" si="5"/>
        <v>"2084204922" : "MX-6",</v>
      </c>
    </row>
    <row r="381" spans="1:6" ht="15.75" customHeight="1">
      <c r="A381" s="18">
        <v>2084048068</v>
      </c>
      <c r="B381" s="18" t="s">
        <v>10745</v>
      </c>
      <c r="C381" s="18" t="s">
        <v>10748</v>
      </c>
      <c r="D381" s="5" t="str">
        <f ca="1">IFERROR(__xludf.DUMMYFUNCTION("GOOGLETRANSLATE(B381,""ja"",""vi"")"),"RX-7")</f>
        <v>RX-7</v>
      </c>
      <c r="E381" s="5" t="str">
        <f ca="1">IFERROR(__xludf.DUMMYFUNCTION("GOOGLETRANSLATE(C381,""ja"",""vi"")"),"Đấu giá&gt; ô tô, xe máy&gt; ô tô cũ, ô tô mới&gt; Mazda&gt; RX-7")</f>
        <v>Đấu giá&gt; ô tô, xe máy&gt; ô tô cũ, ô tô mới&gt; Mazda&gt; RX-7</v>
      </c>
      <c r="F381" t="str">
        <f t="shared" ca="1" si="5"/>
        <v>"2084048068" : "RX-7",</v>
      </c>
    </row>
    <row r="382" spans="1:6" ht="15.75" customHeight="1">
      <c r="A382" s="18">
        <v>2084054512</v>
      </c>
      <c r="B382" s="18" t="s">
        <v>10750</v>
      </c>
      <c r="C382" s="18" t="s">
        <v>10752</v>
      </c>
      <c r="D382" s="5" t="str">
        <f ca="1">IFERROR(__xludf.DUMMYFUNCTION("GOOGLETRANSLATE(B382,""ja"",""vi"")"),"RX-8")</f>
        <v>RX-8</v>
      </c>
      <c r="E382" s="5" t="str">
        <f ca="1">IFERROR(__xludf.DUMMYFUNCTION("GOOGLETRANSLATE(C382,""ja"",""vi"")"),"Đấu giá&gt; ô tô, xe máy&gt; ô tô cũ, ô tô mới&gt; Mazda&gt; RX-8")</f>
        <v>Đấu giá&gt; ô tô, xe máy&gt; ô tô cũ, ô tô mới&gt; Mazda&gt; RX-8</v>
      </c>
      <c r="F382" t="str">
        <f t="shared" ca="1" si="5"/>
        <v>"2084054512" : "RX-8",</v>
      </c>
    </row>
    <row r="383" spans="1:6" ht="15.75" customHeight="1">
      <c r="A383" s="18">
        <v>2084315448</v>
      </c>
      <c r="B383" s="18" t="s">
        <v>10755</v>
      </c>
      <c r="C383" s="18" t="s">
        <v>10756</v>
      </c>
      <c r="D383" s="5" t="str">
        <f ca="1">IFERROR(__xludf.DUMMYFUNCTION("GOOGLETRANSLATE(B383,""ja"",""vi"")"),"Axela Sport (hatchback)")</f>
        <v>Axela Sport (hatchback)</v>
      </c>
      <c r="E383" s="5" t="str">
        <f ca="1">IFERROR(__xludf.DUMMYFUNCTION("GOOGLETRANSLATE(C383,""ja"",""vi"")"),"Đấu giá&gt; ô tô, xe máy&gt; ô tô cũ, ô tô mới&gt; Mazda&gt; Axela Sport (hatchback)")</f>
        <v>Đấu giá&gt; ô tô, xe máy&gt; ô tô cũ, ô tô mới&gt; Mazda&gt; Axela Sport (hatchback)</v>
      </c>
      <c r="F383" t="str">
        <f t="shared" ca="1" si="5"/>
        <v>"2084315448" : "Axela Sport (hatchback)",</v>
      </c>
    </row>
    <row r="384" spans="1:6" ht="15.75" customHeight="1">
      <c r="A384" s="18">
        <v>2084315449</v>
      </c>
      <c r="B384" s="18" t="s">
        <v>10760</v>
      </c>
      <c r="C384" s="18" t="s">
        <v>10761</v>
      </c>
      <c r="D384" s="5" t="str">
        <f ca="1">IFERROR(__xludf.DUMMYFUNCTION("GOOGLETRANSLATE(B384,""ja"",""vi"")"),"Axela sedan")</f>
        <v>Axela sedan</v>
      </c>
      <c r="E384" s="5" t="str">
        <f ca="1">IFERROR(__xludf.DUMMYFUNCTION("GOOGLETRANSLATE(C384,""ja"",""vi"")"),"Đấu giá&gt; ô tô, xe máy&gt; ô tô cũ, ô tô mới&gt; Mazda&gt; Axela sedan")</f>
        <v>Đấu giá&gt; ô tô, xe máy&gt; ô tô cũ, ô tô mới&gt; Mazda&gt; Axela sedan</v>
      </c>
      <c r="F384" t="str">
        <f t="shared" ca="1" si="5"/>
        <v>"2084315449" : "Axela sedan",</v>
      </c>
    </row>
    <row r="385" spans="1:6" ht="15.75" customHeight="1">
      <c r="A385" s="18">
        <v>2084315450</v>
      </c>
      <c r="B385" s="18" t="s">
        <v>10767</v>
      </c>
      <c r="C385" s="18" t="s">
        <v>10769</v>
      </c>
      <c r="D385" s="5" t="str">
        <f ca="1">IFERROR(__xludf.DUMMYFUNCTION("GOOGLETRANSLATE(B385,""ja"",""vi"")"),"Acceleration lai")</f>
        <v>Acceleration lai</v>
      </c>
      <c r="E385" s="5" t="str">
        <f ca="1">IFERROR(__xludf.DUMMYFUNCTION("GOOGLETRANSLATE(C385,""ja"",""vi"")"),"Đấu giá&gt; ô tô, xe máy&gt; ô tô cũ, ô tô mới&gt; Mazda&gt; Axela lai")</f>
        <v>Đấu giá&gt; ô tô, xe máy&gt; ô tô cũ, ô tô mới&gt; Mazda&gt; Axela lai</v>
      </c>
      <c r="F385" t="str">
        <f t="shared" ca="1" si="5"/>
        <v>"2084315450" : "Acceleration lai",</v>
      </c>
    </row>
    <row r="386" spans="1:6" ht="15.75" customHeight="1">
      <c r="A386" s="18">
        <v>2084049140</v>
      </c>
      <c r="B386" s="18" t="s">
        <v>10773</v>
      </c>
      <c r="C386" s="18" t="s">
        <v>10774</v>
      </c>
      <c r="D386" s="5" t="str">
        <f ca="1">IFERROR(__xludf.DUMMYFUNCTION("GOOGLETRANSLATE(B386,""ja"",""vi"")"),"Atenza")</f>
        <v>Atenza</v>
      </c>
      <c r="E386" s="5" t="str">
        <f ca="1">IFERROR(__xludf.DUMMYFUNCTION("GOOGLETRANSLATE(C386,""ja"",""vi"")"),"Đấu giá&gt; ô tô, xe máy&gt; ô tô cũ, ô tô mới&gt; Mazda&gt; Atenza")</f>
        <v>Đấu giá&gt; ô tô, xe máy&gt; ô tô cũ, ô tô mới&gt; Mazda&gt; Atenza</v>
      </c>
      <c r="F386" t="str">
        <f t="shared" ref="F386:F449" ca="1" si="6">CONCATENATE(CHAR(34)&amp;"",A386,""&amp;CHAR(34)," : ", CHAR(34)&amp;"",D386,""&amp;CHAR(34),",")</f>
        <v>"2084049140" : "Atenza",</v>
      </c>
    </row>
    <row r="387" spans="1:6" ht="15.75" customHeight="1">
      <c r="A387" s="18">
        <v>2084243790</v>
      </c>
      <c r="B387" s="18" t="s">
        <v>10778</v>
      </c>
      <c r="C387" s="18" t="s">
        <v>10781</v>
      </c>
      <c r="D387" s="5" t="str">
        <f ca="1">IFERROR(__xludf.DUMMYFUNCTION("GOOGLETRANSLATE(B387,""ja"",""vi"")"),"Atenza thể thao")</f>
        <v>Atenza thể thao</v>
      </c>
      <c r="E387" s="5" t="str">
        <f ca="1">IFERROR(__xludf.DUMMYFUNCTION("GOOGLETRANSLATE(C387,""ja"",""vi"")"),"Đấu giá&gt; ô tô, xe máy&gt; ô tô cũ, ô tô mới&gt; Mazda&gt; Atenza Sport")</f>
        <v>Đấu giá&gt; ô tô, xe máy&gt; ô tô cũ, ô tô mới&gt; Mazda&gt; Atenza Sport</v>
      </c>
      <c r="F387" t="str">
        <f t="shared" ca="1" si="6"/>
        <v>"2084243790" : "Atenza thể thao",</v>
      </c>
    </row>
    <row r="388" spans="1:6" ht="15.75" customHeight="1">
      <c r="A388" s="18">
        <v>2084243791</v>
      </c>
      <c r="B388" s="18" t="s">
        <v>10785</v>
      </c>
      <c r="C388" s="18" t="s">
        <v>10786</v>
      </c>
      <c r="D388" s="5" t="str">
        <f ca="1">IFERROR(__xludf.DUMMYFUNCTION("GOOGLETRANSLATE(B388,""ja"",""vi"")"),"Atenza Sports Wagon")</f>
        <v>Atenza Sports Wagon</v>
      </c>
      <c r="E388" s="5" t="str">
        <f ca="1">IFERROR(__xludf.DUMMYFUNCTION("GOOGLETRANSLATE(C388,""ja"",""vi"")"),"Đấu giá&gt; ô tô, xe máy&gt; ô tô cũ, ô tô mới&gt; Mazda&gt; Atenza Sport Wagon")</f>
        <v>Đấu giá&gt; ô tô, xe máy&gt; ô tô cũ, ô tô mới&gt; Mazda&gt; Atenza Sport Wagon</v>
      </c>
      <c r="F388" t="str">
        <f t="shared" ca="1" si="6"/>
        <v>"2084243791" : "Atenza Sports Wagon",</v>
      </c>
    </row>
    <row r="389" spans="1:6" ht="15.75" customHeight="1">
      <c r="A389" s="18">
        <v>2084204923</v>
      </c>
      <c r="B389" s="18" t="s">
        <v>10790</v>
      </c>
      <c r="C389" s="18" t="s">
        <v>10792</v>
      </c>
      <c r="D389" s="5" t="str">
        <f ca="1">IFERROR(__xludf.DUMMYFUNCTION("GOOGLETRANSLATE(B389,""ja"",""vi"")"),"MS-6 Infini")</f>
        <v>MS-6 Infini</v>
      </c>
      <c r="E389" s="5" t="str">
        <f ca="1">IFERROR(__xludf.DUMMYFUNCTION("GOOGLETRANSLATE(C389,""ja"",""vi"")"),"Đấu giá&gt; ô tô, xe máy&gt; ô tô cũ, ô tô mới&gt; Mazda&gt; Infini MS-6")</f>
        <v>Đấu giá&gt; ô tô, xe máy&gt; ô tô cũ, ô tô mới&gt; Mazda&gt; Infini MS-6</v>
      </c>
      <c r="F389" t="str">
        <f t="shared" ca="1" si="6"/>
        <v>"2084204923" : "MS-6 Infini",</v>
      </c>
    </row>
    <row r="390" spans="1:6" ht="15.75" customHeight="1">
      <c r="A390" s="18">
        <v>2084049142</v>
      </c>
      <c r="B390" s="18" t="s">
        <v>10797</v>
      </c>
      <c r="C390" s="18" t="s">
        <v>10798</v>
      </c>
      <c r="D390" s="5" t="str">
        <f ca="1">IFERROR(__xludf.DUMMYFUNCTION("GOOGLETRANSLATE(B390,""ja"",""vi"")"),"MS-8 Infini")</f>
        <v>MS-8 Infini</v>
      </c>
      <c r="E390" s="5" t="str">
        <f ca="1">IFERROR(__xludf.DUMMYFUNCTION("GOOGLETRANSLATE(C390,""ja"",""vi"")"),"Đấu giá&gt; ô tô, xe máy&gt; ô tô cũ, ô tô mới&gt; Mazda&gt; Infini MS-8")</f>
        <v>Đấu giá&gt; ô tô, xe máy&gt; ô tô cũ, ô tô mới&gt; Mazda&gt; Infini MS-8</v>
      </c>
      <c r="F390" t="str">
        <f t="shared" ca="1" si="6"/>
        <v>"2084049142" : "MS-8 Infini",</v>
      </c>
    </row>
    <row r="391" spans="1:6" ht="15.75" customHeight="1">
      <c r="A391" s="18">
        <v>2084048067</v>
      </c>
      <c r="B391" s="18" t="s">
        <v>10803</v>
      </c>
      <c r="C391" s="18" t="s">
        <v>10805</v>
      </c>
      <c r="D391" s="5" t="str">
        <f ca="1">IFERROR(__xludf.DUMMYFUNCTION("GOOGLETRANSLATE(B391,""ja"",""vi"")"),"MS-9 Infini")</f>
        <v>MS-9 Infini</v>
      </c>
      <c r="E391" s="5" t="str">
        <f ca="1">IFERROR(__xludf.DUMMYFUNCTION("GOOGLETRANSLATE(C391,""ja"",""vi"")"),"Đấu giá&gt; ô tô, xe máy&gt; ô tô cũ, ô tô mới&gt; Mazda&gt; Infini MS-9")</f>
        <v>Đấu giá&gt; ô tô, xe máy&gt; ô tô cũ, ô tô mới&gt; Mazda&gt; Infini MS-9</v>
      </c>
      <c r="F391" t="str">
        <f t="shared" ca="1" si="6"/>
        <v>"2084048067" : "MS-9 Infini",</v>
      </c>
    </row>
    <row r="392" spans="1:6" ht="15.75" customHeight="1">
      <c r="A392" s="18">
        <v>2084048069</v>
      </c>
      <c r="B392" s="18" t="s">
        <v>10808</v>
      </c>
      <c r="C392" s="18" t="s">
        <v>10810</v>
      </c>
      <c r="D392" s="5" t="str">
        <f ca="1">IFERROR(__xludf.DUMMYFUNCTION("GOOGLETRANSLATE(B392,""ja"",""vi"")"),"Capella")</f>
        <v>Capella</v>
      </c>
      <c r="E392" s="5" t="str">
        <f ca="1">IFERROR(__xludf.DUMMYFUNCTION("GOOGLETRANSLATE(C392,""ja"",""vi"")"),"Đấu giá&gt; ô tô, xe máy&gt; ô tô cũ, ô tô mới&gt; Mazda&gt; Capella")</f>
        <v>Đấu giá&gt; ô tô, xe máy&gt; ô tô cũ, ô tô mới&gt; Mazda&gt; Capella</v>
      </c>
      <c r="F392" t="str">
        <f t="shared" ca="1" si="6"/>
        <v>"2084048069" : "Capella",</v>
      </c>
    </row>
    <row r="393" spans="1:6" ht="15.75" customHeight="1">
      <c r="A393" s="18">
        <v>2084048070</v>
      </c>
      <c r="B393" s="18" t="s">
        <v>10814</v>
      </c>
      <c r="C393" s="18" t="s">
        <v>10816</v>
      </c>
      <c r="D393" s="5" t="str">
        <f ca="1">IFERROR(__xludf.DUMMYFUNCTION("GOOGLETRANSLATE(B393,""ja"",""vi"")"),"Kaperakago, toa xe")</f>
        <v>Kaperakago, toa xe</v>
      </c>
      <c r="E393" s="5" t="str">
        <f ca="1">IFERROR(__xludf.DUMMYFUNCTION("GOOGLETRANSLATE(C393,""ja"",""vi"")"),"Đấu giá&gt; ô tô, xe máy&gt; ô tô cũ, ô tô mới&gt; Mazda&gt; Kaperakago, toa xe")</f>
        <v>Đấu giá&gt; ô tô, xe máy&gt; ô tô cũ, ô tô mới&gt; Mazda&gt; Kaperakago, toa xe</v>
      </c>
      <c r="F393" t="str">
        <f t="shared" ca="1" si="6"/>
        <v>"2084048070" : "Kaperakago, toa xe",</v>
      </c>
    </row>
    <row r="394" spans="1:6" ht="15.75" customHeight="1">
      <c r="A394" s="18">
        <v>2084048071</v>
      </c>
      <c r="B394" s="18" t="s">
        <v>10821</v>
      </c>
      <c r="C394" s="18" t="s">
        <v>10822</v>
      </c>
      <c r="D394" s="5" t="str">
        <f ca="1">IFERROR(__xludf.DUMMYFUNCTION("GOOGLETRANSLATE(B394,""ja"",""vi"")"),"chim sơn ca hót")</f>
        <v>chim sơn ca hót</v>
      </c>
      <c r="E394" s="5" t="str">
        <f ca="1">IFERROR(__xludf.DUMMYFUNCTION("GOOGLETRANSLATE(C394,""ja"",""vi"")"),"Đấu giá&gt; ô tô, xe máy&gt; ô tô cũ, ô tô mới&gt; Mazda&gt; Carol")</f>
        <v>Đấu giá&gt; ô tô, xe máy&gt; ô tô cũ, ô tô mới&gt; Mazda&gt; Carol</v>
      </c>
      <c r="F394" t="str">
        <f t="shared" ca="1" si="6"/>
        <v>"2084048071" : "chim sơn ca hót",</v>
      </c>
    </row>
    <row r="395" spans="1:6" ht="15.75" customHeight="1">
      <c r="A395" s="18">
        <v>2084204924</v>
      </c>
      <c r="B395" s="18" t="s">
        <v>10825</v>
      </c>
      <c r="C395" s="18" t="s">
        <v>10827</v>
      </c>
      <c r="D395" s="5" t="str">
        <f ca="1">IFERROR(__xludf.DUMMYFUNCTION("GOOGLETRANSLATE(B395,""ja"",""vi"")"),"Kronos")</f>
        <v>Kronos</v>
      </c>
      <c r="E395" s="5" t="str">
        <f ca="1">IFERROR(__xludf.DUMMYFUNCTION("GOOGLETRANSLATE(C395,""ja"",""vi"")"),"Đấu giá&gt; ô tô, xe máy&gt; ô tô cũ, ô tô mới&gt; Mazda&gt; Kronos")</f>
        <v>Đấu giá&gt; ô tô, xe máy&gt; ô tô cũ, ô tô mới&gt; Mazda&gt; Kronos</v>
      </c>
      <c r="F395" t="str">
        <f t="shared" ca="1" si="6"/>
        <v>"2084204924" : "Kronos",</v>
      </c>
    </row>
    <row r="396" spans="1:6" ht="15.75" customHeight="1">
      <c r="A396" s="18">
        <v>2084204925</v>
      </c>
      <c r="B396" s="18" t="s">
        <v>10833</v>
      </c>
      <c r="C396" s="18" t="s">
        <v>10835</v>
      </c>
      <c r="D396" s="5" t="str">
        <f ca="1">IFERROR(__xludf.DUMMYFUNCTION("GOOGLETRANSLATE(B396,""ja"",""vi"")"),"Cosmo thể thao")</f>
        <v>Cosmo thể thao</v>
      </c>
      <c r="E396" s="5" t="str">
        <f ca="1">IFERROR(__xludf.DUMMYFUNCTION("GOOGLETRANSLATE(C396,""ja"",""vi"")"),"Đấu giá&gt; ô tô, xe máy&gt; ô tô cũ, ô tô mới&gt; Mazda&gt; Cosmo thể thao")</f>
        <v>Đấu giá&gt; ô tô, xe máy&gt; ô tô cũ, ô tô mới&gt; Mazda&gt; Cosmo thể thao</v>
      </c>
      <c r="F396" t="str">
        <f t="shared" ca="1" si="6"/>
        <v>"2084204925" : "Cosmo thể thao",</v>
      </c>
    </row>
    <row r="397" spans="1:6" ht="15.75" customHeight="1">
      <c r="A397" s="18">
        <v>2084049144</v>
      </c>
      <c r="B397" s="18" t="s">
        <v>10839</v>
      </c>
      <c r="C397" s="18" t="s">
        <v>10841</v>
      </c>
      <c r="D397" s="5" t="str">
        <f ca="1">IFERROR(__xludf.DUMMYFUNCTION("GOOGLETRANSLATE(B397,""ja"",""vi"")"),"Savanna RX-7")</f>
        <v>Savanna RX-7</v>
      </c>
      <c r="E397" s="5" t="str">
        <f ca="1">IFERROR(__xludf.DUMMYFUNCTION("GOOGLETRANSLATE(C397,""ja"",""vi"")"),"Đấu giá&gt; ô tô, xe máy&gt; ô tô cũ, ô tô mới&gt; Mazda&gt; Savanna RX-7")</f>
        <v>Đấu giá&gt; ô tô, xe máy&gt; ô tô cũ, ô tô mới&gt; Mazda&gt; Savanna RX-7</v>
      </c>
      <c r="F397" t="str">
        <f t="shared" ca="1" si="6"/>
        <v>"2084049144" : "Savanna RX-7",</v>
      </c>
    </row>
    <row r="398" spans="1:6" ht="15.75" customHeight="1">
      <c r="A398" s="18">
        <v>2084204889</v>
      </c>
      <c r="B398" s="18" t="s">
        <v>10845</v>
      </c>
      <c r="C398" s="18" t="s">
        <v>10847</v>
      </c>
      <c r="D398" s="5" t="str">
        <f ca="1">IFERROR(__xludf.DUMMYFUNCTION("GOOGLETRANSLATE(B398,""ja"",""vi"")"),"ống sáo")</f>
        <v>ống sáo</v>
      </c>
      <c r="E398" s="5" t="str">
        <f ca="1">IFERROR(__xludf.DUMMYFUNCTION("GOOGLETRANSLATE(C398,""ja"",""vi"")"),"Đấu giá&gt; ô tô, xe máy&gt; ô tô cũ, ô tô mới&gt; Mazda&gt; Chanter")</f>
        <v>Đấu giá&gt; ô tô, xe máy&gt; ô tô cũ, ô tô mới&gt; Mazda&gt; Chanter</v>
      </c>
      <c r="F398" t="str">
        <f t="shared" ca="1" si="6"/>
        <v>"2084204889" : "ống sáo",</v>
      </c>
    </row>
    <row r="399" spans="1:6" ht="15.75" customHeight="1">
      <c r="A399" s="18">
        <v>2084049145</v>
      </c>
      <c r="B399" s="18" t="s">
        <v>10853</v>
      </c>
      <c r="C399" s="18" t="s">
        <v>10854</v>
      </c>
      <c r="D399" s="5" t="str">
        <f ca="1">IFERROR(__xludf.DUMMYFUNCTION("GOOGLETRANSLATE(B399,""ja"",""vi"")"),"cuộc đánh nhau")</f>
        <v>cuộc đánh nhau</v>
      </c>
      <c r="E399" s="5" t="str">
        <f ca="1">IFERROR(__xludf.DUMMYFUNCTION("GOOGLETRANSLATE(C399,""ja"",""vi"")"),"Đấu giá&gt; ô tô, xe máy&gt; ô tô cũ, ô tô mới&gt; Mazda&gt; Scrum")</f>
        <v>Đấu giá&gt; ô tô, xe máy&gt; ô tô cũ, ô tô mới&gt; Mazda&gt; Scrum</v>
      </c>
      <c r="F399" t="str">
        <f t="shared" ca="1" si="6"/>
        <v>"2084049145" : "cuộc đánh nhau",</v>
      </c>
    </row>
    <row r="400" spans="1:6" ht="15.75" customHeight="1">
      <c r="A400" s="18">
        <v>2084049146</v>
      </c>
      <c r="B400" s="18" t="s">
        <v>10858</v>
      </c>
      <c r="C400" s="18" t="s">
        <v>10860</v>
      </c>
      <c r="D400" s="5" t="str">
        <f ca="1">IFERROR(__xludf.DUMMYFUNCTION("GOOGLETRANSLATE(B400,""ja"",""vi"")"),"Spiano")</f>
        <v>Spiano</v>
      </c>
      <c r="E400" s="5" t="str">
        <f ca="1">IFERROR(__xludf.DUMMYFUNCTION("GOOGLETRANSLATE(C400,""ja"",""vi"")"),"Đấu giá&gt; ô tô, xe máy&gt; ô tô cũ, ô tô mới&gt; Mazda&gt; Spiano")</f>
        <v>Đấu giá&gt; ô tô, xe máy&gt; ô tô cũ, ô tô mới&gt; Mazda&gt; Spiano</v>
      </c>
      <c r="F400" t="str">
        <f t="shared" ca="1" si="6"/>
        <v>"2084049146" : "Spiano",</v>
      </c>
    </row>
    <row r="401" spans="1:6" ht="15.75" customHeight="1">
      <c r="A401" s="18">
        <v>2084048072</v>
      </c>
      <c r="B401" s="18" t="s">
        <v>10864</v>
      </c>
      <c r="C401" s="18" t="s">
        <v>10866</v>
      </c>
      <c r="D401" s="5" t="str">
        <f ca="1">IFERROR(__xludf.DUMMYFUNCTION("GOOGLETRANSLATE(B401,""ja"",""vi"")"),"Sentia")</f>
        <v>Sentia</v>
      </c>
      <c r="E401" s="5" t="str">
        <f ca="1">IFERROR(__xludf.DUMMYFUNCTION("GOOGLETRANSLATE(C401,""ja"",""vi"")"),"Đấu giá&gt; ô tô, xe máy&gt; ô tô cũ, ô tô mới&gt; Mazda&gt; Sentia")</f>
        <v>Đấu giá&gt; ô tô, xe máy&gt; ô tô cũ, ô tô mới&gt; Mazda&gt; Sentia</v>
      </c>
      <c r="F401" t="str">
        <f t="shared" ca="1" si="6"/>
        <v>"2084048072" : "Sentia",</v>
      </c>
    </row>
    <row r="402" spans="1:6" ht="15.75" customHeight="1">
      <c r="A402" s="18">
        <v>2084049147</v>
      </c>
      <c r="B402" s="18" t="s">
        <v>10870</v>
      </c>
      <c r="C402" s="18" t="s">
        <v>10872</v>
      </c>
      <c r="D402" s="5" t="str">
        <f ca="1">IFERROR(__xludf.DUMMYFUNCTION("GOOGLETRANSLATE(B402,""ja"",""vi"")"),"Titan")</f>
        <v>Titan</v>
      </c>
      <c r="E402" s="5" t="str">
        <f ca="1">IFERROR(__xludf.DUMMYFUNCTION("GOOGLETRANSLATE(C402,""ja"",""vi"")"),"Đấu giá&gt; ô tô, xe máy&gt; ô tô cũ, ô tô mới&gt; Mazda&gt; Titan")</f>
        <v>Đấu giá&gt; ô tô, xe máy&gt; ô tô cũ, ô tô mới&gt; Mazda&gt; Titan</v>
      </c>
      <c r="F402" t="str">
        <f t="shared" ca="1" si="6"/>
        <v>"2084049147" : "Titan",</v>
      </c>
    </row>
    <row r="403" spans="1:6" ht="15.75" customHeight="1">
      <c r="A403" s="18">
        <v>2084048073</v>
      </c>
      <c r="B403" s="18" t="s">
        <v>10875</v>
      </c>
      <c r="C403" s="18" t="s">
        <v>10878</v>
      </c>
      <c r="D403" s="5" t="str">
        <f ca="1">IFERROR(__xludf.DUMMYFUNCTION("GOOGLETRANSLATE(B403,""ja"",""vi"")"),"Demio")</f>
        <v>Demio</v>
      </c>
      <c r="E403" s="5" t="str">
        <f ca="1">IFERROR(__xludf.DUMMYFUNCTION("GOOGLETRANSLATE(C403,""ja"",""vi"")"),"Đấu giá&gt; ô tô, xe máy&gt; ô tô cũ, ô tô mới&gt; Mazda&gt; Demio")</f>
        <v>Đấu giá&gt; ô tô, xe máy&gt; ô tô cũ, ô tô mới&gt; Mazda&gt; Demio</v>
      </c>
      <c r="F403" t="str">
        <f t="shared" ca="1" si="6"/>
        <v>"2084048073" : "Demio",</v>
      </c>
    </row>
    <row r="404" spans="1:6" ht="15.75" customHeight="1">
      <c r="A404" s="18">
        <v>2084049148</v>
      </c>
      <c r="B404" s="18" t="s">
        <v>10881</v>
      </c>
      <c r="C404" s="18" t="s">
        <v>10884</v>
      </c>
      <c r="D404" s="5" t="str">
        <f ca="1">IFERROR(__xludf.DUMMYFUNCTION("GOOGLETRANSLATE(B404,""ja"",""vi"")"),"cống vật")</f>
        <v>cống vật</v>
      </c>
      <c r="E404" s="5" t="str">
        <f ca="1">IFERROR(__xludf.DUMMYFUNCTION("GOOGLETRANSLATE(C404,""ja"",""vi"")"),"Đấu giá&gt; ô tô, xe máy&gt; ô tô cũ, ô tô mới&gt; Mazda&gt; Tribute")</f>
        <v>Đấu giá&gt; ô tô, xe máy&gt; ô tô cũ, ô tô mới&gt; Mazda&gt; Tribute</v>
      </c>
      <c r="F404" t="str">
        <f t="shared" ca="1" si="6"/>
        <v>"2084049148" : "cống vật",</v>
      </c>
    </row>
    <row r="405" spans="1:6" ht="15.75" customHeight="1">
      <c r="A405" s="18">
        <v>2084299556</v>
      </c>
      <c r="B405" s="18" t="s">
        <v>10889</v>
      </c>
      <c r="C405" s="18" t="s">
        <v>10891</v>
      </c>
      <c r="D405" s="5" t="str">
        <f ca="1">IFERROR(__xludf.DUMMYFUNCTION("GOOGLETRANSLATE(B405,""ja"",""vi"")"),"Biante")</f>
        <v>Biante</v>
      </c>
      <c r="E405" s="5" t="str">
        <f ca="1">IFERROR(__xludf.DUMMYFUNCTION("GOOGLETRANSLATE(C405,""ja"",""vi"")"),"Đấu giá&gt; ô tô, xe máy&gt; ô tô cũ, ô tô mới&gt; Mazda&gt; Biante")</f>
        <v>Đấu giá&gt; ô tô, xe máy&gt; ô tô cũ, ô tô mới&gt; Mazda&gt; Biante</v>
      </c>
      <c r="F405" t="str">
        <f t="shared" ca="1" si="6"/>
        <v>"2084299556" : "Biante",</v>
      </c>
    </row>
    <row r="406" spans="1:6" ht="15.75" customHeight="1">
      <c r="A406" s="18">
        <v>2084048074</v>
      </c>
      <c r="B406" s="18" t="s">
        <v>10895</v>
      </c>
      <c r="C406" s="18" t="s">
        <v>10897</v>
      </c>
      <c r="D406" s="5" t="str">
        <f ca="1">IFERROR(__xludf.DUMMYFUNCTION("GOOGLETRANSLATE(B406,""ja"",""vi"")"),"quen")</f>
        <v>quen</v>
      </c>
      <c r="E406" s="5" t="str">
        <f ca="1">IFERROR(__xludf.DUMMYFUNCTION("GOOGLETRANSLATE(C406,""ja"",""vi"")"),"Đấu giá&gt; ô tô, xe máy&gt; ô tô cũ, ô tô mới&gt; Mazda&gt; gia đình")</f>
        <v>Đấu giá&gt; ô tô, xe máy&gt; ô tô cũ, ô tô mới&gt; Mazda&gt; gia đình</v>
      </c>
      <c r="F406" t="str">
        <f t="shared" ca="1" si="6"/>
        <v>"2084048074" : "quen",</v>
      </c>
    </row>
    <row r="407" spans="1:6" ht="15.75" customHeight="1">
      <c r="A407" s="18">
        <v>2084048075</v>
      </c>
      <c r="B407" s="18" t="s">
        <v>10901</v>
      </c>
      <c r="C407" s="18" t="s">
        <v>10903</v>
      </c>
      <c r="D407" s="5" t="str">
        <f ca="1">IFERROR(__xludf.DUMMYFUNCTION("GOOGLETRANSLATE(B407,""ja"",""vi"")"),"Familia S-Wagon")</f>
        <v>Familia S-Wagon</v>
      </c>
      <c r="E407" s="5" t="str">
        <f ca="1">IFERROR(__xludf.DUMMYFUNCTION("GOOGLETRANSLATE(C407,""ja"",""vi"")"),"Đấu giá&gt; ô tô, xe máy&gt; ô tô cũ, ô tô mới&gt; Mazda&gt; gia đình S-Wagon")</f>
        <v>Đấu giá&gt; ô tô, xe máy&gt; ô tô cũ, ô tô mới&gt; Mazda&gt; gia đình S-Wagon</v>
      </c>
      <c r="F407" t="str">
        <f t="shared" ca="1" si="6"/>
        <v>"2084048075" : "Familia S-Wagon",</v>
      </c>
    </row>
    <row r="408" spans="1:6" ht="15.75" customHeight="1">
      <c r="A408" s="18">
        <v>2084315451</v>
      </c>
      <c r="B408" s="18" t="s">
        <v>10907</v>
      </c>
      <c r="C408" s="18" t="s">
        <v>10908</v>
      </c>
      <c r="D408" s="5" t="str">
        <f ca="1">IFERROR(__xludf.DUMMYFUNCTION("GOOGLETRANSLATE(B408,""ja"",""vi"")"),"chéo bùng phát")</f>
        <v>chéo bùng phát</v>
      </c>
      <c r="E408" s="5" t="str">
        <f ca="1">IFERROR(__xludf.DUMMYFUNCTION("GOOGLETRANSLATE(C408,""ja"",""vi"")"),"Đấu giá&gt; ô tô, xe máy&gt; ô tô cũ, ô tô mới&gt; Mazda&gt; chéo bùng phát")</f>
        <v>Đấu giá&gt; ô tô, xe máy&gt; ô tô cũ, ô tô mới&gt; Mazda&gt; chéo bùng phát</v>
      </c>
      <c r="F408" t="str">
        <f t="shared" ca="1" si="6"/>
        <v>"2084315451" : "chéo bùng phát",</v>
      </c>
    </row>
    <row r="409" spans="1:6" ht="15.75" customHeight="1">
      <c r="A409" s="18">
        <v>2084048076</v>
      </c>
      <c r="B409" s="18" t="s">
        <v>10916</v>
      </c>
      <c r="C409" s="18" t="s">
        <v>10918</v>
      </c>
      <c r="D409" s="5" t="str">
        <f ca="1">IFERROR(__xludf.DUMMYFUNCTION("GOOGLETRANSLATE(B409,""ja"",""vi"")"),"Premacy")</f>
        <v>Premacy</v>
      </c>
      <c r="E409" s="5" t="str">
        <f ca="1">IFERROR(__xludf.DUMMYFUNCTION("GOOGLETRANSLATE(C409,""ja"",""vi"")"),"Đấu giá&gt; ô tô, xe máy&gt; ô tô cũ, ô tô mới&gt; Mazda&gt; Premacy")</f>
        <v>Đấu giá&gt; ô tô, xe máy&gt; ô tô cũ, ô tô mới&gt; Mazda&gt; Premacy</v>
      </c>
      <c r="F409" t="str">
        <f t="shared" ca="1" si="6"/>
        <v>"2084048076" : "Premacy",</v>
      </c>
    </row>
    <row r="410" spans="1:6" ht="15.75" customHeight="1">
      <c r="A410" s="18">
        <v>2084049149</v>
      </c>
      <c r="B410" s="18" t="s">
        <v>10923</v>
      </c>
      <c r="C410" s="18" t="s">
        <v>10925</v>
      </c>
      <c r="D410" s="5" t="str">
        <f ca="1">IFERROR(__xludf.DUMMYFUNCTION("GOOGLETRANSLATE(B410,""ja"",""vi"")"),"Một tiến hành")</f>
        <v>Một tiến hành</v>
      </c>
      <c r="E410" s="5" t="str">
        <f ca="1">IFERROR(__xludf.DUMMYFUNCTION("GOOGLETRANSLATE(C410,""ja"",""vi"")"),"Đấu giá&gt; ô tô, xe máy&gt; ô tô cũ, ô tô mới&gt; Mazda&gt; a tiến hành")</f>
        <v>Đấu giá&gt; ô tô, xe máy&gt; ô tô cũ, ô tô mới&gt; Mazda&gt; a tiến hành</v>
      </c>
      <c r="F410" t="str">
        <f t="shared" ca="1" si="6"/>
        <v>"2084049149" : "Một tiến hành",</v>
      </c>
    </row>
    <row r="411" spans="1:6" ht="15.75" customHeight="1">
      <c r="A411" s="18">
        <v>2084049150</v>
      </c>
      <c r="B411" s="18" t="s">
        <v>10930</v>
      </c>
      <c r="C411" s="18" t="s">
        <v>10932</v>
      </c>
      <c r="D411" s="5" t="str">
        <f ca="1">IFERROR(__xludf.DUMMYFUNCTION("GOOGLETRANSLATE(B411,""ja"",""vi"")"),"hạt giống chuyên nghiệp Levante")</f>
        <v>hạt giống chuyên nghiệp Levante</v>
      </c>
      <c r="E411" s="5" t="str">
        <f ca="1">IFERROR(__xludf.DUMMYFUNCTION("GOOGLETRANSLATE(C411,""ja"",""vi"")"),"Đấu giá&gt; ô tô, xe máy&gt; ô tô cũ, ô tô mới&gt; Mazda&gt; hạt giống chuyên nghiệp Levante")</f>
        <v>Đấu giá&gt; ô tô, xe máy&gt; ô tô cũ, ô tô mới&gt; Mazda&gt; hạt giống chuyên nghiệp Levante</v>
      </c>
      <c r="F411" t="str">
        <f t="shared" ca="1" si="6"/>
        <v>"2084049150" : "hạt giống chuyên nghiệp Levante",</v>
      </c>
    </row>
    <row r="412" spans="1:6" ht="15.75" customHeight="1">
      <c r="A412" s="18">
        <v>2084057669</v>
      </c>
      <c r="B412" s="18" t="s">
        <v>10937</v>
      </c>
      <c r="C412" s="18" t="s">
        <v>10938</v>
      </c>
      <c r="D412" s="5" t="str">
        <f ca="1">IFERROR(__xludf.DUMMYFUNCTION("GOOGLETRANSLATE(B412,""ja"",""vi"")"),"Verisa")</f>
        <v>Verisa</v>
      </c>
      <c r="E412" s="5" t="str">
        <f ca="1">IFERROR(__xludf.DUMMYFUNCTION("GOOGLETRANSLATE(C412,""ja"",""vi"")"),"Đấu giá&gt; ô tô, xe máy&gt; ô tô cũ, ô tô mới&gt; Mazda&gt; Verisa")</f>
        <v>Đấu giá&gt; ô tô, xe máy&gt; ô tô cũ, ô tô mới&gt; Mazda&gt; Verisa</v>
      </c>
      <c r="F412" t="str">
        <f t="shared" ca="1" si="6"/>
        <v>"2084057669" : "Verisa",</v>
      </c>
    </row>
    <row r="413" spans="1:6" ht="15.75" customHeight="1">
      <c r="A413" s="18">
        <v>2084049151</v>
      </c>
      <c r="B413" s="18" t="s">
        <v>10943</v>
      </c>
      <c r="C413" s="18" t="s">
        <v>10944</v>
      </c>
      <c r="D413" s="5" t="str">
        <f ca="1">IFERROR(__xludf.DUMMYFUNCTION("GOOGLETRANSLATE(B413,""ja"",""vi"")"),"Bongo")</f>
        <v>Bongo</v>
      </c>
      <c r="E413" s="5" t="str">
        <f ca="1">IFERROR(__xludf.DUMMYFUNCTION("GOOGLETRANSLATE(C413,""ja"",""vi"")"),"Đấu giá&gt; ô tô, xe máy&gt; ô tô cũ, ô tô mới&gt; Mazda&gt; Bongo")</f>
        <v>Đấu giá&gt; ô tô, xe máy&gt; ô tô cũ, ô tô mới&gt; Mazda&gt; Bongo</v>
      </c>
      <c r="F413" t="str">
        <f t="shared" ca="1" si="6"/>
        <v>"2084049151" : "Bongo",</v>
      </c>
    </row>
    <row r="414" spans="1:6" ht="15.75" customHeight="1">
      <c r="A414" s="18">
        <v>2084048077</v>
      </c>
      <c r="B414" s="18" t="s">
        <v>10948</v>
      </c>
      <c r="C414" s="18" t="s">
        <v>10949</v>
      </c>
      <c r="D414" s="5" t="str">
        <f ca="1">IFERROR(__xludf.DUMMYFUNCTION("GOOGLETRANSLATE(B414,""ja"",""vi"")"),"Bongo Friendee")</f>
        <v>Bongo Friendee</v>
      </c>
      <c r="E414" s="5" t="str">
        <f ca="1">IFERROR(__xludf.DUMMYFUNCTION("GOOGLETRANSLATE(C414,""ja"",""vi"")"),"Đấu giá&gt; ô tô, xe máy&gt; ô tô cũ, ô tô mới&gt; Mazda&gt; Bongo Friendee")</f>
        <v>Đấu giá&gt; ô tô, xe máy&gt; ô tô cũ, ô tô mới&gt; Mazda&gt; Bongo Friendee</v>
      </c>
      <c r="F414" t="str">
        <f t="shared" ca="1" si="6"/>
        <v>"2084048077" : "Bongo Friendee",</v>
      </c>
    </row>
    <row r="415" spans="1:6" ht="15.75" customHeight="1">
      <c r="A415" s="18">
        <v>2084049152</v>
      </c>
      <c r="B415" s="18" t="s">
        <v>10953</v>
      </c>
      <c r="C415" s="18" t="s">
        <v>10954</v>
      </c>
      <c r="D415" s="5" t="str">
        <f ca="1">IFERROR(__xludf.DUMMYFUNCTION("GOOGLETRANSLATE(B415,""ja"",""vi"")"),"Bongo Buronii")</f>
        <v>Bongo Buronii</v>
      </c>
      <c r="E415" s="5" t="str">
        <f ca="1">IFERROR(__xludf.DUMMYFUNCTION("GOOGLETRANSLATE(C415,""ja"",""vi"")"),"Đấu giá&gt; ô tô, xe máy&gt; ô tô cũ, ô tô mới&gt; Mazda&gt; Bongo Buronii")</f>
        <v>Đấu giá&gt; ô tô, xe máy&gt; ô tô cũ, ô tô mới&gt; Mazda&gt; Bongo Buronii</v>
      </c>
      <c r="F415" t="str">
        <f t="shared" ca="1" si="6"/>
        <v>"2084049152" : "Bongo Buronii",</v>
      </c>
    </row>
    <row r="416" spans="1:6" ht="15.75" customHeight="1">
      <c r="A416" s="18">
        <v>2084053615</v>
      </c>
      <c r="B416" s="18" t="s">
        <v>10958</v>
      </c>
      <c r="C416" s="18" t="s">
        <v>10959</v>
      </c>
      <c r="D416" s="5" t="str">
        <f ca="1">IFERROR(__xludf.DUMMYFUNCTION("GOOGLETRANSLATE(B416,""ja"",""vi"")"),"nhân viên khuân vác")</f>
        <v>nhân viên khuân vác</v>
      </c>
      <c r="E416" s="5" t="str">
        <f ca="1">IFERROR(__xludf.DUMMYFUNCTION("GOOGLETRANSLATE(C416,""ja"",""vi"")"),"Đấu giá&gt; ô tô, xe máy&gt; ô tô cũ, ô tô mới&gt; Mazda&gt; Porter")</f>
        <v>Đấu giá&gt; ô tô, xe máy&gt; ô tô cũ, ô tô mới&gt; Mazda&gt; Porter</v>
      </c>
      <c r="F416" t="str">
        <f t="shared" ca="1" si="6"/>
        <v>"2084053615" : "nhân viên khuân vác",</v>
      </c>
    </row>
    <row r="417" spans="1:6" ht="15.75" customHeight="1">
      <c r="A417" s="18">
        <v>2084049153</v>
      </c>
      <c r="B417" s="18" t="s">
        <v>10963</v>
      </c>
      <c r="C417" s="18" t="s">
        <v>10964</v>
      </c>
      <c r="D417" s="5" t="str">
        <f ca="1">IFERROR(__xludf.DUMMYFUNCTION("GOOGLETRANSLATE(B417,""ja"",""vi"")"),"Millenia")</f>
        <v>Millenia</v>
      </c>
      <c r="E417" s="5" t="str">
        <f ca="1">IFERROR(__xludf.DUMMYFUNCTION("GOOGLETRANSLATE(C417,""ja"",""vi"")"),"Đấu giá&gt; ô tô, xe máy&gt; ô tô cũ, ô tô mới&gt; Mazda&gt; Millenia")</f>
        <v>Đấu giá&gt; ô tô, xe máy&gt; ô tô cũ, ô tô mới&gt; Mazda&gt; Millenia</v>
      </c>
      <c r="F417" t="str">
        <f t="shared" ca="1" si="6"/>
        <v>"2084049153" : "Millenia",</v>
      </c>
    </row>
    <row r="418" spans="1:6" ht="15.75" customHeight="1">
      <c r="A418" s="18">
        <v>2084049154</v>
      </c>
      <c r="B418" s="18" t="s">
        <v>10968</v>
      </c>
      <c r="C418" s="18" t="s">
        <v>10969</v>
      </c>
      <c r="D418" s="5" t="str">
        <f ca="1">IFERROR(__xludf.DUMMYFUNCTION("GOOGLETRANSLATE(B418,""ja"",""vi"")"),"Eunos 500")</f>
        <v>Eunos 500</v>
      </c>
      <c r="E418" s="5" t="str">
        <f ca="1">IFERROR(__xludf.DUMMYFUNCTION("GOOGLETRANSLATE(C418,""ja"",""vi"")"),"Đấu giá&gt; ô tô, xe máy&gt; ô tô cũ, ô tô mới&gt; Mazda&gt; Eunos 500")</f>
        <v>Đấu giá&gt; ô tô, xe máy&gt; ô tô cũ, ô tô mới&gt; Mazda&gt; Eunos 500</v>
      </c>
      <c r="F418" t="str">
        <f t="shared" ca="1" si="6"/>
        <v>"2084049154" : "Eunos 500",</v>
      </c>
    </row>
    <row r="419" spans="1:6" ht="15.75" customHeight="1">
      <c r="A419" s="18">
        <v>2084049155</v>
      </c>
      <c r="B419" s="18" t="s">
        <v>10974</v>
      </c>
      <c r="C419" s="18" t="s">
        <v>10975</v>
      </c>
      <c r="D419" s="5" t="str">
        <f ca="1">IFERROR(__xludf.DUMMYFUNCTION("GOOGLETRANSLATE(B419,""ja"",""vi"")"),"Eunos 800")</f>
        <v>Eunos 800</v>
      </c>
      <c r="E419" s="5" t="str">
        <f ca="1">IFERROR(__xludf.DUMMYFUNCTION("GOOGLETRANSLATE(C419,""ja"",""vi"")"),"Đấu giá&gt; ô tô, xe máy&gt; ô tô cũ, ô tô mới&gt; Mazda&gt; Eunos 800")</f>
        <v>Đấu giá&gt; ô tô, xe máy&gt; ô tô cũ, ô tô mới&gt; Mazda&gt; Eunos 800</v>
      </c>
      <c r="F419" t="str">
        <f t="shared" ca="1" si="6"/>
        <v>"2084049155" : "Eunos 800",</v>
      </c>
    </row>
    <row r="420" spans="1:6" ht="15.75" customHeight="1">
      <c r="A420" s="18">
        <v>2084049156</v>
      </c>
      <c r="B420" s="18" t="s">
        <v>10978</v>
      </c>
      <c r="C420" s="18" t="s">
        <v>10981</v>
      </c>
      <c r="D420" s="5" t="str">
        <f ca="1">IFERROR(__xludf.DUMMYFUNCTION("GOOGLETRANSLATE(B420,""ja"",""vi"")"),"Eunos Cosmo")</f>
        <v>Eunos Cosmo</v>
      </c>
      <c r="E420" s="5" t="str">
        <f ca="1">IFERROR(__xludf.DUMMYFUNCTION("GOOGLETRANSLATE(C420,""ja"",""vi"")"),"Đấu giá&gt; ô tô, xe máy&gt; ô tô cũ, ô tô mới&gt; Mazda&gt; Eunos Cosmo")</f>
        <v>Đấu giá&gt; ô tô, xe máy&gt; ô tô cũ, ô tô mới&gt; Mazda&gt; Eunos Cosmo</v>
      </c>
      <c r="F420" t="str">
        <f t="shared" ca="1" si="6"/>
        <v>"2084049156" : "Eunos Cosmo",</v>
      </c>
    </row>
    <row r="421" spans="1:6" ht="15.75" customHeight="1">
      <c r="A421" s="18">
        <v>2084049157</v>
      </c>
      <c r="B421" s="18" t="s">
        <v>10982</v>
      </c>
      <c r="C421" s="18" t="s">
        <v>10985</v>
      </c>
      <c r="D421" s="5" t="str">
        <f ca="1">IFERROR(__xludf.DUMMYFUNCTION("GOOGLETRANSLATE(B421,""ja"",""vi"")"),"Mazda MX-3")</f>
        <v>Mazda MX-3</v>
      </c>
      <c r="E421" s="5" t="str">
        <f ca="1">IFERROR(__xludf.DUMMYFUNCTION("GOOGLETRANSLATE(C421,""ja"",""vi"")"),"Đấu giá&gt; ô tô, xe máy&gt; ô tô cũ, ô tô mới&gt; Mazda&gt; Mazda MX-3")</f>
        <v>Đấu giá&gt; ô tô, xe máy&gt; ô tô cũ, ô tô mới&gt; Mazda&gt; Mazda MX-3</v>
      </c>
      <c r="F421" t="str">
        <f t="shared" ca="1" si="6"/>
        <v>"2084049157" : "Mazda MX-3",</v>
      </c>
    </row>
    <row r="422" spans="1:6" ht="15.75" customHeight="1">
      <c r="A422" s="18">
        <v>2084048081</v>
      </c>
      <c r="B422" s="18" t="s">
        <v>10988</v>
      </c>
      <c r="C422" s="18" t="s">
        <v>10991</v>
      </c>
      <c r="D422" s="5" t="str">
        <f ca="1">IFERROR(__xludf.DUMMYFUNCTION("GOOGLETRANSLATE(B422,""ja"",""vi"")"),"Eunos Roadster")</f>
        <v>Eunos Roadster</v>
      </c>
      <c r="E422" s="5" t="str">
        <f ca="1">IFERROR(__xludf.DUMMYFUNCTION("GOOGLETRANSLATE(C422,""ja"",""vi"")"),"Đấu giá&gt; ô tô, xe máy&gt; ô tô cũ, ô tô mới&gt; Mazda&gt; Eunos Roadster")</f>
        <v>Đấu giá&gt; ô tô, xe máy&gt; ô tô cũ, ô tô mới&gt; Mazda&gt; Eunos Roadster</v>
      </c>
      <c r="F422" t="str">
        <f t="shared" ca="1" si="6"/>
        <v>"2084048081" : "Eunos Roadster",</v>
      </c>
    </row>
    <row r="423" spans="1:6" ht="15.75" customHeight="1">
      <c r="A423" s="18">
        <v>2084049158</v>
      </c>
      <c r="B423" s="18" t="s">
        <v>10994</v>
      </c>
      <c r="C423" s="18" t="s">
        <v>10997</v>
      </c>
      <c r="D423" s="5" t="str">
        <f ca="1">IFERROR(__xludf.DUMMYFUNCTION("GOOGLETRANSLATE(B423,""ja"",""vi"")"),"Laputa")</f>
        <v>Laputa</v>
      </c>
      <c r="E423" s="5" t="str">
        <f ca="1">IFERROR(__xludf.DUMMYFUNCTION("GOOGLETRANSLATE(C423,""ja"",""vi"")"),"Đấu giá&gt; ô tô, xe máy&gt; ô tô cũ, ô tô mới&gt; Mazda&gt; Laputa")</f>
        <v>Đấu giá&gt; ô tô, xe máy&gt; ô tô cũ, ô tô mới&gt; Mazda&gt; Laputa</v>
      </c>
      <c r="F423" t="str">
        <f t="shared" ca="1" si="6"/>
        <v>"2084049158" : "Laputa",</v>
      </c>
    </row>
    <row r="424" spans="1:6" ht="15.75" customHeight="1">
      <c r="A424" s="18">
        <v>2084049159</v>
      </c>
      <c r="B424" s="18" t="s">
        <v>11000</v>
      </c>
      <c r="C424" s="18" t="s">
        <v>11003</v>
      </c>
      <c r="D424" s="5" t="str">
        <f ca="1">IFERROR(__xludf.DUMMYFUNCTION("GOOGLETRANSLATE(B424,""ja"",""vi"")"),"Lantis")</f>
        <v>Lantis</v>
      </c>
      <c r="E424" s="5" t="str">
        <f ca="1">IFERROR(__xludf.DUMMYFUNCTION("GOOGLETRANSLATE(C424,""ja"",""vi"")"),"Đấu giá&gt; ô tô, xe máy&gt; ô tô cũ, ô tô mới&gt; Mazda&gt; Lantis")</f>
        <v>Đấu giá&gt; ô tô, xe máy&gt; ô tô cũ, ô tô mới&gt; Mazda&gt; Lantis</v>
      </c>
      <c r="F424" t="str">
        <f t="shared" ca="1" si="6"/>
        <v>"2084049159" : "Lantis",</v>
      </c>
    </row>
    <row r="425" spans="1:6" ht="15.75" customHeight="1">
      <c r="A425" s="18">
        <v>2084049160</v>
      </c>
      <c r="B425" s="18" t="s">
        <v>11007</v>
      </c>
      <c r="C425" s="18" t="s">
        <v>11009</v>
      </c>
      <c r="D425" s="5" t="str">
        <f ca="1">IFERROR(__xludf.DUMMYFUNCTION("GOOGLETRANSLATE(B425,""ja"",""vi"")"),"cá măng")</f>
        <v>cá măng</v>
      </c>
      <c r="E425" s="5" t="str">
        <f ca="1">IFERROR(__xludf.DUMMYFUNCTION("GOOGLETRANSLATE(C425,""ja"",""vi"")"),"Đấu giá&gt; ô tô, xe máy&gt; ô tô cũ, ô tô mới&gt; Mazda&gt; Luce")</f>
        <v>Đấu giá&gt; ô tô, xe máy&gt; ô tô cũ, ô tô mới&gt; Mazda&gt; Luce</v>
      </c>
      <c r="F425" t="str">
        <f t="shared" ca="1" si="6"/>
        <v>"2084049160" : "cá măng",</v>
      </c>
    </row>
    <row r="426" spans="1:6" ht="15.75" customHeight="1">
      <c r="A426" s="18">
        <v>2084049161</v>
      </c>
      <c r="B426" s="18" t="s">
        <v>11014</v>
      </c>
      <c r="C426" s="18" t="s">
        <v>11016</v>
      </c>
      <c r="D426" s="5" t="str">
        <f ca="1">IFERROR(__xludf.DUMMYFUNCTION("GOOGLETRANSLATE(B426,""ja"",""vi"")"),"xem lại")</f>
        <v>xem lại</v>
      </c>
      <c r="E426" s="5" t="str">
        <f ca="1">IFERROR(__xludf.DUMMYFUNCTION("GOOGLETRANSLATE(C426,""ja"",""vi"")"),"Đấu giá&gt; ô tô, xe máy&gt; ô tô cũ, ô tô mới&gt; Mazda&gt; Nhận xét")</f>
        <v>Đấu giá&gt; ô tô, xe máy&gt; ô tô cũ, ô tô mới&gt; Mazda&gt; Nhận xét</v>
      </c>
      <c r="F426" t="str">
        <f t="shared" ca="1" si="6"/>
        <v>"2084049161" : "xem lại",</v>
      </c>
    </row>
    <row r="427" spans="1:6" ht="15.75" customHeight="1">
      <c r="A427" s="18">
        <v>2084048078</v>
      </c>
      <c r="B427" s="18" t="s">
        <v>11021</v>
      </c>
      <c r="C427" s="18" t="s">
        <v>11022</v>
      </c>
      <c r="D427" s="5" t="str">
        <f ca="1">IFERROR(__xludf.DUMMYFUNCTION("GOOGLETRANSLATE(B427,""ja"",""vi"")"),"người đi du lịch")</f>
        <v>người đi du lịch</v>
      </c>
      <c r="E427" s="5" t="str">
        <f ca="1">IFERROR(__xludf.DUMMYFUNCTION("GOOGLETRANSLATE(C427,""ja"",""vi"")"),"Đấu giá&gt; ô tô, xe máy&gt; ô tô cũ, ô tô mới&gt; Mazda&gt; Roadster")</f>
        <v>Đấu giá&gt; ô tô, xe máy&gt; ô tô cũ, ô tô mới&gt; Mazda&gt; Roadster</v>
      </c>
      <c r="F427" t="str">
        <f t="shared" ca="1" si="6"/>
        <v>"2084048078" : "người đi du lịch",</v>
      </c>
    </row>
    <row r="428" spans="1:6" ht="15.75" customHeight="1">
      <c r="A428" s="18">
        <v>2084048065</v>
      </c>
      <c r="B428" s="18" t="s">
        <v>46</v>
      </c>
      <c r="C428" s="18" t="s">
        <v>11027</v>
      </c>
      <c r="D428" s="5" t="str">
        <f ca="1">IFERROR(__xludf.DUMMYFUNCTION("GOOGLETRANSLATE(B428,""ja"",""vi"")"),"nếu không thì")</f>
        <v>nếu không thì</v>
      </c>
      <c r="E428" s="5" t="str">
        <f ca="1">IFERROR(__xludf.DUMMYFUNCTION("GOOGLETRANSLATE(C428,""ja"",""vi"")"),"Đấu giá&gt; ô tô, xe máy&gt; ô tô cũ, ô tô mới&gt; Mazda&gt; Khác")</f>
        <v>Đấu giá&gt; ô tô, xe máy&gt; ô tô cũ, ô tô mới&gt; Mazda&gt; Khác</v>
      </c>
      <c r="F428" t="str">
        <f t="shared" ca="1" si="6"/>
        <v>"2084048065" : "nếu không thì",</v>
      </c>
    </row>
    <row r="429" spans="1:6" ht="15.75" customHeight="1">
      <c r="A429" s="18">
        <v>2084049182</v>
      </c>
      <c r="B429" s="18" t="s">
        <v>11032</v>
      </c>
      <c r="C429" s="18" t="s">
        <v>11033</v>
      </c>
      <c r="D429" s="5" t="str">
        <f ca="1">IFERROR(__xludf.DUMMYFUNCTION("GOOGLETRANSLATE(B429,""ja"",""vi"")"),"Butte")</f>
        <v>Butte</v>
      </c>
      <c r="E429" s="5" t="str">
        <f ca="1">IFERROR(__xludf.DUMMYFUNCTION("GOOGLETRANSLATE(C429,""ja"",""vi"")"),"Đấu giá&gt; ô tô, xe máy&gt; ô tô cũ, ô tô mới&gt; Mitsuoka&gt; Butte")</f>
        <v>Đấu giá&gt; ô tô, xe máy&gt; ô tô cũ, ô tô mới&gt; Mitsuoka&gt; Butte</v>
      </c>
      <c r="F429" t="str">
        <f t="shared" ca="1" si="6"/>
        <v>"2084049182" : "Butte",</v>
      </c>
    </row>
    <row r="430" spans="1:6" ht="15.75" customHeight="1">
      <c r="A430" s="18">
        <v>2084049181</v>
      </c>
      <c r="B430" s="18" t="s">
        <v>46</v>
      </c>
      <c r="C430" s="18" t="s">
        <v>11037</v>
      </c>
      <c r="D430" s="5" t="str">
        <f ca="1">IFERROR(__xludf.DUMMYFUNCTION("GOOGLETRANSLATE(B430,""ja"",""vi"")"),"nếu không thì")</f>
        <v>nếu không thì</v>
      </c>
      <c r="E430" s="5" t="str">
        <f ca="1">IFERROR(__xludf.DUMMYFUNCTION("GOOGLETRANSLATE(C430,""ja"",""vi"")"),"Đấu giá&gt; ô tô, xe máy&gt; ô tô cũ, ô tô mới&gt; Mitsuoka&gt; Khác")</f>
        <v>Đấu giá&gt; ô tô, xe máy&gt; ô tô cũ, ô tô mới&gt; Mitsuoka&gt; Khác</v>
      </c>
      <c r="F430" t="str">
        <f t="shared" ca="1" si="6"/>
        <v>"2084049181" : "nếu không thì",</v>
      </c>
    </row>
    <row r="431" spans="1:6" ht="15.75" customHeight="1">
      <c r="A431" s="18">
        <v>2084048086</v>
      </c>
      <c r="B431" s="18" t="s">
        <v>11041</v>
      </c>
      <c r="C431" s="18" t="s">
        <v>11042</v>
      </c>
      <c r="D431" s="5" t="str">
        <f ca="1">IFERROR(__xludf.DUMMYFUNCTION("GOOGLETRANSLATE(B431,""ja"",""vi"")"),"FTO")</f>
        <v>FTO</v>
      </c>
      <c r="E431" s="5" t="str">
        <f ca="1">IFERROR(__xludf.DUMMYFUNCTION("GOOGLETRANSLATE(C431,""ja"",""vi"")"),"Đấu giá&gt; ô tô, xe máy&gt; ô tô cũ, ô tô mới&gt; Mitsubishi&gt; FTO")</f>
        <v>Đấu giá&gt; ô tô, xe máy&gt; ô tô cũ, ô tô mới&gt; Mitsubishi&gt; FTO</v>
      </c>
      <c r="F431" t="str">
        <f t="shared" ca="1" si="6"/>
        <v>"2084048086" : "FTO",</v>
      </c>
    </row>
    <row r="432" spans="1:6" ht="15.75" customHeight="1">
      <c r="A432" s="18">
        <v>2084048088</v>
      </c>
      <c r="B432" s="18" t="s">
        <v>11046</v>
      </c>
      <c r="C432" s="18" t="s">
        <v>11048</v>
      </c>
      <c r="D432" s="5" t="str">
        <f ca="1">IFERROR(__xludf.DUMMYFUNCTION("GOOGLETRANSLATE(B432,""ja"",""vi"")"),"GTO")</f>
        <v>GTO</v>
      </c>
      <c r="E432" s="5" t="str">
        <f ca="1">IFERROR(__xludf.DUMMYFUNCTION("GOOGLETRANSLATE(C432,""ja"",""vi"")"),"Đấu giá&gt; ô tô, xe máy&gt; ô tô cũ, ô tô mới&gt; Mitsubishi&gt; GTO")</f>
        <v>Đấu giá&gt; ô tô, xe máy&gt; ô tô cũ, ô tô mới&gt; Mitsubishi&gt; GTO</v>
      </c>
      <c r="F432" t="str">
        <f t="shared" ca="1" si="6"/>
        <v>"2084048088" : "GTO",</v>
      </c>
    </row>
    <row r="433" spans="1:6" ht="15.75" customHeight="1">
      <c r="A433" s="18">
        <v>2084048089</v>
      </c>
      <c r="B433" s="18" t="s">
        <v>11050</v>
      </c>
      <c r="C433" s="18" t="s">
        <v>11052</v>
      </c>
      <c r="D433" s="5" t="str">
        <f ca="1">IFERROR(__xludf.DUMMYFUNCTION("GOOGLETRANSLATE(B433,""ja"",""vi"")"),"RVR")</f>
        <v>RVR</v>
      </c>
      <c r="E433" s="5" t="str">
        <f ca="1">IFERROR(__xludf.DUMMYFUNCTION("GOOGLETRANSLATE(C433,""ja"",""vi"")"),"Đấu giá&gt; ô tô, xe máy&gt; ô tô cũ, ô tô mới&gt; Mitsubishi&gt; RVR")</f>
        <v>Đấu giá&gt; ô tô, xe máy&gt; ô tô cũ, ô tô mới&gt; Mitsubishi&gt; RVR</v>
      </c>
      <c r="F433" t="str">
        <f t="shared" ca="1" si="6"/>
        <v>"2084048089" : "RVR",</v>
      </c>
    </row>
    <row r="434" spans="1:6" ht="15.75" customHeight="1">
      <c r="A434" s="18">
        <v>2084056551</v>
      </c>
      <c r="B434" s="18" t="s">
        <v>11054</v>
      </c>
      <c r="C434" s="18" t="s">
        <v>11056</v>
      </c>
      <c r="D434" s="5" t="str">
        <f ca="1">IFERROR(__xludf.DUMMYFUNCTION("GOOGLETRANSLATE(B434,""ja"",""vi"")"),"eK hoạt động")</f>
        <v>eK hoạt động</v>
      </c>
      <c r="E434" s="5" t="str">
        <f ca="1">IFERROR(__xludf.DUMMYFUNCTION("GOOGLETRANSLATE(C434,""ja"",""vi"")"),"Đấu giá&gt; ô tô, xe máy&gt; ô tô cũ, ô tô mới&gt; Mitsubishi&gt; eK hoạt động")</f>
        <v>Đấu giá&gt; ô tô, xe máy&gt; ô tô cũ, ô tô mới&gt; Mitsubishi&gt; eK hoạt động</v>
      </c>
      <c r="F434" t="str">
        <f t="shared" ca="1" si="6"/>
        <v>"2084056551" : "eK hoạt động",</v>
      </c>
    </row>
    <row r="435" spans="1:6" ht="15.75" customHeight="1">
      <c r="A435" s="18">
        <v>2084056550</v>
      </c>
      <c r="B435" s="18" t="s">
        <v>11060</v>
      </c>
      <c r="C435" s="18" t="s">
        <v>11061</v>
      </c>
      <c r="D435" s="5" t="str">
        <f ca="1">IFERROR(__xludf.DUMMYFUNCTION("GOOGLETRANSLATE(B435,""ja"",""vi"")"),"eK Kurasshii")</f>
        <v>eK Kurasshii</v>
      </c>
      <c r="E435" s="5" t="str">
        <f ca="1">IFERROR(__xludf.DUMMYFUNCTION("GOOGLETRANSLATE(C435,""ja"",""vi"")"),"Đấu giá&gt; ô tô, xe máy&gt; ô tô cũ, ô tô mới&gt; Mitsubishi&gt; eK Kurasshii")</f>
        <v>Đấu giá&gt; ô tô, xe máy&gt; ô tô cũ, ô tô mới&gt; Mitsubishi&gt; eK Kurasshii</v>
      </c>
      <c r="F435" t="str">
        <f t="shared" ca="1" si="6"/>
        <v>"2084056550" : "eK Kurasshii",</v>
      </c>
    </row>
    <row r="436" spans="1:6" ht="15.75" customHeight="1">
      <c r="A436" s="18">
        <v>2084049541</v>
      </c>
      <c r="B436" s="18" t="s">
        <v>11065</v>
      </c>
      <c r="C436" s="18" t="s">
        <v>11068</v>
      </c>
      <c r="D436" s="5" t="str">
        <f ca="1">IFERROR(__xludf.DUMMYFUNCTION("GOOGLETRANSLATE(B436,""ja"",""vi"")"),"eK thể thao")</f>
        <v>eK thể thao</v>
      </c>
      <c r="E436" s="5" t="str">
        <f ca="1">IFERROR(__xludf.DUMMYFUNCTION("GOOGLETRANSLATE(C436,""ja"",""vi"")"),"Đấu giá&gt; ô tô, xe máy&gt; ô tô cũ, ô tô mới&gt; Mitsubishi&gt; eK thể thao")</f>
        <v>Đấu giá&gt; ô tô, xe máy&gt; ô tô cũ, ô tô mới&gt; Mitsubishi&gt; eK thể thao</v>
      </c>
      <c r="F436" t="str">
        <f t="shared" ca="1" si="6"/>
        <v>"2084049541" : "eK thể thao",</v>
      </c>
    </row>
    <row r="437" spans="1:6" ht="15.75" customHeight="1">
      <c r="A437" s="18">
        <v>2084048090</v>
      </c>
      <c r="B437" s="18" t="s">
        <v>11071</v>
      </c>
      <c r="C437" s="18" t="s">
        <v>11073</v>
      </c>
      <c r="D437" s="5" t="str">
        <f ca="1">IFERROR(__xludf.DUMMYFUNCTION("GOOGLETRANSLATE(B437,""ja"",""vi"")"),"eK Wagon")</f>
        <v>eK Wagon</v>
      </c>
      <c r="E437" s="5" t="str">
        <f ca="1">IFERROR(__xludf.DUMMYFUNCTION("GOOGLETRANSLATE(C437,""ja"",""vi"")"),"Đấu giá&gt; ô tô, xe máy&gt; ô tô cũ, ô tô mới&gt; Mitsubishi&gt; eK Wagon")</f>
        <v>Đấu giá&gt; ô tô, xe máy&gt; ô tô cũ, ô tô mới&gt; Mitsubishi&gt; eK Wagon</v>
      </c>
      <c r="F437" t="str">
        <f t="shared" ca="1" si="6"/>
        <v>"2084048090" : "eK Wagon",</v>
      </c>
    </row>
    <row r="438" spans="1:6" ht="15.75" customHeight="1">
      <c r="A438" s="18">
        <v>2084204555</v>
      </c>
      <c r="B438" s="18" t="s">
        <v>11077</v>
      </c>
      <c r="C438" s="18" t="s">
        <v>11080</v>
      </c>
      <c r="D438" s="5" t="str">
        <f ca="1">IFERROR(__xludf.DUMMYFUNCTION("GOOGLETRANSLATE(B438,""ja"",""vi"")"),"tôi")</f>
        <v>tôi</v>
      </c>
      <c r="E438" s="5" t="str">
        <f ca="1">IFERROR(__xludf.DUMMYFUNCTION("GOOGLETRANSLATE(C438,""ja"",""vi"")"),"Đấu giá&gt; ô tô, xe máy&gt; ô tô cũ, ô tô mới&gt; Mitsubishi&gt; i")</f>
        <v>Đấu giá&gt; ô tô, xe máy&gt; ô tô cũ, ô tô mới&gt; Mitsubishi&gt; i</v>
      </c>
      <c r="F438" t="str">
        <f t="shared" ca="1" si="6"/>
        <v>"2084204555" : "tôi",</v>
      </c>
    </row>
    <row r="439" spans="1:6" ht="15.75" customHeight="1">
      <c r="A439" s="18">
        <v>2084299553</v>
      </c>
      <c r="B439" s="18" t="s">
        <v>11085</v>
      </c>
      <c r="C439" s="18" t="s">
        <v>11087</v>
      </c>
      <c r="D439" s="5" t="str">
        <f ca="1">IFERROR(__xludf.DUMMYFUNCTION("GOOGLETRANSLATE(B439,""ja"",""vi"")"),"i-MiEV")</f>
        <v>i-MiEV</v>
      </c>
      <c r="E439" s="5" t="str">
        <f ca="1">IFERROR(__xludf.DUMMYFUNCTION("GOOGLETRANSLATE(C439,""ja"",""vi"")"),"Đấu giá&gt; ô tô, xe máy&gt; ô tô cũ, ô tô mới&gt; Mitsubishi&gt; i-MiEV")</f>
        <v>Đấu giá&gt; ô tô, xe máy&gt; ô tô cũ, ô tô mới&gt; Mitsubishi&gt; i-MiEV</v>
      </c>
      <c r="F439" t="str">
        <f t="shared" ca="1" si="6"/>
        <v>"2084299553" : "i-MiEV",</v>
      </c>
    </row>
    <row r="440" spans="1:6" ht="15.75" customHeight="1">
      <c r="A440" s="18">
        <v>2084204556</v>
      </c>
      <c r="B440" s="18" t="s">
        <v>11091</v>
      </c>
      <c r="C440" s="18" t="s">
        <v>11093</v>
      </c>
      <c r="D440" s="5" t="str">
        <f ca="1">IFERROR(__xludf.DUMMYFUNCTION("GOOGLETRANSLATE(B440,""ja"",""vi"")"),"Outlander")</f>
        <v>Outlander</v>
      </c>
      <c r="E440" s="5" t="str">
        <f ca="1">IFERROR(__xludf.DUMMYFUNCTION("GOOGLETRANSLATE(C440,""ja"",""vi"")"),"Đấu giá&gt; ô tô, xe máy&gt; ô tô cũ, ô tô mới&gt; Mitsubishi&gt; Outlander")</f>
        <v>Đấu giá&gt; ô tô, xe máy&gt; ô tô cũ, ô tô mới&gt; Mitsubishi&gt; Outlander</v>
      </c>
      <c r="F440" t="str">
        <f t="shared" ca="1" si="6"/>
        <v>"2084204556" : "Outlander",</v>
      </c>
    </row>
    <row r="441" spans="1:6" ht="15.75" customHeight="1">
      <c r="A441" s="18">
        <v>2084048091</v>
      </c>
      <c r="B441" s="18" t="s">
        <v>11098</v>
      </c>
      <c r="C441" s="18" t="s">
        <v>11099</v>
      </c>
      <c r="D441" s="5" t="str">
        <f ca="1">IFERROR(__xludf.DUMMYFUNCTION("GOOGLETRANSLATE(B441,""ja"",""vi"")"),"Air Trek")</f>
        <v>Air Trek</v>
      </c>
      <c r="E441" s="5" t="str">
        <f ca="1">IFERROR(__xludf.DUMMYFUNCTION("GOOGLETRANSLATE(C441,""ja"",""vi"")"),"Đấu giá&gt; ô tô, xe máy&gt; ô tô cũ, ô tô mới&gt; Mitsubishi&gt; Airtrek")</f>
        <v>Đấu giá&gt; ô tô, xe máy&gt; ô tô cũ, ô tô mới&gt; Mitsubishi&gt; Airtrek</v>
      </c>
      <c r="F441" t="str">
        <f t="shared" ca="1" si="6"/>
        <v>"2084048091" : "Air Trek",</v>
      </c>
    </row>
    <row r="442" spans="1:6" ht="15.75" customHeight="1">
      <c r="A442" s="18">
        <v>2084049184</v>
      </c>
      <c r="B442" s="18" t="s">
        <v>11103</v>
      </c>
      <c r="C442" s="18" t="s">
        <v>11104</v>
      </c>
      <c r="D442" s="5" t="str">
        <f ca="1">IFERROR(__xludf.DUMMYFUNCTION("GOOGLETRANSLATE(B442,""ja"",""vi"")"),"Eclipse")</f>
        <v>Eclipse</v>
      </c>
      <c r="E442" s="5" t="str">
        <f ca="1">IFERROR(__xludf.DUMMYFUNCTION("GOOGLETRANSLATE(C442,""ja"",""vi"")"),"Đấu giá&gt; ô tô, xe máy&gt; ô tô cũ, ô tô mới&gt; Mitsubishi&gt; Eclipse")</f>
        <v>Đấu giá&gt; ô tô, xe máy&gt; ô tô cũ, ô tô mới&gt; Mitsubishi&gt; Eclipse</v>
      </c>
      <c r="F442" t="str">
        <f t="shared" ca="1" si="6"/>
        <v>"2084049184" : "Eclipse",</v>
      </c>
    </row>
    <row r="443" spans="1:6" ht="15.75" customHeight="1">
      <c r="A443" s="18">
        <v>2084048092</v>
      </c>
      <c r="B443" s="18" t="s">
        <v>11109</v>
      </c>
      <c r="C443" s="18" t="s">
        <v>11110</v>
      </c>
      <c r="D443" s="5" t="str">
        <f ca="1">IFERROR(__xludf.DUMMYFUNCTION("GOOGLETRANSLATE(B443,""ja"",""vi"")"),"người giã dối")</f>
        <v>người giã dối</v>
      </c>
      <c r="E443" s="5" t="str">
        <f ca="1">IFERROR(__xludf.DUMMYFUNCTION("GOOGLETRANSLATE(C443,""ja"",""vi"")"),"Đấu giá&gt; ô tô, xe máy&gt; ô tô cũ, ô tô mới&gt; Mitsubishi&gt; Canter")</f>
        <v>Đấu giá&gt; ô tô, xe máy&gt; ô tô cũ, ô tô mới&gt; Mitsubishi&gt; Canter</v>
      </c>
      <c r="F443" t="str">
        <f t="shared" ca="1" si="6"/>
        <v>"2084048092" : "người giã dối",</v>
      </c>
    </row>
    <row r="444" spans="1:6" ht="15.75" customHeight="1">
      <c r="A444" s="18">
        <v>2084048093</v>
      </c>
      <c r="B444" s="18" t="s">
        <v>11114</v>
      </c>
      <c r="C444" s="18" t="s">
        <v>11116</v>
      </c>
      <c r="D444" s="5" t="str">
        <f ca="1">IFERROR(__xludf.DUMMYFUNCTION("GOOGLETRANSLATE(B444,""ja"",""vi"")"),"Galant")</f>
        <v>Galant</v>
      </c>
      <c r="E444" s="5" t="str">
        <f ca="1">IFERROR(__xludf.DUMMYFUNCTION("GOOGLETRANSLATE(C444,""ja"",""vi"")"),"Đấu giá&gt; ô tô, xe máy&gt; ô tô cũ, ô tô mới&gt; Mitsubishi&gt; Galant")</f>
        <v>Đấu giá&gt; ô tô, xe máy&gt; ô tô cũ, ô tô mới&gt; Mitsubishi&gt; Galant</v>
      </c>
      <c r="F444" t="str">
        <f t="shared" ca="1" si="6"/>
        <v>"2084048093" : "Galant",</v>
      </c>
    </row>
    <row r="445" spans="1:6" ht="15.75" customHeight="1">
      <c r="A445" s="18">
        <v>2084231247</v>
      </c>
      <c r="B445" s="18" t="s">
        <v>11121</v>
      </c>
      <c r="C445" s="18" t="s">
        <v>11123</v>
      </c>
      <c r="D445" s="5" t="str">
        <f ca="1">IFERROR(__xludf.DUMMYFUNCTION("GOOGLETRANSLATE(B445,""ja"",""vi"")"),"Galant thể thao")</f>
        <v>Galant thể thao</v>
      </c>
      <c r="E445" s="5" t="str">
        <f ca="1">IFERROR(__xludf.DUMMYFUNCTION("GOOGLETRANSLATE(C445,""ja"",""vi"")"),"Đấu giá&gt; ô tô, xe máy&gt; ô tô cũ, ô tô mới&gt; Mitsubishi&gt; Galant thể thao")</f>
        <v>Đấu giá&gt; ô tô, xe máy&gt; ô tô cũ, ô tô mới&gt; Mitsubishi&gt; Galant thể thao</v>
      </c>
      <c r="F445" t="str">
        <f t="shared" ca="1" si="6"/>
        <v>"2084231247" : "Galant thể thao",</v>
      </c>
    </row>
    <row r="446" spans="1:6" ht="15.75" customHeight="1">
      <c r="A446" s="18">
        <v>2084231248</v>
      </c>
      <c r="B446" s="18" t="s">
        <v>11127</v>
      </c>
      <c r="C446" s="18" t="s">
        <v>11129</v>
      </c>
      <c r="D446" s="5" t="str">
        <f ca="1">IFERROR(__xludf.DUMMYFUNCTION("GOOGLETRANSLATE(B446,""ja"",""vi"")"),"Galant Fortis")</f>
        <v>Galant Fortis</v>
      </c>
      <c r="E446" s="5" t="str">
        <f ca="1">IFERROR(__xludf.DUMMYFUNCTION("GOOGLETRANSLATE(C446,""ja"",""vi"")"),"Đấu giá&gt; ô tô, xe máy&gt; ô tô cũ, ô tô mới&gt; Mitsubishi&gt; Galant Fortis")</f>
        <v>Đấu giá&gt; ô tô, xe máy&gt; ô tô cũ, ô tô mới&gt; Mitsubishi&gt; Galant Fortis</v>
      </c>
      <c r="F446" t="str">
        <f t="shared" ca="1" si="6"/>
        <v>"2084231248" : "Galant Fortis",</v>
      </c>
    </row>
    <row r="447" spans="1:6" ht="15.75" customHeight="1">
      <c r="A447" s="18">
        <v>2084051743</v>
      </c>
      <c r="B447" s="18" t="s">
        <v>11133</v>
      </c>
      <c r="C447" s="18" t="s">
        <v>11136</v>
      </c>
      <c r="D447" s="5" t="str">
        <f ca="1">IFERROR(__xludf.DUMMYFUNCTION("GOOGLETRANSLATE(B447,""ja"",""vi"")"),"Grandis")</f>
        <v>Grandis</v>
      </c>
      <c r="E447" s="5" t="str">
        <f ca="1">IFERROR(__xludf.DUMMYFUNCTION("GOOGLETRANSLATE(C447,""ja"",""vi"")"),"Đấu giá&gt; ô tô, xe máy&gt; ô tô cũ, ô tô mới&gt; Mitsubishi&gt; Grandis")</f>
        <v>Đấu giá&gt; ô tô, xe máy&gt; ô tô cũ, ô tô mới&gt; Mitsubishi&gt; Grandis</v>
      </c>
      <c r="F447" t="str">
        <f t="shared" ca="1" si="6"/>
        <v>"2084051743" : "Grandis",</v>
      </c>
    </row>
    <row r="448" spans="1:6" ht="15.75" customHeight="1">
      <c r="A448" s="18">
        <v>2084049542</v>
      </c>
      <c r="B448" s="18" t="s">
        <v>11142</v>
      </c>
      <c r="C448" s="18" t="s">
        <v>11144</v>
      </c>
      <c r="D448" s="5" t="str">
        <f ca="1">IFERROR(__xludf.DUMMYFUNCTION("GOOGLETRANSLATE(B448,""ja"",""vi"")"),"súng Colt")</f>
        <v>súng Colt</v>
      </c>
      <c r="E448" s="5" t="str">
        <f ca="1">IFERROR(__xludf.DUMMYFUNCTION("GOOGLETRANSLATE(C448,""ja"",""vi"")"),"Đấu giá&gt; ô tô, xe máy&gt; ô tô cũ, ô tô mới&gt; Mitsubishi&gt; Colt")</f>
        <v>Đấu giá&gt; ô tô, xe máy&gt; ô tô cũ, ô tô mới&gt; Mitsubishi&gt; Colt</v>
      </c>
      <c r="F448" t="str">
        <f t="shared" ca="1" si="6"/>
        <v>"2084049542" : "súng Colt",</v>
      </c>
    </row>
    <row r="449" spans="1:6" ht="15.75" customHeight="1">
      <c r="A449" s="18">
        <v>2084059194</v>
      </c>
      <c r="B449" s="18" t="s">
        <v>11147</v>
      </c>
      <c r="C449" s="18" t="s">
        <v>11149</v>
      </c>
      <c r="D449" s="5" t="str">
        <f ca="1">IFERROR(__xludf.DUMMYFUNCTION("GOOGLETRANSLATE(B449,""ja"",""vi"")"),"Colt Thêm")</f>
        <v>Colt Thêm</v>
      </c>
      <c r="E449" s="5" t="str">
        <f ca="1">IFERROR(__xludf.DUMMYFUNCTION("GOOGLETRANSLATE(C449,""ja"",""vi"")"),"Đấu giá&gt; ô tô, xe máy&gt; ô tô cũ, ô tô mới&gt; Mitsubishi&gt; Colt cộng")</f>
        <v>Đấu giá&gt; ô tô, xe máy&gt; ô tô cũ, ô tô mới&gt; Mitsubishi&gt; Colt cộng</v>
      </c>
      <c r="F449" t="str">
        <f t="shared" ca="1" si="6"/>
        <v>"2084059194" : "Colt Thêm",</v>
      </c>
    </row>
    <row r="450" spans="1:6" ht="15.75" customHeight="1">
      <c r="A450" s="18">
        <v>2084048095</v>
      </c>
      <c r="B450" s="18" t="s">
        <v>11152</v>
      </c>
      <c r="C450" s="18" t="s">
        <v>11155</v>
      </c>
      <c r="D450" s="5" t="str">
        <f ca="1">IFERROR(__xludf.DUMMYFUNCTION("GOOGLETRANSLATE(B450,""ja"",""vi"")"),"Chariot")</f>
        <v>Chariot</v>
      </c>
      <c r="E450" s="5" t="str">
        <f ca="1">IFERROR(__xludf.DUMMYFUNCTION("GOOGLETRANSLATE(C450,""ja"",""vi"")"),"Đấu giá&gt; ô tô, xe máy&gt; ô tô cũ, ô tô mới&gt; Mitsubishi&gt; Chariot")</f>
        <v>Đấu giá&gt; ô tô, xe máy&gt; ô tô cũ, ô tô mới&gt; Mitsubishi&gt; Chariot</v>
      </c>
      <c r="F450" t="str">
        <f t="shared" ref="F450:F513" ca="1" si="7">CONCATENATE(CHAR(34)&amp;"",A450,""&amp;CHAR(34)," : ", CHAR(34)&amp;"",D450,""&amp;CHAR(34),",")</f>
        <v>"2084048095" : "Chariot",</v>
      </c>
    </row>
    <row r="451" spans="1:6" ht="15.75" customHeight="1">
      <c r="A451" s="18">
        <v>2084048094</v>
      </c>
      <c r="B451" s="18" t="s">
        <v>11160</v>
      </c>
      <c r="C451" s="18" t="s">
        <v>11162</v>
      </c>
      <c r="D451" s="5" t="str">
        <f ca="1">IFERROR(__xludf.DUMMYFUNCTION("GOOGLETRANSLATE(B451,""ja"",""vi"")"),"Chariot Grandis")</f>
        <v>Chariot Grandis</v>
      </c>
      <c r="E451" s="5" t="str">
        <f ca="1">IFERROR(__xludf.DUMMYFUNCTION("GOOGLETRANSLATE(C451,""ja"",""vi"")"),"Đấu giá&gt; ô tô, xe máy&gt; ô tô cũ, ô tô mới&gt; Mitsubishi&gt; Chariot Grandis")</f>
        <v>Đấu giá&gt; ô tô, xe máy&gt; ô tô cũ, ô tô mới&gt; Mitsubishi&gt; Chariot Grandis</v>
      </c>
      <c r="F451" t="str">
        <f t="shared" ca="1" si="7"/>
        <v>"2084048094" : "Chariot Grandis",</v>
      </c>
    </row>
    <row r="452" spans="1:6" ht="15.75" customHeight="1">
      <c r="A452" s="18">
        <v>2084048096</v>
      </c>
      <c r="B452" s="18" t="s">
        <v>11167</v>
      </c>
      <c r="C452" s="18" t="s">
        <v>11168</v>
      </c>
      <c r="D452" s="5" t="str">
        <f ca="1">IFERROR(__xludf.DUMMYFUNCTION("GOOGLETRANSLATE(B452,""ja"",""vi"")"),"xe jíp")</f>
        <v>xe jíp</v>
      </c>
      <c r="E452" s="5" t="str">
        <f ca="1">IFERROR(__xludf.DUMMYFUNCTION("GOOGLETRANSLATE(C452,""ja"",""vi"")"),"Đấu giá&gt; ô tô, xe máy&gt; ô tô cũ, ô tô mới&gt; Mitsubishi&gt; Jeep")</f>
        <v>Đấu giá&gt; ô tô, xe máy&gt; ô tô cũ, ô tô mới&gt; Mitsubishi&gt; Jeep</v>
      </c>
      <c r="F452" t="str">
        <f t="shared" ca="1" si="7"/>
        <v>"2084048096" : "xe jíp",</v>
      </c>
    </row>
    <row r="453" spans="1:6" ht="15.75" customHeight="1">
      <c r="A453" s="18">
        <v>2084049185</v>
      </c>
      <c r="B453" s="18" t="s">
        <v>11171</v>
      </c>
      <c r="C453" s="18" t="s">
        <v>11173</v>
      </c>
      <c r="D453" s="5" t="str">
        <f ca="1">IFERROR(__xludf.DUMMYFUNCTION("GOOGLETRANSLATE(B453,""ja"",""vi"")"),"ngựa giống")</f>
        <v>ngựa giống</v>
      </c>
      <c r="E453" s="5" t="str">
        <f ca="1">IFERROR(__xludf.DUMMYFUNCTION("GOOGLETRANSLATE(C453,""ja"",""vi"")"),"Đấu giá&gt; ô tô, xe máy&gt; ô tô cũ, ô tô mới&gt; Mitsubishi&gt; Stallion")</f>
        <v>Đấu giá&gt; ô tô, xe máy&gt; ô tô cũ, ô tô mới&gt; Mitsubishi&gt; Stallion</v>
      </c>
      <c r="F453" t="str">
        <f t="shared" ca="1" si="7"/>
        <v>"2084049185" : "ngựa giống",</v>
      </c>
    </row>
    <row r="454" spans="1:6" ht="15.75" customHeight="1">
      <c r="A454" s="18">
        <v>2084048097</v>
      </c>
      <c r="B454" s="18" t="s">
        <v>11177</v>
      </c>
      <c r="C454" s="18" t="s">
        <v>11180</v>
      </c>
      <c r="D454" s="5" t="str">
        <f ca="1">IFERROR(__xludf.DUMMYFUNCTION("GOOGLETRANSLATE(B454,""ja"",""vi"")"),"hộp Town")</f>
        <v>hộp Town</v>
      </c>
      <c r="E454" s="5" t="str">
        <f ca="1">IFERROR(__xludf.DUMMYFUNCTION("GOOGLETRANSLATE(C454,""ja"",""vi"")"),"Đấu giá&gt; ô tô, xe máy&gt; ô tô cũ, ô tô mới&gt; Mitsubishi&gt; Town Box")</f>
        <v>Đấu giá&gt; ô tô, xe máy&gt; ô tô cũ, ô tô mới&gt; Mitsubishi&gt; Town Box</v>
      </c>
      <c r="F454" t="str">
        <f t="shared" ca="1" si="7"/>
        <v>"2084048097" : "hộp Town",</v>
      </c>
    </row>
    <row r="455" spans="1:6" ht="15.75" customHeight="1">
      <c r="A455" s="18">
        <v>2084049186</v>
      </c>
      <c r="B455" s="18" t="s">
        <v>11183</v>
      </c>
      <c r="C455" s="18" t="s">
        <v>11186</v>
      </c>
      <c r="D455" s="5" t="str">
        <f ca="1">IFERROR(__xludf.DUMMYFUNCTION("GOOGLETRANSLATE(B455,""ja"",""vi"")"),"Town Box Wide")</f>
        <v>Town Box Wide</v>
      </c>
      <c r="E455" s="5" t="str">
        <f ca="1">IFERROR(__xludf.DUMMYFUNCTION("GOOGLETRANSLATE(C455,""ja"",""vi"")"),"Đấu giá&gt; ô tô, xe máy&gt; ô tô cũ, ô tô mới&gt; Mitsubishi&gt; Town Box Wide")</f>
        <v>Đấu giá&gt; ô tô, xe máy&gt; ô tô cũ, ô tô mới&gt; Mitsubishi&gt; Town Box Wide</v>
      </c>
      <c r="F455" t="str">
        <f t="shared" ca="1" si="7"/>
        <v>"2084049186" : "Town Box Wide",</v>
      </c>
    </row>
    <row r="456" spans="1:6" ht="15.75" customHeight="1">
      <c r="A456" s="18">
        <v>2084048098</v>
      </c>
      <c r="B456" s="18" t="s">
        <v>11190</v>
      </c>
      <c r="C456" s="18" t="s">
        <v>11192</v>
      </c>
      <c r="D456" s="5" t="str">
        <f ca="1">IFERROR(__xludf.DUMMYFUNCTION("GOOGLETRANSLATE(B456,""ja"",""vi"")"),"người thách đấu")</f>
        <v>người thách đấu</v>
      </c>
      <c r="E456" s="5" t="str">
        <f ca="1">IFERROR(__xludf.DUMMYFUNCTION("GOOGLETRANSLATE(C456,""ja"",""vi"")"),"Đấu giá&gt; ô tô, xe máy&gt; ô tô cũ, ô tô mới&gt; Mitsubishi&gt; Challenger")</f>
        <v>Đấu giá&gt; ô tô, xe máy&gt; ô tô cũ, ô tô mới&gt; Mitsubishi&gt; Challenger</v>
      </c>
      <c r="F456" t="str">
        <f t="shared" ca="1" si="7"/>
        <v>"2084048098" : "người thách đấu",</v>
      </c>
    </row>
    <row r="457" spans="1:6" ht="15.75" customHeight="1">
      <c r="A457" s="18">
        <v>2084048099</v>
      </c>
      <c r="B457" s="18" t="s">
        <v>11195</v>
      </c>
      <c r="C457" s="18" t="s">
        <v>11197</v>
      </c>
      <c r="D457" s="5" t="str">
        <f ca="1">IFERROR(__xludf.DUMMYFUNCTION("GOOGLETRANSLATE(B457,""ja"",""vi"")"),"Diamante")</f>
        <v>Diamante</v>
      </c>
      <c r="E457" s="5" t="str">
        <f ca="1">IFERROR(__xludf.DUMMYFUNCTION("GOOGLETRANSLATE(C457,""ja"",""vi"")"),"Đấu giá&gt; ô tô, xe máy&gt; ô tô cũ, ô tô mới&gt; Mitsubishi&gt; Diamante")</f>
        <v>Đấu giá&gt; ô tô, xe máy&gt; ô tô cũ, ô tô mới&gt; Mitsubishi&gt; Diamante</v>
      </c>
      <c r="F457" t="str">
        <f t="shared" ca="1" si="7"/>
        <v>"2084048099" : "Diamante",</v>
      </c>
    </row>
    <row r="458" spans="1:6" ht="15.75" customHeight="1">
      <c r="A458" s="18">
        <v>2084048100</v>
      </c>
      <c r="B458" s="18" t="s">
        <v>11201</v>
      </c>
      <c r="C458" s="18" t="s">
        <v>11202</v>
      </c>
      <c r="D458" s="5" t="str">
        <f ca="1">IFERROR(__xludf.DUMMYFUNCTION("GOOGLETRANSLATE(B458,""ja"",""vi"")"),"Dion")</f>
        <v>Dion</v>
      </c>
      <c r="E458" s="5" t="str">
        <f ca="1">IFERROR(__xludf.DUMMYFUNCTION("GOOGLETRANSLATE(C458,""ja"",""vi"")"),"Đấu giá&gt; ô tô, xe máy&gt; ô tô cũ, ô tô mới&gt; Mitsubishi&gt; Dion")</f>
        <v>Đấu giá&gt; ô tô, xe máy&gt; ô tô cũ, ô tô mới&gt; Mitsubishi&gt; Dion</v>
      </c>
      <c r="F458" t="str">
        <f t="shared" ca="1" si="7"/>
        <v>"2084048100" : "Dion",</v>
      </c>
    </row>
    <row r="459" spans="1:6" ht="15.75" customHeight="1">
      <c r="A459" s="18">
        <v>2084049187</v>
      </c>
      <c r="B459" s="18" t="s">
        <v>11205</v>
      </c>
      <c r="C459" s="18" t="s">
        <v>11206</v>
      </c>
      <c r="D459" s="5" t="str">
        <f ca="1">IFERROR(__xludf.DUMMYFUNCTION("GOOGLETRANSLATE(B459,""ja"",""vi"")"),"Debonair")</f>
        <v>Debonair</v>
      </c>
      <c r="E459" s="5" t="str">
        <f ca="1">IFERROR(__xludf.DUMMYFUNCTION("GOOGLETRANSLATE(C459,""ja"",""vi"")"),"Đấu giá&gt; ô tô, xe máy&gt; ô tô cũ, ô tô mới&gt; Mitsubishi&gt; Debonair")</f>
        <v>Đấu giá&gt; ô tô, xe máy&gt; ô tô cũ, ô tô mới&gt; Mitsubishi&gt; Debonair</v>
      </c>
      <c r="F459" t="str">
        <f t="shared" ca="1" si="7"/>
        <v>"2084049187" : "Debonair",</v>
      </c>
    </row>
    <row r="460" spans="1:6" ht="15.75" customHeight="1">
      <c r="A460" s="18">
        <v>2084299554</v>
      </c>
      <c r="B460" s="18" t="s">
        <v>11209</v>
      </c>
      <c r="C460" s="18" t="s">
        <v>11210</v>
      </c>
      <c r="D460" s="5" t="str">
        <f ca="1">IFERROR(__xludf.DUMMYFUNCTION("GOOGLETRANSLATE(B460,""ja"",""vi"")"),"Delica D: 2")</f>
        <v>Delica D: 2</v>
      </c>
      <c r="E460" s="5" t="str">
        <f ca="1">IFERROR(__xludf.DUMMYFUNCTION("GOOGLETRANSLATE(C460,""ja"",""vi"")"),"Đấu giá&gt; ô tô, xe máy&gt; ô tô cũ, ô tô mới&gt; Mitsubishi&gt; Delica D: 2")</f>
        <v>Đấu giá&gt; ô tô, xe máy&gt; ô tô cũ, ô tô mới&gt; Mitsubishi&gt; Delica D: 2</v>
      </c>
      <c r="F460" t="str">
        <f t="shared" ca="1" si="7"/>
        <v>"2084299554" : "Delica D: 2",</v>
      </c>
    </row>
    <row r="461" spans="1:6" ht="15.75" customHeight="1">
      <c r="A461" s="18">
        <v>2084299555</v>
      </c>
      <c r="B461" s="18" t="s">
        <v>11215</v>
      </c>
      <c r="C461" s="18" t="s">
        <v>11216</v>
      </c>
      <c r="D461" s="5" t="str">
        <f ca="1">IFERROR(__xludf.DUMMYFUNCTION("GOOGLETRANSLATE(B461,""ja"",""vi"")"),"Delica D: 3")</f>
        <v>Delica D: 3</v>
      </c>
      <c r="E461" s="5" t="str">
        <f ca="1">IFERROR(__xludf.DUMMYFUNCTION("GOOGLETRANSLATE(C461,""ja"",""vi"")"),"Đấu giá&gt; ô tô, xe máy&gt; ô tô cũ, ô tô mới&gt; Mitsubishi&gt; Delica D: 3")</f>
        <v>Đấu giá&gt; ô tô, xe máy&gt; ô tô cũ, ô tô mới&gt; Mitsubishi&gt; Delica D: 3</v>
      </c>
      <c r="F461" t="str">
        <f t="shared" ca="1" si="7"/>
        <v>"2084299555" : "Delica D: 3",</v>
      </c>
    </row>
    <row r="462" spans="1:6" ht="15.75" customHeight="1">
      <c r="A462" s="18">
        <v>2084231249</v>
      </c>
      <c r="B462" s="18" t="s">
        <v>11221</v>
      </c>
      <c r="C462" s="18" t="s">
        <v>11222</v>
      </c>
      <c r="D462" s="5" t="str">
        <f ca="1">IFERROR(__xludf.DUMMYFUNCTION("GOOGLETRANSLATE(B462,""ja"",""vi"")"),"Delica D: 5")</f>
        <v>Delica D: 5</v>
      </c>
      <c r="E462" s="5" t="str">
        <f ca="1">IFERROR(__xludf.DUMMYFUNCTION("GOOGLETRANSLATE(C462,""ja"",""vi"")"),"Đấu giá&gt; ô tô, xe máy&gt; ô tô cũ, ô tô mới&gt; Mitsubishi&gt; Delica D: 5")</f>
        <v>Đấu giá&gt; ô tô, xe máy&gt; ô tô cũ, ô tô mới&gt; Mitsubishi&gt; Delica D: 5</v>
      </c>
      <c r="F462" t="str">
        <f t="shared" ca="1" si="7"/>
        <v>"2084231249" : "Delica D: 5",</v>
      </c>
    </row>
    <row r="463" spans="1:6" ht="15.75" customHeight="1">
      <c r="A463" s="18">
        <v>2084049188</v>
      </c>
      <c r="B463" s="18" t="s">
        <v>11227</v>
      </c>
      <c r="C463" s="18" t="s">
        <v>11228</v>
      </c>
      <c r="D463" s="5" t="str">
        <f ca="1">IFERROR(__xludf.DUMMYFUNCTION("GOOGLETRANSLATE(B463,""ja"",""vi"")"),"Delica hàng")</f>
        <v>Delica hàng</v>
      </c>
      <c r="E463" s="5" t="str">
        <f ca="1">IFERROR(__xludf.DUMMYFUNCTION("GOOGLETRANSLATE(C463,""ja"",""vi"")"),"Đấu giá&gt; ô tô, xe máy&gt; ô tô cũ, ô tô mới&gt; Mitsubishi&gt; Delica Cargo")</f>
        <v>Đấu giá&gt; ô tô, xe máy&gt; ô tô cũ, ô tô mới&gt; Mitsubishi&gt; Delica Cargo</v>
      </c>
      <c r="F463" t="str">
        <f t="shared" ca="1" si="7"/>
        <v>"2084049188" : "Delica hàng",</v>
      </c>
    </row>
    <row r="464" spans="1:6" ht="15.75" customHeight="1">
      <c r="A464" s="18">
        <v>2084048102</v>
      </c>
      <c r="B464" s="18" t="s">
        <v>11233</v>
      </c>
      <c r="C464" s="18" t="s">
        <v>11234</v>
      </c>
      <c r="D464" s="5" t="str">
        <f ca="1">IFERROR(__xludf.DUMMYFUNCTION("GOOGLETRANSLATE(B464,""ja"",""vi"")"),"Delica sao Wagon")</f>
        <v>Delica sao Wagon</v>
      </c>
      <c r="E464" s="5" t="str">
        <f ca="1">IFERROR(__xludf.DUMMYFUNCTION("GOOGLETRANSLATE(C464,""ja"",""vi"")"),"Đấu giá&gt; ô tô, xe máy&gt; ô tô cũ, ô tô mới&gt; Mitsubishi&gt; Delica sao Wagon")</f>
        <v>Đấu giá&gt; ô tô, xe máy&gt; ô tô cũ, ô tô mới&gt; Mitsubishi&gt; Delica sao Wagon</v>
      </c>
      <c r="F464" t="str">
        <f t="shared" ca="1" si="7"/>
        <v>"2084048102" : "Delica sao Wagon",</v>
      </c>
    </row>
    <row r="465" spans="1:6" ht="15.75" customHeight="1">
      <c r="A465" s="18">
        <v>2084048103</v>
      </c>
      <c r="B465" s="18" t="s">
        <v>11239</v>
      </c>
      <c r="C465" s="18" t="s">
        <v>11240</v>
      </c>
      <c r="D465" s="5" t="str">
        <f ca="1">IFERROR(__xludf.DUMMYFUNCTION("GOOGLETRANSLATE(B465,""ja"",""vi"")"),"Delica Space bánh răng")</f>
        <v>Delica Space bánh răng</v>
      </c>
      <c r="E465" s="5" t="str">
        <f ca="1">IFERROR(__xludf.DUMMYFUNCTION("GOOGLETRANSLATE(C465,""ja"",""vi"")"),"Đấu giá&gt; ô tô, xe máy&gt; ô tô cũ, ô tô mới&gt; Mitsubishi&gt; Delica Space bánh răng")</f>
        <v>Đấu giá&gt; ô tô, xe máy&gt; ô tô cũ, ô tô mới&gt; Mitsubishi&gt; Delica Space bánh răng</v>
      </c>
      <c r="F465" t="str">
        <f t="shared" ca="1" si="7"/>
        <v>"2084048103" : "Delica Space bánh răng",</v>
      </c>
    </row>
    <row r="466" spans="1:6" ht="15.75" customHeight="1">
      <c r="A466" s="18">
        <v>2084243784</v>
      </c>
      <c r="B466" s="18" t="s">
        <v>11245</v>
      </c>
      <c r="C466" s="18" t="s">
        <v>11246</v>
      </c>
      <c r="D466" s="5" t="str">
        <f ca="1">IFERROR(__xludf.DUMMYFUNCTION("GOOGLETRANSLATE(B466,""ja"",""vi"")"),"Toppo")</f>
        <v>Toppo</v>
      </c>
      <c r="E466" s="5" t="str">
        <f ca="1">IFERROR(__xludf.DUMMYFUNCTION("GOOGLETRANSLATE(C466,""ja"",""vi"")"),"Đấu giá&gt; ô tô, xe máy&gt; ô tô cũ, ô tô mới&gt; Mitsubishi&gt; Toppo")</f>
        <v>Đấu giá&gt; ô tô, xe máy&gt; ô tô cũ, ô tô mới&gt; Mitsubishi&gt; Toppo</v>
      </c>
      <c r="F466" t="str">
        <f t="shared" ca="1" si="7"/>
        <v>"2084243784" : "Toppo",</v>
      </c>
    </row>
    <row r="467" spans="1:6" ht="15.75" customHeight="1">
      <c r="A467" s="18">
        <v>2084048104</v>
      </c>
      <c r="B467" s="18" t="s">
        <v>11251</v>
      </c>
      <c r="C467" s="18" t="s">
        <v>11253</v>
      </c>
      <c r="D467" s="5" t="str">
        <f ca="1">IFERROR(__xludf.DUMMYFUNCTION("GOOGLETRANSLATE(B467,""ja"",""vi"")"),"Toppo BJ")</f>
        <v>Toppo BJ</v>
      </c>
      <c r="E467" s="5" t="str">
        <f ca="1">IFERROR(__xludf.DUMMYFUNCTION("GOOGLETRANSLATE(C467,""ja"",""vi"")"),"Đấu giá&gt; ô tô, xe máy&gt; ô tô cũ, ô tô mới&gt; Mitsubishi&gt; Toppo BJ")</f>
        <v>Đấu giá&gt; ô tô, xe máy&gt; ô tô cũ, ô tô mới&gt; Mitsubishi&gt; Toppo BJ</v>
      </c>
      <c r="F467" t="str">
        <f t="shared" ca="1" si="7"/>
        <v>"2084048104" : "Toppo BJ",</v>
      </c>
    </row>
    <row r="468" spans="1:6" ht="15.75" customHeight="1">
      <c r="A468" s="18">
        <v>2084049189</v>
      </c>
      <c r="B468" s="18" t="s">
        <v>11257</v>
      </c>
      <c r="C468" s="18" t="s">
        <v>11258</v>
      </c>
      <c r="D468" s="5" t="str">
        <f ca="1">IFERROR(__xludf.DUMMYFUNCTION("GOOGLETRANSLATE(B468,""ja"",""vi"")"),"Toppo BJ Wide")</f>
        <v>Toppo BJ Wide</v>
      </c>
      <c r="E468" s="5" t="str">
        <f ca="1">IFERROR(__xludf.DUMMYFUNCTION("GOOGLETRANSLATE(C468,""ja"",""vi"")"),"Đấu giá&gt; ô tô, xe máy&gt; ô tô cũ, ô tô mới&gt; Mitsubishi&gt; Toppo BJ Wide")</f>
        <v>Đấu giá&gt; ô tô, xe máy&gt; ô tô cũ, ô tô mới&gt; Mitsubishi&gt; Toppo BJ Wide</v>
      </c>
      <c r="F468" t="str">
        <f t="shared" ca="1" si="7"/>
        <v>"2084049189" : "Toppo BJ Wide",</v>
      </c>
    </row>
    <row r="469" spans="1:6" ht="15.75" customHeight="1">
      <c r="A469" s="18">
        <v>2084048105</v>
      </c>
      <c r="B469" s="18" t="s">
        <v>11262</v>
      </c>
      <c r="C469" s="18" t="s">
        <v>11263</v>
      </c>
      <c r="D469" s="5" t="str">
        <f ca="1">IFERROR(__xludf.DUMMYFUNCTION("GOOGLETRANSLATE(B469,""ja"",""vi"")"),"Pajero")</f>
        <v>Pajero</v>
      </c>
      <c r="E469" s="5" t="str">
        <f ca="1">IFERROR(__xludf.DUMMYFUNCTION("GOOGLETRANSLATE(C469,""ja"",""vi"")"),"Đấu giá&gt; ô tô, xe máy&gt; ô tô cũ, ô tô mới&gt; Mitsubishi&gt; Pajero")</f>
        <v>Đấu giá&gt; ô tô, xe máy&gt; ô tô cũ, ô tô mới&gt; Mitsubishi&gt; Pajero</v>
      </c>
      <c r="F469" t="str">
        <f t="shared" ca="1" si="7"/>
        <v>"2084048105" : "Pajero",</v>
      </c>
    </row>
    <row r="470" spans="1:6" ht="15.75" customHeight="1">
      <c r="A470" s="18">
        <v>2084048106</v>
      </c>
      <c r="B470" s="18" t="s">
        <v>11268</v>
      </c>
      <c r="C470" s="18" t="s">
        <v>11269</v>
      </c>
      <c r="D470" s="5" t="str">
        <f ca="1">IFERROR(__xludf.DUMMYFUNCTION("GOOGLETRANSLATE(B470,""ja"",""vi"")"),"Pajeroio")</f>
        <v>Pajeroio</v>
      </c>
      <c r="E470" s="5" t="str">
        <f ca="1">IFERROR(__xludf.DUMMYFUNCTION("GOOGLETRANSLATE(C470,""ja"",""vi"")"),"Đấu giá&gt; ô tô, xe máy&gt; ô tô cũ, ô tô mới&gt; Mitsubishi&gt; Pajeroio")</f>
        <v>Đấu giá&gt; ô tô, xe máy&gt; ô tô cũ, ô tô mới&gt; Mitsubishi&gt; Pajeroio</v>
      </c>
      <c r="F470" t="str">
        <f t="shared" ca="1" si="7"/>
        <v>"2084048106" : "Pajeroio",</v>
      </c>
    </row>
    <row r="471" spans="1:6" ht="15.75" customHeight="1">
      <c r="A471" s="18">
        <v>2084048107</v>
      </c>
      <c r="B471" s="18" t="s">
        <v>11272</v>
      </c>
      <c r="C471" s="18" t="s">
        <v>11275</v>
      </c>
      <c r="D471" s="5" t="str">
        <f ca="1">IFERROR(__xludf.DUMMYFUNCTION("GOOGLETRANSLATE(B471,""ja"",""vi"")"),"Pajero Junior")</f>
        <v>Pajero Junior</v>
      </c>
      <c r="E471" s="5" t="str">
        <f ca="1">IFERROR(__xludf.DUMMYFUNCTION("GOOGLETRANSLATE(C471,""ja"",""vi"")"),"Đấu giá&gt; ô tô, xe máy&gt; ô tô cũ, ô tô mới&gt; Mitsubishi&gt; Pajero Junior")</f>
        <v>Đấu giá&gt; ô tô, xe máy&gt; ô tô cũ, ô tô mới&gt; Mitsubishi&gt; Pajero Junior</v>
      </c>
      <c r="F471" t="str">
        <f t="shared" ca="1" si="7"/>
        <v>"2084048107" : "Pajero Junior",</v>
      </c>
    </row>
    <row r="472" spans="1:6" ht="15.75" customHeight="1">
      <c r="A472" s="18">
        <v>2084048108</v>
      </c>
      <c r="B472" s="18" t="s">
        <v>11277</v>
      </c>
      <c r="C472" s="18" t="s">
        <v>11279</v>
      </c>
      <c r="D472" s="5" t="str">
        <f ca="1">IFERROR(__xludf.DUMMYFUNCTION("GOOGLETRANSLATE(B472,""ja"",""vi"")"),"Pajero Mini")</f>
        <v>Pajero Mini</v>
      </c>
      <c r="E472" s="5" t="str">
        <f ca="1">IFERROR(__xludf.DUMMYFUNCTION("GOOGLETRANSLATE(C472,""ja"",""vi"")"),"Đấu giá&gt; ô tô, xe máy&gt; ô tô cũ, ô tô mới&gt; Mitsubishi&gt; Pajero Mini")</f>
        <v>Đấu giá&gt; ô tô, xe máy&gt; ô tô cũ, ô tô mới&gt; Mitsubishi&gt; Pajero Mini</v>
      </c>
      <c r="F472" t="str">
        <f t="shared" ca="1" si="7"/>
        <v>"2084048108" : "Pajero Mini",</v>
      </c>
    </row>
    <row r="473" spans="1:6" ht="15.75" customHeight="1">
      <c r="A473" s="18">
        <v>2084049190</v>
      </c>
      <c r="B473" s="18" t="s">
        <v>11284</v>
      </c>
      <c r="C473" s="18" t="s">
        <v>11285</v>
      </c>
      <c r="D473" s="5" t="str">
        <f ca="1">IFERROR(__xludf.DUMMYFUNCTION("GOOGLETRANSLATE(B473,""ja"",""vi"")"),"chiến đấu cơ")</f>
        <v>chiến đấu cơ</v>
      </c>
      <c r="E473" s="5" t="str">
        <f ca="1">IFERROR(__xludf.DUMMYFUNCTION("GOOGLETRANSLATE(C473,""ja"",""vi"")"),"Đấu giá&gt; ô tô, xe máy&gt; ô tô cũ, ô tô mới&gt; Mitsubishi&gt; Fighter")</f>
        <v>Đấu giá&gt; ô tô, xe máy&gt; ô tô cũ, ô tô mới&gt; Mitsubishi&gt; Fighter</v>
      </c>
      <c r="F473" t="str">
        <f t="shared" ca="1" si="7"/>
        <v>"2084049190" : "chiến đấu cơ",</v>
      </c>
    </row>
    <row r="474" spans="1:6" ht="15.75" customHeight="1">
      <c r="A474" s="18">
        <v>2084049191</v>
      </c>
      <c r="B474" s="18" t="s">
        <v>11288</v>
      </c>
      <c r="C474" s="18" t="s">
        <v>11290</v>
      </c>
      <c r="D474" s="5" t="str">
        <f ca="1">IFERROR(__xludf.DUMMYFUNCTION("GOOGLETRANSLATE(B474,""ja"",""vi"")"),"người đi ám sát")</f>
        <v>người đi ám sát</v>
      </c>
      <c r="E474" s="5" t="str">
        <f ca="1">IFERROR(__xludf.DUMMYFUNCTION("GOOGLETRANSLATE(C474,""ja"",""vi"")"),"Đấu giá&gt; ô tô, xe máy&gt; ô tô cũ, ô tô mới&gt; Mitsubishi&gt; Bravo")</f>
        <v>Đấu giá&gt; ô tô, xe máy&gt; ô tô cũ, ô tô mới&gt; Mitsubishi&gt; Bravo</v>
      </c>
      <c r="F474" t="str">
        <f t="shared" ca="1" si="7"/>
        <v>"2084049191" : "người đi ám sát",</v>
      </c>
    </row>
    <row r="475" spans="1:6" ht="15.75" customHeight="1">
      <c r="A475" s="18">
        <v>2084313089</v>
      </c>
      <c r="B475" s="18" t="s">
        <v>11294</v>
      </c>
      <c r="C475" s="18" t="s">
        <v>11295</v>
      </c>
      <c r="D475" s="5" t="str">
        <f ca="1">IFERROR(__xludf.DUMMYFUNCTION("GOOGLETRANSLATE(B475,""ja"",""vi"")"),"Puraudia")</f>
        <v>Puraudia</v>
      </c>
      <c r="E475" s="5" t="str">
        <f ca="1">IFERROR(__xludf.DUMMYFUNCTION("GOOGLETRANSLATE(C475,""ja"",""vi"")"),"Đấu giá&gt; ô tô, xe máy&gt; ô tô cũ, ô tô mới&gt; Mitsubishi&gt; Puraudia")</f>
        <v>Đấu giá&gt; ô tô, xe máy&gt; ô tô cũ, ô tô mới&gt; Mitsubishi&gt; Puraudia</v>
      </c>
      <c r="F475" t="str">
        <f t="shared" ca="1" si="7"/>
        <v>"2084313089" : "Puraudia",</v>
      </c>
    </row>
    <row r="476" spans="1:6" ht="15.75" customHeight="1">
      <c r="A476" s="18">
        <v>2084048109</v>
      </c>
      <c r="B476" s="18" t="s">
        <v>11299</v>
      </c>
      <c r="C476" s="18" t="s">
        <v>11300</v>
      </c>
      <c r="D476" s="5" t="str">
        <f ca="1">IFERROR(__xludf.DUMMYFUNCTION("GOOGLETRANSLATE(B476,""ja"",""vi"")"),"Minica")</f>
        <v>Minica</v>
      </c>
      <c r="E476" s="5" t="str">
        <f ca="1">IFERROR(__xludf.DUMMYFUNCTION("GOOGLETRANSLATE(C476,""ja"",""vi"")"),"Đấu giá&gt; ô tô, xe máy&gt; ô tô cũ, ô tô mới&gt; Mitsubishi&gt; Minica")</f>
        <v>Đấu giá&gt; ô tô, xe máy&gt; ô tô cũ, ô tô mới&gt; Mitsubishi&gt; Minica</v>
      </c>
      <c r="F476" t="str">
        <f t="shared" ca="1" si="7"/>
        <v>"2084048109" : "Minica",</v>
      </c>
    </row>
    <row r="477" spans="1:6" ht="15.75" customHeight="1">
      <c r="A477" s="18">
        <v>2084048110</v>
      </c>
      <c r="B477" s="18" t="s">
        <v>11304</v>
      </c>
      <c r="C477" s="18" t="s">
        <v>11305</v>
      </c>
      <c r="D477" s="5" t="str">
        <f ca="1">IFERROR(__xludf.DUMMYFUNCTION("GOOGLETRANSLATE(B477,""ja"",""vi"")"),"Minikatoppo")</f>
        <v>Minikatoppo</v>
      </c>
      <c r="E477" s="5" t="str">
        <f ca="1">IFERROR(__xludf.DUMMYFUNCTION("GOOGLETRANSLATE(C477,""ja"",""vi"")"),"Đấu giá&gt; ô tô, xe máy&gt; ô tô cũ, ô tô mới&gt; Mitsubishi&gt; Minikatoppo")</f>
        <v>Đấu giá&gt; ô tô, xe máy&gt; ô tô cũ, ô tô mới&gt; Mitsubishi&gt; Minikatoppo</v>
      </c>
      <c r="F477" t="str">
        <f t="shared" ca="1" si="7"/>
        <v>"2084048110" : "Minikatoppo",</v>
      </c>
    </row>
    <row r="478" spans="1:6" ht="15.75" customHeight="1">
      <c r="A478" s="18">
        <v>2084049192</v>
      </c>
      <c r="B478" s="18" t="s">
        <v>11309</v>
      </c>
      <c r="C478" s="18" t="s">
        <v>11310</v>
      </c>
      <c r="D478" s="5" t="str">
        <f ca="1">IFERROR(__xludf.DUMMYFUNCTION("GOOGLETRANSLATE(B478,""ja"",""vi"")"),"xe tắc xi nhỏ")</f>
        <v>xe tắc xi nhỏ</v>
      </c>
      <c r="E478" s="5" t="str">
        <f ca="1">IFERROR(__xludf.DUMMYFUNCTION("GOOGLETRANSLATE(C478,""ja"",""vi"")"),"Đấu giá&gt; ô tô, xe máy&gt; ô tô cũ, ô tô mới&gt; Mitsubishi&gt; minicab")</f>
        <v>Đấu giá&gt; ô tô, xe máy&gt; ô tô cũ, ô tô mới&gt; Mitsubishi&gt; minicab</v>
      </c>
      <c r="F478" t="str">
        <f t="shared" ca="1" si="7"/>
        <v>"2084049192" : "xe tắc xi nhỏ",</v>
      </c>
    </row>
    <row r="479" spans="1:6" ht="15.75" customHeight="1">
      <c r="A479" s="18">
        <v>2084048111</v>
      </c>
      <c r="B479" s="18" t="s">
        <v>11314</v>
      </c>
      <c r="C479" s="18" t="s">
        <v>11315</v>
      </c>
      <c r="D479" s="5" t="str">
        <f ca="1">IFERROR(__xludf.DUMMYFUNCTION("GOOGLETRANSLATE(B479,""ja"",""vi"")"),"Mini-taxi xe tải")</f>
        <v>Mini-taxi xe tải</v>
      </c>
      <c r="E479" s="5" t="str">
        <f ca="1">IFERROR(__xludf.DUMMYFUNCTION("GOOGLETRANSLATE(C479,""ja"",""vi"")"),"Đấu giá&gt; ô tô, xe máy&gt; ô tô cũ, ô tô mới&gt; Mitsubishi&gt; xe tải mini-taxi")</f>
        <v>Đấu giá&gt; ô tô, xe máy&gt; ô tô cũ, ô tô mới&gt; Mitsubishi&gt; xe tải mini-taxi</v>
      </c>
      <c r="F479" t="str">
        <f t="shared" ca="1" si="7"/>
        <v>"2084048111" : "Mini-taxi xe tải",</v>
      </c>
    </row>
    <row r="480" spans="1:6" ht="15.75" customHeight="1">
      <c r="A480" s="18">
        <v>2084048112</v>
      </c>
      <c r="B480" s="18" t="s">
        <v>11319</v>
      </c>
      <c r="C480" s="18" t="s">
        <v>11321</v>
      </c>
      <c r="D480" s="5" t="str">
        <f ca="1">IFERROR(__xludf.DUMMYFUNCTION("GOOGLETRANSLATE(B480,""ja"",""vi"")"),"Mini taxi van")</f>
        <v>Mini taxi van</v>
      </c>
      <c r="E480" s="5" t="str">
        <f ca="1">IFERROR(__xludf.DUMMYFUNCTION("GOOGLETRANSLATE(C480,""ja"",""vi"")"),"Đấu giá&gt; ô tô, xe máy&gt; ô tô cũ, ô tô mới&gt; Mitsubishi&gt; minicab van")</f>
        <v>Đấu giá&gt; ô tô, xe máy&gt; ô tô cũ, ô tô mới&gt; Mitsubishi&gt; minicab van</v>
      </c>
      <c r="F480" t="str">
        <f t="shared" ca="1" si="7"/>
        <v>"2084048112" : "Mini taxi van",</v>
      </c>
    </row>
    <row r="481" spans="1:6" ht="15.75" customHeight="1">
      <c r="A481" s="18">
        <v>2084048113</v>
      </c>
      <c r="B481" s="18" t="s">
        <v>11324</v>
      </c>
      <c r="C481" s="18" t="s">
        <v>11326</v>
      </c>
      <c r="D481" s="5" t="str">
        <f ca="1">IFERROR(__xludf.DUMMYFUNCTION("GOOGLETRANSLATE(B481,""ja"",""vi"")"),"ảo ảnh")</f>
        <v>ảo ảnh</v>
      </c>
      <c r="E481" s="5" t="str">
        <f ca="1">IFERROR(__xludf.DUMMYFUNCTION("GOOGLETRANSLATE(C481,""ja"",""vi"")"),"Đấu giá&gt; ô tô, xe máy&gt; ô tô cũ, ô tô mới&gt; Mitsubishi&gt; Mirage")</f>
        <v>Đấu giá&gt; ô tô, xe máy&gt; ô tô cũ, ô tô mới&gt; Mitsubishi&gt; Mirage</v>
      </c>
      <c r="F481" t="str">
        <f t="shared" ca="1" si="7"/>
        <v>"2084048113" : "ảo ảnh",</v>
      </c>
    </row>
    <row r="482" spans="1:6" ht="15.75" customHeight="1">
      <c r="A482" s="18">
        <v>2084048101</v>
      </c>
      <c r="B482" s="18" t="s">
        <v>11328</v>
      </c>
      <c r="C482" s="18" t="s">
        <v>11330</v>
      </c>
      <c r="D482" s="5" t="str">
        <f ca="1">IFERROR(__xludf.DUMMYFUNCTION("GOOGLETRANSLATE(B482,""ja"",""vi"")"),"Mirage Dingo")</f>
        <v>Mirage Dingo</v>
      </c>
      <c r="E482" s="5" t="str">
        <f ca="1">IFERROR(__xludf.DUMMYFUNCTION("GOOGLETRANSLATE(C482,""ja"",""vi"")"),"Đấu giá&gt; ô tô, xe máy&gt; ô tô cũ, ô tô mới&gt; Mitsubishi&gt; Mirage Dingo")</f>
        <v>Đấu giá&gt; ô tô, xe máy&gt; ô tô cũ, ô tô mới&gt; Mitsubishi&gt; Mirage Dingo</v>
      </c>
      <c r="F482" t="str">
        <f t="shared" ca="1" si="7"/>
        <v>"2084048101" : "Mirage Dingo",</v>
      </c>
    </row>
    <row r="483" spans="1:6" ht="15.75" customHeight="1">
      <c r="A483" s="18">
        <v>2084048115</v>
      </c>
      <c r="B483" s="18" t="s">
        <v>11333</v>
      </c>
      <c r="C483" s="18" t="s">
        <v>11335</v>
      </c>
      <c r="D483" s="5" t="str">
        <f ca="1">IFERROR(__xludf.DUMMYFUNCTION("GOOGLETRANSLATE(B483,""ja"",""vi"")"),"kỵ binh cầm thương")</f>
        <v>kỵ binh cầm thương</v>
      </c>
      <c r="E483" s="5" t="str">
        <f ca="1">IFERROR(__xludf.DUMMYFUNCTION("GOOGLETRANSLATE(C483,""ja"",""vi"")"),"Đấu giá&gt; ô tô, xe máy&gt; ô tô cũ, ô tô mới&gt; Mitsubishi&gt; Lancer")</f>
        <v>Đấu giá&gt; ô tô, xe máy&gt; ô tô cũ, ô tô mới&gt; Mitsubishi&gt; Lancer</v>
      </c>
      <c r="F483" t="str">
        <f t="shared" ca="1" si="7"/>
        <v>"2084048115" : "kỵ binh cầm thương",</v>
      </c>
    </row>
    <row r="484" spans="1:6" ht="15.75" customHeight="1">
      <c r="A484" s="18">
        <v>2084049193</v>
      </c>
      <c r="B484" s="18" t="s">
        <v>11338</v>
      </c>
      <c r="C484" s="18" t="s">
        <v>11339</v>
      </c>
      <c r="D484" s="5" t="str">
        <f ca="1">IFERROR(__xludf.DUMMYFUNCTION("GOOGLETRANSLATE(B484,""ja"",""vi"")"),"Lancer Evolution")</f>
        <v>Lancer Evolution</v>
      </c>
      <c r="E484" s="5" t="str">
        <f ca="1">IFERROR(__xludf.DUMMYFUNCTION("GOOGLETRANSLATE(C484,""ja"",""vi"")"),"Đấu giá&gt; ô tô, xe máy&gt; ô tô cũ, ô tô mới&gt; Mitsubishi&gt; Lancer Evolution")</f>
        <v>Đấu giá&gt; ô tô, xe máy&gt; ô tô cũ, ô tô mới&gt; Mitsubishi&gt; Lancer Evolution</v>
      </c>
      <c r="F484" t="str">
        <f t="shared" ca="1" si="7"/>
        <v>"2084049193" : "Lancer Evolution",</v>
      </c>
    </row>
    <row r="485" spans="1:6" ht="15.75" customHeight="1">
      <c r="A485" s="18">
        <v>2084048116</v>
      </c>
      <c r="B485" s="18" t="s">
        <v>11345</v>
      </c>
      <c r="C485" s="18" t="s">
        <v>11347</v>
      </c>
      <c r="D485" s="5" t="str">
        <f ca="1">IFERROR(__xludf.DUMMYFUNCTION("GOOGLETRANSLATE(B485,""ja"",""vi"")"),"Lancer CEDIA")</f>
        <v>Lancer CEDIA</v>
      </c>
      <c r="E485" s="5" t="str">
        <f ca="1">IFERROR(__xludf.DUMMYFUNCTION("GOOGLETRANSLATE(C485,""ja"",""vi"")"),"Đấu giá&gt; ô tô, xe máy&gt; ô tô cũ, ô tô mới&gt; Mitsubishi&gt; Lancer CEDIA")</f>
        <v>Đấu giá&gt; ô tô, xe máy&gt; ô tô cũ, ô tô mới&gt; Mitsubishi&gt; Lancer CEDIA</v>
      </c>
      <c r="F485" t="str">
        <f t="shared" ca="1" si="7"/>
        <v>"2084048116" : "Lancer CEDIA",</v>
      </c>
    </row>
    <row r="486" spans="1:6" ht="15.75" customHeight="1">
      <c r="A486" s="18">
        <v>2084048117</v>
      </c>
      <c r="B486" s="18" t="s">
        <v>11349</v>
      </c>
      <c r="C486" s="18" t="s">
        <v>11351</v>
      </c>
      <c r="D486" s="5" t="str">
        <f ca="1">IFERROR(__xludf.DUMMYFUNCTION("GOOGLETRANSLATE(B486,""ja"",""vi"")"),"Lancer CEDIA Wagon")</f>
        <v>Lancer CEDIA Wagon</v>
      </c>
      <c r="E486" s="5" t="str">
        <f ca="1">IFERROR(__xludf.DUMMYFUNCTION("GOOGLETRANSLATE(C486,""ja"",""vi"")"),"Đấu giá&gt; ô tô, xe máy&gt; ô tô cũ, ô tô mới&gt; Mitsubishi&gt; Lancer CEDIA Wagon")</f>
        <v>Đấu giá&gt; ô tô, xe máy&gt; ô tô cũ, ô tô mới&gt; Mitsubishi&gt; Lancer CEDIA Wagon</v>
      </c>
      <c r="F486" t="str">
        <f t="shared" ca="1" si="7"/>
        <v>"2084048117" : "Lancer CEDIA Wagon",</v>
      </c>
    </row>
    <row r="487" spans="1:6" ht="15.75" customHeight="1">
      <c r="A487" s="18">
        <v>2084048118</v>
      </c>
      <c r="B487" s="18" t="s">
        <v>11354</v>
      </c>
      <c r="C487" s="18" t="s">
        <v>11357</v>
      </c>
      <c r="D487" s="5" t="str">
        <f ca="1">IFERROR(__xludf.DUMMYFUNCTION("GOOGLETRANSLATE(B487,""ja"",""vi"")"),"Libero")</f>
        <v>Libero</v>
      </c>
      <c r="E487" s="5" t="str">
        <f ca="1">IFERROR(__xludf.DUMMYFUNCTION("GOOGLETRANSLATE(C487,""ja"",""vi"")"),"Đấu giá&gt; ô tô, xe máy&gt; ô tô cũ, ô tô mới&gt; Mitsubishi&gt; Libero")</f>
        <v>Đấu giá&gt; ô tô, xe máy&gt; ô tô cũ, ô tô mới&gt; Mitsubishi&gt; Libero</v>
      </c>
      <c r="F487" t="str">
        <f t="shared" ca="1" si="7"/>
        <v>"2084048118" : "Libero",</v>
      </c>
    </row>
    <row r="488" spans="1:6" ht="15.75" customHeight="1">
      <c r="A488" s="18">
        <v>2084048119</v>
      </c>
      <c r="B488" s="18" t="s">
        <v>11361</v>
      </c>
      <c r="C488" s="18" t="s">
        <v>11363</v>
      </c>
      <c r="D488" s="5" t="str">
        <f ca="1">IFERROR(__xludf.DUMMYFUNCTION("GOOGLETRANSLATE(B488,""ja"",""vi"")"),"Regnum")</f>
        <v>Regnum</v>
      </c>
      <c r="E488" s="5" t="str">
        <f ca="1">IFERROR(__xludf.DUMMYFUNCTION("GOOGLETRANSLATE(C488,""ja"",""vi"")"),"Đấu giá&gt; ô tô, xe máy&gt; ô tô cũ, ô tô mới&gt; Mitsubishi&gt; Regnum")</f>
        <v>Đấu giá&gt; ô tô, xe máy&gt; ô tô cũ, ô tô mới&gt; Mitsubishi&gt; Regnum</v>
      </c>
      <c r="F488" t="str">
        <f t="shared" ca="1" si="7"/>
        <v>"2084048119" : "Regnum",</v>
      </c>
    </row>
    <row r="489" spans="1:6" ht="15.75" customHeight="1">
      <c r="A489" s="18">
        <v>2084313090</v>
      </c>
      <c r="B489" s="18" t="s">
        <v>11368</v>
      </c>
      <c r="C489" s="18" t="s">
        <v>11369</v>
      </c>
      <c r="D489" s="5" t="str">
        <f ca="1">IFERROR(__xludf.DUMMYFUNCTION("GOOGLETRANSLATE(B489,""ja"",""vi"")"),"Rosa")</f>
        <v>Rosa</v>
      </c>
      <c r="E489" s="5" t="str">
        <f ca="1">IFERROR(__xludf.DUMMYFUNCTION("GOOGLETRANSLATE(C489,""ja"",""vi"")"),"Đấu giá&gt; ô tô, xe máy&gt; ô tô cũ, ô tô mới&gt; Mitsubishi&gt; Rosa")</f>
        <v>Đấu giá&gt; ô tô, xe máy&gt; ô tô cũ, ô tô mới&gt; Mitsubishi&gt; Rosa</v>
      </c>
      <c r="F489" t="str">
        <f t="shared" ca="1" si="7"/>
        <v>"2084313090" : "Rosa",</v>
      </c>
    </row>
    <row r="490" spans="1:6" ht="15.75" customHeight="1">
      <c r="A490" s="18">
        <v>2084048087</v>
      </c>
      <c r="B490" s="18" t="s">
        <v>46</v>
      </c>
      <c r="C490" s="18" t="s">
        <v>11375</v>
      </c>
      <c r="D490" s="5" t="str">
        <f ca="1">IFERROR(__xludf.DUMMYFUNCTION("GOOGLETRANSLATE(B490,""ja"",""vi"")"),"nếu không thì")</f>
        <v>nếu không thì</v>
      </c>
      <c r="E490" s="5" t="str">
        <f ca="1">IFERROR(__xludf.DUMMYFUNCTION("GOOGLETRANSLATE(C490,""ja"",""vi"")"),"Đấu giá&gt; ô tô, xe máy&gt; ô tô cũ, ô tô mới&gt; Mitsubishi&gt; Khác")</f>
        <v>Đấu giá&gt; ô tô, xe máy&gt; ô tô cũ, ô tô mới&gt; Mitsubishi&gt; Khác</v>
      </c>
      <c r="F490" t="str">
        <f t="shared" ca="1" si="7"/>
        <v>"2084048087" : "nếu không thì",</v>
      </c>
    </row>
    <row r="491" spans="1:6" ht="15.75" customHeight="1">
      <c r="A491" s="18">
        <v>2084022924</v>
      </c>
      <c r="B491" s="18" t="s">
        <v>11378</v>
      </c>
      <c r="C491" s="18" t="s">
        <v>11380</v>
      </c>
      <c r="D491" s="5" t="str">
        <f ca="1">IFERROR(__xludf.DUMMYFUNCTION("GOOGLETRANSLATE(B491,""ja"",""vi"")"),"180SX")</f>
        <v>180SX</v>
      </c>
      <c r="E491" s="5" t="str">
        <f ca="1">IFERROR(__xludf.DUMMYFUNCTION("GOOGLETRANSLATE(C491,""ja"",""vi"")"),"Đấu giá&gt; ô tô, xe máy&gt; ô tô cũ, ô tô mới&gt; Nissan&gt; 180SX")</f>
        <v>Đấu giá&gt; ô tô, xe máy&gt; ô tô cũ, ô tô mới&gt; Nissan&gt; 180SX</v>
      </c>
      <c r="F491" t="str">
        <f t="shared" ca="1" si="7"/>
        <v>"2084022924" : "180SX",</v>
      </c>
    </row>
    <row r="492" spans="1:6" ht="15.75" customHeight="1">
      <c r="A492" s="18">
        <v>2084048052</v>
      </c>
      <c r="B492" s="18" t="s">
        <v>11382</v>
      </c>
      <c r="C492" s="18" t="s">
        <v>11384</v>
      </c>
      <c r="D492" s="5" t="str">
        <f ca="1">IFERROR(__xludf.DUMMYFUNCTION("GOOGLETRANSLATE(B492,""ja"",""vi"")"),"AD Văn")</f>
        <v>AD Văn</v>
      </c>
      <c r="E492" s="5" t="str">
        <f ca="1">IFERROR(__xludf.DUMMYFUNCTION("GOOGLETRANSLATE(C492,""ja"",""vi"")"),"Đấu giá&gt; ô tô, xe máy&gt; ô tô cũ, ô tô mới&gt; Nissan&gt; AD van")</f>
        <v>Đấu giá&gt; ô tô, xe máy&gt; ô tô cũ, ô tô mới&gt; Nissan&gt; AD van</v>
      </c>
      <c r="F492" t="str">
        <f t="shared" ca="1" si="7"/>
        <v>"2084048052" : "AD Văn",</v>
      </c>
    </row>
    <row r="493" spans="1:6" ht="15.75" customHeight="1">
      <c r="A493" s="18">
        <v>2084022926</v>
      </c>
      <c r="B493" s="18" t="s">
        <v>11387</v>
      </c>
      <c r="C493" s="18" t="s">
        <v>11388</v>
      </c>
      <c r="D493" s="5" t="str">
        <f ca="1">IFERROR(__xludf.DUMMYFUNCTION("GOOGLETRANSLATE(B493,""ja"",""vi"")"),"Be-1")</f>
        <v>Be-1</v>
      </c>
      <c r="E493" s="5" t="str">
        <f ca="1">IFERROR(__xludf.DUMMYFUNCTION("GOOGLETRANSLATE(C493,""ja"",""vi"")"),"Đấu giá&gt; ô tô, xe máy&gt; ô tô cũ, ô tô mới&gt; Nissan&gt; Be-1")</f>
        <v>Đấu giá&gt; ô tô, xe máy&gt; ô tô cũ, ô tô mới&gt; Nissan&gt; Be-1</v>
      </c>
      <c r="F493" t="str">
        <f t="shared" ca="1" si="7"/>
        <v>"2084022926" : "Be-1",</v>
      </c>
    </row>
    <row r="494" spans="1:6" ht="15.75" customHeight="1">
      <c r="A494" s="18">
        <v>2084231227</v>
      </c>
      <c r="B494" s="18" t="s">
        <v>11393</v>
      </c>
      <c r="C494" s="18" t="s">
        <v>11395</v>
      </c>
      <c r="D494" s="5" t="str">
        <f ca="1">IFERROR(__xludf.DUMMYFUNCTION("GOOGLETRANSLATE(B494,""ja"",""vi"")"),"GT-R")</f>
        <v>GT-R</v>
      </c>
      <c r="E494" s="5" t="str">
        <f ca="1">IFERROR(__xludf.DUMMYFUNCTION("GOOGLETRANSLATE(C494,""ja"",""vi"")"),"Đấu giá&gt; ô tô, xe máy&gt; ô tô cũ, ô tô mới&gt; Nissan&gt; GT-R")</f>
        <v>Đấu giá&gt; ô tô, xe máy&gt; ô tô cũ, ô tô mới&gt; Nissan&gt; GT-R</v>
      </c>
      <c r="F494" t="str">
        <f t="shared" ca="1" si="7"/>
        <v>"2084231227" : "GT-R",</v>
      </c>
    </row>
    <row r="495" spans="1:6" ht="15.75" customHeight="1">
      <c r="A495" s="18">
        <v>2084243786</v>
      </c>
      <c r="B495" s="18" t="s">
        <v>11399</v>
      </c>
      <c r="C495" s="18" t="s">
        <v>11400</v>
      </c>
      <c r="D495" s="5" t="str">
        <f ca="1">IFERROR(__xludf.DUMMYFUNCTION("GOOGLETRANSLATE(B495,""ja"",""vi"")"),"NV200 Vanette")</f>
        <v>NV200 Vanette</v>
      </c>
      <c r="E495" s="5" t="str">
        <f ca="1">IFERROR(__xludf.DUMMYFUNCTION("GOOGLETRANSLATE(C495,""ja"",""vi"")"),"Đấu giá&gt; ô tô, xe máy&gt; ô tô cũ, ô tô mới&gt; Nissan&gt; NV200 Vanette")</f>
        <v>Đấu giá&gt; ô tô, xe máy&gt; ô tô cũ, ô tô mới&gt; Nissan&gt; NV200 Vanette</v>
      </c>
      <c r="F495" t="str">
        <f t="shared" ca="1" si="7"/>
        <v>"2084243786" : "NV200 Vanette",</v>
      </c>
    </row>
    <row r="496" spans="1:6" ht="15.75" customHeight="1">
      <c r="A496" s="18">
        <v>2084243787</v>
      </c>
      <c r="B496" s="18" t="s">
        <v>11405</v>
      </c>
      <c r="C496" s="18" t="s">
        <v>11407</v>
      </c>
      <c r="D496" s="5" t="str">
        <f ca="1">IFERROR(__xludf.DUMMYFUNCTION("GOOGLETRANSLATE(B496,""ja"",""vi"")"),"NV200 Vanette van")</f>
        <v>NV200 Vanette van</v>
      </c>
      <c r="E496" s="5" t="str">
        <f ca="1">IFERROR(__xludf.DUMMYFUNCTION("GOOGLETRANSLATE(C496,""ja"",""vi"")"),"Đấu giá&gt; ô tô, xe máy&gt; ô tô cũ, ô tô mới&gt; Nissan&gt; NV200 Vanette van")</f>
        <v>Đấu giá&gt; ô tô, xe máy&gt; ô tô cũ, ô tô mới&gt; Nissan&gt; NV200 Vanette van</v>
      </c>
      <c r="F496" t="str">
        <f t="shared" ca="1" si="7"/>
        <v>"2084243787" : "NV200 Vanette van",</v>
      </c>
    </row>
    <row r="497" spans="1:6" ht="15.75" customHeight="1">
      <c r="A497" s="18">
        <v>2084022928</v>
      </c>
      <c r="B497" s="18" t="s">
        <v>11413</v>
      </c>
      <c r="C497" s="18" t="s">
        <v>11414</v>
      </c>
      <c r="D497" s="5" t="str">
        <f ca="1">IFERROR(__xludf.DUMMYFUNCTION("GOOGLETRANSLATE(B497,""ja"",""vi"")"),"NX coupe")</f>
        <v>NX coupe</v>
      </c>
      <c r="E497" s="5" t="str">
        <f ca="1">IFERROR(__xludf.DUMMYFUNCTION("GOOGLETRANSLATE(C497,""ja"",""vi"")"),"Đấu giá&gt; ô tô, xe máy&gt; ô tô cũ, ô tô mới&gt; Nissan&gt; NX coupe")</f>
        <v>Đấu giá&gt; ô tô, xe máy&gt; ô tô cũ, ô tô mới&gt; Nissan&gt; NX coupe</v>
      </c>
      <c r="F497" t="str">
        <f t="shared" ca="1" si="7"/>
        <v>"2084022928" : "NX coupe",</v>
      </c>
    </row>
    <row r="498" spans="1:6" ht="15.75" customHeight="1">
      <c r="A498" s="18">
        <v>2084048053</v>
      </c>
      <c r="B498" s="18" t="s">
        <v>11418</v>
      </c>
      <c r="C498" s="18" t="s">
        <v>11420</v>
      </c>
      <c r="D498" s="5" t="str">
        <f ca="1">IFERROR(__xludf.DUMMYFUNCTION("GOOGLETRANSLATE(B498,""ja"",""vi"")"),"bản đồ")</f>
        <v>bản đồ</v>
      </c>
      <c r="E498" s="5" t="str">
        <f ca="1">IFERROR(__xludf.DUMMYFUNCTION("GOOGLETRANSLATE(C498,""ja"",""vi"")"),"Đấu giá&gt; ô tô, xe máy&gt; ô tô cũ, ô tô mới&gt; Nissan&gt; Atlas")</f>
        <v>Đấu giá&gt; ô tô, xe máy&gt; ô tô cũ, ô tô mới&gt; Nissan&gt; Atlas</v>
      </c>
      <c r="F498" t="str">
        <f t="shared" ca="1" si="7"/>
        <v>"2084048053" : "bản đồ",</v>
      </c>
    </row>
    <row r="499" spans="1:6" ht="15.75" customHeight="1">
      <c r="A499" s="18">
        <v>2084022929</v>
      </c>
      <c r="B499" s="18" t="s">
        <v>11423</v>
      </c>
      <c r="C499" s="18" t="s">
        <v>11425</v>
      </c>
      <c r="D499" s="5" t="str">
        <f ca="1">IFERROR(__xludf.DUMMYFUNCTION("GOOGLETRANSLATE(B499,""ja"",""vi"")"),"Avenir")</f>
        <v>Avenir</v>
      </c>
      <c r="E499" s="5" t="str">
        <f ca="1">IFERROR(__xludf.DUMMYFUNCTION("GOOGLETRANSLATE(C499,""ja"",""vi"")"),"Đấu giá&gt; ô tô, xe máy&gt; ô tô cũ, ô tô mới&gt; Nissan&gt; Avenir")</f>
        <v>Đấu giá&gt; ô tô, xe máy&gt; ô tô cũ, ô tô mới&gt; Nissan&gt; Avenir</v>
      </c>
      <c r="F499" t="str">
        <f t="shared" ca="1" si="7"/>
        <v>"2084022929" : "Avenir",</v>
      </c>
    </row>
    <row r="500" spans="1:6" ht="15.75" customHeight="1">
      <c r="A500" s="18">
        <v>2084049196</v>
      </c>
      <c r="B500" s="18" t="s">
        <v>11429</v>
      </c>
      <c r="C500" s="18" t="s">
        <v>11430</v>
      </c>
      <c r="D500" s="5" t="str">
        <f ca="1">IFERROR(__xludf.DUMMYFUNCTION("GOOGLETRANSLATE(B500,""ja"",""vi"")"),"Avenir Salut")</f>
        <v>Avenir Salut</v>
      </c>
      <c r="E500" s="5" t="str">
        <f ca="1">IFERROR(__xludf.DUMMYFUNCTION("GOOGLETRANSLATE(C500,""ja"",""vi"")"),"Đấu giá&gt; ô tô, xe máy&gt; ô tô cũ, ô tô mới&gt; Nissan&gt; Avenir Salut")</f>
        <v>Đấu giá&gt; ô tô, xe máy&gt; ô tô cũ, ô tô mới&gt; Nissan&gt; Avenir Salut</v>
      </c>
      <c r="F500" t="str">
        <f t="shared" ca="1" si="7"/>
        <v>"2084049196" : "Avenir Salut",</v>
      </c>
    </row>
    <row r="501" spans="1:6" ht="15.75" customHeight="1">
      <c r="A501" s="18">
        <v>2084204884</v>
      </c>
      <c r="B501" s="18" t="s">
        <v>11434</v>
      </c>
      <c r="C501" s="18" t="s">
        <v>11436</v>
      </c>
      <c r="D501" s="5" t="str">
        <f ca="1">IFERROR(__xludf.DUMMYFUNCTION("GOOGLETRANSLATE(B501,""ja"",""vi"")"),"vô cực")</f>
        <v>vô cực</v>
      </c>
      <c r="E501" s="5" t="str">
        <f ca="1">IFERROR(__xludf.DUMMYFUNCTION("GOOGLETRANSLATE(C501,""ja"",""vi"")"),"Đấu giá&gt; ô tô, xe máy&gt; ô tô cũ, ô tô mới&gt; Nissan&gt; Infiniti")</f>
        <v>Đấu giá&gt; ô tô, xe máy&gt; ô tô cũ, ô tô mới&gt; Nissan&gt; Infiniti</v>
      </c>
      <c r="F501" t="str">
        <f t="shared" ca="1" si="7"/>
        <v>"2084204884" : "vô cực",</v>
      </c>
    </row>
    <row r="502" spans="1:6" ht="15.75" customHeight="1">
      <c r="A502" s="18">
        <v>2084048054</v>
      </c>
      <c r="B502" s="18" t="s">
        <v>11440</v>
      </c>
      <c r="C502" s="18" t="s">
        <v>11441</v>
      </c>
      <c r="D502" s="5" t="str">
        <f ca="1">IFERROR(__xludf.DUMMYFUNCTION("GOOGLETRANSLATE(B502,""ja"",""vi"")"),"Infiniti Q45")</f>
        <v>Infiniti Q45</v>
      </c>
      <c r="E502" s="5" t="str">
        <f ca="1">IFERROR(__xludf.DUMMYFUNCTION("GOOGLETRANSLATE(C502,""ja"",""vi"")"),"Đấu giá&gt; ô tô, xe máy&gt; ô tô cũ, ô tô mới&gt; Nissan&gt; Infiniti Q45")</f>
        <v>Đấu giá&gt; ô tô, xe máy&gt; ô tô cũ, ô tô mới&gt; Nissan&gt; Infiniti Q45</v>
      </c>
      <c r="F502" t="str">
        <f t="shared" ca="1" si="7"/>
        <v>"2084048054" : "Infiniti Q45",</v>
      </c>
    </row>
    <row r="503" spans="1:6" ht="15.75" customHeight="1">
      <c r="A503" s="18">
        <v>2084022930</v>
      </c>
      <c r="B503" s="18" t="s">
        <v>11445</v>
      </c>
      <c r="C503" s="18" t="s">
        <v>11446</v>
      </c>
      <c r="D503" s="5" t="str">
        <f ca="1">IFERROR(__xludf.DUMMYFUNCTION("GOOGLETRANSLATE(B503,""ja"",""vi"")"),"Wingroad")</f>
        <v>Wingroad</v>
      </c>
      <c r="E503" s="5" t="str">
        <f ca="1">IFERROR(__xludf.DUMMYFUNCTION("GOOGLETRANSLATE(C503,""ja"",""vi"")"),"Đấu giá&gt; ô tô, xe máy&gt; ô tô cũ, ô tô mới&gt; Nissan&gt; Wingroad")</f>
        <v>Đấu giá&gt; ô tô, xe máy&gt; ô tô cũ, ô tô mới&gt; Nissan&gt; Wingroad</v>
      </c>
      <c r="F503" t="str">
        <f t="shared" ca="1" si="7"/>
        <v>"2084022930" : "Wingroad",</v>
      </c>
    </row>
    <row r="504" spans="1:6" ht="15.75" customHeight="1">
      <c r="A504" s="18">
        <v>2084049197</v>
      </c>
      <c r="B504" s="18" t="s">
        <v>11450</v>
      </c>
      <c r="C504" s="18" t="s">
        <v>11451</v>
      </c>
      <c r="D504" s="5" t="str">
        <f ca="1">IFERROR(__xludf.DUMMYFUNCTION("GOOGLETRANSLATE(B504,""ja"",""vi"")"),"thạo")</f>
        <v>thạo</v>
      </c>
      <c r="E504" s="5" t="str">
        <f ca="1">IFERROR(__xludf.DUMMYFUNCTION("GOOGLETRANSLATE(C504,""ja"",""vi"")"),"Đấu giá&gt; ô tô, xe máy&gt; ô tô cũ, ô tô mới&gt; Nissan&gt; chuyên gia")</f>
        <v>Đấu giá&gt; ô tô, xe máy&gt; ô tô cũ, ô tô mới&gt; Nissan&gt; chuyên gia</v>
      </c>
      <c r="F504" t="str">
        <f t="shared" ca="1" si="7"/>
        <v>"2084049197" : "thạo",</v>
      </c>
    </row>
    <row r="505" spans="1:6" ht="15.75" customHeight="1">
      <c r="A505" s="18">
        <v>2084022927</v>
      </c>
      <c r="B505" s="18" t="s">
        <v>11454</v>
      </c>
      <c r="C505" s="18" t="s">
        <v>11457</v>
      </c>
      <c r="D505" s="5" t="str">
        <f ca="1">IFERROR(__xludf.DUMMYFUNCTION("GOOGLETRANSLATE(B505,""ja"",""vi"")"),"exa")</f>
        <v>exa</v>
      </c>
      <c r="E505" s="5" t="str">
        <f ca="1">IFERROR(__xludf.DUMMYFUNCTION("GOOGLETRANSLATE(C505,""ja"",""vi"")"),"Đấu giá&gt; ô tô, xe máy&gt; ô tô cũ, ô tô mới&gt; Nissan&gt; exa")</f>
        <v>Đấu giá&gt; ô tô, xe máy&gt; ô tô cũ, ô tô mới&gt; Nissan&gt; exa</v>
      </c>
      <c r="F505" t="str">
        <f t="shared" ca="1" si="7"/>
        <v>"2084022927" : "exa",</v>
      </c>
    </row>
    <row r="506" spans="1:6" ht="15.75" customHeight="1">
      <c r="A506" s="18">
        <v>2084022931</v>
      </c>
      <c r="B506" s="18" t="s">
        <v>11460</v>
      </c>
      <c r="C506" s="18" t="s">
        <v>11462</v>
      </c>
      <c r="D506" s="5" t="str">
        <f ca="1">IFERROR(__xludf.DUMMYFUNCTION("GOOGLETRANSLATE(B506,""ja"",""vi"")"),"X-TRAIL")</f>
        <v>X-TRAIL</v>
      </c>
      <c r="E506" s="5" t="str">
        <f ca="1">IFERROR(__xludf.DUMMYFUNCTION("GOOGLETRANSLATE(C506,""ja"",""vi"")"),"Đấu giá&gt; ô tô, xe máy&gt; ô tô cũ, ô tô mới&gt; Nissan&gt; X-TRAIL")</f>
        <v>Đấu giá&gt; ô tô, xe máy&gt; ô tô cũ, ô tô mới&gt; Nissan&gt; X-TRAIL</v>
      </c>
      <c r="F506" t="str">
        <f t="shared" ca="1" si="7"/>
        <v>"2084022931" : "X-TRAIL",</v>
      </c>
    </row>
    <row r="507" spans="1:6" ht="15.75" customHeight="1">
      <c r="A507" s="18">
        <v>2084022932</v>
      </c>
      <c r="B507" s="18" t="s">
        <v>11467</v>
      </c>
      <c r="C507" s="18" t="s">
        <v>11471</v>
      </c>
      <c r="D507" s="5" t="str">
        <f ca="1">IFERROR(__xludf.DUMMYFUNCTION("GOOGLETRANSLATE(B507,""ja"",""vi"")"),"Escargot")</f>
        <v>Escargot</v>
      </c>
      <c r="E507" s="5" t="str">
        <f ca="1">IFERROR(__xludf.DUMMYFUNCTION("GOOGLETRANSLATE(C507,""ja"",""vi"")"),"Đấu giá&gt; ô tô, xe máy&gt; ô tô cũ, ô tô mới&gt; Nissan&gt; escargot")</f>
        <v>Đấu giá&gt; ô tô, xe máy&gt; ô tô cũ, ô tô mới&gt; Nissan&gt; escargot</v>
      </c>
      <c r="F507" t="str">
        <f t="shared" ca="1" si="7"/>
        <v>"2084022932" : "Escargot",</v>
      </c>
    </row>
    <row r="508" spans="1:6" ht="15.75" customHeight="1">
      <c r="A508" s="18">
        <v>2084022933</v>
      </c>
      <c r="B508" s="18" t="s">
        <v>11474</v>
      </c>
      <c r="C508" s="18" t="s">
        <v>11476</v>
      </c>
      <c r="D508" s="5" t="str">
        <f ca="1">IFERROR(__xludf.DUMMYFUNCTION("GOOGLETRANSLATE(B508,""ja"",""vi"")"),"Elgrand")</f>
        <v>Elgrand</v>
      </c>
      <c r="E508" s="5" t="str">
        <f ca="1">IFERROR(__xludf.DUMMYFUNCTION("GOOGLETRANSLATE(C508,""ja"",""vi"")"),"Đấu giá&gt; ô tô, xe máy&gt; ô tô cũ, ô tô mới&gt; Nissan&gt; Elgrand")</f>
        <v>Đấu giá&gt; ô tô, xe máy&gt; ô tô cũ, ô tô mới&gt; Nissan&gt; Elgrand</v>
      </c>
      <c r="F508" t="str">
        <f t="shared" ca="1" si="7"/>
        <v>"2084022933" : "Elgrand",</v>
      </c>
    </row>
    <row r="509" spans="1:6" ht="15.75" customHeight="1">
      <c r="A509" s="18">
        <v>2084062140</v>
      </c>
      <c r="B509" s="18" t="s">
        <v>11478</v>
      </c>
      <c r="C509" s="18" t="s">
        <v>11480</v>
      </c>
      <c r="D509" s="5" t="str">
        <f ca="1">IFERROR(__xludf.DUMMYFUNCTION("GOOGLETRANSLATE(B509,""ja"",""vi"")"),"Matteotti")</f>
        <v>Matteotti</v>
      </c>
      <c r="E509" s="5" t="str">
        <f ca="1">IFERROR(__xludf.DUMMYFUNCTION("GOOGLETRANSLATE(C509,""ja"",""vi"")"),"Đấu giá&gt; ô tô, xe máy&gt; ô tô cũ, ô tô mới&gt; Nissan&gt; Matteotti")</f>
        <v>Đấu giá&gt; ô tô, xe máy&gt; ô tô cũ, ô tô mới&gt; Nissan&gt; Matteotti</v>
      </c>
      <c r="F509" t="str">
        <f t="shared" ca="1" si="7"/>
        <v>"2084062140" : "Matteotti",</v>
      </c>
    </row>
    <row r="510" spans="1:6" ht="15.75" customHeight="1">
      <c r="A510" s="18">
        <v>2084243788</v>
      </c>
      <c r="B510" s="18" t="s">
        <v>11483</v>
      </c>
      <c r="C510" s="18" t="s">
        <v>11486</v>
      </c>
      <c r="D510" s="5" t="str">
        <f ca="1">IFERROR(__xludf.DUMMYFUNCTION("GOOGLETRANSLATE(B510,""ja"",""vi"")"),"Kicks")</f>
        <v>Kicks</v>
      </c>
      <c r="E510" s="5" t="str">
        <f ca="1">IFERROR(__xludf.DUMMYFUNCTION("GOOGLETRANSLATE(C510,""ja"",""vi"")"),"Đấu giá&gt; ô tô, xe máy&gt; ô tô cũ, ô tô mới&gt; Nissan&gt; Knicks")</f>
        <v>Đấu giá&gt; ô tô, xe máy&gt; ô tô cũ, ô tô mới&gt; Nissan&gt; Knicks</v>
      </c>
      <c r="F510" t="str">
        <f t="shared" ca="1" si="7"/>
        <v>"2084243788" : "Kicks",</v>
      </c>
    </row>
    <row r="511" spans="1:6" ht="15.75" customHeight="1">
      <c r="A511" s="18">
        <v>2084049198</v>
      </c>
      <c r="B511" s="18" t="s">
        <v>11490</v>
      </c>
      <c r="C511" s="18" t="s">
        <v>11492</v>
      </c>
      <c r="D511" s="5" t="str">
        <f ca="1">IFERROR(__xludf.DUMMYFUNCTION("GOOGLETRANSLATE(B511,""ja"",""vi"")"),"Caravan Elgrand")</f>
        <v>Caravan Elgrand</v>
      </c>
      <c r="E511" s="5" t="str">
        <f ca="1">IFERROR(__xludf.DUMMYFUNCTION("GOOGLETRANSLATE(C511,""ja"",""vi"")"),"Đấu giá&gt; ô tô, xe máy&gt; ô tô cũ, ô tô mới&gt; Nissan&gt; Caravan Elgrand")</f>
        <v>Đấu giá&gt; ô tô, xe máy&gt; ô tô cũ, ô tô mới&gt; Nissan&gt; Caravan Elgrand</v>
      </c>
      <c r="F511" t="str">
        <f t="shared" ca="1" si="7"/>
        <v>"2084049198" : "Caravan Elgrand",</v>
      </c>
    </row>
    <row r="512" spans="1:6" ht="15.75" customHeight="1">
      <c r="A512" s="18">
        <v>2084315452</v>
      </c>
      <c r="B512" s="18" t="s">
        <v>11496</v>
      </c>
      <c r="C512" s="18" t="s">
        <v>11497</v>
      </c>
      <c r="D512" s="5" t="str">
        <f ca="1">IFERROR(__xludf.DUMMYFUNCTION("GOOGLETRANSLATE(B512,""ja"",""vi"")"),"HLV Caravan")</f>
        <v>HLV Caravan</v>
      </c>
      <c r="E512" s="5" t="str">
        <f ca="1">IFERROR(__xludf.DUMMYFUNCTION("GOOGLETRANSLATE(C512,""ja"",""vi"")"),"Đấu giá&gt; ô tô, xe máy&gt; ô tô cũ, ô tô mới&gt; Nissan&gt; HLV Caravan")</f>
        <v>Đấu giá&gt; ô tô, xe máy&gt; ô tô cũ, ô tô mới&gt; Nissan&gt; HLV Caravan</v>
      </c>
      <c r="F512" t="str">
        <f t="shared" ca="1" si="7"/>
        <v>"2084315452" : "HLV Caravan",</v>
      </c>
    </row>
    <row r="513" spans="1:6" ht="15.75" customHeight="1">
      <c r="A513" s="18">
        <v>2084315453</v>
      </c>
      <c r="B513" s="18" t="s">
        <v>11501</v>
      </c>
      <c r="C513" s="18" t="s">
        <v>11502</v>
      </c>
      <c r="D513" s="5" t="str">
        <f ca="1">IFERROR(__xludf.DUMMYFUNCTION("GOOGLETRANSLATE(B513,""ja"",""vi"")"),"Con đường tơ lụa Caravan")</f>
        <v>Con đường tơ lụa Caravan</v>
      </c>
      <c r="E513" s="5" t="str">
        <f ca="1">IFERROR(__xludf.DUMMYFUNCTION("GOOGLETRANSLATE(C513,""ja"",""vi"")"),"Đấu giá&gt; ô tô, xe máy&gt; ô tô cũ, ô tô mới&gt; Nissan&gt; Con đường tơ lụa Caravan")</f>
        <v>Đấu giá&gt; ô tô, xe máy&gt; ô tô cũ, ô tô mới&gt; Nissan&gt; Con đường tơ lụa Caravan</v>
      </c>
      <c r="F513" t="str">
        <f t="shared" ca="1" si="7"/>
        <v>"2084315453" : "Con đường tơ lụa Caravan",</v>
      </c>
    </row>
    <row r="514" spans="1:6" ht="15.75" customHeight="1">
      <c r="A514" s="18">
        <v>2084022936</v>
      </c>
      <c r="B514" s="18" t="s">
        <v>11507</v>
      </c>
      <c r="C514" s="18" t="s">
        <v>11509</v>
      </c>
      <c r="D514" s="5" t="str">
        <f ca="1">IFERROR(__xludf.DUMMYFUNCTION("GOOGLETRANSLATE(B514,""ja"",""vi"")"),"hình lập phương")</f>
        <v>hình lập phương</v>
      </c>
      <c r="E514" s="5" t="str">
        <f ca="1">IFERROR(__xludf.DUMMYFUNCTION("GOOGLETRANSLATE(C514,""ja"",""vi"")"),"Đấu giá&gt; ô tô, xe máy&gt; ô tô cũ, ô tô mới&gt; Nissan&gt; Cube")</f>
        <v>Đấu giá&gt; ô tô, xe máy&gt; ô tô cũ, ô tô mới&gt; Nissan&gt; Cube</v>
      </c>
      <c r="F514" t="str">
        <f t="shared" ref="F514:F577" ca="1" si="8">CONCATENATE(CHAR(34)&amp;"",A514,""&amp;CHAR(34)," : ", CHAR(34)&amp;"",D514,""&amp;CHAR(34),",")</f>
        <v>"2084022936" : "hình lập phương",</v>
      </c>
    </row>
    <row r="515" spans="1:6" ht="15.75" customHeight="1">
      <c r="A515" s="18">
        <v>2084054521</v>
      </c>
      <c r="B515" s="18" t="s">
        <v>11513</v>
      </c>
      <c r="C515" s="18" t="s">
        <v>11516</v>
      </c>
      <c r="D515" s="5" t="str">
        <f ca="1">IFERROR(__xludf.DUMMYFUNCTION("GOOGLETRANSLATE(B515,""ja"",""vi"")"),"Cube Cubic")</f>
        <v>Cube Cubic</v>
      </c>
      <c r="E515" s="5" t="str">
        <f ca="1">IFERROR(__xludf.DUMMYFUNCTION("GOOGLETRANSLATE(C515,""ja"",""vi"")"),"Đấu giá&gt; ô tô, xe máy&gt; ô tô cũ, ô tô mới&gt; Nissan&gt; Cube Cubic")</f>
        <v>Đấu giá&gt; ô tô, xe máy&gt; ô tô cũ, ô tô mới&gt; Nissan&gt; Cube Cubic</v>
      </c>
      <c r="F515" t="str">
        <f t="shared" ca="1" si="8"/>
        <v>"2084054521" : "Cube Cubic",</v>
      </c>
    </row>
    <row r="516" spans="1:6" ht="15.75" customHeight="1">
      <c r="A516" s="18">
        <v>2084056552</v>
      </c>
      <c r="B516" s="18" t="s">
        <v>11519</v>
      </c>
      <c r="C516" s="18" t="s">
        <v>11522</v>
      </c>
      <c r="D516" s="5" t="str">
        <f ca="1">IFERROR(__xludf.DUMMYFUNCTION("GOOGLETRANSLATE(B516,""ja"",""vi"")"),"người cừ khôi")</f>
        <v>người cừ khôi</v>
      </c>
      <c r="E516" s="5" t="str">
        <f ca="1">IFERROR(__xludf.DUMMYFUNCTION("GOOGLETRANSLATE(C516,""ja"",""vi"")"),"Đấu giá&gt; ô tô, xe máy&gt; ô tô cũ, ô tô mới&gt; Nissan&gt; Clipper")</f>
        <v>Đấu giá&gt; ô tô, xe máy&gt; ô tô cũ, ô tô mới&gt; Nissan&gt; Clipper</v>
      </c>
      <c r="F516" t="str">
        <f t="shared" ca="1" si="8"/>
        <v>"2084056552" : "người cừ khôi",</v>
      </c>
    </row>
    <row r="517" spans="1:6" ht="15.75" customHeight="1">
      <c r="A517" s="18">
        <v>2084022937</v>
      </c>
      <c r="B517" s="18" t="s">
        <v>11525</v>
      </c>
      <c r="C517" s="18" t="s">
        <v>11527</v>
      </c>
      <c r="D517" s="5" t="str">
        <f ca="1">IFERROR(__xludf.DUMMYFUNCTION("GOOGLETRANSLATE(B517,""ja"",""vi"")"),"đội")</f>
        <v>đội</v>
      </c>
      <c r="E517" s="5" t="str">
        <f ca="1">IFERROR(__xludf.DUMMYFUNCTION("GOOGLETRANSLATE(C517,""ja"",""vi"")"),"Đấu giá&gt; ô tô, xe máy&gt; ô tô cũ, ô tô mới&gt; Nissan&gt; Crew")</f>
        <v>Đấu giá&gt; ô tô, xe máy&gt; ô tô cũ, ô tô mới&gt; Nissan&gt; Crew</v>
      </c>
      <c r="F517" t="str">
        <f t="shared" ca="1" si="8"/>
        <v>"2084022937" : "đội",</v>
      </c>
    </row>
    <row r="518" spans="1:6" ht="15.75" customHeight="1">
      <c r="A518" s="18">
        <v>2084022938</v>
      </c>
      <c r="B518" s="18" t="s">
        <v>11528</v>
      </c>
      <c r="C518" s="18" t="s">
        <v>11530</v>
      </c>
      <c r="D518" s="5" t="str">
        <f ca="1">IFERROR(__xludf.DUMMYFUNCTION("GOOGLETRANSLATE(B518,""ja"",""vi"")"),"Gloria")</f>
        <v>Gloria</v>
      </c>
      <c r="E518" s="5" t="str">
        <f ca="1">IFERROR(__xludf.DUMMYFUNCTION("GOOGLETRANSLATE(C518,""ja"",""vi"")"),"Đấu giá&gt; ô tô, xe máy&gt; ô tô cũ, ô tô mới&gt; Nissan&gt; Gloria")</f>
        <v>Đấu giá&gt; ô tô, xe máy&gt; ô tô cũ, ô tô mới&gt; Nissan&gt; Gloria</v>
      </c>
      <c r="F518" t="str">
        <f t="shared" ca="1" si="8"/>
        <v>"2084022938" : "Gloria",</v>
      </c>
    </row>
    <row r="519" spans="1:6" ht="15.75" customHeight="1">
      <c r="A519" s="18">
        <v>2084049199</v>
      </c>
      <c r="B519" s="18" t="s">
        <v>11533</v>
      </c>
      <c r="C519" s="18" t="s">
        <v>11534</v>
      </c>
      <c r="D519" s="5" t="str">
        <f ca="1">IFERROR(__xludf.DUMMYFUNCTION("GOOGLETRANSLATE(B519,""ja"",""vi"")"),"Gloria Cima")</f>
        <v>Gloria Cima</v>
      </c>
      <c r="E519" s="5" t="str">
        <f ca="1">IFERROR(__xludf.DUMMYFUNCTION("GOOGLETRANSLATE(C519,""ja"",""vi"")"),"Đấu giá&gt; ô tô, xe máy&gt; ô tô cũ, ô tô mới&gt; Nissan&gt; Gloria Cima")</f>
        <v>Đấu giá&gt; ô tô, xe máy&gt; ô tô cũ, ô tô mới&gt; Nissan&gt; Gloria Cima</v>
      </c>
      <c r="F519" t="str">
        <f t="shared" ca="1" si="8"/>
        <v>"2084049199" : "Gloria Cima",</v>
      </c>
    </row>
    <row r="520" spans="1:6" ht="15.75" customHeight="1">
      <c r="A520" s="18">
        <v>2084048055</v>
      </c>
      <c r="B520" s="18" t="s">
        <v>11539</v>
      </c>
      <c r="C520" s="18" t="s">
        <v>11540</v>
      </c>
      <c r="D520" s="5" t="str">
        <f ca="1">IFERROR(__xludf.DUMMYFUNCTION("GOOGLETRANSLATE(B520,""ja"",""vi"")"),"Gloria toa xe")</f>
        <v>Gloria toa xe</v>
      </c>
      <c r="E520" s="5" t="str">
        <f ca="1">IFERROR(__xludf.DUMMYFUNCTION("GOOGLETRANSLATE(C520,""ja"",""vi"")"),"Đấu giá&gt; ô tô, xe máy&gt; ô tô cũ, ô tô mới&gt; Nissan&gt; Gloria Wagon")</f>
        <v>Đấu giá&gt; ô tô, xe máy&gt; ô tô cũ, ô tô mới&gt; Nissan&gt; Gloria Wagon</v>
      </c>
      <c r="F520" t="str">
        <f t="shared" ca="1" si="8"/>
        <v>"2084048055" : "Gloria toa xe",</v>
      </c>
    </row>
    <row r="521" spans="1:6" ht="15.75" customHeight="1">
      <c r="A521" s="18">
        <v>2084049200</v>
      </c>
      <c r="B521" s="18" t="s">
        <v>11543</v>
      </c>
      <c r="C521" s="18" t="s">
        <v>11544</v>
      </c>
      <c r="D521" s="5" t="str">
        <f ca="1">IFERROR(__xludf.DUMMYFUNCTION("GOOGLETRANSLATE(B521,""ja"",""vi"")"),"vị tha")</f>
        <v>vị tha</v>
      </c>
      <c r="E521" s="5" t="str">
        <f ca="1">IFERROR(__xludf.DUMMYFUNCTION("GOOGLETRANSLATE(C521,""ja"",""vi"")"),"Đấu giá&gt; ô tô, xe máy&gt; ô tô cũ, ô tô mới&gt; Nissan&gt; Condor")</f>
        <v>Đấu giá&gt; ô tô, xe máy&gt; ô tô cũ, ô tô mới&gt; Nissan&gt; Condor</v>
      </c>
      <c r="F521" t="str">
        <f t="shared" ca="1" si="8"/>
        <v>"2084049200" : "vị tha",</v>
      </c>
    </row>
    <row r="522" spans="1:6" ht="15.75" customHeight="1">
      <c r="A522" s="18">
        <v>2084022939</v>
      </c>
      <c r="B522" s="18" t="s">
        <v>11553</v>
      </c>
      <c r="C522" s="18" t="s">
        <v>11554</v>
      </c>
      <c r="D522" s="5" t="str">
        <f ca="1">IFERROR(__xludf.DUMMYFUNCTION("GOOGLETRANSLATE(B522,""ja"",""vi"")"),"nắng")</f>
        <v>nắng</v>
      </c>
      <c r="E522" s="5" t="str">
        <f ca="1">IFERROR(__xludf.DUMMYFUNCTION("GOOGLETRANSLATE(C522,""ja"",""vi"")"),"Đấu giá&gt; ô tô, xe máy&gt; ô tô cũ, ô tô mới&gt; Nissan&gt; Sunny")</f>
        <v>Đấu giá&gt; ô tô, xe máy&gt; ô tô cũ, ô tô mới&gt; Nissan&gt; Sunny</v>
      </c>
      <c r="F522" t="str">
        <f t="shared" ca="1" si="8"/>
        <v>"2084022939" : "nắng",</v>
      </c>
    </row>
    <row r="523" spans="1:6" ht="15.75" customHeight="1">
      <c r="A523" s="18">
        <v>2084049201</v>
      </c>
      <c r="B523" s="18" t="s">
        <v>11559</v>
      </c>
      <c r="C523" s="18" t="s">
        <v>11560</v>
      </c>
      <c r="D523" s="5" t="str">
        <f ca="1">IFERROR(__xludf.DUMMYFUNCTION("GOOGLETRANSLATE(B523,""ja"",""vi"")"),"nắng California")</f>
        <v>nắng California</v>
      </c>
      <c r="E523" s="5" t="str">
        <f ca="1">IFERROR(__xludf.DUMMYFUNCTION("GOOGLETRANSLATE(C523,""ja"",""vi"")"),"Đấu giá&gt; ô tô, xe máy&gt; ô tô cũ, ô tô mới&gt; Nissan&gt; Nắng California")</f>
        <v>Đấu giá&gt; ô tô, xe máy&gt; ô tô cũ, ô tô mới&gt; Nissan&gt; Nắng California</v>
      </c>
      <c r="F523" t="str">
        <f t="shared" ca="1" si="8"/>
        <v>"2084049201" : "nắng California",</v>
      </c>
    </row>
    <row r="524" spans="1:6" ht="15.75" customHeight="1">
      <c r="A524" s="18">
        <v>2084022940</v>
      </c>
      <c r="B524" s="18" t="s">
        <v>11566</v>
      </c>
      <c r="C524" s="18" t="s">
        <v>11569</v>
      </c>
      <c r="D524" s="5" t="str">
        <f ca="1">IFERROR(__xludf.DUMMYFUNCTION("GOOGLETRANSLATE(B524,""ja"",""vi"")"),"Safari")</f>
        <v>Safari</v>
      </c>
      <c r="E524" s="5" t="str">
        <f ca="1">IFERROR(__xludf.DUMMYFUNCTION("GOOGLETRANSLATE(C524,""ja"",""vi"")"),"Đấu giá&gt; ô tô, xe máy&gt; ô tô cũ, ô tô mới&gt; Nissan&gt; Safari")</f>
        <v>Đấu giá&gt; ô tô, xe máy&gt; ô tô cũ, ô tô mới&gt; Nissan&gt; Safari</v>
      </c>
      <c r="F524" t="str">
        <f t="shared" ca="1" si="8"/>
        <v>"2084022940" : "Safari",</v>
      </c>
    </row>
    <row r="525" spans="1:6" ht="15.75" customHeight="1">
      <c r="A525" s="18">
        <v>2084022941</v>
      </c>
      <c r="B525" s="18" t="s">
        <v>11572</v>
      </c>
      <c r="C525" s="18" t="s">
        <v>11574</v>
      </c>
      <c r="D525" s="5" t="str">
        <f ca="1">IFERROR(__xludf.DUMMYFUNCTION("GOOGLETRANSLATE(B525,""ja"",""vi"")"),"Cima")</f>
        <v>Cima</v>
      </c>
      <c r="E525" s="5" t="str">
        <f ca="1">IFERROR(__xludf.DUMMYFUNCTION("GOOGLETRANSLATE(C525,""ja"",""vi"")"),"Đấu giá&gt; ô tô, xe máy&gt; ô tô cũ, ô tô mới&gt; Nissan&gt; Cima")</f>
        <v>Đấu giá&gt; ô tô, xe máy&gt; ô tô cũ, ô tô mới&gt; Nissan&gt; Cima</v>
      </c>
      <c r="F525" t="str">
        <f t="shared" ca="1" si="8"/>
        <v>"2084022941" : "Cima",</v>
      </c>
    </row>
    <row r="526" spans="1:6" ht="15.75" customHeight="1">
      <c r="A526" s="18">
        <v>2084313087</v>
      </c>
      <c r="B526" s="18" t="s">
        <v>11578</v>
      </c>
      <c r="C526" s="18" t="s">
        <v>11580</v>
      </c>
      <c r="D526" s="5" t="str">
        <f ca="1">IFERROR(__xludf.DUMMYFUNCTION("GOOGLETRANSLATE(B526,""ja"",""vi"")"),"thường dân")</f>
        <v>thường dân</v>
      </c>
      <c r="E526" s="5" t="str">
        <f ca="1">IFERROR(__xludf.DUMMYFUNCTION("GOOGLETRANSLATE(C526,""ja"",""vi"")"),"Đấu giá&gt; ô tô, xe máy&gt; ô tô cũ, ô tô mới&gt; Nissan&gt; Dân")</f>
        <v>Đấu giá&gt; ô tô, xe máy&gt; ô tô cũ, ô tô mới&gt; Nissan&gt; Dân</v>
      </c>
      <c r="F526" t="str">
        <f t="shared" ca="1" si="8"/>
        <v>"2084313087" : "thường dân",</v>
      </c>
    </row>
    <row r="527" spans="1:6" ht="15.75" customHeight="1">
      <c r="A527" s="18">
        <v>2084022943</v>
      </c>
      <c r="B527" s="18" t="s">
        <v>11584</v>
      </c>
      <c r="C527" s="18" t="s">
        <v>11586</v>
      </c>
      <c r="D527" s="5" t="str">
        <f ca="1">IFERROR(__xludf.DUMMYFUNCTION("GOOGLETRANSLATE(B527,""ja"",""vi"")"),"Silvia")</f>
        <v>Silvia</v>
      </c>
      <c r="E527" s="5" t="str">
        <f ca="1">IFERROR(__xludf.DUMMYFUNCTION("GOOGLETRANSLATE(C527,""ja"",""vi"")"),"Đấu giá&gt; ô tô, xe máy&gt; ô tô cũ, ô tô mới&gt; Nissan&gt; Silvia")</f>
        <v>Đấu giá&gt; ô tô, xe máy&gt; ô tô cũ, ô tô mới&gt; Nissan&gt; Silvia</v>
      </c>
      <c r="F527" t="str">
        <f t="shared" ca="1" si="8"/>
        <v>"2084022943" : "Silvia",</v>
      </c>
    </row>
    <row r="528" spans="1:6" ht="15.75" customHeight="1">
      <c r="A528" s="18">
        <v>2084299527</v>
      </c>
      <c r="B528" s="18" t="s">
        <v>11589</v>
      </c>
      <c r="C528" s="18" t="s">
        <v>11591</v>
      </c>
      <c r="D528" s="5" t="str">
        <f ca="1">IFERROR(__xludf.DUMMYFUNCTION("GOOGLETRANSLATE(B528,""ja"",""vi"")"),"Juke")</f>
        <v>Juke</v>
      </c>
      <c r="E528" s="5" t="str">
        <f ca="1">IFERROR(__xludf.DUMMYFUNCTION("GOOGLETRANSLATE(C528,""ja"",""vi"")"),"Đấu giá&gt; ô tô, xe máy&gt; ô tô cũ, ô tô mới&gt; Nissan&gt; Juke")</f>
        <v>Đấu giá&gt; ô tô, xe máy&gt; ô tô cũ, ô tô mới&gt; Nissan&gt; Juke</v>
      </c>
      <c r="F528" t="str">
        <f t="shared" ca="1" si="8"/>
        <v>"2084299527" : "Juke",</v>
      </c>
    </row>
    <row r="529" spans="1:6" ht="15.75" customHeight="1">
      <c r="A529" s="18">
        <v>2084022944</v>
      </c>
      <c r="B529" s="18" t="s">
        <v>11595</v>
      </c>
      <c r="C529" s="18" t="s">
        <v>11597</v>
      </c>
      <c r="D529" s="5" t="str">
        <f ca="1">IFERROR(__xludf.DUMMYFUNCTION("GOOGLETRANSLATE(B529,""ja"",""vi"")"),"chân trời")</f>
        <v>chân trời</v>
      </c>
      <c r="E529" s="5" t="str">
        <f ca="1">IFERROR(__xludf.DUMMYFUNCTION("GOOGLETRANSLATE(C529,""ja"",""vi"")"),"Đấu giá&gt; ô tô, xe máy&gt; ô tô cũ, ô tô mới&gt; Nissan&gt; Skyline")</f>
        <v>Đấu giá&gt; ô tô, xe máy&gt; ô tô cũ, ô tô mới&gt; Nissan&gt; Skyline</v>
      </c>
      <c r="F529" t="str">
        <f t="shared" ca="1" si="8"/>
        <v>"2084022944" : "chân trời",</v>
      </c>
    </row>
    <row r="530" spans="1:6" ht="15.75" customHeight="1">
      <c r="A530" s="18">
        <v>2084049202</v>
      </c>
      <c r="B530" s="18" t="s">
        <v>11601</v>
      </c>
      <c r="C530" s="18" t="s">
        <v>11603</v>
      </c>
      <c r="D530" s="5" t="str">
        <f ca="1">IFERROR(__xludf.DUMMYFUNCTION("GOOGLETRANSLATE(B530,""ja"",""vi"")"),"Skyline GT-R")</f>
        <v>Skyline GT-R</v>
      </c>
      <c r="E530" s="5" t="str">
        <f ca="1">IFERROR(__xludf.DUMMYFUNCTION("GOOGLETRANSLATE(C530,""ja"",""vi"")"),"Đấu giá&gt; ô tô, xe máy&gt; ô tô cũ, ô tô mới&gt; Nissan&gt; Skyline GT-R")</f>
        <v>Đấu giá&gt; ô tô, xe máy&gt; ô tô cũ, ô tô mới&gt; Nissan&gt; Skyline GT-R</v>
      </c>
      <c r="F530" t="str">
        <f t="shared" ca="1" si="8"/>
        <v>"2084049202" : "Skyline GT-R",</v>
      </c>
    </row>
    <row r="531" spans="1:6" ht="15.75" customHeight="1">
      <c r="A531" s="18">
        <v>2084231226</v>
      </c>
      <c r="B531" s="18" t="s">
        <v>11606</v>
      </c>
      <c r="C531" s="18" t="s">
        <v>11609</v>
      </c>
      <c r="D531" s="5" t="str">
        <f ca="1">IFERROR(__xludf.DUMMYFUNCTION("GOOGLETRANSLATE(B531,""ja"",""vi"")"),"Skyline coupe")</f>
        <v>Skyline coupe</v>
      </c>
      <c r="E531" s="5" t="str">
        <f ca="1">IFERROR(__xludf.DUMMYFUNCTION("GOOGLETRANSLATE(C531,""ja"",""vi"")"),"Đấu giá&gt; ô tô, xe máy&gt; ô tô cũ, ô tô mới&gt; Nissan&gt; Skyline Coupe")</f>
        <v>Đấu giá&gt; ô tô, xe máy&gt; ô tô cũ, ô tô mới&gt; Nissan&gt; Skyline Coupe</v>
      </c>
      <c r="F531" t="str">
        <f t="shared" ca="1" si="8"/>
        <v>"2084231226" : "Skyline coupe",</v>
      </c>
    </row>
    <row r="532" spans="1:6" ht="15.75" customHeight="1">
      <c r="A532" s="18">
        <v>2084243785</v>
      </c>
      <c r="B532" s="18" t="s">
        <v>11612</v>
      </c>
      <c r="C532" s="18" t="s">
        <v>11614</v>
      </c>
      <c r="D532" s="5" t="str">
        <f ca="1">IFERROR(__xludf.DUMMYFUNCTION("GOOGLETRANSLATE(B532,""ja"",""vi"")"),"Skyline Crossover")</f>
        <v>Skyline Crossover</v>
      </c>
      <c r="E532" s="5" t="str">
        <f ca="1">IFERROR(__xludf.DUMMYFUNCTION("GOOGLETRANSLATE(C532,""ja"",""vi"")"),"Đấu giá&gt; ô tô, xe máy&gt; ô tô cũ, ô tô mới&gt; Nissan&gt; Skyline Crossover")</f>
        <v>Đấu giá&gt; ô tô, xe máy&gt; ô tô cũ, ô tô mới&gt; Nissan&gt; Skyline Crossover</v>
      </c>
      <c r="F532" t="str">
        <f t="shared" ca="1" si="8"/>
        <v>"2084243785" : "Skyline Crossover",</v>
      </c>
    </row>
    <row r="533" spans="1:6" ht="15.75" customHeight="1">
      <c r="A533" s="18">
        <v>2084022945</v>
      </c>
      <c r="B533" s="18" t="s">
        <v>11617</v>
      </c>
      <c r="C533" s="18" t="s">
        <v>11620</v>
      </c>
      <c r="D533" s="5" t="str">
        <f ca="1">IFERROR(__xludf.DUMMYFUNCTION("GOOGLETRANSLATE(B533,""ja"",""vi"")"),"Stagea")</f>
        <v>Stagea</v>
      </c>
      <c r="E533" s="5" t="str">
        <f ca="1">IFERROR(__xludf.DUMMYFUNCTION("GOOGLETRANSLATE(C533,""ja"",""vi"")"),"Đấu giá&gt; ô tô, xe máy&gt; ô tô cũ, ô tô mới&gt; Nissan&gt; Stagea")</f>
        <v>Đấu giá&gt; ô tô, xe máy&gt; ô tô cũ, ô tô mới&gt; Nissan&gt; Stagea</v>
      </c>
      <c r="F533" t="str">
        <f t="shared" ca="1" si="8"/>
        <v>"2084022945" : "Stagea",</v>
      </c>
    </row>
    <row r="534" spans="1:6" ht="15.75" customHeight="1">
      <c r="A534" s="18">
        <v>2084022946</v>
      </c>
      <c r="B534" s="18" t="s">
        <v>11623</v>
      </c>
      <c r="C534" s="18" t="s">
        <v>11625</v>
      </c>
      <c r="D534" s="5" t="str">
        <f ca="1">IFERROR(__xludf.DUMMYFUNCTION("GOOGLETRANSLATE(B534,""ja"",""vi"")"),"Cedric")</f>
        <v>Cedric</v>
      </c>
      <c r="E534" s="5" t="str">
        <f ca="1">IFERROR(__xludf.DUMMYFUNCTION("GOOGLETRANSLATE(C534,""ja"",""vi"")"),"Đấu giá&gt; ô tô, xe máy&gt; ô tô cũ, ô tô mới&gt; Nissan&gt; Cedric")</f>
        <v>Đấu giá&gt; ô tô, xe máy&gt; ô tô cũ, ô tô mới&gt; Nissan&gt; Cedric</v>
      </c>
      <c r="F534" t="str">
        <f t="shared" ca="1" si="8"/>
        <v>"2084022946" : "Cedric",</v>
      </c>
    </row>
    <row r="535" spans="1:6" ht="15.75" customHeight="1">
      <c r="A535" s="18">
        <v>2084048056</v>
      </c>
      <c r="B535" s="18" t="s">
        <v>11628</v>
      </c>
      <c r="C535" s="18" t="s">
        <v>11630</v>
      </c>
      <c r="D535" s="5" t="str">
        <f ca="1">IFERROR(__xludf.DUMMYFUNCTION("GOOGLETRANSLATE(B535,""ja"",""vi"")"),"toa xe Cedric")</f>
        <v>toa xe Cedric</v>
      </c>
      <c r="E535" s="5" t="str">
        <f ca="1">IFERROR(__xludf.DUMMYFUNCTION("GOOGLETRANSLATE(C535,""ja"",""vi"")"),"Đấu giá&gt; ô tô, xe máy&gt; ô tô cũ, ô tô mới&gt; Nissan&gt; toa xe Cedric")</f>
        <v>Đấu giá&gt; ô tô, xe máy&gt; ô tô cũ, ô tô mới&gt; Nissan&gt; toa xe Cedric</v>
      </c>
      <c r="F535" t="str">
        <f t="shared" ca="1" si="8"/>
        <v>"2084048056" : "toa xe Cedric",</v>
      </c>
    </row>
    <row r="536" spans="1:6" ht="15.75" customHeight="1">
      <c r="A536" s="18">
        <v>2084022947</v>
      </c>
      <c r="B536" s="18" t="s">
        <v>11634</v>
      </c>
      <c r="C536" s="18" t="s">
        <v>11636</v>
      </c>
      <c r="D536" s="5" t="str">
        <f ca="1">IFERROR(__xludf.DUMMYFUNCTION("GOOGLETRANSLATE(B536,""ja"",""vi"")"),"cefiro")</f>
        <v>cefiro</v>
      </c>
      <c r="E536" s="5" t="str">
        <f ca="1">IFERROR(__xludf.DUMMYFUNCTION("GOOGLETRANSLATE(C536,""ja"",""vi"")"),"Đấu giá&gt; ô tô, xe máy&gt; ô tô cũ, ô tô mới&gt; Nissan&gt; Cefiro")</f>
        <v>Đấu giá&gt; ô tô, xe máy&gt; ô tô cũ, ô tô mới&gt; Nissan&gt; Cefiro</v>
      </c>
      <c r="F536" t="str">
        <f t="shared" ca="1" si="8"/>
        <v>"2084022947" : "cefiro",</v>
      </c>
    </row>
    <row r="537" spans="1:6" ht="15.75" customHeight="1">
      <c r="A537" s="18">
        <v>2084022948</v>
      </c>
      <c r="B537" s="18" t="s">
        <v>11640</v>
      </c>
      <c r="C537" s="18" t="s">
        <v>11642</v>
      </c>
      <c r="D537" s="5" t="str">
        <f ca="1">IFERROR(__xludf.DUMMYFUNCTION("GOOGLETRANSLATE(B537,""ja"",""vi"")"),"Selena")</f>
        <v>Selena</v>
      </c>
      <c r="E537" s="5" t="str">
        <f ca="1">IFERROR(__xludf.DUMMYFUNCTION("GOOGLETRANSLATE(C537,""ja"",""vi"")"),"Đấu giá&gt; ô tô, xe máy&gt; ô tô cũ, ô tô mới&gt; Nissan&gt; Serena")</f>
        <v>Đấu giá&gt; ô tô, xe máy&gt; ô tô cũ, ô tô mới&gt; Nissan&gt; Serena</v>
      </c>
      <c r="F537" t="str">
        <f t="shared" ca="1" si="8"/>
        <v>"2084022948" : "Selena",</v>
      </c>
    </row>
    <row r="538" spans="1:6" ht="15.75" customHeight="1">
      <c r="A538" s="18">
        <v>2084022949</v>
      </c>
      <c r="B538" s="18" t="s">
        <v>11647</v>
      </c>
      <c r="C538" s="18" t="s">
        <v>11648</v>
      </c>
      <c r="D538" s="5" t="str">
        <f ca="1">IFERROR(__xludf.DUMMYFUNCTION("GOOGLETRANSLATE(B538,""ja"",""vi"")"),"Datsun")</f>
        <v>Datsun</v>
      </c>
      <c r="E538" s="5" t="str">
        <f ca="1">IFERROR(__xludf.DUMMYFUNCTION("GOOGLETRANSLATE(C538,""ja"",""vi"")"),"Đấu giá&gt; ô tô, xe máy&gt; ô tô cũ, ô tô mới&gt; Nissan&gt; Datsun")</f>
        <v>Đấu giá&gt; ô tô, xe máy&gt; ô tô cũ, ô tô mới&gt; Nissan&gt; Datsun</v>
      </c>
      <c r="F538" t="str">
        <f t="shared" ca="1" si="8"/>
        <v>"2084022949" : "Datsun",</v>
      </c>
    </row>
    <row r="539" spans="1:6" ht="15.75" customHeight="1">
      <c r="A539" s="18">
        <v>2084049203</v>
      </c>
      <c r="B539" s="18" t="s">
        <v>11652</v>
      </c>
      <c r="C539" s="18" t="s">
        <v>11654</v>
      </c>
      <c r="D539" s="5" t="str">
        <f ca="1">IFERROR(__xludf.DUMMYFUNCTION("GOOGLETRANSLATE(B539,""ja"",""vi"")"),"Datsun xe tải")</f>
        <v>Datsun xe tải</v>
      </c>
      <c r="E539" s="5" t="str">
        <f ca="1">IFERROR(__xludf.DUMMYFUNCTION("GOOGLETRANSLATE(C539,""ja"",""vi"")"),"Đấu giá&gt; ô tô, xe máy&gt; ô tô cũ, ô tô mới&gt; Nissan&gt; xe Datsun")</f>
        <v>Đấu giá&gt; ô tô, xe máy&gt; ô tô cũ, ô tô mới&gt; Nissan&gt; xe Datsun</v>
      </c>
      <c r="F539" t="str">
        <f t="shared" ca="1" si="8"/>
        <v>"2084049203" : "Datsun xe tải",</v>
      </c>
    </row>
    <row r="540" spans="1:6" ht="15.75" customHeight="1">
      <c r="A540" s="18">
        <v>2084058460</v>
      </c>
      <c r="B540" s="18" t="s">
        <v>11658</v>
      </c>
      <c r="C540" s="18" t="s">
        <v>11660</v>
      </c>
      <c r="D540" s="5" t="str">
        <f ca="1">IFERROR(__xludf.DUMMYFUNCTION("GOOGLETRANSLATE(B540,""ja"",""vi"")"),"Tida")</f>
        <v>Tida</v>
      </c>
      <c r="E540" s="5" t="str">
        <f ca="1">IFERROR(__xludf.DUMMYFUNCTION("GOOGLETRANSLATE(C540,""ja"",""vi"")"),"Đấu giá&gt; ô tô, xe máy&gt; ô tô cũ, ô tô mới&gt; Nissan&gt; Tiida")</f>
        <v>Đấu giá&gt; ô tô, xe máy&gt; ô tô cũ, ô tô mới&gt; Nissan&gt; Tiida</v>
      </c>
      <c r="F540" t="str">
        <f t="shared" ca="1" si="8"/>
        <v>"2084058460" : "Tida",</v>
      </c>
    </row>
    <row r="541" spans="1:6" ht="15.75" customHeight="1">
      <c r="A541" s="18">
        <v>2084058462</v>
      </c>
      <c r="B541" s="18" t="s">
        <v>11665</v>
      </c>
      <c r="C541" s="18" t="s">
        <v>11666</v>
      </c>
      <c r="D541" s="5" t="str">
        <f ca="1">IFERROR(__xludf.DUMMYFUNCTION("GOOGLETRANSLATE(B541,""ja"",""vi"")"),"Tiida Latio")</f>
        <v>Tiida Latio</v>
      </c>
      <c r="E541" s="5" t="str">
        <f ca="1">IFERROR(__xludf.DUMMYFUNCTION("GOOGLETRANSLATE(C541,""ja"",""vi"")"),"Đấu giá&gt; ô tô, xe máy&gt; ô tô cũ, ô tô mới&gt; Nissan&gt; Tiida Latio")</f>
        <v>Đấu giá&gt; ô tô, xe máy&gt; ô tô cũ, ô tô mới&gt; Nissan&gt; Tiida Latio</v>
      </c>
      <c r="F541" t="str">
        <f t="shared" ca="1" si="8"/>
        <v>"2084058462" : "Tiida Latio",</v>
      </c>
    </row>
    <row r="542" spans="1:6" ht="15.75" customHeight="1">
      <c r="A542" s="18">
        <v>2084022951</v>
      </c>
      <c r="B542" s="18" t="s">
        <v>11669</v>
      </c>
      <c r="C542" s="18" t="s">
        <v>11671</v>
      </c>
      <c r="D542" s="5" t="str">
        <f ca="1">IFERROR(__xludf.DUMMYFUNCTION("GOOGLETRANSLATE(B542,""ja"",""vi"")"),"Martino")</f>
        <v>Martino</v>
      </c>
      <c r="E542" s="5" t="str">
        <f ca="1">IFERROR(__xludf.DUMMYFUNCTION("GOOGLETRANSLATE(C542,""ja"",""vi"")"),"Đấu giá&gt; ô tô, xe máy&gt; ô tô cũ, ô tô mới&gt; Nissan&gt; Tino")</f>
        <v>Đấu giá&gt; ô tô, xe máy&gt; ô tô cũ, ô tô mới&gt; Nissan&gt; Tino</v>
      </c>
      <c r="F542" t="str">
        <f t="shared" ca="1" si="8"/>
        <v>"2084022951" : "Martino",</v>
      </c>
    </row>
    <row r="543" spans="1:6" ht="15.75" customHeight="1">
      <c r="A543" s="18">
        <v>2084054065</v>
      </c>
      <c r="B543" s="18" t="s">
        <v>11675</v>
      </c>
      <c r="C543" s="18" t="s">
        <v>11677</v>
      </c>
      <c r="D543" s="5" t="str">
        <f ca="1">IFERROR(__xludf.DUMMYFUNCTION("GOOGLETRANSLATE(B543,""ja"",""vi"")"),"Teana")</f>
        <v>Teana</v>
      </c>
      <c r="E543" s="5" t="str">
        <f ca="1">IFERROR(__xludf.DUMMYFUNCTION("GOOGLETRANSLATE(C543,""ja"",""vi"")"),"Đấu giá&gt; ô tô, xe máy&gt; ô tô cũ, ô tô mới&gt; Nissan&gt; Teana")</f>
        <v>Đấu giá&gt; ô tô, xe máy&gt; ô tô cũ, ô tô mới&gt; Nissan&gt; Teana</v>
      </c>
      <c r="F543" t="str">
        <f t="shared" ca="1" si="8"/>
        <v>"2084054065" : "Teana",</v>
      </c>
    </row>
    <row r="544" spans="1:6" ht="15.75" customHeight="1">
      <c r="A544" s="18">
        <v>2084022952</v>
      </c>
      <c r="B544" s="18" t="s">
        <v>11682</v>
      </c>
      <c r="C544" s="18" t="s">
        <v>11685</v>
      </c>
      <c r="D544" s="5" t="str">
        <f ca="1">IFERROR(__xludf.DUMMYFUNCTION("GOOGLETRANSLATE(B544,""ja"",""vi"")"),"Terrano")</f>
        <v>Terrano</v>
      </c>
      <c r="E544" s="5" t="str">
        <f ca="1">IFERROR(__xludf.DUMMYFUNCTION("GOOGLETRANSLATE(C544,""ja"",""vi"")"),"Đấu giá&gt; ô tô, xe máy&gt; ô tô cũ, ô tô mới&gt; Nissan&gt; Terrano")</f>
        <v>Đấu giá&gt; ô tô, xe máy&gt; ô tô cũ, ô tô mới&gt; Nissan&gt; Terrano</v>
      </c>
      <c r="F544" t="str">
        <f t="shared" ca="1" si="8"/>
        <v>"2084022952" : "Terrano",</v>
      </c>
    </row>
    <row r="545" spans="1:6" ht="15.75" customHeight="1">
      <c r="A545" s="18">
        <v>2084022972</v>
      </c>
      <c r="B545" s="18" t="s">
        <v>11689</v>
      </c>
      <c r="C545" s="18" t="s">
        <v>11691</v>
      </c>
      <c r="D545" s="5" t="str">
        <f ca="1">IFERROR(__xludf.DUMMYFUNCTION("GOOGLETRANSLATE(B545,""ja"",""vi"")"),"Terrano Regurasu")</f>
        <v>Terrano Regurasu</v>
      </c>
      <c r="E545" s="5" t="str">
        <f ca="1">IFERROR(__xludf.DUMMYFUNCTION("GOOGLETRANSLATE(C545,""ja"",""vi"")"),"Đấu giá&gt; ô tô, xe máy&gt; ô tô cũ, ô tô mới&gt; Nissan&gt; Terrano Regurasu")</f>
        <v>Đấu giá&gt; ô tô, xe máy&gt; ô tô cũ, ô tô mới&gt; Nissan&gt; Terrano Regurasu</v>
      </c>
      <c r="F545" t="str">
        <f t="shared" ca="1" si="8"/>
        <v>"2084022972" : "Terrano Regurasu",</v>
      </c>
    </row>
    <row r="546" spans="1:6" ht="15.75" customHeight="1">
      <c r="A546" s="18">
        <v>2084315391</v>
      </c>
      <c r="B546" s="18" t="s">
        <v>11694</v>
      </c>
      <c r="C546" s="18" t="s">
        <v>11696</v>
      </c>
      <c r="D546" s="5" t="str">
        <f ca="1">IFERROR(__xludf.DUMMYFUNCTION("GOOGLETRANSLATE(B546,""ja"",""vi"")"),"ngày")</f>
        <v>ngày</v>
      </c>
      <c r="E546" s="5" t="str">
        <f ca="1">IFERROR(__xludf.DUMMYFUNCTION("GOOGLETRANSLATE(C546,""ja"",""vi"")"),"Đấu giá&gt; ô tô, xe máy&gt; ô tô cũ, ô tô mới&gt; Nissan&gt; Days")</f>
        <v>Đấu giá&gt; ô tô, xe máy&gt; ô tô cũ, ô tô mới&gt; Nissan&gt; Days</v>
      </c>
      <c r="F546" t="str">
        <f t="shared" ca="1" si="8"/>
        <v>"2084315391" : "ngày",</v>
      </c>
    </row>
    <row r="547" spans="1:6" ht="15.75" customHeight="1">
      <c r="A547" s="18">
        <v>2084315392</v>
      </c>
      <c r="B547" s="18" t="s">
        <v>11700</v>
      </c>
      <c r="C547" s="18" t="s">
        <v>11701</v>
      </c>
      <c r="D547" s="5" t="str">
        <f ca="1">IFERROR(__xludf.DUMMYFUNCTION("GOOGLETRANSLATE(B547,""ja"",""vi"")"),"ngày Rooks")</f>
        <v>ngày Rooks</v>
      </c>
      <c r="E547" s="5" t="str">
        <f ca="1">IFERROR(__xludf.DUMMYFUNCTION("GOOGLETRANSLATE(C547,""ja"",""vi"")"),"Đấu giá&gt; ô tô, xe máy&gt; ô tô cũ, ô tô mới&gt; Nissan&gt; Days Rooks")</f>
        <v>Đấu giá&gt; ô tô, xe máy&gt; ô tô cũ, ô tô mới&gt; Nissan&gt; Days Rooks</v>
      </c>
      <c r="F547" t="str">
        <f t="shared" ca="1" si="8"/>
        <v>"2084315392" : "ngày Rooks",</v>
      </c>
    </row>
    <row r="548" spans="1:6" ht="15.75" customHeight="1">
      <c r="A548" s="18">
        <v>2084243789</v>
      </c>
      <c r="B548" s="18" t="s">
        <v>11706</v>
      </c>
      <c r="C548" s="18" t="s">
        <v>11707</v>
      </c>
      <c r="D548" s="5" t="str">
        <f ca="1">IFERROR(__xludf.DUMMYFUNCTION("GOOGLETRANSLATE(B548,""ja"",""vi"")"),"Dualis")</f>
        <v>Dualis</v>
      </c>
      <c r="E548" s="5" t="str">
        <f ca="1">IFERROR(__xludf.DUMMYFUNCTION("GOOGLETRANSLATE(C548,""ja"",""vi"")"),"Đấu giá&gt; ô tô, xe máy&gt; ô tô cũ, ô tô mới&gt; Nissan&gt; Dualis")</f>
        <v>Đấu giá&gt; ô tô, xe máy&gt; ô tô cũ, ô tô mới&gt; Nissan&gt; Dualis</v>
      </c>
      <c r="F548" t="str">
        <f t="shared" ca="1" si="8"/>
        <v>"2084243789" : "Dualis",</v>
      </c>
    </row>
    <row r="549" spans="1:6" ht="15.75" customHeight="1">
      <c r="A549" s="18">
        <v>2084059202</v>
      </c>
      <c r="B549" s="18" t="s">
        <v>11711</v>
      </c>
      <c r="C549" s="18" t="s">
        <v>11712</v>
      </c>
      <c r="D549" s="5" t="str">
        <f ca="1">IFERROR(__xludf.DUMMYFUNCTION("GOOGLETRANSLATE(B549,""ja"",""vi"")"),"Máy tính xách tay")</f>
        <v>Máy tính xách tay</v>
      </c>
      <c r="E549" s="5" t="str">
        <f ca="1">IFERROR(__xludf.DUMMYFUNCTION("GOOGLETRANSLATE(C549,""ja"",""vi"")"),"Đấu giá&gt; ô tô, xe máy&gt; ô tô cũ, ô tô mới&gt; Nissan&gt; Ghi chú")</f>
        <v>Đấu giá&gt; ô tô, xe máy&gt; ô tô cũ, ô tô mới&gt; Nissan&gt; Ghi chú</v>
      </c>
      <c r="F549" t="str">
        <f t="shared" ca="1" si="8"/>
        <v>"2084059202" : "Máy tính xách tay",</v>
      </c>
    </row>
    <row r="550" spans="1:6" ht="15.75" customHeight="1">
      <c r="A550" s="18">
        <v>2084022955</v>
      </c>
      <c r="B550" s="18" t="s">
        <v>11715</v>
      </c>
      <c r="C550" s="18" t="s">
        <v>11718</v>
      </c>
      <c r="D550" s="5" t="str">
        <f ca="1">IFERROR(__xludf.DUMMYFUNCTION("GOOGLETRANSLATE(B550,""ja"",""vi"")"),"Basara")</f>
        <v>Basara</v>
      </c>
      <c r="E550" s="5" t="str">
        <f ca="1">IFERROR(__xludf.DUMMYFUNCTION("GOOGLETRANSLATE(C550,""ja"",""vi"")"),"Đấu giá&gt; ô tô, xe máy&gt; ô tô cũ, ô tô mới&gt; Nissan&gt; Basara")</f>
        <v>Đấu giá&gt; ô tô, xe máy&gt; ô tô cũ, ô tô mới&gt; Nissan&gt; Basara</v>
      </c>
      <c r="F550" t="str">
        <f t="shared" ca="1" si="8"/>
        <v>"2084022955" : "Basara",</v>
      </c>
    </row>
    <row r="551" spans="1:6" ht="15.75" customHeight="1">
      <c r="A551" s="18">
        <v>2084049204</v>
      </c>
      <c r="B551" s="18" t="s">
        <v>11720</v>
      </c>
      <c r="C551" s="18" t="s">
        <v>11722</v>
      </c>
      <c r="D551" s="5" t="str">
        <f ca="1">IFERROR(__xludf.DUMMYFUNCTION("GOOGLETRANSLATE(B551,""ja"",""vi"")"),"Vanette")</f>
        <v>Vanette</v>
      </c>
      <c r="E551" s="5" t="str">
        <f ca="1">IFERROR(__xludf.DUMMYFUNCTION("GOOGLETRANSLATE(C551,""ja"",""vi"")"),"Đấu giá&gt; ô tô, xe máy&gt; ô tô cũ, ô tô mới&gt; Nissan&gt; Vanette")</f>
        <v>Đấu giá&gt; ô tô, xe máy&gt; ô tô cũ, ô tô mới&gt; Nissan&gt; Vanette</v>
      </c>
      <c r="F551" t="str">
        <f t="shared" ca="1" si="8"/>
        <v>"2084049204" : "Vanette",</v>
      </c>
    </row>
    <row r="552" spans="1:6" ht="15.75" customHeight="1">
      <c r="A552" s="18">
        <v>2084022957</v>
      </c>
      <c r="B552" s="18" t="s">
        <v>11727</v>
      </c>
      <c r="C552" s="18" t="s">
        <v>11728</v>
      </c>
      <c r="D552" s="5" t="str">
        <f ca="1">IFERROR(__xludf.DUMMYFUNCTION("GOOGLETRANSLATE(B552,""ja"",""vi"")"),"Vanette van")</f>
        <v>Vanette van</v>
      </c>
      <c r="E552" s="5" t="str">
        <f ca="1">IFERROR(__xludf.DUMMYFUNCTION("GOOGLETRANSLATE(C552,""ja"",""vi"")"),"Đấu giá&gt; ô tô, xe máy&gt; ô tô cũ, ô tô mới&gt; Nissan&gt; Vanette van")</f>
        <v>Đấu giá&gt; ô tô, xe máy&gt; ô tô cũ, ô tô mới&gt; Nissan&gt; Vanette van</v>
      </c>
      <c r="F552" t="str">
        <f t="shared" ca="1" si="8"/>
        <v>"2084022957" : "Vanette van",</v>
      </c>
    </row>
    <row r="553" spans="1:6" ht="15.75" customHeight="1">
      <c r="A553" s="18">
        <v>2084022954</v>
      </c>
      <c r="B553" s="18" t="s">
        <v>11733</v>
      </c>
      <c r="C553" s="18" t="s">
        <v>11735</v>
      </c>
      <c r="D553" s="5" t="str">
        <f ca="1">IFERROR(__xludf.DUMMYFUNCTION("GOOGLETRANSLATE(B553,""ja"",""vi"")"),"Pao")</f>
        <v>Pao</v>
      </c>
      <c r="E553" s="5" t="str">
        <f ca="1">IFERROR(__xludf.DUMMYFUNCTION("GOOGLETRANSLATE(C553,""ja"",""vi"")"),"Đấu giá&gt; ô tô, xe máy&gt; ô tô cũ, ô tô mới&gt; Nissan&gt; Pao")</f>
        <v>Đấu giá&gt; ô tô, xe máy&gt; ô tô cũ, ô tô mới&gt; Nissan&gt; Pao</v>
      </c>
      <c r="F553" t="str">
        <f t="shared" ca="1" si="8"/>
        <v>"2084022954" : "Pao",</v>
      </c>
    </row>
    <row r="554" spans="1:6" ht="15.75" customHeight="1">
      <c r="A554" s="18">
        <v>2084022958</v>
      </c>
      <c r="B554" s="18" t="s">
        <v>11739</v>
      </c>
      <c r="C554" s="18" t="s">
        <v>11741</v>
      </c>
      <c r="D554" s="5" t="str">
        <f ca="1">IFERROR(__xludf.DUMMYFUNCTION("GOOGLETRANSLATE(B554,""ja"",""vi"")"),"Pulsar")</f>
        <v>Pulsar</v>
      </c>
      <c r="E554" s="5" t="str">
        <f ca="1">IFERROR(__xludf.DUMMYFUNCTION("GOOGLETRANSLATE(C554,""ja"",""vi"")"),"Đấu giá&gt; ô tô, xe máy&gt; ô tô cũ, ô tô mới&gt; Nissan&gt; Pulsar")</f>
        <v>Đấu giá&gt; ô tô, xe máy&gt; ô tô cũ, ô tô mới&gt; Nissan&gt; Pulsar</v>
      </c>
      <c r="F554" t="str">
        <f t="shared" ca="1" si="8"/>
        <v>"2084022958" : "Pulsar",</v>
      </c>
    </row>
    <row r="555" spans="1:6" ht="15.75" customHeight="1">
      <c r="A555" s="18">
        <v>2084313088</v>
      </c>
      <c r="B555" s="18" t="s">
        <v>11745</v>
      </c>
      <c r="C555" s="18" t="s">
        <v>11746</v>
      </c>
      <c r="D555" s="5" t="str">
        <f ca="1">IFERROR(__xludf.DUMMYFUNCTION("GOOGLETRANSLATE(B555,""ja"",""vi"")"),"Pinot")</f>
        <v>Pinot</v>
      </c>
      <c r="E555" s="5" t="str">
        <f ca="1">IFERROR(__xludf.DUMMYFUNCTION("GOOGLETRANSLATE(C555,""ja"",""vi"")"),"Đấu giá&gt; ô tô, xe máy&gt; ô tô cũ, ô tô mới&gt; Nissan&gt; Pino")</f>
        <v>Đấu giá&gt; ô tô, xe máy&gt; ô tô cũ, ô tô mới&gt; Nissan&gt; Pino</v>
      </c>
      <c r="F555" t="str">
        <f t="shared" ca="1" si="8"/>
        <v>"2084313088" : "Pinot",</v>
      </c>
    </row>
    <row r="556" spans="1:6" ht="15.75" customHeight="1">
      <c r="A556" s="18">
        <v>2084059196</v>
      </c>
      <c r="B556" s="18" t="s">
        <v>11749</v>
      </c>
      <c r="C556" s="18" t="s">
        <v>11750</v>
      </c>
      <c r="D556" s="5" t="str">
        <f ca="1">IFERROR(__xludf.DUMMYFUNCTION("GOOGLETRANSLATE(B556,""ja"",""vi"")"),"bài nhạc đặt theo tẩu pháp")</f>
        <v>bài nhạc đặt theo tẩu pháp</v>
      </c>
      <c r="E556" s="5" t="str">
        <f ca="1">IFERROR(__xludf.DUMMYFUNCTION("GOOGLETRANSLATE(C556,""ja"",""vi"")"),"Đấu giá&gt; ô tô, xe máy&gt; ô tô cũ, ô tô mới&gt; Nissan&gt; Fuga")</f>
        <v>Đấu giá&gt; ô tô, xe máy&gt; ô tô cũ, ô tô mới&gt; Nissan&gt; Fuga</v>
      </c>
      <c r="F556" t="str">
        <f t="shared" ca="1" si="8"/>
        <v>"2084059196" : "bài nhạc đặt theo tẩu pháp",</v>
      </c>
    </row>
    <row r="557" spans="1:6" ht="15.75" customHeight="1">
      <c r="A557" s="18">
        <v>2084299528</v>
      </c>
      <c r="B557" s="18" t="s">
        <v>11753</v>
      </c>
      <c r="C557" s="18" t="s">
        <v>11754</v>
      </c>
      <c r="D557" s="5" t="str">
        <f ca="1">IFERROR(__xludf.DUMMYFUNCTION("GOOGLETRANSLATE(B557,""ja"",""vi"")"),"Fuga hybrid")</f>
        <v>Fuga hybrid</v>
      </c>
      <c r="E557" s="5" t="str">
        <f ca="1">IFERROR(__xludf.DUMMYFUNCTION("GOOGLETRANSLATE(C557,""ja"",""vi"")"),"Đấu giá&gt; ô tô, xe máy&gt; ô tô cũ, ô tô mới&gt; Nissan&gt; Fuga hybrid")</f>
        <v>Đấu giá&gt; ô tô, xe máy&gt; ô tô cũ, ô tô mới&gt; Nissan&gt; Fuga hybrid</v>
      </c>
      <c r="F557" t="str">
        <f t="shared" ca="1" si="8"/>
        <v>"2084299528" : "Fuga hybrid",</v>
      </c>
    </row>
    <row r="558" spans="1:6" ht="15.75" customHeight="1">
      <c r="A558" s="18">
        <v>2084048057</v>
      </c>
      <c r="B558" s="18" t="s">
        <v>11759</v>
      </c>
      <c r="C558" s="18" t="s">
        <v>11760</v>
      </c>
      <c r="D558" s="5" t="str">
        <f ca="1">IFERROR(__xludf.DUMMYFUNCTION("GOOGLETRANSLATE(B558,""ja"",""vi"")"),"Figaro")</f>
        <v>Figaro</v>
      </c>
      <c r="E558" s="5" t="str">
        <f ca="1">IFERROR(__xludf.DUMMYFUNCTION("GOOGLETRANSLATE(C558,""ja"",""vi"")"),"Đấu giá&gt; ô tô, xe máy&gt; ô tô cũ, ô tô mới&gt; Nissan&gt; Figaro")</f>
        <v>Đấu giá&gt; ô tô, xe máy&gt; ô tô cũ, ô tô mới&gt; Nissan&gt; Figaro</v>
      </c>
      <c r="F558" t="str">
        <f t="shared" ca="1" si="8"/>
        <v>"2084048057" : "Figaro",</v>
      </c>
    </row>
    <row r="559" spans="1:6" ht="15.75" customHeight="1">
      <c r="A559" s="18">
        <v>2084022959</v>
      </c>
      <c r="B559" s="18" t="s">
        <v>11765</v>
      </c>
      <c r="C559" s="18" t="s">
        <v>11766</v>
      </c>
      <c r="D559" s="5" t="str">
        <f ca="1">IFERROR(__xludf.DUMMYFUNCTION("GOOGLETRANSLATE(B559,""ja"",""vi"")"),"Z Fairlady")</f>
        <v>Z Fairlady</v>
      </c>
      <c r="E559" s="5" t="str">
        <f ca="1">IFERROR(__xludf.DUMMYFUNCTION("GOOGLETRANSLATE(C559,""ja"",""vi"")"),"Đấu giá&gt; ô tô, xe máy&gt; ô tô cũ, ô tô mới&gt; Nissan&gt; Fairlady Z")</f>
        <v>Đấu giá&gt; ô tô, xe máy&gt; ô tô cũ, ô tô mới&gt; Nissan&gt; Fairlady Z</v>
      </c>
      <c r="F559" t="str">
        <f t="shared" ca="1" si="8"/>
        <v>"2084022959" : "Z Fairlady",</v>
      </c>
    </row>
    <row r="560" spans="1:6" ht="15.75" customHeight="1">
      <c r="A560" s="18">
        <v>2084022961</v>
      </c>
      <c r="B560" s="18" t="s">
        <v>11770</v>
      </c>
      <c r="C560" s="18" t="s">
        <v>11771</v>
      </c>
      <c r="D560" s="5" t="str">
        <f ca="1">IFERROR(__xludf.DUMMYFUNCTION("GOOGLETRANSLATE(B560,""ja"",""vi"")"),"blue Bird")</f>
        <v>blue Bird</v>
      </c>
      <c r="E560" s="5" t="str">
        <f ca="1">IFERROR(__xludf.DUMMYFUNCTION("GOOGLETRANSLATE(C560,""ja"",""vi"")"),"Đấu giá&gt; ô tô, xe máy&gt; ô tô cũ, ô tô mới&gt; Nissan&gt; Bluebird")</f>
        <v>Đấu giá&gt; ô tô, xe máy&gt; ô tô cũ, ô tô mới&gt; Nissan&gt; Bluebird</v>
      </c>
      <c r="F560" t="str">
        <f t="shared" ca="1" si="8"/>
        <v>"2084022961" : "blue Bird",</v>
      </c>
    </row>
    <row r="561" spans="1:6" ht="15.75" customHeight="1">
      <c r="A561" s="18">
        <v>2084049208</v>
      </c>
      <c r="B561" s="18" t="s">
        <v>11776</v>
      </c>
      <c r="C561" s="18" t="s">
        <v>11777</v>
      </c>
      <c r="D561" s="5" t="str">
        <f ca="1">IFERROR(__xludf.DUMMYFUNCTION("GOOGLETRANSLATE(B561,""ja"",""vi"")"),"Bluebird Sylphy")</f>
        <v>Bluebird Sylphy</v>
      </c>
      <c r="E561" s="5" t="str">
        <f ca="1">IFERROR(__xludf.DUMMYFUNCTION("GOOGLETRANSLATE(C561,""ja"",""vi"")"),"Đấu giá&gt; ô tô, xe máy&gt; ô tô cũ, ô tô mới&gt; Nissan&gt; Bluebird Sylphy")</f>
        <v>Đấu giá&gt; ô tô, xe máy&gt; ô tô cũ, ô tô mới&gt; Nissan&gt; Bluebird Sylphy</v>
      </c>
      <c r="F561" t="str">
        <f t="shared" ca="1" si="8"/>
        <v>"2084049208" : "Bluebird Sylphy",</v>
      </c>
    </row>
    <row r="562" spans="1:6" ht="15.75" customHeight="1">
      <c r="A562" s="18">
        <v>2084022960</v>
      </c>
      <c r="B562" s="18" t="s">
        <v>11781</v>
      </c>
      <c r="C562" s="18" t="s">
        <v>11782</v>
      </c>
      <c r="D562" s="5" t="str">
        <f ca="1">IFERROR(__xludf.DUMMYFUNCTION("GOOGLETRANSLATE(B562,""ja"",""vi"")"),"Primera")</f>
        <v>Primera</v>
      </c>
      <c r="E562" s="5" t="str">
        <f ca="1">IFERROR(__xludf.DUMMYFUNCTION("GOOGLETRANSLATE(C562,""ja"",""vi"")"),"Đấu giá&gt; ô tô, xe máy&gt; ô tô cũ, ô tô mới&gt; Nissan&gt; Primera")</f>
        <v>Đấu giá&gt; ô tô, xe máy&gt; ô tô cũ, ô tô mới&gt; Nissan&gt; Primera</v>
      </c>
      <c r="F562" t="str">
        <f t="shared" ca="1" si="8"/>
        <v>"2084022960" : "Primera",</v>
      </c>
    </row>
    <row r="563" spans="1:6" ht="15.75" customHeight="1">
      <c r="A563" s="18">
        <v>2084049207</v>
      </c>
      <c r="B563" s="18" t="s">
        <v>11787</v>
      </c>
      <c r="C563" s="18" t="s">
        <v>11790</v>
      </c>
      <c r="D563" s="5" t="str">
        <f ca="1">IFERROR(__xludf.DUMMYFUNCTION("GOOGLETRANSLATE(B563,""ja"",""vi"")"),"Primera Camino")</f>
        <v>Primera Camino</v>
      </c>
      <c r="E563" s="5" t="str">
        <f ca="1">IFERROR(__xludf.DUMMYFUNCTION("GOOGLETRANSLATE(C563,""ja"",""vi"")"),"Đấu giá&gt; ô tô, xe máy&gt; ô tô cũ, ô tô mới&gt; Nissan&gt; Primera Camino")</f>
        <v>Đấu giá&gt; ô tô, xe máy&gt; ô tô cũ, ô tô mới&gt; Nissan&gt; Primera Camino</v>
      </c>
      <c r="F563" t="str">
        <f t="shared" ca="1" si="8"/>
        <v>"2084049207" : "Primera Camino",</v>
      </c>
    </row>
    <row r="564" spans="1:6" ht="15.75" customHeight="1">
      <c r="A564" s="18">
        <v>2084048058</v>
      </c>
      <c r="B564" s="18" t="s">
        <v>11796</v>
      </c>
      <c r="C564" s="18" t="s">
        <v>11798</v>
      </c>
      <c r="D564" s="5" t="str">
        <f ca="1">IFERROR(__xludf.DUMMYFUNCTION("GOOGLETRANSLATE(B564,""ja"",""vi"")"),"Primera Wagon")</f>
        <v>Primera Wagon</v>
      </c>
      <c r="E564" s="5" t="str">
        <f ca="1">IFERROR(__xludf.DUMMYFUNCTION("GOOGLETRANSLATE(C564,""ja"",""vi"")"),"Đấu giá&gt; ô tô, xe máy&gt; ô tô cũ, ô tô mới&gt; Nissan&gt; Primera Wagon")</f>
        <v>Đấu giá&gt; ô tô, xe máy&gt; ô tô cũ, ô tô mới&gt; Nissan&gt; Primera Wagon</v>
      </c>
      <c r="F564" t="str">
        <f t="shared" ca="1" si="8"/>
        <v>"2084048058" : "Primera Wagon",</v>
      </c>
    </row>
    <row r="565" spans="1:6" ht="15.75" customHeight="1">
      <c r="A565" s="18">
        <v>2084022962</v>
      </c>
      <c r="B565" s="18" t="s">
        <v>11802</v>
      </c>
      <c r="C565" s="18" t="s">
        <v>11804</v>
      </c>
      <c r="D565" s="5" t="str">
        <f ca="1">IFERROR(__xludf.DUMMYFUNCTION("GOOGLETRANSLATE(B565,""ja"",""vi"")"),"loại gà rừng")</f>
        <v>loại gà rừng</v>
      </c>
      <c r="E565" s="5" t="str">
        <f ca="1">IFERROR(__xludf.DUMMYFUNCTION("GOOGLETRANSLATE(C565,""ja"",""vi"")"),"Đấu giá&gt; ô tô, xe máy&gt; ô tô cũ, ô tô mới&gt; Nissan&gt; Prairie")</f>
        <v>Đấu giá&gt; ô tô, xe máy&gt; ô tô cũ, ô tô mới&gt; Nissan&gt; Prairie</v>
      </c>
      <c r="F565" t="str">
        <f t="shared" ca="1" si="8"/>
        <v>"2084022962" : "loại gà rừng",</v>
      </c>
    </row>
    <row r="566" spans="1:6" ht="15.75" customHeight="1">
      <c r="A566" s="18">
        <v>2084049209</v>
      </c>
      <c r="B566" s="18" t="s">
        <v>11808</v>
      </c>
      <c r="C566" s="18" t="s">
        <v>11809</v>
      </c>
      <c r="D566" s="5" t="str">
        <f ca="1">IFERROR(__xludf.DUMMYFUNCTION("GOOGLETRANSLATE(B566,""ja"",""vi"")"),"Prairie Joy")</f>
        <v>Prairie Joy</v>
      </c>
      <c r="E566" s="5" t="str">
        <f ca="1">IFERROR(__xludf.DUMMYFUNCTION("GOOGLETRANSLATE(C566,""ja"",""vi"")"),"Đấu giá&gt; ô tô, xe máy&gt; ô tô cũ, ô tô mới&gt; Nissan&gt; Prairie Joy")</f>
        <v>Đấu giá&gt; ô tô, xe máy&gt; ô tô cũ, ô tô mới&gt; Nissan&gt; Prairie Joy</v>
      </c>
      <c r="F566" t="str">
        <f t="shared" ca="1" si="8"/>
        <v>"2084049209" : "Prairie Joy",</v>
      </c>
    </row>
    <row r="567" spans="1:6" ht="15.75" customHeight="1">
      <c r="A567" s="18">
        <v>2084049210</v>
      </c>
      <c r="B567" s="18" t="s">
        <v>11811</v>
      </c>
      <c r="C567" s="18" t="s">
        <v>11812</v>
      </c>
      <c r="D567" s="5" t="str">
        <f ca="1">IFERROR(__xludf.DUMMYFUNCTION("GOOGLETRANSLATE(B567,""ja"",""vi"")"),"Prairie Liberty")</f>
        <v>Prairie Liberty</v>
      </c>
      <c r="E567" s="5" t="str">
        <f ca="1">IFERROR(__xludf.DUMMYFUNCTION("GOOGLETRANSLATE(C567,""ja"",""vi"")"),"Đấu giá&gt; ô tô, xe máy&gt; ô tô cũ, ô tô mới&gt; Nissan&gt; Prairie Liberty")</f>
        <v>Đấu giá&gt; ô tô, xe máy&gt; ô tô cũ, ô tô mới&gt; Nissan&gt; Prairie Liberty</v>
      </c>
      <c r="F567" t="str">
        <f t="shared" ca="1" si="8"/>
        <v>"2084049210" : "Prairie Liberty",</v>
      </c>
    </row>
    <row r="568" spans="1:6" ht="15.75" customHeight="1">
      <c r="A568" s="18">
        <v>2084022963</v>
      </c>
      <c r="B568" s="18" t="s">
        <v>11815</v>
      </c>
      <c r="C568" s="18" t="s">
        <v>11816</v>
      </c>
      <c r="D568" s="5" t="str">
        <f ca="1">IFERROR(__xludf.DUMMYFUNCTION("GOOGLETRANSLATE(B568,""ja"",""vi"")"),"chỉ điềm")</f>
        <v>chỉ điềm</v>
      </c>
      <c r="E568" s="5" t="str">
        <f ca="1">IFERROR(__xludf.DUMMYFUNCTION("GOOGLETRANSLATE(C568,""ja"",""vi"")"),"Đấu giá&gt; ô tô, xe máy&gt; ô tô cũ, ô tô mới&gt; Nissan&gt; tiên đoán")</f>
        <v>Đấu giá&gt; ô tô, xe máy&gt; ô tô cũ, ô tô mới&gt; Nissan&gt; tiên đoán</v>
      </c>
      <c r="F568" t="str">
        <f t="shared" ca="1" si="8"/>
        <v>"2084022963" : "chỉ điềm",</v>
      </c>
    </row>
    <row r="569" spans="1:6" ht="15.75" customHeight="1">
      <c r="A569" s="18">
        <v>2084022964</v>
      </c>
      <c r="B569" s="18" t="s">
        <v>11819</v>
      </c>
      <c r="C569" s="18" t="s">
        <v>11820</v>
      </c>
      <c r="D569" s="5" t="str">
        <f ca="1">IFERROR(__xludf.DUMMYFUNCTION("GOOGLETRANSLATE(B569,""ja"",""vi"")"),"chủ tịch")</f>
        <v>chủ tịch</v>
      </c>
      <c r="E569" s="5" t="str">
        <f ca="1">IFERROR(__xludf.DUMMYFUNCTION("GOOGLETRANSLATE(C569,""ja"",""vi"")"),"Đấu giá&gt; ô tô, xe máy&gt; ô tô cũ, ô tô mới&gt; Nissan&gt; Tổng thống")</f>
        <v>Đấu giá&gt; ô tô, xe máy&gt; ô tô cũ, ô tô mới&gt; Nissan&gt; Tổng thống</v>
      </c>
      <c r="F569" t="str">
        <f t="shared" ca="1" si="8"/>
        <v>"2084022964" : "chủ tịch",</v>
      </c>
    </row>
    <row r="570" spans="1:6" ht="15.75" customHeight="1">
      <c r="A570" s="18">
        <v>2084022965</v>
      </c>
      <c r="B570" s="18" t="s">
        <v>11823</v>
      </c>
      <c r="C570" s="18" t="s">
        <v>11824</v>
      </c>
      <c r="D570" s="5" t="str">
        <f ca="1">IFERROR(__xludf.DUMMYFUNCTION("GOOGLETRANSLATE(B570,""ja"",""vi"")"),"Presea")</f>
        <v>Presea</v>
      </c>
      <c r="E570" s="5" t="str">
        <f ca="1">IFERROR(__xludf.DUMMYFUNCTION("GOOGLETRANSLATE(C570,""ja"",""vi"")"),"Đấu giá&gt; ô tô, xe máy&gt; ô tô cũ, ô tô mới&gt; Nissan&gt; Presea")</f>
        <v>Đấu giá&gt; ô tô, xe máy&gt; ô tô cũ, ô tô mới&gt; Nissan&gt; Presea</v>
      </c>
      <c r="F570" t="str">
        <f t="shared" ca="1" si="8"/>
        <v>"2084022965" : "Presea",</v>
      </c>
    </row>
    <row r="571" spans="1:6" ht="15.75" customHeight="1">
      <c r="A571" s="18">
        <v>2084049211</v>
      </c>
      <c r="B571" s="18" t="s">
        <v>11827</v>
      </c>
      <c r="C571" s="18" t="s">
        <v>11828</v>
      </c>
      <c r="D571" s="5" t="str">
        <f ca="1">IFERROR(__xludf.DUMMYFUNCTION("GOOGLETRANSLATE(B571,""ja"",""vi"")"),"ấm cúng")</f>
        <v>ấm cúng</v>
      </c>
      <c r="E571" s="5" t="str">
        <f ca="1">IFERROR(__xludf.DUMMYFUNCTION("GOOGLETRANSLATE(C571,""ja"",""vi"")"),"Đấu giá&gt; ô tô, xe máy&gt; ô tô cũ, ô tô mới&gt; Nissan&gt; Homey")</f>
        <v>Đấu giá&gt; ô tô, xe máy&gt; ô tô cũ, ô tô mới&gt; Nissan&gt; Homey</v>
      </c>
      <c r="F571" t="str">
        <f t="shared" ca="1" si="8"/>
        <v>"2084049211" : "ấm cúng",</v>
      </c>
    </row>
    <row r="572" spans="1:6" ht="15.75" customHeight="1">
      <c r="A572" s="18">
        <v>2084022966</v>
      </c>
      <c r="B572" s="18" t="s">
        <v>11831</v>
      </c>
      <c r="C572" s="18" t="s">
        <v>11832</v>
      </c>
      <c r="D572" s="5" t="str">
        <f ca="1">IFERROR(__xludf.DUMMYFUNCTION("GOOGLETRANSLATE(B572,""ja"",""vi"")"),"tháng ba")</f>
        <v>tháng ba</v>
      </c>
      <c r="E572" s="5" t="str">
        <f ca="1">IFERROR(__xludf.DUMMYFUNCTION("GOOGLETRANSLATE(C572,""ja"",""vi"")"),"Đấu giá&gt; ô tô, xe máy&gt; ô tô cũ, ô tô mới&gt; Nissan&gt; tháng")</f>
        <v>Đấu giá&gt; ô tô, xe máy&gt; ô tô cũ, ô tô mới&gt; Nissan&gt; tháng</v>
      </c>
      <c r="F572" t="str">
        <f t="shared" ca="1" si="8"/>
        <v>"2084022966" : "tháng ba",</v>
      </c>
    </row>
    <row r="573" spans="1:6" ht="15.75" customHeight="1">
      <c r="A573" s="18">
        <v>2084022968</v>
      </c>
      <c r="B573" s="18" t="s">
        <v>11837</v>
      </c>
      <c r="C573" s="18" t="s">
        <v>11838</v>
      </c>
      <c r="D573" s="5" t="str">
        <f ca="1">IFERROR(__xludf.DUMMYFUNCTION("GOOGLETRANSLATE(B573,""ja"",""vi"")"),"gió bấc thổi từ hướng tây")</f>
        <v>gió bấc thổi từ hướng tây</v>
      </c>
      <c r="E573" s="5" t="str">
        <f ca="1">IFERROR(__xludf.DUMMYFUNCTION("GOOGLETRANSLATE(C573,""ja"",""vi"")"),"Đấu giá&gt; ô tô, xe máy&gt; ô tô cũ, ô tô mới&gt; Nissan&gt; Mistral")</f>
        <v>Đấu giá&gt; ô tô, xe máy&gt; ô tô cũ, ô tô mới&gt; Nissan&gt; Mistral</v>
      </c>
      <c r="F573" t="str">
        <f t="shared" ca="1" si="8"/>
        <v>"2084022968" : "gió bấc thổi từ hướng tây",</v>
      </c>
    </row>
    <row r="574" spans="1:6" ht="15.75" customHeight="1">
      <c r="A574" s="18">
        <v>2084058457</v>
      </c>
      <c r="B574" s="18" t="s">
        <v>11842</v>
      </c>
      <c r="C574" s="18" t="s">
        <v>11844</v>
      </c>
      <c r="D574" s="5" t="str">
        <f ca="1">IFERROR(__xludf.DUMMYFUNCTION("GOOGLETRANSLATE(B574,""ja"",""vi"")"),"Murano")</f>
        <v>Murano</v>
      </c>
      <c r="E574" s="5" t="str">
        <f ca="1">IFERROR(__xludf.DUMMYFUNCTION("GOOGLETRANSLATE(C574,""ja"",""vi"")"),"Đấu giá&gt; ô tô, xe máy&gt; ô tô cũ, ô tô mới&gt; Nissan&gt; Murano")</f>
        <v>Đấu giá&gt; ô tô, xe máy&gt; ô tô cũ, ô tô mới&gt; Nissan&gt; Murano</v>
      </c>
      <c r="F574" t="str">
        <f t="shared" ca="1" si="8"/>
        <v>"2084058457" : "Murano",</v>
      </c>
    </row>
    <row r="575" spans="1:6" ht="15.75" customHeight="1">
      <c r="A575" s="18">
        <v>2084054064</v>
      </c>
      <c r="B575" s="18" t="s">
        <v>11846</v>
      </c>
      <c r="C575" s="18" t="s">
        <v>11849</v>
      </c>
      <c r="D575" s="5" t="str">
        <f ca="1">IFERROR(__xludf.DUMMYFUNCTION("GOOGLETRANSLATE(B575,""ja"",""vi"")"),"Moko")</f>
        <v>Moko</v>
      </c>
      <c r="E575" s="5" t="str">
        <f ca="1">IFERROR(__xludf.DUMMYFUNCTION("GOOGLETRANSLATE(C575,""ja"",""vi"")"),"Đấu giá&gt; ô tô, xe máy&gt; ô tô cũ, ô tô mới&gt; Nissan&gt; Moko")</f>
        <v>Đấu giá&gt; ô tô, xe máy&gt; ô tô cũ, ô tô mới&gt; Nissan&gt; Moko</v>
      </c>
      <c r="F575" t="str">
        <f t="shared" ca="1" si="8"/>
        <v>"2084054064" : "Moko",</v>
      </c>
    </row>
    <row r="576" spans="1:6" ht="15.75" customHeight="1">
      <c r="A576" s="18">
        <v>2084022969</v>
      </c>
      <c r="B576" s="18" t="s">
        <v>11851</v>
      </c>
      <c r="C576" s="18" t="s">
        <v>11854</v>
      </c>
      <c r="D576" s="5" t="str">
        <f ca="1">IFERROR(__xludf.DUMMYFUNCTION("GOOGLETRANSLATE(B576,""ja"",""vi"")"),"Racine")</f>
        <v>Racine</v>
      </c>
      <c r="E576" s="5" t="str">
        <f ca="1">IFERROR(__xludf.DUMMYFUNCTION("GOOGLETRANSLATE(C576,""ja"",""vi"")"),"Đấu giá&gt; ô tô, xe máy&gt; ô tô cũ, ô tô mới&gt; Nissan&gt; Racine")</f>
        <v>Đấu giá&gt; ô tô, xe máy&gt; ô tô cũ, ô tô mới&gt; Nissan&gt; Racine</v>
      </c>
      <c r="F576" t="str">
        <f t="shared" ca="1" si="8"/>
        <v>"2084022969" : "Racine",</v>
      </c>
    </row>
    <row r="577" spans="1:6" ht="15.75" customHeight="1">
      <c r="A577" s="18">
        <v>2084059200</v>
      </c>
      <c r="B577" s="18" t="s">
        <v>11856</v>
      </c>
      <c r="C577" s="18" t="s">
        <v>11859</v>
      </c>
      <c r="D577" s="5" t="str">
        <f ca="1">IFERROR(__xludf.DUMMYFUNCTION("GOOGLETRANSLATE(B577,""ja"",""vi"")"),"Lafesta")</f>
        <v>Lafesta</v>
      </c>
      <c r="E577" s="5" t="str">
        <f ca="1">IFERROR(__xludf.DUMMYFUNCTION("GOOGLETRANSLATE(C577,""ja"",""vi"")"),"Đấu giá&gt; ô tô, xe máy&gt; ô tô cũ, ô tô mới&gt; Nissan&gt; Lafesta")</f>
        <v>Đấu giá&gt; ô tô, xe máy&gt; ô tô cũ, ô tô mới&gt; Nissan&gt; Lafesta</v>
      </c>
      <c r="F577" t="str">
        <f t="shared" ca="1" si="8"/>
        <v>"2084059200" : "Lafesta",</v>
      </c>
    </row>
    <row r="578" spans="1:6" ht="15.75" customHeight="1">
      <c r="A578" s="18">
        <v>2084022970</v>
      </c>
      <c r="B578" s="18" t="s">
        <v>11861</v>
      </c>
      <c r="C578" s="18" t="s">
        <v>11863</v>
      </c>
      <c r="D578" s="5" t="str">
        <f ca="1">IFERROR(__xludf.DUMMYFUNCTION("GOOGLETRANSLATE(B578,""ja"",""vi"")"),"rất chậm")</f>
        <v>rất chậm</v>
      </c>
      <c r="E578" s="5" t="str">
        <f ca="1">IFERROR(__xludf.DUMMYFUNCTION("GOOGLETRANSLATE(C578,""ja"",""vi"")"),"Đấu giá&gt; ô tô, xe máy&gt; ô tô cũ, ô tô mới&gt; Nissan&gt; Largo")</f>
        <v>Đấu giá&gt; ô tô, xe máy&gt; ô tô cũ, ô tô mới&gt; Nissan&gt; Largo</v>
      </c>
      <c r="F578" t="str">
        <f t="shared" ref="F578:F641" ca="1" si="9">CONCATENATE(CHAR(34)&amp;"",A578,""&amp;CHAR(34)," : ", CHAR(34)&amp;"",D578,""&amp;CHAR(34),",")</f>
        <v>"2084022970" : "rất chậm",</v>
      </c>
    </row>
    <row r="579" spans="1:6" ht="15.75" customHeight="1">
      <c r="A579" s="18">
        <v>2084299530</v>
      </c>
      <c r="B579" s="18" t="s">
        <v>11867</v>
      </c>
      <c r="C579" s="18" t="s">
        <v>11869</v>
      </c>
      <c r="D579" s="5" t="str">
        <f ca="1">IFERROR(__xludf.DUMMYFUNCTION("GOOGLETRANSLATE(B579,""ja"",""vi"")"),"lá")</f>
        <v>lá</v>
      </c>
      <c r="E579" s="5" t="str">
        <f ca="1">IFERROR(__xludf.DUMMYFUNCTION("GOOGLETRANSLATE(C579,""ja"",""vi"")"),"Đấu giá&gt; ô tô, xe máy&gt; ô tô cũ, ô tô mới&gt; Nissan&gt; Leaf")</f>
        <v>Đấu giá&gt; ô tô, xe máy&gt; ô tô cũ, ô tô mới&gt; Nissan&gt; Leaf</v>
      </c>
      <c r="F579" t="str">
        <f t="shared" ca="1" si="9"/>
        <v>"2084299530" : "lá",</v>
      </c>
    </row>
    <row r="580" spans="1:6" ht="15.75" customHeight="1">
      <c r="A580" s="18">
        <v>2084048061</v>
      </c>
      <c r="B580" s="18" t="s">
        <v>11873</v>
      </c>
      <c r="C580" s="18" t="s">
        <v>11875</v>
      </c>
      <c r="D580" s="5" t="str">
        <f ca="1">IFERROR(__xludf.DUMMYFUNCTION("GOOGLETRANSLATE(B580,""ja"",""vi"")"),"sự tự do")</f>
        <v>sự tự do</v>
      </c>
      <c r="E580" s="5" t="str">
        <f ca="1">IFERROR(__xludf.DUMMYFUNCTION("GOOGLETRANSLATE(C580,""ja"",""vi"")"),"Đấu giá&gt; ô tô, xe máy&gt; ô tô cũ, ô tô mới&gt; Nissan&gt; Liberty")</f>
        <v>Đấu giá&gt; ô tô, xe máy&gt; ô tô cũ, ô tô mới&gt; Nissan&gt; Liberty</v>
      </c>
      <c r="F580" t="str">
        <f t="shared" ca="1" si="9"/>
        <v>"2084048061" : "sự tự do",</v>
      </c>
    </row>
    <row r="581" spans="1:6" ht="15.75" customHeight="1">
      <c r="A581" s="18">
        <v>2084299531</v>
      </c>
      <c r="B581" s="18" t="s">
        <v>11878</v>
      </c>
      <c r="C581" s="18" t="s">
        <v>11880</v>
      </c>
      <c r="D581" s="5" t="str">
        <f ca="1">IFERROR(__xludf.DUMMYFUNCTION("GOOGLETRANSLATE(B581,""ja"",""vi"")"),"rooks")</f>
        <v>rooks</v>
      </c>
      <c r="E581" s="5" t="str">
        <f ca="1">IFERROR(__xludf.DUMMYFUNCTION("GOOGLETRANSLATE(C581,""ja"",""vi"")"),"Đấu giá&gt; ô tô, xe máy&gt; ô tô cũ, ô tô mới&gt; Nissan&gt; Rooks")</f>
        <v>Đấu giá&gt; ô tô, xe máy&gt; ô tô cũ, ô tô mới&gt; Nissan&gt; Rooks</v>
      </c>
      <c r="F581" t="str">
        <f t="shared" ca="1" si="9"/>
        <v>"2084299531" : "rooks",</v>
      </c>
    </row>
    <row r="582" spans="1:6" ht="15.75" customHeight="1">
      <c r="A582" s="18">
        <v>2084048062</v>
      </c>
      <c r="B582" s="18" t="s">
        <v>11884</v>
      </c>
      <c r="C582" s="18" t="s">
        <v>11886</v>
      </c>
      <c r="D582" s="5" t="str">
        <f ca="1">IFERROR(__xludf.DUMMYFUNCTION("GOOGLETRANSLATE(B582,""ja"",""vi"")"),"Lucino")</f>
        <v>Lucino</v>
      </c>
      <c r="E582" s="5" t="str">
        <f ca="1">IFERROR(__xludf.DUMMYFUNCTION("GOOGLETRANSLATE(C582,""ja"",""vi"")"),"Đấu giá&gt; ô tô, xe máy&gt; ô tô cũ, ô tô mới&gt; Nissan&gt; Lucino")</f>
        <v>Đấu giá&gt; ô tô, xe máy&gt; ô tô cũ, ô tô mới&gt; Nissan&gt; Lucino</v>
      </c>
      <c r="F582" t="str">
        <f t="shared" ca="1" si="9"/>
        <v>"2084048062" : "Lucino",</v>
      </c>
    </row>
    <row r="583" spans="1:6" ht="15.75" customHeight="1">
      <c r="A583" s="18">
        <v>2084022971</v>
      </c>
      <c r="B583" s="18" t="s">
        <v>11890</v>
      </c>
      <c r="C583" s="18" t="s">
        <v>11892</v>
      </c>
      <c r="D583" s="5" t="str">
        <f ca="1">IFERROR(__xludf.DUMMYFUNCTION("GOOGLETRANSLATE(B583,""ja"",""vi"")"),"Runessa")</f>
        <v>Runessa</v>
      </c>
      <c r="E583" s="5" t="str">
        <f ca="1">IFERROR(__xludf.DUMMYFUNCTION("GOOGLETRANSLATE(C583,""ja"",""vi"")"),"Đấu giá&gt; ô tô, xe máy&gt; ô tô cũ, ô tô mới&gt; Nissan&gt; Runessa")</f>
        <v>Đấu giá&gt; ô tô, xe máy&gt; ô tô cũ, ô tô mới&gt; Nissan&gt; Runessa</v>
      </c>
      <c r="F583" t="str">
        <f t="shared" ca="1" si="9"/>
        <v>"2084022971" : "Runessa",</v>
      </c>
    </row>
    <row r="584" spans="1:6" ht="15.75" customHeight="1">
      <c r="A584" s="18">
        <v>2084022973</v>
      </c>
      <c r="B584" s="18" t="s">
        <v>11895</v>
      </c>
      <c r="C584" s="18" t="s">
        <v>11898</v>
      </c>
      <c r="D584" s="5" t="str">
        <f ca="1">IFERROR(__xludf.DUMMYFUNCTION("GOOGLETRANSLATE(B584,""ja"",""vi"")"),"beo")</f>
        <v>beo</v>
      </c>
      <c r="E584" s="5" t="str">
        <f ca="1">IFERROR(__xludf.DUMMYFUNCTION("GOOGLETRANSLATE(C584,""ja"",""vi"")"),"Đấu giá&gt; ô tô, xe máy&gt; ô tô cũ, ô tô mới&gt; Nissan&gt; Leopard")</f>
        <v>Đấu giá&gt; ô tô, xe máy&gt; ô tô cũ, ô tô mới&gt; Nissan&gt; Leopard</v>
      </c>
      <c r="F584" t="str">
        <f t="shared" ca="1" si="9"/>
        <v>"2084022973" : "beo",</v>
      </c>
    </row>
    <row r="585" spans="1:6" ht="15.75" customHeight="1">
      <c r="A585" s="18">
        <v>2084049213</v>
      </c>
      <c r="B585" s="18" t="s">
        <v>11903</v>
      </c>
      <c r="C585" s="18" t="s">
        <v>11905</v>
      </c>
      <c r="D585" s="5" t="str">
        <f ca="1">IFERROR(__xludf.DUMMYFUNCTION("GOOGLETRANSLATE(B585,""ja"",""vi"")"),"Leopard J. Ferry")</f>
        <v>Leopard J. Ferry</v>
      </c>
      <c r="E585" s="5" t="str">
        <f ca="1">IFERROR(__xludf.DUMMYFUNCTION("GOOGLETRANSLATE(C585,""ja"",""vi"")"),"Đấu giá&gt; ô tô, xe máy&gt; ô tô cũ, ô tô mới&gt; Nissan&gt; Leopard J. Ferry")</f>
        <v>Đấu giá&gt; ô tô, xe máy&gt; ô tô cũ, ô tô mới&gt; Nissan&gt; Leopard J. Ferry</v>
      </c>
      <c r="F585" t="str">
        <f t="shared" ca="1" si="9"/>
        <v>"2084049213" : "Leopard J. Ferry",</v>
      </c>
    </row>
    <row r="586" spans="1:6" ht="15.75" customHeight="1">
      <c r="A586" s="18">
        <v>2084022974</v>
      </c>
      <c r="B586" s="18" t="s">
        <v>11911</v>
      </c>
      <c r="C586" s="18" t="s">
        <v>11912</v>
      </c>
      <c r="D586" s="5" t="str">
        <f ca="1">IFERROR(__xludf.DUMMYFUNCTION("GOOGLETRANSLATE(B586,""ja"",""vi"")"),"cây nguyệt quế")</f>
        <v>cây nguyệt quế</v>
      </c>
      <c r="E586" s="5" t="str">
        <f ca="1">IFERROR(__xludf.DUMMYFUNCTION("GOOGLETRANSLATE(C586,""ja"",""vi"")"),"Đấu giá&gt; ô tô, xe máy&gt; ô tô cũ, ô tô mới&gt; Nissan&gt; Laurel")</f>
        <v>Đấu giá&gt; ô tô, xe máy&gt; ô tô cũ, ô tô mới&gt; Nissan&gt; Laurel</v>
      </c>
      <c r="F586" t="str">
        <f t="shared" ca="1" si="9"/>
        <v>"2084022974" : "cây nguyệt quế",</v>
      </c>
    </row>
    <row r="587" spans="1:6" ht="15.75" customHeight="1">
      <c r="A587" s="18">
        <v>2084022950</v>
      </c>
      <c r="B587" s="18" t="s">
        <v>46</v>
      </c>
      <c r="C587" s="18" t="s">
        <v>11918</v>
      </c>
      <c r="D587" s="5" t="str">
        <f ca="1">IFERROR(__xludf.DUMMYFUNCTION("GOOGLETRANSLATE(B587,""ja"",""vi"")"),"nếu không thì")</f>
        <v>nếu không thì</v>
      </c>
      <c r="E587" s="5" t="str">
        <f ca="1">IFERROR(__xludf.DUMMYFUNCTION("GOOGLETRANSLATE(C587,""ja"",""vi"")"),"Đấu giá&gt; ô tô, xe máy&gt; ô tô cũ, ô tô mới&gt; Nissan&gt; Khác")</f>
        <v>Đấu giá&gt; ô tô, xe máy&gt; ô tô cũ, ô tô mới&gt; Nissan&gt; Khác</v>
      </c>
      <c r="F587" t="str">
        <f t="shared" ca="1" si="9"/>
        <v>"2084022950" : "nếu không thì",</v>
      </c>
    </row>
    <row r="588" spans="1:6" ht="15.75" customHeight="1">
      <c r="A588" s="18">
        <v>2084048948</v>
      </c>
      <c r="B588" s="18" t="s">
        <v>11921</v>
      </c>
      <c r="C588" s="18" t="s">
        <v>11922</v>
      </c>
      <c r="D588" s="5" t="str">
        <f ca="1">IFERROR(__xludf.DUMMYFUNCTION("GOOGLETRANSLATE(B588,""ja"",""vi"")"),"AMG C")</f>
        <v>AMG C</v>
      </c>
      <c r="E588" s="5" t="str">
        <f ca="1">IFERROR(__xludf.DUMMYFUNCTION("GOOGLETRANSLATE(C588,""ja"",""vi"")"),"Đấu giá&gt; ô tô, xe máy&gt; ô tô cũ, ô tô mới&gt; AMG&gt; AMG C")</f>
        <v>Đấu giá&gt; ô tô, xe máy&gt; ô tô cũ, ô tô mới&gt; AMG&gt; AMG C</v>
      </c>
      <c r="F588" t="str">
        <f t="shared" ca="1" si="9"/>
        <v>"2084048948" : "AMG C",</v>
      </c>
    </row>
    <row r="589" spans="1:6" ht="15.75" customHeight="1">
      <c r="A589" s="18">
        <v>2084204522</v>
      </c>
      <c r="B589" s="18" t="s">
        <v>11927</v>
      </c>
      <c r="C589" s="18" t="s">
        <v>11929</v>
      </c>
      <c r="D589" s="5" t="str">
        <f ca="1">IFERROR(__xludf.DUMMYFUNCTION("GOOGLETRANSLATE(B589,""ja"",""vi"")"),"AMG CL")</f>
        <v>AMG CL</v>
      </c>
      <c r="E589" s="5" t="str">
        <f ca="1">IFERROR(__xludf.DUMMYFUNCTION("GOOGLETRANSLATE(C589,""ja"",""vi"")"),"Đấu giá&gt; ô tô, xe máy&gt; ô tô cũ, ô tô mới&gt; AMG&gt; AMG CL")</f>
        <v>Đấu giá&gt; ô tô, xe máy&gt; ô tô cũ, ô tô mới&gt; AMG&gt; AMG CL</v>
      </c>
      <c r="F589" t="str">
        <f t="shared" ca="1" si="9"/>
        <v>"2084204522" : "AMG CL",</v>
      </c>
    </row>
    <row r="590" spans="1:6" ht="15.75" customHeight="1">
      <c r="A590" s="18">
        <v>2084204926</v>
      </c>
      <c r="B590" s="18" t="s">
        <v>11933</v>
      </c>
      <c r="C590" s="18" t="s">
        <v>11936</v>
      </c>
      <c r="D590" s="5" t="str">
        <f ca="1">IFERROR(__xludf.DUMMYFUNCTION("GOOGLETRANSLATE(B590,""ja"",""vi"")"),"AMG CLK")</f>
        <v>AMG CLK</v>
      </c>
      <c r="E590" s="5" t="str">
        <f ca="1">IFERROR(__xludf.DUMMYFUNCTION("GOOGLETRANSLATE(C590,""ja"",""vi"")"),"Đấu giá&gt; ô tô, xe máy&gt; ô tô cũ, ô tô mới&gt; AMG&gt; AMG CLK")</f>
        <v>Đấu giá&gt; ô tô, xe máy&gt; ô tô cũ, ô tô mới&gt; AMG&gt; AMG CLK</v>
      </c>
      <c r="F590" t="str">
        <f t="shared" ca="1" si="9"/>
        <v>"2084204926" : "AMG CLK",</v>
      </c>
    </row>
    <row r="591" spans="1:6" ht="15.75" customHeight="1">
      <c r="A591" s="18">
        <v>2084204927</v>
      </c>
      <c r="B591" s="18" t="s">
        <v>11939</v>
      </c>
      <c r="C591" s="18" t="s">
        <v>11942</v>
      </c>
      <c r="D591" s="5" t="str">
        <f ca="1">IFERROR(__xludf.DUMMYFUNCTION("GOOGLETRANSLATE(B591,""ja"",""vi"")"),"AMG CLS")</f>
        <v>AMG CLS</v>
      </c>
      <c r="E591" s="5" t="str">
        <f ca="1">IFERROR(__xludf.DUMMYFUNCTION("GOOGLETRANSLATE(C591,""ja"",""vi"")"),"Đấu giá&gt; ô tô, xe máy&gt; ô tô cũ, ô tô mới&gt; AMG&gt; AMG CLS")</f>
        <v>Đấu giá&gt; ô tô, xe máy&gt; ô tô cũ, ô tô mới&gt; AMG&gt; AMG CLS</v>
      </c>
      <c r="F591" t="str">
        <f t="shared" ca="1" si="9"/>
        <v>"2084204927" : "AMG CLS",</v>
      </c>
    </row>
    <row r="592" spans="1:6" ht="15.75" customHeight="1">
      <c r="A592" s="18">
        <v>2084048949</v>
      </c>
      <c r="B592" s="18" t="s">
        <v>11945</v>
      </c>
      <c r="C592" s="18" t="s">
        <v>11947</v>
      </c>
      <c r="D592" s="5" t="str">
        <f ca="1">IFERROR(__xludf.DUMMYFUNCTION("GOOGLETRANSLATE(B592,""ja"",""vi"")"),"AMG E")</f>
        <v>AMG E</v>
      </c>
      <c r="E592" s="5" t="str">
        <f ca="1">IFERROR(__xludf.DUMMYFUNCTION("GOOGLETRANSLATE(C592,""ja"",""vi"")"),"Đấu giá&gt; ô tô, xe máy&gt; ô tô cũ, ô tô mới&gt; AMG&gt; AMG E")</f>
        <v>Đấu giá&gt; ô tô, xe máy&gt; ô tô cũ, ô tô mới&gt; AMG&gt; AMG E</v>
      </c>
      <c r="F592" t="str">
        <f t="shared" ca="1" si="9"/>
        <v>"2084048949" : "AMG E",</v>
      </c>
    </row>
    <row r="593" spans="1:6" ht="15.75" customHeight="1">
      <c r="A593" s="18">
        <v>2084204928</v>
      </c>
      <c r="B593" s="18" t="s">
        <v>11951</v>
      </c>
      <c r="C593" s="18" t="s">
        <v>11953</v>
      </c>
      <c r="D593" s="5" t="str">
        <f ca="1">IFERROR(__xludf.DUMMYFUNCTION("GOOGLETRANSLATE(B593,""ja"",""vi"")"),"AMG G")</f>
        <v>AMG G</v>
      </c>
      <c r="E593" s="5" t="str">
        <f ca="1">IFERROR(__xludf.DUMMYFUNCTION("GOOGLETRANSLATE(C593,""ja"",""vi"")"),"Đấu giá&gt; ô tô, xe máy&gt; ô tô cũ, ô tô mới&gt; AMG&gt; AMG G")</f>
        <v>Đấu giá&gt; ô tô, xe máy&gt; ô tô cũ, ô tô mới&gt; AMG&gt; AMG G</v>
      </c>
      <c r="F593" t="str">
        <f t="shared" ca="1" si="9"/>
        <v>"2084204928" : "AMG G",</v>
      </c>
    </row>
    <row r="594" spans="1:6" ht="15.75" customHeight="1">
      <c r="A594" s="18">
        <v>2084204929</v>
      </c>
      <c r="B594" s="18" t="s">
        <v>11955</v>
      </c>
      <c r="C594" s="18" t="s">
        <v>11956</v>
      </c>
      <c r="D594" s="5" t="str">
        <f ca="1">IFERROR(__xludf.DUMMYFUNCTION("GOOGLETRANSLATE(B594,""ja"",""vi"")"),"AMG M")</f>
        <v>AMG M</v>
      </c>
      <c r="E594" s="5" t="str">
        <f ca="1">IFERROR(__xludf.DUMMYFUNCTION("GOOGLETRANSLATE(C594,""ja"",""vi"")"),"Đấu giá&gt; ô tô, xe máy&gt; ô tô cũ, ô tô mới&gt; AMG&gt; AMG M")</f>
        <v>Đấu giá&gt; ô tô, xe máy&gt; ô tô cũ, ô tô mới&gt; AMG&gt; AMG M</v>
      </c>
      <c r="F594" t="str">
        <f t="shared" ca="1" si="9"/>
        <v>"2084204929" : "AMG M",</v>
      </c>
    </row>
    <row r="595" spans="1:6" ht="15.75" customHeight="1">
      <c r="A595" s="18">
        <v>2084051746</v>
      </c>
      <c r="B595" s="18" t="s">
        <v>11960</v>
      </c>
      <c r="C595" s="18" t="s">
        <v>11961</v>
      </c>
      <c r="D595" s="5" t="str">
        <f ca="1">IFERROR(__xludf.DUMMYFUNCTION("GOOGLETRANSLATE(B595,""ja"",""vi"")"),"AMG S")</f>
        <v>AMG S</v>
      </c>
      <c r="E595" s="5" t="str">
        <f ca="1">IFERROR(__xludf.DUMMYFUNCTION("GOOGLETRANSLATE(C595,""ja"",""vi"")"),"Đấu giá&gt; ô tô, xe máy&gt; ô tô cũ, ô tô mới&gt; AMG&gt; AMG S")</f>
        <v>Đấu giá&gt; ô tô, xe máy&gt; ô tô cũ, ô tô mới&gt; AMG&gt; AMG S</v>
      </c>
      <c r="F595" t="str">
        <f t="shared" ca="1" si="9"/>
        <v>"2084051746" : "AMG S",</v>
      </c>
    </row>
    <row r="596" spans="1:6" ht="15.75" customHeight="1">
      <c r="A596" s="18">
        <v>2084051818</v>
      </c>
      <c r="B596" s="18" t="s">
        <v>11965</v>
      </c>
      <c r="C596" s="18" t="s">
        <v>11967</v>
      </c>
      <c r="D596" s="5" t="str">
        <f ca="1">IFERROR(__xludf.DUMMYFUNCTION("GOOGLETRANSLATE(B596,""ja"",""vi"")"),"AMG SL")</f>
        <v>AMG SL</v>
      </c>
      <c r="E596" s="5" t="str">
        <f ca="1">IFERROR(__xludf.DUMMYFUNCTION("GOOGLETRANSLATE(C596,""ja"",""vi"")"),"Đấu giá&gt; ô tô, xe máy&gt; ô tô cũ, ô tô mới&gt; AMG&gt; AMG SL")</f>
        <v>Đấu giá&gt; ô tô, xe máy&gt; ô tô cũ, ô tô mới&gt; AMG&gt; AMG SL</v>
      </c>
      <c r="F596" t="str">
        <f t="shared" ca="1" si="9"/>
        <v>"2084051818" : "AMG SL",</v>
      </c>
    </row>
    <row r="597" spans="1:6" ht="15.75" customHeight="1">
      <c r="A597" s="18">
        <v>2084204930</v>
      </c>
      <c r="B597" s="18" t="s">
        <v>11968</v>
      </c>
      <c r="C597" s="18" t="s">
        <v>11970</v>
      </c>
      <c r="D597" s="5" t="str">
        <f ca="1">IFERROR(__xludf.DUMMYFUNCTION("GOOGLETRANSLATE(B597,""ja"",""vi"")"),"AMG SLK")</f>
        <v>AMG SLK</v>
      </c>
      <c r="E597" s="5" t="str">
        <f ca="1">IFERROR(__xludf.DUMMYFUNCTION("GOOGLETRANSLATE(C597,""ja"",""vi"")"),"Đấu giá&gt; ô tô, xe máy&gt; ô tô cũ, ô tô mới&gt; AMG&gt; AMG SLK")</f>
        <v>Đấu giá&gt; ô tô, xe máy&gt; ô tô cũ, ô tô mới&gt; AMG&gt; AMG SLK</v>
      </c>
      <c r="F597" t="str">
        <f t="shared" ca="1" si="9"/>
        <v>"2084204930" : "AMG SLK",</v>
      </c>
    </row>
    <row r="598" spans="1:6" ht="15.75" customHeight="1">
      <c r="A598" s="18">
        <v>2084048950</v>
      </c>
      <c r="B598" s="18" t="s">
        <v>46</v>
      </c>
      <c r="C598" s="18" t="s">
        <v>11976</v>
      </c>
      <c r="D598" s="5" t="str">
        <f ca="1">IFERROR(__xludf.DUMMYFUNCTION("GOOGLETRANSLATE(B598,""ja"",""vi"")"),"nếu không thì")</f>
        <v>nếu không thì</v>
      </c>
      <c r="E598" s="5" t="str">
        <f ca="1">IFERROR(__xludf.DUMMYFUNCTION("GOOGLETRANSLATE(C598,""ja"",""vi"")"),"Đấu giá&gt; ô tô, xe máy&gt; ô tô cũ, ô tô mới&gt; AMG&gt; Khác")</f>
        <v>Đấu giá&gt; ô tô, xe máy&gt; ô tô cũ, ô tô mới&gt; AMG&gt; Khác</v>
      </c>
      <c r="F598" t="str">
        <f t="shared" ca="1" si="9"/>
        <v>"2084048950" : "nếu không thì",</v>
      </c>
    </row>
    <row r="599" spans="1:6" ht="15.75" customHeight="1">
      <c r="A599" s="18">
        <v>2084315374</v>
      </c>
      <c r="B599" s="18" t="s">
        <v>11980</v>
      </c>
      <c r="C599" s="18" t="s">
        <v>11982</v>
      </c>
      <c r="D599" s="5" t="str">
        <f ca="1">IFERROR(__xludf.DUMMYFUNCTION("GOOGLETRANSLATE(B599,""ja"",""vi"")"),"1 Series Convertible")</f>
        <v>1 Series Convertible</v>
      </c>
      <c r="E599" s="5" t="str">
        <f ca="1">IFERROR(__xludf.DUMMYFUNCTION("GOOGLETRANSLATE(C599,""ja"",""vi"")"),"Đấu giá&gt; ô tô, xe máy&gt; ô tô cũ, ô tô mới&gt; BMW&gt; 1 Series Convertible")</f>
        <v>Đấu giá&gt; ô tô, xe máy&gt; ô tô cũ, ô tô mới&gt; BMW&gt; 1 Series Convertible</v>
      </c>
      <c r="F599" t="str">
        <f t="shared" ca="1" si="9"/>
        <v>"2084315374" : "1 Series Convertible",</v>
      </c>
    </row>
    <row r="600" spans="1:6" ht="15.75" customHeight="1">
      <c r="A600" s="18">
        <v>2084315375</v>
      </c>
      <c r="B600" s="18" t="s">
        <v>11985</v>
      </c>
      <c r="C600" s="18" t="s">
        <v>11988</v>
      </c>
      <c r="D600" s="5" t="str">
        <f ca="1">IFERROR(__xludf.DUMMYFUNCTION("GOOGLETRANSLATE(B600,""ja"",""vi"")"),"1 Series Coupe")</f>
        <v>1 Series Coupe</v>
      </c>
      <c r="E600" s="5" t="str">
        <f ca="1">IFERROR(__xludf.DUMMYFUNCTION("GOOGLETRANSLATE(C600,""ja"",""vi"")"),"Đấu giá&gt; ô tô, xe máy&gt; ô tô cũ, ô tô mới&gt; BMW&gt; 1 Series coupe")</f>
        <v>Đấu giá&gt; ô tô, xe máy&gt; ô tô cũ, ô tô mới&gt; BMW&gt; 1 Series coupe</v>
      </c>
      <c r="F600" t="str">
        <f t="shared" ca="1" si="9"/>
        <v>"2084315375" : "1 Series Coupe",</v>
      </c>
    </row>
    <row r="601" spans="1:6" ht="15.75" customHeight="1">
      <c r="A601" s="18">
        <v>2084315376</v>
      </c>
      <c r="B601" s="18" t="s">
        <v>11989</v>
      </c>
      <c r="C601" s="18" t="s">
        <v>11991</v>
      </c>
      <c r="D601" s="5" t="str">
        <f ca="1">IFERROR(__xludf.DUMMYFUNCTION("GOOGLETRANSLATE(B601,""ja"",""vi"")"),"1 loạt hatchback")</f>
        <v>1 loạt hatchback</v>
      </c>
      <c r="E601" s="5" t="str">
        <f ca="1">IFERROR(__xludf.DUMMYFUNCTION("GOOGLETRANSLATE(C601,""ja"",""vi"")"),"Đấu giá&gt; ô tô, xe máy&gt; ô tô cũ, ô tô mới&gt; BMW&gt; 1 loạt hatchback")</f>
        <v>Đấu giá&gt; ô tô, xe máy&gt; ô tô cũ, ô tô mới&gt; BMW&gt; 1 loạt hatchback</v>
      </c>
      <c r="F601" t="str">
        <f t="shared" ca="1" si="9"/>
        <v>"2084315376" : "1 loạt hatchback",</v>
      </c>
    </row>
    <row r="602" spans="1:6" ht="15.75" customHeight="1">
      <c r="A602" s="18">
        <v>2084315368</v>
      </c>
      <c r="B602" s="18" t="s">
        <v>11995</v>
      </c>
      <c r="C602" s="18" t="s">
        <v>11998</v>
      </c>
      <c r="D602" s="5" t="str">
        <f ca="1">IFERROR(__xludf.DUMMYFUNCTION("GOOGLETRANSLATE(B602,""ja"",""vi"")"),"3 Series Coupe")</f>
        <v>3 Series Coupe</v>
      </c>
      <c r="E602" s="5" t="str">
        <f ca="1">IFERROR(__xludf.DUMMYFUNCTION("GOOGLETRANSLATE(C602,""ja"",""vi"")"),"Đấu giá&gt; ô tô, xe máy&gt; ô tô cũ, ô tô mới&gt; BMW&gt; 3 Series Coupe")</f>
        <v>Đấu giá&gt; ô tô, xe máy&gt; ô tô cũ, ô tô mới&gt; BMW&gt; 3 Series Coupe</v>
      </c>
      <c r="F602" t="str">
        <f t="shared" ca="1" si="9"/>
        <v>"2084315368" : "3 Series Coupe",</v>
      </c>
    </row>
    <row r="603" spans="1:6" ht="15.75" customHeight="1">
      <c r="A603" s="18">
        <v>2084315369</v>
      </c>
      <c r="B603" s="18" t="s">
        <v>12001</v>
      </c>
      <c r="C603" s="18" t="s">
        <v>12004</v>
      </c>
      <c r="D603" s="5" t="str">
        <f ca="1">IFERROR(__xludf.DUMMYFUNCTION("GOOGLETRANSLATE(B603,""ja"",""vi"")"),"3 series sedan")</f>
        <v>3 series sedan</v>
      </c>
      <c r="E603" s="5" t="str">
        <f ca="1">IFERROR(__xludf.DUMMYFUNCTION("GOOGLETRANSLATE(C603,""ja"",""vi"")"),"Đấu giá&gt; ô tô, xe máy&gt; ô tô cũ, ô tô mới&gt; BMW&gt; 3 series sedan")</f>
        <v>Đấu giá&gt; ô tô, xe máy&gt; ô tô cũ, ô tô mới&gt; BMW&gt; 3 series sedan</v>
      </c>
      <c r="F603" t="str">
        <f t="shared" ca="1" si="9"/>
        <v>"2084315369" : "3 series sedan",</v>
      </c>
    </row>
    <row r="604" spans="1:6" ht="15.75" customHeight="1">
      <c r="A604" s="18">
        <v>2084315370</v>
      </c>
      <c r="B604" s="18" t="s">
        <v>12007</v>
      </c>
      <c r="C604" s="18" t="s">
        <v>12009</v>
      </c>
      <c r="D604" s="5" t="str">
        <f ca="1">IFERROR(__xludf.DUMMYFUNCTION("GOOGLETRANSLATE(B604,""ja"",""vi"")"),"3 Series Touring")</f>
        <v>3 Series Touring</v>
      </c>
      <c r="E604" s="5" t="str">
        <f ca="1">IFERROR(__xludf.DUMMYFUNCTION("GOOGLETRANSLATE(C604,""ja"",""vi"")"),"Đấu giá&gt; ô tô, xe máy&gt; ô tô cũ, ô tô mới&gt; BMW&gt; 3 Series Touring")</f>
        <v>Đấu giá&gt; ô tô, xe máy&gt; ô tô cũ, ô tô mới&gt; BMW&gt; 3 Series Touring</v>
      </c>
      <c r="F604" t="str">
        <f t="shared" ca="1" si="9"/>
        <v>"2084315370" : "3 Series Touring",</v>
      </c>
    </row>
    <row r="605" spans="1:6" ht="15.75" customHeight="1">
      <c r="A605" s="18">
        <v>2084315371</v>
      </c>
      <c r="B605" s="18" t="s">
        <v>12013</v>
      </c>
      <c r="C605" s="18" t="s">
        <v>12015</v>
      </c>
      <c r="D605" s="5" t="str">
        <f ca="1">IFERROR(__xludf.DUMMYFUNCTION("GOOGLETRANSLATE(B605,""ja"",""vi"")"),"3 series hatchback")</f>
        <v>3 series hatchback</v>
      </c>
      <c r="E605" s="5" t="str">
        <f ca="1">IFERROR(__xludf.DUMMYFUNCTION("GOOGLETRANSLATE(C605,""ja"",""vi"")"),"Đấu giá&gt; ô tô, xe máy&gt; ô tô cũ, ô tô mới&gt; BMW&gt; 3 series hatchback")</f>
        <v>Đấu giá&gt; ô tô, xe máy&gt; ô tô cũ, ô tô mới&gt; BMW&gt; 3 series hatchback</v>
      </c>
      <c r="F605" t="str">
        <f t="shared" ca="1" si="9"/>
        <v>"2084315371" : "3 series hatchback",</v>
      </c>
    </row>
    <row r="606" spans="1:6" ht="15.75" customHeight="1">
      <c r="A606" s="18">
        <v>2084315372</v>
      </c>
      <c r="B606" s="18" t="s">
        <v>12017</v>
      </c>
      <c r="C606" s="18" t="s">
        <v>12019</v>
      </c>
      <c r="D606" s="5" t="str">
        <f ca="1">IFERROR(__xludf.DUMMYFUNCTION("GOOGLETRANSLATE(B606,""ja"",""vi"")"),"3 Series Convertible")</f>
        <v>3 Series Convertible</v>
      </c>
      <c r="E606" s="5" t="str">
        <f ca="1">IFERROR(__xludf.DUMMYFUNCTION("GOOGLETRANSLATE(C606,""ja"",""vi"")"),"Đấu giá&gt; ô tô, xe máy&gt; ô tô cũ, ô tô mới&gt; BMW&gt; 3 Series Convertible")</f>
        <v>Đấu giá&gt; ô tô, xe máy&gt; ô tô cũ, ô tô mới&gt; BMW&gt; 3 Series Convertible</v>
      </c>
      <c r="F606" t="str">
        <f t="shared" ca="1" si="9"/>
        <v>"2084315372" : "3 Series Convertible",</v>
      </c>
    </row>
    <row r="607" spans="1:6" ht="15.75" customHeight="1">
      <c r="A607" s="18">
        <v>2084315373</v>
      </c>
      <c r="B607" s="18" t="s">
        <v>12020</v>
      </c>
      <c r="C607" s="18" t="s">
        <v>12022</v>
      </c>
      <c r="D607" s="5" t="str">
        <f ca="1">IFERROR(__xludf.DUMMYFUNCTION("GOOGLETRANSLATE(B607,""ja"",""vi"")"),"3 Series Gran Turismo")</f>
        <v>3 Series Gran Turismo</v>
      </c>
      <c r="E607" s="5" t="str">
        <f ca="1">IFERROR(__xludf.DUMMYFUNCTION("GOOGLETRANSLATE(C607,""ja"",""vi"")"),"Đấu giá&gt; ô tô, xe máy&gt; ô tô cũ, ô tô mới&gt; BMW&gt; 3 Series Gran Turismo")</f>
        <v>Đấu giá&gt; ô tô, xe máy&gt; ô tô cũ, ô tô mới&gt; BMW&gt; 3 Series Gran Turismo</v>
      </c>
      <c r="F607" t="str">
        <f t="shared" ca="1" si="9"/>
        <v>"2084315373" : "3 Series Gran Turismo",</v>
      </c>
    </row>
    <row r="608" spans="1:6" ht="15.75" customHeight="1">
      <c r="A608" s="18">
        <v>2084315377</v>
      </c>
      <c r="B608" s="18" t="s">
        <v>12026</v>
      </c>
      <c r="C608" s="18" t="s">
        <v>12028</v>
      </c>
      <c r="D608" s="5" t="str">
        <f ca="1">IFERROR(__xludf.DUMMYFUNCTION("GOOGLETRANSLATE(B608,""ja"",""vi"")"),"5 Series Sedan")</f>
        <v>5 Series Sedan</v>
      </c>
      <c r="E608" s="5" t="str">
        <f ca="1">IFERROR(__xludf.DUMMYFUNCTION("GOOGLETRANSLATE(C608,""ja"",""vi"")"),"Đấu giá&gt; ô tô, xe máy&gt; ô tô cũ, ô tô mới&gt; BMW&gt; 5-Series sedan")</f>
        <v>Đấu giá&gt; ô tô, xe máy&gt; ô tô cũ, ô tô mới&gt; BMW&gt; 5-Series sedan</v>
      </c>
      <c r="F608" t="str">
        <f t="shared" ca="1" si="9"/>
        <v>"2084315377" : "5 Series Sedan",</v>
      </c>
    </row>
    <row r="609" spans="1:6" ht="15.75" customHeight="1">
      <c r="A609" s="18">
        <v>2084315378</v>
      </c>
      <c r="B609" s="18" t="s">
        <v>12032</v>
      </c>
      <c r="C609" s="18" t="s">
        <v>12034</v>
      </c>
      <c r="D609" s="5" t="str">
        <f ca="1">IFERROR(__xludf.DUMMYFUNCTION("GOOGLETRANSLATE(B609,""ja"",""vi"")"),"5-Series Touring")</f>
        <v>5-Series Touring</v>
      </c>
      <c r="E609" s="5" t="str">
        <f ca="1">IFERROR(__xludf.DUMMYFUNCTION("GOOGLETRANSLATE(C609,""ja"",""vi"")"),"Đấu giá&gt; ô tô, xe máy&gt; ô tô cũ, ô tô mới&gt; BMW&gt; 5 Series Touring")</f>
        <v>Đấu giá&gt; ô tô, xe máy&gt; ô tô cũ, ô tô mới&gt; BMW&gt; 5 Series Touring</v>
      </c>
      <c r="F609" t="str">
        <f t="shared" ca="1" si="9"/>
        <v>"2084315378" : "5-Series Touring",</v>
      </c>
    </row>
    <row r="610" spans="1:6" ht="15.75" customHeight="1">
      <c r="A610" s="18">
        <v>2084315379</v>
      </c>
      <c r="B610" s="18" t="s">
        <v>12038</v>
      </c>
      <c r="C610" s="18" t="s">
        <v>12040</v>
      </c>
      <c r="D610" s="5" t="str">
        <f ca="1">IFERROR(__xludf.DUMMYFUNCTION("GOOGLETRANSLATE(B610,""ja"",""vi"")"),"5-Series Gran Turismo")</f>
        <v>5-Series Gran Turismo</v>
      </c>
      <c r="E610" s="5" t="str">
        <f ca="1">IFERROR(__xludf.DUMMYFUNCTION("GOOGLETRANSLATE(C610,""ja"",""vi"")"),"Đấu giá&gt; ô tô, xe máy&gt; ô tô cũ, ô tô mới&gt; BMW&gt; 5 Series Gran Turismo")</f>
        <v>Đấu giá&gt; ô tô, xe máy&gt; ô tô cũ, ô tô mới&gt; BMW&gt; 5 Series Gran Turismo</v>
      </c>
      <c r="F610" t="str">
        <f t="shared" ca="1" si="9"/>
        <v>"2084315379" : "5-Series Gran Turismo",</v>
      </c>
    </row>
    <row r="611" spans="1:6" ht="15.75" customHeight="1">
      <c r="A611" s="18">
        <v>2084048952</v>
      </c>
      <c r="B611" s="18" t="s">
        <v>12045</v>
      </c>
      <c r="C611" s="18" t="s">
        <v>12046</v>
      </c>
      <c r="D611" s="5" t="str">
        <f ca="1">IFERROR(__xludf.DUMMYFUNCTION("GOOGLETRANSLATE(B611,""ja"",""vi"")"),"6 series")</f>
        <v>6 series</v>
      </c>
      <c r="E611" s="5" t="str">
        <f ca="1">IFERROR(__xludf.DUMMYFUNCTION("GOOGLETRANSLATE(C611,""ja"",""vi"")"),"Đấu giá&gt; ô tô, xe máy&gt; ô tô cũ, ô tô mới&gt; BMW&gt; 6 Series")</f>
        <v>Đấu giá&gt; ô tô, xe máy&gt; ô tô cũ, ô tô mới&gt; BMW&gt; 6 Series</v>
      </c>
      <c r="F611" t="str">
        <f t="shared" ca="1" si="9"/>
        <v>"2084048952" : "6 series",</v>
      </c>
    </row>
    <row r="612" spans="1:6" ht="15.75" customHeight="1">
      <c r="A612" s="18">
        <v>2084048174</v>
      </c>
      <c r="B612" s="18" t="s">
        <v>12048</v>
      </c>
      <c r="C612" s="18" t="s">
        <v>12050</v>
      </c>
      <c r="D612" s="5" t="str">
        <f ca="1">IFERROR(__xludf.DUMMYFUNCTION("GOOGLETRANSLATE(B612,""ja"",""vi"")"),"7 series")</f>
        <v>7 series</v>
      </c>
      <c r="E612" s="5" t="str">
        <f ca="1">IFERROR(__xludf.DUMMYFUNCTION("GOOGLETRANSLATE(C612,""ja"",""vi"")"),"Đấu giá&gt; ô tô, xe máy&gt; ô tô cũ, ô tô mới&gt; BMW&gt; 7 Series")</f>
        <v>Đấu giá&gt; ô tô, xe máy&gt; ô tô cũ, ô tô mới&gt; BMW&gt; 7 Series</v>
      </c>
      <c r="F612" t="str">
        <f t="shared" ca="1" si="9"/>
        <v>"2084048174" : "7 series",</v>
      </c>
    </row>
    <row r="613" spans="1:6" ht="15.75" customHeight="1">
      <c r="A613" s="18">
        <v>2084048953</v>
      </c>
      <c r="B613" s="18" t="s">
        <v>12052</v>
      </c>
      <c r="C613" s="18" t="s">
        <v>12054</v>
      </c>
      <c r="D613" s="5" t="str">
        <f ca="1">IFERROR(__xludf.DUMMYFUNCTION("GOOGLETRANSLATE(B613,""ja"",""vi"")"),"8 series")</f>
        <v>8 series</v>
      </c>
      <c r="E613" s="5" t="str">
        <f ca="1">IFERROR(__xludf.DUMMYFUNCTION("GOOGLETRANSLATE(C613,""ja"",""vi"")"),"Đấu giá&gt; ô tô, xe máy&gt; ô tô cũ, ô tô mới&gt; BMW&gt; 8 Series")</f>
        <v>Đấu giá&gt; ô tô, xe máy&gt; ô tô cũ, ô tô mới&gt; BMW&gt; 8 Series</v>
      </c>
      <c r="F613" t="str">
        <f t="shared" ca="1" si="9"/>
        <v>"2084048953" : "8 series",</v>
      </c>
    </row>
    <row r="614" spans="1:6" ht="15.75" customHeight="1">
      <c r="A614" s="18">
        <v>2084048954</v>
      </c>
      <c r="B614" s="18" t="s">
        <v>12056</v>
      </c>
      <c r="C614" s="18" t="s">
        <v>12058</v>
      </c>
      <c r="D614" s="5" t="str">
        <f ca="1">IFERROR(__xludf.DUMMYFUNCTION("GOOGLETRANSLATE(B614,""ja"",""vi"")"),"mô hình M")</f>
        <v>mô hình M</v>
      </c>
      <c r="E614" s="5" t="str">
        <f ca="1">IFERROR(__xludf.DUMMYFUNCTION("GOOGLETRANSLATE(C614,""ja"",""vi"")"),"Đấu giá&gt; ô tô, xe máy&gt; ô tô cũ, ô tô mới&gt; BMW&gt; mô hình M")</f>
        <v>Đấu giá&gt; ô tô, xe máy&gt; ô tô cũ, ô tô mới&gt; BMW&gt; mô hình M</v>
      </c>
      <c r="F614" t="str">
        <f t="shared" ca="1" si="9"/>
        <v>"2084048954" : "mô hình M",</v>
      </c>
    </row>
    <row r="615" spans="1:6" ht="15.75" customHeight="1">
      <c r="A615" s="18">
        <v>2084299558</v>
      </c>
      <c r="B615" s="18" t="s">
        <v>12061</v>
      </c>
      <c r="C615" s="18" t="s">
        <v>12062</v>
      </c>
      <c r="D615" s="5" t="str">
        <f ca="1">IFERROR(__xludf.DUMMYFUNCTION("GOOGLETRANSLATE(B615,""ja"",""vi"")"),"X1")</f>
        <v>X1</v>
      </c>
      <c r="E615" s="5" t="str">
        <f ca="1">IFERROR(__xludf.DUMMYFUNCTION("GOOGLETRANSLATE(C615,""ja"",""vi"")"),"Đấu giá&gt; ô tô, xe máy&gt; ô tô cũ, ô tô mới&gt; BMW&gt; X1")</f>
        <v>Đấu giá&gt; ô tô, xe máy&gt; ô tô cũ, ô tô mới&gt; BMW&gt; X1</v>
      </c>
      <c r="F615" t="str">
        <f t="shared" ca="1" si="9"/>
        <v>"2084299558" : "X1",</v>
      </c>
    </row>
    <row r="616" spans="1:6" ht="15.75" customHeight="1">
      <c r="A616" s="18">
        <v>2084055967</v>
      </c>
      <c r="B616" s="18" t="s">
        <v>12064</v>
      </c>
      <c r="C616" s="18" t="s">
        <v>12065</v>
      </c>
      <c r="D616" s="5" t="str">
        <f ca="1">IFERROR(__xludf.DUMMYFUNCTION("GOOGLETRANSLATE(B616,""ja"",""vi"")"),"X3")</f>
        <v>X3</v>
      </c>
      <c r="E616" s="5" t="str">
        <f ca="1">IFERROR(__xludf.DUMMYFUNCTION("GOOGLETRANSLATE(C616,""ja"",""vi"")"),"Đấu giá&gt; ô tô, xe máy&gt; ô tô cũ, ô tô mới&gt; BMW&gt; X3")</f>
        <v>Đấu giá&gt; ô tô, xe máy&gt; ô tô cũ, ô tô mới&gt; BMW&gt; X3</v>
      </c>
      <c r="F616" t="str">
        <f t="shared" ca="1" si="9"/>
        <v>"2084055967" : "X3",</v>
      </c>
    </row>
    <row r="617" spans="1:6" ht="15.75" customHeight="1">
      <c r="A617" s="18">
        <v>2084051724</v>
      </c>
      <c r="B617" s="18" t="s">
        <v>12067</v>
      </c>
      <c r="C617" s="18" t="s">
        <v>12068</v>
      </c>
      <c r="D617" s="5" t="str">
        <f ca="1">IFERROR(__xludf.DUMMYFUNCTION("GOOGLETRANSLATE(B617,""ja"",""vi"")"),"X5")</f>
        <v>X5</v>
      </c>
      <c r="E617" s="5" t="str">
        <f ca="1">IFERROR(__xludf.DUMMYFUNCTION("GOOGLETRANSLATE(C617,""ja"",""vi"")"),"Đấu giá&gt; ô tô, xe máy&gt; ô tô cũ, ô tô mới&gt; BMW&gt; X5")</f>
        <v>Đấu giá&gt; ô tô, xe máy&gt; ô tô cũ, ô tô mới&gt; BMW&gt; X5</v>
      </c>
      <c r="F617" t="str">
        <f t="shared" ca="1" si="9"/>
        <v>"2084051724" : "X5",</v>
      </c>
    </row>
    <row r="618" spans="1:6" ht="15.75" customHeight="1">
      <c r="A618" s="18">
        <v>2084243746</v>
      </c>
      <c r="B618" s="18" t="s">
        <v>12071</v>
      </c>
      <c r="C618" s="18" t="s">
        <v>12072</v>
      </c>
      <c r="D618" s="5" t="str">
        <f ca="1">IFERROR(__xludf.DUMMYFUNCTION("GOOGLETRANSLATE(B618,""ja"",""vi"")"),"X6")</f>
        <v>X6</v>
      </c>
      <c r="E618" s="5" t="str">
        <f ca="1">IFERROR(__xludf.DUMMYFUNCTION("GOOGLETRANSLATE(C618,""ja"",""vi"")"),"Đấu giá&gt; ô tô, xe máy&gt; ô tô cũ, ô tô mới&gt; BMW&gt; X6")</f>
        <v>Đấu giá&gt; ô tô, xe máy&gt; ô tô cũ, ô tô mới&gt; BMW&gt; X6</v>
      </c>
      <c r="F618" t="str">
        <f t="shared" ca="1" si="9"/>
        <v>"2084243746" : "X6",</v>
      </c>
    </row>
    <row r="619" spans="1:6" ht="15.75" customHeight="1">
      <c r="A619" s="18">
        <v>2084048175</v>
      </c>
      <c r="B619" s="18" t="s">
        <v>12074</v>
      </c>
      <c r="C619" s="18" t="s">
        <v>12075</v>
      </c>
      <c r="D619" s="5" t="str">
        <f ca="1">IFERROR(__xludf.DUMMYFUNCTION("GOOGLETRANSLATE(B619,""ja"",""vi"")"),"mô hình Z3")</f>
        <v>mô hình Z3</v>
      </c>
      <c r="E619" s="5" t="str">
        <f ca="1">IFERROR(__xludf.DUMMYFUNCTION("GOOGLETRANSLATE(C619,""ja"",""vi"")"),"Đấu giá&gt; ô tô, xe máy&gt; ô tô cũ, ô tô mới&gt; BMW&gt; mô hình Z3")</f>
        <v>Đấu giá&gt; ô tô, xe máy&gt; ô tô cũ, ô tô mới&gt; BMW&gt; mô hình Z3</v>
      </c>
      <c r="F619" t="str">
        <f t="shared" ca="1" si="9"/>
        <v>"2084048175" : "mô hình Z3",</v>
      </c>
    </row>
    <row r="620" spans="1:6" ht="15.75" customHeight="1">
      <c r="A620" s="18">
        <v>2084053053</v>
      </c>
      <c r="B620" s="18" t="s">
        <v>12078</v>
      </c>
      <c r="C620" s="18" t="s">
        <v>12079</v>
      </c>
      <c r="D620" s="5" t="str">
        <f ca="1">IFERROR(__xludf.DUMMYFUNCTION("GOOGLETRANSLATE(B620,""ja"",""vi"")"),"Z4")</f>
        <v>Z4</v>
      </c>
      <c r="E620" s="5" t="str">
        <f ca="1">IFERROR(__xludf.DUMMYFUNCTION("GOOGLETRANSLATE(C620,""ja"",""vi"")"),"Đấu giá&gt; ô tô, xe máy&gt; ô tô cũ, ô tô mới&gt; BMW&gt; Z4")</f>
        <v>Đấu giá&gt; ô tô, xe máy&gt; ô tô cũ, ô tô mới&gt; BMW&gt; Z4</v>
      </c>
      <c r="F620" t="str">
        <f t="shared" ca="1" si="9"/>
        <v>"2084053053" : "Z4",</v>
      </c>
    </row>
    <row r="621" spans="1:6" ht="15.75" customHeight="1">
      <c r="A621" s="18">
        <v>2084299557</v>
      </c>
      <c r="B621" s="18" t="s">
        <v>12084</v>
      </c>
      <c r="C621" s="18" t="s">
        <v>12085</v>
      </c>
      <c r="D621" s="5" t="str">
        <f ca="1">IFERROR(__xludf.DUMMYFUNCTION("GOOGLETRANSLATE(B621,""ja"",""vi"")"),"nhỏ")</f>
        <v>nhỏ</v>
      </c>
      <c r="E621" s="5" t="str">
        <f ca="1">IFERROR(__xludf.DUMMYFUNCTION("GOOGLETRANSLATE(C621,""ja"",""vi"")"),"Đấu giá&gt; ô tô, xe máy&gt; ô tô cũ, ô tô mới&gt; BMW&gt; nhỏ")</f>
        <v>Đấu giá&gt; ô tô, xe máy&gt; ô tô cũ, ô tô mới&gt; BMW&gt; nhỏ</v>
      </c>
      <c r="F621" t="str">
        <f t="shared" ca="1" si="9"/>
        <v>"2084299557" : "nhỏ",</v>
      </c>
    </row>
    <row r="622" spans="1:6" ht="15.75" customHeight="1">
      <c r="A622" s="18">
        <v>2084048171</v>
      </c>
      <c r="B622" s="18" t="s">
        <v>46</v>
      </c>
      <c r="C622" s="18" t="s">
        <v>12090</v>
      </c>
      <c r="D622" s="5" t="str">
        <f ca="1">IFERROR(__xludf.DUMMYFUNCTION("GOOGLETRANSLATE(B622,""ja"",""vi"")"),"nếu không thì")</f>
        <v>nếu không thì</v>
      </c>
      <c r="E622" s="5" t="str">
        <f ca="1">IFERROR(__xludf.DUMMYFUNCTION("GOOGLETRANSLATE(C622,""ja"",""vi"")"),"Đấu giá&gt; ô tô, xe máy&gt; ô tô cũ, ô tô mới&gt; BMW&gt; Khác")</f>
        <v>Đấu giá&gt; ô tô, xe máy&gt; ô tô cũ, ô tô mới&gt; BMW&gt; Khác</v>
      </c>
      <c r="F622" t="str">
        <f t="shared" ca="1" si="9"/>
        <v>"2084048171" : "nếu không thì",</v>
      </c>
    </row>
    <row r="623" spans="1:6" ht="15.75" customHeight="1">
      <c r="A623" s="18">
        <v>2084048962</v>
      </c>
      <c r="B623" s="18">
        <v>100</v>
      </c>
      <c r="C623" s="18" t="s">
        <v>12094</v>
      </c>
      <c r="D623" s="5" t="str">
        <f ca="1">IFERROR(__xludf.DUMMYFUNCTION("GOOGLETRANSLATE(B623,""ja"",""vi"")"),"100")</f>
        <v>100</v>
      </c>
      <c r="E623" s="5" t="str">
        <f ca="1">IFERROR(__xludf.DUMMYFUNCTION("GOOGLETRANSLATE(C623,""ja"",""vi"")"),"Đấu giá&gt; ô tô, xe máy&gt; ô tô cũ, ô tô mới&gt; Audi&gt; 100")</f>
        <v>Đấu giá&gt; ô tô, xe máy&gt; ô tô cũ, ô tô mới&gt; Audi&gt; 100</v>
      </c>
      <c r="F623" t="str">
        <f t="shared" ca="1" si="9"/>
        <v>"2084048962" : "100",</v>
      </c>
    </row>
    <row r="624" spans="1:6" ht="15.75" customHeight="1">
      <c r="A624" s="18">
        <v>2084048169</v>
      </c>
      <c r="B624" s="18">
        <v>80</v>
      </c>
      <c r="C624" s="18" t="s">
        <v>12097</v>
      </c>
      <c r="D624" s="5" t="str">
        <f ca="1">IFERROR(__xludf.DUMMYFUNCTION("GOOGLETRANSLATE(B624,""ja"",""vi"")"),"80")</f>
        <v>80</v>
      </c>
      <c r="E624" s="5" t="str">
        <f ca="1">IFERROR(__xludf.DUMMYFUNCTION("GOOGLETRANSLATE(C624,""ja"",""vi"")"),"Đấu giá&gt; ô tô, xe máy&gt; ô tô cũ, ô tô mới&gt; Audi&gt; 80")</f>
        <v>Đấu giá&gt; ô tô, xe máy&gt; ô tô cũ, ô tô mới&gt; Audi&gt; 80</v>
      </c>
      <c r="F624" t="str">
        <f t="shared" ca="1" si="9"/>
        <v>"2084048169" : "80",</v>
      </c>
    </row>
    <row r="625" spans="1:6" ht="15.75" customHeight="1">
      <c r="A625" s="18">
        <v>2084299559</v>
      </c>
      <c r="B625" s="18" t="s">
        <v>12100</v>
      </c>
      <c r="C625" s="18" t="s">
        <v>12102</v>
      </c>
      <c r="D625" s="5" t="str">
        <f ca="1">IFERROR(__xludf.DUMMYFUNCTION("GOOGLETRANSLATE(B625,""ja"",""vi"")"),"A1")</f>
        <v>A1</v>
      </c>
      <c r="E625" s="5" t="str">
        <f ca="1">IFERROR(__xludf.DUMMYFUNCTION("GOOGLETRANSLATE(C625,""ja"",""vi"")"),"Đấu giá&gt; ô tô, xe máy&gt; ô tô cũ, ô tô mới&gt; Audi&gt; A1")</f>
        <v>Đấu giá&gt; ô tô, xe máy&gt; ô tô cũ, ô tô mới&gt; Audi&gt; A1</v>
      </c>
      <c r="F625" t="str">
        <f t="shared" ca="1" si="9"/>
        <v>"2084299559" : "A1",</v>
      </c>
    </row>
    <row r="626" spans="1:6" ht="15.75" customHeight="1">
      <c r="A626" s="18">
        <v>2084048963</v>
      </c>
      <c r="B626" s="18" t="s">
        <v>12105</v>
      </c>
      <c r="C626" s="18" t="s">
        <v>12106</v>
      </c>
      <c r="D626" s="5" t="str">
        <f ca="1">IFERROR(__xludf.DUMMYFUNCTION("GOOGLETRANSLATE(B626,""ja"",""vi"")"),"A3")</f>
        <v>A3</v>
      </c>
      <c r="E626" s="5" t="str">
        <f ca="1">IFERROR(__xludf.DUMMYFUNCTION("GOOGLETRANSLATE(C626,""ja"",""vi"")"),"Đấu giá&gt; ô tô, xe máy&gt; ô tô cũ, ô tô mới&gt; Audi&gt; A3")</f>
        <v>Đấu giá&gt; ô tô, xe máy&gt; ô tô cũ, ô tô mới&gt; Audi&gt; A3</v>
      </c>
      <c r="F626" t="str">
        <f t="shared" ca="1" si="9"/>
        <v>"2084048963" : "A3",</v>
      </c>
    </row>
    <row r="627" spans="1:6" ht="15.75" customHeight="1">
      <c r="A627" s="18">
        <v>2084048170</v>
      </c>
      <c r="B627" s="18" t="s">
        <v>12110</v>
      </c>
      <c r="C627" s="18" t="s">
        <v>12111</v>
      </c>
      <c r="D627" s="5" t="str">
        <f ca="1">IFERROR(__xludf.DUMMYFUNCTION("GOOGLETRANSLATE(B627,""ja"",""vi"")"),"A4")</f>
        <v>A4</v>
      </c>
      <c r="E627" s="5" t="str">
        <f ca="1">IFERROR(__xludf.DUMMYFUNCTION("GOOGLETRANSLATE(C627,""ja"",""vi"")"),"Đấu giá&gt; ô tô, xe máy&gt; ô tô cũ, ô tô mới&gt; Audi&gt; A4")</f>
        <v>Đấu giá&gt; ô tô, xe máy&gt; ô tô cũ, ô tô mới&gt; Audi&gt; A4</v>
      </c>
      <c r="F627" t="str">
        <f t="shared" ca="1" si="9"/>
        <v>"2084048170" : "A4",</v>
      </c>
    </row>
    <row r="628" spans="1:6" ht="15.75" customHeight="1">
      <c r="A628" s="18">
        <v>2084231252</v>
      </c>
      <c r="B628" s="18" t="s">
        <v>12116</v>
      </c>
      <c r="C628" s="18" t="s">
        <v>12117</v>
      </c>
      <c r="D628" s="5" t="str">
        <f ca="1">IFERROR(__xludf.DUMMYFUNCTION("GOOGLETRANSLATE(B628,""ja"",""vi"")"),"A4 Avant")</f>
        <v>A4 Avant</v>
      </c>
      <c r="E628" s="5" t="str">
        <f ca="1">IFERROR(__xludf.DUMMYFUNCTION("GOOGLETRANSLATE(C628,""ja"",""vi"")"),"Đấu giá&gt; ô tô, xe máy&gt; ô tô cũ, ô tô mới&gt; Audi&gt; A4 Avant")</f>
        <v>Đấu giá&gt; ô tô, xe máy&gt; ô tô cũ, ô tô mới&gt; Audi&gt; A4 Avant</v>
      </c>
      <c r="F628" t="str">
        <f t="shared" ca="1" si="9"/>
        <v>"2084231252" : "A4 Avant",</v>
      </c>
    </row>
    <row r="629" spans="1:6" ht="15.75" customHeight="1">
      <c r="A629" s="18">
        <v>2084243747</v>
      </c>
      <c r="B629" s="18" t="s">
        <v>12122</v>
      </c>
      <c r="C629" s="18" t="s">
        <v>12123</v>
      </c>
      <c r="D629" s="5" t="str">
        <f ca="1">IFERROR(__xludf.DUMMYFUNCTION("GOOGLETRANSLATE(B629,""ja"",""vi"")"),"A5")</f>
        <v>A5</v>
      </c>
      <c r="E629" s="5" t="str">
        <f ca="1">IFERROR(__xludf.DUMMYFUNCTION("GOOGLETRANSLATE(C629,""ja"",""vi"")"),"Đấu giá&gt; ô tô, xe máy&gt; ô tô cũ, ô tô mới&gt; Audi&gt; A5")</f>
        <v>Đấu giá&gt; ô tô, xe máy&gt; ô tô cũ, ô tô mới&gt; Audi&gt; A5</v>
      </c>
      <c r="F629" t="str">
        <f t="shared" ca="1" si="9"/>
        <v>"2084243747" : "A5",</v>
      </c>
    </row>
    <row r="630" spans="1:6" ht="15.75" customHeight="1">
      <c r="A630" s="18">
        <v>2084299561</v>
      </c>
      <c r="B630" s="18" t="s">
        <v>12128</v>
      </c>
      <c r="C630" s="18" t="s">
        <v>12129</v>
      </c>
      <c r="D630" s="5" t="str">
        <f ca="1">IFERROR(__xludf.DUMMYFUNCTION("GOOGLETRANSLATE(B630,""ja"",""vi"")"),"A5 Cabriolet")</f>
        <v>A5 Cabriolet</v>
      </c>
      <c r="E630" s="5" t="str">
        <f ca="1">IFERROR(__xludf.DUMMYFUNCTION("GOOGLETRANSLATE(C630,""ja"",""vi"")"),"Đấu giá&gt; ô tô, xe máy&gt; ô tô cũ, ô tô mới&gt; Audi&gt; A5 Cabriolet")</f>
        <v>Đấu giá&gt; ô tô, xe máy&gt; ô tô cũ, ô tô mới&gt; Audi&gt; A5 Cabriolet</v>
      </c>
      <c r="F630" t="str">
        <f t="shared" ca="1" si="9"/>
        <v>"2084299561" : "A5 Cabriolet",</v>
      </c>
    </row>
    <row r="631" spans="1:6" ht="15.75" customHeight="1">
      <c r="A631" s="18">
        <v>2084299560</v>
      </c>
      <c r="B631" s="18" t="s">
        <v>12133</v>
      </c>
      <c r="C631" s="18" t="s">
        <v>12134</v>
      </c>
      <c r="D631" s="5" t="str">
        <f ca="1">IFERROR(__xludf.DUMMYFUNCTION("GOOGLETRANSLATE(B631,""ja"",""vi"")"),"A5 Sportback")</f>
        <v>A5 Sportback</v>
      </c>
      <c r="E631" s="5" t="str">
        <f ca="1">IFERROR(__xludf.DUMMYFUNCTION("GOOGLETRANSLATE(C631,""ja"",""vi"")"),"Đấu giá&gt; ô tô, xe máy&gt; ô tô cũ, ô tô mới&gt; Audi&gt; A5 Sportback")</f>
        <v>Đấu giá&gt; ô tô, xe máy&gt; ô tô cũ, ô tô mới&gt; Audi&gt; A5 Sportback</v>
      </c>
      <c r="F631" t="str">
        <f t="shared" ca="1" si="9"/>
        <v>"2084299560" : "A5 Sportback",</v>
      </c>
    </row>
    <row r="632" spans="1:6" ht="15.75" customHeight="1">
      <c r="A632" s="18">
        <v>2084048964</v>
      </c>
      <c r="B632" s="18" t="s">
        <v>12138</v>
      </c>
      <c r="C632" s="18" t="s">
        <v>12139</v>
      </c>
      <c r="D632" s="5" t="str">
        <f ca="1">IFERROR(__xludf.DUMMYFUNCTION("GOOGLETRANSLATE(B632,""ja"",""vi"")"),"A6")</f>
        <v>A6</v>
      </c>
      <c r="E632" s="5" t="str">
        <f ca="1">IFERROR(__xludf.DUMMYFUNCTION("GOOGLETRANSLATE(C632,""ja"",""vi"")"),"Đấu giá&gt; ô tô, xe máy&gt; ô tô cũ, ô tô mới&gt; Audi&gt; A6")</f>
        <v>Đấu giá&gt; ô tô, xe máy&gt; ô tô cũ, ô tô mới&gt; Audi&gt; A6</v>
      </c>
      <c r="F632" t="str">
        <f t="shared" ca="1" si="9"/>
        <v>"2084048964" : "A6",</v>
      </c>
    </row>
    <row r="633" spans="1:6" ht="15.75" customHeight="1">
      <c r="A633" s="18">
        <v>2084231253</v>
      </c>
      <c r="B633" s="18" t="s">
        <v>12143</v>
      </c>
      <c r="C633" s="18" t="s">
        <v>12144</v>
      </c>
      <c r="D633" s="5" t="str">
        <f ca="1">IFERROR(__xludf.DUMMYFUNCTION("GOOGLETRANSLATE(B633,""ja"",""vi"")"),"A6 Avant")</f>
        <v>A6 Avant</v>
      </c>
      <c r="E633" s="5" t="str">
        <f ca="1">IFERROR(__xludf.DUMMYFUNCTION("GOOGLETRANSLATE(C633,""ja"",""vi"")"),"Đấu giá&gt; ô tô, xe máy&gt; ô tô cũ, ô tô mới&gt; Audi&gt; A6 Avant")</f>
        <v>Đấu giá&gt; ô tô, xe máy&gt; ô tô cũ, ô tô mới&gt; Audi&gt; A6 Avant</v>
      </c>
      <c r="F633" t="str">
        <f t="shared" ca="1" si="9"/>
        <v>"2084231253" : "A6 Avant",</v>
      </c>
    </row>
    <row r="634" spans="1:6" ht="15.75" customHeight="1">
      <c r="A634" s="18">
        <v>2084299562</v>
      </c>
      <c r="B634" s="18" t="s">
        <v>12149</v>
      </c>
      <c r="C634" s="18" t="s">
        <v>12150</v>
      </c>
      <c r="D634" s="5" t="str">
        <f ca="1">IFERROR(__xludf.DUMMYFUNCTION("GOOGLETRANSLATE(B634,""ja"",""vi"")"),"A7 Sportback")</f>
        <v>A7 Sportback</v>
      </c>
      <c r="E634" s="5" t="str">
        <f ca="1">IFERROR(__xludf.DUMMYFUNCTION("GOOGLETRANSLATE(C634,""ja"",""vi"")"),"Đấu giá&gt; ô tô, xe máy&gt; ô tô cũ, ô tô mới&gt; Audi&gt; A7 Sportback")</f>
        <v>Đấu giá&gt; ô tô, xe máy&gt; ô tô cũ, ô tô mới&gt; Audi&gt; A7 Sportback</v>
      </c>
      <c r="F634" t="str">
        <f t="shared" ca="1" si="9"/>
        <v>"2084299562" : "A7 Sportback",</v>
      </c>
    </row>
    <row r="635" spans="1:6" ht="15.75" customHeight="1">
      <c r="A635" s="18">
        <v>2084048965</v>
      </c>
      <c r="B635" s="18" t="s">
        <v>12155</v>
      </c>
      <c r="C635" s="18" t="s">
        <v>12156</v>
      </c>
      <c r="D635" s="5" t="str">
        <f ca="1">IFERROR(__xludf.DUMMYFUNCTION("GOOGLETRANSLATE(B635,""ja"",""vi"")"),"A8")</f>
        <v>A8</v>
      </c>
      <c r="E635" s="5" t="str">
        <f ca="1">IFERROR(__xludf.DUMMYFUNCTION("GOOGLETRANSLATE(C635,""ja"",""vi"")"),"Đấu giá&gt; ô tô, xe máy&gt; ô tô cũ, ô tô mới&gt; Audi&gt; A8")</f>
        <v>Đấu giá&gt; ô tô, xe máy&gt; ô tô cũ, ô tô mới&gt; Audi&gt; A8</v>
      </c>
      <c r="F635" t="str">
        <f t="shared" ca="1" si="9"/>
        <v>"2084048965" : "A8",</v>
      </c>
    </row>
    <row r="636" spans="1:6" ht="15.75" customHeight="1">
      <c r="A636" s="18">
        <v>2084299563</v>
      </c>
      <c r="B636" s="18" t="s">
        <v>12161</v>
      </c>
      <c r="C636" s="18" t="s">
        <v>12163</v>
      </c>
      <c r="D636" s="5" t="str">
        <f ca="1">IFERROR(__xludf.DUMMYFUNCTION("GOOGLETRANSLATE(B636,""ja"",""vi"")"),"A8L")</f>
        <v>A8L</v>
      </c>
      <c r="E636" s="5" t="str">
        <f ca="1">IFERROR(__xludf.DUMMYFUNCTION("GOOGLETRANSLATE(C636,""ja"",""vi"")"),"Đấu giá&gt; ô tô, xe máy&gt; ô tô cũ, ô tô mới&gt; Audi&gt; A8L")</f>
        <v>Đấu giá&gt; ô tô, xe máy&gt; ô tô cũ, ô tô mới&gt; Audi&gt; A8L</v>
      </c>
      <c r="F636" t="str">
        <f t="shared" ca="1" si="9"/>
        <v>"2084299563" : "A8L",</v>
      </c>
    </row>
    <row r="637" spans="1:6" ht="15.75" customHeight="1">
      <c r="A637" s="18">
        <v>2084243753</v>
      </c>
      <c r="B637" s="18" t="s">
        <v>12167</v>
      </c>
      <c r="C637" s="18" t="s">
        <v>12168</v>
      </c>
      <c r="D637" s="5" t="str">
        <f ca="1">IFERROR(__xludf.DUMMYFUNCTION("GOOGLETRANSLATE(B637,""ja"",""vi"")"),"Q5")</f>
        <v>Q5</v>
      </c>
      <c r="E637" s="5" t="str">
        <f ca="1">IFERROR(__xludf.DUMMYFUNCTION("GOOGLETRANSLATE(C637,""ja"",""vi"")"),"Đấu giá&gt; ô tô, xe máy&gt; ô tô cũ, ô tô mới&gt; Audi&gt; Q5")</f>
        <v>Đấu giá&gt; ô tô, xe máy&gt; ô tô cũ, ô tô mới&gt; Audi&gt; Q5</v>
      </c>
      <c r="F637" t="str">
        <f t="shared" ca="1" si="9"/>
        <v>"2084243753" : "Q5",</v>
      </c>
    </row>
    <row r="638" spans="1:6" ht="15.75" customHeight="1">
      <c r="A638" s="18">
        <v>2084243754</v>
      </c>
      <c r="B638" s="18" t="s">
        <v>12175</v>
      </c>
      <c r="C638" s="18" t="s">
        <v>12176</v>
      </c>
      <c r="D638" s="5" t="str">
        <f ca="1">IFERROR(__xludf.DUMMYFUNCTION("GOOGLETRANSLATE(B638,""ja"",""vi"")"),"Q7")</f>
        <v>Q7</v>
      </c>
      <c r="E638" s="5" t="str">
        <f ca="1">IFERROR(__xludf.DUMMYFUNCTION("GOOGLETRANSLATE(C638,""ja"",""vi"")"),"Đấu giá&gt; ô tô, xe máy&gt; ô tô cũ, ô tô mới&gt; Audi&gt; Q7")</f>
        <v>Đấu giá&gt; ô tô, xe máy&gt; ô tô cũ, ô tô mới&gt; Audi&gt; Q7</v>
      </c>
      <c r="F638" t="str">
        <f t="shared" ca="1" si="9"/>
        <v>"2084243754" : "Q7",</v>
      </c>
    </row>
    <row r="639" spans="1:6" ht="15.75" customHeight="1">
      <c r="A639" s="18">
        <v>2084299567</v>
      </c>
      <c r="B639" s="18" t="s">
        <v>12179</v>
      </c>
      <c r="C639" s="18" t="s">
        <v>12182</v>
      </c>
      <c r="D639" s="5" t="str">
        <f ca="1">IFERROR(__xludf.DUMMYFUNCTION("GOOGLETRANSLATE(B639,""ja"",""vi"")"),"R8")</f>
        <v>R8</v>
      </c>
      <c r="E639" s="5" t="str">
        <f ca="1">IFERROR(__xludf.DUMMYFUNCTION("GOOGLETRANSLATE(C639,""ja"",""vi"")"),"Đấu giá&gt; ô tô, xe máy&gt; ô tô cũ, ô tô mới&gt; Audi&gt; R8")</f>
        <v>Đấu giá&gt; ô tô, xe máy&gt; ô tô cũ, ô tô mới&gt; Audi&gt; R8</v>
      </c>
      <c r="F639" t="str">
        <f t="shared" ca="1" si="9"/>
        <v>"2084299567" : "R8",</v>
      </c>
    </row>
    <row r="640" spans="1:6" ht="15.75" customHeight="1">
      <c r="A640" s="18">
        <v>2084299568</v>
      </c>
      <c r="B640" s="18" t="s">
        <v>12186</v>
      </c>
      <c r="C640" s="18" t="s">
        <v>12188</v>
      </c>
      <c r="D640" s="5" t="str">
        <f ca="1">IFERROR(__xludf.DUMMYFUNCTION("GOOGLETRANSLATE(B640,""ja"",""vi"")"),"R8 Spider")</f>
        <v>R8 Spider</v>
      </c>
      <c r="E640" s="5" t="str">
        <f ca="1">IFERROR(__xludf.DUMMYFUNCTION("GOOGLETRANSLATE(C640,""ja"",""vi"")"),"Đấu giá&gt; ô tô, xe máy&gt; ô tô cũ, ô tô mới&gt; Audi&gt; R8 Spider")</f>
        <v>Đấu giá&gt; ô tô, xe máy&gt; ô tô cũ, ô tô mới&gt; Audi&gt; R8 Spider</v>
      </c>
      <c r="F640" t="str">
        <f t="shared" ca="1" si="9"/>
        <v>"2084299568" : "R8 Spider",</v>
      </c>
    </row>
    <row r="641" spans="1:6" ht="15.75" customHeight="1">
      <c r="A641" s="18">
        <v>2084299565</v>
      </c>
      <c r="B641" s="18" t="s">
        <v>12191</v>
      </c>
      <c r="C641" s="18" t="s">
        <v>12194</v>
      </c>
      <c r="D641" s="5" t="str">
        <f ca="1">IFERROR(__xludf.DUMMYFUNCTION("GOOGLETRANSLATE(B641,""ja"",""vi"")"),"RS4")</f>
        <v>RS4</v>
      </c>
      <c r="E641" s="5" t="str">
        <f ca="1">IFERROR(__xludf.DUMMYFUNCTION("GOOGLETRANSLATE(C641,""ja"",""vi"")"),"Đấu giá&gt; ô tô, xe máy&gt; ô tô cũ, ô tô mới&gt; Audi&gt; RS4")</f>
        <v>Đấu giá&gt; ô tô, xe máy&gt; ô tô cũ, ô tô mới&gt; Audi&gt; RS4</v>
      </c>
      <c r="F641" t="str">
        <f t="shared" ca="1" si="9"/>
        <v>"2084299565" : "RS4",</v>
      </c>
    </row>
    <row r="642" spans="1:6" ht="15.75" customHeight="1">
      <c r="A642" s="18">
        <v>2084299566</v>
      </c>
      <c r="B642" s="18" t="s">
        <v>12199</v>
      </c>
      <c r="C642" s="18" t="s">
        <v>12200</v>
      </c>
      <c r="D642" s="5" t="str">
        <f ca="1">IFERROR(__xludf.DUMMYFUNCTION("GOOGLETRANSLATE(B642,""ja"",""vi"")"),"RS5")</f>
        <v>RS5</v>
      </c>
      <c r="E642" s="5" t="str">
        <f ca="1">IFERROR(__xludf.DUMMYFUNCTION("GOOGLETRANSLATE(C642,""ja"",""vi"")"),"Đấu giá&gt; ô tô, xe máy&gt; ô tô cũ, ô tô mới&gt; Audi&gt; RS5")</f>
        <v>Đấu giá&gt; ô tô, xe máy&gt; ô tô cũ, ô tô mới&gt; Audi&gt; RS5</v>
      </c>
      <c r="F642" t="str">
        <f t="shared" ref="F642:F705" ca="1" si="10">CONCATENATE(CHAR(34)&amp;"",A642,""&amp;CHAR(34)," : ", CHAR(34)&amp;"",D642,""&amp;CHAR(34),",")</f>
        <v>"2084299566" : "RS5",</v>
      </c>
    </row>
    <row r="643" spans="1:6" ht="15.75" customHeight="1">
      <c r="A643" s="18">
        <v>2084243751</v>
      </c>
      <c r="B643" s="18" t="s">
        <v>12205</v>
      </c>
      <c r="C643" s="18" t="s">
        <v>12206</v>
      </c>
      <c r="D643" s="5" t="str">
        <f ca="1">IFERROR(__xludf.DUMMYFUNCTION("GOOGLETRANSLATE(B643,""ja"",""vi"")"),"RS6")</f>
        <v>RS6</v>
      </c>
      <c r="E643" s="5" t="str">
        <f ca="1">IFERROR(__xludf.DUMMYFUNCTION("GOOGLETRANSLATE(C643,""ja"",""vi"")"),"Đấu giá&gt; ô tô, xe máy&gt; ô tô cũ, ô tô mới&gt; Audi&gt; RS6")</f>
        <v>Đấu giá&gt; ô tô, xe máy&gt; ô tô cũ, ô tô mới&gt; Audi&gt; RS6</v>
      </c>
      <c r="F643" t="str">
        <f t="shared" ca="1" si="10"/>
        <v>"2084243751" : "RS6",</v>
      </c>
    </row>
    <row r="644" spans="1:6" ht="15.75" customHeight="1">
      <c r="A644" s="18">
        <v>2084243748</v>
      </c>
      <c r="B644" s="18" t="s">
        <v>12212</v>
      </c>
      <c r="C644" s="18" t="s">
        <v>12214</v>
      </c>
      <c r="D644" s="5" t="str">
        <f ca="1">IFERROR(__xludf.DUMMYFUNCTION("GOOGLETRANSLATE(B644,""ja"",""vi"")"),"S3")</f>
        <v>S3</v>
      </c>
      <c r="E644" s="5" t="str">
        <f ca="1">IFERROR(__xludf.DUMMYFUNCTION("GOOGLETRANSLATE(C644,""ja"",""vi"")"),"Đấu giá&gt; ô tô, xe máy&gt; ô tô cũ, ô tô mới&gt; Audi&gt; S3")</f>
        <v>Đấu giá&gt; ô tô, xe máy&gt; ô tô cũ, ô tô mới&gt; Audi&gt; S3</v>
      </c>
      <c r="F644" t="str">
        <f t="shared" ca="1" si="10"/>
        <v>"2084243748" : "S3",</v>
      </c>
    </row>
    <row r="645" spans="1:6" ht="15.75" customHeight="1">
      <c r="A645" s="18">
        <v>2084243749</v>
      </c>
      <c r="B645" s="18" t="s">
        <v>12219</v>
      </c>
      <c r="C645" s="18" t="s">
        <v>12220</v>
      </c>
      <c r="D645" s="5" t="str">
        <f ca="1">IFERROR(__xludf.DUMMYFUNCTION("GOOGLETRANSLATE(B645,""ja"",""vi"")"),"S4")</f>
        <v>S4</v>
      </c>
      <c r="E645" s="5" t="str">
        <f ca="1">IFERROR(__xludf.DUMMYFUNCTION("GOOGLETRANSLATE(C645,""ja"",""vi"")"),"Đấu giá&gt; ô tô, xe máy&gt; ô tô cũ, ô tô mới&gt; Audi&gt; S4")</f>
        <v>Đấu giá&gt; ô tô, xe máy&gt; ô tô cũ, ô tô mới&gt; Audi&gt; S4</v>
      </c>
      <c r="F645" t="str">
        <f t="shared" ca="1" si="10"/>
        <v>"2084243749" : "S4",</v>
      </c>
    </row>
    <row r="646" spans="1:6" ht="15.75" customHeight="1">
      <c r="A646" s="18">
        <v>2084299564</v>
      </c>
      <c r="B646" s="18" t="s">
        <v>12223</v>
      </c>
      <c r="C646" s="18" t="s">
        <v>12224</v>
      </c>
      <c r="D646" s="5" t="str">
        <f ca="1">IFERROR(__xludf.DUMMYFUNCTION("GOOGLETRANSLATE(B646,""ja"",""vi"")"),"S5")</f>
        <v>S5</v>
      </c>
      <c r="E646" s="5" t="str">
        <f ca="1">IFERROR(__xludf.DUMMYFUNCTION("GOOGLETRANSLATE(C646,""ja"",""vi"")"),"Đấu giá&gt; ô tô, xe máy&gt; ô tô cũ, ô tô mới&gt; Audi&gt; S5")</f>
        <v>Đấu giá&gt; ô tô, xe máy&gt; ô tô cũ, ô tô mới&gt; Audi&gt; S5</v>
      </c>
      <c r="F646" t="str">
        <f t="shared" ca="1" si="10"/>
        <v>"2084299564" : "S5",</v>
      </c>
    </row>
    <row r="647" spans="1:6" ht="15.75" customHeight="1">
      <c r="A647" s="18">
        <v>2084243750</v>
      </c>
      <c r="B647" s="18" t="s">
        <v>12228</v>
      </c>
      <c r="C647" s="18" t="s">
        <v>12231</v>
      </c>
      <c r="D647" s="5" t="str">
        <f ca="1">IFERROR(__xludf.DUMMYFUNCTION("GOOGLETRANSLATE(B647,""ja"",""vi"")"),"S6")</f>
        <v>S6</v>
      </c>
      <c r="E647" s="5" t="str">
        <f ca="1">IFERROR(__xludf.DUMMYFUNCTION("GOOGLETRANSLATE(C647,""ja"",""vi"")"),"Đấu giá&gt; ô tô, xe máy&gt; ô tô cũ, ô tô mới&gt; Audi&gt; S6")</f>
        <v>Đấu giá&gt; ô tô, xe máy&gt; ô tô cũ, ô tô mới&gt; Audi&gt; S6</v>
      </c>
      <c r="F647" t="str">
        <f t="shared" ca="1" si="10"/>
        <v>"2084243750" : "S6",</v>
      </c>
    </row>
    <row r="648" spans="1:6" ht="15.75" customHeight="1">
      <c r="A648" s="18">
        <v>2084243752</v>
      </c>
      <c r="B648" s="18" t="s">
        <v>12235</v>
      </c>
      <c r="C648" s="18" t="s">
        <v>12237</v>
      </c>
      <c r="D648" s="5" t="str">
        <f ca="1">IFERROR(__xludf.DUMMYFUNCTION("GOOGLETRANSLATE(B648,""ja"",""vi"")"),"S8")</f>
        <v>S8</v>
      </c>
      <c r="E648" s="5" t="str">
        <f ca="1">IFERROR(__xludf.DUMMYFUNCTION("GOOGLETRANSLATE(C648,""ja"",""vi"")"),"Đấu giá&gt; ô tô, xe máy&gt; ô tô cũ, ô tô mới&gt; Audi&gt; S8")</f>
        <v>Đấu giá&gt; ô tô, xe máy&gt; ô tô cũ, ô tô mới&gt; Audi&gt; S8</v>
      </c>
      <c r="F648" t="str">
        <f t="shared" ca="1" si="10"/>
        <v>"2084243752" : "S8",</v>
      </c>
    </row>
    <row r="649" spans="1:6" ht="15.75" customHeight="1">
      <c r="A649" s="18">
        <v>2084048966</v>
      </c>
      <c r="B649" s="18" t="s">
        <v>12240</v>
      </c>
      <c r="C649" s="18" t="s">
        <v>12243</v>
      </c>
      <c r="D649" s="5" t="str">
        <f ca="1">IFERROR(__xludf.DUMMYFUNCTION("GOOGLETRANSLATE(B649,""ja"",""vi"")"),"TT")</f>
        <v>TT</v>
      </c>
      <c r="E649" s="5" t="str">
        <f ca="1">IFERROR(__xludf.DUMMYFUNCTION("GOOGLETRANSLATE(C649,""ja"",""vi"")"),"Đấu giá&gt; ô tô, xe máy&gt; ô tô cũ, ô tô mới&gt; Audi&gt; TT")</f>
        <v>Đấu giá&gt; ô tô, xe máy&gt; ô tô cũ, ô tô mới&gt; Audi&gt; TT</v>
      </c>
      <c r="F649" t="str">
        <f t="shared" ca="1" si="10"/>
        <v>"2084048966" : "TT",</v>
      </c>
    </row>
    <row r="650" spans="1:6" ht="15.75" customHeight="1">
      <c r="A650" s="18">
        <v>2084299569</v>
      </c>
      <c r="B650" s="18" t="s">
        <v>12245</v>
      </c>
      <c r="C650" s="18" t="s">
        <v>12246</v>
      </c>
      <c r="D650" s="5" t="str">
        <f ca="1">IFERROR(__xludf.DUMMYFUNCTION("GOOGLETRANSLATE(B650,""ja"",""vi"")"),"TT RS Coupe")</f>
        <v>TT RS Coupe</v>
      </c>
      <c r="E650" s="5" t="str">
        <f ca="1">IFERROR(__xludf.DUMMYFUNCTION("GOOGLETRANSLATE(C650,""ja"",""vi"")"),"Đấu giá&gt; ô tô, xe máy&gt; ô tô cũ, ô tô mới&gt; Audi&gt; TT RS Coupe")</f>
        <v>Đấu giá&gt; ô tô, xe máy&gt; ô tô cũ, ô tô mới&gt; Audi&gt; TT RS Coupe</v>
      </c>
      <c r="F650" t="str">
        <f t="shared" ca="1" si="10"/>
        <v>"2084299569" : "TT RS Coupe",</v>
      </c>
    </row>
    <row r="651" spans="1:6" ht="15.75" customHeight="1">
      <c r="A651" s="18">
        <v>2084243755</v>
      </c>
      <c r="B651" s="18" t="s">
        <v>12251</v>
      </c>
      <c r="C651" s="18" t="s">
        <v>12252</v>
      </c>
      <c r="D651" s="5" t="str">
        <f ca="1">IFERROR(__xludf.DUMMYFUNCTION("GOOGLETRANSLATE(B651,""ja"",""vi"")"),"TTS coupe")</f>
        <v>TTS coupe</v>
      </c>
      <c r="E651" s="5" t="str">
        <f ca="1">IFERROR(__xludf.DUMMYFUNCTION("GOOGLETRANSLATE(C651,""ja"",""vi"")"),"Đấu giá&gt; ô tô, xe máy&gt; ô tô cũ, ô tô mới&gt; Audi&gt; TTS Coupe")</f>
        <v>Đấu giá&gt; ô tô, xe máy&gt; ô tô cũ, ô tô mới&gt; Audi&gt; TTS Coupe</v>
      </c>
      <c r="F651" t="str">
        <f t="shared" ca="1" si="10"/>
        <v>"2084243755" : "TTS coupe",</v>
      </c>
    </row>
    <row r="652" spans="1:6" ht="15.75" customHeight="1">
      <c r="A652" s="18">
        <v>2084231256</v>
      </c>
      <c r="B652" s="18" t="s">
        <v>12256</v>
      </c>
      <c r="C652" s="18" t="s">
        <v>12257</v>
      </c>
      <c r="D652" s="5" t="str">
        <f ca="1">IFERROR(__xludf.DUMMYFUNCTION("GOOGLETRANSLATE(B652,""ja"",""vi"")"),"Allroad quattro")</f>
        <v>Allroad quattro</v>
      </c>
      <c r="E652" s="5" t="str">
        <f ca="1">IFERROR(__xludf.DUMMYFUNCTION("GOOGLETRANSLATE(C652,""ja"",""vi"")"),"Đấu giá&gt; ô tô, xe máy&gt; ô tô cũ, ô tô mới&gt; Audi&gt; allroad quattro")</f>
        <v>Đấu giá&gt; ô tô, xe máy&gt; ô tô cũ, ô tô mới&gt; Audi&gt; allroad quattro</v>
      </c>
      <c r="F652" t="str">
        <f t="shared" ca="1" si="10"/>
        <v>"2084231256" : "Allroad quattro",</v>
      </c>
    </row>
    <row r="653" spans="1:6" ht="15.75" customHeight="1">
      <c r="A653" s="18">
        <v>2084048167</v>
      </c>
      <c r="B653" s="18" t="s">
        <v>46</v>
      </c>
      <c r="C653" s="18" t="s">
        <v>12262</v>
      </c>
      <c r="D653" s="5" t="str">
        <f ca="1">IFERROR(__xludf.DUMMYFUNCTION("GOOGLETRANSLATE(B653,""ja"",""vi"")"),"nếu không thì")</f>
        <v>nếu không thì</v>
      </c>
      <c r="E653" s="5" t="str">
        <f ca="1">IFERROR(__xludf.DUMMYFUNCTION("GOOGLETRANSLATE(C653,""ja"",""vi"")"),"Đấu giá&gt; ô tô, xe máy&gt; ô tô cũ, ô tô mới&gt; Audi&gt; Khác")</f>
        <v>Đấu giá&gt; ô tô, xe máy&gt; ô tô cũ, ô tô mới&gt; Audi&gt; Khác</v>
      </c>
      <c r="F653" t="str">
        <f t="shared" ca="1" si="10"/>
        <v>"2084048167" : "nếu không thì",</v>
      </c>
    </row>
    <row r="654" spans="1:6" ht="15.75" customHeight="1">
      <c r="A654" s="18">
        <v>2084048185</v>
      </c>
      <c r="B654" s="18" t="s">
        <v>12268</v>
      </c>
      <c r="C654" s="18" t="s">
        <v>12270</v>
      </c>
      <c r="D654" s="5" t="str">
        <f ca="1">IFERROR(__xludf.DUMMYFUNCTION("GOOGLETRANSLATE(B654,""ja"",""vi"")"),"Astra")</f>
        <v>Astra</v>
      </c>
      <c r="E654" s="5" t="str">
        <f ca="1">IFERROR(__xludf.DUMMYFUNCTION("GOOGLETRANSLATE(C654,""ja"",""vi"")"),"Đấu giá&gt; ô tô, xe máy&gt; ô tô cũ, ô tô mới&gt; Opel&gt; Astra")</f>
        <v>Đấu giá&gt; ô tô, xe máy&gt; ô tô cũ, ô tô mới&gt; Opel&gt; Astra</v>
      </c>
      <c r="F654" t="str">
        <f t="shared" ca="1" si="10"/>
        <v>"2084048185" : "Astra",</v>
      </c>
    </row>
    <row r="655" spans="1:6" ht="15.75" customHeight="1">
      <c r="A655" s="18">
        <v>2084048186</v>
      </c>
      <c r="B655" s="18" t="s">
        <v>12274</v>
      </c>
      <c r="C655" s="18" t="s">
        <v>12276</v>
      </c>
      <c r="D655" s="5" t="str">
        <f ca="1">IFERROR(__xludf.DUMMYFUNCTION("GOOGLETRANSLATE(B655,""ja"",""vi"")"),"Omega")</f>
        <v>Omega</v>
      </c>
      <c r="E655" s="5" t="str">
        <f ca="1">IFERROR(__xludf.DUMMYFUNCTION("GOOGLETRANSLATE(C655,""ja"",""vi"")"),"Đấu giá&gt; ô tô, xe máy&gt; ô tô cũ, ô tô mới&gt; Opel&gt; Omega")</f>
        <v>Đấu giá&gt; ô tô, xe máy&gt; ô tô cũ, ô tô mới&gt; Opel&gt; Omega</v>
      </c>
      <c r="F655" t="str">
        <f t="shared" ca="1" si="10"/>
        <v>"2084048186" : "Omega",</v>
      </c>
    </row>
    <row r="656" spans="1:6" ht="15.75" customHeight="1">
      <c r="A656" s="18">
        <v>2084048986</v>
      </c>
      <c r="B656" s="18" t="s">
        <v>12280</v>
      </c>
      <c r="C656" s="18" t="s">
        <v>12281</v>
      </c>
      <c r="D656" s="5" t="str">
        <f ca="1">IFERROR(__xludf.DUMMYFUNCTION("GOOGLETRANSLATE(B656,""ja"",""vi"")"),"Karibura")</f>
        <v>Karibura</v>
      </c>
      <c r="E656" s="5" t="str">
        <f ca="1">IFERROR(__xludf.DUMMYFUNCTION("GOOGLETRANSLATE(C656,""ja"",""vi"")"),"Đấu giá&gt; ô tô, xe máy&gt; ô tô cũ, ô tô mới&gt; Opel&gt; Karibura")</f>
        <v>Đấu giá&gt; ô tô, xe máy&gt; ô tô cũ, ô tô mới&gt; Opel&gt; Karibura</v>
      </c>
      <c r="F656" t="str">
        <f t="shared" ca="1" si="10"/>
        <v>"2084048986" : "Karibura",</v>
      </c>
    </row>
    <row r="657" spans="1:6" ht="15.75" customHeight="1">
      <c r="A657" s="18">
        <v>2084056555</v>
      </c>
      <c r="B657" s="18" t="s">
        <v>12286</v>
      </c>
      <c r="C657" s="18" t="s">
        <v>12288</v>
      </c>
      <c r="D657" s="5" t="str">
        <f ca="1">IFERROR(__xludf.DUMMYFUNCTION("GOOGLETRANSLATE(B657,""ja"",""vi"")"),"Signum")</f>
        <v>Signum</v>
      </c>
      <c r="E657" s="5" t="str">
        <f ca="1">IFERROR(__xludf.DUMMYFUNCTION("GOOGLETRANSLATE(C657,""ja"",""vi"")"),"Đấu giá&gt; ô tô, xe máy&gt; ô tô cũ, ô tô mới&gt; Opel&gt; Signum")</f>
        <v>Đấu giá&gt; ô tô, xe máy&gt; ô tô cũ, ô tô mới&gt; Opel&gt; Signum</v>
      </c>
      <c r="F657" t="str">
        <f t="shared" ca="1" si="10"/>
        <v>"2084056555" : "Signum",</v>
      </c>
    </row>
    <row r="658" spans="1:6" ht="15.75" customHeight="1">
      <c r="A658" s="18">
        <v>2084048987</v>
      </c>
      <c r="B658" s="18" t="s">
        <v>12293</v>
      </c>
      <c r="C658" s="18" t="s">
        <v>12294</v>
      </c>
      <c r="D658" s="5" t="str">
        <f ca="1">IFERROR(__xludf.DUMMYFUNCTION("GOOGLETRANSLATE(B658,""ja"",""vi"")"),"Tigra")</f>
        <v>Tigra</v>
      </c>
      <c r="E658" s="5" t="str">
        <f ca="1">IFERROR(__xludf.DUMMYFUNCTION("GOOGLETRANSLATE(C658,""ja"",""vi"")"),"Đấu giá&gt; ô tô, xe máy&gt; ô tô cũ, ô tô mới&gt; Opel&gt; Tigra")</f>
        <v>Đấu giá&gt; ô tô, xe máy&gt; ô tô cũ, ô tô mới&gt; Opel&gt; Tigra</v>
      </c>
      <c r="F658" t="str">
        <f t="shared" ca="1" si="10"/>
        <v>"2084048987" : "Tigra",</v>
      </c>
    </row>
    <row r="659" spans="1:6" ht="15.75" customHeight="1">
      <c r="A659" s="18">
        <v>2084048187</v>
      </c>
      <c r="B659" s="18" t="s">
        <v>12298</v>
      </c>
      <c r="C659" s="18" t="s">
        <v>12300</v>
      </c>
      <c r="D659" s="5" t="str">
        <f ca="1">IFERROR(__xludf.DUMMYFUNCTION("GOOGLETRANSLATE(B659,""ja"",""vi"")"),"Vectra")</f>
        <v>Vectra</v>
      </c>
      <c r="E659" s="5" t="str">
        <f ca="1">IFERROR(__xludf.DUMMYFUNCTION("GOOGLETRANSLATE(C659,""ja"",""vi"")"),"Đấu giá&gt; ô tô, xe máy&gt; ô tô cũ, ô tô mới&gt; Opel&gt; Vectra")</f>
        <v>Đấu giá&gt; ô tô, xe máy&gt; ô tô cũ, ô tô mới&gt; Opel&gt; Vectra</v>
      </c>
      <c r="F659" t="str">
        <f t="shared" ca="1" si="10"/>
        <v>"2084048187" : "Vectra",</v>
      </c>
    </row>
    <row r="660" spans="1:6" ht="15.75" customHeight="1">
      <c r="A660" s="18">
        <v>2084057449</v>
      </c>
      <c r="B660" s="18" t="s">
        <v>12304</v>
      </c>
      <c r="C660" s="18" t="s">
        <v>12305</v>
      </c>
      <c r="D660" s="5" t="str">
        <f ca="1">IFERROR(__xludf.DUMMYFUNCTION("GOOGLETRANSLATE(B660,""ja"",""vi"")"),"Meriba")</f>
        <v>Meriba</v>
      </c>
      <c r="E660" s="5" t="str">
        <f ca="1">IFERROR(__xludf.DUMMYFUNCTION("GOOGLETRANSLATE(C660,""ja"",""vi"")"),"Đấu giá&gt; ô tô, xe máy&gt; ô tô cũ, ô tô mới&gt; Opel&gt; Meriba")</f>
        <v>Đấu giá&gt; ô tô, xe máy&gt; ô tô cũ, ô tô mới&gt; Opel&gt; Meriba</v>
      </c>
      <c r="F660" t="str">
        <f t="shared" ca="1" si="10"/>
        <v>"2084057449" : "Meriba",</v>
      </c>
    </row>
    <row r="661" spans="1:6" ht="15.75" customHeight="1">
      <c r="A661" s="18">
        <v>2084048188</v>
      </c>
      <c r="B661" s="18" t="s">
        <v>12307</v>
      </c>
      <c r="C661" s="18" t="s">
        <v>12308</v>
      </c>
      <c r="D661" s="5" t="str">
        <f ca="1">IFERROR(__xludf.DUMMYFUNCTION("GOOGLETRANSLATE(B661,""ja"",""vi"")"),"Vita")</f>
        <v>Vita</v>
      </c>
      <c r="E661" s="5" t="str">
        <f ca="1">IFERROR(__xludf.DUMMYFUNCTION("GOOGLETRANSLATE(C661,""ja"",""vi"")"),"Đấu giá&gt; ô tô, xe máy&gt; ô tô cũ, ô tô mới&gt; Opel&gt; Vita")</f>
        <v>Đấu giá&gt; ô tô, xe máy&gt; ô tô cũ, ô tô mới&gt; Opel&gt; Vita</v>
      </c>
      <c r="F661" t="str">
        <f t="shared" ca="1" si="10"/>
        <v>"2084048188" : "Vita",</v>
      </c>
    </row>
    <row r="662" spans="1:6" ht="15.75" customHeight="1">
      <c r="A662" s="18">
        <v>2084048184</v>
      </c>
      <c r="B662" s="18" t="s">
        <v>46</v>
      </c>
      <c r="C662" s="18" t="s">
        <v>12311</v>
      </c>
      <c r="D662" s="5" t="str">
        <f ca="1">IFERROR(__xludf.DUMMYFUNCTION("GOOGLETRANSLATE(B662,""ja"",""vi"")"),"nếu không thì")</f>
        <v>nếu không thì</v>
      </c>
      <c r="E662" s="5" t="str">
        <f ca="1">IFERROR(__xludf.DUMMYFUNCTION("GOOGLETRANSLATE(C662,""ja"",""vi"")"),"Đấu giá&gt; ô tô, xe máy&gt; ô tô cũ, ô tô mới&gt; Opel&gt; Khác")</f>
        <v>Đấu giá&gt; ô tô, xe máy&gt; ô tô cũ, ô tô mới&gt; Opel&gt; Khác</v>
      </c>
      <c r="F662" t="str">
        <f t="shared" ca="1" si="10"/>
        <v>"2084048184" : "nếu không thì",</v>
      </c>
    </row>
    <row r="663" spans="1:6" ht="15.75" customHeight="1">
      <c r="A663" s="18">
        <v>2084049036</v>
      </c>
      <c r="B663" s="18" t="s">
        <v>12314</v>
      </c>
      <c r="C663" s="18" t="s">
        <v>12315</v>
      </c>
      <c r="D663" s="5" t="str">
        <f ca="1">IFERROR(__xludf.DUMMYFUNCTION("GOOGLETRANSLATE(B663,""ja"",""vi"")"),"Smart Four-to-K, K thông minh")</f>
        <v>Smart Four-to-K, K thông minh</v>
      </c>
      <c r="E663" s="5" t="str">
        <f ca="1">IFERROR(__xludf.DUMMYFUNCTION("GOOGLETRANSLATE(C663,""ja"",""vi"")"),"Đấu giá&gt; ô tô, xe máy&gt; ô tô cũ, ô tô mới&gt; thông minh&gt; fortwo thông minh K, K thông minh")</f>
        <v>Đấu giá&gt; ô tô, xe máy&gt; ô tô cũ, ô tô mới&gt; thông minh&gt; fortwo thông minh K, K thông minh</v>
      </c>
      <c r="F663" t="str">
        <f t="shared" ca="1" si="10"/>
        <v>"2084049036" : "Smart Four-to-K, K thông minh",</v>
      </c>
    </row>
    <row r="664" spans="1:6" ht="15.75" customHeight="1">
      <c r="A664" s="18">
        <v>2084049035</v>
      </c>
      <c r="B664" s="18" t="s">
        <v>12317</v>
      </c>
      <c r="C664" s="18" t="s">
        <v>12319</v>
      </c>
      <c r="D664" s="5" t="str">
        <f ca="1">IFERROR(__xludf.DUMMYFUNCTION("GOOGLETRANSLATE(B664,""ja"",""vi"")"),"Smart fortwo, thông minh")</f>
        <v>Smart fortwo, thông minh</v>
      </c>
      <c r="E664" s="5" t="str">
        <f ca="1">IFERROR(__xludf.DUMMYFUNCTION("GOOGLETRANSLATE(C664,""ja"",""vi"")"),"Đấu giá&gt; ô tô, xe máy&gt; sử dụng ô tô, xe hơi mới&gt; thông minh&gt; fortwo thông minh, thông minh")</f>
        <v>Đấu giá&gt; ô tô, xe máy&gt; sử dụng ô tô, xe hơi mới&gt; thông minh&gt; fortwo thông minh, thông minh</v>
      </c>
      <c r="F664" t="str">
        <f t="shared" ca="1" si="10"/>
        <v>"2084049035" : "Smart fortwo, thông minh",</v>
      </c>
    </row>
    <row r="665" spans="1:6" ht="15.75" customHeight="1">
      <c r="A665" s="18">
        <v>2084058458</v>
      </c>
      <c r="B665" s="18" t="s">
        <v>12322</v>
      </c>
      <c r="C665" s="18" t="s">
        <v>12323</v>
      </c>
      <c r="D665" s="5" t="str">
        <f ca="1">IFERROR(__xludf.DUMMYFUNCTION("GOOGLETRANSLATE(B665,""ja"",""vi"")"),"Forfour thông minh")</f>
        <v>Forfour thông minh</v>
      </c>
      <c r="E665" s="5" t="str">
        <f ca="1">IFERROR(__xludf.DUMMYFUNCTION("GOOGLETRANSLATE(C665,""ja"",""vi"")"),"Đấu giá&gt; ô tô, xe máy&gt; ô tô cũ, ô tô mới&gt; Smart&gt; Forfour thông minh")</f>
        <v>Đấu giá&gt; ô tô, xe máy&gt; ô tô cũ, ô tô mới&gt; Smart&gt; Forfour thông minh</v>
      </c>
      <c r="F665" t="str">
        <f t="shared" ca="1" si="10"/>
        <v>"2084058458" : "Forfour thông minh",</v>
      </c>
    </row>
    <row r="666" spans="1:6" ht="15.75" customHeight="1">
      <c r="A666" s="18">
        <v>2084054526</v>
      </c>
      <c r="B666" s="18" t="s">
        <v>12326</v>
      </c>
      <c r="C666" s="18" t="s">
        <v>12327</v>
      </c>
      <c r="D666" s="5" t="str">
        <f ca="1">IFERROR(__xludf.DUMMYFUNCTION("GOOGLETRANSLATE(B666,""ja"",""vi"")"),"thông minh Roadster")</f>
        <v>thông minh Roadster</v>
      </c>
      <c r="E666" s="5" t="str">
        <f ca="1">IFERROR(__xludf.DUMMYFUNCTION("GOOGLETRANSLATE(C666,""ja"",""vi"")"),"Đấu giá&gt; ô tô, xe máy&gt; ô tô cũ, ô tô mới&gt; Smart&gt; Smart Roadster")</f>
        <v>Đấu giá&gt; ô tô, xe máy&gt; ô tô cũ, ô tô mới&gt; Smart&gt; Smart Roadster</v>
      </c>
      <c r="F666" t="str">
        <f t="shared" ca="1" si="10"/>
        <v>"2084054526" : "thông minh Roadster",</v>
      </c>
    </row>
    <row r="667" spans="1:6" ht="15.75" customHeight="1">
      <c r="A667" s="18">
        <v>2084243769</v>
      </c>
      <c r="B667" s="18" t="s">
        <v>12330</v>
      </c>
      <c r="C667" s="18" t="s">
        <v>12331</v>
      </c>
      <c r="D667" s="5" t="str">
        <f ca="1">IFERROR(__xludf.DUMMYFUNCTION("GOOGLETRANSLATE(B667,""ja"",""vi"")"),"ios")</f>
        <v>ios</v>
      </c>
      <c r="E667" s="5" t="str">
        <f ca="1">IFERROR(__xludf.DUMMYFUNCTION("GOOGLETRANSLATE(C667,""ja"",""vi"")"),"Đấu giá&gt; ô tô, xe máy&gt; ô tô cũ, ô tô mới&gt; Volkswagen&gt; Ios")</f>
        <v>Đấu giá&gt; ô tô, xe máy&gt; ô tô cũ, ô tô mới&gt; Volkswagen&gt; Ios</v>
      </c>
      <c r="F667" t="str">
        <f t="shared" ca="1" si="10"/>
        <v>"2084243769" : "ios",</v>
      </c>
    </row>
    <row r="668" spans="1:6" ht="15.75" customHeight="1">
      <c r="A668" s="18">
        <v>2084051738</v>
      </c>
      <c r="B668" s="18" t="s">
        <v>12334</v>
      </c>
      <c r="C668" s="18" t="s">
        <v>12335</v>
      </c>
      <c r="D668" s="5" t="str">
        <f ca="1">IFERROR(__xludf.DUMMYFUNCTION("GOOGLETRANSLATE(B668,""ja"",""vi"")"),"thiết bị Cullman")</f>
        <v>thiết bị Cullman</v>
      </c>
      <c r="E668" s="5" t="str">
        <f ca="1">IFERROR(__xludf.DUMMYFUNCTION("GOOGLETRANSLATE(C668,""ja"",""vi"")"),"Đấu giá&gt; ô tô, xe máy&gt; ô tô cũ, ô tô mới&gt; Volkswagen&gt; thiết bị Cullman")</f>
        <v>Đấu giá&gt; ô tô, xe máy&gt; ô tô cũ, ô tô mới&gt; Volkswagen&gt; thiết bị Cullman</v>
      </c>
      <c r="F668" t="str">
        <f t="shared" ca="1" si="10"/>
        <v>"2084051738" : "thiết bị Cullman",</v>
      </c>
    </row>
    <row r="669" spans="1:6" ht="15.75" customHeight="1">
      <c r="A669" s="18">
        <v>2084243772</v>
      </c>
      <c r="B669" s="18" t="s">
        <v>12338</v>
      </c>
      <c r="C669" s="18" t="s">
        <v>12340</v>
      </c>
      <c r="D669" s="5" t="str">
        <f ca="1">IFERROR(__xludf.DUMMYFUNCTION("GOOGLETRANSLATE(B669,""ja"",""vi"")"),"Golf chéo")</f>
        <v>Golf chéo</v>
      </c>
      <c r="E669" s="5" t="str">
        <f ca="1">IFERROR(__xludf.DUMMYFUNCTION("GOOGLETRANSLATE(C669,""ja"",""vi"")"),"Đấu giá&gt; ô tô, xe máy&gt; ô tô cũ, ô tô mới&gt; Volkswagen&gt; Golf chéo")</f>
        <v>Đấu giá&gt; ô tô, xe máy&gt; ô tô cũ, ô tô mới&gt; Volkswagen&gt; Golf chéo</v>
      </c>
      <c r="F669" t="str">
        <f t="shared" ca="1" si="10"/>
        <v>"2084243772" : "Golf chéo",</v>
      </c>
    </row>
    <row r="670" spans="1:6" ht="15.75" customHeight="1">
      <c r="A670" s="18">
        <v>2084049093</v>
      </c>
      <c r="B670" s="18" t="s">
        <v>12343</v>
      </c>
      <c r="C670" s="18" t="s">
        <v>12345</v>
      </c>
      <c r="D670" s="5" t="str">
        <f ca="1">IFERROR(__xludf.DUMMYFUNCTION("GOOGLETRANSLATE(B670,""ja"",""vi"")"),"collard greens")</f>
        <v>collard greens</v>
      </c>
      <c r="E670" s="5" t="str">
        <f ca="1">IFERROR(__xludf.DUMMYFUNCTION("GOOGLETRANSLATE(C670,""ja"",""vi"")"),"Đấu giá&gt; ô tô, xe máy&gt; ô tô cũ, ô tô mới&gt; Volkswagen&gt; Corrado")</f>
        <v>Đấu giá&gt; ô tô, xe máy&gt; ô tô cũ, ô tô mới&gt; Volkswagen&gt; Corrado</v>
      </c>
      <c r="F670" t="str">
        <f t="shared" ca="1" si="10"/>
        <v>"2084049093" : "collard greens",</v>
      </c>
    </row>
    <row r="671" spans="1:6" ht="15.75" customHeight="1">
      <c r="A671" s="18">
        <v>2084315395</v>
      </c>
      <c r="B671" s="18" t="s">
        <v>12348</v>
      </c>
      <c r="C671" s="18" t="s">
        <v>12350</v>
      </c>
      <c r="D671" s="5" t="str">
        <f ca="1">IFERROR(__xludf.DUMMYFUNCTION("GOOGLETRANSLATE(B671,""ja"",""vi"")"),"Golf (hatchback)")</f>
        <v>Golf (hatchback)</v>
      </c>
      <c r="E671" s="5" t="str">
        <f ca="1">IFERROR(__xludf.DUMMYFUNCTION("GOOGLETRANSLATE(C671,""ja"",""vi"")"),"Đấu giá&gt; ô tô, xe máy&gt; ô tô cũ, ô tô mới&gt; Volkswagen&gt; Golf (hatchback)")</f>
        <v>Đấu giá&gt; ô tô, xe máy&gt; ô tô cũ, ô tô mới&gt; Volkswagen&gt; Golf (hatchback)</v>
      </c>
      <c r="F671" t="str">
        <f t="shared" ca="1" si="10"/>
        <v>"2084315395" : "Golf (hatchback)",</v>
      </c>
    </row>
    <row r="672" spans="1:6" ht="15.75" customHeight="1">
      <c r="A672" s="18">
        <v>2084315396</v>
      </c>
      <c r="B672" s="18" t="s">
        <v>12353</v>
      </c>
      <c r="C672" s="18" t="s">
        <v>12355</v>
      </c>
      <c r="D672" s="5" t="str">
        <f ca="1">IFERROR(__xludf.DUMMYFUNCTION("GOOGLETRANSLATE(B672,""ja"",""vi"")"),"Golf Cabrio")</f>
        <v>Golf Cabrio</v>
      </c>
      <c r="E672" s="5" t="str">
        <f ca="1">IFERROR(__xludf.DUMMYFUNCTION("GOOGLETRANSLATE(C672,""ja"",""vi"")"),"Đấu giá&gt; ô tô, xe máy&gt; ô tô cũ, ô tô mới&gt; Volkswagen&gt; Golf Cabrio")</f>
        <v>Đấu giá&gt; ô tô, xe máy&gt; ô tô cũ, ô tô mới&gt; Volkswagen&gt; Golf Cabrio</v>
      </c>
      <c r="F672" t="str">
        <f t="shared" ca="1" si="10"/>
        <v>"2084315396" : "Golf Cabrio",</v>
      </c>
    </row>
    <row r="673" spans="1:6" ht="15.75" customHeight="1">
      <c r="A673" s="18">
        <v>2084048178</v>
      </c>
      <c r="B673" s="18" t="s">
        <v>12358</v>
      </c>
      <c r="C673" s="18" t="s">
        <v>12359</v>
      </c>
      <c r="D673" s="5" t="str">
        <f ca="1">IFERROR(__xludf.DUMMYFUNCTION("GOOGLETRANSLATE(B673,""ja"",""vi"")"),"Golf Cabriolet")</f>
        <v>Golf Cabriolet</v>
      </c>
      <c r="E673" s="5" t="str">
        <f ca="1">IFERROR(__xludf.DUMMYFUNCTION("GOOGLETRANSLATE(C673,""ja"",""vi"")"),"Đấu giá&gt; ô tô, xe máy&gt; ô tô cũ, ô tô mới&gt; Volkswagen&gt; Golf Cabriolet")</f>
        <v>Đấu giá&gt; ô tô, xe máy&gt; ô tô cũ, ô tô mới&gt; Volkswagen&gt; Golf Cabriolet</v>
      </c>
      <c r="F673" t="str">
        <f t="shared" ca="1" si="10"/>
        <v>"2084048178" : "Golf Cabriolet",</v>
      </c>
    </row>
    <row r="674" spans="1:6" ht="15.75" customHeight="1">
      <c r="A674" s="18">
        <v>2084057663</v>
      </c>
      <c r="B674" s="18" t="s">
        <v>12363</v>
      </c>
      <c r="C674" s="18" t="s">
        <v>12364</v>
      </c>
      <c r="D674" s="5" t="str">
        <f ca="1">IFERROR(__xludf.DUMMYFUNCTION("GOOGLETRANSLATE(B674,""ja"",""vi"")"),"Golf Touran")</f>
        <v>Golf Touran</v>
      </c>
      <c r="E674" s="5" t="str">
        <f ca="1">IFERROR(__xludf.DUMMYFUNCTION("GOOGLETRANSLATE(C674,""ja"",""vi"")"),"Đấu giá&gt; ô tô, xe máy&gt; ô tô cũ, ô tô mới&gt; Volkswagen&gt; Golf Touran")</f>
        <v>Đấu giá&gt; ô tô, xe máy&gt; ô tô cũ, ô tô mới&gt; Volkswagen&gt; Golf Touran</v>
      </c>
      <c r="F674" t="str">
        <f t="shared" ca="1" si="10"/>
        <v>"2084057663" : "Golf Touran",</v>
      </c>
    </row>
    <row r="675" spans="1:6" ht="15.75" customHeight="1">
      <c r="A675" s="18">
        <v>2084315397</v>
      </c>
      <c r="B675" s="18" t="s">
        <v>12367</v>
      </c>
      <c r="C675" s="18" t="s">
        <v>12370</v>
      </c>
      <c r="D675" s="5" t="str">
        <f ca="1">IFERROR(__xludf.DUMMYFUNCTION("GOOGLETRANSLATE(B675,""ja"",""vi"")"),"Golf cộng")</f>
        <v>Golf cộng</v>
      </c>
      <c r="E675" s="5" t="str">
        <f ca="1">IFERROR(__xludf.DUMMYFUNCTION("GOOGLETRANSLATE(C675,""ja"",""vi"")"),"Đấu giá&gt; ô tô, xe máy&gt; ô tô cũ, ô tô mới&gt; Volkswagen&gt; Golf Cộng")</f>
        <v>Đấu giá&gt; ô tô, xe máy&gt; ô tô cũ, ô tô mới&gt; Volkswagen&gt; Golf Cộng</v>
      </c>
      <c r="F675" t="str">
        <f t="shared" ca="1" si="10"/>
        <v>"2084315397" : "Golf cộng",</v>
      </c>
    </row>
    <row r="676" spans="1:6" ht="15.75" customHeight="1">
      <c r="A676" s="18">
        <v>2084048179</v>
      </c>
      <c r="B676" s="18" t="s">
        <v>12374</v>
      </c>
      <c r="C676" s="18" t="s">
        <v>12377</v>
      </c>
      <c r="D676" s="5" t="str">
        <f ca="1">IFERROR(__xludf.DUMMYFUNCTION("GOOGLETRANSLATE(B676,""ja"",""vi"")"),"Golf Wagon")</f>
        <v>Golf Wagon</v>
      </c>
      <c r="E676" s="5" t="str">
        <f ca="1">IFERROR(__xludf.DUMMYFUNCTION("GOOGLETRANSLATE(C676,""ja"",""vi"")"),"Đấu giá&gt; ô tô, xe máy&gt; ô tô cũ, ô tô mới&gt; Volkswagen&gt; Golf Wagon")</f>
        <v>Đấu giá&gt; ô tô, xe máy&gt; ô tô cũ, ô tô mới&gt; Volkswagen&gt; Golf Wagon</v>
      </c>
      <c r="F676" t="str">
        <f t="shared" ca="1" si="10"/>
        <v>"2084048179" : "Golf Wagon",</v>
      </c>
    </row>
    <row r="677" spans="1:6" ht="15.75" customHeight="1">
      <c r="A677" s="18">
        <v>2084299572</v>
      </c>
      <c r="B677" s="18" t="s">
        <v>12379</v>
      </c>
      <c r="C677" s="18" t="s">
        <v>12381</v>
      </c>
      <c r="D677" s="5" t="str">
        <f ca="1">IFERROR(__xludf.DUMMYFUNCTION("GOOGLETRANSLATE(B677,""ja"",""vi"")"),"Golf Valiant")</f>
        <v>Golf Valiant</v>
      </c>
      <c r="E677" s="5" t="str">
        <f ca="1">IFERROR(__xludf.DUMMYFUNCTION("GOOGLETRANSLATE(C677,""ja"",""vi"")"),"Đấu giá&gt; ô tô, xe máy&gt; ô tô cũ, ô tô mới&gt; Volkswagen&gt; Golf Valiant")</f>
        <v>Đấu giá&gt; ô tô, xe máy&gt; ô tô cũ, ô tô mới&gt; Volkswagen&gt; Golf Valiant</v>
      </c>
      <c r="F677" t="str">
        <f t="shared" ca="1" si="10"/>
        <v>"2084299572" : "Golf Valiant",</v>
      </c>
    </row>
    <row r="678" spans="1:6" ht="15.75" customHeight="1">
      <c r="A678" s="18">
        <v>2084299575</v>
      </c>
      <c r="B678" s="18" t="s">
        <v>12384</v>
      </c>
      <c r="C678" s="18" t="s">
        <v>12385</v>
      </c>
      <c r="D678" s="5" t="str">
        <f ca="1">IFERROR(__xludf.DUMMYFUNCTION("GOOGLETRANSLATE(B678,""ja"",""vi"")"),"Sharan")</f>
        <v>Sharan</v>
      </c>
      <c r="E678" s="5" t="str">
        <f ca="1">IFERROR(__xludf.DUMMYFUNCTION("GOOGLETRANSLATE(C678,""ja"",""vi"")"),"Đấu giá&gt; ô tô, xe máy&gt; ô tô cũ, ô tô mới&gt; Volkswagen&gt; Sharan")</f>
        <v>Đấu giá&gt; ô tô, xe máy&gt; ô tô cũ, ô tô mới&gt; Volkswagen&gt; Sharan</v>
      </c>
      <c r="F678" t="str">
        <f t="shared" ca="1" si="10"/>
        <v>"2084299575" : "Sharan",</v>
      </c>
    </row>
    <row r="679" spans="1:6" ht="15.75" customHeight="1">
      <c r="A679" s="18">
        <v>2084243770</v>
      </c>
      <c r="B679" s="18" t="s">
        <v>12389</v>
      </c>
      <c r="C679" s="18" t="s">
        <v>12390</v>
      </c>
      <c r="D679" s="5" t="str">
        <f ca="1">IFERROR(__xludf.DUMMYFUNCTION("GOOGLETRANSLATE(B679,""ja"",""vi"")"),"gió đông nam ở địa trung hải")</f>
        <v>gió đông nam ở địa trung hải</v>
      </c>
      <c r="E679" s="5" t="str">
        <f ca="1">IFERROR(__xludf.DUMMYFUNCTION("GOOGLETRANSLATE(C679,""ja"",""vi"")"),"Đấu giá&gt; ô tô, xe máy&gt; ô tô cũ, ô tô mới&gt; Volkswagen&gt; sirocco")</f>
        <v>Đấu giá&gt; ô tô, xe máy&gt; ô tô cũ, ô tô mới&gt; Volkswagen&gt; sirocco</v>
      </c>
      <c r="F679" t="str">
        <f t="shared" ca="1" si="10"/>
        <v>"2084243770" : "gió đông nam ở địa trung hải",</v>
      </c>
    </row>
    <row r="680" spans="1:6" ht="15.75" customHeight="1">
      <c r="A680" s="18">
        <v>2084049094</v>
      </c>
      <c r="B680" s="18" t="s">
        <v>12396</v>
      </c>
      <c r="C680" s="18" t="s">
        <v>12398</v>
      </c>
      <c r="D680" s="5" t="str">
        <f ca="1">IFERROR(__xludf.DUMMYFUNCTION("GOOGLETRANSLATE(B680,""ja"",""vi"")"),"Jetta")</f>
        <v>Jetta</v>
      </c>
      <c r="E680" s="5" t="str">
        <f ca="1">IFERROR(__xludf.DUMMYFUNCTION("GOOGLETRANSLATE(C680,""ja"",""vi"")"),"Đấu giá&gt; ô tô, xe máy&gt; ô tô cũ, ô tô mới&gt; Volkswagen&gt; Jetta")</f>
        <v>Đấu giá&gt; ô tô, xe máy&gt; ô tô cũ, ô tô mới&gt; Volkswagen&gt; Jetta</v>
      </c>
      <c r="F680" t="str">
        <f t="shared" ca="1" si="10"/>
        <v>"2084049094" : "Jetta",</v>
      </c>
    </row>
    <row r="681" spans="1:6" ht="15.75" customHeight="1">
      <c r="A681" s="18">
        <v>2084049540</v>
      </c>
      <c r="B681" s="18" t="s">
        <v>12402</v>
      </c>
      <c r="C681" s="18" t="s">
        <v>12405</v>
      </c>
      <c r="D681" s="5" t="str">
        <f ca="1">IFERROR(__xludf.DUMMYFUNCTION("GOOGLETRANSLATE(B681,""ja"",""vi"")"),"Type II")</f>
        <v>Type II</v>
      </c>
      <c r="E681" s="5" t="str">
        <f ca="1">IFERROR(__xludf.DUMMYFUNCTION("GOOGLETRANSLATE(C681,""ja"",""vi"")"),"Đấu giá&gt; ô tô, xe máy&gt; ô tô cũ, ô tô mới&gt; Volkswagen&gt; Type II")</f>
        <v>Đấu giá&gt; ô tô, xe máy&gt; ô tô cũ, ô tô mới&gt; Volkswagen&gt; Type II</v>
      </c>
      <c r="F681" t="str">
        <f t="shared" ca="1" si="10"/>
        <v>"2084049540" : "Type II",</v>
      </c>
    </row>
    <row r="682" spans="1:6" ht="15.75" customHeight="1">
      <c r="A682" s="18">
        <v>2084053058</v>
      </c>
      <c r="B682" s="18" t="s">
        <v>12408</v>
      </c>
      <c r="C682" s="18" t="s">
        <v>12410</v>
      </c>
      <c r="D682" s="5" t="str">
        <f ca="1">IFERROR(__xludf.DUMMYFUNCTION("GOOGLETRANSLATE(B682,""ja"",""vi"")"),"loại III")</f>
        <v>loại III</v>
      </c>
      <c r="E682" s="5" t="str">
        <f ca="1">IFERROR(__xludf.DUMMYFUNCTION("GOOGLETRANSLATE(C682,""ja"",""vi"")"),"Đấu giá&gt; ô tô, xe máy&gt; ô tô cũ, ô tô mới&gt; Volkswagen&gt; Loại III")</f>
        <v>Đấu giá&gt; ô tô, xe máy&gt; ô tô cũ, ô tô mới&gt; Volkswagen&gt; Loại III</v>
      </c>
      <c r="F682" t="str">
        <f t="shared" ca="1" si="10"/>
        <v>"2084053058" : "loại III",</v>
      </c>
    </row>
    <row r="683" spans="1:6" ht="15.75" customHeight="1">
      <c r="A683" s="18">
        <v>2084243771</v>
      </c>
      <c r="B683" s="18" t="s">
        <v>12412</v>
      </c>
      <c r="C683" s="18" t="s">
        <v>12415</v>
      </c>
      <c r="D683" s="5" t="str">
        <f ca="1">IFERROR(__xludf.DUMMYFUNCTION("GOOGLETRANSLATE(B683,""ja"",""vi"")"),"Tiguan")</f>
        <v>Tiguan</v>
      </c>
      <c r="E683" s="5" t="str">
        <f ca="1">IFERROR(__xludf.DUMMYFUNCTION("GOOGLETRANSLATE(C683,""ja"",""vi"")"),"Đấu giá&gt; ô tô, xe máy&gt; ô tô cũ, ô tô mới&gt; Volkswagen&gt; Tiguan")</f>
        <v>Đấu giá&gt; ô tô, xe máy&gt; ô tô cũ, ô tô mới&gt; Volkswagen&gt; Tiguan</v>
      </c>
      <c r="F683" t="str">
        <f t="shared" ca="1" si="10"/>
        <v>"2084243771" : "Tiguan",</v>
      </c>
    </row>
    <row r="684" spans="1:6" ht="15.75" customHeight="1">
      <c r="A684" s="18">
        <v>2084057662</v>
      </c>
      <c r="B684" s="18" t="s">
        <v>12418</v>
      </c>
      <c r="C684" s="18" t="s">
        <v>12419</v>
      </c>
      <c r="D684" s="5" t="str">
        <f ca="1">IFERROR(__xludf.DUMMYFUNCTION("GOOGLETRANSLATE(B684,""ja"",""vi"")"),"Touareg")</f>
        <v>Touareg</v>
      </c>
      <c r="E684" s="5" t="str">
        <f ca="1">IFERROR(__xludf.DUMMYFUNCTION("GOOGLETRANSLATE(C684,""ja"",""vi"")"),"Đấu giá&gt; ô tô, xe máy&gt; ô tô cũ, ô tô mới&gt; Volkswagen&gt; Touareg")</f>
        <v>Đấu giá&gt; ô tô, xe máy&gt; ô tô cũ, ô tô mới&gt; Volkswagen&gt; Touareg</v>
      </c>
      <c r="F684" t="str">
        <f t="shared" ca="1" si="10"/>
        <v>"2084057662" : "Touareg",</v>
      </c>
    </row>
    <row r="685" spans="1:6" ht="15.75" customHeight="1">
      <c r="A685" s="18">
        <v>2084315394</v>
      </c>
      <c r="B685" s="18" t="s">
        <v>12423</v>
      </c>
      <c r="C685" s="18" t="s">
        <v>12424</v>
      </c>
      <c r="D685" s="5" t="str">
        <f ca="1">IFERROR(__xludf.DUMMYFUNCTION("GOOGLETRANSLATE(B685,""ja"",""vi"")"),"New Beetle Cabriolet")</f>
        <v>New Beetle Cabriolet</v>
      </c>
      <c r="E685" s="5" t="str">
        <f ca="1">IFERROR(__xludf.DUMMYFUNCTION("GOOGLETRANSLATE(C685,""ja"",""vi"")"),"Đấu giá&gt; ô tô, xe máy&gt; ô tô cũ, ô tô mới&gt; Volkswagen&gt; New Beetle Cabriolet")</f>
        <v>Đấu giá&gt; ô tô, xe máy&gt; ô tô cũ, ô tô mới&gt; Volkswagen&gt; New Beetle Cabriolet</v>
      </c>
      <c r="F685" t="str">
        <f t="shared" ca="1" si="10"/>
        <v>"2084315394" : "New Beetle Cabriolet",</v>
      </c>
    </row>
    <row r="686" spans="1:6" ht="15.75" customHeight="1">
      <c r="A686" s="18">
        <v>2084315393</v>
      </c>
      <c r="B686" s="18" t="s">
        <v>12430</v>
      </c>
      <c r="C686" s="18" t="s">
        <v>12432</v>
      </c>
      <c r="D686" s="5" t="str">
        <f ca="1">IFERROR(__xludf.DUMMYFUNCTION("GOOGLETRANSLATE(B686,""ja"",""vi"")"),"New Beetle (hatchback)")</f>
        <v>New Beetle (hatchback)</v>
      </c>
      <c r="E686" s="5" t="str">
        <f ca="1">IFERROR(__xludf.DUMMYFUNCTION("GOOGLETRANSLATE(C686,""ja"",""vi"")"),"Đấu giá&gt; ô tô, xe máy&gt; ô tô cũ, ô tô mới&gt; Volkswagen&gt; New Beetle (hatchback)")</f>
        <v>Đấu giá&gt; ô tô, xe máy&gt; ô tô cũ, ô tô mới&gt; Volkswagen&gt; New Beetle (hatchback)</v>
      </c>
      <c r="F686" t="str">
        <f t="shared" ca="1" si="10"/>
        <v>"2084315393" : "New Beetle (hatchback)",</v>
      </c>
    </row>
    <row r="687" spans="1:6" ht="15.75" customHeight="1">
      <c r="A687" s="18">
        <v>2084049095</v>
      </c>
      <c r="B687" s="18" t="s">
        <v>12437</v>
      </c>
      <c r="C687" s="18" t="s">
        <v>12439</v>
      </c>
      <c r="D687" s="5" t="str">
        <f ca="1">IFERROR(__xludf.DUMMYFUNCTION("GOOGLETRANSLATE(B687,""ja"",""vi"")"),"Passat")</f>
        <v>Passat</v>
      </c>
      <c r="E687" s="5" t="str">
        <f ca="1">IFERROR(__xludf.DUMMYFUNCTION("GOOGLETRANSLATE(C687,""ja"",""vi"")"),"Đấu giá&gt; ô tô, xe máy&gt; ô tô cũ, ô tô mới&gt; Volkswagen&gt; Passat")</f>
        <v>Đấu giá&gt; ô tô, xe máy&gt; ô tô cũ, ô tô mới&gt; Volkswagen&gt; Passat</v>
      </c>
      <c r="F687" t="str">
        <f t="shared" ca="1" si="10"/>
        <v>"2084049095" : "Passat",</v>
      </c>
    </row>
    <row r="688" spans="1:6" ht="15.75" customHeight="1">
      <c r="A688" s="18">
        <v>2084299574</v>
      </c>
      <c r="B688" s="18" t="s">
        <v>12444</v>
      </c>
      <c r="C688" s="18" t="s">
        <v>12445</v>
      </c>
      <c r="D688" s="5" t="str">
        <f ca="1">IFERROR(__xludf.DUMMYFUNCTION("GOOGLETRANSLATE(B688,""ja"",""vi"")"),"CC Passat")</f>
        <v>CC Passat</v>
      </c>
      <c r="E688" s="5" t="str">
        <f ca="1">IFERROR(__xludf.DUMMYFUNCTION("GOOGLETRANSLATE(C688,""ja"",""vi"")"),"Đấu giá&gt; ô tô, xe máy&gt; ô tô cũ, ô tô mới&gt; Volkswagen&gt; CC Passat")</f>
        <v>Đấu giá&gt; ô tô, xe máy&gt; ô tô cũ, ô tô mới&gt; Volkswagen&gt; CC Passat</v>
      </c>
      <c r="F688" t="str">
        <f t="shared" ca="1" si="10"/>
        <v>"2084299574" : "CC Passat",</v>
      </c>
    </row>
    <row r="689" spans="1:6" ht="15.75" customHeight="1">
      <c r="A689" s="18">
        <v>2084299573</v>
      </c>
      <c r="B689" s="18" t="s">
        <v>12450</v>
      </c>
      <c r="C689" s="18" t="s">
        <v>12451</v>
      </c>
      <c r="D689" s="5" t="str">
        <f ca="1">IFERROR(__xludf.DUMMYFUNCTION("GOOGLETRANSLATE(B689,""ja"",""vi"")"),"Passat Variant")</f>
        <v>Passat Variant</v>
      </c>
      <c r="E689" s="5" t="str">
        <f ca="1">IFERROR(__xludf.DUMMYFUNCTION("GOOGLETRANSLATE(C689,""ja"",""vi"")"),"Đấu giá&gt; ô tô, xe máy&gt; ô tô cũ, ô tô mới&gt; Volkswagen&gt; Passat Variant")</f>
        <v>Đấu giá&gt; ô tô, xe máy&gt; ô tô cũ, ô tô mới&gt; Volkswagen&gt; Passat Variant</v>
      </c>
      <c r="F689" t="str">
        <f t="shared" ca="1" si="10"/>
        <v>"2084299573" : "Passat Variant",</v>
      </c>
    </row>
    <row r="690" spans="1:6" ht="15.75" customHeight="1">
      <c r="A690" s="18">
        <v>2084048181</v>
      </c>
      <c r="B690" s="18" t="s">
        <v>12455</v>
      </c>
      <c r="C690" s="18" t="s">
        <v>12457</v>
      </c>
      <c r="D690" s="5" t="str">
        <f ca="1">IFERROR(__xludf.DUMMYFUNCTION("GOOGLETRANSLATE(B690,""ja"",""vi"")"),"Beetle")</f>
        <v>Beetle</v>
      </c>
      <c r="E690" s="5" t="str">
        <f ca="1">IFERROR(__xludf.DUMMYFUNCTION("GOOGLETRANSLATE(C690,""ja"",""vi"")"),"Đấu giá&gt; ô tô, xe máy&gt; ô tô cũ, ô tô mới&gt; Volkswagen&gt; Beetle")</f>
        <v>Đấu giá&gt; ô tô, xe máy&gt; ô tô cũ, ô tô mới&gt; Volkswagen&gt; Beetle</v>
      </c>
      <c r="F690" t="str">
        <f t="shared" ca="1" si="10"/>
        <v>"2084048181" : "Beetle",</v>
      </c>
    </row>
    <row r="691" spans="1:6" ht="15.75" customHeight="1">
      <c r="A691" s="18">
        <v>2084049096</v>
      </c>
      <c r="B691" s="18" t="s">
        <v>12459</v>
      </c>
      <c r="C691" s="18" t="s">
        <v>12462</v>
      </c>
      <c r="D691" s="5" t="str">
        <f ca="1">IFERROR(__xludf.DUMMYFUNCTION("GOOGLETRANSLATE(B691,""ja"",""vi"")"),"Bhola")</f>
        <v>Bhola</v>
      </c>
      <c r="E691" s="5" t="str">
        <f ca="1">IFERROR(__xludf.DUMMYFUNCTION("GOOGLETRANSLATE(C691,""ja"",""vi"")"),"Đấu giá&gt; ô tô, xe máy&gt; ô tô cũ, ô tô mới&gt; Volkswagen&gt; Bora")</f>
        <v>Đấu giá&gt; ô tô, xe máy&gt; ô tô cũ, ô tô mới&gt; Volkswagen&gt; Bora</v>
      </c>
      <c r="F691" t="str">
        <f t="shared" ca="1" si="10"/>
        <v>"2084049096" : "Bhola",</v>
      </c>
    </row>
    <row r="692" spans="1:6" ht="15.75" customHeight="1">
      <c r="A692" s="18">
        <v>2084048182</v>
      </c>
      <c r="B692" s="18" t="s">
        <v>12466</v>
      </c>
      <c r="C692" s="18" t="s">
        <v>12468</v>
      </c>
      <c r="D692" s="5" t="str">
        <f ca="1">IFERROR(__xludf.DUMMYFUNCTION("GOOGLETRANSLATE(B692,""ja"",""vi"")"),"Polo")</f>
        <v>Polo</v>
      </c>
      <c r="E692" s="5" t="str">
        <f ca="1">IFERROR(__xludf.DUMMYFUNCTION("GOOGLETRANSLATE(C692,""ja"",""vi"")"),"Đấu giá&gt; ô tô, xe máy&gt; ô tô cũ, ô tô mới&gt; Volkswagen&gt; Polo")</f>
        <v>Đấu giá&gt; ô tô, xe máy&gt; ô tô cũ, ô tô mới&gt; Volkswagen&gt; Polo</v>
      </c>
      <c r="F692" t="str">
        <f t="shared" ca="1" si="10"/>
        <v>"2084048182" : "Polo",</v>
      </c>
    </row>
    <row r="693" spans="1:6" ht="15.75" customHeight="1">
      <c r="A693" s="18">
        <v>2084204544</v>
      </c>
      <c r="B693" s="18" t="s">
        <v>12473</v>
      </c>
      <c r="C693" s="18" t="s">
        <v>12474</v>
      </c>
      <c r="D693" s="5" t="str">
        <f ca="1">IFERROR(__xludf.DUMMYFUNCTION("GOOGLETRANSLATE(B693,""ja"",""vi"")"),"Lupo")</f>
        <v>Lupo</v>
      </c>
      <c r="E693" s="5" t="str">
        <f ca="1">IFERROR(__xludf.DUMMYFUNCTION("GOOGLETRANSLATE(C693,""ja"",""vi"")"),"Đấu giá&gt; ô tô, xe máy&gt; ô tô cũ, ô tô mới&gt; Volkswagen&gt; Lupo")</f>
        <v>Đấu giá&gt; ô tô, xe máy&gt; ô tô cũ, ô tô mới&gt; Volkswagen&gt; Lupo</v>
      </c>
      <c r="F693" t="str">
        <f t="shared" ca="1" si="10"/>
        <v>"2084204544" : "Lupo",</v>
      </c>
    </row>
    <row r="694" spans="1:6" ht="15.75" customHeight="1">
      <c r="A694" s="18">
        <v>2084049092</v>
      </c>
      <c r="B694" s="18" t="s">
        <v>12478</v>
      </c>
      <c r="C694" s="18" t="s">
        <v>12479</v>
      </c>
      <c r="D694" s="5" t="str">
        <f ca="1">IFERROR(__xludf.DUMMYFUNCTION("GOOGLETRANSLATE(B694,""ja"",""vi"")"),"Vanagon")</f>
        <v>Vanagon</v>
      </c>
      <c r="E694" s="5" t="str">
        <f ca="1">IFERROR(__xludf.DUMMYFUNCTION("GOOGLETRANSLATE(C694,""ja"",""vi"")"),"Đấu giá&gt; ô tô, xe máy&gt; ô tô cũ, ô tô mới&gt; Volkswagen&gt; Vanagon")</f>
        <v>Đấu giá&gt; ô tô, xe máy&gt; ô tô cũ, ô tô mới&gt; Volkswagen&gt; Vanagon</v>
      </c>
      <c r="F694" t="str">
        <f t="shared" ca="1" si="10"/>
        <v>"2084049092" : "Vanagon",</v>
      </c>
    </row>
    <row r="695" spans="1:6" ht="15.75" customHeight="1">
      <c r="A695" s="18">
        <v>2084048183</v>
      </c>
      <c r="B695" s="18" t="s">
        <v>12484</v>
      </c>
      <c r="C695" s="18" t="s">
        <v>12485</v>
      </c>
      <c r="D695" s="5" t="str">
        <f ca="1">IFERROR(__xludf.DUMMYFUNCTION("GOOGLETRANSLATE(B695,""ja"",""vi"")"),"Vento")</f>
        <v>Vento</v>
      </c>
      <c r="E695" s="5" t="str">
        <f ca="1">IFERROR(__xludf.DUMMYFUNCTION("GOOGLETRANSLATE(C695,""ja"",""vi"")"),"Đấu giá&gt; ô tô, xe máy&gt; ô tô cũ, ô tô mới&gt; Volkswagen&gt; Vento")</f>
        <v>Đấu giá&gt; ô tô, xe máy&gt; ô tô cũ, ô tô mới&gt; Volkswagen&gt; Vento</v>
      </c>
      <c r="F695" t="str">
        <f t="shared" ca="1" si="10"/>
        <v>"2084048183" : "Vento",</v>
      </c>
    </row>
    <row r="696" spans="1:6" ht="15.75" customHeight="1">
      <c r="A696" s="18">
        <v>2084048176</v>
      </c>
      <c r="B696" s="18" t="s">
        <v>46</v>
      </c>
      <c r="C696" s="18" t="s">
        <v>12488</v>
      </c>
      <c r="D696" s="5" t="str">
        <f ca="1">IFERROR(__xludf.DUMMYFUNCTION("GOOGLETRANSLATE(B696,""ja"",""vi"")"),"nếu không thì")</f>
        <v>nếu không thì</v>
      </c>
      <c r="E696" s="5" t="str">
        <f ca="1">IFERROR(__xludf.DUMMYFUNCTION("GOOGLETRANSLATE(C696,""ja"",""vi"")"),"Đấu giá&gt; ô tô, xe máy&gt; ô tô cũ, ô tô mới&gt; Volkswagen&gt; Khác")</f>
        <v>Đấu giá&gt; ô tô, xe máy&gt; ô tô cũ, ô tô mới&gt; Volkswagen&gt; Khác</v>
      </c>
      <c r="F696" t="str">
        <f t="shared" ca="1" si="10"/>
        <v>"2084048176" : "nếu không thì",</v>
      </c>
    </row>
    <row r="697" spans="1:6" ht="15.75" customHeight="1">
      <c r="A697" s="18">
        <v>2084315399</v>
      </c>
      <c r="B697" s="18" t="s">
        <v>12492</v>
      </c>
      <c r="C697" s="18" t="s">
        <v>12493</v>
      </c>
      <c r="D697" s="5" t="str">
        <f ca="1">IFERROR(__xludf.DUMMYFUNCTION("GOOGLETRANSLATE(B697,""ja"",""vi"")"),"911 Cabriolet")</f>
        <v>911 Cabriolet</v>
      </c>
      <c r="E697" s="5" t="str">
        <f ca="1">IFERROR(__xludf.DUMMYFUNCTION("GOOGLETRANSLATE(C697,""ja"",""vi"")"),"Đấu giá&gt; ô tô, xe máy&gt; ô tô cũ, ô tô mới&gt; Porsche&gt; 911 Cabriolet")</f>
        <v>Đấu giá&gt; ô tô, xe máy&gt; ô tô cũ, ô tô mới&gt; Porsche&gt; 911 Cabriolet</v>
      </c>
      <c r="F697" t="str">
        <f t="shared" ca="1" si="10"/>
        <v>"2084315399" : "911 Cabriolet",</v>
      </c>
    </row>
    <row r="698" spans="1:6" ht="15.75" customHeight="1">
      <c r="A698" s="18">
        <v>2084315398</v>
      </c>
      <c r="B698" s="18" t="s">
        <v>12498</v>
      </c>
      <c r="C698" s="18" t="s">
        <v>12500</v>
      </c>
      <c r="D698" s="5" t="str">
        <f ca="1">IFERROR(__xludf.DUMMYFUNCTION("GOOGLETRANSLATE(B698,""ja"",""vi"")"),"911 (coupe)")</f>
        <v>911 (coupe)</v>
      </c>
      <c r="E698" s="5" t="str">
        <f ca="1">IFERROR(__xludf.DUMMYFUNCTION("GOOGLETRANSLATE(C698,""ja"",""vi"")"),"Đấu giá&gt; ô tô, xe máy&gt; ô tô cũ, ô tô mới&gt; Porsche&gt; 911 (coupe)")</f>
        <v>Đấu giá&gt; ô tô, xe máy&gt; ô tô cũ, ô tô mới&gt; Porsche&gt; 911 (coupe)</v>
      </c>
      <c r="F698" t="str">
        <f t="shared" ca="1" si="10"/>
        <v>"2084315398" : "911 (coupe)",</v>
      </c>
    </row>
    <row r="699" spans="1:6" ht="15.75" customHeight="1">
      <c r="A699" s="18">
        <v>2084049105</v>
      </c>
      <c r="B699" s="18">
        <v>928</v>
      </c>
      <c r="C699" s="18" t="s">
        <v>12504</v>
      </c>
      <c r="D699" s="5" t="str">
        <f ca="1">IFERROR(__xludf.DUMMYFUNCTION("GOOGLETRANSLATE(B699,""ja"",""vi"")"),"928")</f>
        <v>928</v>
      </c>
      <c r="E699" s="5" t="str">
        <f ca="1">IFERROR(__xludf.DUMMYFUNCTION("GOOGLETRANSLATE(C699,""ja"",""vi"")"),"Đấu giá&gt; ô tô, xe máy&gt; ô tô cũ, ô tô mới&gt; Porsche&gt; 928")</f>
        <v>Đấu giá&gt; ô tô, xe máy&gt; ô tô cũ, ô tô mới&gt; Porsche&gt; 928</v>
      </c>
      <c r="F699" t="str">
        <f t="shared" ca="1" si="10"/>
        <v>"2084049105" : "928",</v>
      </c>
    </row>
    <row r="700" spans="1:6" ht="15.75" customHeight="1">
      <c r="A700" s="18">
        <v>2084049106</v>
      </c>
      <c r="B700" s="18">
        <v>944</v>
      </c>
      <c r="C700" s="18" t="s">
        <v>12509</v>
      </c>
      <c r="D700" s="5" t="str">
        <f ca="1">IFERROR(__xludf.DUMMYFUNCTION("GOOGLETRANSLATE(B700,""ja"",""vi"")"),"944")</f>
        <v>944</v>
      </c>
      <c r="E700" s="5" t="str">
        <f ca="1">IFERROR(__xludf.DUMMYFUNCTION("GOOGLETRANSLATE(C700,""ja"",""vi"")"),"Đấu giá&gt; ô tô, xe máy&gt; ô tô cũ, ô tô mới&gt; Porsche&gt; 944")</f>
        <v>Đấu giá&gt; ô tô, xe máy&gt; ô tô cũ, ô tô mới&gt; Porsche&gt; 944</v>
      </c>
      <c r="F700" t="str">
        <f t="shared" ca="1" si="10"/>
        <v>"2084049106" : "944",</v>
      </c>
    </row>
    <row r="701" spans="1:6" ht="15.75" customHeight="1">
      <c r="A701" s="18">
        <v>2084049107</v>
      </c>
      <c r="B701" s="18">
        <v>968</v>
      </c>
      <c r="C701" s="18" t="s">
        <v>12514</v>
      </c>
      <c r="D701" s="5" t="str">
        <f ca="1">IFERROR(__xludf.DUMMYFUNCTION("GOOGLETRANSLATE(B701,""ja"",""vi"")"),"968")</f>
        <v>968</v>
      </c>
      <c r="E701" s="5" t="str">
        <f ca="1">IFERROR(__xludf.DUMMYFUNCTION("GOOGLETRANSLATE(C701,""ja"",""vi"")"),"Đấu giá&gt; ô tô, xe máy&gt; ô tô cũ, ô tô mới&gt; Porsche&gt; 968")</f>
        <v>Đấu giá&gt; ô tô, xe máy&gt; ô tô cũ, ô tô mới&gt; Porsche&gt; 968</v>
      </c>
      <c r="F701" t="str">
        <f t="shared" ca="1" si="10"/>
        <v>"2084049107" : "968",</v>
      </c>
    </row>
    <row r="702" spans="1:6" ht="15.75" customHeight="1">
      <c r="A702" s="18">
        <v>2084054062</v>
      </c>
      <c r="B702" s="18" t="s">
        <v>12518</v>
      </c>
      <c r="C702" s="18" t="s">
        <v>12519</v>
      </c>
      <c r="D702" s="5" t="str">
        <f ca="1">IFERROR(__xludf.DUMMYFUNCTION("GOOGLETRANSLATE(B702,""ja"",""vi"")"),"Cayenne")</f>
        <v>Cayenne</v>
      </c>
      <c r="E702" s="5" t="str">
        <f ca="1">IFERROR(__xludf.DUMMYFUNCTION("GOOGLETRANSLATE(C702,""ja"",""vi"")"),"Đấu giá&gt; ô tô, xe máy&gt; ô tô cũ, ô tô mới&gt; Porsche&gt; Cayenne")</f>
        <v>Đấu giá&gt; ô tô, xe máy&gt; ô tô cũ, ô tô mới&gt; Porsche&gt; Cayenne</v>
      </c>
      <c r="F702" t="str">
        <f t="shared" ca="1" si="10"/>
        <v>"2084054062" : "Cayenne",</v>
      </c>
    </row>
    <row r="703" spans="1:6" ht="15.75" customHeight="1">
      <c r="A703" s="18">
        <v>2084231257</v>
      </c>
      <c r="B703" s="18" t="s">
        <v>12523</v>
      </c>
      <c r="C703" s="18" t="s">
        <v>12524</v>
      </c>
      <c r="D703" s="5" t="str">
        <f ca="1">IFERROR(__xludf.DUMMYFUNCTION("GOOGLETRANSLATE(B703,""ja"",""vi"")"),"giống cá sấu ở mỷ và trung hoa")</f>
        <v>giống cá sấu ở mỷ và trung hoa</v>
      </c>
      <c r="E703" s="5" t="str">
        <f ca="1">IFERROR(__xludf.DUMMYFUNCTION("GOOGLETRANSLATE(C703,""ja"",""vi"")"),"Đấu giá&gt; ô tô, xe máy&gt; ô tô cũ, ô tô mới&gt; Porsche&gt; Cayman")</f>
        <v>Đấu giá&gt; ô tô, xe máy&gt; ô tô cũ, ô tô mới&gt; Porsche&gt; Cayman</v>
      </c>
      <c r="F703" t="str">
        <f t="shared" ca="1" si="10"/>
        <v>"2084231257" : "giống cá sấu ở mỷ và trung hoa",</v>
      </c>
    </row>
    <row r="704" spans="1:6" ht="15.75" customHeight="1">
      <c r="A704" s="18">
        <v>2084299576</v>
      </c>
      <c r="B704" s="18" t="s">
        <v>12529</v>
      </c>
      <c r="C704" s="18" t="s">
        <v>12530</v>
      </c>
      <c r="D704" s="5" t="str">
        <f ca="1">IFERROR(__xludf.DUMMYFUNCTION("GOOGLETRANSLATE(B704,""ja"",""vi"")"),"Panamera")</f>
        <v>Panamera</v>
      </c>
      <c r="E704" s="5" t="str">
        <f ca="1">IFERROR(__xludf.DUMMYFUNCTION("GOOGLETRANSLATE(C704,""ja"",""vi"")"),"Đấu giá&gt; ô tô, xe máy&gt; ô tô cũ, ô tô mới&gt; Porsche&gt; Panamera")</f>
        <v>Đấu giá&gt; ô tô, xe máy&gt; ô tô cũ, ô tô mới&gt; Porsche&gt; Panamera</v>
      </c>
      <c r="F704" t="str">
        <f t="shared" ca="1" si="10"/>
        <v>"2084299576" : "Panamera",</v>
      </c>
    </row>
    <row r="705" spans="1:6" ht="15.75" customHeight="1">
      <c r="A705" s="18">
        <v>2084049108</v>
      </c>
      <c r="B705" s="18" t="s">
        <v>12534</v>
      </c>
      <c r="C705" s="18" t="s">
        <v>12536</v>
      </c>
      <c r="D705" s="5" t="str">
        <f ca="1">IFERROR(__xludf.DUMMYFUNCTION("GOOGLETRANSLATE(B705,""ja"",""vi"")"),"Boxster")</f>
        <v>Boxster</v>
      </c>
      <c r="E705" s="5" t="str">
        <f ca="1">IFERROR(__xludf.DUMMYFUNCTION("GOOGLETRANSLATE(C705,""ja"",""vi"")"),"Đấu giá&gt; ô tô, xe máy&gt; ô tô cũ, ô tô mới&gt; Porsche&gt; Boxster")</f>
        <v>Đấu giá&gt; ô tô, xe máy&gt; ô tô cũ, ô tô mới&gt; Porsche&gt; Boxster</v>
      </c>
      <c r="F705" t="str">
        <f t="shared" ca="1" si="10"/>
        <v>"2084049108" : "Boxster",</v>
      </c>
    </row>
    <row r="706" spans="1:6" ht="15.75" customHeight="1">
      <c r="A706" s="18">
        <v>2084048189</v>
      </c>
      <c r="B706" s="18" t="s">
        <v>46</v>
      </c>
      <c r="C706" s="18" t="s">
        <v>12539</v>
      </c>
      <c r="D706" s="5" t="str">
        <f ca="1">IFERROR(__xludf.DUMMYFUNCTION("GOOGLETRANSLATE(B706,""ja"",""vi"")"),"nếu không thì")</f>
        <v>nếu không thì</v>
      </c>
      <c r="E706" s="5" t="str">
        <f ca="1">IFERROR(__xludf.DUMMYFUNCTION("GOOGLETRANSLATE(C706,""ja"",""vi"")"),"Đấu giá&gt; ô tô, xe máy&gt; ô tô cũ, ô tô mới&gt; Porsche&gt; Khác")</f>
        <v>Đấu giá&gt; ô tô, xe máy&gt; ô tô cũ, ô tô mới&gt; Porsche&gt; Khác</v>
      </c>
      <c r="F706" t="str">
        <f t="shared" ref="F706:F769" ca="1" si="11">CONCATENATE(CHAR(34)&amp;"",A706,""&amp;CHAR(34)," : ", CHAR(34)&amp;"",D706,""&amp;CHAR(34),",")</f>
        <v>"2084048189" : "nếu không thì",</v>
      </c>
    </row>
    <row r="707" spans="1:6" ht="15.75" customHeight="1">
      <c r="A707" s="18">
        <v>2084045765</v>
      </c>
      <c r="B707" s="18" t="s">
        <v>12542</v>
      </c>
      <c r="C707" s="18" t="s">
        <v>12544</v>
      </c>
      <c r="D707" s="5" t="str">
        <f ca="1">IFERROR(__xludf.DUMMYFUNCTION("GOOGLETRANSLATE(B707,""ja"",""vi"")"),"190 lớp")</f>
        <v>190 lớp</v>
      </c>
      <c r="E707" s="5" t="str">
        <f ca="1">IFERROR(__xludf.DUMMYFUNCTION("GOOGLETRANSLATE(C707,""ja"",""vi"")"),"Đấu giá&gt; ô tô, xe máy&gt; ô tô cũ, ô tô mới&gt; Mercedes-Benz&gt; 190 lớp")</f>
        <v>Đấu giá&gt; ô tô, xe máy&gt; ô tô cũ, ô tô mới&gt; Mercedes-Benz&gt; 190 lớp</v>
      </c>
      <c r="F707" t="str">
        <f t="shared" ca="1" si="11"/>
        <v>"2084045765" : "190 lớp",</v>
      </c>
    </row>
    <row r="708" spans="1:6" ht="15.75" customHeight="1">
      <c r="A708" s="18">
        <v>2084045766</v>
      </c>
      <c r="B708" s="18" t="s">
        <v>12549</v>
      </c>
      <c r="C708" s="18" t="s">
        <v>12550</v>
      </c>
      <c r="D708" s="5" t="str">
        <f ca="1">IFERROR(__xludf.DUMMYFUNCTION("GOOGLETRANSLATE(B708,""ja"",""vi"")"),"Một lớp học")</f>
        <v>Một lớp học</v>
      </c>
      <c r="E708" s="5" t="str">
        <f ca="1">IFERROR(__xludf.DUMMYFUNCTION("GOOGLETRANSLATE(C708,""ja"",""vi"")"),"Đấu giá&gt; ô tô, xe máy&gt; ô tô cũ, ô tô mới&gt; Mercedes-Benz&gt; A Class")</f>
        <v>Đấu giá&gt; ô tô, xe máy&gt; ô tô cũ, ô tô mới&gt; Mercedes-Benz&gt; A Class</v>
      </c>
      <c r="F708" t="str">
        <f t="shared" ca="1" si="11"/>
        <v>"2084045766" : "Một lớp học",</v>
      </c>
    </row>
    <row r="709" spans="1:6" ht="15.75" customHeight="1">
      <c r="A709" s="18">
        <v>2084204545</v>
      </c>
      <c r="B709" s="18" t="s">
        <v>12554</v>
      </c>
      <c r="C709" s="18" t="s">
        <v>12555</v>
      </c>
      <c r="D709" s="5" t="str">
        <f ca="1">IFERROR(__xludf.DUMMYFUNCTION("GOOGLETRANSLATE(B709,""ja"",""vi"")"),"lớp B")</f>
        <v>lớp B</v>
      </c>
      <c r="E709" s="5" t="str">
        <f ca="1">IFERROR(__xludf.DUMMYFUNCTION("GOOGLETRANSLATE(C709,""ja"",""vi"")"),"Đấu giá&gt; ô tô, xe máy&gt; ô tô cũ, ô tô mới&gt; Mercedes-Benz&gt; B Class")</f>
        <v>Đấu giá&gt; ô tô, xe máy&gt; ô tô cũ, ô tô mới&gt; Mercedes-Benz&gt; B Class</v>
      </c>
      <c r="F709" t="str">
        <f t="shared" ca="1" si="11"/>
        <v>"2084204545" : "lớp B",</v>
      </c>
    </row>
    <row r="710" spans="1:6" ht="15.75" customHeight="1">
      <c r="A710" s="18">
        <v>2084045767</v>
      </c>
      <c r="B710" s="18" t="s">
        <v>12561</v>
      </c>
      <c r="C710" s="18" t="s">
        <v>12563</v>
      </c>
      <c r="D710" s="5" t="str">
        <f ca="1">IFERROR(__xludf.DUMMYFUNCTION("GOOGLETRANSLATE(B710,""ja"",""vi"")"),"CL")</f>
        <v>CL</v>
      </c>
      <c r="E710" s="5" t="str">
        <f ca="1">IFERROR(__xludf.DUMMYFUNCTION("GOOGLETRANSLATE(C710,""ja"",""vi"")"),"Đấu giá&gt; ô tô, xe máy&gt; ô tô cũ, ô tô mới&gt; Mercedes-Benz&gt; CL")</f>
        <v>Đấu giá&gt; ô tô, xe máy&gt; ô tô cũ, ô tô mới&gt; Mercedes-Benz&gt; CL</v>
      </c>
      <c r="F710" t="str">
        <f t="shared" ca="1" si="11"/>
        <v>"2084045767" : "CL",</v>
      </c>
    </row>
    <row r="711" spans="1:6" ht="15.75" customHeight="1">
      <c r="A711" s="18">
        <v>2084045768</v>
      </c>
      <c r="B711" s="18" t="s">
        <v>12567</v>
      </c>
      <c r="C711" s="18" t="s">
        <v>12568</v>
      </c>
      <c r="D711" s="5" t="str">
        <f ca="1">IFERROR(__xludf.DUMMYFUNCTION("GOOGLETRANSLATE(B711,""ja"",""vi"")"),"CLK")</f>
        <v>CLK</v>
      </c>
      <c r="E711" s="5" t="str">
        <f ca="1">IFERROR(__xludf.DUMMYFUNCTION("GOOGLETRANSLATE(C711,""ja"",""vi"")"),"Đấu giá&gt; ô tô, xe máy&gt; ô tô cũ, ô tô mới&gt; Mercedes-Benz&gt; CLK")</f>
        <v>Đấu giá&gt; ô tô, xe máy&gt; ô tô cũ, ô tô mới&gt; Mercedes-Benz&gt; CLK</v>
      </c>
      <c r="F711" t="str">
        <f t="shared" ca="1" si="11"/>
        <v>"2084045768" : "CLK",</v>
      </c>
    </row>
    <row r="712" spans="1:6" ht="15.75" customHeight="1">
      <c r="A712" s="18">
        <v>2084062135</v>
      </c>
      <c r="B712" s="18" t="s">
        <v>12573</v>
      </c>
      <c r="C712" s="18" t="s">
        <v>12574</v>
      </c>
      <c r="D712" s="5" t="str">
        <f ca="1">IFERROR(__xludf.DUMMYFUNCTION("GOOGLETRANSLATE(B712,""ja"",""vi"")"),"lớp CLS")</f>
        <v>lớp CLS</v>
      </c>
      <c r="E712" s="5" t="str">
        <f ca="1">IFERROR(__xludf.DUMMYFUNCTION("GOOGLETRANSLATE(C712,""ja"",""vi"")"),"Đấu giá&gt; ô tô, xe máy&gt; ô tô cũ, ô tô mới&gt; Mercedes-Benz&gt; lớp CLS")</f>
        <v>Đấu giá&gt; ô tô, xe máy&gt; ô tô cũ, ô tô mới&gt; Mercedes-Benz&gt; lớp CLS</v>
      </c>
      <c r="F712" t="str">
        <f t="shared" ca="1" si="11"/>
        <v>"2084062135" : "lớp CLS",</v>
      </c>
    </row>
    <row r="713" spans="1:6" ht="15.75" customHeight="1">
      <c r="A713" s="18">
        <v>2084045769</v>
      </c>
      <c r="B713" s="18" t="s">
        <v>12579</v>
      </c>
      <c r="C713" s="18" t="s">
        <v>12580</v>
      </c>
      <c r="D713" s="5" t="str">
        <f ca="1">IFERROR(__xludf.DUMMYFUNCTION("GOOGLETRANSLATE(B713,""ja"",""vi"")"),"C-Class")</f>
        <v>C-Class</v>
      </c>
      <c r="E713" s="5" t="str">
        <f ca="1">IFERROR(__xludf.DUMMYFUNCTION("GOOGLETRANSLATE(C713,""ja"",""vi"")"),"Đấu giá&gt; ô tô, xe máy&gt; ô tô cũ, ô tô mới&gt; Mercedes-Benz&gt; C Lớp")</f>
        <v>Đấu giá&gt; ô tô, xe máy&gt; ô tô cũ, ô tô mới&gt; Mercedes-Benz&gt; C Lớp</v>
      </c>
      <c r="F713" t="str">
        <f t="shared" ca="1" si="11"/>
        <v>"2084045769" : "C-Class",</v>
      </c>
    </row>
    <row r="714" spans="1:6" ht="15.75" customHeight="1">
      <c r="A714" s="18">
        <v>2084045770</v>
      </c>
      <c r="B714" s="18" t="s">
        <v>12584</v>
      </c>
      <c r="C714" s="18" t="s">
        <v>12586</v>
      </c>
      <c r="D714" s="5" t="str">
        <f ca="1">IFERROR(__xludf.DUMMYFUNCTION("GOOGLETRANSLATE(B714,""ja"",""vi"")"),"C-Class station wagon")</f>
        <v>C-Class station wagon</v>
      </c>
      <c r="E714" s="5" t="str">
        <f ca="1">IFERROR(__xludf.DUMMYFUNCTION("GOOGLETRANSLATE(C714,""ja"",""vi"")"),"Đấu giá&gt; ô tô, xe máy&gt; ô tô cũ, ô tô mới&gt; Mercedes-Benz&gt; C Lớp station wagon")</f>
        <v>Đấu giá&gt; ô tô, xe máy&gt; ô tô cũ, ô tô mới&gt; Mercedes-Benz&gt; C Lớp station wagon</v>
      </c>
      <c r="F714" t="str">
        <f t="shared" ca="1" si="11"/>
        <v>"2084045770" : "C-Class station wagon",</v>
      </c>
    </row>
    <row r="715" spans="1:6" ht="15.75" customHeight="1">
      <c r="A715" s="18">
        <v>2084045771</v>
      </c>
      <c r="B715" s="18" t="s">
        <v>12590</v>
      </c>
      <c r="C715" s="18" t="s">
        <v>12592</v>
      </c>
      <c r="D715" s="5" t="str">
        <f ca="1">IFERROR(__xludf.DUMMYFUNCTION("GOOGLETRANSLATE(B715,""ja"",""vi"")"),"C-Class Coupe thể thao")</f>
        <v>C-Class Coupe thể thao</v>
      </c>
      <c r="E715" s="5" t="str">
        <f ca="1">IFERROR(__xludf.DUMMYFUNCTION("GOOGLETRANSLATE(C715,""ja"",""vi"")"),"Đấu giá&gt; ô tô, xe máy&gt; ô tô cũ, ô tô mới&gt; Mercedes-Benz&gt; C Lớp Sports Coupe")</f>
        <v>Đấu giá&gt; ô tô, xe máy&gt; ô tô cũ, ô tô mới&gt; Mercedes-Benz&gt; C Lớp Sports Coupe</v>
      </c>
      <c r="F715" t="str">
        <f t="shared" ca="1" si="11"/>
        <v>"2084045771" : "C-Class Coupe thể thao",</v>
      </c>
    </row>
    <row r="716" spans="1:6" ht="15.75" customHeight="1">
      <c r="A716" s="18">
        <v>2084045772</v>
      </c>
      <c r="B716" s="18" t="s">
        <v>12595</v>
      </c>
      <c r="C716" s="18" t="s">
        <v>12597</v>
      </c>
      <c r="D716" s="5" t="str">
        <f ca="1">IFERROR(__xludf.DUMMYFUNCTION("GOOGLETRANSLATE(B716,""ja"",""vi"")"),"E-Class")</f>
        <v>E-Class</v>
      </c>
      <c r="E716" s="5" t="str">
        <f ca="1">IFERROR(__xludf.DUMMYFUNCTION("GOOGLETRANSLATE(C716,""ja"",""vi"")"),"Đấu giá&gt; ô tô, xe máy&gt; ô tô cũ, ô tô mới&gt; Mercedes-Benz&gt; E Class")</f>
        <v>Đấu giá&gt; ô tô, xe máy&gt; ô tô cũ, ô tô mới&gt; Mercedes-Benz&gt; E Class</v>
      </c>
      <c r="F716" t="str">
        <f t="shared" ca="1" si="11"/>
        <v>"2084045772" : "E-Class",</v>
      </c>
    </row>
    <row r="717" spans="1:6" ht="15.75" customHeight="1">
      <c r="A717" s="18">
        <v>2084299570</v>
      </c>
      <c r="B717" s="18" t="s">
        <v>12599</v>
      </c>
      <c r="C717" s="18" t="s">
        <v>12601</v>
      </c>
      <c r="D717" s="5" t="str">
        <f ca="1">IFERROR(__xludf.DUMMYFUNCTION("GOOGLETRANSLATE(B717,""ja"",""vi"")"),"E-class Cabriolet")</f>
        <v>E-class Cabriolet</v>
      </c>
      <c r="E717" s="5" t="str">
        <f ca="1">IFERROR(__xludf.DUMMYFUNCTION("GOOGLETRANSLATE(C717,""ja"",""vi"")"),"Đấu giá&gt; ô tô, xe máy&gt; ô tô cũ, ô tô mới&gt; Mercedes-Benz&gt; E Class Cabriolet")</f>
        <v>Đấu giá&gt; ô tô, xe máy&gt; ô tô cũ, ô tô mới&gt; Mercedes-Benz&gt; E Class Cabriolet</v>
      </c>
      <c r="F717" t="str">
        <f t="shared" ca="1" si="11"/>
        <v>"2084299570" : "E-class Cabriolet",</v>
      </c>
    </row>
    <row r="718" spans="1:6" ht="15.75" customHeight="1">
      <c r="A718" s="18">
        <v>2084045773</v>
      </c>
      <c r="B718" s="18" t="s">
        <v>12604</v>
      </c>
      <c r="C718" s="18" t="s">
        <v>12605</v>
      </c>
      <c r="D718" s="5" t="str">
        <f ca="1">IFERROR(__xludf.DUMMYFUNCTION("GOOGLETRANSLATE(B718,""ja"",""vi"")"),"E-Class station wagon")</f>
        <v>E-Class station wagon</v>
      </c>
      <c r="E718" s="5" t="str">
        <f ca="1">IFERROR(__xludf.DUMMYFUNCTION("GOOGLETRANSLATE(C718,""ja"",""vi"")"),"Đấu giá&gt; ô tô, xe máy&gt; ô tô cũ, ô tô mới&gt; Mercedes-Benz&gt; E-class station wagon")</f>
        <v>Đấu giá&gt; ô tô, xe máy&gt; ô tô cũ, ô tô mới&gt; Mercedes-Benz&gt; E-class station wagon</v>
      </c>
      <c r="F718" t="str">
        <f t="shared" ca="1" si="11"/>
        <v>"2084045773" : "E-Class station wagon",</v>
      </c>
    </row>
    <row r="719" spans="1:6" ht="15.75" customHeight="1">
      <c r="A719" s="18">
        <v>2084243777</v>
      </c>
      <c r="B719" s="18" t="s">
        <v>12608</v>
      </c>
      <c r="C719" s="18" t="s">
        <v>12609</v>
      </c>
      <c r="D719" s="5" t="str">
        <f ca="1">IFERROR(__xludf.DUMMYFUNCTION("GOOGLETRANSLATE(B719,""ja"",""vi"")"),"lớp GLK")</f>
        <v>lớp GLK</v>
      </c>
      <c r="E719" s="5" t="str">
        <f ca="1">IFERROR(__xludf.DUMMYFUNCTION("GOOGLETRANSLATE(C719,""ja"",""vi"")"),"Đấu giá&gt; ô tô, xe máy&gt; ô tô cũ, ô tô mới&gt; Mercedes-Benz&gt; lớp GLK")</f>
        <v>Đấu giá&gt; ô tô, xe máy&gt; ô tô cũ, ô tô mới&gt; Mercedes-Benz&gt; lớp GLK</v>
      </c>
      <c r="F719" t="str">
        <f t="shared" ca="1" si="11"/>
        <v>"2084243777" : "lớp GLK",</v>
      </c>
    </row>
    <row r="720" spans="1:6" ht="15.75" customHeight="1">
      <c r="A720" s="18">
        <v>2084243776</v>
      </c>
      <c r="B720" s="18" t="s">
        <v>12612</v>
      </c>
      <c r="C720" s="18" t="s">
        <v>12613</v>
      </c>
      <c r="D720" s="5" t="str">
        <f ca="1">IFERROR(__xludf.DUMMYFUNCTION("GOOGLETRANSLATE(B720,""ja"",""vi"")"),"lớp GL")</f>
        <v>lớp GL</v>
      </c>
      <c r="E720" s="5" t="str">
        <f ca="1">IFERROR(__xludf.DUMMYFUNCTION("GOOGLETRANSLATE(C720,""ja"",""vi"")"),"Đấu giá&gt; ô tô, xe máy&gt; ô tô cũ, ô tô mới&gt; Mercedes-Benz&gt; lớp GL")</f>
        <v>Đấu giá&gt; ô tô, xe máy&gt; ô tô cũ, ô tô mới&gt; Mercedes-Benz&gt; lớp GL</v>
      </c>
      <c r="F720" t="str">
        <f t="shared" ca="1" si="11"/>
        <v>"2084243776" : "lớp GL",</v>
      </c>
    </row>
    <row r="721" spans="1:6" ht="15.75" customHeight="1">
      <c r="A721" s="18">
        <v>2084045781</v>
      </c>
      <c r="B721" s="18" t="s">
        <v>12616</v>
      </c>
      <c r="C721" s="18" t="s">
        <v>12618</v>
      </c>
      <c r="D721" s="5" t="str">
        <f ca="1">IFERROR(__xludf.DUMMYFUNCTION("GOOGLETRANSLATE(B721,""ja"",""vi"")"),"G-Class / dốc Vernon Gen")</f>
        <v>G-Class / dốc Vernon Gen</v>
      </c>
      <c r="E721" s="5" t="str">
        <f ca="1">IFERROR(__xludf.DUMMYFUNCTION("GOOGLETRANSLATE(C721,""ja"",""vi"")"),"Đấu giá&gt; ô tô, xe máy&gt; sử dụng ô tô, xe hơi mới&gt; Mercedes-Benz&gt; G Lớp / dốc Vernon Gen")</f>
        <v>Đấu giá&gt; ô tô, xe máy&gt; sử dụng ô tô, xe hơi mới&gt; Mercedes-Benz&gt; G Lớp / dốc Vernon Gen</v>
      </c>
      <c r="F721" t="str">
        <f t="shared" ca="1" si="11"/>
        <v>"2084045781" : "G-Class / dốc Vernon Gen",</v>
      </c>
    </row>
    <row r="722" spans="1:6" ht="15.75" customHeight="1">
      <c r="A722" s="18">
        <v>2084045774</v>
      </c>
      <c r="B722" s="18" t="s">
        <v>12621</v>
      </c>
      <c r="C722" s="18" t="s">
        <v>12622</v>
      </c>
      <c r="D722" s="5" t="str">
        <f ca="1">IFERROR(__xludf.DUMMYFUNCTION("GOOGLETRANSLATE(B722,""ja"",""vi"")"),"M-Class")</f>
        <v>M-Class</v>
      </c>
      <c r="E722" s="5" t="str">
        <f ca="1">IFERROR(__xludf.DUMMYFUNCTION("GOOGLETRANSLATE(C722,""ja"",""vi"")"),"Đấu giá&gt; ô tô, xe máy&gt; ô tô cũ, ô tô mới&gt; Mercedes-Benz&gt; lớp M")</f>
        <v>Đấu giá&gt; ô tô, xe máy&gt; ô tô cũ, ô tô mới&gt; Mercedes-Benz&gt; lớp M</v>
      </c>
      <c r="F722" t="str">
        <f t="shared" ca="1" si="11"/>
        <v>"2084045774" : "M-Class",</v>
      </c>
    </row>
    <row r="723" spans="1:6" ht="15.75" customHeight="1">
      <c r="A723" s="18">
        <v>2084243778</v>
      </c>
      <c r="B723" s="18" t="s">
        <v>12626</v>
      </c>
      <c r="C723" s="18" t="s">
        <v>12627</v>
      </c>
      <c r="D723" s="5" t="str">
        <f ca="1">IFERROR(__xludf.DUMMYFUNCTION("GOOGLETRANSLATE(B723,""ja"",""vi"")"),"R-Class")</f>
        <v>R-Class</v>
      </c>
      <c r="E723" s="5" t="str">
        <f ca="1">IFERROR(__xludf.DUMMYFUNCTION("GOOGLETRANSLATE(C723,""ja"",""vi"")"),"Đấu giá&gt; ô tô, xe máy&gt; ô tô cũ, ô tô mới&gt; Mercedes-Benz&gt; R Lớp")</f>
        <v>Đấu giá&gt; ô tô, xe máy&gt; ô tô cũ, ô tô mới&gt; Mercedes-Benz&gt; R Lớp</v>
      </c>
      <c r="F723" t="str">
        <f t="shared" ca="1" si="11"/>
        <v>"2084243778" : "R-Class",</v>
      </c>
    </row>
    <row r="724" spans="1:6" ht="15.75" customHeight="1">
      <c r="A724" s="18">
        <v>2084045775</v>
      </c>
      <c r="B724" s="18" t="s">
        <v>12631</v>
      </c>
      <c r="C724" s="18" t="s">
        <v>12632</v>
      </c>
      <c r="D724" s="5" t="str">
        <f ca="1">IFERROR(__xludf.DUMMYFUNCTION("GOOGLETRANSLATE(B724,""ja"",""vi"")"),"SL")</f>
        <v>SL</v>
      </c>
      <c r="E724" s="5" t="str">
        <f ca="1">IFERROR(__xludf.DUMMYFUNCTION("GOOGLETRANSLATE(C724,""ja"",""vi"")"),"Đấu giá&gt; ô tô, xe máy&gt; ô tô cũ, ô tô mới&gt; Mercedes-Benz&gt; SL")</f>
        <v>Đấu giá&gt; ô tô, xe máy&gt; ô tô cũ, ô tô mới&gt; Mercedes-Benz&gt; SL</v>
      </c>
      <c r="F724" t="str">
        <f t="shared" ca="1" si="11"/>
        <v>"2084045775" : "SL",</v>
      </c>
    </row>
    <row r="725" spans="1:6" ht="15.75" customHeight="1">
      <c r="A725" s="18">
        <v>2084045776</v>
      </c>
      <c r="B725" s="18" t="s">
        <v>12636</v>
      </c>
      <c r="C725" s="18" t="s">
        <v>12637</v>
      </c>
      <c r="D725" s="5" t="str">
        <f ca="1">IFERROR(__xludf.DUMMYFUNCTION("GOOGLETRANSLATE(B725,""ja"",""vi"")"),"SLK")</f>
        <v>SLK</v>
      </c>
      <c r="E725" s="5" t="str">
        <f ca="1">IFERROR(__xludf.DUMMYFUNCTION("GOOGLETRANSLATE(C725,""ja"",""vi"")"),"Đấu giá&gt; ô tô, xe máy&gt; ô tô cũ, ô tô mới&gt; Mercedes-Benz&gt; SLK")</f>
        <v>Đấu giá&gt; ô tô, xe máy&gt; ô tô cũ, ô tô mới&gt; Mercedes-Benz&gt; SLK</v>
      </c>
      <c r="F725" t="str">
        <f t="shared" ca="1" si="11"/>
        <v>"2084045776" : "SLK",</v>
      </c>
    </row>
    <row r="726" spans="1:6" ht="15.75" customHeight="1">
      <c r="A726" s="18">
        <v>2084059199</v>
      </c>
      <c r="B726" s="18" t="s">
        <v>12641</v>
      </c>
      <c r="C726" s="18" t="s">
        <v>12643</v>
      </c>
      <c r="D726" s="5" t="str">
        <f ca="1">IFERROR(__xludf.DUMMYFUNCTION("GOOGLETRANSLATE(B726,""ja"",""vi"")"),"SLR McLaren")</f>
        <v>SLR McLaren</v>
      </c>
      <c r="E726" s="5" t="str">
        <f ca="1">IFERROR(__xludf.DUMMYFUNCTION("GOOGLETRANSLATE(C726,""ja"",""vi"")"),"Đấu giá&gt; ô tô, xe máy&gt; ô tô cũ, ô tô mới&gt; Mercedes-Benz&gt; SLR McLaren")</f>
        <v>Đấu giá&gt; ô tô, xe máy&gt; ô tô cũ, ô tô mới&gt; Mercedes-Benz&gt; SLR McLaren</v>
      </c>
      <c r="F726" t="str">
        <f t="shared" ca="1" si="11"/>
        <v>"2084059199" : "SLR McLaren",</v>
      </c>
    </row>
    <row r="727" spans="1:6" ht="15.75" customHeight="1">
      <c r="A727" s="18">
        <v>2084299571</v>
      </c>
      <c r="B727" s="18" t="s">
        <v>12647</v>
      </c>
      <c r="C727" s="18" t="s">
        <v>12649</v>
      </c>
      <c r="D727" s="5" t="str">
        <f ca="1">IFERROR(__xludf.DUMMYFUNCTION("GOOGLETRANSLATE(B727,""ja"",""vi"")"),"SLR McLaren Roadster")</f>
        <v>SLR McLaren Roadster</v>
      </c>
      <c r="E727" s="5" t="str">
        <f ca="1">IFERROR(__xludf.DUMMYFUNCTION("GOOGLETRANSLATE(C727,""ja"",""vi"")"),"Đấu giá&gt; ô tô, xe máy&gt; ô tô cũ, ô tô mới&gt; Mercedes-Benz&gt; SLR McLaren Roadster")</f>
        <v>Đấu giá&gt; ô tô, xe máy&gt; ô tô cũ, ô tô mới&gt; Mercedes-Benz&gt; SLR McLaren Roadster</v>
      </c>
      <c r="F727" t="str">
        <f t="shared" ca="1" si="11"/>
        <v>"2084299571" : "SLR McLaren Roadster",</v>
      </c>
    </row>
    <row r="728" spans="1:6" ht="15.75" customHeight="1">
      <c r="A728" s="18">
        <v>2084045777</v>
      </c>
      <c r="B728" s="18" t="s">
        <v>12652</v>
      </c>
      <c r="C728" s="18" t="s">
        <v>12654</v>
      </c>
      <c r="D728" s="5" t="str">
        <f ca="1">IFERROR(__xludf.DUMMYFUNCTION("GOOGLETRANSLATE(B728,""ja"",""vi"")"),"S-Class")</f>
        <v>S-Class</v>
      </c>
      <c r="E728" s="5" t="str">
        <f ca="1">IFERROR(__xludf.DUMMYFUNCTION("GOOGLETRANSLATE(C728,""ja"",""vi"")"),"Đấu giá&gt; ô tô, xe máy&gt; ô tô cũ, ô tô mới&gt; Mercedes-Benz&gt; S Class")</f>
        <v>Đấu giá&gt; ô tô, xe máy&gt; ô tô cũ, ô tô mới&gt; Mercedes-Benz&gt; S Class</v>
      </c>
      <c r="F728" t="str">
        <f t="shared" ca="1" si="11"/>
        <v>"2084045777" : "S-Class",</v>
      </c>
    </row>
    <row r="729" spans="1:6" ht="15.75" customHeight="1">
      <c r="A729" s="18">
        <v>2084045778</v>
      </c>
      <c r="B729" s="18" t="s">
        <v>12657</v>
      </c>
      <c r="C729" s="18" t="s">
        <v>12658</v>
      </c>
      <c r="D729" s="5" t="str">
        <f ca="1">IFERROR(__xludf.DUMMYFUNCTION("GOOGLETRANSLATE(B729,""ja"",""vi"")"),"T series")</f>
        <v>T series</v>
      </c>
      <c r="E729" s="5" t="str">
        <f ca="1">IFERROR(__xludf.DUMMYFUNCTION("GOOGLETRANSLATE(C729,""ja"",""vi"")"),"Đấu giá&gt; ô tô, xe máy&gt; ô tô cũ, ô tô mới&gt; Mercedes-Benz&gt; T Series")</f>
        <v>Đấu giá&gt; ô tô, xe máy&gt; ô tô cũ, ô tô mới&gt; Mercedes-Benz&gt; T Series</v>
      </c>
      <c r="F729" t="str">
        <f t="shared" ca="1" si="11"/>
        <v>"2084045778" : "T series",</v>
      </c>
    </row>
    <row r="730" spans="1:6" ht="15.75" customHeight="1">
      <c r="A730" s="18">
        <v>2084045779</v>
      </c>
      <c r="B730" s="18" t="s">
        <v>12665</v>
      </c>
      <c r="C730" s="18" t="s">
        <v>12666</v>
      </c>
      <c r="D730" s="5" t="str">
        <f ca="1">IFERROR(__xludf.DUMMYFUNCTION("GOOGLETRANSLATE(B730,""ja"",""vi"")"),"V-Class")</f>
        <v>V-Class</v>
      </c>
      <c r="E730" s="5" t="str">
        <f ca="1">IFERROR(__xludf.DUMMYFUNCTION("GOOGLETRANSLATE(C730,""ja"",""vi"")"),"Đấu giá&gt; ô tô, xe máy&gt; ô tô cũ, ô tô mới&gt; Mercedes-Benz&gt; lớp V")</f>
        <v>Đấu giá&gt; ô tô, xe máy&gt; ô tô cũ, ô tô mới&gt; Mercedes-Benz&gt; lớp V</v>
      </c>
      <c r="F730" t="str">
        <f t="shared" ca="1" si="11"/>
        <v>"2084045779" : "V-Class",</v>
      </c>
    </row>
    <row r="731" spans="1:6" ht="15.75" customHeight="1">
      <c r="A731" s="18">
        <v>2084045780</v>
      </c>
      <c r="B731" s="18" t="s">
        <v>12672</v>
      </c>
      <c r="C731" s="18" t="s">
        <v>12674</v>
      </c>
      <c r="D731" s="5" t="str">
        <f ca="1">IFERROR(__xludf.DUMMYFUNCTION("GOOGLETRANSLATE(B731,""ja"",""vi"")"),"V Strahl")</f>
        <v>V Strahl</v>
      </c>
      <c r="E731" s="5" t="str">
        <f ca="1">IFERROR(__xludf.DUMMYFUNCTION("GOOGLETRANSLATE(C731,""ja"",""vi"")"),"Đấu giá&gt; ô tô, xe máy&gt; ô tô cũ, ô tô mới&gt; Mercedes-Benz&gt; V Strahl")</f>
        <v>Đấu giá&gt; ô tô, xe máy&gt; ô tô cũ, ô tô mới&gt; Mercedes-Benz&gt; V Strahl</v>
      </c>
      <c r="F731" t="str">
        <f t="shared" ca="1" si="11"/>
        <v>"2084045780" : "V Strahl",</v>
      </c>
    </row>
    <row r="732" spans="1:6" ht="15.75" customHeight="1">
      <c r="A732" s="18">
        <v>2084058453</v>
      </c>
      <c r="B732" s="18" t="s">
        <v>12677</v>
      </c>
      <c r="C732" s="18" t="s">
        <v>12679</v>
      </c>
      <c r="D732" s="5" t="str">
        <f ca="1">IFERROR(__xludf.DUMMYFUNCTION("GOOGLETRANSLATE(B732,""ja"",""vi"")"),"Baneo")</f>
        <v>Baneo</v>
      </c>
      <c r="E732" s="5" t="str">
        <f ca="1">IFERROR(__xludf.DUMMYFUNCTION("GOOGLETRANSLATE(C732,""ja"",""vi"")"),"Đấu giá&gt; ô tô, xe máy&gt; ô tô cũ, ô tô mới&gt; Mercedes-Benz&gt; Baneo")</f>
        <v>Đấu giá&gt; ô tô, xe máy&gt; ô tô cũ, ô tô mới&gt; Mercedes-Benz&gt; Baneo</v>
      </c>
      <c r="F732" t="str">
        <f t="shared" ca="1" si="11"/>
        <v>"2084058453" : "Baneo",</v>
      </c>
    </row>
    <row r="733" spans="1:6" ht="15.75" customHeight="1">
      <c r="A733" s="18">
        <v>2084058454</v>
      </c>
      <c r="B733" s="18" t="s">
        <v>12683</v>
      </c>
      <c r="C733" s="18" t="s">
        <v>12684</v>
      </c>
      <c r="D733" s="5" t="str">
        <f ca="1">IFERROR(__xludf.DUMMYFUNCTION("GOOGLETRANSLATE(B733,""ja"",""vi"")"),"Viano")</f>
        <v>Viano</v>
      </c>
      <c r="E733" s="5" t="str">
        <f ca="1">IFERROR(__xludf.DUMMYFUNCTION("GOOGLETRANSLATE(C733,""ja"",""vi"")"),"Đấu giá&gt; ô tô, xe máy&gt; ô tô cũ, ô tô mới&gt; Mercedes-Benz&gt; Viano")</f>
        <v>Đấu giá&gt; ô tô, xe máy&gt; ô tô cũ, ô tô mới&gt; Mercedes-Benz&gt; Viano</v>
      </c>
      <c r="F733" t="str">
        <f t="shared" ca="1" si="11"/>
        <v>"2084058454" : "Viano",</v>
      </c>
    </row>
    <row r="734" spans="1:6" ht="15.75" customHeight="1">
      <c r="A734" s="18">
        <v>2084045782</v>
      </c>
      <c r="B734" s="18" t="s">
        <v>12688</v>
      </c>
      <c r="C734" s="18" t="s">
        <v>12690</v>
      </c>
      <c r="D734" s="5" t="str">
        <f ca="1">IFERROR(__xludf.DUMMYFUNCTION("GOOGLETRANSLATE(B734,""ja"",""vi"")"),"loại vừa")</f>
        <v>loại vừa</v>
      </c>
      <c r="E734" s="5" t="str">
        <f ca="1">IFERROR(__xludf.DUMMYFUNCTION("GOOGLETRANSLATE(C734,""ja"",""vi"")"),"Đấu giá&gt; ô tô, xe máy&gt; ô tô cũ, ô tô mới&gt; Mercedes-Benz&gt; loại vừa")</f>
        <v>Đấu giá&gt; ô tô, xe máy&gt; ô tô cũ, ô tô mới&gt; Mercedes-Benz&gt; loại vừa</v>
      </c>
      <c r="F734" t="str">
        <f t="shared" ca="1" si="11"/>
        <v>"2084045782" : "loại vừa",</v>
      </c>
    </row>
    <row r="735" spans="1:6" ht="15.75" customHeight="1">
      <c r="A735" s="18">
        <v>2084045783</v>
      </c>
      <c r="B735" s="18" t="s">
        <v>46</v>
      </c>
      <c r="C735" s="18" t="s">
        <v>12696</v>
      </c>
      <c r="D735" s="5" t="str">
        <f ca="1">IFERROR(__xludf.DUMMYFUNCTION("GOOGLETRANSLATE(B735,""ja"",""vi"")"),"nếu không thì")</f>
        <v>nếu không thì</v>
      </c>
      <c r="E735" s="5" t="str">
        <f ca="1">IFERROR(__xludf.DUMMYFUNCTION("GOOGLETRANSLATE(C735,""ja"",""vi"")"),"Đấu giá&gt; ô tô, xe máy&gt; ô tô cũ, ô tô mới&gt; Mercedes-Benz&gt; Khác")</f>
        <v>Đấu giá&gt; ô tô, xe máy&gt; ô tô cũ, ô tô mới&gt; Mercedes-Benz&gt; Khác</v>
      </c>
      <c r="F735" t="str">
        <f t="shared" ca="1" si="11"/>
        <v>"2084045783" : "nếu không thì",</v>
      </c>
    </row>
    <row r="736" spans="1:6" ht="15.75" customHeight="1">
      <c r="A736" s="18">
        <v>2084053055</v>
      </c>
      <c r="B736" s="18" t="s">
        <v>12699</v>
      </c>
      <c r="C736" s="18" t="s">
        <v>12701</v>
      </c>
      <c r="D736" s="5" t="str">
        <f ca="1">IFERROR(__xludf.DUMMYFUNCTION("GOOGLETRANSLATE(B736,""ja"",""vi"")"),"MG B")</f>
        <v>MG B</v>
      </c>
      <c r="E736" s="5" t="str">
        <f ca="1">IFERROR(__xludf.DUMMYFUNCTION("GOOGLETRANSLATE(C736,""ja"",""vi"")"),"Đấu giá&gt; ô tô, xe máy&gt; ô tô cũ, ô tô mới&gt; MG&gt; MG B")</f>
        <v>Đấu giá&gt; ô tô, xe máy&gt; ô tô cũ, ô tô mới&gt; MG&gt; MG B</v>
      </c>
      <c r="F736" t="str">
        <f t="shared" ca="1" si="11"/>
        <v>"2084053055" : "MG B",</v>
      </c>
    </row>
    <row r="737" spans="1:6" ht="15.75" customHeight="1">
      <c r="A737" s="18">
        <v>2084048959</v>
      </c>
      <c r="B737" s="18" t="s">
        <v>12704</v>
      </c>
      <c r="C737" s="18" t="s">
        <v>12706</v>
      </c>
      <c r="D737" s="5" t="str">
        <f ca="1">IFERROR(__xludf.DUMMYFUNCTION("GOOGLETRANSLATE(B737,""ja"",""vi"")"),"MG F")</f>
        <v>MG F</v>
      </c>
      <c r="E737" s="5" t="str">
        <f ca="1">IFERROR(__xludf.DUMMYFUNCTION("GOOGLETRANSLATE(C737,""ja"",""vi"")"),"Đấu giá&gt; ô tô, xe máy&gt; ô tô cũ, ô tô mới&gt; MG&gt; MG F")</f>
        <v>Đấu giá&gt; ô tô, xe máy&gt; ô tô cũ, ô tô mới&gt; MG&gt; MG F</v>
      </c>
      <c r="F737" t="str">
        <f t="shared" ca="1" si="11"/>
        <v>"2084048959" : "MG F",</v>
      </c>
    </row>
    <row r="738" spans="1:6" ht="15.75" customHeight="1">
      <c r="A738" s="18">
        <v>2084056553</v>
      </c>
      <c r="B738" s="18" t="s">
        <v>12710</v>
      </c>
      <c r="C738" s="18" t="s">
        <v>12711</v>
      </c>
      <c r="D738" s="5" t="str">
        <f ca="1">IFERROR(__xludf.DUMMYFUNCTION("GOOGLETRANSLATE(B738,""ja"",""vi"")"),"MG TF")</f>
        <v>MG TF</v>
      </c>
      <c r="E738" s="5" t="str">
        <f ca="1">IFERROR(__xludf.DUMMYFUNCTION("GOOGLETRANSLATE(C738,""ja"",""vi"")"),"Đấu giá&gt; ô tô, xe máy&gt; ô tô cũ, ô tô mới&gt; MG&gt; MG TF")</f>
        <v>Đấu giá&gt; ô tô, xe máy&gt; ô tô cũ, ô tô mới&gt; MG&gt; MG TF</v>
      </c>
      <c r="F738" t="str">
        <f t="shared" ca="1" si="11"/>
        <v>"2084056553" : "MG TF",</v>
      </c>
    </row>
    <row r="739" spans="1:6" ht="15.75" customHeight="1">
      <c r="A739" s="18">
        <v>2084055968</v>
      </c>
      <c r="B739" s="18" t="s">
        <v>12715</v>
      </c>
      <c r="C739" s="18" t="s">
        <v>12717</v>
      </c>
      <c r="D739" s="5" t="str">
        <f ca="1">IFERROR(__xludf.DUMMYFUNCTION("GOOGLETRANSLATE(B739,""ja"",""vi"")"),"MG ZT")</f>
        <v>MG ZT</v>
      </c>
      <c r="E739" s="5" t="str">
        <f ca="1">IFERROR(__xludf.DUMMYFUNCTION("GOOGLETRANSLATE(C739,""ja"",""vi"")"),"Đấu giá&gt; ô tô, xe máy&gt; ô tô cũ, ô tô mới&gt; MG&gt; MG ZT")</f>
        <v>Đấu giá&gt; ô tô, xe máy&gt; ô tô cũ, ô tô mới&gt; MG&gt; MG ZT</v>
      </c>
      <c r="F739" t="str">
        <f t="shared" ca="1" si="11"/>
        <v>"2084055968" : "MG ZT",</v>
      </c>
    </row>
    <row r="740" spans="1:6" ht="15.75" customHeight="1">
      <c r="A740" s="18">
        <v>2084055969</v>
      </c>
      <c r="B740" s="18" t="s">
        <v>12720</v>
      </c>
      <c r="C740" s="18" t="s">
        <v>12721</v>
      </c>
      <c r="D740" s="5" t="str">
        <f ca="1">IFERROR(__xludf.DUMMYFUNCTION("GOOGLETRANSLATE(B740,""ja"",""vi"")"),"MG ZT-T")</f>
        <v>MG ZT-T</v>
      </c>
      <c r="E740" s="5" t="str">
        <f ca="1">IFERROR(__xludf.DUMMYFUNCTION("GOOGLETRANSLATE(C740,""ja"",""vi"")"),"Đấu giá&gt; ô tô, xe máy&gt; ô tô cũ, ô tô mới&gt; MG&gt; MG ZT-T")</f>
        <v>Đấu giá&gt; ô tô, xe máy&gt; ô tô cũ, ô tô mới&gt; MG&gt; MG ZT-T</v>
      </c>
      <c r="F740" t="str">
        <f t="shared" ca="1" si="11"/>
        <v>"2084055969" : "MG ZT-T",</v>
      </c>
    </row>
    <row r="741" spans="1:6" ht="15.75" customHeight="1">
      <c r="A741" s="18">
        <v>2084048960</v>
      </c>
      <c r="B741" s="18" t="s">
        <v>46</v>
      </c>
      <c r="C741" s="18" t="s">
        <v>12726</v>
      </c>
      <c r="D741" s="5" t="str">
        <f ca="1">IFERROR(__xludf.DUMMYFUNCTION("GOOGLETRANSLATE(B741,""ja"",""vi"")"),"nếu không thì")</f>
        <v>nếu không thì</v>
      </c>
      <c r="E741" s="5" t="str">
        <f ca="1">IFERROR(__xludf.DUMMYFUNCTION("GOOGLETRANSLATE(C741,""ja"",""vi"")"),"Đấu giá&gt; ô tô, xe máy&gt; ô tô cũ, ô tô mới&gt; MG&gt; Khác")</f>
        <v>Đấu giá&gt; ô tô, xe máy&gt; ô tô cũ, ô tô mới&gt; MG&gt; Khác</v>
      </c>
      <c r="F741" t="str">
        <f t="shared" ca="1" si="11"/>
        <v>"2084048960" : "nếu không thì",</v>
      </c>
    </row>
    <row r="742" spans="1:6" ht="15.75" customHeight="1">
      <c r="A742" s="18">
        <v>2084049013</v>
      </c>
      <c r="B742" s="18" t="s">
        <v>12729</v>
      </c>
      <c r="C742" s="18" t="s">
        <v>12730</v>
      </c>
      <c r="D742" s="5" t="str">
        <f ca="1">IFERROR(__xludf.DUMMYFUNCTION("GOOGLETRANSLATE(B742,""ja"",""vi"")"),"S loại")</f>
        <v>S loại</v>
      </c>
      <c r="E742" s="5" t="str">
        <f ca="1">IFERROR(__xludf.DUMMYFUNCTION("GOOGLETRANSLATE(C742,""ja"",""vi"")"),"Đấu giá&gt; ô tô, xe máy&gt; ô tô cũ, ô tô mới&gt; Jaguar&gt; S Loại")</f>
        <v>Đấu giá&gt; ô tô, xe máy&gt; ô tô cũ, ô tô mới&gt; Jaguar&gt; S Loại</v>
      </c>
      <c r="F742" t="str">
        <f t="shared" ca="1" si="11"/>
        <v>"2084049013" : "S loại",</v>
      </c>
    </row>
    <row r="743" spans="1:6" ht="15.75" customHeight="1">
      <c r="A743" s="18">
        <v>2084299577</v>
      </c>
      <c r="B743" s="18" t="s">
        <v>12735</v>
      </c>
      <c r="C743" s="18" t="s">
        <v>12736</v>
      </c>
      <c r="D743" s="5" t="str">
        <f ca="1">IFERROR(__xludf.DUMMYFUNCTION("GOOGLETRANSLATE(B743,""ja"",""vi"")"),"XF Dòng")</f>
        <v>XF Dòng</v>
      </c>
      <c r="E743" s="5" t="str">
        <f ca="1">IFERROR(__xludf.DUMMYFUNCTION("GOOGLETRANSLATE(C743,""ja"",""vi"")"),"Đấu giá&gt; ô tô, xe máy&gt; ô tô cũ, ô tô mới&gt; Jaguar&gt; XF loạt")</f>
        <v>Đấu giá&gt; ô tô, xe máy&gt; ô tô cũ, ô tô mới&gt; Jaguar&gt; XF loạt</v>
      </c>
      <c r="F743" t="str">
        <f t="shared" ca="1" si="11"/>
        <v>"2084299577" : "XF Dòng",</v>
      </c>
    </row>
    <row r="744" spans="1:6" ht="15.75" customHeight="1">
      <c r="A744" s="18">
        <v>2084049014</v>
      </c>
      <c r="B744" s="18" t="s">
        <v>12740</v>
      </c>
      <c r="C744" s="18" t="s">
        <v>12741</v>
      </c>
      <c r="D744" s="5" t="str">
        <f ca="1">IFERROR(__xludf.DUMMYFUNCTION("GOOGLETRANSLATE(B744,""ja"",""vi"")"),"XJ Dòng")</f>
        <v>XJ Dòng</v>
      </c>
      <c r="E744" s="5" t="str">
        <f ca="1">IFERROR(__xludf.DUMMYFUNCTION("GOOGLETRANSLATE(C744,""ja"",""vi"")"),"Đấu giá&gt; ô tô, xe máy&gt; ô tô cũ, ô tô mới&gt; Jaguar&gt; XJ Dòng")</f>
        <v>Đấu giá&gt; ô tô, xe máy&gt; ô tô cũ, ô tô mới&gt; Jaguar&gt; XJ Dòng</v>
      </c>
      <c r="F744" t="str">
        <f t="shared" ca="1" si="11"/>
        <v>"2084049014" : "XJ Dòng",</v>
      </c>
    </row>
    <row r="745" spans="1:6" ht="15.75" customHeight="1">
      <c r="A745" s="18">
        <v>2084049015</v>
      </c>
      <c r="B745" s="18" t="s">
        <v>12745</v>
      </c>
      <c r="C745" s="18" t="s">
        <v>12747</v>
      </c>
      <c r="D745" s="5" t="str">
        <f ca="1">IFERROR(__xludf.DUMMYFUNCTION("GOOGLETRANSLATE(B745,""ja"",""vi"")"),"XK hàng loạt")</f>
        <v>XK hàng loạt</v>
      </c>
      <c r="E745" s="5" t="str">
        <f ca="1">IFERROR(__xludf.DUMMYFUNCTION("GOOGLETRANSLATE(C745,""ja"",""vi"")"),"Đấu giá&gt; ô tô, xe máy&gt; ô tô cũ, ô tô mới&gt; Jaguar&gt; loạt XK")</f>
        <v>Đấu giá&gt; ô tô, xe máy&gt; ô tô cũ, ô tô mới&gt; Jaguar&gt; loạt XK</v>
      </c>
      <c r="F745" t="str">
        <f t="shared" ca="1" si="11"/>
        <v>"2084049015" : "XK hàng loạt",</v>
      </c>
    </row>
    <row r="746" spans="1:6" ht="15.75" customHeight="1">
      <c r="A746" s="18">
        <v>2084049016</v>
      </c>
      <c r="B746" s="18" t="s">
        <v>12750</v>
      </c>
      <c r="C746" s="18" t="s">
        <v>12751</v>
      </c>
      <c r="D746" s="5" t="str">
        <f ca="1">IFERROR(__xludf.DUMMYFUNCTION("GOOGLETRANSLATE(B746,""ja"",""vi"")"),"X loại")</f>
        <v>X loại</v>
      </c>
      <c r="E746" s="5" t="str">
        <f ca="1">IFERROR(__xludf.DUMMYFUNCTION("GOOGLETRANSLATE(C746,""ja"",""vi"")"),"Đấu giá&gt; ô tô, xe máy&gt; ô tô cũ, ô tô mới&gt; Jaguar&gt; Loại X")</f>
        <v>Đấu giá&gt; ô tô, xe máy&gt; ô tô cũ, ô tô mới&gt; Jaguar&gt; Loại X</v>
      </c>
      <c r="F746" t="str">
        <f t="shared" ca="1" si="11"/>
        <v>"2084049016" : "X loại",</v>
      </c>
    </row>
    <row r="747" spans="1:6" ht="15.75" customHeight="1">
      <c r="A747" s="18">
        <v>2084049017</v>
      </c>
      <c r="B747" s="18" t="s">
        <v>12755</v>
      </c>
      <c r="C747" s="18" t="s">
        <v>12756</v>
      </c>
      <c r="D747" s="5" t="str">
        <f ca="1">IFERROR(__xludf.DUMMYFUNCTION("GOOGLETRANSLATE(B747,""ja"",""vi"")"),"tối cao")</f>
        <v>tối cao</v>
      </c>
      <c r="E747" s="5" t="str">
        <f ca="1">IFERROR(__xludf.DUMMYFUNCTION("GOOGLETRANSLATE(C747,""ja"",""vi"")"),"Đấu giá&gt; ô tô, xe máy&gt; ô tô cũ, ô tô mới&gt; Jaguar&gt; Sovereign")</f>
        <v>Đấu giá&gt; ô tô, xe máy&gt; ô tô cũ, ô tô mới&gt; Jaguar&gt; Sovereign</v>
      </c>
      <c r="F747" t="str">
        <f t="shared" ca="1" si="11"/>
        <v>"2084049017" : "tối cao",</v>
      </c>
    </row>
    <row r="748" spans="1:6" ht="15.75" customHeight="1">
      <c r="A748" s="18">
        <v>2084049018</v>
      </c>
      <c r="B748" s="18" t="s">
        <v>46</v>
      </c>
      <c r="C748" s="18" t="s">
        <v>12761</v>
      </c>
      <c r="D748" s="5" t="str">
        <f ca="1">IFERROR(__xludf.DUMMYFUNCTION("GOOGLETRANSLATE(B748,""ja"",""vi"")"),"nếu không thì")</f>
        <v>nếu không thì</v>
      </c>
      <c r="E748" s="5" t="str">
        <f ca="1">IFERROR(__xludf.DUMMYFUNCTION("GOOGLETRANSLATE(C748,""ja"",""vi"")"),"Đấu giá&gt; ô tô, xe máy&gt; ô tô cũ, ô tô mới&gt; Jaguar&gt; Khác")</f>
        <v>Đấu giá&gt; ô tô, xe máy&gt; ô tô cũ, ô tô mới&gt; Jaguar&gt; Khác</v>
      </c>
      <c r="F748" t="str">
        <f t="shared" ca="1" si="11"/>
        <v>"2084049018" : "nếu không thì",</v>
      </c>
    </row>
    <row r="749" spans="1:6" ht="15.75" customHeight="1">
      <c r="A749" s="18">
        <v>2084049051</v>
      </c>
      <c r="B749" s="18" t="s">
        <v>12762</v>
      </c>
      <c r="C749" s="18" t="s">
        <v>12765</v>
      </c>
      <c r="D749" s="5" t="str">
        <f ca="1">IFERROR(__xludf.DUMMYFUNCTION("GOOGLETRANSLATE(B749,""ja"",""vi"")"),"double Six")</f>
        <v>double Six</v>
      </c>
      <c r="E749" s="5" t="str">
        <f ca="1">IFERROR(__xludf.DUMMYFUNCTION("GOOGLETRANSLATE(C749,""ja"",""vi"")"),"Đấu giá&gt; ô tô, xe máy&gt; ô tô cũ, ô tô mới&gt; Daimler&gt; Double Six")</f>
        <v>Đấu giá&gt; ô tô, xe máy&gt; ô tô cũ, ô tô mới&gt; Daimler&gt; Double Six</v>
      </c>
      <c r="F749" t="str">
        <f t="shared" ca="1" si="11"/>
        <v>"2084049051" : "double Six",</v>
      </c>
    </row>
    <row r="750" spans="1:6" ht="15.75" customHeight="1">
      <c r="A750" s="18">
        <v>2084049050</v>
      </c>
      <c r="B750" s="18" t="s">
        <v>46</v>
      </c>
      <c r="C750" s="18" t="s">
        <v>12768</v>
      </c>
      <c r="D750" s="5" t="str">
        <f ca="1">IFERROR(__xludf.DUMMYFUNCTION("GOOGLETRANSLATE(B750,""ja"",""vi"")"),"nếu không thì")</f>
        <v>nếu không thì</v>
      </c>
      <c r="E750" s="5" t="str">
        <f ca="1">IFERROR(__xludf.DUMMYFUNCTION("GOOGLETRANSLATE(C750,""ja"",""vi"")"),"Đấu giá&gt; ô tô, xe máy&gt; ô tô cũ, ô tô mới&gt; Daimler&gt; Khác")</f>
        <v>Đấu giá&gt; ô tô, xe máy&gt; ô tô cũ, ô tô mới&gt; Daimler&gt; Khác</v>
      </c>
      <c r="F750" t="str">
        <f t="shared" ca="1" si="11"/>
        <v>"2084049050" : "nếu không thì",</v>
      </c>
    </row>
    <row r="751" spans="1:6" ht="15.75" customHeight="1">
      <c r="A751" s="18">
        <v>2084048195</v>
      </c>
      <c r="B751" s="18" t="s">
        <v>12772</v>
      </c>
      <c r="C751" s="18" t="s">
        <v>12774</v>
      </c>
      <c r="D751" s="5" t="str">
        <f ca="1">IFERROR(__xludf.DUMMYFUNCTION("GOOGLETRANSLATE(B751,""ja"",""vi"")"),"khám phá")</f>
        <v>khám phá</v>
      </c>
      <c r="E751" s="5" t="str">
        <f ca="1">IFERROR(__xludf.DUMMYFUNCTION("GOOGLETRANSLATE(C751,""ja"",""vi"")"),"Đấu giá&gt; ô tô, xe máy&gt; ô tô cũ, ô tô mới&gt; Land Rover&gt; Discovery")</f>
        <v>Đấu giá&gt; ô tô, xe máy&gt; ô tô cũ, ô tô mới&gt; Land Rover&gt; Discovery</v>
      </c>
      <c r="F751" t="str">
        <f t="shared" ca="1" si="11"/>
        <v>"2084048195" : "khám phá",</v>
      </c>
    </row>
    <row r="752" spans="1:6" ht="15.75" customHeight="1">
      <c r="A752" s="18">
        <v>2084049166</v>
      </c>
      <c r="B752" s="18" t="s">
        <v>12778</v>
      </c>
      <c r="C752" s="18" t="s">
        <v>12779</v>
      </c>
      <c r="D752" s="5" t="str">
        <f ca="1">IFERROR(__xludf.DUMMYFUNCTION("GOOGLETRANSLATE(B752,""ja"",""vi"")"),"Defender")</f>
        <v>Defender</v>
      </c>
      <c r="E752" s="5" t="str">
        <f ca="1">IFERROR(__xludf.DUMMYFUNCTION("GOOGLETRANSLATE(C752,""ja"",""vi"")"),"Đấu giá&gt; ô tô, xe máy&gt; ô tô cũ, ô tô mới&gt; Land Rover&gt; Defender")</f>
        <v>Đấu giá&gt; ô tô, xe máy&gt; ô tô cũ, ô tô mới&gt; Land Rover&gt; Defender</v>
      </c>
      <c r="F752" t="str">
        <f t="shared" ca="1" si="11"/>
        <v>"2084049166" : "Defender",</v>
      </c>
    </row>
    <row r="753" spans="1:6" ht="15.75" customHeight="1">
      <c r="A753" s="18">
        <v>2084053060</v>
      </c>
      <c r="B753" s="18" t="s">
        <v>12782</v>
      </c>
      <c r="C753" s="18" t="s">
        <v>12784</v>
      </c>
      <c r="D753" s="5" t="str">
        <f ca="1">IFERROR(__xludf.DUMMYFUNCTION("GOOGLETRANSLATE(B753,""ja"",""vi"")"),"Freelander")</f>
        <v>Freelander</v>
      </c>
      <c r="E753" s="5" t="str">
        <f ca="1">IFERROR(__xludf.DUMMYFUNCTION("GOOGLETRANSLATE(C753,""ja"",""vi"")"),"Đấu giá&gt; ô tô, xe máy&gt; ô tô cũ, ô tô mới&gt; Land Rover&gt; Freelander")</f>
        <v>Đấu giá&gt; ô tô, xe máy&gt; ô tô cũ, ô tô mới&gt; Land Rover&gt; Freelander</v>
      </c>
      <c r="F753" t="str">
        <f t="shared" ca="1" si="11"/>
        <v>"2084053060" : "Freelander",</v>
      </c>
    </row>
    <row r="754" spans="1:6" ht="15.75" customHeight="1">
      <c r="A754" s="18">
        <v>2084048196</v>
      </c>
      <c r="B754" s="18" t="s">
        <v>12787</v>
      </c>
      <c r="C754" s="18" t="s">
        <v>12789</v>
      </c>
      <c r="D754" s="5" t="str">
        <f ca="1">IFERROR(__xludf.DUMMYFUNCTION("GOOGLETRANSLATE(B754,""ja"",""vi"")"),"Range Rover")</f>
        <v>Range Rover</v>
      </c>
      <c r="E754" s="5" t="str">
        <f ca="1">IFERROR(__xludf.DUMMYFUNCTION("GOOGLETRANSLATE(C754,""ja"",""vi"")"),"Đấu giá&gt; ô tô, xe máy&gt; ô tô cũ, ô tô mới&gt; Land Rover&gt; Range Rover")</f>
        <v>Đấu giá&gt; ô tô, xe máy&gt; ô tô cũ, ô tô mới&gt; Land Rover&gt; Range Rover</v>
      </c>
      <c r="F754" t="str">
        <f t="shared" ca="1" si="11"/>
        <v>"2084048196" : "Range Rover",</v>
      </c>
    </row>
    <row r="755" spans="1:6" ht="15.75" customHeight="1">
      <c r="A755" s="18">
        <v>2084048194</v>
      </c>
      <c r="B755" s="18" t="s">
        <v>46</v>
      </c>
      <c r="C755" s="18" t="s">
        <v>12792</v>
      </c>
      <c r="D755" s="5" t="str">
        <f ca="1">IFERROR(__xludf.DUMMYFUNCTION("GOOGLETRANSLATE(B755,""ja"",""vi"")"),"nếu không thì")</f>
        <v>nếu không thì</v>
      </c>
      <c r="E755" s="5" t="str">
        <f ca="1">IFERROR(__xludf.DUMMYFUNCTION("GOOGLETRANSLATE(C755,""ja"",""vi"")"),"Đấu giá&gt; ô tô, xe máy&gt; ô tô cũ, ô tô mới&gt; Land Rover&gt; Khác")</f>
        <v>Đấu giá&gt; ô tô, xe máy&gt; ô tô cũ, ô tô mới&gt; Land Rover&gt; Khác</v>
      </c>
      <c r="F755" t="str">
        <f t="shared" ca="1" si="11"/>
        <v>"2084048194" : "nếu không thì",</v>
      </c>
    </row>
    <row r="756" spans="1:6" ht="15.75" customHeight="1">
      <c r="A756" s="18">
        <v>2084049177</v>
      </c>
      <c r="B756" s="18">
        <v>114</v>
      </c>
      <c r="C756" s="18" t="s">
        <v>12797</v>
      </c>
      <c r="D756" s="5" t="str">
        <f ca="1">IFERROR(__xludf.DUMMYFUNCTION("GOOGLETRANSLATE(B756,""ja"",""vi"")"),"114")</f>
        <v>114</v>
      </c>
      <c r="E756" s="5" t="str">
        <f ca="1">IFERROR(__xludf.DUMMYFUNCTION("GOOGLETRANSLATE(C756,""ja"",""vi"")"),"Đấu giá&gt; ô tô, xe máy&gt; ô tô cũ, ô tô mới&gt; Rover&gt; 114")</f>
        <v>Đấu giá&gt; ô tô, xe máy&gt; ô tô cũ, ô tô mới&gt; Rover&gt; 114</v>
      </c>
      <c r="F756" t="str">
        <f t="shared" ca="1" si="11"/>
        <v>"2084049177" : "114",</v>
      </c>
    </row>
    <row r="757" spans="1:6" ht="15.75" customHeight="1">
      <c r="A757" s="18">
        <v>2084049178</v>
      </c>
      <c r="B757" s="18">
        <v>200</v>
      </c>
      <c r="C757" s="18" t="s">
        <v>12800</v>
      </c>
      <c r="D757" s="5" t="str">
        <f ca="1">IFERROR(__xludf.DUMMYFUNCTION("GOOGLETRANSLATE(B757,""ja"",""vi"")"),"200")</f>
        <v>200</v>
      </c>
      <c r="E757" s="5" t="str">
        <f ca="1">IFERROR(__xludf.DUMMYFUNCTION("GOOGLETRANSLATE(C757,""ja"",""vi"")"),"Đấu giá&gt; ô tô, xe máy&gt; ô tô cũ, ô tô mới&gt; Rover&gt; 200")</f>
        <v>Đấu giá&gt; ô tô, xe máy&gt; ô tô cũ, ô tô mới&gt; Rover&gt; 200</v>
      </c>
      <c r="F757" t="str">
        <f t="shared" ca="1" si="11"/>
        <v>"2084049178" : "200",</v>
      </c>
    </row>
    <row r="758" spans="1:6" ht="15.75" customHeight="1">
      <c r="A758" s="18">
        <v>2084049179</v>
      </c>
      <c r="B758" s="18">
        <v>400</v>
      </c>
      <c r="C758" s="18" t="s">
        <v>12806</v>
      </c>
      <c r="D758" s="5" t="str">
        <f ca="1">IFERROR(__xludf.DUMMYFUNCTION("GOOGLETRANSLATE(B758,""ja"",""vi"")"),"400")</f>
        <v>400</v>
      </c>
      <c r="E758" s="5" t="str">
        <f ca="1">IFERROR(__xludf.DUMMYFUNCTION("GOOGLETRANSLATE(C758,""ja"",""vi"")"),"Đấu giá&gt; ô tô, xe máy&gt; ô tô cũ, ô tô mới&gt; Rover&gt; 400")</f>
        <v>Đấu giá&gt; ô tô, xe máy&gt; ô tô cũ, ô tô mới&gt; Rover&gt; 400</v>
      </c>
      <c r="F758" t="str">
        <f t="shared" ca="1" si="11"/>
        <v>"2084049179" : "400",</v>
      </c>
    </row>
    <row r="759" spans="1:6" ht="15.75" customHeight="1">
      <c r="A759" s="18">
        <v>2084049180</v>
      </c>
      <c r="B759" s="18">
        <v>600</v>
      </c>
      <c r="C759" s="18" t="s">
        <v>12812</v>
      </c>
      <c r="D759" s="5" t="str">
        <f ca="1">IFERROR(__xludf.DUMMYFUNCTION("GOOGLETRANSLATE(B759,""ja"",""vi"")"),"600")</f>
        <v>600</v>
      </c>
      <c r="E759" s="5" t="str">
        <f ca="1">IFERROR(__xludf.DUMMYFUNCTION("GOOGLETRANSLATE(C759,""ja"",""vi"")"),"Đấu giá&gt; ô tô, xe máy&gt; ô tô cũ, ô tô mới&gt; Rover&gt; 600")</f>
        <v>Đấu giá&gt; ô tô, xe máy&gt; ô tô cũ, ô tô mới&gt; Rover&gt; 600</v>
      </c>
      <c r="F759" t="str">
        <f t="shared" ca="1" si="11"/>
        <v>"2084049180" : "600",</v>
      </c>
    </row>
    <row r="760" spans="1:6" ht="15.75" customHeight="1">
      <c r="A760" s="18">
        <v>2084054063</v>
      </c>
      <c r="B760" s="18">
        <v>75</v>
      </c>
      <c r="C760" s="18" t="s">
        <v>12817</v>
      </c>
      <c r="D760" s="5" t="str">
        <f ca="1">IFERROR(__xludf.DUMMYFUNCTION("GOOGLETRANSLATE(B760,""ja"",""vi"")"),"75")</f>
        <v>75</v>
      </c>
      <c r="E760" s="5" t="str">
        <f ca="1">IFERROR(__xludf.DUMMYFUNCTION("GOOGLETRANSLATE(C760,""ja"",""vi"")"),"Đấu giá&gt; ô tô, xe máy&gt; ô tô cũ, ô tô mới&gt; Rover&gt; 75")</f>
        <v>Đấu giá&gt; ô tô, xe máy&gt; ô tô cũ, ô tô mới&gt; Rover&gt; 75</v>
      </c>
      <c r="F760" t="str">
        <f t="shared" ca="1" si="11"/>
        <v>"2084054063" : "75",</v>
      </c>
    </row>
    <row r="761" spans="1:6" ht="15.75" customHeight="1">
      <c r="A761" s="18">
        <v>2084051742</v>
      </c>
      <c r="B761" s="18">
        <v>800</v>
      </c>
      <c r="C761" s="18" t="s">
        <v>12821</v>
      </c>
      <c r="D761" s="5" t="str">
        <f ca="1">IFERROR(__xludf.DUMMYFUNCTION("GOOGLETRANSLATE(B761,""ja"",""vi"")"),"800")</f>
        <v>800</v>
      </c>
      <c r="E761" s="5" t="str">
        <f ca="1">IFERROR(__xludf.DUMMYFUNCTION("GOOGLETRANSLATE(C761,""ja"",""vi"")"),"Đấu giá&gt; ô tô, xe máy&gt; ô tô cũ, ô tô mới&gt; Rover&gt; 800")</f>
        <v>Đấu giá&gt; ô tô, xe máy&gt; ô tô cũ, ô tô mới&gt; Rover&gt; 800</v>
      </c>
      <c r="F761" t="str">
        <f t="shared" ca="1" si="11"/>
        <v>"2084051742" : "800",</v>
      </c>
    </row>
    <row r="762" spans="1:6" ht="15.75" customHeight="1">
      <c r="A762" s="18">
        <v>2084053616</v>
      </c>
      <c r="B762" s="18" t="s">
        <v>12824</v>
      </c>
      <c r="C762" s="18" t="s">
        <v>12825</v>
      </c>
      <c r="D762" s="5" t="str">
        <f ca="1">IFERROR(__xludf.DUMMYFUNCTION("GOOGLETRANSLATE(B762,""ja"",""vi"")"),"Tuara")</f>
        <v>Tuara</v>
      </c>
      <c r="E762" s="5" t="str">
        <f ca="1">IFERROR(__xludf.DUMMYFUNCTION("GOOGLETRANSLATE(C762,""ja"",""vi"")"),"Đấu giá&gt; ô tô, xe máy&gt; ô tô cũ, ô tô mới&gt; Rover&gt; Tuara")</f>
        <v>Đấu giá&gt; ô tô, xe máy&gt; ô tô cũ, ô tô mới&gt; Rover&gt; Tuara</v>
      </c>
      <c r="F762" t="str">
        <f t="shared" ca="1" si="11"/>
        <v>"2084053616" : "Tuara",</v>
      </c>
    </row>
    <row r="763" spans="1:6" ht="15.75" customHeight="1">
      <c r="A763" s="18">
        <v>2084048192</v>
      </c>
      <c r="B763" s="18" t="s">
        <v>12829</v>
      </c>
      <c r="C763" s="18" t="s">
        <v>12830</v>
      </c>
      <c r="D763" s="5" t="str">
        <f ca="1">IFERROR(__xludf.DUMMYFUNCTION("GOOGLETRANSLATE(B763,""ja"",""vi"")"),"Mini")</f>
        <v>Mini</v>
      </c>
      <c r="E763" s="5" t="str">
        <f ca="1">IFERROR(__xludf.DUMMYFUNCTION("GOOGLETRANSLATE(C763,""ja"",""vi"")"),"Đấu giá&gt; ô tô, xe máy&gt; ô tô cũ, ô tô mới&gt; Rover&gt; Mini")</f>
        <v>Đấu giá&gt; ô tô, xe máy&gt; ô tô cũ, ô tô mới&gt; Rover&gt; Mini</v>
      </c>
      <c r="F763" t="str">
        <f t="shared" ca="1" si="11"/>
        <v>"2084048192" : "Mini",</v>
      </c>
    </row>
    <row r="764" spans="1:6" ht="15.75" customHeight="1">
      <c r="A764" s="18">
        <v>2084048191</v>
      </c>
      <c r="B764" s="18" t="s">
        <v>46</v>
      </c>
      <c r="C764" s="18" t="s">
        <v>12834</v>
      </c>
      <c r="D764" s="5" t="str">
        <f ca="1">IFERROR(__xludf.DUMMYFUNCTION("GOOGLETRANSLATE(B764,""ja"",""vi"")"),"nếu không thì")</f>
        <v>nếu không thì</v>
      </c>
      <c r="E764" s="5" t="str">
        <f ca="1">IFERROR(__xludf.DUMMYFUNCTION("GOOGLETRANSLATE(C764,""ja"",""vi"")"),"Đấu giá&gt; ô tô, xe máy&gt; ô tô cũ, ô tô mới&gt; Rover&gt; Khác")</f>
        <v>Đấu giá&gt; ô tô, xe máy&gt; ô tô cũ, ô tô mới&gt; Rover&gt; Khác</v>
      </c>
      <c r="F764" t="str">
        <f t="shared" ca="1" si="11"/>
        <v>"2084048191" : "nếu không thì",</v>
      </c>
    </row>
    <row r="765" spans="1:6" ht="15.75" customHeight="1">
      <c r="A765" s="18">
        <v>2084048968</v>
      </c>
      <c r="B765" s="18" t="s">
        <v>12839</v>
      </c>
      <c r="C765" s="18" t="s">
        <v>12840</v>
      </c>
      <c r="D765" s="5" t="str">
        <f ca="1">IFERROR(__xludf.DUMMYFUNCTION("GOOGLETRANSLATE(B765,""ja"",""vi"")"),"Alpha 145")</f>
        <v>Alpha 145</v>
      </c>
      <c r="E765" s="5" t="str">
        <f ca="1">IFERROR(__xludf.DUMMYFUNCTION("GOOGLETRANSLATE(C765,""ja"",""vi"")"),"Đấu giá&gt; ô tô, xe máy&gt; ô tô cũ, ô tô mới&gt; Alfa Romeo&gt; alpha 145")</f>
        <v>Đấu giá&gt; ô tô, xe máy&gt; ô tô cũ, ô tô mới&gt; Alfa Romeo&gt; alpha 145</v>
      </c>
      <c r="F765" t="str">
        <f t="shared" ca="1" si="11"/>
        <v>"2084048968" : "Alpha 145",</v>
      </c>
    </row>
    <row r="766" spans="1:6" ht="15.75" customHeight="1">
      <c r="A766" s="18">
        <v>2084048969</v>
      </c>
      <c r="B766" s="18" t="s">
        <v>12845</v>
      </c>
      <c r="C766" s="18" t="s">
        <v>12846</v>
      </c>
      <c r="D766" s="5" t="str">
        <f ca="1">IFERROR(__xludf.DUMMYFUNCTION("GOOGLETRANSLATE(B766,""ja"",""vi"")"),"Alpha 147")</f>
        <v>Alpha 147</v>
      </c>
      <c r="E766" s="5" t="str">
        <f ca="1">IFERROR(__xludf.DUMMYFUNCTION("GOOGLETRANSLATE(C766,""ja"",""vi"")"),"Đấu giá&gt; ô tô, xe máy&gt; ô tô cũ, ô tô mới&gt; Alfa Romeo&gt; Alfa 147")</f>
        <v>Đấu giá&gt; ô tô, xe máy&gt; ô tô cũ, ô tô mới&gt; Alfa Romeo&gt; Alfa 147</v>
      </c>
      <c r="F766" t="str">
        <f t="shared" ca="1" si="11"/>
        <v>"2084048969" : "Alpha 147",</v>
      </c>
    </row>
    <row r="767" spans="1:6" ht="15.75" customHeight="1">
      <c r="A767" s="18">
        <v>2084048970</v>
      </c>
      <c r="B767" s="18" t="s">
        <v>12850</v>
      </c>
      <c r="C767" s="18" t="s">
        <v>12852</v>
      </c>
      <c r="D767" s="5" t="str">
        <f ca="1">IFERROR(__xludf.DUMMYFUNCTION("GOOGLETRANSLATE(B767,""ja"",""vi"")"),"Alpha 155")</f>
        <v>Alpha 155</v>
      </c>
      <c r="E767" s="5" t="str">
        <f ca="1">IFERROR(__xludf.DUMMYFUNCTION("GOOGLETRANSLATE(C767,""ja"",""vi"")"),"Đấu giá&gt; ô tô, xe máy&gt; ô tô cũ, ô tô mới&gt; Alfa Romeo&gt; alpha 155")</f>
        <v>Đấu giá&gt; ô tô, xe máy&gt; ô tô cũ, ô tô mới&gt; Alfa Romeo&gt; alpha 155</v>
      </c>
      <c r="F767" t="str">
        <f t="shared" ca="1" si="11"/>
        <v>"2084048970" : "Alpha 155",</v>
      </c>
    </row>
    <row r="768" spans="1:6" ht="15.75" customHeight="1">
      <c r="A768" s="18">
        <v>2084048971</v>
      </c>
      <c r="B768" s="18" t="s">
        <v>12855</v>
      </c>
      <c r="C768" s="18" t="s">
        <v>12857</v>
      </c>
      <c r="D768" s="5" t="str">
        <f ca="1">IFERROR(__xludf.DUMMYFUNCTION("GOOGLETRANSLATE(B768,""ja"",""vi"")"),"Alpha 156")</f>
        <v>Alpha 156</v>
      </c>
      <c r="E768" s="5" t="str">
        <f ca="1">IFERROR(__xludf.DUMMYFUNCTION("GOOGLETRANSLATE(C768,""ja"",""vi"")"),"Đấu giá&gt; ô tô, xe máy&gt; ô tô cũ, ô tô mới&gt; Alfa Romeo&gt; Alfa 156")</f>
        <v>Đấu giá&gt; ô tô, xe máy&gt; ô tô cũ, ô tô mới&gt; Alfa Romeo&gt; Alfa 156</v>
      </c>
      <c r="F768" t="str">
        <f t="shared" ca="1" si="11"/>
        <v>"2084048971" : "Alpha 156",</v>
      </c>
    </row>
    <row r="769" spans="1:6" ht="15.75" customHeight="1">
      <c r="A769" s="18">
        <v>2084299578</v>
      </c>
      <c r="B769" s="18" t="s">
        <v>12861</v>
      </c>
      <c r="C769" s="18" t="s">
        <v>12863</v>
      </c>
      <c r="D769" s="5" t="str">
        <f ca="1">IFERROR(__xludf.DUMMYFUNCTION("GOOGLETRANSLATE(B769,""ja"",""vi"")"),"Alpha 159")</f>
        <v>Alpha 159</v>
      </c>
      <c r="E769" s="5" t="str">
        <f ca="1">IFERROR(__xludf.DUMMYFUNCTION("GOOGLETRANSLATE(C769,""ja"",""vi"")"),"Đấu giá&gt; ô tô, xe máy&gt; ô tô cũ, ô tô mới&gt; Alfa Romeo&gt; Alfa 159")</f>
        <v>Đấu giá&gt; ô tô, xe máy&gt; ô tô cũ, ô tô mới&gt; Alfa Romeo&gt; Alfa 159</v>
      </c>
      <c r="F769" t="str">
        <f t="shared" ca="1" si="11"/>
        <v>"2084299578" : "Alpha 159",</v>
      </c>
    </row>
    <row r="770" spans="1:6" ht="15.75" customHeight="1">
      <c r="A770" s="18">
        <v>2084048972</v>
      </c>
      <c r="B770" s="18" t="s">
        <v>12868</v>
      </c>
      <c r="C770" s="18" t="s">
        <v>12871</v>
      </c>
      <c r="D770" s="5" t="str">
        <f ca="1">IFERROR(__xludf.DUMMYFUNCTION("GOOGLETRANSLATE(B770,""ja"",""vi"")"),"Alpha 164")</f>
        <v>Alpha 164</v>
      </c>
      <c r="E770" s="5" t="str">
        <f ca="1">IFERROR(__xludf.DUMMYFUNCTION("GOOGLETRANSLATE(C770,""ja"",""vi"")"),"Đấu giá&gt; ô tô, xe máy&gt; ô tô cũ, ô tô mới&gt; Alfa Romeo&gt; alpha 164")</f>
        <v>Đấu giá&gt; ô tô, xe máy&gt; ô tô cũ, ô tô mới&gt; Alfa Romeo&gt; alpha 164</v>
      </c>
      <c r="F770" t="str">
        <f t="shared" ref="F770:F833" ca="1" si="12">CONCATENATE(CHAR(34)&amp;"",A770,""&amp;CHAR(34)," : ", CHAR(34)&amp;"",D770,""&amp;CHAR(34),",")</f>
        <v>"2084048972" : "Alpha 164",</v>
      </c>
    </row>
    <row r="771" spans="1:6" ht="15.75" customHeight="1">
      <c r="A771" s="18">
        <v>2084299579</v>
      </c>
      <c r="B771" s="18" t="s">
        <v>12876</v>
      </c>
      <c r="C771" s="18" t="s">
        <v>12877</v>
      </c>
      <c r="D771" s="5" t="str">
        <f ca="1">IFERROR(__xludf.DUMMYFUNCTION("GOOGLETRANSLATE(B771,""ja"",""vi"")"),"Alpha 166")</f>
        <v>Alpha 166</v>
      </c>
      <c r="E771" s="5" t="str">
        <f ca="1">IFERROR(__xludf.DUMMYFUNCTION("GOOGLETRANSLATE(C771,""ja"",""vi"")"),"Đấu giá&gt; ô tô, xe máy&gt; ô tô cũ, ô tô mới&gt; Alfa Romeo&gt; alpha 166")</f>
        <v>Đấu giá&gt; ô tô, xe máy&gt; ô tô cũ, ô tô mới&gt; Alfa Romeo&gt; alpha 166</v>
      </c>
      <c r="F771" t="str">
        <f t="shared" ca="1" si="12"/>
        <v>"2084299579" : "Alpha 166",</v>
      </c>
    </row>
    <row r="772" spans="1:6" ht="15.75" customHeight="1">
      <c r="A772" s="18">
        <v>2084048973</v>
      </c>
      <c r="B772" s="18" t="s">
        <v>12882</v>
      </c>
      <c r="C772" s="18" t="s">
        <v>12884</v>
      </c>
      <c r="D772" s="5" t="str">
        <f ca="1">IFERROR(__xludf.DUMMYFUNCTION("GOOGLETRANSLATE(B772,""ja"",""vi"")"),"Alpha 75")</f>
        <v>Alpha 75</v>
      </c>
      <c r="E772" s="5" t="str">
        <f ca="1">IFERROR(__xludf.DUMMYFUNCTION("GOOGLETRANSLATE(C772,""ja"",""vi"")"),"Đấu giá&gt; ô tô, xe máy&gt; ô tô cũ, ô tô mới&gt; Alfa Romeo&gt; alpha 75")</f>
        <v>Đấu giá&gt; ô tô, xe máy&gt; ô tô cũ, ô tô mới&gt; Alfa Romeo&gt; alpha 75</v>
      </c>
      <c r="F772" t="str">
        <f t="shared" ca="1" si="12"/>
        <v>"2084048973" : "Alpha 75",</v>
      </c>
    </row>
    <row r="773" spans="1:6" ht="15.75" customHeight="1">
      <c r="A773" s="18">
        <v>2084299581</v>
      </c>
      <c r="B773" s="18" t="s">
        <v>12887</v>
      </c>
      <c r="C773" s="18" t="s">
        <v>12888</v>
      </c>
      <c r="D773" s="5" t="str">
        <f ca="1">IFERROR(__xludf.DUMMYFUNCTION("GOOGLETRANSLATE(B773,""ja"",""vi"")"),"Alpha 8C")</f>
        <v>Alpha 8C</v>
      </c>
      <c r="E773" s="5" t="str">
        <f ca="1">IFERROR(__xludf.DUMMYFUNCTION("GOOGLETRANSLATE(C773,""ja"",""vi"")"),"Đấu giá&gt; ô tô, xe máy&gt; ô tô cũ, ô tô mới&gt; Alfa Romeo&gt; Alfa 8C")</f>
        <v>Đấu giá&gt; ô tô, xe máy&gt; ô tô cũ, ô tô mới&gt; Alfa Romeo&gt; Alfa 8C</v>
      </c>
      <c r="F773" t="str">
        <f t="shared" ca="1" si="12"/>
        <v>"2084299581" : "Alpha 8C",</v>
      </c>
    </row>
    <row r="774" spans="1:6" ht="15.75" customHeight="1">
      <c r="A774" s="18">
        <v>2084056554</v>
      </c>
      <c r="B774" s="18" t="s">
        <v>12891</v>
      </c>
      <c r="C774" s="18" t="s">
        <v>12893</v>
      </c>
      <c r="D774" s="5" t="str">
        <f ca="1">IFERROR(__xludf.DUMMYFUNCTION("GOOGLETRANSLATE(B774,""ja"",""vi"")"),"Alpha GT")</f>
        <v>Alpha GT</v>
      </c>
      <c r="E774" s="5" t="str">
        <f ca="1">IFERROR(__xludf.DUMMYFUNCTION("GOOGLETRANSLATE(C774,""ja"",""vi"")"),"Đấu giá&gt; ô tô, xe máy&gt; ô tô cũ, ô tô mới&gt; Alfa Romeo&gt; Alfa GT")</f>
        <v>Đấu giá&gt; ô tô, xe máy&gt; ô tô cũ, ô tô mới&gt; Alfa Romeo&gt; Alfa GT</v>
      </c>
      <c r="F774" t="str">
        <f t="shared" ca="1" si="12"/>
        <v>"2084056554" : "Alpha GT",</v>
      </c>
    </row>
    <row r="775" spans="1:6" ht="15.75" customHeight="1">
      <c r="A775" s="18">
        <v>2084048974</v>
      </c>
      <c r="B775" s="18" t="s">
        <v>12896</v>
      </c>
      <c r="C775" s="18" t="s">
        <v>12898</v>
      </c>
      <c r="D775" s="5" t="str">
        <f ca="1">IFERROR(__xludf.DUMMYFUNCTION("GOOGLETRANSLATE(B775,""ja"",""vi"")"),"Alpha GTV")</f>
        <v>Alpha GTV</v>
      </c>
      <c r="E775" s="5" t="str">
        <f ca="1">IFERROR(__xludf.DUMMYFUNCTION("GOOGLETRANSLATE(C775,""ja"",""vi"")"),"Đấu giá&gt; ô tô, xe máy&gt; ô tô cũ, ô tô mới&gt; Alfa Romeo&gt; Alfa GTV")</f>
        <v>Đấu giá&gt; ô tô, xe máy&gt; ô tô cũ, ô tô mới&gt; Alfa Romeo&gt; Alfa GTV</v>
      </c>
      <c r="F775" t="str">
        <f t="shared" ca="1" si="12"/>
        <v>"2084048974" : "Alpha GTV",</v>
      </c>
    </row>
    <row r="776" spans="1:6" ht="15.75" customHeight="1">
      <c r="A776" s="18">
        <v>2084299582</v>
      </c>
      <c r="B776" s="18" t="s">
        <v>12902</v>
      </c>
      <c r="C776" s="18" t="s">
        <v>12905</v>
      </c>
      <c r="D776" s="5" t="str">
        <f ca="1">IFERROR(__xludf.DUMMYFUNCTION("GOOGLETRANSLATE(B776,""ja"",""vi"")"),"Alpha Mito")</f>
        <v>Alpha Mito</v>
      </c>
      <c r="E776" s="5" t="str">
        <f ca="1">IFERROR(__xludf.DUMMYFUNCTION("GOOGLETRANSLATE(C776,""ja"",""vi"")"),"Đấu giá&gt; ô tô, xe máy&gt; ô tô cũ, ô tô mới&gt; Alfa Romeo&gt; Alfa Mito")</f>
        <v>Đấu giá&gt; ô tô, xe máy&gt; ô tô cũ, ô tô mới&gt; Alfa Romeo&gt; Alfa Mito</v>
      </c>
      <c r="F776" t="str">
        <f t="shared" ca="1" si="12"/>
        <v>"2084299582" : "Alpha Mito",</v>
      </c>
    </row>
    <row r="777" spans="1:6" ht="15.75" customHeight="1">
      <c r="A777" s="18">
        <v>2084048975</v>
      </c>
      <c r="B777" s="18" t="s">
        <v>12910</v>
      </c>
      <c r="C777" s="18" t="s">
        <v>12912</v>
      </c>
      <c r="D777" s="5" t="str">
        <f ca="1">IFERROR(__xludf.DUMMYFUNCTION("GOOGLETRANSLATE(B777,""ja"",""vi"")"),"Alpha Spider")</f>
        <v>Alpha Spider</v>
      </c>
      <c r="E777" s="5" t="str">
        <f ca="1">IFERROR(__xludf.DUMMYFUNCTION("GOOGLETRANSLATE(C777,""ja"",""vi"")"),"Đấu giá&gt; ô tô, xe máy&gt; ô tô cũ, ô tô mới&gt; Alfa Romeo&gt; Alfa Spider")</f>
        <v>Đấu giá&gt; ô tô, xe máy&gt; ô tô cũ, ô tô mới&gt; Alfa Romeo&gt; Alfa Spider</v>
      </c>
      <c r="F777" t="str">
        <f t="shared" ca="1" si="12"/>
        <v>"2084048975" : "Alpha Spider",</v>
      </c>
    </row>
    <row r="778" spans="1:6" ht="15.75" customHeight="1">
      <c r="A778" s="18">
        <v>2084299580</v>
      </c>
      <c r="B778" s="18" t="s">
        <v>12916</v>
      </c>
      <c r="C778" s="18" t="s">
        <v>12918</v>
      </c>
      <c r="D778" s="5" t="str">
        <f ca="1">IFERROR(__xludf.DUMMYFUNCTION("GOOGLETRANSLATE(B778,""ja"",""vi"")"),"Alpha Brera")</f>
        <v>Alpha Brera</v>
      </c>
      <c r="E778" s="5" t="str">
        <f ca="1">IFERROR(__xludf.DUMMYFUNCTION("GOOGLETRANSLATE(C778,""ja"",""vi"")"),"Đấu giá&gt; ô tô, xe máy&gt; ô tô cũ, ô tô mới&gt; Alfa Romeo&gt; Alfa Brera")</f>
        <v>Đấu giá&gt; ô tô, xe máy&gt; ô tô cũ, ô tô mới&gt; Alfa Romeo&gt; Alfa Brera</v>
      </c>
      <c r="F778" t="str">
        <f t="shared" ca="1" si="12"/>
        <v>"2084299580" : "Alpha Brera",</v>
      </c>
    </row>
    <row r="779" spans="1:6" ht="15.75" customHeight="1">
      <c r="A779" s="18">
        <v>2084048976</v>
      </c>
      <c r="B779" s="18" t="s">
        <v>46</v>
      </c>
      <c r="C779" s="18" t="s">
        <v>12922</v>
      </c>
      <c r="D779" s="5" t="str">
        <f ca="1">IFERROR(__xludf.DUMMYFUNCTION("GOOGLETRANSLATE(B779,""ja"",""vi"")"),"nếu không thì")</f>
        <v>nếu không thì</v>
      </c>
      <c r="E779" s="5" t="str">
        <f ca="1">IFERROR(__xludf.DUMMYFUNCTION("GOOGLETRANSLATE(C779,""ja"",""vi"")"),"Đấu giá&gt; ô tô, xe máy&gt; ô tô cũ, ô tô mới&gt; Alfa Romeo&gt; Khác")</f>
        <v>Đấu giá&gt; ô tô, xe máy&gt; ô tô cũ, ô tô mới&gt; Alfa Romeo&gt; Khác</v>
      </c>
      <c r="F779" t="str">
        <f t="shared" ca="1" si="12"/>
        <v>"2084048976" : "nếu không thì",</v>
      </c>
    </row>
    <row r="780" spans="1:6" ht="15.75" customHeight="1">
      <c r="A780" s="18">
        <v>2084051734</v>
      </c>
      <c r="B780" s="18" t="s">
        <v>12925</v>
      </c>
      <c r="C780" s="18" t="s">
        <v>12926</v>
      </c>
      <c r="D780" s="5" t="str">
        <f ca="1">IFERROR(__xludf.DUMMYFUNCTION("GOOGLETRANSLATE(B780,""ja"",""vi"")"),"500 (Chinkuechento)")</f>
        <v>500 (Chinkuechento)</v>
      </c>
      <c r="E780" s="5" t="str">
        <f ca="1">IFERROR(__xludf.DUMMYFUNCTION("GOOGLETRANSLATE(C780,""ja"",""vi"")"),"Đấu giá&gt; ô tô, xe máy&gt; ô tô cũ, ô tô mới&gt; Fiat&gt; 500 (Chinkuechento)")</f>
        <v>Đấu giá&gt; ô tô, xe máy&gt; ô tô cũ, ô tô mới&gt; Fiat&gt; 500 (Chinkuechento)</v>
      </c>
      <c r="F780" t="str">
        <f t="shared" ca="1" si="12"/>
        <v>"2084051734" : "500 (Chinkuechento)",</v>
      </c>
    </row>
    <row r="781" spans="1:6" ht="15.75" customHeight="1">
      <c r="A781" s="18">
        <v>2084049074</v>
      </c>
      <c r="B781" s="18" t="s">
        <v>12929</v>
      </c>
      <c r="C781" s="18" t="s">
        <v>12930</v>
      </c>
      <c r="D781" s="5" t="str">
        <f ca="1">IFERROR(__xludf.DUMMYFUNCTION("GOOGLETRANSLATE(B781,""ja"",""vi"")"),"Coupe Fiat")</f>
        <v>Coupe Fiat</v>
      </c>
      <c r="E781" s="5" t="str">
        <f ca="1">IFERROR(__xludf.DUMMYFUNCTION("GOOGLETRANSLATE(C781,""ja"",""vi"")"),"Đấu giá&gt; ô tô, xe máy&gt; ô tô cũ, ô tô mới&gt; Fiat&gt; Fiat Coupé")</f>
        <v>Đấu giá&gt; ô tô, xe máy&gt; ô tô cũ, ô tô mới&gt; Fiat&gt; Fiat Coupé</v>
      </c>
      <c r="F781" t="str">
        <f t="shared" ca="1" si="12"/>
        <v>"2084049074" : "Coupe Fiat",</v>
      </c>
    </row>
    <row r="782" spans="1:6" ht="15.75" customHeight="1">
      <c r="A782" s="18">
        <v>2084062143</v>
      </c>
      <c r="B782" s="18" t="s">
        <v>12933</v>
      </c>
      <c r="C782" s="18" t="s">
        <v>12934</v>
      </c>
      <c r="D782" s="5" t="str">
        <f ca="1">IFERROR(__xludf.DUMMYFUNCTION("GOOGLETRANSLATE(B782,""ja"",""vi"")"),"New Panda")</f>
        <v>New Panda</v>
      </c>
      <c r="E782" s="5" t="str">
        <f ca="1">IFERROR(__xludf.DUMMYFUNCTION("GOOGLETRANSLATE(C782,""ja"",""vi"")"),"Đấu giá&gt; ô tô, xe máy&gt; ô tô cũ, ô tô mới&gt; Fiat&gt; New Panda")</f>
        <v>Đấu giá&gt; ô tô, xe máy&gt; ô tô cũ, ô tô mới&gt; Fiat&gt; New Panda</v>
      </c>
      <c r="F782" t="str">
        <f t="shared" ca="1" si="12"/>
        <v>"2084062143" : "New Panda",</v>
      </c>
    </row>
    <row r="783" spans="1:6" ht="15.75" customHeight="1">
      <c r="A783" s="18">
        <v>2084049075</v>
      </c>
      <c r="B783" s="18" t="s">
        <v>12937</v>
      </c>
      <c r="C783" s="18" t="s">
        <v>12938</v>
      </c>
      <c r="D783" s="5" t="str">
        <f ca="1">IFERROR(__xludf.DUMMYFUNCTION("GOOGLETRANSLATE(B783,""ja"",""vi"")"),"Barchetta")</f>
        <v>Barchetta</v>
      </c>
      <c r="E783" s="5" t="str">
        <f ca="1">IFERROR(__xludf.DUMMYFUNCTION("GOOGLETRANSLATE(C783,""ja"",""vi"")"),"Đấu giá&gt; ô tô, xe máy&gt; ô tô cũ, ô tô mới&gt; Fiat&gt; Barchetta")</f>
        <v>Đấu giá&gt; ô tô, xe máy&gt; ô tô cũ, ô tô mới&gt; Fiat&gt; Barchetta</v>
      </c>
      <c r="F783" t="str">
        <f t="shared" ca="1" si="12"/>
        <v>"2084049075" : "Barchetta",</v>
      </c>
    </row>
    <row r="784" spans="1:6" ht="15.75" customHeight="1">
      <c r="A784" s="18">
        <v>2084048198</v>
      </c>
      <c r="B784" s="18" t="s">
        <v>7657</v>
      </c>
      <c r="C784" s="18" t="s">
        <v>12941</v>
      </c>
      <c r="D784" s="5" t="str">
        <f ca="1">IFERROR(__xludf.DUMMYFUNCTION("GOOGLETRANSLATE(B784,""ja"",""vi"")"),"Panda")</f>
        <v>Panda</v>
      </c>
      <c r="E784" s="5" t="str">
        <f ca="1">IFERROR(__xludf.DUMMYFUNCTION("GOOGLETRANSLATE(C784,""ja"",""vi"")"),"Đấu giá&gt; ô tô, xe máy&gt; ô tô cũ, ô tô mới&gt; Fiat&gt; Panda")</f>
        <v>Đấu giá&gt; ô tô, xe máy&gt; ô tô cũ, ô tô mới&gt; Fiat&gt; Panda</v>
      </c>
      <c r="F784" t="str">
        <f t="shared" ca="1" si="12"/>
        <v>"2084048198" : "Panda",</v>
      </c>
    </row>
    <row r="785" spans="1:6" ht="15.75" customHeight="1">
      <c r="A785" s="18">
        <v>2084048199</v>
      </c>
      <c r="B785" s="18" t="s">
        <v>12944</v>
      </c>
      <c r="C785" s="18" t="s">
        <v>12945</v>
      </c>
      <c r="D785" s="5" t="str">
        <f ca="1">IFERROR(__xludf.DUMMYFUNCTION("GOOGLETRANSLATE(B785,""ja"",""vi"")"),"Punto")</f>
        <v>Punto</v>
      </c>
      <c r="E785" s="5" t="str">
        <f ca="1">IFERROR(__xludf.DUMMYFUNCTION("GOOGLETRANSLATE(C785,""ja"",""vi"")"),"Đấu giá&gt; ô tô, xe máy&gt; ô tô cũ, ô tô mới&gt; Fiat&gt; Punto")</f>
        <v>Đấu giá&gt; ô tô, xe máy&gt; ô tô cũ, ô tô mới&gt; Fiat&gt; Punto</v>
      </c>
      <c r="F785" t="str">
        <f t="shared" ca="1" si="12"/>
        <v>"2084048199" : "Punto",</v>
      </c>
    </row>
    <row r="786" spans="1:6" ht="15.75" customHeight="1">
      <c r="A786" s="18">
        <v>2084054508</v>
      </c>
      <c r="B786" s="18" t="s">
        <v>12948</v>
      </c>
      <c r="C786" s="18" t="s">
        <v>12949</v>
      </c>
      <c r="D786" s="5" t="str">
        <f ca="1">IFERROR(__xludf.DUMMYFUNCTION("GOOGLETRANSLATE(B786,""ja"",""vi"")"),"Multiplaza")</f>
        <v>Multiplaza</v>
      </c>
      <c r="E786" s="5" t="str">
        <f ca="1">IFERROR(__xludf.DUMMYFUNCTION("GOOGLETRANSLATE(C786,""ja"",""vi"")"),"Đấu giá&gt; ô tô, xe máy&gt; ô tô cũ, ô tô mới&gt; Fiat&gt; Multiplaza")</f>
        <v>Đấu giá&gt; ô tô, xe máy&gt; ô tô cũ, ô tô mới&gt; Fiat&gt; Multiplaza</v>
      </c>
      <c r="F786" t="str">
        <f t="shared" ca="1" si="12"/>
        <v>"2084054508" : "Multiplaza",</v>
      </c>
    </row>
    <row r="787" spans="1:6" ht="15.75" customHeight="1">
      <c r="A787" s="18">
        <v>2084048197</v>
      </c>
      <c r="B787" s="18" t="s">
        <v>46</v>
      </c>
      <c r="C787" s="18" t="s">
        <v>12952</v>
      </c>
      <c r="D787" s="5" t="str">
        <f ca="1">IFERROR(__xludf.DUMMYFUNCTION("GOOGLETRANSLATE(B787,""ja"",""vi"")"),"nếu không thì")</f>
        <v>nếu không thì</v>
      </c>
      <c r="E787" s="5" t="str">
        <f ca="1">IFERROR(__xludf.DUMMYFUNCTION("GOOGLETRANSLATE(C787,""ja"",""vi"")"),"Đấu giá&gt; ô tô, xe máy&gt; ô tô cũ, ô tô mới&gt; Fiat&gt; Khác")</f>
        <v>Đấu giá&gt; ô tô, xe máy&gt; ô tô cũ, ô tô mới&gt; Fiat&gt; Khác</v>
      </c>
      <c r="F787" t="str">
        <f t="shared" ca="1" si="12"/>
        <v>"2084048197" : "nếu không thì",</v>
      </c>
    </row>
    <row r="788" spans="1:6" ht="15.75" customHeight="1">
      <c r="A788" s="18">
        <v>2084051737</v>
      </c>
      <c r="B788" s="18">
        <v>308</v>
      </c>
      <c r="C788" s="18" t="s">
        <v>12955</v>
      </c>
      <c r="D788" s="5" t="str">
        <f ca="1">IFERROR(__xludf.DUMMYFUNCTION("GOOGLETRANSLATE(B788,""ja"",""vi"")"),"308")</f>
        <v>308</v>
      </c>
      <c r="E788" s="5" t="str">
        <f ca="1">IFERROR(__xludf.DUMMYFUNCTION("GOOGLETRANSLATE(C788,""ja"",""vi"")"),"Đấu giá&gt; ô tô, xe máy&gt; ô tô cũ, ô tô mới&gt; Ferrari&gt; 308")</f>
        <v>Đấu giá&gt; ô tô, xe máy&gt; ô tô cũ, ô tô mới&gt; Ferrari&gt; 308</v>
      </c>
      <c r="F788" t="str">
        <f t="shared" ca="1" si="12"/>
        <v>"2084051737" : "308",</v>
      </c>
    </row>
    <row r="789" spans="1:6" ht="15.75" customHeight="1">
      <c r="A789" s="18">
        <v>2084299599</v>
      </c>
      <c r="B789" s="18">
        <v>328</v>
      </c>
      <c r="C789" s="18" t="s">
        <v>12962</v>
      </c>
      <c r="D789" s="5" t="str">
        <f ca="1">IFERROR(__xludf.DUMMYFUNCTION("GOOGLETRANSLATE(B789,""ja"",""vi"")"),"328")</f>
        <v>328</v>
      </c>
      <c r="E789" s="5" t="str">
        <f ca="1">IFERROR(__xludf.DUMMYFUNCTION("GOOGLETRANSLATE(C789,""ja"",""vi"")"),"Đấu giá&gt; ô tô, xe máy&gt; ô tô cũ, ô tô mới&gt; Ferrari&gt; 328")</f>
        <v>Đấu giá&gt; ô tô, xe máy&gt; ô tô cũ, ô tô mới&gt; Ferrari&gt; 328</v>
      </c>
      <c r="F789" t="str">
        <f t="shared" ca="1" si="12"/>
        <v>"2084299599" : "328",</v>
      </c>
    </row>
    <row r="790" spans="1:6" ht="15.75" customHeight="1">
      <c r="A790" s="18">
        <v>2084049078</v>
      </c>
      <c r="B790" s="18">
        <v>348</v>
      </c>
      <c r="C790" s="18" t="s">
        <v>12967</v>
      </c>
      <c r="D790" s="5" t="str">
        <f ca="1">IFERROR(__xludf.DUMMYFUNCTION("GOOGLETRANSLATE(B790,""ja"",""vi"")"),"348")</f>
        <v>348</v>
      </c>
      <c r="E790" s="5" t="str">
        <f ca="1">IFERROR(__xludf.DUMMYFUNCTION("GOOGLETRANSLATE(C790,""ja"",""vi"")"),"Đấu giá&gt; ô tô, xe máy&gt; ô tô cũ, ô tô mới&gt; Ferrari&gt; 348")</f>
        <v>Đấu giá&gt; ô tô, xe máy&gt; ô tô cũ, ô tô mới&gt; Ferrari&gt; 348</v>
      </c>
      <c r="F790" t="str">
        <f t="shared" ca="1" si="12"/>
        <v>"2084049078" : "348",</v>
      </c>
    </row>
    <row r="791" spans="1:6" ht="15.75" customHeight="1">
      <c r="A791" s="18">
        <v>2084049079</v>
      </c>
      <c r="B791" s="18">
        <v>360</v>
      </c>
      <c r="C791" s="18" t="s">
        <v>12973</v>
      </c>
      <c r="D791" s="5" t="str">
        <f ca="1">IFERROR(__xludf.DUMMYFUNCTION("GOOGLETRANSLATE(B791,""ja"",""vi"")"),"360")</f>
        <v>360</v>
      </c>
      <c r="E791" s="5" t="str">
        <f ca="1">IFERROR(__xludf.DUMMYFUNCTION("GOOGLETRANSLATE(C791,""ja"",""vi"")"),"Đấu giá&gt; ô tô, xe máy&gt; ô tô cũ, ô tô mới&gt; Ferrari&gt; 360")</f>
        <v>Đấu giá&gt; ô tô, xe máy&gt; ô tô cũ, ô tô mới&gt; Ferrari&gt; 360</v>
      </c>
      <c r="F791" t="str">
        <f t="shared" ca="1" si="12"/>
        <v>"2084049079" : "360",</v>
      </c>
    </row>
    <row r="792" spans="1:6" ht="15.75" customHeight="1">
      <c r="A792" s="18">
        <v>2084299600</v>
      </c>
      <c r="B792" s="18">
        <v>456</v>
      </c>
      <c r="C792" s="18" t="s">
        <v>12978</v>
      </c>
      <c r="D792" s="5" t="str">
        <f ca="1">IFERROR(__xludf.DUMMYFUNCTION("GOOGLETRANSLATE(B792,""ja"",""vi"")"),"456")</f>
        <v>456</v>
      </c>
      <c r="E792" s="5" t="str">
        <f ca="1">IFERROR(__xludf.DUMMYFUNCTION("GOOGLETRANSLATE(C792,""ja"",""vi"")"),"Đấu giá&gt; ô tô, xe máy&gt; ô tô cũ, ô tô mới&gt; Ferrari&gt; 456")</f>
        <v>Đấu giá&gt; ô tô, xe máy&gt; ô tô cũ, ô tô mới&gt; Ferrari&gt; 456</v>
      </c>
      <c r="F792" t="str">
        <f t="shared" ca="1" si="12"/>
        <v>"2084299600" : "456",</v>
      </c>
    </row>
    <row r="793" spans="1:6" ht="15.75" customHeight="1">
      <c r="A793" s="18">
        <v>2084299602</v>
      </c>
      <c r="B793" s="18" t="s">
        <v>12986</v>
      </c>
      <c r="C793" s="18" t="s">
        <v>12987</v>
      </c>
      <c r="D793" s="5" t="str">
        <f ca="1">IFERROR(__xludf.DUMMYFUNCTION("GOOGLETRANSLATE(B793,""ja"",""vi"")"),"458 Italia")</f>
        <v>458 Italia</v>
      </c>
      <c r="E793" s="5" t="str">
        <f ca="1">IFERROR(__xludf.DUMMYFUNCTION("GOOGLETRANSLATE(C793,""ja"",""vi"")"),"Đấu giá&gt; ô tô, xe máy&gt; ô tô cũ, ô tô mới&gt; Ferrari&gt; 458 Italia")</f>
        <v>Đấu giá&gt; ô tô, xe máy&gt; ô tô cũ, ô tô mới&gt; Ferrari&gt; 458 Italia</v>
      </c>
      <c r="F793" t="str">
        <f t="shared" ca="1" si="12"/>
        <v>"2084299602" : "458 Italia",</v>
      </c>
    </row>
    <row r="794" spans="1:6" ht="15.75" customHeight="1">
      <c r="A794" s="18">
        <v>2084051735</v>
      </c>
      <c r="B794" s="18">
        <v>512</v>
      </c>
      <c r="C794" s="18" t="s">
        <v>12996</v>
      </c>
      <c r="D794" s="5" t="str">
        <f ca="1">IFERROR(__xludf.DUMMYFUNCTION("GOOGLETRANSLATE(B794,""ja"",""vi"")"),"512")</f>
        <v>512</v>
      </c>
      <c r="E794" s="5" t="str">
        <f ca="1">IFERROR(__xludf.DUMMYFUNCTION("GOOGLETRANSLATE(C794,""ja"",""vi"")"),"Đấu giá&gt; ô tô, xe máy&gt; ô tô cũ, ô tô mới&gt; Ferrari&gt; 512")</f>
        <v>Đấu giá&gt; ô tô, xe máy&gt; ô tô cũ, ô tô mới&gt; Ferrari&gt; 512</v>
      </c>
      <c r="F794" t="str">
        <f t="shared" ca="1" si="12"/>
        <v>"2084051735" : "512",</v>
      </c>
    </row>
    <row r="795" spans="1:6" ht="15.75" customHeight="1">
      <c r="A795" s="18">
        <v>2084231255</v>
      </c>
      <c r="B795" s="18" t="s">
        <v>13000</v>
      </c>
      <c r="C795" s="18" t="s">
        <v>13001</v>
      </c>
      <c r="D795" s="5" t="str">
        <f ca="1">IFERROR(__xludf.DUMMYFUNCTION("GOOGLETRANSLATE(B795,""ja"",""vi"")"),"550 Maranello")</f>
        <v>550 Maranello</v>
      </c>
      <c r="E795" s="5" t="str">
        <f ca="1">IFERROR(__xludf.DUMMYFUNCTION("GOOGLETRANSLATE(C795,""ja"",""vi"")"),"Đấu giá&gt; ô tô, xe máy&gt; ô tô cũ, ô tô mới&gt; Ferrari&gt; 550 Maranello")</f>
        <v>Đấu giá&gt; ô tô, xe máy&gt; ô tô cũ, ô tô mới&gt; Ferrari&gt; 550 Maranello</v>
      </c>
      <c r="F795" t="str">
        <f t="shared" ca="1" si="12"/>
        <v>"2084231255" : "550 Maranello",</v>
      </c>
    </row>
    <row r="796" spans="1:6" ht="15.75" customHeight="1">
      <c r="A796" s="18">
        <v>2084057458</v>
      </c>
      <c r="B796" s="18" t="s">
        <v>13008</v>
      </c>
      <c r="C796" s="18" t="s">
        <v>13010</v>
      </c>
      <c r="D796" s="5" t="str">
        <f ca="1">IFERROR(__xludf.DUMMYFUNCTION("GOOGLETRANSLATE(B796,""ja"",""vi"")"),"575M Maranello")</f>
        <v>575M Maranello</v>
      </c>
      <c r="E796" s="5" t="str">
        <f ca="1">IFERROR(__xludf.DUMMYFUNCTION("GOOGLETRANSLATE(C796,""ja"",""vi"")"),"Đấu giá&gt; ô tô, xe máy&gt; ô tô cũ, ô tô mới&gt; Ferrari&gt; 575M Maranello")</f>
        <v>Đấu giá&gt; ô tô, xe máy&gt; ô tô cũ, ô tô mới&gt; Ferrari&gt; 575M Maranello</v>
      </c>
      <c r="F796" t="str">
        <f t="shared" ca="1" si="12"/>
        <v>"2084057458" : "575M Maranello",</v>
      </c>
    </row>
    <row r="797" spans="1:6" ht="15.75" customHeight="1">
      <c r="A797" s="18">
        <v>2084299601</v>
      </c>
      <c r="B797" s="18">
        <v>599</v>
      </c>
      <c r="C797" s="18" t="s">
        <v>13015</v>
      </c>
      <c r="D797" s="5" t="str">
        <f ca="1">IFERROR(__xludf.DUMMYFUNCTION("GOOGLETRANSLATE(B797,""ja"",""vi"")"),"599")</f>
        <v>599</v>
      </c>
      <c r="E797" s="5" t="str">
        <f ca="1">IFERROR(__xludf.DUMMYFUNCTION("GOOGLETRANSLATE(C797,""ja"",""vi"")"),"Đấu giá&gt; ô tô, xe máy&gt; ô tô cũ, ô tô mới&gt; Ferrari&gt; 599")</f>
        <v>Đấu giá&gt; ô tô, xe máy&gt; ô tô cũ, ô tô mới&gt; Ferrari&gt; 599</v>
      </c>
      <c r="F797" t="str">
        <f t="shared" ca="1" si="12"/>
        <v>"2084299601" : "599",</v>
      </c>
    </row>
    <row r="798" spans="1:6" ht="15.75" customHeight="1">
      <c r="A798" s="18">
        <v>2084057660</v>
      </c>
      <c r="B798" s="18" t="s">
        <v>13019</v>
      </c>
      <c r="C798" s="18" t="s">
        <v>13021</v>
      </c>
      <c r="D798" s="5" t="str">
        <f ca="1">IFERROR(__xludf.DUMMYFUNCTION("GOOGLETRANSLATE(B798,""ja"",""vi"")"),"612 Scaglietti")</f>
        <v>612 Scaglietti</v>
      </c>
      <c r="E798" s="5" t="str">
        <f ca="1">IFERROR(__xludf.DUMMYFUNCTION("GOOGLETRANSLATE(C798,""ja"",""vi"")"),"Đấu giá&gt; ô tô, xe máy&gt; ô tô cũ, ô tô mới&gt; Ferrari&gt; 612 Scaglietti")</f>
        <v>Đấu giá&gt; ô tô, xe máy&gt; ô tô cũ, ô tô mới&gt; Ferrari&gt; 612 Scaglietti</v>
      </c>
      <c r="F798" t="str">
        <f t="shared" ca="1" si="12"/>
        <v>"2084057660" : "612 Scaglietti",</v>
      </c>
    </row>
    <row r="799" spans="1:6" ht="15.75" customHeight="1">
      <c r="A799" s="18">
        <v>2084051736</v>
      </c>
      <c r="B799" s="18" t="s">
        <v>13025</v>
      </c>
      <c r="C799" s="18" t="s">
        <v>13026</v>
      </c>
      <c r="D799" s="5" t="str">
        <f ca="1">IFERROR(__xludf.DUMMYFUNCTION("GOOGLETRANSLATE(B799,""ja"",""vi"")"),"F355")</f>
        <v>F355</v>
      </c>
      <c r="E799" s="5" t="str">
        <f ca="1">IFERROR(__xludf.DUMMYFUNCTION("GOOGLETRANSLATE(C799,""ja"",""vi"")"),"Đấu giá&gt; ô tô, xe máy&gt; ô tô cũ, ô tô mới&gt; Ferrari&gt; F355")</f>
        <v>Đấu giá&gt; ô tô, xe máy&gt; ô tô cũ, ô tô mới&gt; Ferrari&gt; F355</v>
      </c>
      <c r="F799" t="str">
        <f t="shared" ca="1" si="12"/>
        <v>"2084051736" : "F355",</v>
      </c>
    </row>
    <row r="800" spans="1:6" ht="15.75" customHeight="1">
      <c r="A800" s="18">
        <v>2084062142</v>
      </c>
      <c r="B800" s="18" t="s">
        <v>13031</v>
      </c>
      <c r="C800" s="18" t="s">
        <v>13033</v>
      </c>
      <c r="D800" s="5" t="str">
        <f ca="1">IFERROR(__xludf.DUMMYFUNCTION("GOOGLETRANSLATE(B800,""ja"",""vi"")"),"F430")</f>
        <v>F430</v>
      </c>
      <c r="E800" s="5" t="str">
        <f ca="1">IFERROR(__xludf.DUMMYFUNCTION("GOOGLETRANSLATE(C800,""ja"",""vi"")"),"Đấu giá&gt; ô tô, xe máy&gt; ô tô cũ, ô tô mới&gt; Ferrari&gt; F430")</f>
        <v>Đấu giá&gt; ô tô, xe máy&gt; ô tô cũ, ô tô mới&gt; Ferrari&gt; F430</v>
      </c>
      <c r="F800" t="str">
        <f t="shared" ca="1" si="12"/>
        <v>"2084062142" : "F430",</v>
      </c>
    </row>
    <row r="801" spans="1:6" ht="15.75" customHeight="1">
      <c r="A801" s="18">
        <v>2084299603</v>
      </c>
      <c r="B801" s="18" t="s">
        <v>13039</v>
      </c>
      <c r="C801" s="18" t="s">
        <v>13040</v>
      </c>
      <c r="D801" s="5" t="str">
        <f ca="1">IFERROR(__xludf.DUMMYFUNCTION("GOOGLETRANSLATE(B801,""ja"",""vi"")"),"California")</f>
        <v>California</v>
      </c>
      <c r="E801" s="5" t="str">
        <f ca="1">IFERROR(__xludf.DUMMYFUNCTION("GOOGLETRANSLATE(C801,""ja"",""vi"")"),"Đấu giá&gt; ô tô, xe máy&gt; ô tô cũ, ô tô mới&gt; Ferrari&gt; California")</f>
        <v>Đấu giá&gt; ô tô, xe máy&gt; ô tô cũ, ô tô mới&gt; Ferrari&gt; California</v>
      </c>
      <c r="F801" t="str">
        <f t="shared" ca="1" si="12"/>
        <v>"2084299603" : "California",</v>
      </c>
    </row>
    <row r="802" spans="1:6" ht="15.75" customHeight="1">
      <c r="A802" s="18">
        <v>2084062139</v>
      </c>
      <c r="B802" s="18" t="s">
        <v>13052</v>
      </c>
      <c r="C802" s="18" t="s">
        <v>13053</v>
      </c>
      <c r="D802" s="5" t="str">
        <f ca="1">IFERROR(__xludf.DUMMYFUNCTION("GOOGLETRANSLATE(B802,""ja"",""vi"")"),"super Mỹ")</f>
        <v>super Mỹ</v>
      </c>
      <c r="E802" s="5" t="str">
        <f ca="1">IFERROR(__xludf.DUMMYFUNCTION("GOOGLETRANSLATE(C802,""ja"",""vi"")"),"Đấu giá&gt; ô tô, xe máy&gt; ô tô cũ, ô tô mới&gt; Ferrari&gt; Super Mỹ")</f>
        <v>Đấu giá&gt; ô tô, xe máy&gt; ô tô cũ, ô tô mới&gt; Ferrari&gt; Super Mỹ</v>
      </c>
      <c r="F802" t="str">
        <f t="shared" ca="1" si="12"/>
        <v>"2084062139" : "super Mỹ",</v>
      </c>
    </row>
    <row r="803" spans="1:6" ht="15.75" customHeight="1">
      <c r="A803" s="18">
        <v>2084059198</v>
      </c>
      <c r="B803" s="18" t="s">
        <v>13059</v>
      </c>
      <c r="C803" s="18" t="s">
        <v>13060</v>
      </c>
      <c r="D803" s="5" t="str">
        <f ca="1">IFERROR(__xludf.DUMMYFUNCTION("GOOGLETRANSLATE(B803,""ja"",""vi"")"),"Thách thức Stra Dale")</f>
        <v>Thách thức Stra Dale</v>
      </c>
      <c r="E803" s="5" t="str">
        <f ca="1">IFERROR(__xludf.DUMMYFUNCTION("GOOGLETRANSLATE(C803,""ja"",""vi"")"),"Đấu giá&gt; ô tô, xe máy&gt; ô tô cũ, ô tô mới&gt; Ferrari&gt; Challenge Stra Dale")</f>
        <v>Đấu giá&gt; ô tô, xe máy&gt; ô tô cũ, ô tô mới&gt; Ferrari&gt; Challenge Stra Dale</v>
      </c>
      <c r="F803" t="str">
        <f t="shared" ca="1" si="12"/>
        <v>"2084059198" : "Thách thức Stra Dale",</v>
      </c>
    </row>
    <row r="804" spans="1:6" ht="15.75" customHeight="1">
      <c r="A804" s="18">
        <v>2084051824</v>
      </c>
      <c r="B804" s="18" t="s">
        <v>13066</v>
      </c>
      <c r="C804" s="18" t="s">
        <v>13068</v>
      </c>
      <c r="D804" s="5" t="str">
        <f ca="1">IFERROR(__xludf.DUMMYFUNCTION("GOOGLETRANSLATE(B804,""ja"",""vi"")"),"Testarossa")</f>
        <v>Testarossa</v>
      </c>
      <c r="E804" s="5" t="str">
        <f ca="1">IFERROR(__xludf.DUMMYFUNCTION("GOOGLETRANSLATE(C804,""ja"",""vi"")"),"Đấu giá&gt; ô tô, xe máy&gt; ô tô cũ, ô tô mới&gt; Ferrari&gt; Testarossa")</f>
        <v>Đấu giá&gt; ô tô, xe máy&gt; ô tô cũ, ô tô mới&gt; Ferrari&gt; Testarossa</v>
      </c>
      <c r="F804" t="str">
        <f t="shared" ca="1" si="12"/>
        <v>"2084051824" : "Testarossa",</v>
      </c>
    </row>
    <row r="805" spans="1:6" ht="15.75" customHeight="1">
      <c r="A805" s="18">
        <v>2084299598</v>
      </c>
      <c r="B805" s="18" t="s">
        <v>13073</v>
      </c>
      <c r="C805" s="18" t="s">
        <v>13074</v>
      </c>
      <c r="D805" s="5" t="str">
        <f ca="1">IFERROR(__xludf.DUMMYFUNCTION("GOOGLETRANSLATE(B805,""ja"",""vi"")"),"Dino")</f>
        <v>Dino</v>
      </c>
      <c r="E805" s="5" t="str">
        <f ca="1">IFERROR(__xludf.DUMMYFUNCTION("GOOGLETRANSLATE(C805,""ja"",""vi"")"),"Đấu giá&gt; ô tô, xe máy&gt; ô tô cũ, ô tô mới&gt; Ferrari&gt; Dino")</f>
        <v>Đấu giá&gt; ô tô, xe máy&gt; ô tô cũ, ô tô mới&gt; Ferrari&gt; Dino</v>
      </c>
      <c r="F805" t="str">
        <f t="shared" ca="1" si="12"/>
        <v>"2084299598" : "Dino",</v>
      </c>
    </row>
    <row r="806" spans="1:6" ht="15.75" customHeight="1">
      <c r="A806" s="18">
        <v>2084049077</v>
      </c>
      <c r="B806" s="18" t="s">
        <v>46</v>
      </c>
      <c r="C806" s="18" t="s">
        <v>13077</v>
      </c>
      <c r="D806" s="5" t="str">
        <f ca="1">IFERROR(__xludf.DUMMYFUNCTION("GOOGLETRANSLATE(B806,""ja"",""vi"")"),"nếu không thì")</f>
        <v>nếu không thì</v>
      </c>
      <c r="E806" s="5" t="str">
        <f ca="1">IFERROR(__xludf.DUMMYFUNCTION("GOOGLETRANSLATE(C806,""ja"",""vi"")"),"Đấu giá&gt; ô tô, xe máy&gt; ô tô cũ, ô tô mới&gt; Ferrari&gt; Khác")</f>
        <v>Đấu giá&gt; ô tô, xe máy&gt; ô tô cũ, ô tô mới&gt; Ferrari&gt; Khác</v>
      </c>
      <c r="F806" t="str">
        <f t="shared" ca="1" si="12"/>
        <v>"2084049077" : "nếu không thì",</v>
      </c>
    </row>
    <row r="807" spans="1:6" ht="15.75" customHeight="1">
      <c r="A807" s="18">
        <v>2084053059</v>
      </c>
      <c r="B807" s="18">
        <v>222</v>
      </c>
      <c r="C807" s="18" t="s">
        <v>13081</v>
      </c>
      <c r="D807" s="5" t="str">
        <f ca="1">IFERROR(__xludf.DUMMYFUNCTION("GOOGLETRANSLATE(B807,""ja"",""vi"")"),"222")</f>
        <v>222</v>
      </c>
      <c r="E807" s="5" t="str">
        <f ca="1">IFERROR(__xludf.DUMMYFUNCTION("GOOGLETRANSLATE(C807,""ja"",""vi"")"),"Đấu giá&gt; ô tô, xe máy&gt; ô tô cũ, ô tô mới&gt; Maserati&gt; 222")</f>
        <v>Đấu giá&gt; ô tô, xe máy&gt; ô tô cũ, ô tô mới&gt; Maserati&gt; 222</v>
      </c>
      <c r="F807" t="str">
        <f t="shared" ca="1" si="12"/>
        <v>"2084053059" : "222",</v>
      </c>
    </row>
    <row r="808" spans="1:6" ht="15.75" customHeight="1">
      <c r="A808" s="18">
        <v>2084053614</v>
      </c>
      <c r="B808" s="18" t="s">
        <v>13084</v>
      </c>
      <c r="C808" s="18" t="s">
        <v>13086</v>
      </c>
      <c r="D808" s="5" t="str">
        <f ca="1">IFERROR(__xludf.DUMMYFUNCTION("GOOGLETRANSLATE(B808,""ja"",""vi"")"),"Ghibli")</f>
        <v>Ghibli</v>
      </c>
      <c r="E808" s="5" t="str">
        <f ca="1">IFERROR(__xludf.DUMMYFUNCTION("GOOGLETRANSLATE(C808,""ja"",""vi"")"),"Đấu giá&gt; ô tô, xe máy&gt; ô tô cũ, ô tô mới&gt; Maserati&gt; Ghibli")</f>
        <v>Đấu giá&gt; ô tô, xe máy&gt; ô tô cũ, ô tô mới&gt; Maserati&gt; Ghibli</v>
      </c>
      <c r="F808" t="str">
        <f t="shared" ca="1" si="12"/>
        <v>"2084053614" : "Ghibli",</v>
      </c>
    </row>
    <row r="809" spans="1:6" ht="15.75" customHeight="1">
      <c r="A809" s="18">
        <v>2084057668</v>
      </c>
      <c r="B809" s="18" t="s">
        <v>13090</v>
      </c>
      <c r="C809" s="18" t="s">
        <v>13092</v>
      </c>
      <c r="D809" s="5" t="str">
        <f ca="1">IFERROR(__xludf.DUMMYFUNCTION("GOOGLETRANSLATE(B809,""ja"",""vi"")"),"Coupe")</f>
        <v>Coupe</v>
      </c>
      <c r="E809" s="5" t="str">
        <f ca="1">IFERROR(__xludf.DUMMYFUNCTION("GOOGLETRANSLATE(C809,""ja"",""vi"")"),"Đấu giá&gt; ô tô, xe máy&gt; ô tô cũ, ô tô mới&gt; Maserati&gt; Coupe")</f>
        <v>Đấu giá&gt; ô tô, xe máy&gt; ô tô cũ, ô tô mới&gt; Maserati&gt; Coupe</v>
      </c>
      <c r="F809" t="str">
        <f t="shared" ca="1" si="12"/>
        <v>"2084057668" : "Coupe",</v>
      </c>
    </row>
    <row r="810" spans="1:6" ht="15.75" customHeight="1">
      <c r="A810" s="18">
        <v>2084049137</v>
      </c>
      <c r="B810" s="18" t="s">
        <v>13096</v>
      </c>
      <c r="C810" s="18" t="s">
        <v>13098</v>
      </c>
      <c r="D810" s="5" t="str">
        <f ca="1">IFERROR(__xludf.DUMMYFUNCTION("GOOGLETRANSLATE(B810,""ja"",""vi"")"),"Quattroporte")</f>
        <v>Quattroporte</v>
      </c>
      <c r="E810" s="5" t="str">
        <f ca="1">IFERROR(__xludf.DUMMYFUNCTION("GOOGLETRANSLATE(C810,""ja"",""vi"")"),"Đấu giá&gt; ô tô, xe máy&gt; ô tô cũ, ô tô mới&gt; Maserati&gt; Quattroporte")</f>
        <v>Đấu giá&gt; ô tô, xe máy&gt; ô tô cũ, ô tô mới&gt; Maserati&gt; Quattroporte</v>
      </c>
      <c r="F810" t="str">
        <f t="shared" ca="1" si="12"/>
        <v>"2084049137" : "Quattroporte",</v>
      </c>
    </row>
    <row r="811" spans="1:6" ht="15.75" customHeight="1">
      <c r="A811" s="18">
        <v>2084243775</v>
      </c>
      <c r="B811" s="18" t="s">
        <v>13101</v>
      </c>
      <c r="C811" s="18" t="s">
        <v>13103</v>
      </c>
      <c r="D811" s="5" t="str">
        <f ca="1">IFERROR(__xludf.DUMMYFUNCTION("GOOGLETRANSLATE(B811,""ja"",""vi"")"),"GranTurismo")</f>
        <v>GranTurismo</v>
      </c>
      <c r="E811" s="5" t="str">
        <f ca="1">IFERROR(__xludf.DUMMYFUNCTION("GOOGLETRANSLATE(C811,""ja"",""vi"")"),"Đấu giá&gt; ô tô, xe máy&gt; ô tô cũ, ô tô mới&gt; Maserati&gt; GranTurismo")</f>
        <v>Đấu giá&gt; ô tô, xe máy&gt; ô tô cũ, ô tô mới&gt; Maserati&gt; GranTurismo</v>
      </c>
      <c r="F811" t="str">
        <f t="shared" ca="1" si="12"/>
        <v>"2084243775" : "GranTurismo",</v>
      </c>
    </row>
    <row r="812" spans="1:6" ht="15.75" customHeight="1">
      <c r="A812" s="18">
        <v>2084056548</v>
      </c>
      <c r="B812" s="18" t="s">
        <v>13107</v>
      </c>
      <c r="C812" s="18" t="s">
        <v>13109</v>
      </c>
      <c r="D812" s="5" t="str">
        <f ca="1">IFERROR(__xludf.DUMMYFUNCTION("GOOGLETRANSLATE(B812,""ja"",""vi"")"),"con nhện")</f>
        <v>con nhện</v>
      </c>
      <c r="E812" s="5" t="str">
        <f ca="1">IFERROR(__xludf.DUMMYFUNCTION("GOOGLETRANSLATE(C812,""ja"",""vi"")"),"Đấu giá&gt; ô tô, xe máy&gt; ô tô cũ, ô tô mới&gt; Maserati&gt; nhện")</f>
        <v>Đấu giá&gt; ô tô, xe máy&gt; ô tô cũ, ô tô mới&gt; Maserati&gt; nhện</v>
      </c>
      <c r="F812" t="str">
        <f t="shared" ca="1" si="12"/>
        <v>"2084056548" : "con nhện",</v>
      </c>
    </row>
    <row r="813" spans="1:6" ht="15.75" customHeight="1">
      <c r="A813" s="18">
        <v>2084049136</v>
      </c>
      <c r="B813" s="18" t="s">
        <v>46</v>
      </c>
      <c r="C813" s="18" t="s">
        <v>13113</v>
      </c>
      <c r="D813" s="5" t="str">
        <f ca="1">IFERROR(__xludf.DUMMYFUNCTION("GOOGLETRANSLATE(B813,""ja"",""vi"")"),"nếu không thì")</f>
        <v>nếu không thì</v>
      </c>
      <c r="E813" s="5" t="str">
        <f ca="1">IFERROR(__xludf.DUMMYFUNCTION("GOOGLETRANSLATE(C813,""ja"",""vi"")"),"Đấu giá&gt; ô tô, xe máy&gt; ô tô cũ, ô tô mới&gt; Maserati&gt; Khác")</f>
        <v>Đấu giá&gt; ô tô, xe máy&gt; ô tô cũ, ô tô mới&gt; Maserati&gt; Khác</v>
      </c>
      <c r="F813" t="str">
        <f t="shared" ca="1" si="12"/>
        <v>"2084049136" : "nếu không thì",</v>
      </c>
    </row>
    <row r="814" spans="1:6" ht="15.75" customHeight="1">
      <c r="A814" s="18">
        <v>2084049163</v>
      </c>
      <c r="B814" s="18" t="s">
        <v>13117</v>
      </c>
      <c r="C814" s="18" t="s">
        <v>13119</v>
      </c>
      <c r="D814" s="5" t="str">
        <f ca="1">IFERROR(__xludf.DUMMYFUNCTION("GOOGLETRANSLATE(B814,""ja"",""vi"")"),"chủ đề")</f>
        <v>chủ đề</v>
      </c>
      <c r="E814" s="5" t="str">
        <f ca="1">IFERROR(__xludf.DUMMYFUNCTION("GOOGLETRANSLATE(C814,""ja"",""vi"")"),"Đấu giá&gt; ô tô, xe máy&gt; ô tô cũ, ô tô mới&gt; Lancia&gt; Theme")</f>
        <v>Đấu giá&gt; ô tô, xe máy&gt; ô tô cũ, ô tô mới&gt; Lancia&gt; Theme</v>
      </c>
      <c r="F814" t="str">
        <f t="shared" ca="1" si="12"/>
        <v>"2084049163" : "chủ đề",</v>
      </c>
    </row>
    <row r="815" spans="1:6" ht="15.75" customHeight="1">
      <c r="A815" s="18">
        <v>2084049164</v>
      </c>
      <c r="B815" s="18" t="s">
        <v>10105</v>
      </c>
      <c r="C815" s="18" t="s">
        <v>13123</v>
      </c>
      <c r="D815" s="5" t="str">
        <f ca="1">IFERROR(__xludf.DUMMYFUNCTION("GOOGLETRANSLATE(B815,""ja"",""vi"")"),"Delta")</f>
        <v>Delta</v>
      </c>
      <c r="E815" s="5" t="str">
        <f ca="1">IFERROR(__xludf.DUMMYFUNCTION("GOOGLETRANSLATE(C815,""ja"",""vi"")"),"Đấu giá&gt; ô tô, xe máy&gt; ô tô cũ, ô tô mới&gt; Lancia&gt; Delta")</f>
        <v>Đấu giá&gt; ô tô, xe máy&gt; ô tô cũ, ô tô mới&gt; Lancia&gt; Delta</v>
      </c>
      <c r="F815" t="str">
        <f t="shared" ca="1" si="12"/>
        <v>"2084049164" : "Delta",</v>
      </c>
    </row>
    <row r="816" spans="1:6" ht="15.75" customHeight="1">
      <c r="A816" s="18">
        <v>2084049220</v>
      </c>
      <c r="B816" s="18" t="s">
        <v>46</v>
      </c>
      <c r="C816" s="18" t="s">
        <v>13130</v>
      </c>
      <c r="D816" s="5" t="str">
        <f ca="1">IFERROR(__xludf.DUMMYFUNCTION("GOOGLETRANSLATE(B816,""ja"",""vi"")"),"nếu không thì")</f>
        <v>nếu không thì</v>
      </c>
      <c r="E816" s="5" t="str">
        <f ca="1">IFERROR(__xludf.DUMMYFUNCTION("GOOGLETRANSLATE(C816,""ja"",""vi"")"),"Đấu giá&gt; ô tô, xe máy&gt; ô tô cũ, ô tô mới&gt; Lancia&gt; Khác")</f>
        <v>Đấu giá&gt; ô tô, xe máy&gt; ô tô cũ, ô tô mới&gt; Lancia&gt; Khác</v>
      </c>
      <c r="F816" t="str">
        <f t="shared" ca="1" si="12"/>
        <v>"2084049220" : "nếu không thì",</v>
      </c>
    </row>
    <row r="817" spans="1:6" ht="15.75" customHeight="1">
      <c r="A817" s="18">
        <v>2084051726</v>
      </c>
      <c r="B817" s="18" t="s">
        <v>13134</v>
      </c>
      <c r="C817" s="18" t="s">
        <v>13135</v>
      </c>
      <c r="D817" s="5" t="str">
        <f ca="1">IFERROR(__xludf.DUMMYFUNCTION("GOOGLETRANSLATE(B817,""ja"",""vi"")"),"2CV")</f>
        <v>2CV</v>
      </c>
      <c r="E817" s="5" t="str">
        <f ca="1">IFERROR(__xludf.DUMMYFUNCTION("GOOGLETRANSLATE(C817,""ja"",""vi"")"),"Đấu giá&gt; ô tô, xe máy&gt; ô tô cũ, ô tô mới&gt; Citroen&gt; 2CV")</f>
        <v>Đấu giá&gt; ô tô, xe máy&gt; ô tô cũ, ô tô mới&gt; Citroen&gt; 2CV</v>
      </c>
      <c r="F817" t="str">
        <f t="shared" ca="1" si="12"/>
        <v>"2084051726" : "2CV",</v>
      </c>
    </row>
    <row r="818" spans="1:6" ht="15.75" customHeight="1">
      <c r="A818" s="18">
        <v>2084049002</v>
      </c>
      <c r="B818" s="18" t="s">
        <v>13140</v>
      </c>
      <c r="C818" s="18" t="s">
        <v>13141</v>
      </c>
      <c r="D818" s="5" t="str">
        <f ca="1">IFERROR(__xludf.DUMMYFUNCTION("GOOGLETRANSLATE(B818,""ja"",""vi"")"),"BX")</f>
        <v>BX</v>
      </c>
      <c r="E818" s="5" t="str">
        <f ca="1">IFERROR(__xludf.DUMMYFUNCTION("GOOGLETRANSLATE(C818,""ja"",""vi"")"),"Đấu giá&gt; ô tô, xe máy&gt; ô tô cũ, ô tô mới&gt; Citroen&gt; BX")</f>
        <v>Đấu giá&gt; ô tô, xe máy&gt; ô tô cũ, ô tô mới&gt; Citroen&gt; BX</v>
      </c>
      <c r="F818" t="str">
        <f t="shared" ca="1" si="12"/>
        <v>"2084049002" : "BX",</v>
      </c>
    </row>
    <row r="819" spans="1:6" ht="15.75" customHeight="1">
      <c r="A819" s="18">
        <v>2084053061</v>
      </c>
      <c r="B819" s="18" t="s">
        <v>13143</v>
      </c>
      <c r="C819" s="18" t="s">
        <v>13146</v>
      </c>
      <c r="D819" s="5" t="str">
        <f ca="1">IFERROR(__xludf.DUMMYFUNCTION("GOOGLETRANSLATE(B819,""ja"",""vi"")"),"C2")</f>
        <v>C2</v>
      </c>
      <c r="E819" s="5" t="str">
        <f ca="1">IFERROR(__xludf.DUMMYFUNCTION("GOOGLETRANSLATE(C819,""ja"",""vi"")"),"Đấu giá&gt; ô tô, xe máy&gt; ô tô cũ, ô tô mới&gt; Citroen&gt; C2")</f>
        <v>Đấu giá&gt; ô tô, xe máy&gt; ô tô cũ, ô tô mới&gt; Citroen&gt; C2</v>
      </c>
      <c r="F819" t="str">
        <f t="shared" ca="1" si="12"/>
        <v>"2084053061" : "C2",</v>
      </c>
    </row>
    <row r="820" spans="1:6" ht="15.75" customHeight="1">
      <c r="A820" s="18">
        <v>2084053617</v>
      </c>
      <c r="B820" s="18" t="s">
        <v>13149</v>
      </c>
      <c r="C820" s="18" t="s">
        <v>13151</v>
      </c>
      <c r="D820" s="5" t="str">
        <f ca="1">IFERROR(__xludf.DUMMYFUNCTION("GOOGLETRANSLATE(B820,""ja"",""vi"")"),"C3")</f>
        <v>C3</v>
      </c>
      <c r="E820" s="5" t="str">
        <f ca="1">IFERROR(__xludf.DUMMYFUNCTION("GOOGLETRANSLATE(C820,""ja"",""vi"")"),"Đấu giá&gt; ô tô, xe máy&gt; ô tô cũ, ô tô mới&gt; Citroen&gt; C3")</f>
        <v>Đấu giá&gt; ô tô, xe máy&gt; ô tô cũ, ô tô mới&gt; Citroen&gt; C3</v>
      </c>
      <c r="F820" t="str">
        <f t="shared" ca="1" si="12"/>
        <v>"2084053617" : "C3",</v>
      </c>
    </row>
    <row r="821" spans="1:6" ht="15.75" customHeight="1">
      <c r="A821" s="18">
        <v>2084062138</v>
      </c>
      <c r="B821" s="18" t="s">
        <v>13155</v>
      </c>
      <c r="C821" s="18" t="s">
        <v>13157</v>
      </c>
      <c r="D821" s="5" t="str">
        <f ca="1">IFERROR(__xludf.DUMMYFUNCTION("GOOGLETRANSLATE(B821,""ja"",""vi"")"),"C4")</f>
        <v>C4</v>
      </c>
      <c r="E821" s="5" t="str">
        <f ca="1">IFERROR(__xludf.DUMMYFUNCTION("GOOGLETRANSLATE(C821,""ja"",""vi"")"),"Đấu giá&gt; ô tô, xe máy&gt; ô tô cũ, ô tô mới&gt; Citroen&gt; C4")</f>
        <v>Đấu giá&gt; ô tô, xe máy&gt; ô tô cũ, ô tô mới&gt; Citroen&gt; C4</v>
      </c>
      <c r="F821" t="str">
        <f t="shared" ca="1" si="12"/>
        <v>"2084062138" : "C4",</v>
      </c>
    </row>
    <row r="822" spans="1:6" ht="15.75" customHeight="1">
      <c r="A822" s="18">
        <v>2084243756</v>
      </c>
      <c r="B822" s="18" t="s">
        <v>13160</v>
      </c>
      <c r="C822" s="18" t="s">
        <v>13163</v>
      </c>
      <c r="D822" s="5" t="str">
        <f ca="1">IFERROR(__xludf.DUMMYFUNCTION("GOOGLETRANSLATE(B822,""ja"",""vi"")"),"C5 sedan")</f>
        <v>C5 sedan</v>
      </c>
      <c r="E822" s="5" t="str">
        <f ca="1">IFERROR(__xludf.DUMMYFUNCTION("GOOGLETRANSLATE(C822,""ja"",""vi"")"),"Đấu giá&gt; ô tô, xe máy&gt; ô tô cũ, ô tô mới&gt; Citroen&gt; C5 sedan")</f>
        <v>Đấu giá&gt; ô tô, xe máy&gt; ô tô cũ, ô tô mới&gt; Citroen&gt; C5 sedan</v>
      </c>
      <c r="F822" t="str">
        <f t="shared" ca="1" si="12"/>
        <v>"2084243756" : "C5 sedan",</v>
      </c>
    </row>
    <row r="823" spans="1:6" ht="15.75" customHeight="1">
      <c r="A823" s="18">
        <v>2084243757</v>
      </c>
      <c r="B823" s="18" t="s">
        <v>13165</v>
      </c>
      <c r="C823" s="18" t="s">
        <v>13167</v>
      </c>
      <c r="D823" s="5" t="str">
        <f ca="1">IFERROR(__xludf.DUMMYFUNCTION("GOOGLETRANSLATE(B823,""ja"",""vi"")"),"C5 Tourer")</f>
        <v>C5 Tourer</v>
      </c>
      <c r="E823" s="5" t="str">
        <f ca="1">IFERROR(__xludf.DUMMYFUNCTION("GOOGLETRANSLATE(C823,""ja"",""vi"")"),"Đấu giá&gt; ô tô, xe máy&gt; ô tô cũ, ô tô mới&gt; Citroen&gt; C5 Tourer")</f>
        <v>Đấu giá&gt; ô tô, xe máy&gt; ô tô cũ, ô tô mới&gt; Citroen&gt; C5 Tourer</v>
      </c>
      <c r="F823" t="str">
        <f t="shared" ca="1" si="12"/>
        <v>"2084243757" : "C5 Tourer",</v>
      </c>
    </row>
    <row r="824" spans="1:6" ht="15.75" customHeight="1">
      <c r="A824" s="18">
        <v>2084299585</v>
      </c>
      <c r="B824" s="18" t="s">
        <v>13170</v>
      </c>
      <c r="C824" s="18" t="s">
        <v>13172</v>
      </c>
      <c r="D824" s="5" t="str">
        <f ca="1">IFERROR(__xludf.DUMMYFUNCTION("GOOGLETRANSLATE(B824,""ja"",""vi"")"),"C6")</f>
        <v>C6</v>
      </c>
      <c r="E824" s="5" t="str">
        <f ca="1">IFERROR(__xludf.DUMMYFUNCTION("GOOGLETRANSLATE(C824,""ja"",""vi"")"),"Đấu giá&gt; ô tô, xe máy&gt; ô tô cũ, ô tô mới&gt; Citroen&gt; C6")</f>
        <v>Đấu giá&gt; ô tô, xe máy&gt; ô tô cũ, ô tô mới&gt; Citroen&gt; C6</v>
      </c>
      <c r="F824" t="str">
        <f t="shared" ca="1" si="12"/>
        <v>"2084299585" : "C6",</v>
      </c>
    </row>
    <row r="825" spans="1:6" ht="15.75" customHeight="1">
      <c r="A825" s="18">
        <v>2084299586</v>
      </c>
      <c r="B825" s="18" t="s">
        <v>13175</v>
      </c>
      <c r="C825" s="18" t="s">
        <v>13176</v>
      </c>
      <c r="D825" s="5" t="str">
        <f ca="1">IFERROR(__xludf.DUMMYFUNCTION("GOOGLETRANSLATE(B825,""ja"",""vi"")"),"DS3")</f>
        <v>DS3</v>
      </c>
      <c r="E825" s="5" t="str">
        <f ca="1">IFERROR(__xludf.DUMMYFUNCTION("GOOGLETRANSLATE(C825,""ja"",""vi"")"),"Đấu giá&gt; ô tô, xe máy&gt; ô tô cũ, ô tô mới&gt; Citroen&gt; DS3")</f>
        <v>Đấu giá&gt; ô tô, xe máy&gt; ô tô cũ, ô tô mới&gt; Citroen&gt; DS3</v>
      </c>
      <c r="F825" t="str">
        <f t="shared" ca="1" si="12"/>
        <v>"2084299586" : "DS3",</v>
      </c>
    </row>
    <row r="826" spans="1:6" ht="15.75" customHeight="1">
      <c r="A826" s="18">
        <v>2084299587</v>
      </c>
      <c r="B826" s="18" t="s">
        <v>13180</v>
      </c>
      <c r="C826" s="18" t="s">
        <v>13182</v>
      </c>
      <c r="D826" s="5" t="str">
        <f ca="1">IFERROR(__xludf.DUMMYFUNCTION("GOOGLETRANSLATE(B826,""ja"",""vi"")"),"DS4")</f>
        <v>DS4</v>
      </c>
      <c r="E826" s="5" t="str">
        <f ca="1">IFERROR(__xludf.DUMMYFUNCTION("GOOGLETRANSLATE(C826,""ja"",""vi"")"),"Đấu giá&gt; ô tô, xe máy&gt; ô tô cũ, ô tô mới&gt; Citroen&gt; DS4")</f>
        <v>Đấu giá&gt; ô tô, xe máy&gt; ô tô cũ, ô tô mới&gt; Citroen&gt; DS4</v>
      </c>
      <c r="F826" t="str">
        <f t="shared" ca="1" si="12"/>
        <v>"2084299587" : "DS4",</v>
      </c>
    </row>
    <row r="827" spans="1:6" ht="15.75" customHeight="1">
      <c r="A827" s="18">
        <v>2084049003</v>
      </c>
      <c r="B827" s="18" t="s">
        <v>13185</v>
      </c>
      <c r="C827" s="18" t="s">
        <v>13186</v>
      </c>
      <c r="D827" s="5" t="str">
        <f ca="1">IFERROR(__xludf.DUMMYFUNCTION("GOOGLETRANSLATE(B827,""ja"",""vi"")"),"XM")</f>
        <v>XM</v>
      </c>
      <c r="E827" s="5" t="str">
        <f ca="1">IFERROR(__xludf.DUMMYFUNCTION("GOOGLETRANSLATE(C827,""ja"",""vi"")"),"Đấu giá&gt; ô tô, xe máy&gt; ô tô cũ, ô tô mới&gt; Citroen&gt; XM")</f>
        <v>Đấu giá&gt; ô tô, xe máy&gt; ô tô cũ, ô tô mới&gt; Citroen&gt; XM</v>
      </c>
      <c r="F827" t="str">
        <f t="shared" ca="1" si="12"/>
        <v>"2084049003" : "XM",</v>
      </c>
    </row>
    <row r="828" spans="1:6" ht="15.75" customHeight="1">
      <c r="A828" s="18">
        <v>2084049004</v>
      </c>
      <c r="B828" s="18" t="s">
        <v>13190</v>
      </c>
      <c r="C828" s="18" t="s">
        <v>13191</v>
      </c>
      <c r="D828" s="5" t="str">
        <f ca="1">IFERROR(__xludf.DUMMYFUNCTION("GOOGLETRANSLATE(B828,""ja"",""vi"")"),"ZX")</f>
        <v>ZX</v>
      </c>
      <c r="E828" s="5" t="str">
        <f ca="1">IFERROR(__xludf.DUMMYFUNCTION("GOOGLETRANSLATE(C828,""ja"",""vi"")"),"Đấu giá&gt; ô tô, xe máy&gt; ô tô cũ, ô tô mới&gt; Citroen&gt; ZX")</f>
        <v>Đấu giá&gt; ô tô, xe máy&gt; ô tô cũ, ô tô mới&gt; Citroen&gt; ZX</v>
      </c>
      <c r="F828" t="str">
        <f t="shared" ca="1" si="12"/>
        <v>"2084049004" : "ZX",</v>
      </c>
    </row>
    <row r="829" spans="1:6" ht="15.75" customHeight="1">
      <c r="A829" s="18">
        <v>2084049005</v>
      </c>
      <c r="B829" s="18" t="s">
        <v>13194</v>
      </c>
      <c r="C829" s="18" t="s">
        <v>13196</v>
      </c>
      <c r="D829" s="5" t="str">
        <f ca="1">IFERROR(__xludf.DUMMYFUNCTION("GOOGLETRANSLATE(B829,""ja"",""vi"")"),"Eguzantia")</f>
        <v>Eguzantia</v>
      </c>
      <c r="E829" s="5" t="str">
        <f ca="1">IFERROR(__xludf.DUMMYFUNCTION("GOOGLETRANSLATE(C829,""ja"",""vi"")"),"Đấu giá&gt; ô tô, xe máy&gt; ô tô cũ, ô tô mới&gt; Citroen&gt; Eguzantia")</f>
        <v>Đấu giá&gt; ô tô, xe máy&gt; ô tô cũ, ô tô mới&gt; Citroen&gt; Eguzantia</v>
      </c>
      <c r="F829" t="str">
        <f t="shared" ca="1" si="12"/>
        <v>"2084049005" : "Eguzantia",</v>
      </c>
    </row>
    <row r="830" spans="1:6" ht="15.75" customHeight="1">
      <c r="A830" s="18">
        <v>2084054523</v>
      </c>
      <c r="B830" s="18" t="s">
        <v>13198</v>
      </c>
      <c r="C830" s="18" t="s">
        <v>13200</v>
      </c>
      <c r="D830" s="5" t="str">
        <f ca="1">IFERROR(__xludf.DUMMYFUNCTION("GOOGLETRANSLATE(B830,""ja"",""vi"")"),"Xsara")</f>
        <v>Xsara</v>
      </c>
      <c r="E830" s="5" t="str">
        <f ca="1">IFERROR(__xludf.DUMMYFUNCTION("GOOGLETRANSLATE(C830,""ja"",""vi"")"),"Đấu giá&gt; ô tô, xe máy&gt; ô tô cũ, ô tô mới&gt; Citroen&gt; Xsara")</f>
        <v>Đấu giá&gt; ô tô, xe máy&gt; ô tô cũ, ô tô mới&gt; Citroen&gt; Xsara</v>
      </c>
      <c r="F830" t="str">
        <f t="shared" ca="1" si="12"/>
        <v>"2084054523" : "Xsara",</v>
      </c>
    </row>
    <row r="831" spans="1:6" ht="15.75" customHeight="1">
      <c r="A831" s="18">
        <v>2084057454</v>
      </c>
      <c r="B831" s="18" t="s">
        <v>13204</v>
      </c>
      <c r="C831" s="18" t="s">
        <v>13206</v>
      </c>
      <c r="D831" s="5" t="str">
        <f ca="1">IFERROR(__xludf.DUMMYFUNCTION("GOOGLETRANSLATE(B831,""ja"",""vi"")"),"Kusarapikaso")</f>
        <v>Kusarapikaso</v>
      </c>
      <c r="E831" s="5" t="str">
        <f ca="1">IFERROR(__xludf.DUMMYFUNCTION("GOOGLETRANSLATE(C831,""ja"",""vi"")"),"Đấu giá&gt; ô tô, xe máy&gt; ô tô cũ, ô tô mới&gt; Citroen&gt; Kusarapikaso")</f>
        <v>Đấu giá&gt; ô tô, xe máy&gt; ô tô cũ, ô tô mới&gt; Citroen&gt; Kusarapikaso</v>
      </c>
      <c r="F831" t="str">
        <f t="shared" ca="1" si="12"/>
        <v>"2084057454" : "Kusarapikaso",</v>
      </c>
    </row>
    <row r="832" spans="1:6" ht="15.75" customHeight="1">
      <c r="A832" s="18">
        <v>2084049006</v>
      </c>
      <c r="B832" s="18" t="s">
        <v>46</v>
      </c>
      <c r="C832" s="18" t="s">
        <v>13211</v>
      </c>
      <c r="D832" s="5" t="str">
        <f ca="1">IFERROR(__xludf.DUMMYFUNCTION("GOOGLETRANSLATE(B832,""ja"",""vi"")"),"nếu không thì")</f>
        <v>nếu không thì</v>
      </c>
      <c r="E832" s="5" t="str">
        <f ca="1">IFERROR(__xludf.DUMMYFUNCTION("GOOGLETRANSLATE(C832,""ja"",""vi"")"),"Đấu giá&gt; ô tô, xe máy&gt; ô tô cũ, ô tô mới&gt; Citroen&gt; Khác")</f>
        <v>Đấu giá&gt; ô tô, xe máy&gt; ô tô cũ, ô tô mới&gt; Citroen&gt; Khác</v>
      </c>
      <c r="F832" t="str">
        <f t="shared" ca="1" si="12"/>
        <v>"2084049006" : "nếu không thì",</v>
      </c>
    </row>
    <row r="833" spans="1:6" ht="15.75" customHeight="1">
      <c r="A833" s="18">
        <v>2084299588</v>
      </c>
      <c r="B833" s="18">
        <v>1007</v>
      </c>
      <c r="C833" s="18" t="s">
        <v>13212</v>
      </c>
      <c r="D833" s="5" t="str">
        <f ca="1">IFERROR(__xludf.DUMMYFUNCTION("GOOGLETRANSLATE(B833,""ja"",""vi"")"),"1007")</f>
        <v>1007</v>
      </c>
      <c r="E833" s="5" t="str">
        <f ca="1">IFERROR(__xludf.DUMMYFUNCTION("GOOGLETRANSLATE(C833,""ja"",""vi"")"),"Đấu giá&gt; ô tô, xe máy&gt; ô tô cũ, ô tô mới&gt; Peugeot&gt; 1007")</f>
        <v>Đấu giá&gt; ô tô, xe máy&gt; ô tô cũ, ô tô mới&gt; Peugeot&gt; 1007</v>
      </c>
      <c r="F833" t="str">
        <f t="shared" ca="1" si="12"/>
        <v>"2084299588" : "1007",</v>
      </c>
    </row>
    <row r="834" spans="1:6" ht="15.75" customHeight="1">
      <c r="A834" s="18">
        <v>2084049098</v>
      </c>
      <c r="B834" s="18">
        <v>106</v>
      </c>
      <c r="C834" s="18" t="s">
        <v>13216</v>
      </c>
      <c r="D834" s="5" t="str">
        <f ca="1">IFERROR(__xludf.DUMMYFUNCTION("GOOGLETRANSLATE(B834,""ja"",""vi"")"),"106")</f>
        <v>106</v>
      </c>
      <c r="E834" s="5" t="str">
        <f ca="1">IFERROR(__xludf.DUMMYFUNCTION("GOOGLETRANSLATE(C834,""ja"",""vi"")"),"Đấu giá&gt; ô tô, xe máy&gt; ô tô cũ, ô tô mới&gt; Peugeot&gt; 106")</f>
        <v>Đấu giá&gt; ô tô, xe máy&gt; ô tô cũ, ô tô mới&gt; Peugeot&gt; 106</v>
      </c>
      <c r="F834" t="str">
        <f t="shared" ref="F834:F897" ca="1" si="13">CONCATENATE(CHAR(34)&amp;"",A834,""&amp;CHAR(34)," : ", CHAR(34)&amp;"",D834,""&amp;CHAR(34),",")</f>
        <v>"2084049098" : "106",</v>
      </c>
    </row>
    <row r="835" spans="1:6" ht="15.75" customHeight="1">
      <c r="A835" s="18">
        <v>2084049099</v>
      </c>
      <c r="B835" s="18">
        <v>205</v>
      </c>
      <c r="C835" s="18" t="s">
        <v>13219</v>
      </c>
      <c r="D835" s="5" t="str">
        <f ca="1">IFERROR(__xludf.DUMMYFUNCTION("GOOGLETRANSLATE(B835,""ja"",""vi"")"),"205")</f>
        <v>205</v>
      </c>
      <c r="E835" s="5" t="str">
        <f ca="1">IFERROR(__xludf.DUMMYFUNCTION("GOOGLETRANSLATE(C835,""ja"",""vi"")"),"Đấu giá&gt; ô tô, xe máy&gt; ô tô cũ, ô tô mới&gt; Peugeot&gt; 205")</f>
        <v>Đấu giá&gt; ô tô, xe máy&gt; ô tô cũ, ô tô mới&gt; Peugeot&gt; 205</v>
      </c>
      <c r="F835" t="str">
        <f t="shared" ca="1" si="13"/>
        <v>"2084049099" : "205",</v>
      </c>
    </row>
    <row r="836" spans="1:6" ht="15.75" customHeight="1">
      <c r="A836" s="18">
        <v>2084049100</v>
      </c>
      <c r="B836" s="18">
        <v>206</v>
      </c>
      <c r="C836" s="18" t="s">
        <v>13222</v>
      </c>
      <c r="D836" s="5" t="str">
        <f ca="1">IFERROR(__xludf.DUMMYFUNCTION("GOOGLETRANSLATE(B836,""ja"",""vi"")"),"206")</f>
        <v>206</v>
      </c>
      <c r="E836" s="5" t="str">
        <f ca="1">IFERROR(__xludf.DUMMYFUNCTION("GOOGLETRANSLATE(C836,""ja"",""vi"")"),"Đấu giá&gt; ô tô, xe máy&gt; ô tô cũ, ô tô mới&gt; Peugeot&gt; 206")</f>
        <v>Đấu giá&gt; ô tô, xe máy&gt; ô tô cũ, ô tô mới&gt; Peugeot&gt; 206</v>
      </c>
      <c r="F836" t="str">
        <f t="shared" ca="1" si="13"/>
        <v>"2084049100" : "206",</v>
      </c>
    </row>
    <row r="837" spans="1:6" ht="15.75" customHeight="1">
      <c r="A837" s="18">
        <v>2084299589</v>
      </c>
      <c r="B837" s="18">
        <v>207</v>
      </c>
      <c r="C837" s="18" t="s">
        <v>13225</v>
      </c>
      <c r="D837" s="5" t="str">
        <f ca="1">IFERROR(__xludf.DUMMYFUNCTION("GOOGLETRANSLATE(B837,""ja"",""vi"")"),"207")</f>
        <v>207</v>
      </c>
      <c r="E837" s="5" t="str">
        <f ca="1">IFERROR(__xludf.DUMMYFUNCTION("GOOGLETRANSLATE(C837,""ja"",""vi"")"),"Đấu giá&gt; ô tô, xe máy&gt; ô tô cũ, ô tô mới&gt; Peugeot&gt; 207")</f>
        <v>Đấu giá&gt; ô tô, xe máy&gt; ô tô cũ, ô tô mới&gt; Peugeot&gt; 207</v>
      </c>
      <c r="F837" t="str">
        <f t="shared" ca="1" si="13"/>
        <v>"2084299589" : "207",</v>
      </c>
    </row>
    <row r="838" spans="1:6" ht="15.75" customHeight="1">
      <c r="A838" s="18">
        <v>2084299590</v>
      </c>
      <c r="B838" s="18">
        <v>3008</v>
      </c>
      <c r="C838" s="18" t="s">
        <v>13227</v>
      </c>
      <c r="D838" s="5" t="str">
        <f ca="1">IFERROR(__xludf.DUMMYFUNCTION("GOOGLETRANSLATE(B838,""ja"",""vi"")"),"3008")</f>
        <v>3008</v>
      </c>
      <c r="E838" s="5" t="str">
        <f ca="1">IFERROR(__xludf.DUMMYFUNCTION("GOOGLETRANSLATE(C838,""ja"",""vi"")"),"Đấu giá&gt; ô tô, xe máy&gt; ô tô cũ, ô tô mới&gt; Peugeot&gt; 3008")</f>
        <v>Đấu giá&gt; ô tô, xe máy&gt; ô tô cũ, ô tô mới&gt; Peugeot&gt; 3008</v>
      </c>
      <c r="F838" t="str">
        <f t="shared" ca="1" si="13"/>
        <v>"2084299590" : "3008",</v>
      </c>
    </row>
    <row r="839" spans="1:6" ht="15.75" customHeight="1">
      <c r="A839" s="18">
        <v>2084048201</v>
      </c>
      <c r="B839" s="18">
        <v>306</v>
      </c>
      <c r="C839" s="18" t="s">
        <v>13232</v>
      </c>
      <c r="D839" s="5" t="str">
        <f ca="1">IFERROR(__xludf.DUMMYFUNCTION("GOOGLETRANSLATE(B839,""ja"",""vi"")"),"306")</f>
        <v>306</v>
      </c>
      <c r="E839" s="5" t="str">
        <f ca="1">IFERROR(__xludf.DUMMYFUNCTION("GOOGLETRANSLATE(C839,""ja"",""vi"")"),"Đấu giá&gt; ô tô, xe máy&gt; ô tô cũ, ô tô mới&gt; Peugeot&gt; 306")</f>
        <v>Đấu giá&gt; ô tô, xe máy&gt; ô tô cũ, ô tô mới&gt; Peugeot&gt; 306</v>
      </c>
      <c r="F839" t="str">
        <f t="shared" ca="1" si="13"/>
        <v>"2084048201" : "306",</v>
      </c>
    </row>
    <row r="840" spans="1:6" ht="15.75" customHeight="1">
      <c r="A840" s="18">
        <v>2084049101</v>
      </c>
      <c r="B840" s="18">
        <v>307</v>
      </c>
      <c r="C840" s="18" t="s">
        <v>13237</v>
      </c>
      <c r="D840" s="5" t="str">
        <f ca="1">IFERROR(__xludf.DUMMYFUNCTION("GOOGLETRANSLATE(B840,""ja"",""vi"")"),"307")</f>
        <v>307</v>
      </c>
      <c r="E840" s="5" t="str">
        <f ca="1">IFERROR(__xludf.DUMMYFUNCTION("GOOGLETRANSLATE(C840,""ja"",""vi"")"),"Đấu giá&gt; ô tô, xe máy&gt; ô tô cũ, ô tô mới&gt; Peugeot&gt; 307")</f>
        <v>Đấu giá&gt; ô tô, xe máy&gt; ô tô cũ, ô tô mới&gt; Peugeot&gt; 307</v>
      </c>
      <c r="F840" t="str">
        <f t="shared" ca="1" si="13"/>
        <v>"2084049101" : "307",</v>
      </c>
    </row>
    <row r="841" spans="1:6" ht="15.75" customHeight="1">
      <c r="A841" s="18">
        <v>2084299591</v>
      </c>
      <c r="B841" s="18">
        <v>308</v>
      </c>
      <c r="C841" s="18" t="s">
        <v>13241</v>
      </c>
      <c r="D841" s="5" t="str">
        <f ca="1">IFERROR(__xludf.DUMMYFUNCTION("GOOGLETRANSLATE(B841,""ja"",""vi"")"),"308")</f>
        <v>308</v>
      </c>
      <c r="E841" s="5" t="str">
        <f ca="1">IFERROR(__xludf.DUMMYFUNCTION("GOOGLETRANSLATE(C841,""ja"",""vi"")"),"Đấu giá&gt; ô tô, xe máy&gt; ô tô cũ, ô tô mới&gt; Peugeot&gt; 308")</f>
        <v>Đấu giá&gt; ô tô, xe máy&gt; ô tô cũ, ô tô mới&gt; Peugeot&gt; 308</v>
      </c>
      <c r="F841" t="str">
        <f t="shared" ca="1" si="13"/>
        <v>"2084299591" : "308",</v>
      </c>
    </row>
    <row r="842" spans="1:6" ht="15.75" customHeight="1">
      <c r="A842" s="18">
        <v>2084049102</v>
      </c>
      <c r="B842" s="18">
        <v>405</v>
      </c>
      <c r="C842" s="18" t="s">
        <v>13242</v>
      </c>
      <c r="D842" s="5" t="str">
        <f ca="1">IFERROR(__xludf.DUMMYFUNCTION("GOOGLETRANSLATE(B842,""ja"",""vi"")"),"405")</f>
        <v>405</v>
      </c>
      <c r="E842" s="5" t="str">
        <f ca="1">IFERROR(__xludf.DUMMYFUNCTION("GOOGLETRANSLATE(C842,""ja"",""vi"")"),"Đấu giá&gt; ô tô, xe máy&gt; ô tô cũ, ô tô mới&gt; Peugeot&gt; 405")</f>
        <v>Đấu giá&gt; ô tô, xe máy&gt; ô tô cũ, ô tô mới&gt; Peugeot&gt; 405</v>
      </c>
      <c r="F842" t="str">
        <f t="shared" ca="1" si="13"/>
        <v>"2084049102" : "405",</v>
      </c>
    </row>
    <row r="843" spans="1:6" ht="15.75" customHeight="1">
      <c r="A843" s="18">
        <v>2084049103</v>
      </c>
      <c r="B843" s="18">
        <v>406</v>
      </c>
      <c r="C843" s="18" t="s">
        <v>13247</v>
      </c>
      <c r="D843" s="5" t="str">
        <f ca="1">IFERROR(__xludf.DUMMYFUNCTION("GOOGLETRANSLATE(B843,""ja"",""vi"")"),"406")</f>
        <v>406</v>
      </c>
      <c r="E843" s="5" t="str">
        <f ca="1">IFERROR(__xludf.DUMMYFUNCTION("GOOGLETRANSLATE(C843,""ja"",""vi"")"),"Đấu giá&gt; ô tô, xe máy&gt; ô tô cũ, ô tô mới&gt; Peugeot&gt; 406")</f>
        <v>Đấu giá&gt; ô tô, xe máy&gt; ô tô cũ, ô tô mới&gt; Peugeot&gt; 406</v>
      </c>
      <c r="F843" t="str">
        <f t="shared" ca="1" si="13"/>
        <v>"2084049103" : "406",</v>
      </c>
    </row>
    <row r="844" spans="1:6" ht="15.75" customHeight="1">
      <c r="A844" s="18">
        <v>2084062137</v>
      </c>
      <c r="B844" s="18">
        <v>407</v>
      </c>
      <c r="C844" s="18" t="s">
        <v>13251</v>
      </c>
      <c r="D844" s="5" t="str">
        <f ca="1">IFERROR(__xludf.DUMMYFUNCTION("GOOGLETRANSLATE(B844,""ja"",""vi"")"),"407")</f>
        <v>407</v>
      </c>
      <c r="E844" s="5" t="str">
        <f ca="1">IFERROR(__xludf.DUMMYFUNCTION("GOOGLETRANSLATE(C844,""ja"",""vi"")"),"Đấu giá&gt; ô tô, xe máy&gt; ô tô cũ, ô tô mới&gt; Peugeot&gt; 407")</f>
        <v>Đấu giá&gt; ô tô, xe máy&gt; ô tô cũ, ô tô mới&gt; Peugeot&gt; 407</v>
      </c>
      <c r="F844" t="str">
        <f t="shared" ca="1" si="13"/>
        <v>"2084062137" : "407",</v>
      </c>
    </row>
    <row r="845" spans="1:6" ht="15.75" customHeight="1">
      <c r="A845" s="18">
        <v>2084299592</v>
      </c>
      <c r="B845" s="18">
        <v>508</v>
      </c>
      <c r="C845" s="18" t="s">
        <v>13253</v>
      </c>
      <c r="D845" s="5" t="str">
        <f ca="1">IFERROR(__xludf.DUMMYFUNCTION("GOOGLETRANSLATE(B845,""ja"",""vi"")"),"508")</f>
        <v>508</v>
      </c>
      <c r="E845" s="5" t="str">
        <f ca="1">IFERROR(__xludf.DUMMYFUNCTION("GOOGLETRANSLATE(C845,""ja"",""vi"")"),"Đấu giá&gt; ô tô, xe máy&gt; ô tô cũ, ô tô mới&gt; Peugeot&gt; 508")</f>
        <v>Đấu giá&gt; ô tô, xe máy&gt; ô tô cũ, ô tô mới&gt; Peugeot&gt; 508</v>
      </c>
      <c r="F845" t="str">
        <f t="shared" ca="1" si="13"/>
        <v>"2084299592" : "508",</v>
      </c>
    </row>
    <row r="846" spans="1:6" ht="15.75" customHeight="1">
      <c r="A846" s="18">
        <v>2084055962</v>
      </c>
      <c r="B846" s="18">
        <v>607</v>
      </c>
      <c r="C846" s="18" t="s">
        <v>13257</v>
      </c>
      <c r="D846" s="5" t="str">
        <f ca="1">IFERROR(__xludf.DUMMYFUNCTION("GOOGLETRANSLATE(B846,""ja"",""vi"")"),"607")</f>
        <v>607</v>
      </c>
      <c r="E846" s="5" t="str">
        <f ca="1">IFERROR(__xludf.DUMMYFUNCTION("GOOGLETRANSLATE(C846,""ja"",""vi"")"),"Đấu giá&gt; ô tô, xe máy&gt; ô tô cũ, ô tô mới&gt; Peugeot&gt; 607")</f>
        <v>Đấu giá&gt; ô tô, xe máy&gt; ô tô cũ, ô tô mới&gt; Peugeot&gt; 607</v>
      </c>
      <c r="F846" t="str">
        <f t="shared" ca="1" si="13"/>
        <v>"2084055962" : "607",</v>
      </c>
    </row>
    <row r="847" spans="1:6" ht="15.75" customHeight="1">
      <c r="A847" s="18">
        <v>2084299593</v>
      </c>
      <c r="B847" s="18" t="s">
        <v>13260</v>
      </c>
      <c r="C847" s="18" t="s">
        <v>13261</v>
      </c>
      <c r="D847" s="5" t="str">
        <f ca="1">IFERROR(__xludf.DUMMYFUNCTION("GOOGLETRANSLATE(B847,""ja"",""vi"")"),"RCZ")</f>
        <v>RCZ</v>
      </c>
      <c r="E847" s="5" t="str">
        <f ca="1">IFERROR(__xludf.DUMMYFUNCTION("GOOGLETRANSLATE(C847,""ja"",""vi"")"),"Đấu giá&gt; ô tô, xe máy&gt; ô tô cũ, ô tô mới&gt; Peugeot&gt; RCZ")</f>
        <v>Đấu giá&gt; ô tô, xe máy&gt; ô tô cũ, ô tô mới&gt; Peugeot&gt; RCZ</v>
      </c>
      <c r="F847" t="str">
        <f t="shared" ca="1" si="13"/>
        <v>"2084299593" : "RCZ",</v>
      </c>
    </row>
    <row r="848" spans="1:6" ht="15.75" customHeight="1">
      <c r="A848" s="18">
        <v>2084048200</v>
      </c>
      <c r="B848" s="18" t="s">
        <v>46</v>
      </c>
      <c r="C848" s="18" t="s">
        <v>13265</v>
      </c>
      <c r="D848" s="5" t="str">
        <f ca="1">IFERROR(__xludf.DUMMYFUNCTION("GOOGLETRANSLATE(B848,""ja"",""vi"")"),"nếu không thì")</f>
        <v>nếu không thì</v>
      </c>
      <c r="E848" s="5" t="str">
        <f ca="1">IFERROR(__xludf.DUMMYFUNCTION("GOOGLETRANSLATE(C848,""ja"",""vi"")"),"Đấu giá&gt; ô tô, xe máy&gt; ô tô cũ, ô tô mới&gt; Peugeot&gt; Khác")</f>
        <v>Đấu giá&gt; ô tô, xe máy&gt; ô tô cũ, ô tô mới&gt; Peugeot&gt; Khác</v>
      </c>
      <c r="F848" t="str">
        <f t="shared" ca="1" si="13"/>
        <v>"2084048200" : "nếu không thì",</v>
      </c>
    </row>
    <row r="849" spans="1:6" ht="15.75" customHeight="1">
      <c r="A849" s="18">
        <v>2084049172</v>
      </c>
      <c r="B849" s="18">
        <v>4</v>
      </c>
      <c r="C849" s="18" t="s">
        <v>13268</v>
      </c>
      <c r="D849" s="5" t="str">
        <f ca="1">IFERROR(__xludf.DUMMYFUNCTION("GOOGLETRANSLATE(B849,""ja"",""vi"")"),"4")</f>
        <v>4</v>
      </c>
      <c r="E849" s="5" t="str">
        <f ca="1">IFERROR(__xludf.DUMMYFUNCTION("GOOGLETRANSLATE(C849,""ja"",""vi"")"),"Đấu giá&gt; ô tô, xe máy&gt; ô tô cũ, ô tô mới&gt; Renault&gt; 4")</f>
        <v>Đấu giá&gt; ô tô, xe máy&gt; ô tô cũ, ô tô mới&gt; Renault&gt; 4</v>
      </c>
      <c r="F849" t="str">
        <f t="shared" ca="1" si="13"/>
        <v>"2084049172" : "4",</v>
      </c>
    </row>
    <row r="850" spans="1:6" ht="15.75" customHeight="1">
      <c r="A850" s="18">
        <v>2084054518</v>
      </c>
      <c r="B850" s="18" t="s">
        <v>13271</v>
      </c>
      <c r="C850" s="18" t="s">
        <v>13272</v>
      </c>
      <c r="D850" s="5" t="str">
        <f ca="1">IFERROR(__xludf.DUMMYFUNCTION("GOOGLETRANSLATE(B850,""ja"",""vi"")"),"Avantaimu")</f>
        <v>Avantaimu</v>
      </c>
      <c r="E850" s="5" t="str">
        <f ca="1">IFERROR(__xludf.DUMMYFUNCTION("GOOGLETRANSLATE(C850,""ja"",""vi"")"),"Đấu giá&gt; ô tô, xe máy&gt; ô tô cũ, ô tô mới&gt; Renault&gt; Avantaimu")</f>
        <v>Đấu giá&gt; ô tô, xe máy&gt; ô tô cũ, ô tô mới&gt; Renault&gt; Avantaimu</v>
      </c>
      <c r="F850" t="str">
        <f t="shared" ca="1" si="13"/>
        <v>"2084054518" : "Avantaimu",</v>
      </c>
    </row>
    <row r="851" spans="1:6" ht="15.75" customHeight="1">
      <c r="A851" s="18">
        <v>2084299594</v>
      </c>
      <c r="B851" s="18" t="s">
        <v>13275</v>
      </c>
      <c r="C851" s="18" t="s">
        <v>13276</v>
      </c>
      <c r="D851" s="5" t="str">
        <f ca="1">IFERROR(__xludf.DUMMYFUNCTION("GOOGLETRANSLATE(B851,""ja"",""vi"")"),"gió")</f>
        <v>gió</v>
      </c>
      <c r="E851" s="5" t="str">
        <f ca="1">IFERROR(__xludf.DUMMYFUNCTION("GOOGLETRANSLATE(C851,""ja"",""vi"")"),"Đấu giá&gt; ô tô, xe máy&gt; ô tô cũ, ô tô mới&gt; Renault&gt; Gió")</f>
        <v>Đấu giá&gt; ô tô, xe máy&gt; ô tô cũ, ô tô mới&gt; Renault&gt; Gió</v>
      </c>
      <c r="F851" t="str">
        <f t="shared" ca="1" si="13"/>
        <v>"2084299594" : "gió",</v>
      </c>
    </row>
    <row r="852" spans="1:6" ht="15.75" customHeight="1">
      <c r="A852" s="18">
        <v>2084054515</v>
      </c>
      <c r="B852" s="18" t="s">
        <v>13282</v>
      </c>
      <c r="C852" s="18" t="s">
        <v>13283</v>
      </c>
      <c r="D852" s="5" t="str">
        <f ca="1">IFERROR(__xludf.DUMMYFUNCTION("GOOGLETRANSLATE(B852,""ja"",""vi"")"),"Kangoo")</f>
        <v>Kangoo</v>
      </c>
      <c r="E852" s="5" t="str">
        <f ca="1">IFERROR(__xludf.DUMMYFUNCTION("GOOGLETRANSLATE(C852,""ja"",""vi"")"),"Đấu giá&gt; ô tô, xe máy&gt; ô tô cũ, ô tô mới&gt; Renault&gt; Kangoo")</f>
        <v>Đấu giá&gt; ô tô, xe máy&gt; ô tô cũ, ô tô mới&gt; Renault&gt; Kangoo</v>
      </c>
      <c r="F852" t="str">
        <f t="shared" ca="1" si="13"/>
        <v>"2084054515" : "Kangoo",</v>
      </c>
    </row>
    <row r="853" spans="1:6" ht="15.75" customHeight="1">
      <c r="A853" s="18">
        <v>2084299595</v>
      </c>
      <c r="B853" s="18" t="s">
        <v>13285</v>
      </c>
      <c r="C853" s="18" t="s">
        <v>13286</v>
      </c>
      <c r="D853" s="5" t="str">
        <f ca="1">IFERROR(__xludf.DUMMYFUNCTION("GOOGLETRANSLATE(B853,""ja"",""vi"")"),"Koleos")</f>
        <v>Koleos</v>
      </c>
      <c r="E853" s="5" t="str">
        <f ca="1">IFERROR(__xludf.DUMMYFUNCTION("GOOGLETRANSLATE(C853,""ja"",""vi"")"),"Đấu giá&gt; ô tô, xe máy&gt; ô tô cũ, ô tô mới&gt; Renault&gt; Koleos")</f>
        <v>Đấu giá&gt; ô tô, xe máy&gt; ô tô cũ, ô tô mới&gt; Renault&gt; Koleos</v>
      </c>
      <c r="F853" t="str">
        <f t="shared" ca="1" si="13"/>
        <v>"2084299595" : "Koleos",</v>
      </c>
    </row>
    <row r="854" spans="1:6" ht="15.75" customHeight="1">
      <c r="A854" s="18">
        <v>2084051741</v>
      </c>
      <c r="B854" s="18" t="s">
        <v>13290</v>
      </c>
      <c r="C854" s="18" t="s">
        <v>13291</v>
      </c>
      <c r="D854" s="5" t="str">
        <f ca="1">IFERROR(__xludf.DUMMYFUNCTION("GOOGLETRANSLATE(B854,""ja"",""vi"")"),"thunk")</f>
        <v>thunk</v>
      </c>
      <c r="E854" s="5" t="str">
        <f ca="1">IFERROR(__xludf.DUMMYFUNCTION("GOOGLETRANSLATE(C854,""ja"",""vi"")"),"Đấu giá&gt; ô tô, xe máy&gt; ô tô cũ, ô tô mới&gt; Renault&gt; thunk")</f>
        <v>Đấu giá&gt; ô tô, xe máy&gt; ô tô cũ, ô tô mới&gt; Renault&gt; thunk</v>
      </c>
      <c r="F854" t="str">
        <f t="shared" ca="1" si="13"/>
        <v>"2084051741" : "thunk",</v>
      </c>
    </row>
    <row r="855" spans="1:6" ht="15.75" customHeight="1">
      <c r="A855" s="18">
        <v>2084049173</v>
      </c>
      <c r="B855" s="18" t="s">
        <v>13293</v>
      </c>
      <c r="C855" s="18" t="s">
        <v>13295</v>
      </c>
      <c r="D855" s="5" t="str">
        <f ca="1">IFERROR(__xludf.DUMMYFUNCTION("GOOGLETRANSLATE(B855,""ja"",""vi"")"),"Twingo")</f>
        <v>Twingo</v>
      </c>
      <c r="E855" s="5" t="str">
        <f ca="1">IFERROR(__xludf.DUMMYFUNCTION("GOOGLETRANSLATE(C855,""ja"",""vi"")"),"Đấu giá&gt; ô tô, xe máy&gt; ô tô cũ, ô tô mới&gt; Renault&gt; Twingo")</f>
        <v>Đấu giá&gt; ô tô, xe máy&gt; ô tô cũ, ô tô mới&gt; Renault&gt; Twingo</v>
      </c>
      <c r="F855" t="str">
        <f t="shared" ca="1" si="13"/>
        <v>"2084049173" : "Twingo",</v>
      </c>
    </row>
    <row r="856" spans="1:6" ht="15.75" customHeight="1">
      <c r="A856" s="18">
        <v>2084049174</v>
      </c>
      <c r="B856" s="18" t="s">
        <v>13297</v>
      </c>
      <c r="C856" s="18" t="s">
        <v>13298</v>
      </c>
      <c r="D856" s="5" t="str">
        <f ca="1">IFERROR(__xludf.DUMMYFUNCTION("GOOGLETRANSLATE(B856,""ja"",""vi"")"),"Megane")</f>
        <v>Megane</v>
      </c>
      <c r="E856" s="5" t="str">
        <f ca="1">IFERROR(__xludf.DUMMYFUNCTION("GOOGLETRANSLATE(C856,""ja"",""vi"")"),"Đấu giá&gt; ô tô, xe máy&gt; ô tô cũ, ô tô mới&gt; Renault&gt; Megane")</f>
        <v>Đấu giá&gt; ô tô, xe máy&gt; ô tô cũ, ô tô mới&gt; Renault&gt; Megane</v>
      </c>
      <c r="F856" t="str">
        <f t="shared" ca="1" si="13"/>
        <v>"2084049174" : "Megane",</v>
      </c>
    </row>
    <row r="857" spans="1:6" ht="15.75" customHeight="1">
      <c r="A857" s="18">
        <v>2084049175</v>
      </c>
      <c r="B857" s="18" t="s">
        <v>13303</v>
      </c>
      <c r="C857" s="18" t="s">
        <v>13304</v>
      </c>
      <c r="D857" s="5" t="str">
        <f ca="1">IFERROR(__xludf.DUMMYFUNCTION("GOOGLETRANSLATE(B857,""ja"",""vi"")"),"Lutecia")</f>
        <v>Lutecia</v>
      </c>
      <c r="E857" s="5" t="str">
        <f ca="1">IFERROR(__xludf.DUMMYFUNCTION("GOOGLETRANSLATE(C857,""ja"",""vi"")"),"Đấu giá&gt; ô tô, xe máy&gt; ô tô cũ, ô tô mới&gt; Renault&gt; Lutecia")</f>
        <v>Đấu giá&gt; ô tô, xe máy&gt; ô tô cũ, ô tô mới&gt; Renault&gt; Lutecia</v>
      </c>
      <c r="F857" t="str">
        <f t="shared" ca="1" si="13"/>
        <v>"2084049175" : "Lutecia",</v>
      </c>
    </row>
    <row r="858" spans="1:6" ht="15.75" customHeight="1">
      <c r="A858" s="18">
        <v>2084049171</v>
      </c>
      <c r="B858" s="18" t="s">
        <v>46</v>
      </c>
      <c r="C858" s="18" t="s">
        <v>13307</v>
      </c>
      <c r="D858" s="5" t="str">
        <f ca="1">IFERROR(__xludf.DUMMYFUNCTION("GOOGLETRANSLATE(B858,""ja"",""vi"")"),"nếu không thì")</f>
        <v>nếu không thì</v>
      </c>
      <c r="E858" s="5" t="str">
        <f ca="1">IFERROR(__xludf.DUMMYFUNCTION("GOOGLETRANSLATE(C858,""ja"",""vi"")"),"Đấu giá&gt; ô tô, xe máy&gt; ô tô cũ, ô tô mới&gt; Renault&gt; Khác")</f>
        <v>Đấu giá&gt; ô tô, xe máy&gt; ô tô cũ, ô tô mới&gt; Renault&gt; Khác</v>
      </c>
      <c r="F858" t="str">
        <f t="shared" ca="1" si="13"/>
        <v>"2084049171" : "nếu không thì",</v>
      </c>
    </row>
    <row r="859" spans="1:6" ht="15.75" customHeight="1">
      <c r="A859" s="18">
        <v>2084048998</v>
      </c>
      <c r="B859" s="19">
        <v>43533</v>
      </c>
      <c r="C859" s="18" t="s">
        <v>13319</v>
      </c>
      <c r="D859" s="5" t="str">
        <f ca="1">IFERROR(__xludf.DUMMYFUNCTION("GOOGLETRANSLATE(B859,""ja"",""vi"")"),"9-THG 3")</f>
        <v>9-THG 3</v>
      </c>
      <c r="E859" s="5" t="str">
        <f ca="1">IFERROR(__xludf.DUMMYFUNCTION("GOOGLETRANSLATE(C859,""ja"",""vi"")"),"Đấu giá&gt; ô tô, xe máy&gt; ô tô cũ, ô tô mới&gt; Saab&gt; 9-3")</f>
        <v>Đấu giá&gt; ô tô, xe máy&gt; ô tô cũ, ô tô mới&gt; Saab&gt; 9-3</v>
      </c>
      <c r="F859" t="str">
        <f t="shared" ca="1" si="13"/>
        <v>"2084048998" : "9-THG 3",</v>
      </c>
    </row>
    <row r="860" spans="1:6" ht="15.75" customHeight="1">
      <c r="A860" s="18">
        <v>2084048999</v>
      </c>
      <c r="B860" s="19">
        <v>43594</v>
      </c>
      <c r="C860" s="18" t="s">
        <v>13322</v>
      </c>
      <c r="D860" s="5" t="str">
        <f ca="1">IFERROR(__xludf.DUMMYFUNCTION("GOOGLETRANSLATE(B860,""ja"",""vi"")"),"9-THG 5")</f>
        <v>9-THG 5</v>
      </c>
      <c r="E860" s="5" t="str">
        <f ca="1">IFERROR(__xludf.DUMMYFUNCTION("GOOGLETRANSLATE(C860,""ja"",""vi"")"),"Đấu giá&gt; ô tô, xe máy&gt; ô tô cũ, ô tô mới&gt; Saab&gt; 9-5")</f>
        <v>Đấu giá&gt; ô tô, xe máy&gt; ô tô cũ, ô tô mới&gt; Saab&gt; 9-5</v>
      </c>
      <c r="F860" t="str">
        <f t="shared" ca="1" si="13"/>
        <v>"2084048999" : "9-THG 5",</v>
      </c>
    </row>
    <row r="861" spans="1:6" ht="15.75" customHeight="1">
      <c r="A861" s="18">
        <v>2084048997</v>
      </c>
      <c r="B861" s="18">
        <v>900</v>
      </c>
      <c r="C861" s="18" t="s">
        <v>13325</v>
      </c>
      <c r="D861" s="5" t="str">
        <f ca="1">IFERROR(__xludf.DUMMYFUNCTION("GOOGLETRANSLATE(B861,""ja"",""vi"")"),"900")</f>
        <v>900</v>
      </c>
      <c r="E861" s="5" t="str">
        <f ca="1">IFERROR(__xludf.DUMMYFUNCTION("GOOGLETRANSLATE(C861,""ja"",""vi"")"),"Đấu giá&gt; ô tô, xe máy&gt; ô tô cũ, ô tô mới&gt; Saab&gt; 900")</f>
        <v>Đấu giá&gt; ô tô, xe máy&gt; ô tô cũ, ô tô mới&gt; Saab&gt; 900</v>
      </c>
      <c r="F861" t="str">
        <f t="shared" ca="1" si="13"/>
        <v>"2084048997" : "900",</v>
      </c>
    </row>
    <row r="862" spans="1:6" ht="15.75" customHeight="1">
      <c r="A862" s="18">
        <v>2084049000</v>
      </c>
      <c r="B862" s="18" t="s">
        <v>46</v>
      </c>
      <c r="C862" s="18" t="s">
        <v>13328</v>
      </c>
      <c r="D862" s="5" t="str">
        <f ca="1">IFERROR(__xludf.DUMMYFUNCTION("GOOGLETRANSLATE(B862,""ja"",""vi"")"),"nếu không thì")</f>
        <v>nếu không thì</v>
      </c>
      <c r="E862" s="5" t="str">
        <f ca="1">IFERROR(__xludf.DUMMYFUNCTION("GOOGLETRANSLATE(C862,""ja"",""vi"")"),"Đấu giá&gt; ô tô, xe máy&gt; ô tô cũ, ô tô mới&gt; Saab&gt; Khác")</f>
        <v>Đấu giá&gt; ô tô, xe máy&gt; ô tô cũ, ô tô mới&gt; Saab&gt; Khác</v>
      </c>
      <c r="F862" t="str">
        <f t="shared" ca="1" si="13"/>
        <v>"2084049000" : "nếu không thì",</v>
      </c>
    </row>
    <row r="863" spans="1:6" ht="15.75" customHeight="1">
      <c r="A863" s="18">
        <v>2084049110</v>
      </c>
      <c r="B863" s="18">
        <v>240</v>
      </c>
      <c r="C863" s="18" t="s">
        <v>13330</v>
      </c>
      <c r="D863" s="5" t="str">
        <f ca="1">IFERROR(__xludf.DUMMYFUNCTION("GOOGLETRANSLATE(B863,""ja"",""vi"")"),"240")</f>
        <v>240</v>
      </c>
      <c r="E863" s="5" t="str">
        <f ca="1">IFERROR(__xludf.DUMMYFUNCTION("GOOGLETRANSLATE(C863,""ja"",""vi"")"),"Đấu giá&gt; ô tô, xe máy&gt; ô tô cũ, ô tô mới&gt; Volvo&gt; 240")</f>
        <v>Đấu giá&gt; ô tô, xe máy&gt; ô tô cũ, ô tô mới&gt; Volvo&gt; 240</v>
      </c>
      <c r="F863" t="str">
        <f t="shared" ca="1" si="13"/>
        <v>"2084049110" : "240",</v>
      </c>
    </row>
    <row r="864" spans="1:6" ht="15.75" customHeight="1">
      <c r="A864" s="18">
        <v>2084049111</v>
      </c>
      <c r="B864" s="18">
        <v>740</v>
      </c>
      <c r="C864" s="18" t="s">
        <v>13331</v>
      </c>
      <c r="D864" s="5" t="str">
        <f ca="1">IFERROR(__xludf.DUMMYFUNCTION("GOOGLETRANSLATE(B864,""ja"",""vi"")"),"740")</f>
        <v>740</v>
      </c>
      <c r="E864" s="5" t="str">
        <f ca="1">IFERROR(__xludf.DUMMYFUNCTION("GOOGLETRANSLATE(C864,""ja"",""vi"")"),"Đấu giá&gt; ô tô, xe máy&gt; ô tô cũ, ô tô mới&gt; Volvo&gt; 740")</f>
        <v>Đấu giá&gt; ô tô, xe máy&gt; ô tô cũ, ô tô mới&gt; Volvo&gt; 740</v>
      </c>
      <c r="F864" t="str">
        <f t="shared" ca="1" si="13"/>
        <v>"2084049111" : "740",</v>
      </c>
    </row>
    <row r="865" spans="1:6" ht="15.75" customHeight="1">
      <c r="A865" s="18">
        <v>2084048203</v>
      </c>
      <c r="B865" s="18">
        <v>850</v>
      </c>
      <c r="C865" s="18" t="s">
        <v>13333</v>
      </c>
      <c r="D865" s="5" t="str">
        <f ca="1">IFERROR(__xludf.DUMMYFUNCTION("GOOGLETRANSLATE(B865,""ja"",""vi"")"),"850")</f>
        <v>850</v>
      </c>
      <c r="E865" s="5" t="str">
        <f ca="1">IFERROR(__xludf.DUMMYFUNCTION("GOOGLETRANSLATE(C865,""ja"",""vi"")"),"Đấu giá&gt; ô tô, xe máy&gt; ô tô cũ, ô tô mới&gt; Volvo&gt; 850")</f>
        <v>Đấu giá&gt; ô tô, xe máy&gt; ô tô cũ, ô tô mới&gt; Volvo&gt; 850</v>
      </c>
      <c r="F865" t="str">
        <f t="shared" ca="1" si="13"/>
        <v>"2084048203" : "850",</v>
      </c>
    </row>
    <row r="866" spans="1:6" ht="15.75" customHeight="1">
      <c r="A866" s="18">
        <v>2084048204</v>
      </c>
      <c r="B866" s="18">
        <v>940</v>
      </c>
      <c r="C866" s="18" t="s">
        <v>13336</v>
      </c>
      <c r="D866" s="5" t="str">
        <f ca="1">IFERROR(__xludf.DUMMYFUNCTION("GOOGLETRANSLATE(B866,""ja"",""vi"")"),"940")</f>
        <v>940</v>
      </c>
      <c r="E866" s="5" t="str">
        <f ca="1">IFERROR(__xludf.DUMMYFUNCTION("GOOGLETRANSLATE(C866,""ja"",""vi"")"),"Đấu giá&gt; ô tô, xe máy&gt; ô tô cũ, ô tô mới&gt; Volvo&gt; 940")</f>
        <v>Đấu giá&gt; ô tô, xe máy&gt; ô tô cũ, ô tô mới&gt; Volvo&gt; 940</v>
      </c>
      <c r="F866" t="str">
        <f t="shared" ca="1" si="13"/>
        <v>"2084048204" : "940",</v>
      </c>
    </row>
    <row r="867" spans="1:6" ht="15.75" customHeight="1">
      <c r="A867" s="18">
        <v>2084049112</v>
      </c>
      <c r="B867" s="18">
        <v>960</v>
      </c>
      <c r="C867" s="18" t="s">
        <v>13338</v>
      </c>
      <c r="D867" s="5" t="str">
        <f ca="1">IFERROR(__xludf.DUMMYFUNCTION("GOOGLETRANSLATE(B867,""ja"",""vi"")"),"960")</f>
        <v>960</v>
      </c>
      <c r="E867" s="5" t="str">
        <f ca="1">IFERROR(__xludf.DUMMYFUNCTION("GOOGLETRANSLATE(C867,""ja"",""vi"")"),"Đấu giá&gt; ô tô, xe máy&gt; ô tô cũ, ô tô mới&gt; Volvo&gt; 960")</f>
        <v>Đấu giá&gt; ô tô, xe máy&gt; ô tô cũ, ô tô mới&gt; Volvo&gt; 960</v>
      </c>
      <c r="F867" t="str">
        <f t="shared" ca="1" si="13"/>
        <v>"2084049112" : "960",</v>
      </c>
    </row>
    <row r="868" spans="1:6" ht="15.75" customHeight="1">
      <c r="A868" s="18">
        <v>2084299596</v>
      </c>
      <c r="B868" s="18" t="s">
        <v>13339</v>
      </c>
      <c r="C868" s="18" t="s">
        <v>13340</v>
      </c>
      <c r="D868" s="5" t="str">
        <f ca="1">IFERROR(__xludf.DUMMYFUNCTION("GOOGLETRANSLATE(B868,""ja"",""vi"")"),"C30")</f>
        <v>C30</v>
      </c>
      <c r="E868" s="5" t="str">
        <f ca="1">IFERROR(__xludf.DUMMYFUNCTION("GOOGLETRANSLATE(C868,""ja"",""vi"")"),"Đấu giá&gt; ô tô, xe máy&gt; ô tô cũ, ô tô mới&gt; Volvo&gt; C30")</f>
        <v>Đấu giá&gt; ô tô, xe máy&gt; ô tô cũ, ô tô mới&gt; Volvo&gt; C30</v>
      </c>
      <c r="F868" t="str">
        <f t="shared" ca="1" si="13"/>
        <v>"2084299596" : "C30",</v>
      </c>
    </row>
    <row r="869" spans="1:6" ht="15.75" customHeight="1">
      <c r="A869" s="18">
        <v>2084053612</v>
      </c>
      <c r="B869" s="18" t="s">
        <v>13343</v>
      </c>
      <c r="C869" s="18" t="s">
        <v>13344</v>
      </c>
      <c r="D869" s="5" t="str">
        <f ca="1">IFERROR(__xludf.DUMMYFUNCTION("GOOGLETRANSLATE(B869,""ja"",""vi"")"),"C70")</f>
        <v>C70</v>
      </c>
      <c r="E869" s="5" t="str">
        <f ca="1">IFERROR(__xludf.DUMMYFUNCTION("GOOGLETRANSLATE(C869,""ja"",""vi"")"),"Đấu giá&gt; ô tô, xe máy&gt; ô tô cũ, ô tô mới&gt; Volvo&gt; C70")</f>
        <v>Đấu giá&gt; ô tô, xe máy&gt; ô tô cũ, ô tô mới&gt; Volvo&gt; C70</v>
      </c>
      <c r="F869" t="str">
        <f t="shared" ca="1" si="13"/>
        <v>"2084053612" : "C70",</v>
      </c>
    </row>
    <row r="870" spans="1:6" ht="15.75" customHeight="1">
      <c r="A870" s="18">
        <v>2084049113</v>
      </c>
      <c r="B870" s="18" t="s">
        <v>13346</v>
      </c>
      <c r="C870" s="18" t="s">
        <v>13348</v>
      </c>
      <c r="D870" s="5" t="str">
        <f ca="1">IFERROR(__xludf.DUMMYFUNCTION("GOOGLETRANSLATE(B870,""ja"",""vi"")"),"S40")</f>
        <v>S40</v>
      </c>
      <c r="E870" s="5" t="str">
        <f ca="1">IFERROR(__xludf.DUMMYFUNCTION("GOOGLETRANSLATE(C870,""ja"",""vi"")"),"Đấu giá&gt; ô tô, xe máy&gt; ô tô cũ, ô tô mới&gt; Volvo&gt; S40")</f>
        <v>Đấu giá&gt; ô tô, xe máy&gt; ô tô cũ, ô tô mới&gt; Volvo&gt; S40</v>
      </c>
      <c r="F870" t="str">
        <f t="shared" ca="1" si="13"/>
        <v>"2084049113" : "S40",</v>
      </c>
    </row>
    <row r="871" spans="1:6" ht="15.75" customHeight="1">
      <c r="A871" s="18">
        <v>2084049114</v>
      </c>
      <c r="B871" s="18" t="s">
        <v>13349</v>
      </c>
      <c r="C871" s="18" t="s">
        <v>13350</v>
      </c>
      <c r="D871" s="5" t="str">
        <f ca="1">IFERROR(__xludf.DUMMYFUNCTION("GOOGLETRANSLATE(B871,""ja"",""vi"")"),"S60")</f>
        <v>S60</v>
      </c>
      <c r="E871" s="5" t="str">
        <f ca="1">IFERROR(__xludf.DUMMYFUNCTION("GOOGLETRANSLATE(C871,""ja"",""vi"")"),"Đấu giá&gt; ô tô, xe máy&gt; ô tô cũ, ô tô mới&gt; Volvo&gt; S60")</f>
        <v>Đấu giá&gt; ô tô, xe máy&gt; ô tô cũ, ô tô mới&gt; Volvo&gt; S60</v>
      </c>
      <c r="F871" t="str">
        <f t="shared" ca="1" si="13"/>
        <v>"2084049114" : "S60",</v>
      </c>
    </row>
    <row r="872" spans="1:6" ht="15.75" customHeight="1">
      <c r="A872" s="18">
        <v>2084049115</v>
      </c>
      <c r="B872" s="18" t="s">
        <v>13353</v>
      </c>
      <c r="C872" s="18" t="s">
        <v>13354</v>
      </c>
      <c r="D872" s="5" t="str">
        <f ca="1">IFERROR(__xludf.DUMMYFUNCTION("GOOGLETRANSLATE(B872,""ja"",""vi"")"),"S70")</f>
        <v>S70</v>
      </c>
      <c r="E872" s="5" t="str">
        <f ca="1">IFERROR(__xludf.DUMMYFUNCTION("GOOGLETRANSLATE(C872,""ja"",""vi"")"),"Đấu giá&gt; ô tô, xe máy&gt; ô tô cũ, ô tô mới&gt; Volvo&gt; S70")</f>
        <v>Đấu giá&gt; ô tô, xe máy&gt; ô tô cũ, ô tô mới&gt; Volvo&gt; S70</v>
      </c>
      <c r="F872" t="str">
        <f t="shared" ca="1" si="13"/>
        <v>"2084049115" : "S70",</v>
      </c>
    </row>
    <row r="873" spans="1:6" ht="15.75" customHeight="1">
      <c r="A873" s="18">
        <v>2084049116</v>
      </c>
      <c r="B873" s="18" t="s">
        <v>13357</v>
      </c>
      <c r="C873" s="18" t="s">
        <v>13358</v>
      </c>
      <c r="D873" s="5" t="str">
        <f ca="1">IFERROR(__xludf.DUMMYFUNCTION("GOOGLETRANSLATE(B873,""ja"",""vi"")"),"S80")</f>
        <v>S80</v>
      </c>
      <c r="E873" s="5" t="str">
        <f ca="1">IFERROR(__xludf.DUMMYFUNCTION("GOOGLETRANSLATE(C873,""ja"",""vi"")"),"Đấu giá&gt; ô tô, xe máy&gt; ô tô cũ, ô tô mới&gt; Volvo&gt; S80")</f>
        <v>Đấu giá&gt; ô tô, xe máy&gt; ô tô cũ, ô tô mới&gt; Volvo&gt; S80</v>
      </c>
      <c r="F873" t="str">
        <f t="shared" ca="1" si="13"/>
        <v>"2084049116" : "S80",</v>
      </c>
    </row>
    <row r="874" spans="1:6" ht="15.75" customHeight="1">
      <c r="A874" s="18">
        <v>2084049117</v>
      </c>
      <c r="B874" s="18" t="s">
        <v>13359</v>
      </c>
      <c r="C874" s="18" t="s">
        <v>13361</v>
      </c>
      <c r="D874" s="5" t="str">
        <f ca="1">IFERROR(__xludf.DUMMYFUNCTION("GOOGLETRANSLATE(B874,""ja"",""vi"")"),"V40")</f>
        <v>V40</v>
      </c>
      <c r="E874" s="5" t="str">
        <f ca="1">IFERROR(__xludf.DUMMYFUNCTION("GOOGLETRANSLATE(C874,""ja"",""vi"")"),"Đấu giá&gt; ô tô, xe máy&gt; ô tô cũ, ô tô mới&gt; Volvo&gt; V40")</f>
        <v>Đấu giá&gt; ô tô, xe máy&gt; ô tô cũ, ô tô mới&gt; Volvo&gt; V40</v>
      </c>
      <c r="F874" t="str">
        <f t="shared" ca="1" si="13"/>
        <v>"2084049117" : "V40",</v>
      </c>
    </row>
    <row r="875" spans="1:6" ht="15.75" customHeight="1">
      <c r="A875" s="18">
        <v>2084057665</v>
      </c>
      <c r="B875" s="18" t="s">
        <v>13363</v>
      </c>
      <c r="C875" s="18" t="s">
        <v>13365</v>
      </c>
      <c r="D875" s="5" t="str">
        <f ca="1">IFERROR(__xludf.DUMMYFUNCTION("GOOGLETRANSLATE(B875,""ja"",""vi"")"),"V50")</f>
        <v>V50</v>
      </c>
      <c r="E875" s="5" t="str">
        <f ca="1">IFERROR(__xludf.DUMMYFUNCTION("GOOGLETRANSLATE(C875,""ja"",""vi"")"),"Đấu giá&gt; ô tô, xe máy&gt; ô tô cũ, ô tô mới&gt; Volvo&gt; V50")</f>
        <v>Đấu giá&gt; ô tô, xe máy&gt; ô tô cũ, ô tô mới&gt; Volvo&gt; V50</v>
      </c>
      <c r="F875" t="str">
        <f t="shared" ca="1" si="13"/>
        <v>"2084057665" : "V50",</v>
      </c>
    </row>
    <row r="876" spans="1:6" ht="15.75" customHeight="1">
      <c r="A876" s="18">
        <v>2084048205</v>
      </c>
      <c r="B876" s="18" t="s">
        <v>13366</v>
      </c>
      <c r="C876" s="18" t="s">
        <v>13368</v>
      </c>
      <c r="D876" s="5" t="str">
        <f ca="1">IFERROR(__xludf.DUMMYFUNCTION("GOOGLETRANSLATE(B876,""ja"",""vi"")"),"V70")</f>
        <v>V70</v>
      </c>
      <c r="E876" s="5" t="str">
        <f ca="1">IFERROR(__xludf.DUMMYFUNCTION("GOOGLETRANSLATE(C876,""ja"",""vi"")"),"Đấu giá&gt; ô tô, xe máy&gt; ô tô cũ, ô tô mới&gt; Volvo&gt; V70")</f>
        <v>Đấu giá&gt; ô tô, xe máy&gt; ô tô cũ, ô tô mới&gt; Volvo&gt; V70</v>
      </c>
      <c r="F876" t="str">
        <f t="shared" ca="1" si="13"/>
        <v>"2084048205" : "V70",</v>
      </c>
    </row>
    <row r="877" spans="1:6" ht="15.75" customHeight="1">
      <c r="A877" s="18">
        <v>2084299597</v>
      </c>
      <c r="B877" s="18" t="s">
        <v>13370</v>
      </c>
      <c r="C877" s="18" t="s">
        <v>13371</v>
      </c>
      <c r="D877" s="5" t="str">
        <f ca="1">IFERROR(__xludf.DUMMYFUNCTION("GOOGLETRANSLATE(B877,""ja"",""vi"")"),"XC60")</f>
        <v>XC60</v>
      </c>
      <c r="E877" s="5" t="str">
        <f ca="1">IFERROR(__xludf.DUMMYFUNCTION("GOOGLETRANSLATE(C877,""ja"",""vi"")"),"Đấu giá&gt; ô tô, xe máy&gt; ô tô cũ, ô tô mới&gt; Volvo&gt; XC60")</f>
        <v>Đấu giá&gt; ô tô, xe máy&gt; ô tô cũ, ô tô mới&gt; Volvo&gt; XC60</v>
      </c>
      <c r="F877" t="str">
        <f t="shared" ca="1" si="13"/>
        <v>"2084299597" : "XC60",</v>
      </c>
    </row>
    <row r="878" spans="1:6" ht="15.75" customHeight="1">
      <c r="A878" s="18">
        <v>2084055963</v>
      </c>
      <c r="B878" s="18" t="s">
        <v>13373</v>
      </c>
      <c r="C878" s="18" t="s">
        <v>13374</v>
      </c>
      <c r="D878" s="5" t="str">
        <f ca="1">IFERROR(__xludf.DUMMYFUNCTION("GOOGLETRANSLATE(B878,""ja"",""vi"")"),"XC70 / V70XC / cross-country")</f>
        <v>XC70 / V70XC / cross-country</v>
      </c>
      <c r="E878" s="5" t="str">
        <f ca="1">IFERROR(__xludf.DUMMYFUNCTION("GOOGLETRANSLATE(C878,""ja"",""vi"")"),"Đấu giá&gt; ô tô, xe máy&gt; ô tô cũ, ô tô mới&gt; Volvo&gt; XC70 / V70XC / cross-country")</f>
        <v>Đấu giá&gt; ô tô, xe máy&gt; ô tô cũ, ô tô mới&gt; Volvo&gt; XC70 / V70XC / cross-country</v>
      </c>
      <c r="F878" t="str">
        <f t="shared" ca="1" si="13"/>
        <v>"2084055963" : "XC70 / V70XC / cross-country",</v>
      </c>
    </row>
    <row r="879" spans="1:6" ht="15.75" customHeight="1">
      <c r="A879" s="18">
        <v>2084057664</v>
      </c>
      <c r="B879" s="18" t="s">
        <v>13376</v>
      </c>
      <c r="C879" s="18" t="s">
        <v>13377</v>
      </c>
      <c r="D879" s="5" t="str">
        <f ca="1">IFERROR(__xludf.DUMMYFUNCTION("GOOGLETRANSLATE(B879,""ja"",""vi"")"),"XC90")</f>
        <v>XC90</v>
      </c>
      <c r="E879" s="5" t="str">
        <f ca="1">IFERROR(__xludf.DUMMYFUNCTION("GOOGLETRANSLATE(C879,""ja"",""vi"")"),"Đấu giá&gt; ô tô, xe máy&gt; ô tô cũ, ô tô mới&gt; Volvo&gt; XC90")</f>
        <v>Đấu giá&gt; ô tô, xe máy&gt; ô tô cũ, ô tô mới&gt; Volvo&gt; XC90</v>
      </c>
      <c r="F879" t="str">
        <f t="shared" ca="1" si="13"/>
        <v>"2084057664" : "XC90",</v>
      </c>
    </row>
    <row r="880" spans="1:6" ht="15.75" customHeight="1">
      <c r="A880" s="18">
        <v>2084055964</v>
      </c>
      <c r="B880" s="18" t="s">
        <v>13378</v>
      </c>
      <c r="C880" s="18" t="s">
        <v>13379</v>
      </c>
      <c r="D880" s="5" t="str">
        <f ca="1">IFERROR(__xludf.DUMMYFUNCTION("GOOGLETRANSLATE(B880,""ja"",""vi"")"),"đàn bà gan dạ")</f>
        <v>đàn bà gan dạ</v>
      </c>
      <c r="E880" s="5" t="str">
        <f ca="1">IFERROR(__xludf.DUMMYFUNCTION("GOOGLETRANSLATE(C880,""ja"",""vi"")"),"Đấu giá&gt; ô tô, xe máy&gt; ô tô cũ, ô tô mới&gt; Volvo&gt; Amazon")</f>
        <v>Đấu giá&gt; ô tô, xe máy&gt; ô tô cũ, ô tô mới&gt; Volvo&gt; Amazon</v>
      </c>
      <c r="F880" t="str">
        <f t="shared" ca="1" si="13"/>
        <v>"2084055964" : "đàn bà gan dạ",</v>
      </c>
    </row>
    <row r="881" spans="1:6" ht="15.75" customHeight="1">
      <c r="A881" s="18">
        <v>2084048202</v>
      </c>
      <c r="B881" s="18" t="s">
        <v>46</v>
      </c>
      <c r="C881" s="18" t="s">
        <v>13381</v>
      </c>
      <c r="D881" s="5" t="str">
        <f ca="1">IFERROR(__xludf.DUMMYFUNCTION("GOOGLETRANSLATE(B881,""ja"",""vi"")"),"nếu không thì")</f>
        <v>nếu không thì</v>
      </c>
      <c r="E881" s="5" t="str">
        <f ca="1">IFERROR(__xludf.DUMMYFUNCTION("GOOGLETRANSLATE(C881,""ja"",""vi"")"),"Đấu giá&gt; ô tô, xe máy&gt; ô tô cũ, ô tô mới&gt; Volvo&gt; Khác")</f>
        <v>Đấu giá&gt; ô tô, xe máy&gt; ô tô cũ, ô tô mới&gt; Volvo&gt; Khác</v>
      </c>
      <c r="F881" t="str">
        <f t="shared" ca="1" si="13"/>
        <v>"2084048202" : "nếu không thì",</v>
      </c>
    </row>
    <row r="882" spans="1:6" ht="15.75" customHeight="1">
      <c r="A882" s="18">
        <v>2084053054</v>
      </c>
      <c r="B882" s="18" t="s">
        <v>13382</v>
      </c>
      <c r="C882" s="18" t="s">
        <v>13383</v>
      </c>
      <c r="D882" s="5" t="str">
        <f ca="1">IFERROR(__xludf.DUMMYFUNCTION("GOOGLETRANSLATE(B882,""ja"",""vi"")"),"ngoại ô")</f>
        <v>ngoại ô</v>
      </c>
      <c r="E882" s="5" t="str">
        <f ca="1">IFERROR(__xludf.DUMMYFUNCTION("GOOGLETRANSLATE(C882,""ja"",""vi"")"),"Đấu giá&gt; ô tô, xe máy&gt; ô tô cũ, ô tô mới&gt; GMC&gt; Suburban")</f>
        <v>Đấu giá&gt; ô tô, xe máy&gt; ô tô cũ, ô tô mới&gt; GMC&gt; Suburban</v>
      </c>
      <c r="F882" t="str">
        <f t="shared" ca="1" si="13"/>
        <v>"2084053054" : "ngoại ô",</v>
      </c>
    </row>
    <row r="883" spans="1:6" ht="15.75" customHeight="1">
      <c r="A883" s="18">
        <v>2084048955</v>
      </c>
      <c r="B883" s="18" t="s">
        <v>11566</v>
      </c>
      <c r="C883" s="18" t="s">
        <v>13385</v>
      </c>
      <c r="D883" s="5" t="str">
        <f ca="1">IFERROR(__xludf.DUMMYFUNCTION("GOOGLETRANSLATE(B883,""ja"",""vi"")"),"Safari")</f>
        <v>Safari</v>
      </c>
      <c r="E883" s="5" t="str">
        <f ca="1">IFERROR(__xludf.DUMMYFUNCTION("GOOGLETRANSLATE(C883,""ja"",""vi"")"),"Đấu giá&gt; ô tô, xe máy&gt; ô tô cũ, ô tô mới&gt; GMC&gt; Safari")</f>
        <v>Đấu giá&gt; ô tô, xe máy&gt; ô tô cũ, ô tô mới&gt; GMC&gt; Safari</v>
      </c>
      <c r="F883" t="str">
        <f t="shared" ca="1" si="13"/>
        <v>"2084048955" : "Safari",</v>
      </c>
    </row>
    <row r="884" spans="1:6" ht="15.75" customHeight="1">
      <c r="A884" s="18">
        <v>2084048956</v>
      </c>
      <c r="B884" s="18" t="s">
        <v>13387</v>
      </c>
      <c r="C884" s="18" t="s">
        <v>13388</v>
      </c>
      <c r="D884" s="5" t="str">
        <f ca="1">IFERROR(__xludf.DUMMYFUNCTION("GOOGLETRANSLATE(B884,""ja"",""vi"")"),"bão")</f>
        <v>bão</v>
      </c>
      <c r="E884" s="5" t="str">
        <f ca="1">IFERROR(__xludf.DUMMYFUNCTION("GOOGLETRANSLATE(C884,""ja"",""vi"")"),"Đấu giá&gt; ô tô, xe máy&gt; ô tô cũ, ô tô mới&gt; GMC&gt; Typhoon")</f>
        <v>Đấu giá&gt; ô tô, xe máy&gt; ô tô cũ, ô tô mới&gt; GMC&gt; Typhoon</v>
      </c>
      <c r="F884" t="str">
        <f t="shared" ca="1" si="13"/>
        <v>"2084048956" : "bão",</v>
      </c>
    </row>
    <row r="885" spans="1:6" ht="15.75" customHeight="1">
      <c r="A885" s="18">
        <v>2084051819</v>
      </c>
      <c r="B885" s="18" t="s">
        <v>13389</v>
      </c>
      <c r="C885" s="18" t="s">
        <v>13390</v>
      </c>
      <c r="D885" s="5" t="str">
        <f ca="1">IFERROR(__xludf.DUMMYFUNCTION("GOOGLETRANSLATE(B885,""ja"",""vi"")"),"Yukon")</f>
        <v>Yukon</v>
      </c>
      <c r="E885" s="5" t="str">
        <f ca="1">IFERROR(__xludf.DUMMYFUNCTION("GOOGLETRANSLATE(C885,""ja"",""vi"")"),"Đấu giá&gt; ô tô, xe máy&gt; ô tô cũ, ô tô mới&gt; GMC&gt; Yukon")</f>
        <v>Đấu giá&gt; ô tô, xe máy&gt; ô tô cũ, ô tô mới&gt; GMC&gt; Yukon</v>
      </c>
      <c r="F885" t="str">
        <f t="shared" ca="1" si="13"/>
        <v>"2084051819" : "Yukon",</v>
      </c>
    </row>
    <row r="886" spans="1:6" ht="15.75" customHeight="1">
      <c r="A886" s="18">
        <v>2084048957</v>
      </c>
      <c r="B886" s="18" t="s">
        <v>46</v>
      </c>
      <c r="C886" s="18" t="s">
        <v>13392</v>
      </c>
      <c r="D886" s="5" t="str">
        <f ca="1">IFERROR(__xludf.DUMMYFUNCTION("GOOGLETRANSLATE(B886,""ja"",""vi"")"),"nếu không thì")</f>
        <v>nếu không thì</v>
      </c>
      <c r="E886" s="5" t="str">
        <f ca="1">IFERROR(__xludf.DUMMYFUNCTION("GOOGLETRANSLATE(C886,""ja"",""vi"")"),"Đấu giá&gt; ô tô, xe máy&gt; ô tô cũ, ô tô mới&gt; GMC&gt; Khác")</f>
        <v>Đấu giá&gt; ô tô, xe máy&gt; ô tô cũ, ô tô mới&gt; GMC&gt; Khác</v>
      </c>
      <c r="F886" t="str">
        <f t="shared" ca="1" si="13"/>
        <v>"2084048957" : "nếu không thì",</v>
      </c>
    </row>
    <row r="887" spans="1:6" ht="15.75" customHeight="1">
      <c r="A887" s="18">
        <v>2084057450</v>
      </c>
      <c r="B887" s="18" t="s">
        <v>13394</v>
      </c>
      <c r="C887" s="18" t="s">
        <v>13395</v>
      </c>
      <c r="D887" s="5" t="str">
        <f ca="1">IFERROR(__xludf.DUMMYFUNCTION("GOOGLETRANSLATE(B887,""ja"",""vi"")"),"CTS")</f>
        <v>CTS</v>
      </c>
      <c r="E887" s="5" t="str">
        <f ca="1">IFERROR(__xludf.DUMMYFUNCTION("GOOGLETRANSLATE(C887,""ja"",""vi"")"),"Đấu giá&gt; ô tô, xe máy&gt; ô tô cũ, ô tô mới&gt; Cadillac&gt; CTS")</f>
        <v>Đấu giá&gt; ô tô, xe máy&gt; ô tô cũ, ô tô mới&gt; Cadillac&gt; CTS</v>
      </c>
      <c r="F887" t="str">
        <f t="shared" ca="1" si="13"/>
        <v>"2084057450" : "CTS",</v>
      </c>
    </row>
    <row r="888" spans="1:6" ht="15.75" customHeight="1">
      <c r="A888" s="18">
        <v>2084057451</v>
      </c>
      <c r="B888" s="18" t="s">
        <v>13400</v>
      </c>
      <c r="C888" s="18" t="s">
        <v>13401</v>
      </c>
      <c r="D888" s="5" t="str">
        <f ca="1">IFERROR(__xludf.DUMMYFUNCTION("GOOGLETRANSLATE(B888,""ja"",""vi"")"),"SRX")</f>
        <v>SRX</v>
      </c>
      <c r="E888" s="5" t="str">
        <f ca="1">IFERROR(__xludf.DUMMYFUNCTION("GOOGLETRANSLATE(C888,""ja"",""vi"")"),"Đấu giá&gt; ô tô, xe máy&gt; ô tô cũ, ô tô mới&gt; Cadillac&gt; SRX")</f>
        <v>Đấu giá&gt; ô tô, xe máy&gt; ô tô cũ, ô tô mới&gt; Cadillac&gt; SRX</v>
      </c>
      <c r="F888" t="str">
        <f t="shared" ca="1" si="13"/>
        <v>"2084057451" : "SRX",</v>
      </c>
    </row>
    <row r="889" spans="1:6" ht="15.75" customHeight="1">
      <c r="A889" s="18">
        <v>2084059197</v>
      </c>
      <c r="B889" s="18" t="s">
        <v>13402</v>
      </c>
      <c r="C889" s="18" t="s">
        <v>13403</v>
      </c>
      <c r="D889" s="5" t="str">
        <f ca="1">IFERROR(__xludf.DUMMYFUNCTION("GOOGLETRANSLATE(B889,""ja"",""vi"")"),"STS")</f>
        <v>STS</v>
      </c>
      <c r="E889" s="5" t="str">
        <f ca="1">IFERROR(__xludf.DUMMYFUNCTION("GOOGLETRANSLATE(C889,""ja"",""vi"")"),"Đấu giá&gt; ô tô, xe máy&gt; ô tô cũ, ô tô mới&gt; Cadillac&gt; STS")</f>
        <v>Đấu giá&gt; ô tô, xe máy&gt; ô tô cũ, ô tô mới&gt; Cadillac&gt; STS</v>
      </c>
      <c r="F889" t="str">
        <f t="shared" ca="1" si="13"/>
        <v>"2084059197" : "STS",</v>
      </c>
    </row>
    <row r="890" spans="1:6" ht="15.75" customHeight="1">
      <c r="A890" s="18">
        <v>2084057452</v>
      </c>
      <c r="B890" s="18" t="s">
        <v>13407</v>
      </c>
      <c r="C890" s="18" t="s">
        <v>13408</v>
      </c>
      <c r="D890" s="5" t="str">
        <f ca="1">IFERROR(__xludf.DUMMYFUNCTION("GOOGLETRANSLATE(B890,""ja"",""vi"")"),"XLR")</f>
        <v>XLR</v>
      </c>
      <c r="E890" s="5" t="str">
        <f ca="1">IFERROR(__xludf.DUMMYFUNCTION("GOOGLETRANSLATE(C890,""ja"",""vi"")"),"Đấu giá&gt; ô tô, xe máy&gt; ô tô cũ, ô tô mới&gt; Cadillac&gt; XLR")</f>
        <v>Đấu giá&gt; ô tô, xe máy&gt; ô tô cũ, ô tô mới&gt; Cadillac&gt; XLR</v>
      </c>
      <c r="F890" t="str">
        <f t="shared" ca="1" si="13"/>
        <v>"2084057452" : "XLR",</v>
      </c>
    </row>
    <row r="891" spans="1:6" ht="15.75" customHeight="1">
      <c r="A891" s="18">
        <v>2084051725</v>
      </c>
      <c r="B891" s="18" t="s">
        <v>13412</v>
      </c>
      <c r="C891" s="18" t="s">
        <v>13413</v>
      </c>
      <c r="D891" s="5" t="str">
        <f ca="1">IFERROR(__xludf.DUMMYFUNCTION("GOOGLETRANSLATE(B891,""ja"",""vi"")"),"sự leo tường bằng thang")</f>
        <v>sự leo tường bằng thang</v>
      </c>
      <c r="E891" s="5" t="str">
        <f ca="1">IFERROR(__xludf.DUMMYFUNCTION("GOOGLETRANSLATE(C891,""ja"",""vi"")"),"Đấu giá&gt; ô tô, xe máy&gt; ô tô cũ, ô tô mới&gt; Cadillac&gt; Escalade")</f>
        <v>Đấu giá&gt; ô tô, xe máy&gt; ô tô cũ, ô tô mới&gt; Cadillac&gt; Escalade</v>
      </c>
      <c r="F891" t="str">
        <f t="shared" ca="1" si="13"/>
        <v>"2084051725" : "sự leo tường bằng thang",</v>
      </c>
    </row>
    <row r="892" spans="1:6" ht="15.75" customHeight="1">
      <c r="A892" s="18">
        <v>2084048989</v>
      </c>
      <c r="B892" s="18" t="s">
        <v>13416</v>
      </c>
      <c r="C892" s="18" t="s">
        <v>13417</v>
      </c>
      <c r="D892" s="5" t="str">
        <f ca="1">IFERROR(__xludf.DUMMYFUNCTION("GOOGLETRANSLATE(B892,""ja"",""vi"")"),"El Dorado")</f>
        <v>El Dorado</v>
      </c>
      <c r="E892" s="5" t="str">
        <f ca="1">IFERROR(__xludf.DUMMYFUNCTION("GOOGLETRANSLATE(C892,""ja"",""vi"")"),"Đấu giá&gt; ô tô, xe máy&gt; ô tô cũ, ô tô mới&gt; Cadillac&gt; Eldorado")</f>
        <v>Đấu giá&gt; ô tô, xe máy&gt; ô tô cũ, ô tô mới&gt; Cadillac&gt; Eldorado</v>
      </c>
      <c r="F892" t="str">
        <f t="shared" ca="1" si="13"/>
        <v>"2084048989" : "El Dorado",</v>
      </c>
    </row>
    <row r="893" spans="1:6" ht="15.75" customHeight="1">
      <c r="A893" s="18">
        <v>2084048990</v>
      </c>
      <c r="B893" s="18" t="s">
        <v>13420</v>
      </c>
      <c r="C893" s="18" t="s">
        <v>13421</v>
      </c>
      <c r="D893" s="5" t="str">
        <f ca="1">IFERROR(__xludf.DUMMYFUNCTION("GOOGLETRANSLATE(B893,""ja"",""vi"")"),"tình cờ trùng nhau")</f>
        <v>tình cờ trùng nhau</v>
      </c>
      <c r="E893" s="5" t="str">
        <f ca="1">IFERROR(__xludf.DUMMYFUNCTION("GOOGLETRANSLATE(C893,""ja"",""vi"")"),"Đấu giá&gt; ô tô, xe máy&gt; ô tô cũ, ô tô mới&gt; Cadillac&gt; Concourse")</f>
        <v>Đấu giá&gt; ô tô, xe máy&gt; ô tô cũ, ô tô mới&gt; Cadillac&gt; Concourse</v>
      </c>
      <c r="F893" t="str">
        <f t="shared" ca="1" si="13"/>
        <v>"2084048990" : "tình cờ trùng nhau",</v>
      </c>
    </row>
    <row r="894" spans="1:6" ht="15.75" customHeight="1">
      <c r="A894" s="18">
        <v>2084048211</v>
      </c>
      <c r="B894" s="18" t="s">
        <v>13423</v>
      </c>
      <c r="C894" s="18" t="s">
        <v>13424</v>
      </c>
      <c r="D894" s="5" t="str">
        <f ca="1">IFERROR(__xludf.DUMMYFUNCTION("GOOGLETRANSLATE(B894,""ja"",""vi"")"),"Seville")</f>
        <v>Seville</v>
      </c>
      <c r="E894" s="5" t="str">
        <f ca="1">IFERROR(__xludf.DUMMYFUNCTION("GOOGLETRANSLATE(C894,""ja"",""vi"")"),"Đấu giá&gt; ô tô, xe máy&gt; ô tô cũ, ô tô mới&gt; Cadillac&gt; Seville")</f>
        <v>Đấu giá&gt; ô tô, xe máy&gt; ô tô cũ, ô tô mới&gt; Cadillac&gt; Seville</v>
      </c>
      <c r="F894" t="str">
        <f t="shared" ca="1" si="13"/>
        <v>"2084048211" : "Seville",</v>
      </c>
    </row>
    <row r="895" spans="1:6" ht="15.75" customHeight="1">
      <c r="A895" s="18">
        <v>2084051821</v>
      </c>
      <c r="B895" s="18" t="s">
        <v>13427</v>
      </c>
      <c r="C895" s="18" t="s">
        <v>13429</v>
      </c>
      <c r="D895" s="5" t="str">
        <f ca="1">IFERROR(__xludf.DUMMYFUNCTION("GOOGLETRANSLATE(B895,""ja"",""vi"")"),"de Ville")</f>
        <v>de Ville</v>
      </c>
      <c r="E895" s="5" t="str">
        <f ca="1">IFERROR(__xludf.DUMMYFUNCTION("GOOGLETRANSLATE(C895,""ja"",""vi"")"),"Đấu giá&gt; ô tô, xe máy&gt; ô tô cũ, ô tô mới&gt; Cadillac&gt; De Ville")</f>
        <v>Đấu giá&gt; ô tô, xe máy&gt; ô tô cũ, ô tô mới&gt; Cadillac&gt; De Ville</v>
      </c>
      <c r="F895" t="str">
        <f t="shared" ca="1" si="13"/>
        <v>"2084051821" : "de Ville",</v>
      </c>
    </row>
    <row r="896" spans="1:6" ht="15.75" customHeight="1">
      <c r="A896" s="18">
        <v>2084053056</v>
      </c>
      <c r="B896" s="18" t="s">
        <v>13431</v>
      </c>
      <c r="C896" s="18" t="s">
        <v>13433</v>
      </c>
      <c r="D896" s="5" t="str">
        <f ca="1">IFERROR(__xludf.DUMMYFUNCTION("GOOGLETRANSLATE(B896,""ja"",""vi"")"),"DeVille")</f>
        <v>DeVille</v>
      </c>
      <c r="E896" s="5" t="str">
        <f ca="1">IFERROR(__xludf.DUMMYFUNCTION("GOOGLETRANSLATE(C896,""ja"",""vi"")"),"Đấu giá&gt; ô tô, xe máy&gt; ô tô cũ, ô tô mới&gt; Cadillac&gt; DeVille")</f>
        <v>Đấu giá&gt; ô tô, xe máy&gt; ô tô cũ, ô tô mới&gt; Cadillac&gt; DeVille</v>
      </c>
      <c r="F896" t="str">
        <f t="shared" ca="1" si="13"/>
        <v>"2084053056" : "DeVille",</v>
      </c>
    </row>
    <row r="897" spans="1:6" ht="15.75" customHeight="1">
      <c r="A897" s="18">
        <v>2084048212</v>
      </c>
      <c r="B897" s="18" t="s">
        <v>13435</v>
      </c>
      <c r="C897" s="18" t="s">
        <v>13437</v>
      </c>
      <c r="D897" s="5" t="str">
        <f ca="1">IFERROR(__xludf.DUMMYFUNCTION("GOOGLETRANSLATE(B897,""ja"",""vi"")"),"Fleetwood")</f>
        <v>Fleetwood</v>
      </c>
      <c r="E897" s="5" t="str">
        <f ca="1">IFERROR(__xludf.DUMMYFUNCTION("GOOGLETRANSLATE(C897,""ja"",""vi"")"),"Đấu giá&gt; ô tô, xe máy&gt; ô tô cũ, ô tô mới&gt; Cadillac&gt; Fleetwood")</f>
        <v>Đấu giá&gt; ô tô, xe máy&gt; ô tô cũ, ô tô mới&gt; Cadillac&gt; Fleetwood</v>
      </c>
      <c r="F897" t="str">
        <f t="shared" ca="1" si="13"/>
        <v>"2084048212" : "Fleetwood",</v>
      </c>
    </row>
    <row r="898" spans="1:6" ht="15.75" customHeight="1">
      <c r="A898" s="18">
        <v>2084048991</v>
      </c>
      <c r="B898" s="18" t="s">
        <v>13439</v>
      </c>
      <c r="C898" s="18" t="s">
        <v>13441</v>
      </c>
      <c r="D898" s="5" t="str">
        <f ca="1">IFERROR(__xludf.DUMMYFUNCTION("GOOGLETRANSLATE(B898,""ja"",""vi"")"),"xe bốn bánh")</f>
        <v>xe bốn bánh</v>
      </c>
      <c r="E898" s="5" t="str">
        <f ca="1">IFERROR(__xludf.DUMMYFUNCTION("GOOGLETRANSLATE(C898,""ja"",""vi"")"),"Đấu giá&gt; ô tô, xe máy&gt; ô tô cũ, ô tô mới&gt; Cadillac&gt; Brougham")</f>
        <v>Đấu giá&gt; ô tô, xe máy&gt; ô tô cũ, ô tô mới&gt; Cadillac&gt; Brougham</v>
      </c>
      <c r="F898" t="str">
        <f t="shared" ref="F898:F961" ca="1" si="14">CONCATENATE(CHAR(34)&amp;"",A898,""&amp;CHAR(34)," : ", CHAR(34)&amp;"",D898,""&amp;CHAR(34),",")</f>
        <v>"2084048991" : "xe bốn bánh",</v>
      </c>
    </row>
    <row r="899" spans="1:6" ht="15.75" customHeight="1">
      <c r="A899" s="18">
        <v>2084048210</v>
      </c>
      <c r="B899" s="18" t="s">
        <v>46</v>
      </c>
      <c r="C899" s="18" t="s">
        <v>13444</v>
      </c>
      <c r="D899" s="5" t="str">
        <f ca="1">IFERROR(__xludf.DUMMYFUNCTION("GOOGLETRANSLATE(B899,""ja"",""vi"")"),"nếu không thì")</f>
        <v>nếu không thì</v>
      </c>
      <c r="E899" s="5" t="str">
        <f ca="1">IFERROR(__xludf.DUMMYFUNCTION("GOOGLETRANSLATE(C899,""ja"",""vi"")"),"Đấu giá&gt; ô tô, xe máy&gt; ô tô cũ, ô tô mới&gt; Cadillac&gt; Khác")</f>
        <v>Đấu giá&gt; ô tô, xe máy&gt; ô tô cũ, ô tô mới&gt; Cadillac&gt; Khác</v>
      </c>
      <c r="F899" t="str">
        <f t="shared" ca="1" si="14"/>
        <v>"2084048210" : "nếu không thì",</v>
      </c>
    </row>
    <row r="900" spans="1:6" ht="15.75" customHeight="1">
      <c r="A900" s="18">
        <v>2084205145</v>
      </c>
      <c r="B900" s="18" t="s">
        <v>13450</v>
      </c>
      <c r="C900" s="18" t="s">
        <v>13451</v>
      </c>
      <c r="D900" s="5" t="str">
        <f ca="1">IFERROR(__xludf.DUMMYFUNCTION("GOOGLETRANSLATE(B900,""ja"",""vi"")"),"300C")</f>
        <v>300C</v>
      </c>
      <c r="E900" s="5" t="str">
        <f ca="1">IFERROR(__xludf.DUMMYFUNCTION("GOOGLETRANSLATE(C900,""ja"",""vi"")"),"Đấu giá&gt; ô tô, xe máy&gt; ô tô cũ, ô tô mới&gt; Chrysler&gt; 300C")</f>
        <v>Đấu giá&gt; ô tô, xe máy&gt; ô tô cũ, ô tô mới&gt; Chrysler&gt; 300C</v>
      </c>
      <c r="F900" t="str">
        <f t="shared" ca="1" si="14"/>
        <v>"2084205145" : "300C",</v>
      </c>
    </row>
    <row r="901" spans="1:6" ht="15.75" customHeight="1">
      <c r="A901" s="18">
        <v>2084299612</v>
      </c>
      <c r="B901" s="18" t="s">
        <v>13456</v>
      </c>
      <c r="C901" s="18" t="s">
        <v>13458</v>
      </c>
      <c r="D901" s="5" t="str">
        <f ca="1">IFERROR(__xludf.DUMMYFUNCTION("GOOGLETRANSLATE(B901,""ja"",""vi"")"),"300C Touring")</f>
        <v>300C Touring</v>
      </c>
      <c r="E901" s="5" t="str">
        <f ca="1">IFERROR(__xludf.DUMMYFUNCTION("GOOGLETRANSLATE(C901,""ja"",""vi"")"),"Đấu giá&gt; ô tô, xe máy&gt; ô tô cũ, ô tô mới&gt; Chrysler&gt; 300C Touring")</f>
        <v>Đấu giá&gt; ô tô, xe máy&gt; ô tô cũ, ô tô mới&gt; Chrysler&gt; 300C Touring</v>
      </c>
      <c r="F901" t="str">
        <f t="shared" ca="1" si="14"/>
        <v>"2084299612" : "300C Touring",</v>
      </c>
    </row>
    <row r="902" spans="1:6" ht="15.75" customHeight="1">
      <c r="A902" s="18">
        <v>2084048993</v>
      </c>
      <c r="B902" s="18" t="s">
        <v>13462</v>
      </c>
      <c r="C902" s="18" t="s">
        <v>13463</v>
      </c>
      <c r="D902" s="5" t="str">
        <f ca="1">IFERROR(__xludf.DUMMYFUNCTION("GOOGLETRANSLATE(B902,""ja"",""vi"")"),"PT Cruiser")</f>
        <v>PT Cruiser</v>
      </c>
      <c r="E902" s="5" t="str">
        <f ca="1">IFERROR(__xludf.DUMMYFUNCTION("GOOGLETRANSLATE(C902,""ja"",""vi"")"),"Đấu giá&gt; ô tô, xe máy&gt; ô tô cũ, ô tô mới&gt; Chrysler&gt; PT Cruiser")</f>
        <v>Đấu giá&gt; ô tô, xe máy&gt; ô tô cũ, ô tô mới&gt; Chrysler&gt; PT Cruiser</v>
      </c>
      <c r="F902" t="str">
        <f t="shared" ca="1" si="14"/>
        <v>"2084048993" : "PT Cruiser",</v>
      </c>
    </row>
    <row r="903" spans="1:6" ht="15.75" customHeight="1">
      <c r="A903" s="18">
        <v>2084057453</v>
      </c>
      <c r="B903" s="18" t="s">
        <v>13466</v>
      </c>
      <c r="C903" s="18" t="s">
        <v>13468</v>
      </c>
      <c r="D903" s="5" t="str">
        <f ca="1">IFERROR(__xludf.DUMMYFUNCTION("GOOGLETRANSLATE(B903,""ja"",""vi"")"),"Mắc giữa hai lằn đạn bắn tréo")</f>
        <v>Mắc giữa hai lằn đạn bắn tréo</v>
      </c>
      <c r="E903" s="5" t="str">
        <f ca="1">IFERROR(__xludf.DUMMYFUNCTION("GOOGLETRANSLATE(C903,""ja"",""vi"")"),"Đấu giá&gt; ô tô, xe máy&gt; ô tô cũ, ô tô mới&gt; Chrysler&gt; Crossfire")</f>
        <v>Đấu giá&gt; ô tô, xe máy&gt; ô tô cũ, ô tô mới&gt; Chrysler&gt; Crossfire</v>
      </c>
      <c r="F903" t="str">
        <f t="shared" ca="1" si="14"/>
        <v>"2084057453" : "Mắc giữa hai lằn đạn bắn tréo",</v>
      </c>
    </row>
    <row r="904" spans="1:6" ht="15.75" customHeight="1">
      <c r="A904" s="18">
        <v>2084048994</v>
      </c>
      <c r="B904" s="18" t="s">
        <v>13473</v>
      </c>
      <c r="C904" s="18" t="s">
        <v>13475</v>
      </c>
      <c r="D904" s="5" t="str">
        <f ca="1">IFERROR(__xludf.DUMMYFUNCTION("GOOGLETRANSLATE(B904,""ja"",""vi"")"),"Đại Voyager")</f>
        <v>Đại Voyager</v>
      </c>
      <c r="E904" s="5" t="str">
        <f ca="1">IFERROR(__xludf.DUMMYFUNCTION("GOOGLETRANSLATE(C904,""ja"",""vi"")"),"Đấu giá&gt; ô tô, xe máy&gt; ô tô cũ, ô tô mới&gt; Chrysler&gt; Grand Voyager")</f>
        <v>Đấu giá&gt; ô tô, xe máy&gt; ô tô cũ, ô tô mới&gt; Chrysler&gt; Grand Voyager</v>
      </c>
      <c r="F904" t="str">
        <f t="shared" ca="1" si="14"/>
        <v>"2084048994" : "Đại Voyager",</v>
      </c>
    </row>
    <row r="905" spans="1:6" ht="15.75" customHeight="1">
      <c r="A905" s="18">
        <v>2084048221</v>
      </c>
      <c r="B905" s="18" t="s">
        <v>13478</v>
      </c>
      <c r="C905" s="18" t="s">
        <v>13481</v>
      </c>
      <c r="D905" s="5" t="str">
        <f ca="1">IFERROR(__xludf.DUMMYFUNCTION("GOOGLETRANSLATE(B905,""ja"",""vi"")"),"Jeep Grand Cherokee")</f>
        <v>Jeep Grand Cherokee</v>
      </c>
      <c r="E905" s="5" t="str">
        <f ca="1">IFERROR(__xludf.DUMMYFUNCTION("GOOGLETRANSLATE(C905,""ja"",""vi"")"),"Đấu giá&gt; ô tô, xe máy&gt; ô tô cũ, ô tô mới&gt; Chrysler&gt; Jeep Grand Cherokee")</f>
        <v>Đấu giá&gt; ô tô, xe máy&gt; ô tô cũ, ô tô mới&gt; Chrysler&gt; Jeep Grand Cherokee</v>
      </c>
      <c r="F905" t="str">
        <f t="shared" ca="1" si="14"/>
        <v>"2084048221" : "Jeep Grand Cherokee",</v>
      </c>
    </row>
    <row r="906" spans="1:6" ht="15.75" customHeight="1">
      <c r="A906" s="18">
        <v>2084048222</v>
      </c>
      <c r="B906" s="18" t="s">
        <v>13484</v>
      </c>
      <c r="C906" s="18" t="s">
        <v>13485</v>
      </c>
      <c r="D906" s="5" t="str">
        <f ca="1">IFERROR(__xludf.DUMMYFUNCTION("GOOGLETRANSLATE(B906,""ja"",""vi"")"),"Jeep Cherokee")</f>
        <v>Jeep Cherokee</v>
      </c>
      <c r="E906" s="5" t="str">
        <f ca="1">IFERROR(__xludf.DUMMYFUNCTION("GOOGLETRANSLATE(C906,""ja"",""vi"")"),"Đấu giá&gt; ô tô, xe máy&gt; ô tô cũ, ô tô mới&gt; Chrysler&gt; Jeep Cherokee")</f>
        <v>Đấu giá&gt; ô tô, xe máy&gt; ô tô cũ, ô tô mới&gt; Chrysler&gt; Jeep Cherokee</v>
      </c>
      <c r="F906" t="str">
        <f t="shared" ca="1" si="14"/>
        <v>"2084048222" : "Jeep Cherokee",</v>
      </c>
    </row>
    <row r="907" spans="1:6" ht="15.75" customHeight="1">
      <c r="A907" s="18">
        <v>2084048223</v>
      </c>
      <c r="B907" s="18" t="s">
        <v>13493</v>
      </c>
      <c r="C907" s="18" t="s">
        <v>13494</v>
      </c>
      <c r="D907" s="5" t="str">
        <f ca="1">IFERROR(__xludf.DUMMYFUNCTION("GOOGLETRANSLATE(B907,""ja"",""vi"")"),"Jeep Wrangler")</f>
        <v>Jeep Wrangler</v>
      </c>
      <c r="E907" s="5" t="str">
        <f ca="1">IFERROR(__xludf.DUMMYFUNCTION("GOOGLETRANSLATE(C907,""ja"",""vi"")"),"Đấu giá&gt; ô tô, xe máy&gt; ô tô cũ, ô tô mới&gt; Chrysler&gt; Jeep Wrangler")</f>
        <v>Đấu giá&gt; ô tô, xe máy&gt; ô tô cũ, ô tô mới&gt; Chrysler&gt; Jeep Wrangler</v>
      </c>
      <c r="F907" t="str">
        <f t="shared" ca="1" si="14"/>
        <v>"2084048223" : "Jeep Wrangler",</v>
      </c>
    </row>
    <row r="908" spans="1:6" ht="15.75" customHeight="1">
      <c r="A908" s="18">
        <v>2084205146</v>
      </c>
      <c r="B908" s="18" t="s">
        <v>13499</v>
      </c>
      <c r="C908" s="18" t="s">
        <v>13500</v>
      </c>
      <c r="D908" s="5" t="str">
        <f ca="1">IFERROR(__xludf.DUMMYFUNCTION("GOOGLETRANSLATE(B908,""ja"",""vi"")"),"Neon")</f>
        <v>Neon</v>
      </c>
      <c r="E908" s="5" t="str">
        <f ca="1">IFERROR(__xludf.DUMMYFUNCTION("GOOGLETRANSLATE(C908,""ja"",""vi"")"),"Đấu giá&gt; ô tô, xe máy&gt; ô tô cũ, ô tô mới&gt; Chrysler&gt; neon")</f>
        <v>Đấu giá&gt; ô tô, xe máy&gt; ô tô cũ, ô tô mới&gt; Chrysler&gt; neon</v>
      </c>
      <c r="F908" t="str">
        <f t="shared" ca="1" si="14"/>
        <v>"2084205146" : "Neon",</v>
      </c>
    </row>
    <row r="909" spans="1:6" ht="15.75" customHeight="1">
      <c r="A909" s="18">
        <v>2084299613</v>
      </c>
      <c r="B909" s="18" t="s">
        <v>13505</v>
      </c>
      <c r="C909" s="18" t="s">
        <v>13507</v>
      </c>
      <c r="D909" s="5" t="str">
        <f ca="1">IFERROR(__xludf.DUMMYFUNCTION("GOOGLETRANSLATE(B909,""ja"",""vi"")"),"rắn độc")</f>
        <v>rắn độc</v>
      </c>
      <c r="E909" s="5" t="str">
        <f ca="1">IFERROR(__xludf.DUMMYFUNCTION("GOOGLETRANSLATE(C909,""ja"",""vi"")"),"Đấu giá&gt; ô tô, xe máy&gt; ô tô cũ, ô tô mới&gt; Chrysler&gt; Viper")</f>
        <v>Đấu giá&gt; ô tô, xe máy&gt; ô tô cũ, ô tô mới&gt; Chrysler&gt; Viper</v>
      </c>
      <c r="F909" t="str">
        <f t="shared" ca="1" si="14"/>
        <v>"2084299613" : "rắn độc",</v>
      </c>
    </row>
    <row r="910" spans="1:6" ht="15.75" customHeight="1">
      <c r="A910" s="18">
        <v>2084048995</v>
      </c>
      <c r="B910" s="18" t="s">
        <v>13510</v>
      </c>
      <c r="C910" s="18" t="s">
        <v>13511</v>
      </c>
      <c r="D910" s="5" t="str">
        <f ca="1">IFERROR(__xludf.DUMMYFUNCTION("GOOGLETRANSLATE(B910,""ja"",""vi"")"),"người đi du lịch bằng đường biển")</f>
        <v>người đi du lịch bằng đường biển</v>
      </c>
      <c r="E910" s="5" t="str">
        <f ca="1">IFERROR(__xludf.DUMMYFUNCTION("GOOGLETRANSLATE(C910,""ja"",""vi"")"),"Đấu giá&gt; ô tô, xe máy&gt; ô tô cũ, ô tô mới&gt; Chrysler&gt; Voyager")</f>
        <v>Đấu giá&gt; ô tô, xe máy&gt; ô tô cũ, ô tô mới&gt; Chrysler&gt; Voyager</v>
      </c>
      <c r="F910" t="str">
        <f t="shared" ca="1" si="14"/>
        <v>"2084048995" : "người đi du lịch bằng đường biển",</v>
      </c>
    </row>
    <row r="911" spans="1:6" ht="15.75" customHeight="1">
      <c r="A911" s="18">
        <v>2084048220</v>
      </c>
      <c r="B911" s="18" t="s">
        <v>46</v>
      </c>
      <c r="C911" s="18" t="s">
        <v>13514</v>
      </c>
      <c r="D911" s="5" t="str">
        <f ca="1">IFERROR(__xludf.DUMMYFUNCTION("GOOGLETRANSLATE(B911,""ja"",""vi"")"),"nếu không thì")</f>
        <v>nếu không thì</v>
      </c>
      <c r="E911" s="5" t="str">
        <f ca="1">IFERROR(__xludf.DUMMYFUNCTION("GOOGLETRANSLATE(C911,""ja"",""vi"")"),"Đấu giá&gt; ô tô, xe máy&gt; ô tô cũ, ô tô mới&gt; Chrysler&gt; Khác")</f>
        <v>Đấu giá&gt; ô tô, xe máy&gt; ô tô cũ, ô tô mới&gt; Chrysler&gt; Khác</v>
      </c>
      <c r="F911" t="str">
        <f t="shared" ca="1" si="14"/>
        <v>"2084048220" : "nếu không thì",</v>
      </c>
    </row>
    <row r="912" spans="1:6" ht="15.75" customHeight="1">
      <c r="A912" s="18">
        <v>2084299607</v>
      </c>
      <c r="B912" s="18" t="s">
        <v>13517</v>
      </c>
      <c r="C912" s="18" t="s">
        <v>13519</v>
      </c>
      <c r="D912" s="5" t="str">
        <f ca="1">IFERROR(__xludf.DUMMYFUNCTION("GOOGLETRANSLATE(B912,""ja"",""vi"")"),"HHR")</f>
        <v>HHR</v>
      </c>
      <c r="E912" s="5" t="str">
        <f ca="1">IFERROR(__xludf.DUMMYFUNCTION("GOOGLETRANSLATE(C912,""ja"",""vi"")"),"Đấu giá&gt; ô tô, xe máy&gt; ô tô cũ, ô tô mới&gt; Chevrolet&gt; HHR")</f>
        <v>Đấu giá&gt; ô tô, xe máy&gt; ô tô cũ, ô tô mới&gt; Chevrolet&gt; HHR</v>
      </c>
      <c r="F912" t="str">
        <f t="shared" ca="1" si="14"/>
        <v>"2084299607" : "HHR",</v>
      </c>
    </row>
    <row r="913" spans="1:6" ht="15.75" customHeight="1">
      <c r="A913" s="18">
        <v>2084299608</v>
      </c>
      <c r="B913" s="18" t="s">
        <v>13523</v>
      </c>
      <c r="C913" s="18" t="s">
        <v>13524</v>
      </c>
      <c r="D913" s="5" t="str">
        <f ca="1">IFERROR(__xludf.DUMMYFUNCTION("GOOGLETRANSLATE(B913,""ja"",""vi"")"),"MW")</f>
        <v>MW</v>
      </c>
      <c r="E913" s="5" t="str">
        <f ca="1">IFERROR(__xludf.DUMMYFUNCTION("GOOGLETRANSLATE(C913,""ja"",""vi"")"),"Đấu giá&gt; ô tô, xe máy&gt; ô tô cũ, ô tô mới&gt; Chevrolet&gt; MW")</f>
        <v>Đấu giá&gt; ô tô, xe máy&gt; ô tô cũ, ô tô mới&gt; Chevrolet&gt; MW</v>
      </c>
      <c r="F913" t="str">
        <f t="shared" ca="1" si="14"/>
        <v>"2084299608" : "MW",</v>
      </c>
    </row>
    <row r="914" spans="1:6" ht="15.75" customHeight="1">
      <c r="A914" s="18">
        <v>2084048214</v>
      </c>
      <c r="B914" s="18" t="s">
        <v>13529</v>
      </c>
      <c r="C914" s="18" t="s">
        <v>13530</v>
      </c>
      <c r="D914" s="5" t="str">
        <f ca="1">IFERROR(__xludf.DUMMYFUNCTION("GOOGLETRANSLATE(B914,""ja"",""vi"")"),"Astro")</f>
        <v>Astro</v>
      </c>
      <c r="E914" s="5" t="str">
        <f ca="1">IFERROR(__xludf.DUMMYFUNCTION("GOOGLETRANSLATE(C914,""ja"",""vi"")"),"Đấu giá&gt; ô tô, xe máy&gt; ô tô cũ, ô tô mới&gt; Chevrolet&gt; Astro")</f>
        <v>Đấu giá&gt; ô tô, xe máy&gt; ô tô cũ, ô tô mới&gt; Chevrolet&gt; Astro</v>
      </c>
      <c r="F914" t="str">
        <f t="shared" ca="1" si="14"/>
        <v>"2084048214" : "Astro",</v>
      </c>
    </row>
    <row r="915" spans="1:6" ht="15.75" customHeight="1">
      <c r="A915" s="18">
        <v>2084299606</v>
      </c>
      <c r="B915" s="18" t="s">
        <v>13535</v>
      </c>
      <c r="C915" s="18" t="s">
        <v>13536</v>
      </c>
      <c r="D915" s="5" t="str">
        <f ca="1">IFERROR(__xludf.DUMMYFUNCTION("GOOGLETRANSLATE(B915,""ja"",""vi"")"),"lở tuyết")</f>
        <v>lở tuyết</v>
      </c>
      <c r="E915" s="5" t="str">
        <f ca="1">IFERROR(__xludf.DUMMYFUNCTION("GOOGLETRANSLATE(C915,""ja"",""vi"")"),"Đấu giá&gt; ô tô, xe máy&gt; ô tô cũ, ô tô mới&gt; Chevrolet&gt; Avalanche")</f>
        <v>Đấu giá&gt; ô tô, xe máy&gt; ô tô cũ, ô tô mới&gt; Chevrolet&gt; Avalanche</v>
      </c>
      <c r="F915" t="str">
        <f t="shared" ca="1" si="14"/>
        <v>"2084299606" : "lở tuyết",</v>
      </c>
    </row>
    <row r="916" spans="1:6" ht="15.75" customHeight="1">
      <c r="A916" s="18">
        <v>2084051728</v>
      </c>
      <c r="B916" s="18" t="s">
        <v>13541</v>
      </c>
      <c r="C916" s="18" t="s">
        <v>13542</v>
      </c>
      <c r="D916" s="5" t="str">
        <f ca="1">IFERROR(__xludf.DUMMYFUNCTION("GOOGLETRANSLATE(B916,""ja"",""vi"")"),"Impala")</f>
        <v>Impala</v>
      </c>
      <c r="E916" s="5" t="str">
        <f ca="1">IFERROR(__xludf.DUMMYFUNCTION("GOOGLETRANSLATE(C916,""ja"",""vi"")"),"Đấu giá&gt; ô tô, xe máy&gt; ô tô cũ, ô tô mới&gt; Chevrolet&gt; Impala")</f>
        <v>Đấu giá&gt; ô tô, xe máy&gt; ô tô cũ, ô tô mới&gt; Chevrolet&gt; Impala</v>
      </c>
      <c r="F916" t="str">
        <f t="shared" ca="1" si="14"/>
        <v>"2084051728" : "Impala",</v>
      </c>
    </row>
    <row r="917" spans="1:6" ht="15.75" customHeight="1">
      <c r="A917" s="18">
        <v>2084051729</v>
      </c>
      <c r="B917" s="18" t="s">
        <v>13549</v>
      </c>
      <c r="C917" s="18" t="s">
        <v>13551</v>
      </c>
      <c r="D917" s="5" t="str">
        <f ca="1">IFERROR(__xludf.DUMMYFUNCTION("GOOGLETRANSLATE(B917,""ja"",""vi"")"),"tốc")</f>
        <v>tốc</v>
      </c>
      <c r="E917" s="5" t="str">
        <f ca="1">IFERROR(__xludf.DUMMYFUNCTION("GOOGLETRANSLATE(C917,""ja"",""vi"")"),"Đấu giá&gt; ô tô, xe máy&gt; ô tô cũ, ô tô mới&gt; Chevrolet&gt; Express")</f>
        <v>Đấu giá&gt; ô tô, xe máy&gt; ô tô cũ, ô tô mới&gt; Chevrolet&gt; Express</v>
      </c>
      <c r="F917" t="str">
        <f t="shared" ca="1" si="14"/>
        <v>"2084051729" : "tốc",</v>
      </c>
    </row>
    <row r="918" spans="1:6" ht="15.75" customHeight="1">
      <c r="A918" s="18">
        <v>2084059203</v>
      </c>
      <c r="B918" s="18" t="s">
        <v>13554</v>
      </c>
      <c r="C918" s="18" t="s">
        <v>13555</v>
      </c>
      <c r="D918" s="5" t="str">
        <f ca="1">IFERROR(__xludf.DUMMYFUNCTION("GOOGLETRANSLATE(B918,""ja"",""vi"")"),"Oputora")</f>
        <v>Oputora</v>
      </c>
      <c r="E918" s="5" t="str">
        <f ca="1">IFERROR(__xludf.DUMMYFUNCTION("GOOGLETRANSLATE(C918,""ja"",""vi"")"),"Đấu giá&gt; ô tô, xe máy&gt; ô tô cũ, ô tô mới&gt; Chevrolet&gt; Oputora")</f>
        <v>Đấu giá&gt; ô tô, xe máy&gt; ô tô cũ, ô tô mới&gt; Chevrolet&gt; Oputora</v>
      </c>
      <c r="F918" t="str">
        <f t="shared" ca="1" si="14"/>
        <v>"2084059203" : "Oputora",</v>
      </c>
    </row>
    <row r="919" spans="1:6" ht="15.75" customHeight="1">
      <c r="A919" s="18">
        <v>2084049008</v>
      </c>
      <c r="B919" s="18" t="s">
        <v>13560</v>
      </c>
      <c r="C919" s="18" t="s">
        <v>13561</v>
      </c>
      <c r="D919" s="5" t="str">
        <f ca="1">IFERROR(__xludf.DUMMYFUNCTION("GOOGLETRANSLATE(B919,""ja"",""vi"")"),"bản nhạc phóng túng")</f>
        <v>bản nhạc phóng túng</v>
      </c>
      <c r="E919" s="5" t="str">
        <f ca="1">IFERROR(__xludf.DUMMYFUNCTION("GOOGLETRANSLATE(C919,""ja"",""vi"")"),"Đấu giá&gt; ô tô, xe máy&gt; ô tô cũ, ô tô mới&gt; Chevrolet&gt; Caprice")</f>
        <v>Đấu giá&gt; ô tô, xe máy&gt; ô tô cũ, ô tô mới&gt; Chevrolet&gt; Caprice</v>
      </c>
      <c r="F919" t="str">
        <f t="shared" ca="1" si="14"/>
        <v>"2084049008" : "bản nhạc phóng túng",</v>
      </c>
    </row>
    <row r="920" spans="1:6" ht="15.75" customHeight="1">
      <c r="A920" s="18">
        <v>2084048215</v>
      </c>
      <c r="B920" s="18" t="s">
        <v>13564</v>
      </c>
      <c r="C920" s="18" t="s">
        <v>13566</v>
      </c>
      <c r="D920" s="5" t="str">
        <f ca="1">IFERROR(__xludf.DUMMYFUNCTION("GOOGLETRANSLATE(B920,""ja"",""vi"")"),"Camaro")</f>
        <v>Camaro</v>
      </c>
      <c r="E920" s="5" t="str">
        <f ca="1">IFERROR(__xludf.DUMMYFUNCTION("GOOGLETRANSLATE(C920,""ja"",""vi"")"),"Đấu giá&gt; ô tô, xe máy&gt; ô tô cũ, ô tô mới&gt; Chevrolet&gt; Camaro")</f>
        <v>Đấu giá&gt; ô tô, xe máy&gt; ô tô cũ, ô tô mới&gt; Chevrolet&gt; Camaro</v>
      </c>
      <c r="F920" t="str">
        <f t="shared" ca="1" si="14"/>
        <v>"2084048215" : "Camaro",</v>
      </c>
    </row>
    <row r="921" spans="1:6" ht="15.75" customHeight="1">
      <c r="A921" s="18">
        <v>2084299605</v>
      </c>
      <c r="B921" s="18" t="s">
        <v>13569</v>
      </c>
      <c r="C921" s="18" t="s">
        <v>13570</v>
      </c>
      <c r="D921" s="5" t="str">
        <f ca="1">IFERROR(__xludf.DUMMYFUNCTION("GOOGLETRANSLATE(B921,""ja"",""vi"")"),"Captiva")</f>
        <v>Captiva</v>
      </c>
      <c r="E921" s="5" t="str">
        <f ca="1">IFERROR(__xludf.DUMMYFUNCTION("GOOGLETRANSLATE(C921,""ja"",""vi"")"),"Đấu giá&gt; ô tô, xe máy&gt; ô tô cũ, ô tô mới&gt; Chevrolet&gt; Captiva")</f>
        <v>Đấu giá&gt; ô tô, xe máy&gt; ô tô cũ, ô tô mới&gt; Chevrolet&gt; Captiva</v>
      </c>
      <c r="F921" t="str">
        <f t="shared" ca="1" si="14"/>
        <v>"2084299605" : "Captiva",</v>
      </c>
    </row>
    <row r="922" spans="1:6" ht="15.75" customHeight="1">
      <c r="A922" s="18">
        <v>2084049009</v>
      </c>
      <c r="B922" s="18" t="s">
        <v>13575</v>
      </c>
      <c r="C922" s="18" t="s">
        <v>13576</v>
      </c>
      <c r="D922" s="5" t="str">
        <f ca="1">IFERROR(__xludf.DUMMYFUNCTION("GOOGLETRANSLATE(B922,""ja"",""vi"")"),"Cruise")</f>
        <v>Cruise</v>
      </c>
      <c r="E922" s="5" t="str">
        <f ca="1">IFERROR(__xludf.DUMMYFUNCTION("GOOGLETRANSLATE(C922,""ja"",""vi"")"),"Đấu giá&gt; ô tô, xe máy&gt; ô tô cũ, ô tô mới&gt; Chevrolet&gt; cruise")</f>
        <v>Đấu giá&gt; ô tô, xe máy&gt; ô tô cũ, ô tô mới&gt; Chevrolet&gt; cruise</v>
      </c>
      <c r="F922" t="str">
        <f t="shared" ca="1" si="14"/>
        <v>"2084049009" : "Cruise",</v>
      </c>
    </row>
    <row r="923" spans="1:6" ht="15.75" customHeight="1">
      <c r="A923" s="18">
        <v>2084048216</v>
      </c>
      <c r="B923" s="18" t="s">
        <v>13580</v>
      </c>
      <c r="C923" s="18" t="s">
        <v>13582</v>
      </c>
      <c r="D923" s="5" t="str">
        <f ca="1">IFERROR(__xludf.DUMMYFUNCTION("GOOGLETRANSLATE(B923,""ja"",""vi"")"),"hạm đội loại nhỏ")</f>
        <v>hạm đội loại nhỏ</v>
      </c>
      <c r="E923" s="5" t="str">
        <f ca="1">IFERROR(__xludf.DUMMYFUNCTION("GOOGLETRANSLATE(C923,""ja"",""vi"")"),"Đấu giá&gt; ô tô, xe máy&gt; ô tô cũ, ô tô mới&gt; Chevrolet&gt; Corvette")</f>
        <v>Đấu giá&gt; ô tô, xe máy&gt; ô tô cũ, ô tô mới&gt; Chevrolet&gt; Corvette</v>
      </c>
      <c r="F923" t="str">
        <f t="shared" ca="1" si="14"/>
        <v>"2084048216" : "hạm đội loại nhỏ",</v>
      </c>
    </row>
    <row r="924" spans="1:6" ht="15.75" customHeight="1">
      <c r="A924" s="18">
        <v>2084048217</v>
      </c>
      <c r="B924" s="18" t="s">
        <v>13382</v>
      </c>
      <c r="C924" s="18" t="s">
        <v>13586</v>
      </c>
      <c r="D924" s="5" t="str">
        <f ca="1">IFERROR(__xludf.DUMMYFUNCTION("GOOGLETRANSLATE(B924,""ja"",""vi"")"),"ngoại ô")</f>
        <v>ngoại ô</v>
      </c>
      <c r="E924" s="5" t="str">
        <f ca="1">IFERROR(__xludf.DUMMYFUNCTION("GOOGLETRANSLATE(C924,""ja"",""vi"")"),"Đấu giá&gt; ô tô, xe máy&gt; ô tô cũ, ô tô mới&gt; Chevrolet&gt; Suburban")</f>
        <v>Đấu giá&gt; ô tô, xe máy&gt; ô tô cũ, ô tô mới&gt; Chevrolet&gt; Suburban</v>
      </c>
      <c r="F924" t="str">
        <f t="shared" ca="1" si="14"/>
        <v>"2084048217" : "ngoại ô",</v>
      </c>
    </row>
    <row r="925" spans="1:6" ht="15.75" customHeight="1">
      <c r="A925" s="18">
        <v>2084049010</v>
      </c>
      <c r="B925" s="18" t="s">
        <v>13588</v>
      </c>
      <c r="C925" s="18" t="s">
        <v>13590</v>
      </c>
      <c r="D925" s="5" t="str">
        <f ca="1">IFERROR(__xludf.DUMMYFUNCTION("GOOGLETRANSLATE(B925,""ja"",""vi"")"),"trò chơi trẻ nít")</f>
        <v>trò chơi trẻ nít</v>
      </c>
      <c r="E925" s="5" t="str">
        <f ca="1">IFERROR(__xludf.DUMMYFUNCTION("GOOGLETRANSLATE(C925,""ja"",""vi"")"),"Đấu giá&gt; ô tô, xe máy&gt; ô tô cũ, ô tô mới&gt; Chevrolet&gt; Chevy")</f>
        <v>Đấu giá&gt; ô tô, xe máy&gt; ô tô cũ, ô tô mới&gt; Chevrolet&gt; Chevy</v>
      </c>
      <c r="F925" t="str">
        <f t="shared" ca="1" si="14"/>
        <v>"2084049010" : "trò chơi trẻ nít",</v>
      </c>
    </row>
    <row r="926" spans="1:6" ht="15.75" customHeight="1">
      <c r="A926" s="18">
        <v>2084299604</v>
      </c>
      <c r="B926" s="18" t="s">
        <v>13593</v>
      </c>
      <c r="C926" s="18" t="s">
        <v>13595</v>
      </c>
      <c r="D926" s="5" t="str">
        <f ca="1">IFERROR(__xludf.DUMMYFUNCTION("GOOGLETRANSLATE(B926,""ja"",""vi"")"),"Silverado")</f>
        <v>Silverado</v>
      </c>
      <c r="E926" s="5" t="str">
        <f ca="1">IFERROR(__xludf.DUMMYFUNCTION("GOOGLETRANSLATE(C926,""ja"",""vi"")"),"Đấu giá&gt; ô tô, xe máy&gt; ô tô cũ, ô tô mới&gt; Chevrolet&gt; Silverado")</f>
        <v>Đấu giá&gt; ô tô, xe máy&gt; ô tô cũ, ô tô mới&gt; Chevrolet&gt; Silverado</v>
      </c>
      <c r="F926" t="str">
        <f t="shared" ca="1" si="14"/>
        <v>"2084299604" : "Silverado",</v>
      </c>
    </row>
    <row r="927" spans="1:6" ht="15.75" customHeight="1">
      <c r="A927" s="18">
        <v>2084299611</v>
      </c>
      <c r="B927" s="18" t="s">
        <v>13599</v>
      </c>
      <c r="C927" s="18" t="s">
        <v>13600</v>
      </c>
      <c r="D927" s="5" t="str">
        <f ca="1">IFERROR(__xludf.DUMMYFUNCTION("GOOGLETRANSLATE(B927,""ja"",""vi"")"),"Sonic")</f>
        <v>Sonic</v>
      </c>
      <c r="E927" s="5" t="str">
        <f ca="1">IFERROR(__xludf.DUMMYFUNCTION("GOOGLETRANSLATE(C927,""ja"",""vi"")"),"Đấu giá&gt; ô tô, xe máy&gt; ô tô cũ, ô tô mới&gt; Chevrolet&gt; Sonic")</f>
        <v>Đấu giá&gt; ô tô, xe máy&gt; ô tô cũ, ô tô mới&gt; Chevrolet&gt; Sonic</v>
      </c>
      <c r="F927" t="str">
        <f t="shared" ca="1" si="14"/>
        <v>"2084299611" : "Sonic",</v>
      </c>
    </row>
    <row r="928" spans="1:6" ht="15.75" customHeight="1">
      <c r="A928" s="18">
        <v>2084048218</v>
      </c>
      <c r="B928" s="18" t="s">
        <v>13603</v>
      </c>
      <c r="C928" s="18" t="s">
        <v>13605</v>
      </c>
      <c r="D928" s="5" t="str">
        <f ca="1">IFERROR(__xludf.DUMMYFUNCTION("GOOGLETRANSLATE(B928,""ja"",""vi"")"),"Tahoe")</f>
        <v>Tahoe</v>
      </c>
      <c r="E928" s="5" t="str">
        <f ca="1">IFERROR(__xludf.DUMMYFUNCTION("GOOGLETRANSLATE(C928,""ja"",""vi"")"),"Đấu giá&gt; ô tô, xe máy&gt; ô tô cũ, ô tô mới&gt; Chevrolet&gt; Tahoe")</f>
        <v>Đấu giá&gt; ô tô, xe máy&gt; ô tô cũ, ô tô mới&gt; Chevrolet&gt; Tahoe</v>
      </c>
      <c r="F928" t="str">
        <f t="shared" ca="1" si="14"/>
        <v>"2084048218" : "Tahoe",</v>
      </c>
    </row>
    <row r="929" spans="1:6" ht="15.75" customHeight="1">
      <c r="A929" s="18">
        <v>2084051727</v>
      </c>
      <c r="B929" s="18" t="s">
        <v>13611</v>
      </c>
      <c r="C929" s="18" t="s">
        <v>13612</v>
      </c>
      <c r="D929" s="5" t="str">
        <f ca="1">IFERROR(__xludf.DUMMYFUNCTION("GOOGLETRANSLATE(B929,""ja"",""vi"")"),"Theo dõi hệ thống")</f>
        <v>Theo dõi hệ thống</v>
      </c>
      <c r="E929" s="5" t="str">
        <f ca="1">IFERROR(__xludf.DUMMYFUNCTION("GOOGLETRANSLATE(C929,""ja"",""vi"")"),"Đấu giá&gt; ô tô, xe máy&gt; ô tô cũ, ô tô mới&gt; Chevrolet&gt; hệ thống theo dõi")</f>
        <v>Đấu giá&gt; ô tô, xe máy&gt; ô tô cũ, ô tô mới&gt; Chevrolet&gt; hệ thống theo dõi</v>
      </c>
      <c r="F929" t="str">
        <f t="shared" ca="1" si="14"/>
        <v>"2084051727" : "Theo dõi hệ thống",</v>
      </c>
    </row>
    <row r="930" spans="1:6" ht="15.75" customHeight="1">
      <c r="A930" s="18">
        <v>2084299609</v>
      </c>
      <c r="B930" s="18" t="s">
        <v>13617</v>
      </c>
      <c r="C930" s="18" t="s">
        <v>13618</v>
      </c>
      <c r="D930" s="5" t="str">
        <f ca="1">IFERROR(__xludf.DUMMYFUNCTION("GOOGLETRANSLATE(B930,""ja"",""vi"")"),"Traverse")</f>
        <v>Traverse</v>
      </c>
      <c r="E930" s="5" t="str">
        <f ca="1">IFERROR(__xludf.DUMMYFUNCTION("GOOGLETRANSLATE(C930,""ja"",""vi"")"),"Đấu giá&gt; ô tô, xe máy&gt; ô tô cũ, ô tô mới&gt; Chevrolet&gt; Traverse")</f>
        <v>Đấu giá&gt; ô tô, xe máy&gt; ô tô cũ, ô tô mới&gt; Chevrolet&gt; Traverse</v>
      </c>
      <c r="F930" t="str">
        <f t="shared" ca="1" si="14"/>
        <v>"2084299609" : "Traverse",</v>
      </c>
    </row>
    <row r="931" spans="1:6" ht="15.75" customHeight="1">
      <c r="A931" s="18">
        <v>2084049011</v>
      </c>
      <c r="B931" s="18" t="s">
        <v>13622</v>
      </c>
      <c r="C931" s="18" t="s">
        <v>13624</v>
      </c>
      <c r="D931" s="5" t="str">
        <f ca="1">IFERROR(__xludf.DUMMYFUNCTION("GOOGLETRANSLATE(B931,""ja"",""vi"")"),"Trail Blazer")</f>
        <v>Trail Blazer</v>
      </c>
      <c r="E931" s="5" t="str">
        <f ca="1">IFERROR(__xludf.DUMMYFUNCTION("GOOGLETRANSLATE(C931,""ja"",""vi"")"),"Đấu giá&gt; ô tô, xe máy&gt; ô tô cũ, ô tô mới&gt; Chevrolet&gt; Trailblazer")</f>
        <v>Đấu giá&gt; ô tô, xe máy&gt; ô tô cũ, ô tô mới&gt; Chevrolet&gt; Trailblazer</v>
      </c>
      <c r="F931" t="str">
        <f t="shared" ca="1" si="14"/>
        <v>"2084049011" : "Trail Blazer",</v>
      </c>
    </row>
    <row r="932" spans="1:6" ht="15.75" customHeight="1">
      <c r="A932" s="18">
        <v>2084048219</v>
      </c>
      <c r="B932" s="18" t="s">
        <v>13626</v>
      </c>
      <c r="C932" s="18" t="s">
        <v>13629</v>
      </c>
      <c r="D932" s="5" t="str">
        <f ca="1">IFERROR(__xludf.DUMMYFUNCTION("GOOGLETRANSLATE(B932,""ja"",""vi"")"),"áo nỉ ngắn")</f>
        <v>áo nỉ ngắn</v>
      </c>
      <c r="E932" s="5" t="str">
        <f ca="1">IFERROR(__xludf.DUMMYFUNCTION("GOOGLETRANSLATE(C932,""ja"",""vi"")"),"Đấu giá&gt; ô tô, xe máy&gt; ô tô cũ, ô tô mới&gt; Chevrolet&gt; Blazer")</f>
        <v>Đấu giá&gt; ô tô, xe máy&gt; ô tô cũ, ô tô mới&gt; Chevrolet&gt; Blazer</v>
      </c>
      <c r="F932" t="str">
        <f t="shared" ca="1" si="14"/>
        <v>"2084048219" : "áo nỉ ngắn",</v>
      </c>
    </row>
    <row r="933" spans="1:6" ht="15.75" customHeight="1">
      <c r="A933" s="18">
        <v>2084048213</v>
      </c>
      <c r="B933" s="18" t="s">
        <v>46</v>
      </c>
      <c r="C933" s="18" t="s">
        <v>13633</v>
      </c>
      <c r="D933" s="5" t="str">
        <f ca="1">IFERROR(__xludf.DUMMYFUNCTION("GOOGLETRANSLATE(B933,""ja"",""vi"")"),"nếu không thì")</f>
        <v>nếu không thì</v>
      </c>
      <c r="E933" s="5" t="str">
        <f ca="1">IFERROR(__xludf.DUMMYFUNCTION("GOOGLETRANSLATE(C933,""ja"",""vi"")"),"Đấu giá&gt; ô tô, xe máy&gt; ô tô cũ, ô tô mới&gt; Chevrolet&gt; Khác")</f>
        <v>Đấu giá&gt; ô tô, xe máy&gt; ô tô cũ, ô tô mới&gt; Chevrolet&gt; Khác</v>
      </c>
      <c r="F933" t="str">
        <f t="shared" ca="1" si="14"/>
        <v>"2084048213" : "nếu không thì",</v>
      </c>
    </row>
    <row r="934" spans="1:6" ht="15.75" customHeight="1">
      <c r="A934" s="18">
        <v>2084049048</v>
      </c>
      <c r="B934" s="18" t="s">
        <v>13635</v>
      </c>
      <c r="C934" s="18" t="s">
        <v>13638</v>
      </c>
      <c r="D934" s="5" t="str">
        <f ca="1">IFERROR(__xludf.DUMMYFUNCTION("GOOGLETRANSLATE(B934,""ja"",""vi"")"),"Durango")</f>
        <v>Durango</v>
      </c>
      <c r="E934" s="5" t="str">
        <f ca="1">IFERROR(__xludf.DUMMYFUNCTION("GOOGLETRANSLATE(C934,""ja"",""vi"")"),"Đấu giá&gt; ô tô, xe máy&gt; ô tô cũ, ô tô mới&gt; Dodge&gt; Durango")</f>
        <v>Đấu giá&gt; ô tô, xe máy&gt; ô tô cũ, ô tô mới&gt; Dodge&gt; Durango</v>
      </c>
      <c r="F934" t="str">
        <f t="shared" ca="1" si="14"/>
        <v>"2084049048" : "Durango",</v>
      </c>
    </row>
    <row r="935" spans="1:6" ht="15.75" customHeight="1">
      <c r="A935" s="18">
        <v>2084051732</v>
      </c>
      <c r="B935" s="18" t="s">
        <v>13643</v>
      </c>
      <c r="C935" s="18" t="s">
        <v>13644</v>
      </c>
      <c r="D935" s="5" t="str">
        <f ca="1">IFERROR(__xludf.DUMMYFUNCTION("GOOGLETRANSLATE(B935,""ja"",""vi"")"),"Văn")</f>
        <v>Văn</v>
      </c>
      <c r="E935" s="5" t="str">
        <f ca="1">IFERROR(__xludf.DUMMYFUNCTION("GOOGLETRANSLATE(C935,""ja"",""vi"")"),"Đấu giá&gt; ô tô, xe máy&gt; ô tô cũ, ô tô mới&gt; Dodge&gt; van")</f>
        <v>Đấu giá&gt; ô tô, xe máy&gt; ô tô cũ, ô tô mới&gt; Dodge&gt; van</v>
      </c>
      <c r="F935" t="str">
        <f t="shared" ca="1" si="14"/>
        <v>"2084051732" : "Văn",</v>
      </c>
    </row>
    <row r="936" spans="1:6" ht="15.75" customHeight="1">
      <c r="A936" s="18">
        <v>2084062141</v>
      </c>
      <c r="B936" s="18" t="s">
        <v>13648</v>
      </c>
      <c r="C936" s="18" t="s">
        <v>13649</v>
      </c>
      <c r="D936" s="5" t="str">
        <f ca="1">IFERROR(__xludf.DUMMYFUNCTION("GOOGLETRANSLATE(B936,""ja"",""vi"")"),"chai rượu lớn chừng hai lít")</f>
        <v>chai rượu lớn chừng hai lít</v>
      </c>
      <c r="E936" s="5" t="str">
        <f ca="1">IFERROR(__xludf.DUMMYFUNCTION("GOOGLETRANSLATE(C936,""ja"",""vi"")"),"Đấu giá&gt; ô tô, xe máy&gt; ô tô cũ, ô tô mới&gt; Dodge&gt; Magnum")</f>
        <v>Đấu giá&gt; ô tô, xe máy&gt; ô tô cũ, ô tô mới&gt; Dodge&gt; Magnum</v>
      </c>
      <c r="F936" t="str">
        <f t="shared" ca="1" si="14"/>
        <v>"2084062141" : "chai rượu lớn chừng hai lít",</v>
      </c>
    </row>
    <row r="937" spans="1:6" ht="15.75" customHeight="1">
      <c r="A937" s="18">
        <v>2084049049</v>
      </c>
      <c r="B937" s="18" t="s">
        <v>13653</v>
      </c>
      <c r="C937" s="18" t="s">
        <v>13654</v>
      </c>
      <c r="D937" s="5" t="str">
        <f ca="1">IFERROR(__xludf.DUMMYFUNCTION("GOOGLETRANSLATE(B937,""ja"",""vi"")"),"cừu")</f>
        <v>cừu</v>
      </c>
      <c r="E937" s="5" t="str">
        <f ca="1">IFERROR(__xludf.DUMMYFUNCTION("GOOGLETRANSLATE(C937,""ja"",""vi"")"),"Đấu giá&gt; ô tô, xe máy&gt; ô tô cũ, ô tô mới&gt; Dodge&gt; Ram")</f>
        <v>Đấu giá&gt; ô tô, xe máy&gt; ô tô cũ, ô tô mới&gt; Dodge&gt; Ram</v>
      </c>
      <c r="F937" t="str">
        <f t="shared" ca="1" si="14"/>
        <v>"2084049049" : "cừu",</v>
      </c>
    </row>
    <row r="938" spans="1:6" ht="15.75" customHeight="1">
      <c r="A938" s="18">
        <v>2084049219</v>
      </c>
      <c r="B938" s="18" t="s">
        <v>46</v>
      </c>
      <c r="C938" s="18" t="s">
        <v>13655</v>
      </c>
      <c r="D938" s="5" t="str">
        <f ca="1">IFERROR(__xludf.DUMMYFUNCTION("GOOGLETRANSLATE(B938,""ja"",""vi"")"),"nếu không thì")</f>
        <v>nếu không thì</v>
      </c>
      <c r="E938" s="5" t="str">
        <f ca="1">IFERROR(__xludf.DUMMYFUNCTION("GOOGLETRANSLATE(C938,""ja"",""vi"")"),"Đấu giá&gt; ô tô, xe máy&gt; ô tô cũ, ô tô mới&gt; Dodge&gt; Khác")</f>
        <v>Đấu giá&gt; ô tô, xe máy&gt; ô tô cũ, ô tô mới&gt; Dodge&gt; Khác</v>
      </c>
      <c r="F938" t="str">
        <f t="shared" ca="1" si="14"/>
        <v>"2084049219" : "nếu không thì",</v>
      </c>
    </row>
    <row r="939" spans="1:6" ht="15.75" customHeight="1">
      <c r="A939" s="18">
        <v>2084049071</v>
      </c>
      <c r="B939" s="18" t="s">
        <v>12831</v>
      </c>
      <c r="C939" s="18" t="s">
        <v>13659</v>
      </c>
      <c r="D939" s="5" t="str">
        <f ca="1">IFERROR(__xludf.DUMMYFUNCTION("GOOGLETRANSLATE(B939,""ja"",""vi"")"),"hợp pháp")</f>
        <v>hợp pháp</v>
      </c>
      <c r="E939" s="5" t="str">
        <f ca="1">IFERROR(__xludf.DUMMYFUNCTION("GOOGLETRANSLATE(C939,""ja"",""vi"")"),"Đấu giá&gt; ô tô, xe máy&gt; ô tô cũ, ô tô mới&gt; Buick&gt; Regal")</f>
        <v>Đấu giá&gt; ô tô, xe máy&gt; ô tô cũ, ô tô mới&gt; Buick&gt; Regal</v>
      </c>
      <c r="F939" t="str">
        <f t="shared" ca="1" si="14"/>
        <v>"2084049071" : "hợp pháp",</v>
      </c>
    </row>
    <row r="940" spans="1:6" ht="15.75" customHeight="1">
      <c r="A940" s="18">
        <v>2084049072</v>
      </c>
      <c r="B940" s="18" t="s">
        <v>13662</v>
      </c>
      <c r="C940" s="18" t="s">
        <v>13663</v>
      </c>
      <c r="D940" s="5" t="str">
        <f ca="1">IFERROR(__xludf.DUMMYFUNCTION("GOOGLETRANSLATE(B940,""ja"",""vi"")"),"tải chủ")</f>
        <v>tải chủ</v>
      </c>
      <c r="E940" s="5" t="str">
        <f ca="1">IFERROR(__xludf.DUMMYFUNCTION("GOOGLETRANSLATE(C940,""ja"",""vi"")"),"Đấu giá&gt; ô tô, xe máy&gt; ô tô cũ, ô tô mới&gt; Buick&gt; Roadmaster")</f>
        <v>Đấu giá&gt; ô tô, xe máy&gt; ô tô cũ, ô tô mới&gt; Buick&gt; Roadmaster</v>
      </c>
      <c r="F940" t="str">
        <f t="shared" ca="1" si="14"/>
        <v>"2084049072" : "tải chủ",</v>
      </c>
    </row>
    <row r="941" spans="1:6" ht="15.75" customHeight="1">
      <c r="A941" s="18">
        <v>2084049070</v>
      </c>
      <c r="B941" s="18" t="s">
        <v>46</v>
      </c>
      <c r="C941" s="18" t="s">
        <v>13665</v>
      </c>
      <c r="D941" s="5" t="str">
        <f ca="1">IFERROR(__xludf.DUMMYFUNCTION("GOOGLETRANSLATE(B941,""ja"",""vi"")"),"nếu không thì")</f>
        <v>nếu không thì</v>
      </c>
      <c r="E941" s="5" t="str">
        <f ca="1">IFERROR(__xludf.DUMMYFUNCTION("GOOGLETRANSLATE(C941,""ja"",""vi"")"),"Đấu giá&gt; ô tô, xe máy&gt; ô tô cũ, ô tô mới&gt; Buick&gt; Khác")</f>
        <v>Đấu giá&gt; ô tô, xe máy&gt; ô tô cũ, ô tô mới&gt; Buick&gt; Khác</v>
      </c>
      <c r="F941" t="str">
        <f t="shared" ca="1" si="14"/>
        <v>"2084049070" : "nếu không thì",</v>
      </c>
    </row>
    <row r="942" spans="1:6" ht="15.75" customHeight="1">
      <c r="A942" s="18">
        <v>2084051825</v>
      </c>
      <c r="B942" s="18" t="s">
        <v>13670</v>
      </c>
      <c r="C942" s="18" t="s">
        <v>13671</v>
      </c>
      <c r="D942" s="5" t="str">
        <f ca="1">IFERROR(__xludf.DUMMYFUNCTION("GOOGLETRANSLATE(B942,""ja"",""vi"")"),"F150")</f>
        <v>F150</v>
      </c>
      <c r="E942" s="5" t="str">
        <f ca="1">IFERROR(__xludf.DUMMYFUNCTION("GOOGLETRANSLATE(C942,""ja"",""vi"")"),"Đấu giá&gt; ô tô, xe máy&gt; ô tô cũ, ô tô mới&gt; Ford&gt; F150")</f>
        <v>Đấu giá&gt; ô tô, xe máy&gt; ô tô cũ, ô tô mới&gt; Ford&gt; F150</v>
      </c>
      <c r="F942" t="str">
        <f t="shared" ca="1" si="14"/>
        <v>"2084051825" : "F150",</v>
      </c>
    </row>
    <row r="943" spans="1:6" ht="15.75" customHeight="1">
      <c r="A943" s="18">
        <v>2084049081</v>
      </c>
      <c r="B943" s="18" t="s">
        <v>13675</v>
      </c>
      <c r="C943" s="18" t="s">
        <v>13677</v>
      </c>
      <c r="D943" s="5" t="str">
        <f ca="1">IFERROR(__xludf.DUMMYFUNCTION("GOOGLETRANSLATE(B943,""ja"",""vi"")"),"Ka")</f>
        <v>Ka</v>
      </c>
      <c r="E943" s="5" t="str">
        <f ca="1">IFERROR(__xludf.DUMMYFUNCTION("GOOGLETRANSLATE(C943,""ja"",""vi"")"),"Đấu giá&gt; ô tô, xe máy&gt; ô tô cũ, ô tô mới&gt; Ford&gt; Ka")</f>
        <v>Đấu giá&gt; ô tô, xe máy&gt; ô tô cũ, ô tô mới&gt; Ford&gt; Ka</v>
      </c>
      <c r="F943" t="str">
        <f t="shared" ca="1" si="14"/>
        <v>"2084049081" : "Ka",</v>
      </c>
    </row>
    <row r="944" spans="1:6" ht="15.75" customHeight="1">
      <c r="A944" s="18">
        <v>2084048207</v>
      </c>
      <c r="B944" s="18" t="s">
        <v>13680</v>
      </c>
      <c r="C944" s="18" t="s">
        <v>13682</v>
      </c>
      <c r="D944" s="5" t="str">
        <f ca="1">IFERROR(__xludf.DUMMYFUNCTION("GOOGLETRANSLATE(B944,""ja"",""vi"")"),"người khám phá")</f>
        <v>người khám phá</v>
      </c>
      <c r="E944" s="5" t="str">
        <f ca="1">IFERROR(__xludf.DUMMYFUNCTION("GOOGLETRANSLATE(C944,""ja"",""vi"")"),"Đấu giá&gt; ô tô, xe máy&gt; ô tô cũ, ô tô mới&gt; Ford&gt; Explorer")</f>
        <v>Đấu giá&gt; ô tô, xe máy&gt; ô tô cũ, ô tô mới&gt; Ford&gt; Explorer</v>
      </c>
      <c r="F944" t="str">
        <f t="shared" ca="1" si="14"/>
        <v>"2084048207" : "người khám phá",</v>
      </c>
    </row>
    <row r="945" spans="1:6" ht="15.75" customHeight="1">
      <c r="A945" s="18">
        <v>2084299617</v>
      </c>
      <c r="B945" s="18" t="s">
        <v>13686</v>
      </c>
      <c r="C945" s="18" t="s">
        <v>13687</v>
      </c>
      <c r="D945" s="5" t="str">
        <f ca="1">IFERROR(__xludf.DUMMYFUNCTION("GOOGLETRANSLATE(B945,""ja"",""vi"")"),"theo dõi Explorer Sport")</f>
        <v>theo dõi Explorer Sport</v>
      </c>
      <c r="E945" s="5" t="str">
        <f ca="1">IFERROR(__xludf.DUMMYFUNCTION("GOOGLETRANSLATE(C945,""ja"",""vi"")"),"Đấu giá&gt; ô tô, xe máy&gt; ô tô cũ, ô tô mới&gt; Ford&gt; track Explorer Sport")</f>
        <v>Đấu giá&gt; ô tô, xe máy&gt; ô tô cũ, ô tô mới&gt; Ford&gt; track Explorer Sport</v>
      </c>
      <c r="F945" t="str">
        <f t="shared" ca="1" si="14"/>
        <v>"2084299617" : "theo dõi Explorer Sport",</v>
      </c>
    </row>
    <row r="946" spans="1:6" ht="15.75" customHeight="1">
      <c r="A946" s="18">
        <v>2084049082</v>
      </c>
      <c r="B946" s="18" t="s">
        <v>13691</v>
      </c>
      <c r="C946" s="18" t="s">
        <v>13692</v>
      </c>
      <c r="D946" s="5" t="str">
        <f ca="1">IFERROR(__xludf.DUMMYFUNCTION("GOOGLETRANSLATE(B946,""ja"",""vi"")"),"Expedition")</f>
        <v>Expedition</v>
      </c>
      <c r="E946" s="5" t="str">
        <f ca="1">IFERROR(__xludf.DUMMYFUNCTION("GOOGLETRANSLATE(C946,""ja"",""vi"")"),"Đấu giá&gt; ô tô, xe máy&gt; ô tô cũ, ô tô mới&gt; Ford&gt; Expedition")</f>
        <v>Đấu giá&gt; ô tô, xe máy&gt; ô tô cũ, ô tô mới&gt; Ford&gt; Expedition</v>
      </c>
      <c r="F946" t="str">
        <f t="shared" ca="1" si="14"/>
        <v>"2084049082" : "Expedition",</v>
      </c>
    </row>
    <row r="947" spans="1:6" ht="15.75" customHeight="1">
      <c r="A947" s="18">
        <v>2084049083</v>
      </c>
      <c r="B947" s="18" t="s">
        <v>13699</v>
      </c>
      <c r="C947" s="18" t="s">
        <v>13700</v>
      </c>
      <c r="D947" s="5" t="str">
        <f ca="1">IFERROR(__xludf.DUMMYFUNCTION("GOOGLETRANSLATE(B947,""ja"",""vi"")"),"Ekonorain")</f>
        <v>Ekonorain</v>
      </c>
      <c r="E947" s="5" t="str">
        <f ca="1">IFERROR(__xludf.DUMMYFUNCTION("GOOGLETRANSLATE(C947,""ja"",""vi"")"),"Đấu giá&gt; ô tô, xe máy&gt; ô tô cũ, ô tô mới&gt; Ford&gt; Ekonorain")</f>
        <v>Đấu giá&gt; ô tô, xe máy&gt; ô tô cũ, ô tô mới&gt; Ford&gt; Ekonorain</v>
      </c>
      <c r="F947" t="str">
        <f t="shared" ca="1" si="14"/>
        <v>"2084049083" : "Ekonorain",</v>
      </c>
    </row>
    <row r="948" spans="1:6" ht="15.75" customHeight="1">
      <c r="A948" s="18">
        <v>2084299615</v>
      </c>
      <c r="B948" s="18" t="s">
        <v>13705</v>
      </c>
      <c r="C948" s="18" t="s">
        <v>13706</v>
      </c>
      <c r="D948" s="5" t="str">
        <f ca="1">IFERROR(__xludf.DUMMYFUNCTION("GOOGLETRANSLATE(B948,""ja"",""vi"")"),"vượt ngục")</f>
        <v>vượt ngục</v>
      </c>
      <c r="E948" s="5" t="str">
        <f ca="1">IFERROR(__xludf.DUMMYFUNCTION("GOOGLETRANSLATE(C948,""ja"",""vi"")"),"Đấu giá&gt; ô tô, xe máy&gt; ô tô cũ, ô tô mới&gt; Ford&gt; Thoát")</f>
        <v>Đấu giá&gt; ô tô, xe máy&gt; ô tô cũ, ô tô mới&gt; Ford&gt; Thoát</v>
      </c>
      <c r="F948" t="str">
        <f t="shared" ca="1" si="14"/>
        <v>"2084299615" : "vượt ngục",</v>
      </c>
    </row>
    <row r="949" spans="1:6" ht="15.75" customHeight="1">
      <c r="A949" s="18">
        <v>2084299616</v>
      </c>
      <c r="B949" s="18" t="s">
        <v>13710</v>
      </c>
      <c r="C949" s="18" t="s">
        <v>13712</v>
      </c>
      <c r="D949" s="5" t="str">
        <f ca="1">IFERROR(__xludf.DUMMYFUNCTION("GOOGLETRANSLATE(B949,""ja"",""vi"")"),"giống cọp ở mỹ")</f>
        <v>giống cọp ở mỹ</v>
      </c>
      <c r="E949" s="5" t="str">
        <f ca="1">IFERROR(__xludf.DUMMYFUNCTION("GOOGLETRANSLATE(C949,""ja"",""vi"")"),"Đấu giá&gt; ô tô, xe máy&gt; ô tô cũ, ô tô mới&gt; Ford&gt; Cougar")</f>
        <v>Đấu giá&gt; ô tô, xe máy&gt; ô tô cũ, ô tô mới&gt; Ford&gt; Cougar</v>
      </c>
      <c r="F949" t="str">
        <f t="shared" ca="1" si="14"/>
        <v>"2084299616" : "giống cọp ở mỹ",</v>
      </c>
    </row>
    <row r="950" spans="1:6" ht="15.75" customHeight="1">
      <c r="A950" s="18">
        <v>2084049084</v>
      </c>
      <c r="B950" s="18" t="s">
        <v>6842</v>
      </c>
      <c r="C950" s="18" t="s">
        <v>13716</v>
      </c>
      <c r="D950" s="5" t="str">
        <f ca="1">IFERROR(__xludf.DUMMYFUNCTION("GOOGLETRANSLATE(B950,""ja"",""vi"")"),"tên của loài chim")</f>
        <v>tên của loài chim</v>
      </c>
      <c r="E950" s="5" t="str">
        <f ca="1">IFERROR(__xludf.DUMMYFUNCTION("GOOGLETRANSLATE(C950,""ja"",""vi"")"),"Đấu giá&gt; ô tô, xe máy&gt; ô tô cũ, ô tô mới&gt; Ford&gt; Thunderbird")</f>
        <v>Đấu giá&gt; ô tô, xe máy&gt; ô tô cũ, ô tô mới&gt; Ford&gt; Thunderbird</v>
      </c>
      <c r="F950" t="str">
        <f t="shared" ca="1" si="14"/>
        <v>"2084049084" : "tên của loài chim",</v>
      </c>
    </row>
    <row r="951" spans="1:6" ht="15.75" customHeight="1">
      <c r="A951" s="18">
        <v>2084049085</v>
      </c>
      <c r="B951" s="18" t="s">
        <v>13722</v>
      </c>
      <c r="C951" s="18" t="s">
        <v>13724</v>
      </c>
      <c r="D951" s="5" t="str">
        <f ca="1">IFERROR(__xludf.DUMMYFUNCTION("GOOGLETRANSLATE(B951,""ja"",""vi"")"),"Supekutoron")</f>
        <v>Supekutoron</v>
      </c>
      <c r="E951" s="5" t="str">
        <f ca="1">IFERROR(__xludf.DUMMYFUNCTION("GOOGLETRANSLATE(C951,""ja"",""vi"")"),"Đấu giá&gt; ô tô, xe máy&gt; ô tô cũ, ô tô mới&gt; Ford&gt; Supekutoron")</f>
        <v>Đấu giá&gt; ô tô, xe máy&gt; ô tô cũ, ô tô mới&gt; Ford&gt; Supekutoron</v>
      </c>
      <c r="F951" t="str">
        <f t="shared" ca="1" si="14"/>
        <v>"2084049085" : "Supekutoron",</v>
      </c>
    </row>
    <row r="952" spans="1:6" ht="15.75" customHeight="1">
      <c r="A952" s="18">
        <v>2084049086</v>
      </c>
      <c r="B952" s="18" t="s">
        <v>13727</v>
      </c>
      <c r="C952" s="18" t="s">
        <v>13730</v>
      </c>
      <c r="D952" s="5" t="str">
        <f ca="1">IFERROR(__xludf.DUMMYFUNCTION("GOOGLETRANSLATE(B952,""ja"",""vi"")"),"Telstar")</f>
        <v>Telstar</v>
      </c>
      <c r="E952" s="5" t="str">
        <f ca="1">IFERROR(__xludf.DUMMYFUNCTION("GOOGLETRANSLATE(C952,""ja"",""vi"")"),"Đấu giá&gt; ô tô, xe máy&gt; ô tô cũ, ô tô mới&gt; Ford&gt; Telstar")</f>
        <v>Đấu giá&gt; ô tô, xe máy&gt; ô tô cũ, ô tô mới&gt; Ford&gt; Telstar</v>
      </c>
      <c r="F952" t="str">
        <f t="shared" ca="1" si="14"/>
        <v>"2084049086" : "Telstar",</v>
      </c>
    </row>
    <row r="953" spans="1:6" ht="15.75" customHeight="1">
      <c r="A953" s="18">
        <v>2084048208</v>
      </c>
      <c r="B953" s="18" t="s">
        <v>13733</v>
      </c>
      <c r="C953" s="18" t="s">
        <v>13735</v>
      </c>
      <c r="D953" s="5" t="str">
        <f ca="1">IFERROR(__xludf.DUMMYFUNCTION("GOOGLETRANSLATE(B953,""ja"",""vi"")"),"hình xuyến")</f>
        <v>hình xuyến</v>
      </c>
      <c r="E953" s="5" t="str">
        <f ca="1">IFERROR(__xludf.DUMMYFUNCTION("GOOGLETRANSLATE(C953,""ja"",""vi"")"),"Đấu giá&gt; ô tô, xe máy&gt; ô tô cũ, ô tô mới&gt; Ford&gt; Kim Ngưu")</f>
        <v>Đấu giá&gt; ô tô, xe máy&gt; ô tô cũ, ô tô mới&gt; Ford&gt; Kim Ngưu</v>
      </c>
      <c r="F953" t="str">
        <f t="shared" ca="1" si="14"/>
        <v>"2084048208" : "hình xuyến",</v>
      </c>
    </row>
    <row r="954" spans="1:6" ht="15.75" customHeight="1">
      <c r="A954" s="18">
        <v>2084057661</v>
      </c>
      <c r="B954" s="18" t="s">
        <v>13739</v>
      </c>
      <c r="C954" s="18" t="s">
        <v>13741</v>
      </c>
      <c r="D954" s="5" t="str">
        <f ca="1">IFERROR(__xludf.DUMMYFUNCTION("GOOGLETRANSLATE(B954,""ja"",""vi"")"),"Fiesta")</f>
        <v>Fiesta</v>
      </c>
      <c r="E954" s="5" t="str">
        <f ca="1">IFERROR(__xludf.DUMMYFUNCTION("GOOGLETRANSLATE(C954,""ja"",""vi"")"),"Đấu giá&gt; ô tô, xe máy&gt; ô tô cũ, ô tô mới&gt; Ford&gt; Fiesta")</f>
        <v>Đấu giá&gt; ô tô, xe máy&gt; ô tô cũ, ô tô mới&gt; Ford&gt; Fiesta</v>
      </c>
      <c r="F954" t="str">
        <f t="shared" ca="1" si="14"/>
        <v>"2084057661" : "Fiesta",</v>
      </c>
    </row>
    <row r="955" spans="1:6" ht="15.75" customHeight="1">
      <c r="A955" s="18">
        <v>2084049087</v>
      </c>
      <c r="B955" s="18" t="s">
        <v>13745</v>
      </c>
      <c r="C955" s="18" t="s">
        <v>13747</v>
      </c>
      <c r="D955" s="5" t="str">
        <f ca="1">IFERROR(__xludf.DUMMYFUNCTION("GOOGLETRANSLATE(B955,""ja"",""vi"")"),"Festiva")</f>
        <v>Festiva</v>
      </c>
      <c r="E955" s="5" t="str">
        <f ca="1">IFERROR(__xludf.DUMMYFUNCTION("GOOGLETRANSLATE(C955,""ja"",""vi"")"),"Đấu giá&gt; ô tô, xe máy&gt; ô tô cũ, ô tô mới&gt; Ford&gt; Festiva")</f>
        <v>Đấu giá&gt; ô tô, xe máy&gt; ô tô cũ, ô tô mới&gt; Ford&gt; Festiva</v>
      </c>
      <c r="F955" t="str">
        <f t="shared" ca="1" si="14"/>
        <v>"2084049087" : "Festiva",</v>
      </c>
    </row>
    <row r="956" spans="1:6" ht="15.75" customHeight="1">
      <c r="A956" s="18">
        <v>2084048084</v>
      </c>
      <c r="B956" s="18" t="s">
        <v>13751</v>
      </c>
      <c r="C956" s="18" t="s">
        <v>13753</v>
      </c>
      <c r="D956" s="5" t="str">
        <f ca="1">IFERROR(__xludf.DUMMYFUNCTION("GOOGLETRANSLATE(B956,""ja"",""vi"")"),"Festiva Mini Wagon")</f>
        <v>Festiva Mini Wagon</v>
      </c>
      <c r="E956" s="5" t="str">
        <f ca="1">IFERROR(__xludf.DUMMYFUNCTION("GOOGLETRANSLATE(C956,""ja"",""vi"")"),"Đấu giá&gt; ô tô, xe máy&gt; ô tô cũ, ô tô mới&gt; Ford&gt; Festiva Mini Wagon")</f>
        <v>Đấu giá&gt; ô tô, xe máy&gt; ô tô cũ, ô tô mới&gt; Ford&gt; Festiva Mini Wagon</v>
      </c>
      <c r="F956" t="str">
        <f t="shared" ca="1" si="14"/>
        <v>"2084048084" : "Festiva Mini Wagon",</v>
      </c>
    </row>
    <row r="957" spans="1:6" ht="15.75" customHeight="1">
      <c r="A957" s="18">
        <v>2084049088</v>
      </c>
      <c r="B957" s="18" t="s">
        <v>13757</v>
      </c>
      <c r="C957" s="18" t="s">
        <v>13759</v>
      </c>
      <c r="D957" s="5" t="str">
        <f ca="1">IFERROR(__xludf.DUMMYFUNCTION("GOOGLETRANSLATE(B957,""ja"",""vi"")"),"tiêu điểm")</f>
        <v>tiêu điểm</v>
      </c>
      <c r="E957" s="5" t="str">
        <f ca="1">IFERROR(__xludf.DUMMYFUNCTION("GOOGLETRANSLATE(C957,""ja"",""vi"")"),"Đấu giá&gt; ô tô, xe máy&gt; ô tô cũ, ô tô mới&gt; Ford&gt; Tập trung")</f>
        <v>Đấu giá&gt; ô tô, xe máy&gt; ô tô cũ, ô tô mới&gt; Ford&gt; Tập trung</v>
      </c>
      <c r="F957" t="str">
        <f t="shared" ca="1" si="14"/>
        <v>"2084049088" : "tiêu điểm",</v>
      </c>
    </row>
    <row r="958" spans="1:6" ht="15.75" customHeight="1">
      <c r="A958" s="18">
        <v>2084048085</v>
      </c>
      <c r="B958" s="18" t="s">
        <v>13763</v>
      </c>
      <c r="C958" s="18" t="s">
        <v>13765</v>
      </c>
      <c r="D958" s="5" t="str">
        <f ca="1">IFERROR(__xludf.DUMMYFUNCTION("GOOGLETRANSLATE(B958,""ja"",""vi"")"),"Frida")</f>
        <v>Frida</v>
      </c>
      <c r="E958" s="5" t="str">
        <f ca="1">IFERROR(__xludf.DUMMYFUNCTION("GOOGLETRANSLATE(C958,""ja"",""vi"")"),"Đấu giá&gt; ô tô, xe máy&gt; ô tô cũ, ô tô mới&gt; Ford&gt; Frida")</f>
        <v>Đấu giá&gt; ô tô, xe máy&gt; ô tô cũ, ô tô mới&gt; Ford&gt; Frida</v>
      </c>
      <c r="F958" t="str">
        <f t="shared" ca="1" si="14"/>
        <v>"2084048085" : "Frida",</v>
      </c>
    </row>
    <row r="959" spans="1:6" ht="15.75" customHeight="1">
      <c r="A959" s="18">
        <v>2084053611</v>
      </c>
      <c r="B959" s="18" t="s">
        <v>13769</v>
      </c>
      <c r="C959" s="18" t="s">
        <v>13770</v>
      </c>
      <c r="D959" s="5" t="str">
        <f ca="1">IFERROR(__xludf.DUMMYFUNCTION("GOOGLETRANSLATE(B959,""ja"",""vi"")"),"ngựa rừng")</f>
        <v>ngựa rừng</v>
      </c>
      <c r="E959" s="5" t="str">
        <f ca="1">IFERROR(__xludf.DUMMYFUNCTION("GOOGLETRANSLATE(C959,""ja"",""vi"")"),"Đấu giá&gt; ô tô, xe máy&gt; ô tô cũ, ô tô mới&gt; Ford&gt; Bronco")</f>
        <v>Đấu giá&gt; ô tô, xe máy&gt; ô tô cũ, ô tô mới&gt; Ford&gt; Bronco</v>
      </c>
      <c r="F959" t="str">
        <f t="shared" ca="1" si="14"/>
        <v>"2084053611" : "ngựa rừng",</v>
      </c>
    </row>
    <row r="960" spans="1:6" ht="15.75" customHeight="1">
      <c r="A960" s="18">
        <v>2084049089</v>
      </c>
      <c r="B960" s="18" t="s">
        <v>13775</v>
      </c>
      <c r="C960" s="18" t="s">
        <v>13777</v>
      </c>
      <c r="D960" s="5" t="str">
        <f ca="1">IFERROR(__xludf.DUMMYFUNCTION("GOOGLETRANSLATE(B960,""ja"",""vi"")"),"thăm dò")</f>
        <v>thăm dò</v>
      </c>
      <c r="E960" s="5" t="str">
        <f ca="1">IFERROR(__xludf.DUMMYFUNCTION("GOOGLETRANSLATE(C960,""ja"",""vi"")"),"Đấu giá&gt; ô tô, xe máy&gt; ô tô cũ, ô tô mới&gt; Ford&gt; thăm dò")</f>
        <v>Đấu giá&gt; ô tô, xe máy&gt; ô tô cũ, ô tô mới&gt; Ford&gt; thăm dò</v>
      </c>
      <c r="F960" t="str">
        <f t="shared" ca="1" si="14"/>
        <v>"2084049089" : "thăm dò",</v>
      </c>
    </row>
    <row r="961" spans="1:6" ht="15.75" customHeight="1">
      <c r="A961" s="18">
        <v>2084048209</v>
      </c>
      <c r="B961" s="18" t="s">
        <v>13780</v>
      </c>
      <c r="C961" s="18" t="s">
        <v>13781</v>
      </c>
      <c r="D961" s="5" t="str">
        <f ca="1">IFERROR(__xludf.DUMMYFUNCTION("GOOGLETRANSLATE(B961,""ja"",""vi"")"),"giống ngựa rừng ở mể tây cơ")</f>
        <v>giống ngựa rừng ở mể tây cơ</v>
      </c>
      <c r="E961" s="5" t="str">
        <f ca="1">IFERROR(__xludf.DUMMYFUNCTION("GOOGLETRANSLATE(C961,""ja"",""vi"")"),"Đấu giá&gt; ô tô, xe máy&gt; ô tô cũ, ô tô mới&gt; Ford&gt; Mustang")</f>
        <v>Đấu giá&gt; ô tô, xe máy&gt; ô tô cũ, ô tô mới&gt; Ford&gt; Mustang</v>
      </c>
      <c r="F961" t="str">
        <f t="shared" ca="1" si="14"/>
        <v>"2084048209" : "giống ngựa rừng ở mể tây cơ",</v>
      </c>
    </row>
    <row r="962" spans="1:6" ht="15.75" customHeight="1">
      <c r="A962" s="18">
        <v>2084049090</v>
      </c>
      <c r="B962" s="18" t="s">
        <v>13785</v>
      </c>
      <c r="C962" s="18" t="s">
        <v>13787</v>
      </c>
      <c r="D962" s="5" t="str">
        <f ca="1">IFERROR(__xludf.DUMMYFUNCTION("GOOGLETRANSLATE(B962,""ja"",""vi"")"),"Mondeo")</f>
        <v>Mondeo</v>
      </c>
      <c r="E962" s="5" t="str">
        <f ca="1">IFERROR(__xludf.DUMMYFUNCTION("GOOGLETRANSLATE(C962,""ja"",""vi"")"),"Đấu giá&gt; ô tô, xe máy&gt; ô tô cũ, ô tô mới&gt; Ford&gt; Mondeo")</f>
        <v>Đấu giá&gt; ô tô, xe máy&gt; ô tô cũ, ô tô mới&gt; Ford&gt; Mondeo</v>
      </c>
      <c r="F962" t="str">
        <f t="shared" ref="F962:F1025" ca="1" si="15">CONCATENATE(CHAR(34)&amp;"",A962,""&amp;CHAR(34)," : ", CHAR(34)&amp;"",D962,""&amp;CHAR(34),",")</f>
        <v>"2084049090" : "Mondeo",</v>
      </c>
    </row>
    <row r="963" spans="1:6" ht="15.75" customHeight="1">
      <c r="A963" s="18">
        <v>2084048206</v>
      </c>
      <c r="B963" s="18" t="s">
        <v>46</v>
      </c>
      <c r="C963" s="18" t="s">
        <v>13793</v>
      </c>
      <c r="D963" s="5" t="str">
        <f ca="1">IFERROR(__xludf.DUMMYFUNCTION("GOOGLETRANSLATE(B963,""ja"",""vi"")"),"nếu không thì")</f>
        <v>nếu không thì</v>
      </c>
      <c r="E963" s="5" t="str">
        <f ca="1">IFERROR(__xludf.DUMMYFUNCTION("GOOGLETRANSLATE(C963,""ja"",""vi"")"),"Đấu giá&gt; ô tô, xe máy&gt; ô tô cũ, ô tô mới&gt; Ford&gt; Khác")</f>
        <v>Đấu giá&gt; ô tô, xe máy&gt; ô tô cũ, ô tô mới&gt; Ford&gt; Khác</v>
      </c>
      <c r="F963" t="str">
        <f t="shared" ca="1" si="15"/>
        <v>"2084048206" : "nếu không thì",</v>
      </c>
    </row>
    <row r="964" spans="1:6" ht="15.75" customHeight="1">
      <c r="A964" s="18">
        <v>2084049133</v>
      </c>
      <c r="B964" s="18" t="s">
        <v>13798</v>
      </c>
      <c r="C964" s="18" t="s">
        <v>13799</v>
      </c>
      <c r="D964" s="5" t="str">
        <f ca="1">IFERROR(__xludf.DUMMYFUNCTION("GOOGLETRANSLATE(B964,""ja"",""vi"")"),"Gurandamu")</f>
        <v>Gurandamu</v>
      </c>
      <c r="E964" s="5" t="str">
        <f ca="1">IFERROR(__xludf.DUMMYFUNCTION("GOOGLETRANSLATE(C964,""ja"",""vi"")"),"Đấu giá&gt; ô tô, xe máy&gt; ô tô cũ, ô tô mới&gt; Ponteakku&gt; Gurandamu")</f>
        <v>Đấu giá&gt; ô tô, xe máy&gt; ô tô cũ, ô tô mới&gt; Ponteakku&gt; Gurandamu</v>
      </c>
      <c r="F964" t="str">
        <f t="shared" ca="1" si="15"/>
        <v>"2084049133" : "Gurandamu",</v>
      </c>
    </row>
    <row r="965" spans="1:6" ht="15.75" customHeight="1">
      <c r="A965" s="18">
        <v>2084049134</v>
      </c>
      <c r="B965" s="18" t="s">
        <v>13802</v>
      </c>
      <c r="C965" s="18" t="s">
        <v>13805</v>
      </c>
      <c r="D965" s="5" t="str">
        <f ca="1">IFERROR(__xludf.DUMMYFUNCTION("GOOGLETRANSLATE(B965,""ja"",""vi"")"),"Firebird Trans Am")</f>
        <v>Firebird Trans Am</v>
      </c>
      <c r="E965" s="5" t="str">
        <f ca="1">IFERROR(__xludf.DUMMYFUNCTION("GOOGLETRANSLATE(C965,""ja"",""vi"")"),"Đấu giá&gt; ô tô, xe máy&gt; ô tô cũ, ô tô mới&gt; Ponteakku&gt; Firebird Trans Am")</f>
        <v>Đấu giá&gt; ô tô, xe máy&gt; ô tô cũ, ô tô mới&gt; Ponteakku&gt; Firebird Trans Am</v>
      </c>
      <c r="F965" t="str">
        <f t="shared" ca="1" si="15"/>
        <v>"2084049134" : "Firebird Trans Am",</v>
      </c>
    </row>
    <row r="966" spans="1:6" ht="15.75" customHeight="1">
      <c r="A966" s="18">
        <v>2084049132</v>
      </c>
      <c r="B966" s="18" t="s">
        <v>46</v>
      </c>
      <c r="C966" s="18" t="s">
        <v>13806</v>
      </c>
      <c r="D966" s="5" t="str">
        <f ca="1">IFERROR(__xludf.DUMMYFUNCTION("GOOGLETRANSLATE(B966,""ja"",""vi"")"),"nếu không thì")</f>
        <v>nếu không thì</v>
      </c>
      <c r="E966" s="5" t="str">
        <f ca="1">IFERROR(__xludf.DUMMYFUNCTION("GOOGLETRANSLATE(C966,""ja"",""vi"")"),"Đấu giá&gt; ô tô, xe máy&gt; ô tô cũ, ô tô mới&gt; Ponteakku&gt; Khác")</f>
        <v>Đấu giá&gt; ô tô, xe máy&gt; ô tô cũ, ô tô mới&gt; Ponteakku&gt; Khác</v>
      </c>
      <c r="F966" t="str">
        <f t="shared" ca="1" si="15"/>
        <v>"2084049132" : "nếu không thì",</v>
      </c>
    </row>
    <row r="967" spans="1:6" ht="15.75" customHeight="1">
      <c r="A967" s="18">
        <v>2084299614</v>
      </c>
      <c r="B967" s="18" t="s">
        <v>13808</v>
      </c>
      <c r="C967" s="18" t="s">
        <v>13809</v>
      </c>
      <c r="D967" s="5" t="str">
        <f ca="1">IFERROR(__xludf.DUMMYFUNCTION("GOOGLETRANSLATE(B967,""ja"",""vi"")"),"MKX")</f>
        <v>MKX</v>
      </c>
      <c r="E967" s="5" t="str">
        <f ca="1">IFERROR(__xludf.DUMMYFUNCTION("GOOGLETRANSLATE(C967,""ja"",""vi"")"),"Đấu giá&gt; ô tô, xe máy&gt; ô tô cũ, ô tô mới&gt; Lincoln&gt; MKX")</f>
        <v>Đấu giá&gt; ô tô, xe máy&gt; ô tô cũ, ô tô mới&gt; Lincoln&gt; MKX</v>
      </c>
      <c r="F967" t="str">
        <f t="shared" ca="1" si="15"/>
        <v>"2084299614" : "MKX",</v>
      </c>
    </row>
    <row r="968" spans="1:6" ht="15.75" customHeight="1">
      <c r="A968" s="18">
        <v>2084049168</v>
      </c>
      <c r="B968" s="18" t="s">
        <v>13813</v>
      </c>
      <c r="C968" s="18" t="s">
        <v>13814</v>
      </c>
      <c r="D968" s="5" t="str">
        <f ca="1">IFERROR(__xludf.DUMMYFUNCTION("GOOGLETRANSLATE(B968,""ja"",""vi"")"),"Continental")</f>
        <v>Continental</v>
      </c>
      <c r="E968" s="5" t="str">
        <f ca="1">IFERROR(__xludf.DUMMYFUNCTION("GOOGLETRANSLATE(C968,""ja"",""vi"")"),"Đấu giá&gt; ô tô, xe máy&gt; ô tô cũ, ô tô mới&gt; Lincoln&gt; Continental")</f>
        <v>Đấu giá&gt; ô tô, xe máy&gt; ô tô cũ, ô tô mới&gt; Lincoln&gt; Continental</v>
      </c>
      <c r="F968" t="str">
        <f t="shared" ca="1" si="15"/>
        <v>"2084049168" : "Continental",</v>
      </c>
    </row>
    <row r="969" spans="1:6" ht="15.75" customHeight="1">
      <c r="A969" s="18">
        <v>2084049169</v>
      </c>
      <c r="B969" s="18" t="s">
        <v>13816</v>
      </c>
      <c r="C969" s="18" t="s">
        <v>13817</v>
      </c>
      <c r="D969" s="5" t="str">
        <f ca="1">IFERROR(__xludf.DUMMYFUNCTION("GOOGLETRANSLATE(B969,""ja"",""vi"")"),"Town Car")</f>
        <v>Town Car</v>
      </c>
      <c r="E969" s="5" t="str">
        <f ca="1">IFERROR(__xludf.DUMMYFUNCTION("GOOGLETRANSLATE(C969,""ja"",""vi"")"),"Đấu giá&gt; ô tô, xe máy&gt; ô tô cũ, ô tô mới&gt; Lincoln&gt; xe thị trấn")</f>
        <v>Đấu giá&gt; ô tô, xe máy&gt; ô tô cũ, ô tô mới&gt; Lincoln&gt; xe thị trấn</v>
      </c>
      <c r="F969" t="str">
        <f t="shared" ca="1" si="15"/>
        <v>"2084049169" : "Town Car",</v>
      </c>
    </row>
    <row r="970" spans="1:6" ht="15.75" customHeight="1">
      <c r="A970" s="18">
        <v>2084051740</v>
      </c>
      <c r="B970" s="18" t="s">
        <v>13820</v>
      </c>
      <c r="C970" s="18" t="s">
        <v>13821</v>
      </c>
      <c r="D970" s="5" t="str">
        <f ca="1">IFERROR(__xludf.DUMMYFUNCTION("GOOGLETRANSLATE(B970,""ja"",""vi"")"),"hoa tiêu")</f>
        <v>hoa tiêu</v>
      </c>
      <c r="E970" s="5" t="str">
        <f ca="1">IFERROR(__xludf.DUMMYFUNCTION("GOOGLETRANSLATE(C970,""ja"",""vi"")"),"Đấu giá&gt; ô tô, xe máy&gt; ô tô cũ, ô tô mới&gt; Lincoln&gt; Navigator")</f>
        <v>Đấu giá&gt; ô tô, xe máy&gt; ô tô cũ, ô tô mới&gt; Lincoln&gt; Navigator</v>
      </c>
      <c r="F970" t="str">
        <f t="shared" ca="1" si="15"/>
        <v>"2084051740" : "hoa tiêu",</v>
      </c>
    </row>
    <row r="971" spans="1:6" ht="15.75" customHeight="1">
      <c r="A971" s="18">
        <v>2084049167</v>
      </c>
      <c r="B971" s="18" t="s">
        <v>46</v>
      </c>
      <c r="C971" s="18" t="s">
        <v>13826</v>
      </c>
      <c r="D971" s="5" t="str">
        <f ca="1">IFERROR(__xludf.DUMMYFUNCTION("GOOGLETRANSLATE(B971,""ja"",""vi"")"),"nếu không thì")</f>
        <v>nếu không thì</v>
      </c>
      <c r="E971" s="5" t="str">
        <f ca="1">IFERROR(__xludf.DUMMYFUNCTION("GOOGLETRANSLATE(C971,""ja"",""vi"")"),"Đấu giá&gt; ô tô, xe máy&gt; ô tô cũ, ô tô mới&gt; Lincoln&gt; Khác")</f>
        <v>Đấu giá&gt; ô tô, xe máy&gt; ô tô cũ, ô tô mới&gt; Lincoln&gt; Khác</v>
      </c>
      <c r="F971" t="str">
        <f t="shared" ca="1" si="15"/>
        <v>"2084049167" : "nếu không thì",</v>
      </c>
    </row>
    <row r="972" spans="1:6" ht="15.75" customHeight="1">
      <c r="A972" s="18">
        <v>2084058456</v>
      </c>
      <c r="B972" s="18" t="s">
        <v>13828</v>
      </c>
      <c r="C972" s="18" t="s">
        <v>13830</v>
      </c>
      <c r="D972" s="5" t="str">
        <f ca="1">IFERROR(__xludf.DUMMYFUNCTION("GOOGLETRANSLATE(B972,""ja"",""vi"")"),"JM")</f>
        <v>JM</v>
      </c>
      <c r="E972" s="5" t="str">
        <f ca="1">IFERROR(__xludf.DUMMYFUNCTION("GOOGLETRANSLATE(C972,""ja"",""vi"")"),"Đấu giá&gt; ô tô, xe máy&gt; ô tô cũ, ô tô mới&gt; Hyundai&gt; JM")</f>
        <v>Đấu giá&gt; ô tô, xe máy&gt; ô tô cũ, ô tô mới&gt; Hyundai&gt; JM</v>
      </c>
      <c r="F972" t="str">
        <f t="shared" ca="1" si="15"/>
        <v>"2084058456" : "JM",</v>
      </c>
    </row>
    <row r="973" spans="1:6" ht="15.75" customHeight="1">
      <c r="A973" s="18">
        <v>2084057457</v>
      </c>
      <c r="B973" s="18" t="s">
        <v>13834</v>
      </c>
      <c r="C973" s="18" t="s">
        <v>13836</v>
      </c>
      <c r="D973" s="5" t="str">
        <f ca="1">IFERROR(__xludf.DUMMYFUNCTION("GOOGLETRANSLATE(B973,""ja"",""vi"")"),"TB")</f>
        <v>TB</v>
      </c>
      <c r="E973" s="5" t="str">
        <f ca="1">IFERROR(__xludf.DUMMYFUNCTION("GOOGLETRANSLATE(C973,""ja"",""vi"")"),"Đấu giá&gt; ô tô, xe máy&gt; ô tô cũ, ô tô mới&gt; Hyundai&gt; TB")</f>
        <v>Đấu giá&gt; ô tô, xe máy&gt; ô tô cũ, ô tô mới&gt; Hyundai&gt; TB</v>
      </c>
      <c r="F973" t="str">
        <f t="shared" ca="1" si="15"/>
        <v>"2084057457" : "TB",</v>
      </c>
    </row>
    <row r="974" spans="1:6" ht="15.75" customHeight="1">
      <c r="A974" s="18">
        <v>2084048587</v>
      </c>
      <c r="B974" s="18" t="s">
        <v>13840</v>
      </c>
      <c r="C974" s="18" t="s">
        <v>13842</v>
      </c>
      <c r="D974" s="5" t="str">
        <f ca="1">IFERROR(__xludf.DUMMYFUNCTION("GOOGLETRANSLATE(B974,""ja"",""vi"")"),"Elantra")</f>
        <v>Elantra</v>
      </c>
      <c r="E974" s="5" t="str">
        <f ca="1">IFERROR(__xludf.DUMMYFUNCTION("GOOGLETRANSLATE(C974,""ja"",""vi"")"),"Đấu giá&gt; ô tô, xe máy&gt; ô tô cũ, ô tô mới&gt; Hyundai&gt; Elantra")</f>
        <v>Đấu giá&gt; ô tô, xe máy&gt; ô tô cũ, ô tô mới&gt; Hyundai&gt; Elantra</v>
      </c>
      <c r="F974" t="str">
        <f t="shared" ca="1" si="15"/>
        <v>"2084048587" : "Elantra",</v>
      </c>
    </row>
    <row r="975" spans="1:6" ht="15.75" customHeight="1">
      <c r="A975" s="18">
        <v>2084048588</v>
      </c>
      <c r="B975" s="18" t="s">
        <v>10161</v>
      </c>
      <c r="C975" s="18" t="s">
        <v>13845</v>
      </c>
      <c r="D975" s="5" t="str">
        <f ca="1">IFERROR(__xludf.DUMMYFUNCTION("GOOGLETRANSLATE(B975,""ja"",""vi"")"),"santa Fe")</f>
        <v>santa Fe</v>
      </c>
      <c r="E975" s="5" t="str">
        <f ca="1">IFERROR(__xludf.DUMMYFUNCTION("GOOGLETRANSLATE(C975,""ja"",""vi"")"),"Đấu giá&gt; ô tô, xe máy&gt; ô tô cũ, ô tô mới&gt; Hyundai&gt; Santa Fe")</f>
        <v>Đấu giá&gt; ô tô, xe máy&gt; ô tô cũ, ô tô mới&gt; Hyundai&gt; Santa Fe</v>
      </c>
      <c r="F975" t="str">
        <f t="shared" ca="1" si="15"/>
        <v>"2084048588" : "santa Fe",</v>
      </c>
    </row>
    <row r="976" spans="1:6" ht="15.75" customHeight="1">
      <c r="A976" s="18">
        <v>2084048589</v>
      </c>
      <c r="B976" s="18" t="s">
        <v>13849</v>
      </c>
      <c r="C976" s="18" t="s">
        <v>13850</v>
      </c>
      <c r="D976" s="5" t="str">
        <f ca="1">IFERROR(__xludf.DUMMYFUNCTION("GOOGLETRANSLATE(B976,""ja"",""vi"")"),"Toraje")</f>
        <v>Toraje</v>
      </c>
      <c r="E976" s="5" t="str">
        <f ca="1">IFERROR(__xludf.DUMMYFUNCTION("GOOGLETRANSLATE(C976,""ja"",""vi"")"),"Đấu giá&gt; ô tô, xe máy&gt; ô tô cũ, ô tô mới&gt; Hyundai&gt; Toraje")</f>
        <v>Đấu giá&gt; ô tô, xe máy&gt; ô tô cũ, ô tô mới&gt; Hyundai&gt; Toraje</v>
      </c>
      <c r="F976" t="str">
        <f t="shared" ca="1" si="15"/>
        <v>"2084048589" : "Toraje",</v>
      </c>
    </row>
    <row r="977" spans="1:6" ht="15.75" customHeight="1">
      <c r="A977" s="18">
        <v>2084057456</v>
      </c>
      <c r="B977" s="18" t="s">
        <v>13852</v>
      </c>
      <c r="C977" s="18" t="s">
        <v>13853</v>
      </c>
      <c r="D977" s="5" t="str">
        <f ca="1">IFERROR(__xludf.DUMMYFUNCTION("GOOGLETRANSLATE(B977,""ja"",""vi"")"),"Hyundai Coupe")</f>
        <v>Hyundai Coupe</v>
      </c>
      <c r="E977" s="5" t="str">
        <f ca="1">IFERROR(__xludf.DUMMYFUNCTION("GOOGLETRANSLATE(C977,""ja"",""vi"")"),"Đấu giá&gt; ô tô, xe máy&gt; ô tô cũ, ô tô mới&gt; Hyundai&gt; Hyundai Tiburon")</f>
        <v>Đấu giá&gt; ô tô, xe máy&gt; ô tô cũ, ô tô mới&gt; Hyundai&gt; Hyundai Tiburon</v>
      </c>
      <c r="F977" t="str">
        <f t="shared" ca="1" si="15"/>
        <v>"2084057456" : "Hyundai Coupe",</v>
      </c>
    </row>
    <row r="978" spans="1:6" ht="15.75" customHeight="1">
      <c r="A978" s="18">
        <v>2084048590</v>
      </c>
      <c r="B978" s="18" t="s">
        <v>46</v>
      </c>
      <c r="C978" s="18" t="s">
        <v>13858</v>
      </c>
      <c r="D978" s="5" t="str">
        <f ca="1">IFERROR(__xludf.DUMMYFUNCTION("GOOGLETRANSLATE(B978,""ja"",""vi"")"),"nếu không thì")</f>
        <v>nếu không thì</v>
      </c>
      <c r="E978" s="5" t="str">
        <f ca="1">IFERROR(__xludf.DUMMYFUNCTION("GOOGLETRANSLATE(C978,""ja"",""vi"")"),"Đấu giá&gt; ô tô, xe máy&gt; ô tô cũ, ô tô mới&gt; Hyundai&gt; Khác")</f>
        <v>Đấu giá&gt; ô tô, xe máy&gt; ô tô cũ, ô tô mới&gt; Hyundai&gt; Khác</v>
      </c>
      <c r="F978" t="str">
        <f t="shared" ca="1" si="15"/>
        <v>"2084048590" : "nếu không thì",</v>
      </c>
    </row>
    <row r="979" spans="1:6" ht="15.75" customHeight="1">
      <c r="A979" s="18">
        <v>2084061284</v>
      </c>
      <c r="B979" s="18" t="s">
        <v>13861</v>
      </c>
      <c r="C979" s="18" t="s">
        <v>13862</v>
      </c>
      <c r="D979" s="5" t="str">
        <f ca="1">IFERROR(__xludf.DUMMYFUNCTION("GOOGLETRANSLATE(B979,""ja"",""vi"")"),"Toyota")</f>
        <v>Toyota</v>
      </c>
      <c r="E979" s="5" t="str">
        <f ca="1">IFERROR(__xludf.DUMMYFUNCTION("GOOGLETRANSLATE(C979,""ja"",""vi"")"),"Đấu giá&gt; ô tô, xe máy&gt; phụ tùng lên xe&gt; Toyota")</f>
        <v>Đấu giá&gt; ô tô, xe máy&gt; phụ tùng lên xe&gt; Toyota</v>
      </c>
      <c r="F979" t="str">
        <f t="shared" ca="1" si="15"/>
        <v>"2084061284" : "Toyota",</v>
      </c>
    </row>
    <row r="980" spans="1:6" ht="15.75" customHeight="1">
      <c r="A980" s="18">
        <v>2084061282</v>
      </c>
      <c r="B980" s="18" t="s">
        <v>6923</v>
      </c>
      <c r="C980" s="18" t="s">
        <v>13869</v>
      </c>
      <c r="D980" s="5" t="str">
        <f ca="1">IFERROR(__xludf.DUMMYFUNCTION("GOOGLETRANSLATE(B980,""ja"",""vi"")"),"Suzuki")</f>
        <v>Suzuki</v>
      </c>
      <c r="E980" s="5" t="str">
        <f ca="1">IFERROR(__xludf.DUMMYFUNCTION("GOOGLETRANSLATE(C980,""ja"",""vi"")"),"Đấu giá&gt; ô tô, xe máy&gt; phụ tùng lên xe&gt; Suzuki")</f>
        <v>Đấu giá&gt; ô tô, xe máy&gt; phụ tùng lên xe&gt; Suzuki</v>
      </c>
      <c r="F980" t="str">
        <f t="shared" ca="1" si="15"/>
        <v>"2084061282" : "Suzuki",</v>
      </c>
    </row>
    <row r="981" spans="1:6" ht="15.75" customHeight="1">
      <c r="A981" s="18">
        <v>2084313084</v>
      </c>
      <c r="B981" s="18" t="s">
        <v>13872</v>
      </c>
      <c r="C981" s="18" t="s">
        <v>13874</v>
      </c>
      <c r="D981" s="5" t="str">
        <f ca="1">IFERROR(__xludf.DUMMYFUNCTION("GOOGLETRANSLATE(B981,""ja"",""vi"")"),"Subaru")</f>
        <v>Subaru</v>
      </c>
      <c r="E981" s="5" t="str">
        <f ca="1">IFERROR(__xludf.DUMMYFUNCTION("GOOGLETRANSLATE(C981,""ja"",""vi"")"),"Đấu giá&gt; ô tô, xe máy&gt; phụ tùng lên xe&gt; Subaru")</f>
        <v>Đấu giá&gt; ô tô, xe máy&gt; phụ tùng lên xe&gt; Subaru</v>
      </c>
      <c r="F981" t="str">
        <f t="shared" ca="1" si="15"/>
        <v>"2084313084" : "Subaru",</v>
      </c>
    </row>
    <row r="982" spans="1:6" ht="15.75" customHeight="1">
      <c r="A982" s="18">
        <v>2084061283</v>
      </c>
      <c r="B982" s="18" t="s">
        <v>13879</v>
      </c>
      <c r="C982" s="18" t="s">
        <v>13880</v>
      </c>
      <c r="D982" s="5" t="str">
        <f ca="1">IFERROR(__xludf.DUMMYFUNCTION("GOOGLETRANSLATE(B982,""ja"",""vi"")"),"Daihatsu")</f>
        <v>Daihatsu</v>
      </c>
      <c r="E982" s="5" t="str">
        <f ca="1">IFERROR(__xludf.DUMMYFUNCTION("GOOGLETRANSLATE(C982,""ja"",""vi"")"),"Đấu giá&gt; ô tô, xe máy&gt; phụ tùng lên xe&gt; Daihatsu")</f>
        <v>Đấu giá&gt; ô tô, xe máy&gt; phụ tùng lên xe&gt; Daihatsu</v>
      </c>
      <c r="F982" t="str">
        <f t="shared" ca="1" si="15"/>
        <v>"2084061283" : "Daihatsu",</v>
      </c>
    </row>
    <row r="983" spans="1:6" ht="15.75" customHeight="1">
      <c r="A983" s="18">
        <v>2084061285</v>
      </c>
      <c r="B983" s="18" t="s">
        <v>6927</v>
      </c>
      <c r="C983" s="18" t="s">
        <v>13885</v>
      </c>
      <c r="D983" s="5" t="str">
        <f ca="1">IFERROR(__xludf.DUMMYFUNCTION("GOOGLETRANSLATE(B983,""ja"",""vi"")"),"Honda")</f>
        <v>Honda</v>
      </c>
      <c r="E983" s="5" t="str">
        <f ca="1">IFERROR(__xludf.DUMMYFUNCTION("GOOGLETRANSLATE(C983,""ja"",""vi"")"),"Đấu giá&gt; ô tô, xe máy&gt; phụ tùng lên xe&gt; Honda")</f>
        <v>Đấu giá&gt; ô tô, xe máy&gt; phụ tùng lên xe&gt; Honda</v>
      </c>
      <c r="F983" t="str">
        <f t="shared" ca="1" si="15"/>
        <v>"2084061285" : "Honda",</v>
      </c>
    </row>
    <row r="984" spans="1:6" ht="15.75" customHeight="1">
      <c r="A984" s="18">
        <v>2084313083</v>
      </c>
      <c r="B984" s="18" t="s">
        <v>13887</v>
      </c>
      <c r="C984" s="18" t="s">
        <v>13890</v>
      </c>
      <c r="D984" s="5" t="str">
        <f ca="1">IFERROR(__xludf.DUMMYFUNCTION("GOOGLETRANSLATE(B984,""ja"",""vi"")"),"Mazda")</f>
        <v>Mazda</v>
      </c>
      <c r="E984" s="5" t="str">
        <f ca="1">IFERROR(__xludf.DUMMYFUNCTION("GOOGLETRANSLATE(C984,""ja"",""vi"")"),"Đấu giá&gt; ô tô, xe máy&gt; phụ tùng lên xe&gt; Mazda")</f>
        <v>Đấu giá&gt; ô tô, xe máy&gt; phụ tùng lên xe&gt; Mazda</v>
      </c>
      <c r="F984" t="str">
        <f t="shared" ca="1" si="15"/>
        <v>"2084313083" : "Mazda",</v>
      </c>
    </row>
    <row r="985" spans="1:6" ht="15.75" customHeight="1">
      <c r="A985" s="18">
        <v>2084061286</v>
      </c>
      <c r="B985" s="18" t="s">
        <v>13893</v>
      </c>
      <c r="C985" s="18" t="s">
        <v>13895</v>
      </c>
      <c r="D985" s="5" t="str">
        <f ca="1">IFERROR(__xludf.DUMMYFUNCTION("GOOGLETRANSLATE(B985,""ja"",""vi"")"),"Mitsubishi")</f>
        <v>Mitsubishi</v>
      </c>
      <c r="E985" s="5" t="str">
        <f ca="1">IFERROR(__xludf.DUMMYFUNCTION("GOOGLETRANSLATE(C985,""ja"",""vi"")"),"Đấu giá&gt; ô tô, xe máy&gt; phụ tùng lên xe&gt; Mitsubishi")</f>
        <v>Đấu giá&gt; ô tô, xe máy&gt; phụ tùng lên xe&gt; Mitsubishi</v>
      </c>
      <c r="F985" t="str">
        <f t="shared" ca="1" si="15"/>
        <v>"2084061286" : "Mitsubishi",</v>
      </c>
    </row>
    <row r="986" spans="1:6" ht="15.75" customHeight="1">
      <c r="A986" s="18">
        <v>2084061287</v>
      </c>
      <c r="B986" s="18" t="s">
        <v>13900</v>
      </c>
      <c r="C986" s="18" t="s">
        <v>13901</v>
      </c>
      <c r="D986" s="5" t="str">
        <f ca="1">IFERROR(__xludf.DUMMYFUNCTION("GOOGLETRANSLATE(B986,""ja"",""vi"")"),"Nissan")</f>
        <v>Nissan</v>
      </c>
      <c r="E986" s="5" t="str">
        <f ca="1">IFERROR(__xludf.DUMMYFUNCTION("GOOGLETRANSLATE(C986,""ja"",""vi"")"),"Đấu giá&gt; ô tô, xe máy&gt; phụ tùng lên xe&gt; Nissan")</f>
        <v>Đấu giá&gt; ô tô, xe máy&gt; phụ tùng lên xe&gt; Nissan</v>
      </c>
      <c r="F986" t="str">
        <f t="shared" ca="1" si="15"/>
        <v>"2084061287" : "Nissan",</v>
      </c>
    </row>
    <row r="987" spans="1:6" ht="15.75" customHeight="1">
      <c r="A987" s="18">
        <v>2084061281</v>
      </c>
      <c r="B987" s="18" t="s">
        <v>13906</v>
      </c>
      <c r="C987" s="18" t="s">
        <v>13908</v>
      </c>
      <c r="D987" s="5" t="str">
        <f ca="1">IFERROR(__xludf.DUMMYFUNCTION("GOOGLETRANSLATE(B987,""ja"",""vi"")"),"BMW")</f>
        <v>BMW</v>
      </c>
      <c r="E987" s="5" t="str">
        <f ca="1">IFERROR(__xludf.DUMMYFUNCTION("GOOGLETRANSLATE(C987,""ja"",""vi"")"),"Đấu giá&gt; ô tô, xe máy&gt; phụ tùng lên xe&gt; BMW")</f>
        <v>Đấu giá&gt; ô tô, xe máy&gt; phụ tùng lên xe&gt; BMW</v>
      </c>
      <c r="F987" t="str">
        <f t="shared" ca="1" si="15"/>
        <v>"2084061281" : "BMW",</v>
      </c>
    </row>
    <row r="988" spans="1:6" ht="15.75" customHeight="1">
      <c r="A988" s="18">
        <v>2084313085</v>
      </c>
      <c r="B988" s="18" t="s">
        <v>13913</v>
      </c>
      <c r="C988" s="18" t="s">
        <v>13915</v>
      </c>
      <c r="D988" s="5" t="str">
        <f ca="1">IFERROR(__xludf.DUMMYFUNCTION("GOOGLETRANSLATE(B988,""ja"",""vi"")"),"Mercedes-Benz")</f>
        <v>Mercedes-Benz</v>
      </c>
      <c r="E988" s="5" t="str">
        <f ca="1">IFERROR(__xludf.DUMMYFUNCTION("GOOGLETRANSLATE(C988,""ja"",""vi"")"),"Đấu giá&gt; ô tô, xe máy&gt; phụ tùng lên xe&gt; Mercedes-Benz")</f>
        <v>Đấu giá&gt; ô tô, xe máy&gt; phụ tùng lên xe&gt; Mercedes-Benz</v>
      </c>
      <c r="F988" t="str">
        <f t="shared" ca="1" si="15"/>
        <v>"2084313085" : "Mercedes-Benz",</v>
      </c>
    </row>
    <row r="989" spans="1:6" ht="15.75" customHeight="1">
      <c r="A989" s="18">
        <v>2084061288</v>
      </c>
      <c r="B989" s="18" t="s">
        <v>46</v>
      </c>
      <c r="C989" s="18" t="s">
        <v>13920</v>
      </c>
      <c r="D989" s="5" t="str">
        <f ca="1">IFERROR(__xludf.DUMMYFUNCTION("GOOGLETRANSLATE(B989,""ja"",""vi"")"),"nếu không thì")</f>
        <v>nếu không thì</v>
      </c>
      <c r="E989" s="5" t="str">
        <f ca="1">IFERROR(__xludf.DUMMYFUNCTION("GOOGLETRANSLATE(C989,""ja"",""vi"")"),"Đấu giá&gt; ô tô, xe máy&gt; phụ tùng lên xe&gt; Khác")</f>
        <v>Đấu giá&gt; ô tô, xe máy&gt; phụ tùng lên xe&gt; Khác</v>
      </c>
      <c r="F989" t="str">
        <f t="shared" ca="1" si="15"/>
        <v>"2084061288" : "nếu không thì",</v>
      </c>
    </row>
    <row r="990" spans="1:6" ht="15.75" customHeight="1">
      <c r="A990" s="18">
        <v>2084241152</v>
      </c>
      <c r="B990" s="18" t="s">
        <v>13924</v>
      </c>
      <c r="C990" s="18" t="s">
        <v>13926</v>
      </c>
      <c r="D990" s="5" t="str">
        <f ca="1">IFERROR(__xludf.DUMMYFUNCTION("GOOGLETRANSLATE(B990,""ja"",""vi"")"),"Dump")</f>
        <v>Dump</v>
      </c>
      <c r="E990" s="5" t="str">
        <f ca="1">IFERROR(__xludf.DUMMYFUNCTION("GOOGLETRANSLATE(C990,""ja"",""vi"")"),"Đấu giá&gt; ô tô, xe máy&gt; xe tải, bãi, máy móc xây dựng&gt; xe body&gt; bãi")</f>
        <v>Đấu giá&gt; ô tô, xe máy&gt; xe tải, bãi, máy móc xây dựng&gt; xe body&gt; bãi</v>
      </c>
      <c r="F990" t="str">
        <f t="shared" ca="1" si="15"/>
        <v>"2084241152" : "Dump",</v>
      </c>
    </row>
    <row r="991" spans="1:6" ht="15.75" customHeight="1">
      <c r="A991" s="18">
        <v>2084241151</v>
      </c>
      <c r="B991" s="18" t="s">
        <v>8581</v>
      </c>
      <c r="C991" s="18" t="s">
        <v>13929</v>
      </c>
      <c r="D991" s="5" t="str">
        <f ca="1">IFERROR(__xludf.DUMMYFUNCTION("GOOGLETRANSLATE(B991,""ja"",""vi"")"),"đường ray")</f>
        <v>đường ray</v>
      </c>
      <c r="E991" s="5" t="str">
        <f ca="1">IFERROR(__xludf.DUMMYFUNCTION("GOOGLETRANSLATE(C991,""ja"",""vi"")"),"Đấu giá&gt; ô tô, xe máy&gt; xe tải, bãi, máy móc xây dựng&gt; xe body&gt; xe tải")</f>
        <v>Đấu giá&gt; ô tô, xe máy&gt; xe tải, bãi, máy móc xây dựng&gt; xe body&gt; xe tải</v>
      </c>
      <c r="F991" t="str">
        <f t="shared" ca="1" si="15"/>
        <v>"2084241151" : "đường ray",</v>
      </c>
    </row>
    <row r="992" spans="1:6" ht="15.75" customHeight="1">
      <c r="A992" s="18">
        <v>2084241153</v>
      </c>
      <c r="B992" s="18" t="s">
        <v>13933</v>
      </c>
      <c r="C992" s="18" t="s">
        <v>13935</v>
      </c>
      <c r="D992" s="5" t="str">
        <f ca="1">IFERROR(__xludf.DUMMYFUNCTION("GOOGLETRANSLATE(B992,""ja"",""vi"")"),"máy móc thiết bị xây dựng, thiết bị nặng")</f>
        <v>máy móc thiết bị xây dựng, thiết bị nặng</v>
      </c>
      <c r="E992" s="5" t="str">
        <f ca="1">IFERROR(__xludf.DUMMYFUNCTION("GOOGLETRANSLATE(C992,""ja"",""vi"")"),"Đấu giá&gt; ô tô, xe máy&gt; xe tải, bãi, máy móc xây dựng&gt; xe body&gt; máy móc xây dựng, thiết bị nặng")</f>
        <v>Đấu giá&gt; ô tô, xe máy&gt; xe tải, bãi, máy móc xây dựng&gt; xe body&gt; máy móc xây dựng, thiết bị nặng</v>
      </c>
      <c r="F992" t="str">
        <f t="shared" ca="1" si="15"/>
        <v>"2084241153" : "máy móc thiết bị xây dựng, thiết bị nặng",</v>
      </c>
    </row>
    <row r="993" spans="1:6" ht="15.75" customHeight="1">
      <c r="A993" s="18">
        <v>2084008672</v>
      </c>
      <c r="B993" s="18" t="s">
        <v>6927</v>
      </c>
      <c r="C993" s="18" t="s">
        <v>13943</v>
      </c>
      <c r="D993" s="5" t="str">
        <f ca="1">IFERROR(__xludf.DUMMYFUNCTION("GOOGLETRANSLATE(B993,""ja"",""vi"")"),"Honda")</f>
        <v>Honda</v>
      </c>
      <c r="E993" s="5" t="str">
        <f ca="1">IFERROR(__xludf.DUMMYFUNCTION("GOOGLETRANSLATE(C993,""ja"",""vi"")"),"Đấu giá&gt; ô tô, xe máy&gt; xe máy&gt; cơ xe máy&gt; Honda")</f>
        <v>Đấu giá&gt; ô tô, xe máy&gt; xe máy&gt; cơ xe máy&gt; Honda</v>
      </c>
      <c r="F993" t="str">
        <f t="shared" ca="1" si="15"/>
        <v>"2084008672" : "Honda",</v>
      </c>
    </row>
    <row r="994" spans="1:6" ht="15.75" customHeight="1">
      <c r="A994" s="18">
        <v>2084008674</v>
      </c>
      <c r="B994" s="18" t="s">
        <v>2522</v>
      </c>
      <c r="C994" s="18" t="s">
        <v>13947</v>
      </c>
      <c r="D994" s="5" t="str">
        <f ca="1">IFERROR(__xludf.DUMMYFUNCTION("GOOGLETRANSLATE(B994,""ja"",""vi"")"),"Yamaha")</f>
        <v>Yamaha</v>
      </c>
      <c r="E994" s="5" t="str">
        <f ca="1">IFERROR(__xludf.DUMMYFUNCTION("GOOGLETRANSLATE(C994,""ja"",""vi"")"),"Đấu giá&gt; ô tô, xe máy&gt; xe máy&gt; cơ xe máy&gt; Yamaha")</f>
        <v>Đấu giá&gt; ô tô, xe máy&gt; xe máy&gt; cơ xe máy&gt; Yamaha</v>
      </c>
      <c r="F994" t="str">
        <f t="shared" ca="1" si="15"/>
        <v>"2084008674" : "Yamaha",</v>
      </c>
    </row>
    <row r="995" spans="1:6" ht="15.75" customHeight="1">
      <c r="A995" s="18">
        <v>2084008665</v>
      </c>
      <c r="B995" s="18" t="s">
        <v>6923</v>
      </c>
      <c r="C995" s="18" t="s">
        <v>13952</v>
      </c>
      <c r="D995" s="5" t="str">
        <f ca="1">IFERROR(__xludf.DUMMYFUNCTION("GOOGLETRANSLATE(B995,""ja"",""vi"")"),"Suzuki")</f>
        <v>Suzuki</v>
      </c>
      <c r="E995" s="5" t="str">
        <f ca="1">IFERROR(__xludf.DUMMYFUNCTION("GOOGLETRANSLATE(C995,""ja"",""vi"")"),"Đấu giá&gt; ô tô, xe máy&gt; xe máy&gt; cơ xe máy&gt; Suzuki")</f>
        <v>Đấu giá&gt; ô tô, xe máy&gt; xe máy&gt; cơ xe máy&gt; Suzuki</v>
      </c>
      <c r="F995" t="str">
        <f t="shared" ca="1" si="15"/>
        <v>"2084008665" : "Suzuki",</v>
      </c>
    </row>
    <row r="996" spans="1:6" ht="15.75" customHeight="1">
      <c r="A996" s="18">
        <v>2084008664</v>
      </c>
      <c r="B996" s="18" t="s">
        <v>6920</v>
      </c>
      <c r="C996" s="18" t="s">
        <v>13956</v>
      </c>
      <c r="D996" s="5" t="str">
        <f ca="1">IFERROR(__xludf.DUMMYFUNCTION("GOOGLETRANSLATE(B996,""ja"",""vi"")"),"Kawasaki")</f>
        <v>Kawasaki</v>
      </c>
      <c r="E996" s="5" t="str">
        <f ca="1">IFERROR(__xludf.DUMMYFUNCTION("GOOGLETRANSLATE(C996,""ja"",""vi"")"),"Đấu giá&gt; ô tô, xe máy&gt; xe máy&gt; cơ xe máy&gt; Kawasaki")</f>
        <v>Đấu giá&gt; ô tô, xe máy&gt; xe máy&gt; cơ xe máy&gt; Kawasaki</v>
      </c>
      <c r="F996" t="str">
        <f t="shared" ca="1" si="15"/>
        <v>"2084008664" : "Kawasaki",</v>
      </c>
    </row>
    <row r="997" spans="1:6" ht="15.75" customHeight="1">
      <c r="A997" s="18">
        <v>2084008668</v>
      </c>
      <c r="B997" s="18" t="s">
        <v>6934</v>
      </c>
      <c r="C997" s="18" t="s">
        <v>13958</v>
      </c>
      <c r="D997" s="5" t="str">
        <f ca="1">IFERROR(__xludf.DUMMYFUNCTION("GOOGLETRANSLATE(B997,""ja"",""vi"")"),"Harley davidson")</f>
        <v>Harley davidson</v>
      </c>
      <c r="E997" s="5" t="str">
        <f ca="1">IFERROR(__xludf.DUMMYFUNCTION("GOOGLETRANSLATE(C997,""ja"",""vi"")"),"Đấu giá&gt; ô tô, xe máy&gt; xe máy&gt; cơ xe máy&gt; Harley-Davidson")</f>
        <v>Đấu giá&gt; ô tô, xe máy&gt; xe máy&gt; cơ xe máy&gt; Harley-Davidson</v>
      </c>
      <c r="F997" t="str">
        <f t="shared" ca="1" si="15"/>
        <v>"2084008668" : "Harley davidson",</v>
      </c>
    </row>
    <row r="998" spans="1:6" ht="15.75" customHeight="1">
      <c r="A998" s="18">
        <v>2084008670</v>
      </c>
      <c r="B998" s="18" t="s">
        <v>13960</v>
      </c>
      <c r="C998" s="18" t="s">
        <v>13961</v>
      </c>
      <c r="D998" s="5" t="str">
        <f ca="1">IFERROR(__xludf.DUMMYFUNCTION("GOOGLETRANSLATE(B998,""ja"",""vi"")"),"Buell")</f>
        <v>Buell</v>
      </c>
      <c r="E998" s="5" t="str">
        <f ca="1">IFERROR(__xludf.DUMMYFUNCTION("GOOGLETRANSLATE(C998,""ja"",""vi"")"),"Đấu giá&gt; ô tô, xe máy&gt; xe máy&gt; cơ xe máy&gt; Buell")</f>
        <v>Đấu giá&gt; ô tô, xe máy&gt; xe máy&gt; cơ xe máy&gt; Buell</v>
      </c>
      <c r="F998" t="str">
        <f t="shared" ca="1" si="15"/>
        <v>"2084008670" : "Buell",</v>
      </c>
    </row>
    <row r="999" spans="1:6" ht="15.75" customHeight="1">
      <c r="A999" s="18">
        <v>2084008662</v>
      </c>
      <c r="B999" s="18" t="s">
        <v>13906</v>
      </c>
      <c r="C999" s="18" t="s">
        <v>13964</v>
      </c>
      <c r="D999" s="5" t="str">
        <f ca="1">IFERROR(__xludf.DUMMYFUNCTION("GOOGLETRANSLATE(B999,""ja"",""vi"")"),"BMW")</f>
        <v>BMW</v>
      </c>
      <c r="E999" s="5" t="str">
        <f ca="1">IFERROR(__xludf.DUMMYFUNCTION("GOOGLETRANSLATE(C999,""ja"",""vi"")"),"Đấu giá&gt; ô tô, xe máy&gt; xe máy&gt; cơ xe máy&gt; BMW")</f>
        <v>Đấu giá&gt; ô tô, xe máy&gt; xe máy&gt; cơ xe máy&gt; BMW</v>
      </c>
      <c r="F999" t="str">
        <f t="shared" ca="1" si="15"/>
        <v>"2084008662" : "BMW",</v>
      </c>
    </row>
    <row r="1000" spans="1:6" ht="15.75" customHeight="1">
      <c r="A1000" s="18">
        <v>2084008666</v>
      </c>
      <c r="B1000" s="18" t="s">
        <v>13969</v>
      </c>
      <c r="C1000" s="18" t="s">
        <v>13971</v>
      </c>
      <c r="D1000" s="5" t="str">
        <f ca="1">IFERROR(__xludf.DUMMYFUNCTION("GOOGLETRANSLATE(B1000,""ja"",""vi"")"),"Ducati")</f>
        <v>Ducati</v>
      </c>
      <c r="E1000" s="5" t="str">
        <f ca="1">IFERROR(__xludf.DUMMYFUNCTION("GOOGLETRANSLATE(C1000,""ja"",""vi"")"),"Đấu giá&gt; ô tô, xe máy&gt; xe máy&gt; cơ xe máy&gt; Ducati")</f>
        <v>Đấu giá&gt; ô tô, xe máy&gt; xe máy&gt; cơ xe máy&gt; Ducati</v>
      </c>
      <c r="F1000" t="str">
        <f t="shared" ca="1" si="15"/>
        <v>"2084008666" : "Ducati",</v>
      </c>
    </row>
    <row r="1001" spans="1:6" ht="15.75" customHeight="1">
      <c r="A1001" s="18">
        <v>2084008673</v>
      </c>
      <c r="B1001" s="18" t="s">
        <v>13973</v>
      </c>
      <c r="C1001" s="18" t="s">
        <v>13975</v>
      </c>
      <c r="D1001" s="5" t="str">
        <f ca="1">IFERROR(__xludf.DUMMYFUNCTION("GOOGLETRANSLATE(B1001,""ja"",""vi"")"),"Moto Guzzi")</f>
        <v>Moto Guzzi</v>
      </c>
      <c r="E1001" s="5" t="str">
        <f ca="1">IFERROR(__xludf.DUMMYFUNCTION("GOOGLETRANSLATE(C1001,""ja"",""vi"")"),"Đấu giá&gt; ô tô, xe máy&gt; xe máy&gt; cơ xe máy&gt; Moto Guzzi")</f>
        <v>Đấu giá&gt; ô tô, xe máy&gt; xe máy&gt; cơ xe máy&gt; Moto Guzzi</v>
      </c>
      <c r="F1001" t="str">
        <f t="shared" ca="1" si="15"/>
        <v>"2084008673" : "Moto Guzzi",</v>
      </c>
    </row>
    <row r="1002" spans="1:6" ht="15.75" customHeight="1">
      <c r="A1002" s="18">
        <v>2084008663</v>
      </c>
      <c r="B1002" s="18" t="s">
        <v>13977</v>
      </c>
      <c r="C1002" s="18" t="s">
        <v>13979</v>
      </c>
      <c r="D1002" s="5" t="str">
        <f ca="1">IFERROR(__xludf.DUMMYFUNCTION("GOOGLETRANSLATE(B1002,""ja"",""vi"")"),"Aprilia")</f>
        <v>Aprilia</v>
      </c>
      <c r="E1002" s="5" t="str">
        <f ca="1">IFERROR(__xludf.DUMMYFUNCTION("GOOGLETRANSLATE(C1002,""ja"",""vi"")"),"Đấu giá&gt; ô tô, xe máy&gt; xe máy&gt; cơ xe máy&gt; Aprilia")</f>
        <v>Đấu giá&gt; ô tô, xe máy&gt; xe máy&gt; cơ xe máy&gt; Aprilia</v>
      </c>
      <c r="F1002" t="str">
        <f t="shared" ca="1" si="15"/>
        <v>"2084008663" : "Aprilia",</v>
      </c>
    </row>
    <row r="1003" spans="1:6" ht="15.75" customHeight="1">
      <c r="A1003" s="18">
        <v>2084008688</v>
      </c>
      <c r="B1003" s="18" t="s">
        <v>13981</v>
      </c>
      <c r="C1003" s="18" t="s">
        <v>13983</v>
      </c>
      <c r="D1003" s="5" t="str">
        <f ca="1">IFERROR(__xludf.DUMMYFUNCTION("GOOGLETRANSLATE(B1003,""ja"",""vi"")"),"Vespa")</f>
        <v>Vespa</v>
      </c>
      <c r="E1003" s="5" t="str">
        <f ca="1">IFERROR(__xludf.DUMMYFUNCTION("GOOGLETRANSLATE(C1003,""ja"",""vi"")"),"Đấu giá&gt; ô tô, xe máy&gt; xe máy&gt; cơ xe máy&gt; Vespa")</f>
        <v>Đấu giá&gt; ô tô, xe máy&gt; xe máy&gt; cơ xe máy&gt; Vespa</v>
      </c>
      <c r="F1003" t="str">
        <f t="shared" ca="1" si="15"/>
        <v>"2084008688" : "Vespa",</v>
      </c>
    </row>
    <row r="1004" spans="1:6" ht="15.75" customHeight="1">
      <c r="A1004" s="18">
        <v>2084008689</v>
      </c>
      <c r="B1004" s="18" t="s">
        <v>13988</v>
      </c>
      <c r="C1004" s="18" t="s">
        <v>13989</v>
      </c>
      <c r="D1004" s="5" t="str">
        <f ca="1">IFERROR(__xludf.DUMMYFUNCTION("GOOGLETRANSLATE(B1004,""ja"",""vi"")"),"Piaggio")</f>
        <v>Piaggio</v>
      </c>
      <c r="E1004" s="5" t="str">
        <f ca="1">IFERROR(__xludf.DUMMYFUNCTION("GOOGLETRANSLATE(C1004,""ja"",""vi"")"),"Đấu giá&gt; ô tô, xe máy&gt; xe máy&gt; cơ xe máy&gt; Piaggio")</f>
        <v>Đấu giá&gt; ô tô, xe máy&gt; xe máy&gt; cơ xe máy&gt; Piaggio</v>
      </c>
      <c r="F1004" t="str">
        <f t="shared" ca="1" si="15"/>
        <v>"2084008689" : "Piaggio",</v>
      </c>
    </row>
    <row r="1005" spans="1:6" ht="15.75" customHeight="1">
      <c r="A1005" s="18">
        <v>2084008671</v>
      </c>
      <c r="B1005" s="18" t="s">
        <v>13996</v>
      </c>
      <c r="C1005" s="18" t="s">
        <v>13997</v>
      </c>
      <c r="D1005" s="5" t="str">
        <f ca="1">IFERROR(__xludf.DUMMYFUNCTION("GOOGLETRANSLATE(B1005,""ja"",""vi"")"),"Bimota")</f>
        <v>Bimota</v>
      </c>
      <c r="E1005" s="5" t="str">
        <f ca="1">IFERROR(__xludf.DUMMYFUNCTION("GOOGLETRANSLATE(C1005,""ja"",""vi"")"),"Đấu giá&gt; ô tô, xe máy&gt; xe máy&gt; cơ xe máy&gt; Bimota")</f>
        <v>Đấu giá&gt; ô tô, xe máy&gt; xe máy&gt; cơ xe máy&gt; Bimota</v>
      </c>
      <c r="F1005" t="str">
        <f t="shared" ca="1" si="15"/>
        <v>"2084008671" : "Bimota",</v>
      </c>
    </row>
    <row r="1006" spans="1:6" ht="15.75" customHeight="1">
      <c r="A1006" s="18">
        <v>2084049684</v>
      </c>
      <c r="B1006" s="18" t="s">
        <v>14001</v>
      </c>
      <c r="C1006" s="18" t="s">
        <v>14002</v>
      </c>
      <c r="D1006" s="5" t="str">
        <f ca="1">IFERROR(__xludf.DUMMYFUNCTION("GOOGLETRANSLATE(B1006,""ja"",""vi"")"),"MV Agusta")</f>
        <v>MV Agusta</v>
      </c>
      <c r="E1006" s="5" t="str">
        <f ca="1">IFERROR(__xludf.DUMMYFUNCTION("GOOGLETRANSLATE(C1006,""ja"",""vi"")"),"Đấu giá&gt; ô tô, xe máy&gt; xe máy&gt; cơ xe máy&gt; MV Agusta")</f>
        <v>Đấu giá&gt; ô tô, xe máy&gt; xe máy&gt; cơ xe máy&gt; MV Agusta</v>
      </c>
      <c r="F1006" t="str">
        <f t="shared" ca="1" si="15"/>
        <v>"2084049684" : "MV Agusta",</v>
      </c>
    </row>
    <row r="1007" spans="1:6" ht="15.75" customHeight="1">
      <c r="A1007" s="18">
        <v>2084008667</v>
      </c>
      <c r="B1007" s="18" t="s">
        <v>14005</v>
      </c>
      <c r="C1007" s="18" t="s">
        <v>14007</v>
      </c>
      <c r="D1007" s="5" t="str">
        <f ca="1">IFERROR(__xludf.DUMMYFUNCTION("GOOGLETRANSLATE(B1007,""ja"",""vi"")"),"chiến thắng")</f>
        <v>chiến thắng</v>
      </c>
      <c r="E1007" s="5" t="str">
        <f ca="1">IFERROR(__xludf.DUMMYFUNCTION("GOOGLETRANSLATE(C1007,""ja"",""vi"")"),"Đấu giá&gt; ô tô, xe máy&gt; xe máy&gt; cơ xe máy&gt; Triumph")</f>
        <v>Đấu giá&gt; ô tô, xe máy&gt; xe máy&gt; cơ xe máy&gt; Triumph</v>
      </c>
      <c r="F1007" t="str">
        <f t="shared" ca="1" si="15"/>
        <v>"2084008667" : "chiến thắng",</v>
      </c>
    </row>
    <row r="1008" spans="1:6" ht="15.75" customHeight="1">
      <c r="A1008" s="18">
        <v>2084049689</v>
      </c>
      <c r="B1008" s="18" t="s">
        <v>14010</v>
      </c>
      <c r="C1008" s="18" t="s">
        <v>14012</v>
      </c>
      <c r="D1008" s="5" t="str">
        <f ca="1">IFERROR(__xludf.DUMMYFUNCTION("GOOGLETRANSLATE(B1008,""ja"",""vi"")"),"KTM")</f>
        <v>KTM</v>
      </c>
      <c r="E1008" s="5" t="str">
        <f ca="1">IFERROR(__xludf.DUMMYFUNCTION("GOOGLETRANSLATE(C1008,""ja"",""vi"")"),"Đấu giá&gt; ô tô, xe máy&gt; xe máy&gt; xe máy body&gt; KTM")</f>
        <v>Đấu giá&gt; ô tô, xe máy&gt; xe máy&gt; xe máy body&gt; KTM</v>
      </c>
      <c r="F1008" t="str">
        <f t="shared" ca="1" si="15"/>
        <v>"2084049689" : "KTM",</v>
      </c>
    </row>
    <row r="1009" spans="1:6" ht="15.75" customHeight="1">
      <c r="A1009" s="18">
        <v>2084243051</v>
      </c>
      <c r="B1009" s="18" t="s">
        <v>14018</v>
      </c>
      <c r="C1009" s="18" t="s">
        <v>14020</v>
      </c>
      <c r="D1009" s="5" t="str">
        <f ca="1">IFERROR(__xludf.DUMMYFUNCTION("GOOGLETRANSLATE(B1009,""ja"",""vi"")"),"Husqvarna")</f>
        <v>Husqvarna</v>
      </c>
      <c r="E1009" s="5" t="str">
        <f ca="1">IFERROR(__xludf.DUMMYFUNCTION("GOOGLETRANSLATE(C1009,""ja"",""vi"")"),"Đấu giá&gt; ô tô, xe máy&gt; xe máy&gt; cơ xe máy&gt; Husqvarna")</f>
        <v>Đấu giá&gt; ô tô, xe máy&gt; xe máy&gt; cơ xe máy&gt; Husqvarna</v>
      </c>
      <c r="F1009" t="str">
        <f t="shared" ca="1" si="15"/>
        <v>"2084243051" : "Husqvarna",</v>
      </c>
    </row>
    <row r="1010" spans="1:6" ht="15.75" customHeight="1">
      <c r="A1010" s="18">
        <v>2084243052</v>
      </c>
      <c r="B1010" s="18" t="s">
        <v>14022</v>
      </c>
      <c r="C1010" s="18" t="s">
        <v>14025</v>
      </c>
      <c r="D1010" s="5" t="str">
        <f ca="1">IFERROR(__xludf.DUMMYFUNCTION("GOOGLETRANSLATE(B1010,""ja"",""vi"")"),"Husaberg")</f>
        <v>Husaberg</v>
      </c>
      <c r="E1010" s="5" t="str">
        <f ca="1">IFERROR(__xludf.DUMMYFUNCTION("GOOGLETRANSLATE(C1010,""ja"",""vi"")"),"Đấu giá&gt; ô tô, xe máy&gt; xe máy&gt; cơ xe máy&gt; Husaberg")</f>
        <v>Đấu giá&gt; ô tô, xe máy&gt; xe máy&gt; cơ xe máy&gt; Husaberg</v>
      </c>
      <c r="F1010" t="str">
        <f t="shared" ca="1" si="15"/>
        <v>"2084243052" : "Husaberg",</v>
      </c>
    </row>
    <row r="1011" spans="1:6" ht="15.75" customHeight="1">
      <c r="A1011" s="18">
        <v>2084242695</v>
      </c>
      <c r="B1011" s="18" t="s">
        <v>14027</v>
      </c>
      <c r="C1011" s="18" t="s">
        <v>14028</v>
      </c>
      <c r="D1011" s="5" t="str">
        <f ca="1">IFERROR(__xludf.DUMMYFUNCTION("GOOGLETRANSLATE(B1011,""ja"",""vi"")"),"PGO")</f>
        <v>PGO</v>
      </c>
      <c r="E1011" s="5" t="str">
        <f ca="1">IFERROR(__xludf.DUMMYFUNCTION("GOOGLETRANSLATE(C1011,""ja"",""vi"")"),"Đấu giá&gt; ô tô, xe máy&gt; xe máy&gt; cơ xe máy&gt; PGO")</f>
        <v>Đấu giá&gt; ô tô, xe máy&gt; xe máy&gt; cơ xe máy&gt; PGO</v>
      </c>
      <c r="F1011" t="str">
        <f t="shared" ca="1" si="15"/>
        <v>"2084242695" : "PGO",</v>
      </c>
    </row>
    <row r="1012" spans="1:6" ht="15.75" customHeight="1">
      <c r="A1012" s="18">
        <v>2084242693</v>
      </c>
      <c r="B1012" s="18" t="s">
        <v>14033</v>
      </c>
      <c r="C1012" s="18" t="s">
        <v>14034</v>
      </c>
      <c r="D1012" s="5" t="str">
        <f ca="1">IFERROR(__xludf.DUMMYFUNCTION("GOOGLETRANSLATE(B1012,""ja"",""vi"")"),"SYM")</f>
        <v>SYM</v>
      </c>
      <c r="E1012" s="5" t="str">
        <f ca="1">IFERROR(__xludf.DUMMYFUNCTION("GOOGLETRANSLATE(C1012,""ja"",""vi"")"),"Đấu giá&gt; ô tô, xe máy&gt; xe máy&gt; cơ xe máy&gt; SYM")</f>
        <v>Đấu giá&gt; ô tô, xe máy&gt; xe máy&gt; cơ xe máy&gt; SYM</v>
      </c>
      <c r="F1012" t="str">
        <f t="shared" ca="1" si="15"/>
        <v>"2084242693" : "SYM",</v>
      </c>
    </row>
    <row r="1013" spans="1:6" ht="15.75" customHeight="1">
      <c r="A1013" s="18">
        <v>2084242694</v>
      </c>
      <c r="B1013" s="18" t="s">
        <v>14038</v>
      </c>
      <c r="C1013" s="18" t="s">
        <v>14041</v>
      </c>
      <c r="D1013" s="5" t="str">
        <f ca="1">IFERROR(__xludf.DUMMYFUNCTION("GOOGLETRANSLATE(B1013,""ja"",""vi"")"),"Kimco")</f>
        <v>Kimco</v>
      </c>
      <c r="E1013" s="5" t="str">
        <f ca="1">IFERROR(__xludf.DUMMYFUNCTION("GOOGLETRANSLATE(C1013,""ja"",""vi"")"),"Đấu giá&gt; ô tô, xe máy&gt; xe máy&gt; cơ xe máy&gt; Kimco")</f>
        <v>Đấu giá&gt; ô tô, xe máy&gt; xe máy&gt; cơ xe máy&gt; Kimco</v>
      </c>
      <c r="F1013" t="str">
        <f t="shared" ca="1" si="15"/>
        <v>"2084242694" : "Kimco",</v>
      </c>
    </row>
    <row r="1014" spans="1:6" ht="15.75" customHeight="1">
      <c r="A1014" s="18">
        <v>2084297888</v>
      </c>
      <c r="B1014" s="18" t="s">
        <v>14046</v>
      </c>
      <c r="C1014" s="18" t="s">
        <v>14047</v>
      </c>
      <c r="D1014" s="5" t="str">
        <f ca="1">IFERROR(__xludf.DUMMYFUNCTION("GOOGLETRANSLATE(B1014,""ja"",""vi"")"),"xe đạp điện")</f>
        <v>xe đạp điện</v>
      </c>
      <c r="E1014" s="5" t="str">
        <f ca="1">IFERROR(__xludf.DUMMYFUNCTION("GOOGLETRANSLATE(C1014,""ja"",""vi"")"),"Đấu giá&gt; ô tô, xe máy&gt; xe máy&gt; xe máy xe body&gt; xe đạp điện")</f>
        <v>Đấu giá&gt; ô tô, xe máy&gt; xe máy&gt; xe máy xe body&gt; xe đạp điện</v>
      </c>
      <c r="F1014" t="str">
        <f t="shared" ca="1" si="15"/>
        <v>"2084297888" : "xe đạp điện",</v>
      </c>
    </row>
    <row r="1015" spans="1:6" ht="15.75" customHeight="1">
      <c r="A1015" s="18">
        <v>2084236942</v>
      </c>
      <c r="B1015" s="18" t="s">
        <v>14052</v>
      </c>
      <c r="C1015" s="18" t="s">
        <v>14055</v>
      </c>
      <c r="D1015" s="5" t="str">
        <f ca="1">IFERROR(__xludf.DUMMYFUNCTION("GOOGLETRANSLATE(B1015,""ja"",""vi"")"),"Trike")</f>
        <v>Trike</v>
      </c>
      <c r="E1015" s="5" t="str">
        <f ca="1">IFERROR(__xludf.DUMMYFUNCTION("GOOGLETRANSLATE(C1015,""ja"",""vi"")"),"Đấu giá&gt; ô tô, xe máy&gt; xe máy&gt; xe máy body&gt; trike")</f>
        <v>Đấu giá&gt; ô tô, xe máy&gt; xe máy&gt; xe máy body&gt; trike</v>
      </c>
      <c r="F1015" t="str">
        <f t="shared" ca="1" si="15"/>
        <v>"2084236942" : "Trike",</v>
      </c>
    </row>
    <row r="1016" spans="1:6" ht="15.75" customHeight="1">
      <c r="A1016" s="18">
        <v>2084236943</v>
      </c>
      <c r="B1016" s="18" t="s">
        <v>8413</v>
      </c>
      <c r="C1016" s="18" t="s">
        <v>14060</v>
      </c>
      <c r="D1016" s="5" t="str">
        <f ca="1">IFERROR(__xludf.DUMMYFUNCTION("GOOGLETRANSLATE(B1016,""ja"",""vi"")"),"Bốn bánh buggy")</f>
        <v>Bốn bánh buggy</v>
      </c>
      <c r="E1016" s="5" t="str">
        <f ca="1">IFERROR(__xludf.DUMMYFUNCTION("GOOGLETRANSLATE(C1016,""ja"",""vi"")"),"Đấu giá&gt; ô tô, xe máy&gt; xe máy&gt; cơ xe máy&gt; buggy bốn bánh")</f>
        <v>Đấu giá&gt; ô tô, xe máy&gt; xe máy&gt; cơ xe máy&gt; buggy bốn bánh</v>
      </c>
      <c r="F1016" t="str">
        <f t="shared" ca="1" si="15"/>
        <v>"2084236943" : "Bốn bánh buggy",</v>
      </c>
    </row>
    <row r="1017" spans="1:6" ht="15.75" customHeight="1">
      <c r="A1017" s="18">
        <v>2084061272</v>
      </c>
      <c r="B1017" s="18" t="s">
        <v>14064</v>
      </c>
      <c r="C1017" s="18" t="s">
        <v>14067</v>
      </c>
      <c r="D1017" s="5" t="str">
        <f ca="1">IFERROR(__xludf.DUMMYFUNCTION("GOOGLETRANSLATE(B1017,""ja"",""vi"")"),"Phần xe hái")</f>
        <v>Phần xe hái</v>
      </c>
      <c r="E1017" s="5" t="str">
        <f ca="1">IFERROR(__xludf.DUMMYFUNCTION("GOOGLETRANSLATE(C1017,""ja"",""vi"")"),"Đấu giá&gt; ô tô, xe máy&gt; xe máy&gt; cơ xe máy&gt; xe phần hái")</f>
        <v>Đấu giá&gt; ô tô, xe máy&gt; xe máy&gt; cơ xe máy&gt; xe phần hái</v>
      </c>
      <c r="F1017" t="str">
        <f t="shared" ca="1" si="15"/>
        <v>"2084061272" : "Phần xe hái",</v>
      </c>
    </row>
    <row r="1018" spans="1:6" ht="15.75" customHeight="1">
      <c r="A1018" s="18">
        <v>2084008675</v>
      </c>
      <c r="B1018" s="18" t="s">
        <v>46</v>
      </c>
      <c r="C1018" s="18" t="s">
        <v>14073</v>
      </c>
      <c r="D1018" s="5" t="str">
        <f ca="1">IFERROR(__xludf.DUMMYFUNCTION("GOOGLETRANSLATE(B1018,""ja"",""vi"")"),"nếu không thì")</f>
        <v>nếu không thì</v>
      </c>
      <c r="E1018" s="5" t="str">
        <f ca="1">IFERROR(__xludf.DUMMYFUNCTION("GOOGLETRANSLATE(C1018,""ja"",""vi"")"),"Đấu giá&gt; ô tô, xe máy&gt; xe máy&gt; cơ xe máy&gt; Khác")</f>
        <v>Đấu giá&gt; ô tô, xe máy&gt; xe máy&gt; cơ xe máy&gt; Khác</v>
      </c>
      <c r="F1018" t="str">
        <f t="shared" ca="1" si="15"/>
        <v>"2084008675" : "nếu không thì",</v>
      </c>
    </row>
    <row r="1019" spans="1:6" ht="15.75" customHeight="1">
      <c r="A1019" s="18">
        <v>2084005529</v>
      </c>
      <c r="B1019" s="18" t="s">
        <v>14078</v>
      </c>
      <c r="C1019" s="18" t="s">
        <v>14079</v>
      </c>
      <c r="D1019" s="5" t="str">
        <f ca="1">IFERROR(__xludf.DUMMYFUNCTION("GOOGLETRANSLATE(B1019,""ja"",""vi"")"),"bộ phận đánh lửa")</f>
        <v>bộ phận đánh lửa</v>
      </c>
      <c r="E1019" s="5" t="str">
        <f ca="1">IFERROR(__xludf.DUMMYFUNCTION("GOOGLETRANSLATE(C1019,""ja"",""vi"")"),"Đấu giá&gt; ô tô, xe máy&gt; xe máy&gt; phụ tùng&gt; đánh lửa")</f>
        <v>Đấu giá&gt; ô tô, xe máy&gt; xe máy&gt; phụ tùng&gt; đánh lửa</v>
      </c>
      <c r="F1019" t="str">
        <f t="shared" ca="1" si="15"/>
        <v>"2084005529" : "bộ phận đánh lửa",</v>
      </c>
    </row>
    <row r="1020" spans="1:6" ht="15.75" customHeight="1">
      <c r="A1020" s="18">
        <v>2084012453</v>
      </c>
      <c r="B1020" s="18" t="s">
        <v>14083</v>
      </c>
      <c r="C1020" s="18" t="s">
        <v>14084</v>
      </c>
      <c r="D1020" s="5" t="str">
        <f ca="1">IFERROR(__xludf.DUMMYFUNCTION("GOOGLETRANSLATE(B1020,""ja"",""vi"")"),"bộ lọc không khí, không khí sạch hơn")</f>
        <v>bộ lọc không khí, không khí sạch hơn</v>
      </c>
      <c r="E1020" s="5" t="str">
        <f ca="1">IFERROR(__xludf.DUMMYFUNCTION("GOOGLETRANSLATE(C1020,""ja"",""vi"")"),"Đấu giá&gt; ô tô, xe máy&gt; xe máy&gt; phụ tùng&gt; lọc không khí, không khí sạch hơn")</f>
        <v>Đấu giá&gt; ô tô, xe máy&gt; xe máy&gt; phụ tùng&gt; lọc không khí, không khí sạch hơn</v>
      </c>
      <c r="F1020" t="str">
        <f t="shared" ca="1" si="15"/>
        <v>"2084012453" : "bộ lọc không khí, không khí sạch hơn",</v>
      </c>
    </row>
    <row r="1021" spans="1:6" ht="15.75" customHeight="1">
      <c r="A1021" s="18">
        <v>2084005513</v>
      </c>
      <c r="B1021" s="18" t="s">
        <v>14086</v>
      </c>
      <c r="C1021" s="18" t="s">
        <v>14087</v>
      </c>
      <c r="D1021" s="5" t="str">
        <f ca="1">IFERROR(__xludf.DUMMYFUNCTION("GOOGLETRANSLATE(B1021,""ja"",""vi"")"),"Động cơ, hệ thống làm mát")</f>
        <v>Động cơ, hệ thống làm mát</v>
      </c>
      <c r="E1021" s="5" t="str">
        <f ca="1">IFERROR(__xludf.DUMMYFUNCTION("GOOGLETRANSLATE(C1021,""ja"",""vi"")"),"Đấu giá&gt; ô tô, xe máy&gt; xe máy&gt; phụ tùng&gt; động cơ, hệ thống làm mát")</f>
        <v>Đấu giá&gt; ô tô, xe máy&gt; xe máy&gt; phụ tùng&gt; động cơ, hệ thống làm mát</v>
      </c>
      <c r="F1021" t="str">
        <f t="shared" ca="1" si="15"/>
        <v>"2084005513" : "Động cơ, hệ thống làm mát",</v>
      </c>
    </row>
    <row r="1022" spans="1:6" ht="15.75" customHeight="1">
      <c r="A1022" s="18">
        <v>2084252547</v>
      </c>
      <c r="B1022" s="18" t="s">
        <v>14088</v>
      </c>
      <c r="C1022" s="18" t="s">
        <v>14090</v>
      </c>
      <c r="D1022" s="5" t="str">
        <f ca="1">IFERROR(__xludf.DUMMYFUNCTION("GOOGLETRANSLATE(B1022,""ja"",""vi"")"),"bảo vệ động cơ")</f>
        <v>bảo vệ động cơ</v>
      </c>
      <c r="E1022" s="5" t="str">
        <f ca="1">IFERROR(__xludf.DUMMYFUNCTION("GOOGLETRANSLATE(C1022,""ja"",""vi"")"),"Đấu giá&gt; ô tô, xe máy&gt; xe máy&gt; phụ tùng&gt; bảo vệ động cơ")</f>
        <v>Đấu giá&gt; ô tô, xe máy&gt; xe máy&gt; phụ tùng&gt; bảo vệ động cơ</v>
      </c>
      <c r="F1022" t="str">
        <f t="shared" ca="1" si="15"/>
        <v>"2084252547" : "bảo vệ động cơ",</v>
      </c>
    </row>
    <row r="1023" spans="1:6" ht="15.75" customHeight="1">
      <c r="A1023" s="18">
        <v>2084005525</v>
      </c>
      <c r="B1023" s="18" t="s">
        <v>14091</v>
      </c>
      <c r="C1023" s="18" t="s">
        <v>14092</v>
      </c>
      <c r="D1023" s="5" t="str">
        <f ca="1">IFERROR(__xludf.DUMMYFUNCTION("GOOGLETRANSLATE(B1023,""ja"",""vi"")"),"Cowl, fender")</f>
        <v>Cowl, fender</v>
      </c>
      <c r="E1023" s="5" t="str">
        <f ca="1">IFERROR(__xludf.DUMMYFUNCTION("GOOGLETRANSLATE(C1023,""ja"",""vi"")"),"Đấu giá&gt; ô tô, xe máy&gt; xe máy&gt; phụ tùng&gt; cái ca bô, fender")</f>
        <v>Đấu giá&gt; ô tô, xe máy&gt; xe máy&gt; phụ tùng&gt; cái ca bô, fender</v>
      </c>
      <c r="F1023" t="str">
        <f t="shared" ca="1" si="15"/>
        <v>"2084005525" : "Cowl, fender",</v>
      </c>
    </row>
    <row r="1024" spans="1:6" ht="15.75" customHeight="1">
      <c r="A1024" s="18">
        <v>2084005521</v>
      </c>
      <c r="B1024" s="18" t="s">
        <v>14094</v>
      </c>
      <c r="C1024" s="18" t="s">
        <v>14095</v>
      </c>
      <c r="D1024" s="5" t="str">
        <f ca="1">IFERROR(__xludf.DUMMYFUNCTION("GOOGLETRANSLATE(B1024,""ja"",""vi"")"),"Bộ chế hòa khí, phun")</f>
        <v>Bộ chế hòa khí, phun</v>
      </c>
      <c r="E1024" s="5" t="str">
        <f ca="1">IFERROR(__xludf.DUMMYFUNCTION("GOOGLETRANSLATE(C1024,""ja"",""vi"")"),"Đấu giá&gt; ô tô, xe máy&gt; xe máy&gt; phụ tùng&gt; bộ chế hòa khí, phun")</f>
        <v>Đấu giá&gt; ô tô, xe máy&gt; xe máy&gt; phụ tùng&gt; bộ chế hòa khí, phun</v>
      </c>
      <c r="F1024" t="str">
        <f t="shared" ca="1" si="15"/>
        <v>"2084005521" : "Bộ chế hòa khí, phun",</v>
      </c>
    </row>
    <row r="1025" spans="1:6" ht="15.75" customHeight="1">
      <c r="A1025" s="18">
        <v>2084012428</v>
      </c>
      <c r="B1025" s="18" t="s">
        <v>14099</v>
      </c>
      <c r="C1025" s="18" t="s">
        <v>14100</v>
      </c>
      <c r="D1025" s="5" t="str">
        <f ca="1">IFERROR(__xludf.DUMMYFUNCTION("GOOGLETRANSLATE(B1025,""ja"",""vi"")"),"Carrier, lấy thanh")</f>
        <v>Carrier, lấy thanh</v>
      </c>
      <c r="E1025" s="5" t="str">
        <f ca="1">IFERROR(__xludf.DUMMYFUNCTION("GOOGLETRANSLATE(C1025,""ja"",""vi"")"),"Đấu giá&gt; ô tô, xe máy&gt; xe máy&gt; phụ tùng&gt; vận chuyển, thanh lấy")</f>
        <v>Đấu giá&gt; ô tô, xe máy&gt; xe máy&gt; phụ tùng&gt; vận chuyển, thanh lấy</v>
      </c>
      <c r="F1025" t="str">
        <f t="shared" ca="1" si="15"/>
        <v>"2084012428" : "Carrier, lấy thanh",</v>
      </c>
    </row>
    <row r="1026" spans="1:6" ht="15.75" customHeight="1">
      <c r="A1026" s="18">
        <v>2084237383</v>
      </c>
      <c r="B1026" s="18" t="s">
        <v>14104</v>
      </c>
      <c r="C1026" s="18" t="s">
        <v>14105</v>
      </c>
      <c r="D1026" s="5" t="str">
        <f ca="1">IFERROR(__xludf.DUMMYFUNCTION("GOOGLETRANSLATE(B1026,""ja"",""vi"")"),"bìa Side")</f>
        <v>bìa Side</v>
      </c>
      <c r="E1026" s="5" t="str">
        <f ca="1">IFERROR(__xludf.DUMMYFUNCTION("GOOGLETRANSLATE(C1026,""ja"",""vi"")"),"Đấu giá&gt; ô tô, xe máy&gt; xe máy&gt; phụ tùng&gt; bìa bên")</f>
        <v>Đấu giá&gt; ô tô, xe máy&gt; xe máy&gt; phụ tùng&gt; bìa bên</v>
      </c>
      <c r="F1026" t="str">
        <f t="shared" ref="F1026:F1089" ca="1" si="16">CONCATENATE(CHAR(34)&amp;"",A1026,""&amp;CHAR(34)," : ", CHAR(34)&amp;"",D1026,""&amp;CHAR(34),",")</f>
        <v>"2084237383" : "bìa Side",</v>
      </c>
    </row>
    <row r="1027" spans="1:6" ht="15.75" customHeight="1">
      <c r="A1027" s="18">
        <v>2084005514</v>
      </c>
      <c r="B1027" s="18" t="s">
        <v>10370</v>
      </c>
      <c r="C1027" s="18" t="s">
        <v>14110</v>
      </c>
      <c r="D1027" s="5" t="str">
        <f ca="1">IFERROR(__xludf.DUMMYFUNCTION("GOOGLETRANSLATE(B1027,""ja"",""vi"")"),"Đình chỉ")</f>
        <v>Đình chỉ</v>
      </c>
      <c r="E1027" s="5" t="str">
        <f ca="1">IFERROR(__xludf.DUMMYFUNCTION("GOOGLETRANSLATE(C1027,""ja"",""vi"")"),"Đấu giá&gt; ô tô, xe máy&gt; xe máy&gt; phụ tùng&gt; treo")</f>
        <v>Đấu giá&gt; ô tô, xe máy&gt; xe máy&gt; phụ tùng&gt; treo</v>
      </c>
      <c r="F1027" t="str">
        <f t="shared" ca="1" si="16"/>
        <v>"2084005514" : "Đình chỉ",</v>
      </c>
    </row>
    <row r="1028" spans="1:6" ht="15.75" customHeight="1">
      <c r="A1028" s="18">
        <v>2084252766</v>
      </c>
      <c r="B1028" s="18" t="s">
        <v>14113</v>
      </c>
      <c r="C1028" s="18" t="s">
        <v>14114</v>
      </c>
      <c r="D1028" s="5" t="str">
        <f ca="1">IFERROR(__xludf.DUMMYFUNCTION("GOOGLETRANSLATE(B1028,""ja"",""vi"")"),"Sissy, tựa lưng")</f>
        <v>Sissy, tựa lưng</v>
      </c>
      <c r="E1028" s="5" t="str">
        <f ca="1">IFERROR(__xludf.DUMMYFUNCTION("GOOGLETRANSLATE(C1028,""ja"",""vi"")"),"Đấu giá&gt; ô tô, xe máy&gt; xe máy&gt; phụ tùng&gt; Sissy, tựa lưng")</f>
        <v>Đấu giá&gt; ô tô, xe máy&gt; xe máy&gt; phụ tùng&gt; Sissy, tựa lưng</v>
      </c>
      <c r="F1028" t="str">
        <f t="shared" ca="1" si="16"/>
        <v>"2084252766" : "Sissy, tựa lưng",</v>
      </c>
    </row>
    <row r="1029" spans="1:6" ht="15.75" customHeight="1">
      <c r="A1029" s="18">
        <v>2084005515</v>
      </c>
      <c r="B1029" s="18" t="s">
        <v>14117</v>
      </c>
      <c r="C1029" s="18" t="s">
        <v>14119</v>
      </c>
      <c r="D1029" s="5" t="str">
        <f ca="1">IFERROR(__xludf.DUMMYFUNCTION("GOOGLETRANSLATE(B1029,""ja"",""vi"")"),"ghế")</f>
        <v>ghế</v>
      </c>
      <c r="E1029" s="5" t="str">
        <f ca="1">IFERROR(__xludf.DUMMYFUNCTION("GOOGLETRANSLATE(C1029,""ja"",""vi"")"),"Đấu giá&gt; ô tô, xe máy&gt; xe máy&gt; phụ tùng&gt; ghế")</f>
        <v>Đấu giá&gt; ô tô, xe máy&gt; xe máy&gt; phụ tùng&gt; ghế</v>
      </c>
      <c r="F1029" t="str">
        <f t="shared" ca="1" si="16"/>
        <v>"2084005515" : "ghế",</v>
      </c>
    </row>
    <row r="1030" spans="1:6" ht="15.75" customHeight="1">
      <c r="A1030" s="18">
        <v>2084019067</v>
      </c>
      <c r="B1030" s="18" t="s">
        <v>14122</v>
      </c>
      <c r="C1030" s="18" t="s">
        <v>14123</v>
      </c>
      <c r="D1030" s="5" t="str">
        <f ca="1">IFERROR(__xludf.DUMMYFUNCTION("GOOGLETRANSLATE(B1030,""ja"",""vi"")"),"swing arm")</f>
        <v>swing arm</v>
      </c>
      <c r="E1030" s="5" t="str">
        <f ca="1">IFERROR(__xludf.DUMMYFUNCTION("GOOGLETRANSLATE(C1030,""ja"",""vi"")"),"Đấu giá&gt; ô tô, xe máy&gt; xe máy&gt; phụ tùng&gt; swing arm")</f>
        <v>Đấu giá&gt; ô tô, xe máy&gt; xe máy&gt; phụ tùng&gt; swing arm</v>
      </c>
      <c r="F1030" t="str">
        <f t="shared" ca="1" si="16"/>
        <v>"2084019067" : "swing arm",</v>
      </c>
    </row>
    <row r="1031" spans="1:6" ht="15.75" customHeight="1">
      <c r="A1031" s="18">
        <v>2084049683</v>
      </c>
      <c r="B1031" s="18" t="s">
        <v>14126</v>
      </c>
      <c r="C1031" s="18" t="s">
        <v>14127</v>
      </c>
      <c r="D1031" s="5" t="str">
        <f ca="1">IFERROR(__xludf.DUMMYFUNCTION("GOOGLETRANSLATE(B1031,""ja"",""vi"")"),"ổn định")</f>
        <v>ổn định</v>
      </c>
      <c r="E1031" s="5" t="str">
        <f ca="1">IFERROR(__xludf.DUMMYFUNCTION("GOOGLETRANSLATE(C1031,""ja"",""vi"")"),"Đấu giá&gt; ô tô, xe máy&gt; xe máy&gt; phụ tùng&gt; ổn định")</f>
        <v>Đấu giá&gt; ô tô, xe máy&gt; xe máy&gt; phụ tùng&gt; ổn định</v>
      </c>
      <c r="F1031" t="str">
        <f t="shared" ca="1" si="16"/>
        <v>"2084049683" : "ổn định",</v>
      </c>
    </row>
    <row r="1032" spans="1:6" ht="15.75" customHeight="1">
      <c r="A1032" s="18">
        <v>2084019068</v>
      </c>
      <c r="B1032" s="18" t="s">
        <v>4614</v>
      </c>
      <c r="C1032" s="18" t="s">
        <v>14130</v>
      </c>
      <c r="D1032" s="5" t="str">
        <f ca="1">IFERROR(__xludf.DUMMYFUNCTION("GOOGLETRANSLATE(B1032,""ja"",""vi"")"),"đứng")</f>
        <v>đứng</v>
      </c>
      <c r="E1032" s="5" t="str">
        <f ca="1">IFERROR(__xludf.DUMMYFUNCTION("GOOGLETRANSLATE(C1032,""ja"",""vi"")"),"Đấu giá&gt; ô tô, xe máy&gt; xe máy&gt; phụ tùng&gt; đứng")</f>
        <v>Đấu giá&gt; ô tô, xe máy&gt; xe máy&gt; phụ tùng&gt; đứng</v>
      </c>
      <c r="F1032" t="str">
        <f t="shared" ca="1" si="16"/>
        <v>"2084019068" : "đứng",</v>
      </c>
    </row>
    <row r="1033" spans="1:6" ht="15.75" customHeight="1">
      <c r="A1033" s="18">
        <v>2084047635</v>
      </c>
      <c r="B1033" s="18" t="s">
        <v>14132</v>
      </c>
      <c r="C1033" s="18" t="s">
        <v>14133</v>
      </c>
      <c r="D1033" s="5" t="str">
        <f ca="1">IFERROR(__xludf.DUMMYFUNCTION("GOOGLETRANSLATE(B1033,""ja"",""vi"")"),"van điều tiết chỉ đạo")</f>
        <v>van điều tiết chỉ đạo</v>
      </c>
      <c r="E1033" s="5" t="str">
        <f ca="1">IFERROR(__xludf.DUMMYFUNCTION("GOOGLETRANSLATE(C1033,""ja"",""vi"")"),"Đấu giá&gt; ô tô, xe máy&gt; xe máy&gt; phụ tùng&gt; lái van điều tiết")</f>
        <v>Đấu giá&gt; ô tô, xe máy&gt; xe máy&gt; phụ tùng&gt; lái van điều tiết</v>
      </c>
      <c r="F1033" t="str">
        <f t="shared" ca="1" si="16"/>
        <v>"2084047635" : "van điều tiết chỉ đạo",</v>
      </c>
    </row>
    <row r="1034" spans="1:6" ht="15.75" customHeight="1">
      <c r="A1034" s="18">
        <v>2084019069</v>
      </c>
      <c r="B1034" s="18" t="s">
        <v>14136</v>
      </c>
      <c r="C1034" s="18" t="s">
        <v>14137</v>
      </c>
      <c r="D1034" s="5" t="str">
        <f ca="1">IFERROR(__xludf.DUMMYFUNCTION("GOOGLETRANSLATE(B1034,""ja"",""vi"")"),"Bước, đạp")</f>
        <v>Bước, đạp</v>
      </c>
      <c r="E1034" s="5" t="str">
        <f ca="1">IFERROR(__xludf.DUMMYFUNCTION("GOOGLETRANSLATE(C1034,""ja"",""vi"")"),"Đấu giá&gt; ô tô, xe máy&gt; xe máy&gt; phụ tùng&gt; bước, đạp")</f>
        <v>Đấu giá&gt; ô tô, xe máy&gt; xe máy&gt; phụ tùng&gt; bước, đạp</v>
      </c>
      <c r="F1034" t="str">
        <f t="shared" ca="1" si="16"/>
        <v>"2084019069" : "Bước, đạp",</v>
      </c>
    </row>
    <row r="1035" spans="1:6" ht="15.75" customHeight="1">
      <c r="A1035" s="18">
        <v>2084019070</v>
      </c>
      <c r="B1035" s="18" t="s">
        <v>14141</v>
      </c>
      <c r="C1035" s="18" t="s">
        <v>14142</v>
      </c>
      <c r="D1035" s="5" t="str">
        <f ca="1">IFERROR(__xludf.DUMMYFUNCTION("GOOGLETRANSLATE(B1035,""ja"",""vi"")"),"bugi")</f>
        <v>bugi</v>
      </c>
      <c r="E1035" s="5" t="str">
        <f ca="1">IFERROR(__xludf.DUMMYFUNCTION("GOOGLETRANSLATE(C1035,""ja"",""vi"")"),"Đấu giá&gt; ô tô, xe máy&gt; xe máy&gt; phụ tùng&gt; bugi")</f>
        <v>Đấu giá&gt; ô tô, xe máy&gt; xe máy&gt; phụ tùng&gt; bugi</v>
      </c>
      <c r="F1035" t="str">
        <f t="shared" ca="1" si="16"/>
        <v>"2084019070" : "bugi",</v>
      </c>
    </row>
    <row r="1036" spans="1:6" ht="15.75" customHeight="1">
      <c r="A1036" s="18">
        <v>2084019071</v>
      </c>
      <c r="B1036" s="18" t="s">
        <v>14145</v>
      </c>
      <c r="C1036" s="18" t="s">
        <v>14146</v>
      </c>
      <c r="D1036" s="5" t="str">
        <f ca="1">IFERROR(__xludf.DUMMYFUNCTION("GOOGLETRANSLATE(B1036,""ja"",""vi"")"),"răng bi nhông của máy")</f>
        <v>răng bi nhông của máy</v>
      </c>
      <c r="E1036" s="5" t="str">
        <f ca="1">IFERROR(__xludf.DUMMYFUNCTION("GOOGLETRANSLATE(C1036,""ja"",""vi"")"),"Đấu giá&gt; ô tô, xe máy&gt; xe máy&gt; phụ tùng&gt; xích")</f>
        <v>Đấu giá&gt; ô tô, xe máy&gt; xe máy&gt; phụ tùng&gt; xích</v>
      </c>
      <c r="F1036" t="str">
        <f t="shared" ca="1" si="16"/>
        <v>"2084019071" : "răng bi nhông của máy",</v>
      </c>
    </row>
    <row r="1037" spans="1:6" ht="15.75" customHeight="1">
      <c r="A1037" s="18">
        <v>2084005516</v>
      </c>
      <c r="B1037" s="18" t="s">
        <v>10382</v>
      </c>
      <c r="C1037" s="18" t="s">
        <v>14150</v>
      </c>
      <c r="D1037" s="5" t="str">
        <f ca="1">IFERROR(__xludf.DUMMYFUNCTION("GOOGLETRANSLATE(B1037,""ja"",""vi"")"),"lốp")</f>
        <v>lốp</v>
      </c>
      <c r="E1037" s="5" t="str">
        <f ca="1">IFERROR(__xludf.DUMMYFUNCTION("GOOGLETRANSLATE(C1037,""ja"",""vi"")"),"Đấu giá&gt; ô tô, xe máy&gt; xe máy&gt; phụ tùng&gt; lốp")</f>
        <v>Đấu giá&gt; ô tô, xe máy&gt; xe máy&gt; phụ tùng&gt; lốp</v>
      </c>
      <c r="F1037" t="str">
        <f t="shared" ca="1" si="16"/>
        <v>"2084005516" : "lốp",</v>
      </c>
    </row>
    <row r="1038" spans="1:6" ht="15.75" customHeight="1">
      <c r="A1038" s="18">
        <v>2084005524</v>
      </c>
      <c r="B1038" s="18" t="s">
        <v>14153</v>
      </c>
      <c r="C1038" s="18" t="s">
        <v>14154</v>
      </c>
      <c r="D1038" s="5" t="str">
        <f ca="1">IFERROR(__xludf.DUMMYFUNCTION("GOOGLETRANSLATE(B1038,""ja"",""vi"")"),"xe tăng")</f>
        <v>xe tăng</v>
      </c>
      <c r="E1038" s="5" t="str">
        <f ca="1">IFERROR(__xludf.DUMMYFUNCTION("GOOGLETRANSLATE(C1038,""ja"",""vi"")"),"Đấu giá&gt; ô tô, xe máy&gt; xe máy&gt; phụ tùng&gt; xe tăng")</f>
        <v>Đấu giá&gt; ô tô, xe máy&gt; xe máy&gt; phụ tùng&gt; xe tăng</v>
      </c>
      <c r="F1038" t="str">
        <f t="shared" ca="1" si="16"/>
        <v>"2084005524" : "xe tăng",</v>
      </c>
    </row>
    <row r="1039" spans="1:6" ht="15.75" customHeight="1">
      <c r="A1039" s="18">
        <v>2084005522</v>
      </c>
      <c r="B1039" s="18" t="s">
        <v>14157</v>
      </c>
      <c r="C1039" s="18" t="s">
        <v>14158</v>
      </c>
      <c r="D1039" s="5" t="str">
        <f ca="1">IFERROR(__xludf.DUMMYFUNCTION("GOOGLETRANSLATE(B1039,""ja"",""vi"")"),"Dây chuyền, thắt lưng")</f>
        <v>Dây chuyền, thắt lưng</v>
      </c>
      <c r="E1039" s="5" t="str">
        <f ca="1">IFERROR(__xludf.DUMMYFUNCTION("GOOGLETRANSLATE(C1039,""ja"",""vi"")"),"Đấu giá&gt; ô tô, xe máy&gt; xe máy&gt; phụ tùng&gt; dây chuyền, thắt lưng")</f>
        <v>Đấu giá&gt; ô tô, xe máy&gt; xe máy&gt; phụ tùng&gt; dây chuyền, thắt lưng</v>
      </c>
      <c r="F1039" t="str">
        <f t="shared" ca="1" si="16"/>
        <v>"2084005522" : "Dây chuyền, thắt lưng",</v>
      </c>
    </row>
    <row r="1040" spans="1:6" ht="15.75" customHeight="1">
      <c r="A1040" s="18">
        <v>2084048526</v>
      </c>
      <c r="B1040" s="18" t="s">
        <v>14161</v>
      </c>
      <c r="C1040" s="18" t="s">
        <v>14164</v>
      </c>
      <c r="D1040" s="5" t="str">
        <f ca="1">IFERROR(__xludf.DUMMYFUNCTION("GOOGLETRANSLATE(B1040,""ja"",""vi"")"),"bìa chuỗi")</f>
        <v>bìa chuỗi</v>
      </c>
      <c r="E1040" s="5" t="str">
        <f ca="1">IFERROR(__xludf.DUMMYFUNCTION("GOOGLETRANSLATE(C1040,""ja"",""vi"")"),"Đấu giá&gt; ô tô, xe máy&gt; xe máy&gt; phụ tùng&gt; bìa chuỗi")</f>
        <v>Đấu giá&gt; ô tô, xe máy&gt; xe máy&gt; phụ tùng&gt; bìa chuỗi</v>
      </c>
      <c r="F1040" t="str">
        <f t="shared" ca="1" si="16"/>
        <v>"2084048526" : "bìa chuỗi",</v>
      </c>
    </row>
    <row r="1041" spans="1:6" ht="15.75" customHeight="1">
      <c r="A1041" s="18">
        <v>2084019076</v>
      </c>
      <c r="B1041" s="18" t="s">
        <v>14167</v>
      </c>
      <c r="C1041" s="18" t="s">
        <v>14168</v>
      </c>
      <c r="D1041" s="5" t="str">
        <f ca="1">IFERROR(__xludf.DUMMYFUNCTION("GOOGLETRANSLATE(B1041,""ja"",""vi"")"),"truyền")</f>
        <v>truyền</v>
      </c>
      <c r="E1041" s="5" t="str">
        <f ca="1">IFERROR(__xludf.DUMMYFUNCTION("GOOGLETRANSLATE(C1041,""ja"",""vi"")"),"Đấu giá&gt; ô tô, xe máy&gt; xe máy&gt; phụ tùng&gt; truyền")</f>
        <v>Đấu giá&gt; ô tô, xe máy&gt; xe máy&gt; phụ tùng&gt; truyền</v>
      </c>
      <c r="F1041" t="str">
        <f t="shared" ca="1" si="16"/>
        <v>"2084019076" : "truyền",</v>
      </c>
    </row>
    <row r="1042" spans="1:6" ht="15.75" customHeight="1">
      <c r="A1042" s="18">
        <v>2084289692</v>
      </c>
      <c r="B1042" s="18" t="s">
        <v>14171</v>
      </c>
      <c r="C1042" s="18" t="s">
        <v>14174</v>
      </c>
      <c r="D1042" s="5" t="str">
        <f ca="1">IFERROR(__xludf.DUMMYFUNCTION("GOOGLETRANSLATE(B1042,""ja"",""vi"")"),"giữ giấy phép tấm")</f>
        <v>giữ giấy phép tấm</v>
      </c>
      <c r="E1042" s="5" t="str">
        <f ca="1">IFERROR(__xludf.DUMMYFUNCTION("GOOGLETRANSLATE(C1042,""ja"",""vi"")"),"Đấu giá&gt; ô tô, xe máy&gt; xe máy&gt; phụ tùng&gt; giữ biển số xe")</f>
        <v>Đấu giá&gt; ô tô, xe máy&gt; xe máy&gt; phụ tùng&gt; giữ biển số xe</v>
      </c>
      <c r="F1042" t="str">
        <f t="shared" ca="1" si="16"/>
        <v>"2084289692" : "giữ giấy phép tấm",</v>
      </c>
    </row>
    <row r="1043" spans="1:6" ht="15.75" customHeight="1">
      <c r="A1043" s="18">
        <v>2084019079</v>
      </c>
      <c r="B1043" s="18" t="s">
        <v>14177</v>
      </c>
      <c r="C1043" s="18" t="s">
        <v>14179</v>
      </c>
      <c r="D1043" s="5" t="str">
        <f ca="1">IFERROR(__xludf.DUMMYFUNCTION("GOOGLETRANSLATE(B1043,""ja"",""vi"")"),"Khai thác, dây")</f>
        <v>Khai thác, dây</v>
      </c>
      <c r="E1043" s="5" t="str">
        <f ca="1">IFERROR(__xludf.DUMMYFUNCTION("GOOGLETRANSLATE(C1043,""ja"",""vi"")"),"Đấu giá&gt; ô tô, xe máy&gt; xe máy&gt; phụ tùng&gt; khai thác, dây")</f>
        <v>Đấu giá&gt; ô tô, xe máy&gt; xe máy&gt; phụ tùng&gt; khai thác, dây</v>
      </c>
      <c r="F1043" t="str">
        <f t="shared" ca="1" si="16"/>
        <v>"2084019079" : "Khai thác, dây",</v>
      </c>
    </row>
    <row r="1044" spans="1:6" ht="15.75" customHeight="1">
      <c r="A1044" s="18">
        <v>2084005520</v>
      </c>
      <c r="B1044" s="18" t="s">
        <v>10405</v>
      </c>
      <c r="C1044" s="18" t="s">
        <v>14182</v>
      </c>
      <c r="D1044" s="5" t="str">
        <f ca="1">IFERROR(__xludf.DUMMYFUNCTION("GOOGLETRANSLATE(B1044,""ja"",""vi"")"),"Xử lý")</f>
        <v>Xử lý</v>
      </c>
      <c r="E1044" s="5" t="str">
        <f ca="1">IFERROR(__xludf.DUMMYFUNCTION("GOOGLETRANSLATE(C1044,""ja"",""vi"")"),"Đấu giá&gt; ô tô, xe máy&gt; xe máy&gt; phụ tùng&gt; xử lý")</f>
        <v>Đấu giá&gt; ô tô, xe máy&gt; xe máy&gt; phụ tùng&gt; xử lý</v>
      </c>
      <c r="F1044" t="str">
        <f t="shared" ca="1" si="16"/>
        <v>"2084005520" : "Xử lý",</v>
      </c>
    </row>
    <row r="1045" spans="1:6" ht="15.75" customHeight="1">
      <c r="A1045" s="18">
        <v>2084005528</v>
      </c>
      <c r="B1045" s="18" t="s">
        <v>14186</v>
      </c>
      <c r="C1045" s="18" t="s">
        <v>14188</v>
      </c>
      <c r="D1045" s="5" t="str">
        <f ca="1">IFERROR(__xludf.DUMMYFUNCTION("GOOGLETRANSLATE(B1045,""ja"",""vi"")"),"ắc quy")</f>
        <v>ắc quy</v>
      </c>
      <c r="E1045" s="5" t="str">
        <f ca="1">IFERROR(__xludf.DUMMYFUNCTION("GOOGLETRANSLATE(C1045,""ja"",""vi"")"),"Đấu giá&gt; ô tô, xe máy&gt; xe máy&gt; phụ tùng&gt; Pin")</f>
        <v>Đấu giá&gt; ô tô, xe máy&gt; xe máy&gt; phụ tùng&gt; Pin</v>
      </c>
      <c r="F1045" t="str">
        <f t="shared" ca="1" si="16"/>
        <v>"2084005528" : "ắc quy",</v>
      </c>
    </row>
    <row r="1046" spans="1:6" ht="15.75" customHeight="1">
      <c r="A1046" s="18">
        <v>2084012450</v>
      </c>
      <c r="B1046" s="18" t="s">
        <v>3400</v>
      </c>
      <c r="C1046" s="18" t="s">
        <v>14194</v>
      </c>
      <c r="D1046" s="5" t="str">
        <f ca="1">IFERROR(__xludf.DUMMYFUNCTION("GOOGLETRANSLATE(B1046,""ja"",""vi"")"),"Lọc")</f>
        <v>Lọc</v>
      </c>
      <c r="E1046" s="5" t="str">
        <f ca="1">IFERROR(__xludf.DUMMYFUNCTION("GOOGLETRANSLATE(C1046,""ja"",""vi"")"),"Đấu giá&gt; ô tô, xe máy&gt; xe máy&gt; phụ tùng&gt; lọc")</f>
        <v>Đấu giá&gt; ô tô, xe máy&gt; xe máy&gt; phụ tùng&gt; lọc</v>
      </c>
      <c r="F1046" t="str">
        <f t="shared" ca="1" si="16"/>
        <v>"2084012450" : "Lọc",</v>
      </c>
    </row>
    <row r="1047" spans="1:6" ht="15.75" customHeight="1">
      <c r="A1047" s="18">
        <v>2084005526</v>
      </c>
      <c r="B1047" s="18" t="s">
        <v>10323</v>
      </c>
      <c r="C1047" s="18" t="s">
        <v>14196</v>
      </c>
      <c r="D1047" s="5" t="str">
        <f ca="1">IFERROR(__xludf.DUMMYFUNCTION("GOOGLETRANSLATE(B1047,""ja"",""vi"")"),"khung")</f>
        <v>khung</v>
      </c>
      <c r="E1047" s="5" t="str">
        <f ca="1">IFERROR(__xludf.DUMMYFUNCTION("GOOGLETRANSLATE(C1047,""ja"",""vi"")"),"Đấu giá&gt; ô tô, xe máy&gt; xe máy&gt; phụ tùng&gt; khung")</f>
        <v>Đấu giá&gt; ô tô, xe máy&gt; xe máy&gt; phụ tùng&gt; khung</v>
      </c>
      <c r="F1047" t="str">
        <f t="shared" ca="1" si="16"/>
        <v>"2084005526" : "khung",</v>
      </c>
    </row>
    <row r="1048" spans="1:6" ht="15.75" customHeight="1">
      <c r="A1048" s="18">
        <v>2084005518</v>
      </c>
      <c r="B1048" s="18" t="s">
        <v>10438</v>
      </c>
      <c r="C1048" s="18" t="s">
        <v>14200</v>
      </c>
      <c r="D1048" s="5" t="str">
        <f ca="1">IFERROR(__xludf.DUMMYFUNCTION("GOOGLETRANSLATE(B1048,""ja"",""vi"")"),"phanh")</f>
        <v>phanh</v>
      </c>
      <c r="E1048" s="5" t="str">
        <f ca="1">IFERROR(__xludf.DUMMYFUNCTION("GOOGLETRANSLATE(C1048,""ja"",""vi"")"),"Đấu giá&gt; ô tô, xe máy&gt; xe máy&gt; phụ tùng&gt; phanh")</f>
        <v>Đấu giá&gt; ô tô, xe máy&gt; xe máy&gt; phụ tùng&gt; phanh</v>
      </c>
      <c r="F1048" t="str">
        <f t="shared" ca="1" si="16"/>
        <v>"2084005518" : "phanh",</v>
      </c>
    </row>
    <row r="1049" spans="1:6" ht="15.75" customHeight="1">
      <c r="A1049" s="18">
        <v>2084244700</v>
      </c>
      <c r="B1049" s="18" t="s">
        <v>14202</v>
      </c>
      <c r="C1049" s="18" t="s">
        <v>14203</v>
      </c>
      <c r="D1049" s="5" t="str">
        <f ca="1">IFERROR(__xludf.DUMMYFUNCTION("GOOGLETRANSLATE(B1049,""ja"",""vi"")"),"cái ròng rọc")</f>
        <v>cái ròng rọc</v>
      </c>
      <c r="E1049" s="5" t="str">
        <f ca="1">IFERROR(__xludf.DUMMYFUNCTION("GOOGLETRANSLATE(C1049,""ja"",""vi"")"),"Đấu giá&gt; ô tô, xe máy&gt; xe máy&gt; phụ tùng&gt; Pulley")</f>
        <v>Đấu giá&gt; ô tô, xe máy&gt; xe máy&gt; phụ tùng&gt; Pulley</v>
      </c>
      <c r="F1049" t="str">
        <f t="shared" ca="1" si="16"/>
        <v>"2084244700" : "cái ròng rọc",</v>
      </c>
    </row>
    <row r="1050" spans="1:6" ht="15.75" customHeight="1">
      <c r="A1050" s="18">
        <v>2084019086</v>
      </c>
      <c r="B1050" s="18" t="s">
        <v>14205</v>
      </c>
      <c r="C1050" s="18" t="s">
        <v>14206</v>
      </c>
      <c r="D1050" s="5" t="str">
        <f ca="1">IFERROR(__xludf.DUMMYFUNCTION("GOOGLETRANSLATE(B1050,""ja"",""vi"")"),"sừng")</f>
        <v>sừng</v>
      </c>
      <c r="E1050" s="5" t="str">
        <f ca="1">IFERROR(__xludf.DUMMYFUNCTION("GOOGLETRANSLATE(C1050,""ja"",""vi"")"),"Đấu giá&gt; ô tô, xe máy&gt; xe máy&gt; phụ tùng&gt; sừng")</f>
        <v>Đấu giá&gt; ô tô, xe máy&gt; xe máy&gt; phụ tùng&gt; sừng</v>
      </c>
      <c r="F1050" t="str">
        <f t="shared" ca="1" si="16"/>
        <v>"2084019086" : "sừng",</v>
      </c>
    </row>
    <row r="1051" spans="1:6" ht="15.75" customHeight="1">
      <c r="A1051" s="18">
        <v>2084005517</v>
      </c>
      <c r="B1051" s="18" t="s">
        <v>10376</v>
      </c>
      <c r="C1051" s="18" t="s">
        <v>14208</v>
      </c>
      <c r="D1051" s="5" t="str">
        <f ca="1">IFERROR(__xludf.DUMMYFUNCTION("GOOGLETRANSLATE(B1051,""ja"",""vi"")"),"bánh xe")</f>
        <v>bánh xe</v>
      </c>
      <c r="E1051" s="5" t="str">
        <f ca="1">IFERROR(__xludf.DUMMYFUNCTION("GOOGLETRANSLATE(C1051,""ja"",""vi"")"),"Đấu giá&gt; ô tô, xe máy&gt; xe máy&gt; phụ tùng&gt; bánh xe")</f>
        <v>Đấu giá&gt; ô tô, xe máy&gt; xe máy&gt; phụ tùng&gt; bánh xe</v>
      </c>
      <c r="F1051" t="str">
        <f t="shared" ca="1" si="16"/>
        <v>"2084005517" : "bánh xe",</v>
      </c>
    </row>
    <row r="1052" spans="1:6" ht="15.75" customHeight="1">
      <c r="A1052" s="18">
        <v>2084005519</v>
      </c>
      <c r="B1052" s="18" t="s">
        <v>14210</v>
      </c>
      <c r="C1052" s="18" t="s">
        <v>14211</v>
      </c>
      <c r="D1052" s="5" t="str">
        <f ca="1">IFERROR(__xludf.DUMMYFUNCTION("GOOGLETRANSLATE(B1052,""ja"",""vi"")"),"khăn choàng cổ")</f>
        <v>khăn choàng cổ</v>
      </c>
      <c r="E1052" s="5" t="str">
        <f ca="1">IFERROR(__xludf.DUMMYFUNCTION("GOOGLETRANSLATE(C1052,""ja"",""vi"")"),"Đấu giá&gt; ô tô, xe máy&gt; xe máy&gt; phụ tùng&gt; muffler")</f>
        <v>Đấu giá&gt; ô tô, xe máy&gt; xe máy&gt; phụ tùng&gt; muffler</v>
      </c>
      <c r="F1052" t="str">
        <f t="shared" ca="1" si="16"/>
        <v>"2084005519" : "khăn choàng cổ",</v>
      </c>
    </row>
    <row r="1053" spans="1:6" ht="15.75" customHeight="1">
      <c r="A1053" s="18">
        <v>2084005527</v>
      </c>
      <c r="B1053" s="18" t="s">
        <v>14212</v>
      </c>
      <c r="C1053" s="18" t="s">
        <v>14214</v>
      </c>
      <c r="D1053" s="5" t="str">
        <f ca="1">IFERROR(__xludf.DUMMYFUNCTION("GOOGLETRANSLATE(B1053,""ja"",""vi"")"),"gương")</f>
        <v>gương</v>
      </c>
      <c r="E1053" s="5" t="str">
        <f ca="1">IFERROR(__xludf.DUMMYFUNCTION("GOOGLETRANSLATE(C1053,""ja"",""vi"")"),"Đấu giá&gt; ô tô, xe máy&gt; xe máy&gt; phụ tùng&gt; gương")</f>
        <v>Đấu giá&gt; ô tô, xe máy&gt; xe máy&gt; phụ tùng&gt; gương</v>
      </c>
      <c r="F1053" t="str">
        <f t="shared" ca="1" si="16"/>
        <v>"2084005527" : "gương",</v>
      </c>
    </row>
    <row r="1054" spans="1:6" ht="15.75" customHeight="1">
      <c r="A1054" s="18">
        <v>2084005530</v>
      </c>
      <c r="B1054" s="18" t="s">
        <v>2962</v>
      </c>
      <c r="C1054" s="18" t="s">
        <v>14215</v>
      </c>
      <c r="D1054" s="5" t="str">
        <f ca="1">IFERROR(__xludf.DUMMYFUNCTION("GOOGLETRANSLATE(B1054,""ja"",""vi"")"),"Meter")</f>
        <v>Meter</v>
      </c>
      <c r="E1054" s="5" t="str">
        <f ca="1">IFERROR(__xludf.DUMMYFUNCTION("GOOGLETRANSLATE(C1054,""ja"",""vi"")"),"Đấu giá&gt; ô tô, xe máy&gt; xe máy&gt; phụ tùng&gt; mét")</f>
        <v>Đấu giá&gt; ô tô, xe máy&gt; xe máy&gt; phụ tùng&gt; mét</v>
      </c>
      <c r="F1054" t="str">
        <f t="shared" ca="1" si="16"/>
        <v>"2084005530" : "Meter",</v>
      </c>
    </row>
    <row r="1055" spans="1:6" ht="15.75" customHeight="1">
      <c r="A1055" s="18">
        <v>2084005523</v>
      </c>
      <c r="B1055" s="18" t="s">
        <v>14217</v>
      </c>
      <c r="C1055" s="18" t="s">
        <v>14218</v>
      </c>
      <c r="D1055" s="5" t="str">
        <f ca="1">IFERROR(__xludf.DUMMYFUNCTION("GOOGLETRANSLATE(B1055,""ja"",""vi"")"),"Ánh sáng, tín hiệu lần lượt")</f>
        <v>Ánh sáng, tín hiệu lần lượt</v>
      </c>
      <c r="E1055" s="5" t="str">
        <f ca="1">IFERROR(__xludf.DUMMYFUNCTION("GOOGLETRANSLATE(C1055,""ja"",""vi"")"),"Đấu giá&gt; ô tô, xe máy&gt; xe máy&gt; phụ tùng&gt; ánh sáng, tín hiệu lần lượt")</f>
        <v>Đấu giá&gt; ô tô, xe máy&gt; xe máy&gt; phụ tùng&gt; ánh sáng, tín hiệu lần lượt</v>
      </c>
      <c r="F1055" t="str">
        <f t="shared" ca="1" si="16"/>
        <v>"2084005523" : "Ánh sáng, tín hiệu lần lượt",</v>
      </c>
    </row>
    <row r="1056" spans="1:6" ht="15.75" customHeight="1">
      <c r="A1056" s="18">
        <v>2084019087</v>
      </c>
      <c r="B1056" s="18" t="s">
        <v>14220</v>
      </c>
      <c r="C1056" s="18" t="s">
        <v>14221</v>
      </c>
      <c r="D1056" s="5" t="str">
        <f ca="1">IFERROR(__xludf.DUMMYFUNCTION("GOOGLETRANSLATE(B1056,""ja"",""vi"")"),"đòn bẩy")</f>
        <v>đòn bẩy</v>
      </c>
      <c r="E1056" s="5" t="str">
        <f ca="1">IFERROR(__xludf.DUMMYFUNCTION("GOOGLETRANSLATE(C1056,""ja"",""vi"")"),"Đấu giá&gt; ô tô, xe máy&gt; xe máy&gt; phụ tùng&gt; đòn bẩy")</f>
        <v>Đấu giá&gt; ô tô, xe máy&gt; xe máy&gt; phụ tùng&gt; đòn bẩy</v>
      </c>
      <c r="F1056" t="str">
        <f t="shared" ca="1" si="16"/>
        <v>"2084019087" : "đòn bẩy",</v>
      </c>
    </row>
    <row r="1057" spans="1:6" ht="15.75" customHeight="1">
      <c r="A1057" s="18">
        <v>2084015597</v>
      </c>
      <c r="B1057" s="18" t="s">
        <v>14223</v>
      </c>
      <c r="C1057" s="18" t="s">
        <v>14224</v>
      </c>
      <c r="D1057" s="5" t="str">
        <f ca="1">IFERROR(__xludf.DUMMYFUNCTION("GOOGLETRANSLATE(B1057,""ja"",""vi"")"),"xe máy maker")</f>
        <v>xe máy maker</v>
      </c>
      <c r="E1057" s="5" t="str">
        <f ca="1">IFERROR(__xludf.DUMMYFUNCTION("GOOGLETRANSLATE(C1057,""ja"",""vi"")"),"Đấu giá&gt; ô tô, xe máy&gt; xe máy&gt; phụ tùng&gt; nhà sản xuất xe máy bằng")</f>
        <v>Đấu giá&gt; ô tô, xe máy&gt; xe máy&gt; phụ tùng&gt; nhà sản xuất xe máy bằng</v>
      </c>
      <c r="F1057" t="str">
        <f t="shared" ca="1" si="16"/>
        <v>"2084015597" : "xe máy maker",</v>
      </c>
    </row>
    <row r="1058" spans="1:6" ht="15.75" customHeight="1">
      <c r="A1058" s="18">
        <v>2084255908</v>
      </c>
      <c r="B1058" s="18" t="s">
        <v>5027</v>
      </c>
      <c r="C1058" s="18" t="s">
        <v>14226</v>
      </c>
      <c r="D1058" s="5" t="str">
        <f ca="1">IFERROR(__xludf.DUMMYFUNCTION("GOOGLETRANSLATE(B1058,""ja"",""vi"")"),"âm thanh")</f>
        <v>âm thanh</v>
      </c>
      <c r="E1058" s="5" t="str">
        <f ca="1">IFERROR(__xludf.DUMMYFUNCTION("GOOGLETRANSLATE(C1058,""ja"",""vi"")"),"Đấu giá&gt; ô tô, xe máy&gt; xe máy&gt; phụ tùng&gt; Audio")</f>
        <v>Đấu giá&gt; ô tô, xe máy&gt; xe máy&gt; phụ tùng&gt; Audio</v>
      </c>
      <c r="F1058" t="str">
        <f t="shared" ca="1" si="16"/>
        <v>"2084255908" : "âm thanh",</v>
      </c>
    </row>
    <row r="1059" spans="1:6" ht="15.75" customHeight="1">
      <c r="A1059" s="18">
        <v>2084005531</v>
      </c>
      <c r="B1059" s="18" t="s">
        <v>46</v>
      </c>
      <c r="C1059" s="18" t="s">
        <v>14229</v>
      </c>
      <c r="D1059" s="5" t="str">
        <f ca="1">IFERROR(__xludf.DUMMYFUNCTION("GOOGLETRANSLATE(B1059,""ja"",""vi"")"),"nếu không thì")</f>
        <v>nếu không thì</v>
      </c>
      <c r="E1059" s="5" t="str">
        <f ca="1">IFERROR(__xludf.DUMMYFUNCTION("GOOGLETRANSLATE(C1059,""ja"",""vi"")"),"Đấu giá&gt; ô tô, xe máy&gt; xe máy&gt; phụ tùng&gt; Khác")</f>
        <v>Đấu giá&gt; ô tô, xe máy&gt; xe máy&gt; phụ tùng&gt; Khác</v>
      </c>
      <c r="F1059" t="str">
        <f t="shared" ca="1" si="16"/>
        <v>"2084005531" : "nếu không thì",</v>
      </c>
    </row>
    <row r="1060" spans="1:6" ht="15.75" customHeight="1">
      <c r="A1060" s="18">
        <v>2084012444</v>
      </c>
      <c r="B1060" s="18" t="s">
        <v>14230</v>
      </c>
      <c r="C1060" s="18" t="s">
        <v>14231</v>
      </c>
      <c r="D1060" s="5" t="str">
        <f ca="1">IFERROR(__xludf.DUMMYFUNCTION("GOOGLETRANSLATE(B1060,""ja"",""vi"")"),"Mũ bảo hiểm, khiên")</f>
        <v>Mũ bảo hiểm, khiên</v>
      </c>
      <c r="E1060" s="5" t="str">
        <f ca="1">IFERROR(__xludf.DUMMYFUNCTION("GOOGLETRANSLATE(C1060,""ja"",""vi"")"),"Đấu giá&gt; ô tô, xe máy&gt; xe máy&gt; an ninh, an toàn&gt; mũ bảo hiểm, khiên")</f>
        <v>Đấu giá&gt; ô tô, xe máy&gt; xe máy&gt; an ninh, an toàn&gt; mũ bảo hiểm, khiên</v>
      </c>
      <c r="F1060" t="str">
        <f t="shared" ca="1" si="16"/>
        <v>"2084012444" : "Mũ bảo hiểm, khiên",</v>
      </c>
    </row>
    <row r="1061" spans="1:6" ht="15.75" customHeight="1">
      <c r="A1061" s="18">
        <v>2084012443</v>
      </c>
      <c r="B1061" s="18" t="s">
        <v>8353</v>
      </c>
      <c r="C1061" s="18" t="s">
        <v>14233</v>
      </c>
      <c r="D1061" s="5" t="str">
        <f ca="1">IFERROR(__xludf.DUMMYFUNCTION("GOOGLETRANSLATE(B1061,""ja"",""vi"")"),"người bảo vệ")</f>
        <v>người bảo vệ</v>
      </c>
      <c r="E1061" s="5" t="str">
        <f ca="1">IFERROR(__xludf.DUMMYFUNCTION("GOOGLETRANSLATE(C1061,""ja"",""vi"")"),"Đấu giá&gt; ô tô, xe máy&gt; xe máy&gt; an ninh, an toàn&gt; bảo vệ")</f>
        <v>Đấu giá&gt; ô tô, xe máy&gt; xe máy&gt; an ninh, an toàn&gt; bảo vệ</v>
      </c>
      <c r="F1061" t="str">
        <f t="shared" ca="1" si="16"/>
        <v>"2084012443" : "người bảo vệ",</v>
      </c>
    </row>
    <row r="1062" spans="1:6" ht="15.75" customHeight="1">
      <c r="A1062" s="18">
        <v>2084012445</v>
      </c>
      <c r="B1062" s="18" t="s">
        <v>10590</v>
      </c>
      <c r="C1062" s="18" t="s">
        <v>14235</v>
      </c>
      <c r="D1062" s="5" t="str">
        <f ca="1">IFERROR(__xludf.DUMMYFUNCTION("GOOGLETRANSLATE(B1062,""ja"",""vi"")"),"Chìa khóa, khóa")</f>
        <v>Chìa khóa, khóa</v>
      </c>
      <c r="E1062" s="5" t="str">
        <f ca="1">IFERROR(__xludf.DUMMYFUNCTION("GOOGLETRANSLATE(C1062,""ja"",""vi"")"),"Đấu giá&gt; ô tô, xe máy&gt; xe máy&gt; an ninh, an toàn&gt; Phím, khóa")</f>
        <v>Đấu giá&gt; ô tô, xe máy&gt; xe máy&gt; an ninh, an toàn&gt; Phím, khóa</v>
      </c>
      <c r="F1062" t="str">
        <f t="shared" ca="1" si="16"/>
        <v>"2084012445" : "Chìa khóa, khóa",</v>
      </c>
    </row>
    <row r="1063" spans="1:6" ht="15.75" customHeight="1">
      <c r="A1063" s="18">
        <v>2084012442</v>
      </c>
      <c r="B1063" s="18" t="s">
        <v>14237</v>
      </c>
      <c r="C1063" s="18" t="s">
        <v>14238</v>
      </c>
      <c r="D1063" s="5" t="str">
        <f ca="1">IFERROR(__xludf.DUMMYFUNCTION("GOOGLETRANSLATE(B1063,""ja"",""vi"")"),"báo động")</f>
        <v>báo động</v>
      </c>
      <c r="E1063" s="5" t="str">
        <f ca="1">IFERROR(__xludf.DUMMYFUNCTION("GOOGLETRANSLATE(C1063,""ja"",""vi"")"),"Đấu giá&gt; ô tô, xe máy&gt; xe máy&gt; an ninh, an toàn&gt; báo động")</f>
        <v>Đấu giá&gt; ô tô, xe máy&gt; xe máy&gt; an ninh, an toàn&gt; báo động</v>
      </c>
      <c r="F1063" t="str">
        <f t="shared" ca="1" si="16"/>
        <v>"2084012442" : "báo động",</v>
      </c>
    </row>
    <row r="1064" spans="1:6" ht="15.75" customHeight="1">
      <c r="A1064" s="18">
        <v>2084243570</v>
      </c>
      <c r="B1064" s="18" t="s">
        <v>14241</v>
      </c>
      <c r="C1064" s="18" t="s">
        <v>14242</v>
      </c>
      <c r="D1064" s="5" t="str">
        <f ca="1">IFERROR(__xludf.DUMMYFUNCTION("GOOGLETRANSLATE(B1064,""ja"",""vi"")"),"túi khí")</f>
        <v>túi khí</v>
      </c>
      <c r="E1064" s="5" t="str">
        <f ca="1">IFERROR(__xludf.DUMMYFUNCTION("GOOGLETRANSLATE(C1064,""ja"",""vi"")"),"Đấu giá&gt; ô tô, xe máy&gt; xe máy&gt; an ninh, an toàn&gt; túi khí")</f>
        <v>Đấu giá&gt; ô tô, xe máy&gt; xe máy&gt; an ninh, an toàn&gt; túi khí</v>
      </c>
      <c r="F1064" t="str">
        <f t="shared" ca="1" si="16"/>
        <v>"2084243570" : "túi khí",</v>
      </c>
    </row>
    <row r="1065" spans="1:6" ht="15.75" customHeight="1">
      <c r="A1065" s="18">
        <v>2084012446</v>
      </c>
      <c r="B1065" s="18" t="s">
        <v>46</v>
      </c>
      <c r="C1065" s="18" t="s">
        <v>14245</v>
      </c>
      <c r="D1065" s="5" t="str">
        <f ca="1">IFERROR(__xludf.DUMMYFUNCTION("GOOGLETRANSLATE(B1065,""ja"",""vi"")"),"nếu không thì")</f>
        <v>nếu không thì</v>
      </c>
      <c r="E1065" s="5" t="str">
        <f ca="1">IFERROR(__xludf.DUMMYFUNCTION("GOOGLETRANSLATE(C1065,""ja"",""vi"")"),"Đấu giá&gt; ô tô, xe máy&gt; xe máy&gt; an ninh, an toàn&gt; Khác")</f>
        <v>Đấu giá&gt; ô tô, xe máy&gt; xe máy&gt; an ninh, an toàn&gt; Khác</v>
      </c>
      <c r="F1065" t="str">
        <f t="shared" ca="1" si="16"/>
        <v>"2084012446" : "nếu không thì",</v>
      </c>
    </row>
    <row r="1066" spans="1:6" ht="15.75" customHeight="1">
      <c r="A1066" s="18">
        <v>2084052919</v>
      </c>
      <c r="B1066" s="18" t="s">
        <v>9387</v>
      </c>
      <c r="C1066" s="18" t="s">
        <v>14250</v>
      </c>
      <c r="D1066" s="5" t="str">
        <f ca="1">IFERROR(__xludf.DUMMYFUNCTION("GOOGLETRANSLATE(B1066,""ja"",""vi"")"),"by Nhãn hiệu")</f>
        <v>by Nhãn hiệu</v>
      </c>
      <c r="E1066" s="5" t="str">
        <f ca="1">IFERROR(__xludf.DUMMYFUNCTION("GOOGLETRANSLATE(C1066,""ja"",""vi"")"),"Đấu giá&gt; ô tô, xe máy&gt; xe máy&gt; xe đạp mặc, thiết bị&gt; By Nhãn hiệu")</f>
        <v>Đấu giá&gt; ô tô, xe máy&gt; xe máy&gt; xe đạp mặc, thiết bị&gt; By Nhãn hiệu</v>
      </c>
      <c r="F1066" t="str">
        <f t="shared" ca="1" si="16"/>
        <v>"2084052919" : "by Nhãn hiệu",</v>
      </c>
    </row>
    <row r="1067" spans="1:6" ht="15.75" customHeight="1">
      <c r="A1067" s="18">
        <v>2084012444</v>
      </c>
      <c r="B1067" s="18" t="s">
        <v>7441</v>
      </c>
      <c r="C1067" s="18" t="s">
        <v>14254</v>
      </c>
      <c r="D1067" s="5" t="str">
        <f ca="1">IFERROR(__xludf.DUMMYFUNCTION("GOOGLETRANSLATE(B1067,""ja"",""vi"")"),"mũ bảo hiểm")</f>
        <v>mũ bảo hiểm</v>
      </c>
      <c r="E1067" s="5" t="str">
        <f ca="1">IFERROR(__xludf.DUMMYFUNCTION("GOOGLETRANSLATE(C1067,""ja"",""vi"")"),"Đấu giá&gt; ô tô, xe máy&gt; xe máy&gt; xe đạp mặc, thiết bị&gt; mũ bảo hiểm")</f>
        <v>Đấu giá&gt; ô tô, xe máy&gt; xe máy&gt; xe đạp mặc, thiết bị&gt; mũ bảo hiểm</v>
      </c>
      <c r="F1067" t="str">
        <f t="shared" ca="1" si="16"/>
        <v>"2084012444" : "mũ bảo hiểm",</v>
      </c>
    </row>
    <row r="1068" spans="1:6" ht="15.75" customHeight="1">
      <c r="A1068" s="18">
        <v>2084012434</v>
      </c>
      <c r="B1068" s="18" t="s">
        <v>10481</v>
      </c>
      <c r="C1068" s="18" t="s">
        <v>14258</v>
      </c>
      <c r="D1068" s="5" t="str">
        <f ca="1">IFERROR(__xludf.DUMMYFUNCTION("GOOGLETRANSLATE(B1068,""ja"",""vi"")"),"áo khoác")</f>
        <v>áo khoác</v>
      </c>
      <c r="E1068" s="5" t="str">
        <f ca="1">IFERROR(__xludf.DUMMYFUNCTION("GOOGLETRANSLATE(C1068,""ja"",""vi"")"),"Đấu giá&gt; ô tô, xe máy&gt; xe máy&gt; xe đạp mặc, thiết bị&gt; áo khoác")</f>
        <v>Đấu giá&gt; ô tô, xe máy&gt; xe máy&gt; xe đạp mặc, thiết bị&gt; áo khoác</v>
      </c>
      <c r="F1068" t="str">
        <f t="shared" ca="1" si="16"/>
        <v>"2084012434" : "áo khoác",</v>
      </c>
    </row>
    <row r="1069" spans="1:6" ht="15.75" customHeight="1">
      <c r="A1069" s="18">
        <v>2084012443</v>
      </c>
      <c r="B1069" s="18" t="s">
        <v>8353</v>
      </c>
      <c r="C1069" s="18" t="s">
        <v>14259</v>
      </c>
      <c r="D1069" s="5" t="str">
        <f ca="1">IFERROR(__xludf.DUMMYFUNCTION("GOOGLETRANSLATE(B1069,""ja"",""vi"")"),"người bảo vệ")</f>
        <v>người bảo vệ</v>
      </c>
      <c r="E1069" s="5" t="str">
        <f ca="1">IFERROR(__xludf.DUMMYFUNCTION("GOOGLETRANSLATE(C1069,""ja"",""vi"")"),"Đấu giá&gt; ô tô, xe máy&gt; xe máy&gt; xe đạp mặc, thiết bị&gt; bảo vệ")</f>
        <v>Đấu giá&gt; ô tô, xe máy&gt; xe máy&gt; xe đạp mặc, thiết bị&gt; bảo vệ</v>
      </c>
      <c r="F1069" t="str">
        <f t="shared" ca="1" si="16"/>
        <v>"2084012443" : "người bảo vệ",</v>
      </c>
    </row>
    <row r="1070" spans="1:6" ht="15.75" customHeight="1">
      <c r="A1070" s="18">
        <v>2084235278</v>
      </c>
      <c r="B1070" s="18" t="s">
        <v>10869</v>
      </c>
      <c r="C1070" s="18" t="s">
        <v>14261</v>
      </c>
      <c r="D1070" s="5" t="str">
        <f ca="1">IFERROR(__xludf.DUMMYFUNCTION("GOOGLETRANSLATE(B1070,""ja"",""vi"")"),"tốt")</f>
        <v>tốt</v>
      </c>
      <c r="E1070" s="5" t="str">
        <f ca="1">IFERROR(__xludf.DUMMYFUNCTION("GOOGLETRANSLATE(C1070,""ja"",""vi"")"),"Đấu giá&gt; ô tô, xe máy&gt; xe máy&gt; xe đạp mặc, thiết bị&gt; xuất sắc nhất")</f>
        <v>Đấu giá&gt; ô tô, xe máy&gt; xe máy&gt; xe đạp mặc, thiết bị&gt; xuất sắc nhất</v>
      </c>
      <c r="F1070" t="str">
        <f t="shared" ca="1" si="16"/>
        <v>"2084235278" : "tốt",</v>
      </c>
    </row>
    <row r="1071" spans="1:6" ht="15.75" customHeight="1">
      <c r="A1071" s="18">
        <v>2084243151</v>
      </c>
      <c r="B1071" s="18" t="s">
        <v>8851</v>
      </c>
      <c r="C1071" s="18" t="s">
        <v>14263</v>
      </c>
      <c r="D1071" s="5" t="str">
        <f ca="1">IFERROR(__xludf.DUMMYFUNCTION("GOOGLETRANSLATE(B1071,""ja"",""vi"")"),"áo sơ mi")</f>
        <v>áo sơ mi</v>
      </c>
      <c r="E1071" s="5" t="str">
        <f ca="1">IFERROR(__xludf.DUMMYFUNCTION("GOOGLETRANSLATE(C1071,""ja"",""vi"")"),"Đấu giá&gt; ô tô, xe máy&gt; xe máy&gt; xe đạp mặc, thiết bị&gt; Áo sơ mi")</f>
        <v>Đấu giá&gt; ô tô, xe máy&gt; xe máy&gt; xe đạp mặc, thiết bị&gt; Áo sơ mi</v>
      </c>
      <c r="F1071" t="str">
        <f t="shared" ca="1" si="16"/>
        <v>"2084243151" : "áo sơ mi",</v>
      </c>
    </row>
    <row r="1072" spans="1:6" ht="15.75" customHeight="1">
      <c r="A1072" s="18">
        <v>2084243152</v>
      </c>
      <c r="B1072" s="18" t="s">
        <v>7476</v>
      </c>
      <c r="C1072" s="18" t="s">
        <v>14265</v>
      </c>
      <c r="D1072" s="5" t="str">
        <f ca="1">IFERROR(__xludf.DUMMYFUNCTION("GOOGLETRANSLATE(B1072,""ja"",""vi"")"),"Một T-shirt")</f>
        <v>Một T-shirt</v>
      </c>
      <c r="E1072" s="5" t="str">
        <f ca="1">IFERROR(__xludf.DUMMYFUNCTION("GOOGLETRANSLATE(C1072,""ja"",""vi"")"),"Đấu giá&gt; ô tô, xe máy&gt; xe máy&gt; xe đạp mặc, thiết bị&gt; T-Shirts")</f>
        <v>Đấu giá&gt; ô tô, xe máy&gt; xe máy&gt; xe đạp mặc, thiết bị&gt; T-Shirts</v>
      </c>
      <c r="F1072" t="str">
        <f t="shared" ca="1" si="16"/>
        <v>"2084243152" : "Một T-shirt",</v>
      </c>
    </row>
    <row r="1073" spans="1:6" ht="15.75" customHeight="1">
      <c r="A1073" s="18">
        <v>2084012436</v>
      </c>
      <c r="B1073" s="18" t="s">
        <v>7485</v>
      </c>
      <c r="C1073" s="18" t="s">
        <v>14267</v>
      </c>
      <c r="D1073" s="5" t="str">
        <f ca="1">IFERROR(__xludf.DUMMYFUNCTION("GOOGLETRANSLATE(B1073,""ja"",""vi"")"),"quần")</f>
        <v>quần</v>
      </c>
      <c r="E1073" s="5" t="str">
        <f ca="1">IFERROR(__xludf.DUMMYFUNCTION("GOOGLETRANSLATE(C1073,""ja"",""vi"")"),"Đấu giá&gt; ô tô, xe máy&gt; xe máy&gt; xe đạp mặc, thiết bị&gt; quần")</f>
        <v>Đấu giá&gt; ô tô, xe máy&gt; xe máy&gt; xe đạp mặc, thiết bị&gt; quần</v>
      </c>
      <c r="F1073" t="str">
        <f t="shared" ca="1" si="16"/>
        <v>"2084012436" : "quần",</v>
      </c>
    </row>
    <row r="1074" spans="1:6" ht="15.75" customHeight="1">
      <c r="A1074" s="18">
        <v>2084235277</v>
      </c>
      <c r="B1074" s="18" t="s">
        <v>14269</v>
      </c>
      <c r="C1074" s="18" t="s">
        <v>14270</v>
      </c>
      <c r="D1074" s="5" t="str">
        <f ca="1">IFERROR(__xludf.DUMMYFUNCTION("GOOGLETRANSLATE(B1074,""ja"",""vi"")"),"chaps")</f>
        <v>chaps</v>
      </c>
      <c r="E1074" s="5" t="str">
        <f ca="1">IFERROR(__xludf.DUMMYFUNCTION("GOOGLETRANSLATE(C1074,""ja"",""vi"")"),"Đấu giá&gt; ô tô, xe máy&gt; xe máy&gt; xe đạp mặc, thiết bị&gt; Chaps")</f>
        <v>Đấu giá&gt; ô tô, xe máy&gt; xe máy&gt; xe đạp mặc, thiết bị&gt; Chaps</v>
      </c>
      <c r="F1074" t="str">
        <f t="shared" ca="1" si="16"/>
        <v>"2084235277" : "chaps",</v>
      </c>
    </row>
    <row r="1075" spans="1:6" ht="15.75" customHeight="1">
      <c r="A1075" s="18">
        <v>2084012437</v>
      </c>
      <c r="B1075" s="18" t="s">
        <v>14272</v>
      </c>
      <c r="C1075" s="18" t="s">
        <v>14273</v>
      </c>
      <c r="D1075" s="5" t="str">
        <f ca="1">IFERROR(__xludf.DUMMYFUNCTION("GOOGLETRANSLATE(B1075,""ja"",""vi"")"),"da jumpsuit")</f>
        <v>da jumpsuit</v>
      </c>
      <c r="E1075" s="5" t="str">
        <f ca="1">IFERROR(__xludf.DUMMYFUNCTION("GOOGLETRANSLATE(C1075,""ja"",""vi"")"),"Đấu giá&gt; ô tô, xe máy&gt; xe máy&gt; xe đạp mặc, thiết bị&gt; da jumpsuit")</f>
        <v>Đấu giá&gt; ô tô, xe máy&gt; xe máy&gt; xe đạp mặc, thiết bị&gt; da jumpsuit</v>
      </c>
      <c r="F1075" t="str">
        <f t="shared" ca="1" si="16"/>
        <v>"2084012437" : "da jumpsuit",</v>
      </c>
    </row>
    <row r="1076" spans="1:6" ht="15.75" customHeight="1">
      <c r="A1076" s="18">
        <v>2084012439</v>
      </c>
      <c r="B1076" s="18" t="s">
        <v>7493</v>
      </c>
      <c r="C1076" s="18" t="s">
        <v>14275</v>
      </c>
      <c r="D1076" s="5" t="str">
        <f ca="1">IFERROR(__xludf.DUMMYFUNCTION("GOOGLETRANSLATE(B1076,""ja"",""vi"")"),"đôi giày")</f>
        <v>đôi giày</v>
      </c>
      <c r="E1076" s="5" t="str">
        <f ca="1">IFERROR(__xludf.DUMMYFUNCTION("GOOGLETRANSLATE(C1076,""ja"",""vi"")"),"Đấu giá&gt; ô tô, xe máy&gt; xe máy&gt; xe đạp mặc, thiết bị&gt; giày")</f>
        <v>Đấu giá&gt; ô tô, xe máy&gt; xe máy&gt; xe đạp mặc, thiết bị&gt; giày</v>
      </c>
      <c r="F1076" t="str">
        <f t="shared" ca="1" si="16"/>
        <v>"2084012439" : "đôi giày",</v>
      </c>
    </row>
    <row r="1077" spans="1:6" ht="15.75" customHeight="1">
      <c r="A1077" s="18">
        <v>2084012432</v>
      </c>
      <c r="B1077" s="18" t="s">
        <v>8345</v>
      </c>
      <c r="C1077" s="18" t="s">
        <v>14276</v>
      </c>
      <c r="D1077" s="5" t="str">
        <f ca="1">IFERROR(__xludf.DUMMYFUNCTION("GOOGLETRANSLATE(B1077,""ja"",""vi"")"),"găng tay")</f>
        <v>găng tay</v>
      </c>
      <c r="E1077" s="5" t="str">
        <f ca="1">IFERROR(__xludf.DUMMYFUNCTION("GOOGLETRANSLATE(C1077,""ja"",""vi"")"),"Đấu giá&gt; ô tô, xe máy&gt; xe máy&gt; xe đạp mặc, thiết bị&gt; găng tay")</f>
        <v>Đấu giá&gt; ô tô, xe máy&gt; xe máy&gt; xe đạp mặc, thiết bị&gt; găng tay</v>
      </c>
      <c r="F1077" t="str">
        <f t="shared" ca="1" si="16"/>
        <v>"2084012432" : "găng tay",</v>
      </c>
    </row>
    <row r="1078" spans="1:6" ht="15.75" customHeight="1">
      <c r="A1078" s="18">
        <v>2084012438</v>
      </c>
      <c r="B1078" s="18" t="s">
        <v>14278</v>
      </c>
      <c r="C1078" s="18" t="s">
        <v>14279</v>
      </c>
      <c r="D1078" s="5" t="str">
        <f ca="1">IFERROR(__xludf.DUMMYFUNCTION("GOOGLETRANSLATE(B1078,""ja"",""vi"")"),"Quần áo đi mưa")</f>
        <v>Quần áo đi mưa</v>
      </c>
      <c r="E1078" s="5" t="str">
        <f ca="1">IFERROR(__xludf.DUMMYFUNCTION("GOOGLETRANSLATE(C1078,""ja"",""vi"")"),"Đấu giá&gt; ô tô, xe máy&gt; xe máy&gt; xe đạp mặc, thiết bị&gt; áo mưa")</f>
        <v>Đấu giá&gt; ô tô, xe máy&gt; xe máy&gt; xe đạp mặc, thiết bị&gt; áo mưa</v>
      </c>
      <c r="F1078" t="str">
        <f t="shared" ca="1" si="16"/>
        <v>"2084012438" : "Quần áo đi mưa",</v>
      </c>
    </row>
    <row r="1079" spans="1:6" ht="15.75" customHeight="1">
      <c r="A1079" s="18">
        <v>2084246658</v>
      </c>
      <c r="B1079" s="18" t="s">
        <v>14281</v>
      </c>
      <c r="C1079" s="18" t="s">
        <v>14282</v>
      </c>
      <c r="D1079" s="5" t="str">
        <f ca="1">IFERROR(__xludf.DUMMYFUNCTION("GOOGLETRANSLATE(B1079,""ja"",""vi"")"),"Mặt nạ, cổ ấm")</f>
        <v>Mặt nạ, cổ ấm</v>
      </c>
      <c r="E1079" s="5" t="str">
        <f ca="1">IFERROR(__xludf.DUMMYFUNCTION("GOOGLETRANSLATE(C1079,""ja"",""vi"")"),"Đấu giá&gt; ô tô, xe máy&gt; xe máy&gt; xe đạp mặc, thiết bị&gt; mặt nạ, cổ ấm")</f>
        <v>Đấu giá&gt; ô tô, xe máy&gt; xe máy&gt; xe đạp mặc, thiết bị&gt; mặt nạ, cổ ấm</v>
      </c>
      <c r="F1079" t="str">
        <f t="shared" ca="1" si="16"/>
        <v>"2084246658" : "Mặt nạ, cổ ấm",</v>
      </c>
    </row>
    <row r="1080" spans="1:6" ht="15.75" customHeight="1">
      <c r="A1080" s="18">
        <v>2084012433</v>
      </c>
      <c r="B1080" s="18" t="s">
        <v>14284</v>
      </c>
      <c r="C1080" s="18" t="s">
        <v>14286</v>
      </c>
      <c r="D1080" s="5" t="str">
        <f ca="1">IFERROR(__xludf.DUMMYFUNCTION("GOOGLETRANSLATE(B1080,""ja"",""vi"")"),"Goggles")</f>
        <v>Goggles</v>
      </c>
      <c r="E1080" s="5" t="str">
        <f ca="1">IFERROR(__xludf.DUMMYFUNCTION("GOOGLETRANSLATE(C1080,""ja"",""vi"")"),"Đấu giá&gt; ô tô, xe máy&gt; xe máy&gt; xe đạp mặc, thiết bị&gt; kính")</f>
        <v>Đấu giá&gt; ô tô, xe máy&gt; xe máy&gt; xe đạp mặc, thiết bị&gt; kính</v>
      </c>
      <c r="F1080" t="str">
        <f t="shared" ca="1" si="16"/>
        <v>"2084012433" : "Goggles",</v>
      </c>
    </row>
    <row r="1081" spans="1:6" ht="15.75" customHeight="1">
      <c r="A1081" s="18">
        <v>2084012435</v>
      </c>
      <c r="B1081" s="18" t="s">
        <v>8599</v>
      </c>
      <c r="C1081" s="18" t="s">
        <v>14288</v>
      </c>
      <c r="D1081" s="5" t="str">
        <f ca="1">IFERROR(__xludf.DUMMYFUNCTION("GOOGLETRANSLATE(B1081,""ja"",""vi"")"),"túi")</f>
        <v>túi</v>
      </c>
      <c r="E1081" s="5" t="str">
        <f ca="1">IFERROR(__xludf.DUMMYFUNCTION("GOOGLETRANSLATE(C1081,""ja"",""vi"")"),"Đấu giá&gt; ô tô, xe máy&gt; xe máy&gt; xe đạp mặc, thiết bị&gt; Túi xách")</f>
        <v>Đấu giá&gt; ô tô, xe máy&gt; xe máy&gt; xe đạp mặc, thiết bị&gt; Túi xách</v>
      </c>
      <c r="F1081" t="str">
        <f t="shared" ca="1" si="16"/>
        <v>"2084012435" : "túi",</v>
      </c>
    </row>
    <row r="1082" spans="1:6" ht="15.75" customHeight="1">
      <c r="A1082" s="18">
        <v>2084243153</v>
      </c>
      <c r="B1082" s="18" t="s">
        <v>14290</v>
      </c>
      <c r="C1082" s="18" t="s">
        <v>14291</v>
      </c>
      <c r="D1082" s="5" t="str">
        <f ca="1">IFERROR(__xludf.DUMMYFUNCTION("GOOGLETRANSLATE(B1082,""ja"",""vi"")"),"Túi xách, ví")</f>
        <v>Túi xách, ví</v>
      </c>
      <c r="E1082" s="5" t="str">
        <f ca="1">IFERROR(__xludf.DUMMYFUNCTION("GOOGLETRANSLATE(C1082,""ja"",""vi"")"),"Đấu giá&gt; ô tô, xe máy&gt; xe máy&gt; xe đạp mặc, thiết bị&gt; túi xách, ví")</f>
        <v>Đấu giá&gt; ô tô, xe máy&gt; xe máy&gt; xe đạp mặc, thiết bị&gt; túi xách, ví</v>
      </c>
      <c r="F1082" t="str">
        <f t="shared" ca="1" si="16"/>
        <v>"2084243153" : "Túi xách, ví",</v>
      </c>
    </row>
    <row r="1083" spans="1:6" ht="15.75" customHeight="1">
      <c r="A1083" s="18">
        <v>2084243570</v>
      </c>
      <c r="B1083" s="18" t="s">
        <v>14241</v>
      </c>
      <c r="C1083" s="18" t="s">
        <v>14293</v>
      </c>
      <c r="D1083" s="5" t="str">
        <f ca="1">IFERROR(__xludf.DUMMYFUNCTION("GOOGLETRANSLATE(B1083,""ja"",""vi"")"),"túi khí")</f>
        <v>túi khí</v>
      </c>
      <c r="E1083" s="5" t="str">
        <f ca="1">IFERROR(__xludf.DUMMYFUNCTION("GOOGLETRANSLATE(C1083,""ja"",""vi"")"),"Đấu giá&gt; ô tô, xe máy&gt; xe máy&gt; xe đạp mặc, thiết bị&gt; túi khí")</f>
        <v>Đấu giá&gt; ô tô, xe máy&gt; xe máy&gt; xe đạp mặc, thiết bị&gt; túi khí</v>
      </c>
      <c r="F1083" t="str">
        <f t="shared" ca="1" si="16"/>
        <v>"2084243570" : "túi khí",</v>
      </c>
    </row>
    <row r="1084" spans="1:6" ht="15.75" customHeight="1">
      <c r="A1084" s="18">
        <v>2084012440</v>
      </c>
      <c r="B1084" s="18" t="s">
        <v>46</v>
      </c>
      <c r="C1084" s="18" t="s">
        <v>14296</v>
      </c>
      <c r="D1084" s="5" t="str">
        <f ca="1">IFERROR(__xludf.DUMMYFUNCTION("GOOGLETRANSLATE(B1084,""ja"",""vi"")"),"nếu không thì")</f>
        <v>nếu không thì</v>
      </c>
      <c r="E1084" s="5" t="str">
        <f ca="1">IFERROR(__xludf.DUMMYFUNCTION("GOOGLETRANSLATE(C1084,""ja"",""vi"")"),"Đấu giá&gt; ô tô, xe máy&gt; xe máy&gt; mặc xe đạp, thiết bị&gt; Khác")</f>
        <v>Đấu giá&gt; ô tô, xe máy&gt; xe máy&gt; mặc xe đạp, thiết bị&gt; Khác</v>
      </c>
      <c r="F1084" t="str">
        <f t="shared" ca="1" si="16"/>
        <v>"2084012440" : "nếu không thì",</v>
      </c>
    </row>
    <row r="1085" spans="1:6" ht="15.75" customHeight="1">
      <c r="A1085" s="18">
        <v>2084012427</v>
      </c>
      <c r="B1085" s="18" t="s">
        <v>14298</v>
      </c>
      <c r="C1085" s="18" t="s">
        <v>14299</v>
      </c>
      <c r="D1085" s="5" t="str">
        <f ca="1">IFERROR(__xludf.DUMMYFUNCTION("GOOGLETRANSLATE(B1085,""ja"",""vi"")"),"che")</f>
        <v>che</v>
      </c>
      <c r="E1085" s="5" t="str">
        <f ca="1">IFERROR(__xludf.DUMMYFUNCTION("GOOGLETRANSLATE(C1085,""ja"",""vi"")"),"Đấu giá&gt; ô tô, xe máy&gt; xe máy&gt; Phụ kiện&gt; bìa")</f>
        <v>Đấu giá&gt; ô tô, xe máy&gt; xe máy&gt; Phụ kiện&gt; bìa</v>
      </c>
      <c r="F1085" t="str">
        <f t="shared" ca="1" si="16"/>
        <v>"2084012427" : "che",</v>
      </c>
    </row>
    <row r="1086" spans="1:6" ht="15.75" customHeight="1">
      <c r="A1086" s="18">
        <v>2084012428</v>
      </c>
      <c r="B1086" s="18" t="s">
        <v>14099</v>
      </c>
      <c r="C1086" s="18" t="s">
        <v>14301</v>
      </c>
      <c r="D1086" s="5" t="str">
        <f ca="1">IFERROR(__xludf.DUMMYFUNCTION("GOOGLETRANSLATE(B1086,""ja"",""vi"")"),"Carrier, lấy thanh")</f>
        <v>Carrier, lấy thanh</v>
      </c>
      <c r="E1086" s="5" t="str">
        <f ca="1">IFERROR(__xludf.DUMMYFUNCTION("GOOGLETRANSLATE(C1086,""ja"",""vi"")"),"Đấu giá&gt; ô tô, xe máy&gt; xe máy&gt; Phụ kiện&gt; vận chuyển, thanh lấy")</f>
        <v>Đấu giá&gt; ô tô, xe máy&gt; xe máy&gt; Phụ kiện&gt; vận chuyển, thanh lấy</v>
      </c>
      <c r="F1086" t="str">
        <f t="shared" ca="1" si="16"/>
        <v>"2084012428" : "Carrier, lấy thanh",</v>
      </c>
    </row>
    <row r="1087" spans="1:6" ht="15.75" customHeight="1">
      <c r="A1087" s="18">
        <v>2084235230</v>
      </c>
      <c r="B1087" s="18" t="s">
        <v>14303</v>
      </c>
      <c r="C1087" s="18" t="s">
        <v>14304</v>
      </c>
      <c r="D1087" s="5" t="str">
        <f ca="1">IFERROR(__xludf.DUMMYFUNCTION("GOOGLETRANSLATE(B1087,""ja"",""vi"")"),"túi yên, túi bên")</f>
        <v>túi yên, túi bên</v>
      </c>
      <c r="E1087" s="5" t="str">
        <f ca="1">IFERROR(__xludf.DUMMYFUNCTION("GOOGLETRANSLATE(C1087,""ja"",""vi"")"),"Đấu giá&gt; ô tô, xe máy&gt; xe máy&gt; Phụ kiện&gt; túi yên, túi bên")</f>
        <v>Đấu giá&gt; ô tô, xe máy&gt; xe máy&gt; Phụ kiện&gt; túi yên, túi bên</v>
      </c>
      <c r="F1087" t="str">
        <f t="shared" ca="1" si="16"/>
        <v>"2084235230" : "túi yên, túi bên",</v>
      </c>
    </row>
    <row r="1088" spans="1:6" ht="15.75" customHeight="1">
      <c r="A1088" s="18">
        <v>2084235240</v>
      </c>
      <c r="B1088" s="18" t="s">
        <v>14306</v>
      </c>
      <c r="C1088" s="18" t="s">
        <v>14307</v>
      </c>
      <c r="D1088" s="5" t="str">
        <f ca="1">IFERROR(__xludf.DUMMYFUNCTION("GOOGLETRANSLATE(B1088,""ja"",""vi"")"),"Seat Bag")</f>
        <v>Seat Bag</v>
      </c>
      <c r="E1088" s="5" t="str">
        <f ca="1">IFERROR(__xludf.DUMMYFUNCTION("GOOGLETRANSLATE(C1088,""ja"",""vi"")"),"Đấu giá&gt; ô tô, xe máy&gt; xe máy&gt; Phụ kiện&gt; Seat Bag")</f>
        <v>Đấu giá&gt; ô tô, xe máy&gt; xe máy&gt; Phụ kiện&gt; Seat Bag</v>
      </c>
      <c r="F1088" t="str">
        <f t="shared" ca="1" si="16"/>
        <v>"2084235240" : "Seat Bag",</v>
      </c>
    </row>
    <row r="1089" spans="1:6" ht="15.75" customHeight="1">
      <c r="A1089" s="18">
        <v>2084235229</v>
      </c>
      <c r="B1089" s="18" t="s">
        <v>14309</v>
      </c>
      <c r="C1089" s="18" t="s">
        <v>14310</v>
      </c>
      <c r="D1089" s="5" t="str">
        <f ca="1">IFERROR(__xludf.DUMMYFUNCTION("GOOGLETRANSLATE(B1089,""ja"",""vi"")"),"túi bể")</f>
        <v>túi bể</v>
      </c>
      <c r="E1089" s="5" t="str">
        <f ca="1">IFERROR(__xludf.DUMMYFUNCTION("GOOGLETRANSLATE(C1089,""ja"",""vi"")"),"Đấu giá&gt; ô tô, xe máy&gt; xe máy&gt; Phụ kiện&gt; túi bể")</f>
        <v>Đấu giá&gt; ô tô, xe máy&gt; xe máy&gt; Phụ kiện&gt; túi bể</v>
      </c>
      <c r="F1089" t="str">
        <f t="shared" ca="1" si="16"/>
        <v>"2084235229" : "túi bể",</v>
      </c>
    </row>
    <row r="1090" spans="1:6" ht="15.75" customHeight="1">
      <c r="A1090" s="18">
        <v>2084235237</v>
      </c>
      <c r="B1090" s="18" t="s">
        <v>14312</v>
      </c>
      <c r="C1090" s="18" t="s">
        <v>14313</v>
      </c>
      <c r="D1090" s="5" t="str">
        <f ca="1">IFERROR(__xludf.DUMMYFUNCTION("GOOGLETRANSLATE(B1090,""ja"",""vi"")"),"Trường hợp đầu")</f>
        <v>Trường hợp đầu</v>
      </c>
      <c r="E1090" s="5" t="str">
        <f ca="1">IFERROR(__xludf.DUMMYFUNCTION("GOOGLETRANSLATE(C1090,""ja"",""vi"")"),"Đấu giá&gt; ô tô, xe máy&gt; xe máy&gt; Phụ kiện&gt; trường hợp đầu")</f>
        <v>Đấu giá&gt; ô tô, xe máy&gt; xe máy&gt; Phụ kiện&gt; trường hợp đầu</v>
      </c>
      <c r="F1090" t="str">
        <f t="shared" ref="F1090:F1153" ca="1" si="17">CONCATENATE(CHAR(34)&amp;"",A1090,""&amp;CHAR(34)," : ", CHAR(34)&amp;"",D1090,""&amp;CHAR(34),",")</f>
        <v>"2084235237" : "Trường hợp đầu",</v>
      </c>
    </row>
    <row r="1091" spans="1:6" ht="15.75" customHeight="1">
      <c r="A1091" s="18">
        <v>2084235236</v>
      </c>
      <c r="B1091" s="18" t="s">
        <v>14317</v>
      </c>
      <c r="C1091" s="18" t="s">
        <v>14319</v>
      </c>
      <c r="D1091" s="5" t="str">
        <f ca="1">IFERROR(__xludf.DUMMYFUNCTION("GOOGLETRANSLATE(B1091,""ja"",""vi"")"),"trường hợp thúng")</f>
        <v>trường hợp thúng</v>
      </c>
      <c r="E1091" s="5" t="str">
        <f ca="1">IFERROR(__xludf.DUMMYFUNCTION("GOOGLETRANSLATE(C1091,""ja"",""vi"")"),"Đấu giá&gt; ô tô, xe máy&gt; xe máy&gt; Phụ kiện&gt; trường hợp Pannier")</f>
        <v>Đấu giá&gt; ô tô, xe máy&gt; xe máy&gt; Phụ kiện&gt; trường hợp Pannier</v>
      </c>
      <c r="F1091" t="str">
        <f t="shared" ca="1" si="17"/>
        <v>"2084235236" : "trường hợp thúng",</v>
      </c>
    </row>
    <row r="1092" spans="1:6" ht="15.75" customHeight="1">
      <c r="A1092" s="18">
        <v>2084235378</v>
      </c>
      <c r="B1092" s="18" t="s">
        <v>14323</v>
      </c>
      <c r="C1092" s="18" t="s">
        <v>14326</v>
      </c>
      <c r="D1092" s="5" t="str">
        <f ca="1">IFERROR(__xludf.DUMMYFUNCTION("GOOGLETRANSLATE(B1092,""ja"",""vi"")"),"giỏ trước")</f>
        <v>giỏ trước</v>
      </c>
      <c r="E1092" s="5" t="str">
        <f ca="1">IFERROR(__xludf.DUMMYFUNCTION("GOOGLETRANSLATE(C1092,""ja"",""vi"")"),"Đấu giá&gt; ô tô, xe máy&gt; xe máy&gt; Phụ kiện&gt; giỏ Mặt trận")</f>
        <v>Đấu giá&gt; ô tô, xe máy&gt; xe máy&gt; Phụ kiện&gt; giỏ Mặt trận</v>
      </c>
      <c r="F1092" t="str">
        <f t="shared" ca="1" si="17"/>
        <v>"2084235378" : "giỏ trước",</v>
      </c>
    </row>
    <row r="1093" spans="1:6" ht="15.75" customHeight="1">
      <c r="A1093" s="18">
        <v>2084235868</v>
      </c>
      <c r="B1093" s="18" t="s">
        <v>14332</v>
      </c>
      <c r="C1093" s="18" t="s">
        <v>14334</v>
      </c>
      <c r="D1093" s="5" t="str">
        <f ca="1">IFERROR(__xludf.DUMMYFUNCTION("GOOGLETRANSLATE(B1093,""ja"",""vi"")"),"Touring lưới, dây thừng")</f>
        <v>Touring lưới, dây thừng</v>
      </c>
      <c r="E1093" s="5" t="str">
        <f ca="1">IFERROR(__xludf.DUMMYFUNCTION("GOOGLETRANSLATE(C1093,""ja"",""vi"")"),"Đấu giá&gt; ô tô, xe máy&gt; xe máy&gt; Phụ kiện&gt; Touring Net, dây thừng")</f>
        <v>Đấu giá&gt; ô tô, xe máy&gt; xe máy&gt; Phụ kiện&gt; Touring Net, dây thừng</v>
      </c>
      <c r="F1093" t="str">
        <f t="shared" ca="1" si="17"/>
        <v>"2084235868" : "Touring lưới, dây thừng",</v>
      </c>
    </row>
    <row r="1094" spans="1:6" ht="15.75" customHeight="1">
      <c r="A1094" s="18">
        <v>2084208690</v>
      </c>
      <c r="B1094" s="18" t="s">
        <v>10698</v>
      </c>
      <c r="C1094" s="18" t="s">
        <v>14337</v>
      </c>
      <c r="D1094" s="5" t="str">
        <f ca="1">IFERROR(__xludf.DUMMYFUNCTION("GOOGLETRANSLATE(B1094,""ja"",""vi"")"),"Lều cho chuyến lưu diễn")</f>
        <v>Lều cho chuyến lưu diễn</v>
      </c>
      <c r="E1094" s="5" t="str">
        <f ca="1">IFERROR(__xludf.DUMMYFUNCTION("GOOGLETRANSLATE(C1094,""ja"",""vi"")"),"Đấu giá&gt; ô tô, xe máy&gt; xe máy&gt; Phụ kiện&gt; lều cho chuyến lưu diễn")</f>
        <v>Đấu giá&gt; ô tô, xe máy&gt; xe máy&gt; Phụ kiện&gt; lều cho chuyến lưu diễn</v>
      </c>
      <c r="F1094" t="str">
        <f t="shared" ca="1" si="17"/>
        <v>"2084208690" : "Lều cho chuyến lưu diễn",</v>
      </c>
    </row>
    <row r="1095" spans="1:6" ht="15.75" customHeight="1">
      <c r="A1095" s="18">
        <v>2084012429</v>
      </c>
      <c r="B1095" s="18" t="s">
        <v>14340</v>
      </c>
      <c r="C1095" s="18" t="s">
        <v>14341</v>
      </c>
      <c r="D1095" s="5" t="str">
        <f ca="1">IFERROR(__xludf.DUMMYFUNCTION("GOOGLETRANSLATE(B1095,""ja"",""vi"")"),"Sticker, decal")</f>
        <v>Sticker, decal</v>
      </c>
      <c r="E1095" s="5" t="str">
        <f ca="1">IFERROR(__xludf.DUMMYFUNCTION("GOOGLETRANSLATE(C1095,""ja"",""vi"")"),"Đấu giá&gt; ô tô, xe máy&gt; xe máy&gt; Phụ kiện&gt; dán, decal")</f>
        <v>Đấu giá&gt; ô tô, xe máy&gt; xe máy&gt; Phụ kiện&gt; dán, decal</v>
      </c>
      <c r="F1095" t="str">
        <f t="shared" ca="1" si="17"/>
        <v>"2084012429" : "Sticker, decal",</v>
      </c>
    </row>
    <row r="1096" spans="1:6" ht="15.75" customHeight="1">
      <c r="A1096" s="18">
        <v>2084255908</v>
      </c>
      <c r="B1096" s="18" t="s">
        <v>5027</v>
      </c>
      <c r="C1096" s="18" t="s">
        <v>14346</v>
      </c>
      <c r="D1096" s="5" t="str">
        <f ca="1">IFERROR(__xludf.DUMMYFUNCTION("GOOGLETRANSLATE(B1096,""ja"",""vi"")"),"âm thanh")</f>
        <v>âm thanh</v>
      </c>
      <c r="E1096" s="5" t="str">
        <f ca="1">IFERROR(__xludf.DUMMYFUNCTION("GOOGLETRANSLATE(C1096,""ja"",""vi"")"),"Đấu giá&gt; ô tô, xe máy&gt; xe máy&gt; Phụ kiện&gt; Audio")</f>
        <v>Đấu giá&gt; ô tô, xe máy&gt; xe máy&gt; Phụ kiện&gt; Audio</v>
      </c>
      <c r="F1096" t="str">
        <f t="shared" ca="1" si="17"/>
        <v>"2084255908" : "âm thanh",</v>
      </c>
    </row>
    <row r="1097" spans="1:6" ht="15.75" customHeight="1">
      <c r="A1097" s="18">
        <v>2084255907</v>
      </c>
      <c r="B1097" s="18" t="s">
        <v>14351</v>
      </c>
      <c r="C1097" s="18" t="s">
        <v>14352</v>
      </c>
      <c r="D1097" s="5" t="str">
        <f ca="1">IFERROR(__xludf.DUMMYFUNCTION("GOOGLETRANSLATE(B1097,""ja"",""vi"")"),"Navi")</f>
        <v>Navi</v>
      </c>
      <c r="E1097" s="5" t="str">
        <f ca="1">IFERROR(__xludf.DUMMYFUNCTION("GOOGLETRANSLATE(C1097,""ja"",""vi"")"),"Đấu giá&gt; ô tô, xe máy&gt; xe máy&gt; Phụ kiện&gt; Navigation")</f>
        <v>Đấu giá&gt; ô tô, xe máy&gt; xe máy&gt; Phụ kiện&gt; Navigation</v>
      </c>
      <c r="F1097" t="str">
        <f t="shared" ca="1" si="17"/>
        <v>"2084255907" : "Navi",</v>
      </c>
    </row>
    <row r="1098" spans="1:6" ht="15.75" customHeight="1">
      <c r="A1098" s="18">
        <v>2084012445</v>
      </c>
      <c r="B1098" s="18" t="s">
        <v>10590</v>
      </c>
      <c r="C1098" s="18" t="s">
        <v>14356</v>
      </c>
      <c r="D1098" s="5" t="str">
        <f ca="1">IFERROR(__xludf.DUMMYFUNCTION("GOOGLETRANSLATE(B1098,""ja"",""vi"")"),"Chìa khóa, khóa")</f>
        <v>Chìa khóa, khóa</v>
      </c>
      <c r="E1098" s="5" t="str">
        <f ca="1">IFERROR(__xludf.DUMMYFUNCTION("GOOGLETRANSLATE(C1098,""ja"",""vi"")"),"Đấu giá&gt; ô tô, xe máy&gt; xe máy&gt; Phụ kiện&gt; then chốt, khóa")</f>
        <v>Đấu giá&gt; ô tô, xe máy&gt; xe máy&gt; Phụ kiện&gt; then chốt, khóa</v>
      </c>
      <c r="F1098" t="str">
        <f t="shared" ca="1" si="17"/>
        <v>"2084012445" : "Chìa khóa, khóa",</v>
      </c>
    </row>
    <row r="1099" spans="1:6" ht="15.75" customHeight="1">
      <c r="A1099" s="18">
        <v>2084012442</v>
      </c>
      <c r="B1099" s="18" t="s">
        <v>14237</v>
      </c>
      <c r="C1099" s="18" t="s">
        <v>14359</v>
      </c>
      <c r="D1099" s="5" t="str">
        <f ca="1">IFERROR(__xludf.DUMMYFUNCTION("GOOGLETRANSLATE(B1099,""ja"",""vi"")"),"báo động")</f>
        <v>báo động</v>
      </c>
      <c r="E1099" s="5" t="str">
        <f ca="1">IFERROR(__xludf.DUMMYFUNCTION("GOOGLETRANSLATE(C1099,""ja"",""vi"")"),"Đấu giá&gt; ô tô, xe máy&gt; xe máy&gt; Phụ kiện&gt; báo động")</f>
        <v>Đấu giá&gt; ô tô, xe máy&gt; xe máy&gt; Phụ kiện&gt; báo động</v>
      </c>
      <c r="F1099" t="str">
        <f t="shared" ca="1" si="17"/>
        <v>"2084012442" : "báo động",</v>
      </c>
    </row>
    <row r="1100" spans="1:6" ht="15.75" customHeight="1">
      <c r="A1100" s="18">
        <v>2084019981</v>
      </c>
      <c r="B1100" s="18" t="s">
        <v>7699</v>
      </c>
      <c r="C1100" s="18" t="s">
        <v>14363</v>
      </c>
      <c r="D1100" s="5" t="str">
        <f ca="1">IFERROR(__xludf.DUMMYFUNCTION("GOOGLETRANSLATE(B1100,""ja"",""vi"")"),"key Chains")</f>
        <v>key Chains</v>
      </c>
      <c r="E1100" s="5" t="str">
        <f ca="1">IFERROR(__xludf.DUMMYFUNCTION("GOOGLETRANSLATE(C1100,""ja"",""vi"")"),"Đấu giá&gt; ô tô, xe máy&gt; xe máy&gt; Phụ kiện&gt; Keychain")</f>
        <v>Đấu giá&gt; ô tô, xe máy&gt; xe máy&gt; Phụ kiện&gt; Keychain</v>
      </c>
      <c r="F1100" t="str">
        <f t="shared" ca="1" si="17"/>
        <v>"2084019981" : "key Chains",</v>
      </c>
    </row>
    <row r="1101" spans="1:6" ht="15.75" customHeight="1">
      <c r="A1101" s="18">
        <v>2084012432</v>
      </c>
      <c r="B1101" s="18" t="s">
        <v>8345</v>
      </c>
      <c r="C1101" s="18" t="s">
        <v>14368</v>
      </c>
      <c r="D1101" s="5" t="str">
        <f ca="1">IFERROR(__xludf.DUMMYFUNCTION("GOOGLETRANSLATE(B1101,""ja"",""vi"")"),"găng tay")</f>
        <v>găng tay</v>
      </c>
      <c r="E1101" s="5" t="str">
        <f ca="1">IFERROR(__xludf.DUMMYFUNCTION("GOOGLETRANSLATE(C1101,""ja"",""vi"")"),"Đấu giá&gt; ô tô, xe máy&gt; xe máy&gt; Phụ kiện&gt; Găng tay")</f>
        <v>Đấu giá&gt; ô tô, xe máy&gt; xe máy&gt; Phụ kiện&gt; Găng tay</v>
      </c>
      <c r="F1101" t="str">
        <f t="shared" ca="1" si="17"/>
        <v>"2084012432" : "găng tay",</v>
      </c>
    </row>
    <row r="1102" spans="1:6" ht="15.75" customHeight="1">
      <c r="A1102" s="18">
        <v>2084012433</v>
      </c>
      <c r="B1102" s="18" t="s">
        <v>14284</v>
      </c>
      <c r="C1102" s="18" t="s">
        <v>14370</v>
      </c>
      <c r="D1102" s="5" t="str">
        <f ca="1">IFERROR(__xludf.DUMMYFUNCTION("GOOGLETRANSLATE(B1102,""ja"",""vi"")"),"Goggles")</f>
        <v>Goggles</v>
      </c>
      <c r="E1102" s="5" t="str">
        <f ca="1">IFERROR(__xludf.DUMMYFUNCTION("GOOGLETRANSLATE(C1102,""ja"",""vi"")"),"Đấu giá&gt; ô tô, xe máy&gt; xe máy&gt; Phụ kiện&gt; Goggles")</f>
        <v>Đấu giá&gt; ô tô, xe máy&gt; xe máy&gt; Phụ kiện&gt; Goggles</v>
      </c>
      <c r="F1102" t="str">
        <f t="shared" ca="1" si="17"/>
        <v>"2084012433" : "Goggles",</v>
      </c>
    </row>
    <row r="1103" spans="1:6" ht="15.75" customHeight="1">
      <c r="A1103" s="18">
        <v>2084235242</v>
      </c>
      <c r="B1103" s="18" t="s">
        <v>14372</v>
      </c>
      <c r="C1103" s="18" t="s">
        <v>14373</v>
      </c>
      <c r="D1103" s="5" t="str">
        <f ca="1">IFERROR(__xludf.DUMMYFUNCTION("GOOGLETRANSLATE(B1103,""ja"",""vi"")"),"Công cụ Bag")</f>
        <v>Công cụ Bag</v>
      </c>
      <c r="E1103" s="5" t="str">
        <f ca="1">IFERROR(__xludf.DUMMYFUNCTION("GOOGLETRANSLATE(C1103,""ja"",""vi"")"),"Đấu giá&gt; ô tô, xe máy&gt; xe máy&gt; Phụ kiện&gt; túi công cụ")</f>
        <v>Đấu giá&gt; ô tô, xe máy&gt; xe máy&gt; Phụ kiện&gt; túi công cụ</v>
      </c>
      <c r="F1103" t="str">
        <f t="shared" ca="1" si="17"/>
        <v>"2084235242" : "Công cụ Bag",</v>
      </c>
    </row>
    <row r="1104" spans="1:6" ht="15.75" customHeight="1">
      <c r="A1104" s="18">
        <v>2084012435</v>
      </c>
      <c r="B1104" s="18" t="s">
        <v>8599</v>
      </c>
      <c r="C1104" s="18" t="s">
        <v>14375</v>
      </c>
      <c r="D1104" s="5" t="str">
        <f ca="1">IFERROR(__xludf.DUMMYFUNCTION("GOOGLETRANSLATE(B1104,""ja"",""vi"")"),"túi")</f>
        <v>túi</v>
      </c>
      <c r="E1104" s="5" t="str">
        <f ca="1">IFERROR(__xludf.DUMMYFUNCTION("GOOGLETRANSLATE(C1104,""ja"",""vi"")"),"Đấu giá&gt; ô tô, xe máy&gt; xe máy&gt; Phụ kiện&gt; Túi xách")</f>
        <v>Đấu giá&gt; ô tô, xe máy&gt; xe máy&gt; Phụ kiện&gt; Túi xách</v>
      </c>
      <c r="F1104" t="str">
        <f t="shared" ca="1" si="17"/>
        <v>"2084012435" : "túi",</v>
      </c>
    </row>
    <row r="1105" spans="1:6" ht="15.75" customHeight="1">
      <c r="A1105" s="18">
        <v>2084012443</v>
      </c>
      <c r="B1105" s="18" t="s">
        <v>8353</v>
      </c>
      <c r="C1105" s="18" t="s">
        <v>14377</v>
      </c>
      <c r="D1105" s="5" t="str">
        <f ca="1">IFERROR(__xludf.DUMMYFUNCTION("GOOGLETRANSLATE(B1105,""ja"",""vi"")"),"người bảo vệ")</f>
        <v>người bảo vệ</v>
      </c>
      <c r="E1105" s="5" t="str">
        <f ca="1">IFERROR(__xludf.DUMMYFUNCTION("GOOGLETRANSLATE(C1105,""ja"",""vi"")"),"Đấu giá&gt; ô tô, xe máy&gt; xe máy&gt; Phụ kiện&gt; Protector")</f>
        <v>Đấu giá&gt; ô tô, xe máy&gt; xe máy&gt; Phụ kiện&gt; Protector</v>
      </c>
      <c r="F1105" t="str">
        <f t="shared" ca="1" si="17"/>
        <v>"2084012443" : "người bảo vệ",</v>
      </c>
    </row>
    <row r="1106" spans="1:6" ht="15.75" customHeight="1">
      <c r="A1106" s="18">
        <v>2084012438</v>
      </c>
      <c r="B1106" s="18" t="s">
        <v>14278</v>
      </c>
      <c r="C1106" s="18" t="s">
        <v>14381</v>
      </c>
      <c r="D1106" s="5" t="str">
        <f ca="1">IFERROR(__xludf.DUMMYFUNCTION("GOOGLETRANSLATE(B1106,""ja"",""vi"")"),"Quần áo đi mưa")</f>
        <v>Quần áo đi mưa</v>
      </c>
      <c r="E1106" s="5" t="str">
        <f ca="1">IFERROR(__xludf.DUMMYFUNCTION("GOOGLETRANSLATE(C1106,""ja"",""vi"")"),"Đấu giá&gt; ô tô, xe máy&gt; xe máy&gt; Phụ kiện&gt; áo mưa")</f>
        <v>Đấu giá&gt; ô tô, xe máy&gt; xe máy&gt; Phụ kiện&gt; áo mưa</v>
      </c>
      <c r="F1106" t="str">
        <f t="shared" ca="1" si="17"/>
        <v>"2084012438" : "Quần áo đi mưa",</v>
      </c>
    </row>
    <row r="1107" spans="1:6" ht="15.75" customHeight="1">
      <c r="A1107" s="18">
        <v>2084243153</v>
      </c>
      <c r="B1107" s="18" t="s">
        <v>14290</v>
      </c>
      <c r="C1107" s="18" t="s">
        <v>14385</v>
      </c>
      <c r="D1107" s="5" t="str">
        <f ca="1">IFERROR(__xludf.DUMMYFUNCTION("GOOGLETRANSLATE(B1107,""ja"",""vi"")"),"Túi xách, ví")</f>
        <v>Túi xách, ví</v>
      </c>
      <c r="E1107" s="5" t="str">
        <f ca="1">IFERROR(__xludf.DUMMYFUNCTION("GOOGLETRANSLATE(C1107,""ja"",""vi"")"),"Đấu giá&gt; ô tô, xe máy&gt; xe máy&gt; Phụ kiện&gt; túi xách, ví")</f>
        <v>Đấu giá&gt; ô tô, xe máy&gt; xe máy&gt; Phụ kiện&gt; túi xách, ví</v>
      </c>
      <c r="F1107" t="str">
        <f t="shared" ca="1" si="17"/>
        <v>"2084243153" : "Túi xách, ví",</v>
      </c>
    </row>
    <row r="1108" spans="1:6" ht="15.75" customHeight="1">
      <c r="A1108" s="18">
        <v>2084012430</v>
      </c>
      <c r="B1108" s="18" t="s">
        <v>46</v>
      </c>
      <c r="C1108" s="18" t="s">
        <v>14387</v>
      </c>
      <c r="D1108" s="5" t="str">
        <f ca="1">IFERROR(__xludf.DUMMYFUNCTION("GOOGLETRANSLATE(B1108,""ja"",""vi"")"),"nếu không thì")</f>
        <v>nếu không thì</v>
      </c>
      <c r="E1108" s="5" t="str">
        <f ca="1">IFERROR(__xludf.DUMMYFUNCTION("GOOGLETRANSLATE(C1108,""ja"",""vi"")"),"Đấu giá&gt; ô tô, xe máy&gt; xe máy&gt; Phụ kiện&gt; Khác")</f>
        <v>Đấu giá&gt; ô tô, xe máy&gt; xe máy&gt; Phụ kiện&gt; Khác</v>
      </c>
      <c r="F1108" t="str">
        <f t="shared" ca="1" si="17"/>
        <v>"2084012430" : "nếu không thì",</v>
      </c>
    </row>
    <row r="1109" spans="1:6" ht="15.75" customHeight="1">
      <c r="A1109" s="18">
        <v>2084005528</v>
      </c>
      <c r="B1109" s="18" t="s">
        <v>14186</v>
      </c>
      <c r="C1109" s="18" t="s">
        <v>14390</v>
      </c>
      <c r="D1109" s="5" t="str">
        <f ca="1">IFERROR(__xludf.DUMMYFUNCTION("GOOGLETRANSLATE(B1109,""ja"",""vi"")"),"ắc quy")</f>
        <v>ắc quy</v>
      </c>
      <c r="E1109" s="5" t="str">
        <f ca="1">IFERROR(__xludf.DUMMYFUNCTION("GOOGLETRANSLATE(C1109,""ja"",""vi"")"),"Đấu giá&gt; ô tô, xe máy&gt; xe máy&gt; bảo trì&gt; pin")</f>
        <v>Đấu giá&gt; ô tô, xe máy&gt; xe máy&gt; bảo trì&gt; pin</v>
      </c>
      <c r="F1109" t="str">
        <f t="shared" ca="1" si="17"/>
        <v>"2084005528" : "ắc quy",</v>
      </c>
    </row>
    <row r="1110" spans="1:6" ht="15.75" customHeight="1">
      <c r="A1110" s="18">
        <v>2084012449</v>
      </c>
      <c r="B1110" s="18" t="s">
        <v>14394</v>
      </c>
      <c r="C1110" s="18" t="s">
        <v>14395</v>
      </c>
      <c r="D1110" s="5" t="str">
        <f ca="1">IFERROR(__xludf.DUMMYFUNCTION("GOOGLETRANSLATE(B1110,""ja"",""vi"")"),"dầu")</f>
        <v>dầu</v>
      </c>
      <c r="E1110" s="5" t="str">
        <f ca="1">IFERROR(__xludf.DUMMYFUNCTION("GOOGLETRANSLATE(C1110,""ja"",""vi"")"),"Đấu giá&gt; ô tô, xe máy&gt; xe máy&gt; bảo dưỡng&gt; dầu")</f>
        <v>Đấu giá&gt; ô tô, xe máy&gt; xe máy&gt; bảo dưỡng&gt; dầu</v>
      </c>
      <c r="F1110" t="str">
        <f t="shared" ca="1" si="17"/>
        <v>"2084012449" : "dầu",</v>
      </c>
    </row>
    <row r="1111" spans="1:6" ht="15.75" customHeight="1">
      <c r="A1111" s="18">
        <v>2084012450</v>
      </c>
      <c r="B1111" s="18" t="s">
        <v>3400</v>
      </c>
      <c r="C1111" s="18" t="s">
        <v>14400</v>
      </c>
      <c r="D1111" s="5" t="str">
        <f ca="1">IFERROR(__xludf.DUMMYFUNCTION("GOOGLETRANSLATE(B1111,""ja"",""vi"")"),"Lọc")</f>
        <v>Lọc</v>
      </c>
      <c r="E1111" s="5" t="str">
        <f ca="1">IFERROR(__xludf.DUMMYFUNCTION("GOOGLETRANSLATE(C1111,""ja"",""vi"")"),"Đấu giá&gt; ô tô, xe máy&gt; xe máy&gt; bảo trì&gt; lọc")</f>
        <v>Đấu giá&gt; ô tô, xe máy&gt; xe máy&gt; bảo trì&gt; lọc</v>
      </c>
      <c r="F1111" t="str">
        <f t="shared" ca="1" si="17"/>
        <v>"2084012450" : "Lọc",</v>
      </c>
    </row>
    <row r="1112" spans="1:6" ht="15.75" customHeight="1">
      <c r="A1112" s="18">
        <v>2084288316</v>
      </c>
      <c r="B1112" s="18" t="s">
        <v>4614</v>
      </c>
      <c r="C1112" s="18" t="s">
        <v>14405</v>
      </c>
      <c r="D1112" s="5" t="str">
        <f ca="1">IFERROR(__xludf.DUMMYFUNCTION("GOOGLETRANSLATE(B1112,""ja"",""vi"")"),"đứng")</f>
        <v>đứng</v>
      </c>
      <c r="E1112" s="5" t="str">
        <f ca="1">IFERROR(__xludf.DUMMYFUNCTION("GOOGLETRANSLATE(C1112,""ja"",""vi"")"),"Đấu giá&gt; ô tô, xe máy&gt; xe máy&gt; bảo trì&gt; Đứng")</f>
        <v>Đấu giá&gt; ô tô, xe máy&gt; xe máy&gt; bảo trì&gt; Đứng</v>
      </c>
      <c r="F1112" t="str">
        <f t="shared" ca="1" si="17"/>
        <v>"2084288316" : "đứng",</v>
      </c>
    </row>
    <row r="1113" spans="1:6" ht="15.75" customHeight="1">
      <c r="A1113" s="18">
        <v>2084042022</v>
      </c>
      <c r="B1113" s="18" t="s">
        <v>6242</v>
      </c>
      <c r="C1113" s="18" t="s">
        <v>14409</v>
      </c>
      <c r="D1113" s="5" t="str">
        <f ca="1">IFERROR(__xludf.DUMMYFUNCTION("GOOGLETRANSLATE(B1113,""ja"",""vi"")"),"dụng cụ")</f>
        <v>dụng cụ</v>
      </c>
      <c r="E1113" s="5" t="str">
        <f ca="1">IFERROR(__xludf.DUMMYFUNCTION("GOOGLETRANSLATE(C1113,""ja"",""vi"")"),"Đấu giá&gt; ô tô, xe máy&gt; xe máy&gt; bảo trì&gt; Công cụ")</f>
        <v>Đấu giá&gt; ô tô, xe máy&gt; xe máy&gt; bảo trì&gt; Công cụ</v>
      </c>
      <c r="F1113" t="str">
        <f t="shared" ca="1" si="17"/>
        <v>"2084042022" : "dụng cụ",</v>
      </c>
    </row>
    <row r="1114" spans="1:6" ht="15.75" customHeight="1">
      <c r="A1114" s="18">
        <v>2084012452</v>
      </c>
      <c r="B1114" s="18" t="s">
        <v>46</v>
      </c>
      <c r="C1114" s="18" t="s">
        <v>14414</v>
      </c>
      <c r="D1114" s="5" t="str">
        <f ca="1">IFERROR(__xludf.DUMMYFUNCTION("GOOGLETRANSLATE(B1114,""ja"",""vi"")"),"nếu không thì")</f>
        <v>nếu không thì</v>
      </c>
      <c r="E1114" s="5" t="str">
        <f ca="1">IFERROR(__xludf.DUMMYFUNCTION("GOOGLETRANSLATE(C1114,""ja"",""vi"")"),"Đấu giá&gt; ô tô, xe máy&gt; xe máy&gt; bảo trì&gt; Khác")</f>
        <v>Đấu giá&gt; ô tô, xe máy&gt; xe máy&gt; bảo trì&gt; Khác</v>
      </c>
      <c r="F1114" t="str">
        <f t="shared" ca="1" si="17"/>
        <v>"2084012452" : "nếu không thì",</v>
      </c>
    </row>
    <row r="1115" spans="1:6" ht="15.75" customHeight="1">
      <c r="A1115" s="18">
        <v>2084042020</v>
      </c>
      <c r="B1115" s="18" t="s">
        <v>14417</v>
      </c>
      <c r="C1115" s="18" t="s">
        <v>14419</v>
      </c>
      <c r="D1115" s="5" t="str">
        <f ca="1">IFERROR(__xludf.DUMMYFUNCTION("GOOGLETRANSLATE(B1115,""ja"",""vi"")"),"Air Tools")</f>
        <v>Air Tools</v>
      </c>
      <c r="E1115" s="5" t="str">
        <f ca="1">IFERROR(__xludf.DUMMYFUNCTION("GOOGLETRANSLATE(C1115,""ja"",""vi"")"),"Đấu giá&gt; ô tô, xe máy&gt; xe máy&gt; Tools&gt; Air Tools")</f>
        <v>Đấu giá&gt; ô tô, xe máy&gt; xe máy&gt; Tools&gt; Air Tools</v>
      </c>
      <c r="F1115" t="str">
        <f t="shared" ca="1" si="17"/>
        <v>"2084042020" : "Air Tools",</v>
      </c>
    </row>
    <row r="1116" spans="1:6" ht="15.75" customHeight="1">
      <c r="A1116" s="18">
        <v>2084042052</v>
      </c>
      <c r="B1116" s="18" t="s">
        <v>14422</v>
      </c>
      <c r="C1116" s="18" t="s">
        <v>14423</v>
      </c>
      <c r="D1116" s="5" t="str">
        <f ca="1">IFERROR(__xludf.DUMMYFUNCTION("GOOGLETRANSLATE(B1116,""ja"",""vi"")"),"gauge nén")</f>
        <v>gauge nén</v>
      </c>
      <c r="E1116" s="5" t="str">
        <f ca="1">IFERROR(__xludf.DUMMYFUNCTION("GOOGLETRANSLATE(C1116,""ja"",""vi"")"),"Đấu giá&gt; ô tô, xe máy&gt; xe máy&gt; công cụ&gt; gauge nén")</f>
        <v>Đấu giá&gt; ô tô, xe máy&gt; xe máy&gt; công cụ&gt; gauge nén</v>
      </c>
      <c r="F1116" t="str">
        <f t="shared" ca="1" si="17"/>
        <v>"2084042052" : "gauge nén",</v>
      </c>
    </row>
    <row r="1117" spans="1:6" ht="15.75" customHeight="1">
      <c r="A1117" s="18">
        <v>2084042058</v>
      </c>
      <c r="B1117" s="18" t="s">
        <v>14427</v>
      </c>
      <c r="C1117" s="18" t="s">
        <v>14428</v>
      </c>
      <c r="D1117" s="5" t="str">
        <f ca="1">IFERROR(__xludf.DUMMYFUNCTION("GOOGLETRANSLATE(B1117,""ja"",""vi"")"),"lốp đo")</f>
        <v>lốp đo</v>
      </c>
      <c r="E1117" s="5" t="str">
        <f ca="1">IFERROR(__xludf.DUMMYFUNCTION("GOOGLETRANSLATE(C1117,""ja"",""vi"")"),"Đấu giá&gt; ô tô, xe máy&gt; xe máy&gt; Công cụ&gt; gauge lốp")</f>
        <v>Đấu giá&gt; ô tô, xe máy&gt; xe máy&gt; Công cụ&gt; gauge lốp</v>
      </c>
      <c r="F1117" t="str">
        <f t="shared" ca="1" si="17"/>
        <v>"2084042058" : "lốp đo",</v>
      </c>
    </row>
    <row r="1118" spans="1:6" ht="15.75" customHeight="1">
      <c r="A1118" s="18">
        <v>2084235242</v>
      </c>
      <c r="B1118" s="18" t="s">
        <v>14372</v>
      </c>
      <c r="C1118" s="18" t="s">
        <v>14432</v>
      </c>
      <c r="D1118" s="5" t="str">
        <f ca="1">IFERROR(__xludf.DUMMYFUNCTION("GOOGLETRANSLATE(B1118,""ja"",""vi"")"),"Công cụ Bag")</f>
        <v>Công cụ Bag</v>
      </c>
      <c r="E1118" s="5" t="str">
        <f ca="1">IFERROR(__xludf.DUMMYFUNCTION("GOOGLETRANSLATE(C1118,""ja"",""vi"")"),"Đấu giá&gt; ô tô, xe máy&gt; xe máy&gt; công cụ&gt; túi công cụ")</f>
        <v>Đấu giá&gt; ô tô, xe máy&gt; xe máy&gt; công cụ&gt; túi công cụ</v>
      </c>
      <c r="F1118" t="str">
        <f t="shared" ca="1" si="17"/>
        <v>"2084235242" : "Công cụ Bag",</v>
      </c>
    </row>
    <row r="1119" spans="1:6" ht="15.75" customHeight="1">
      <c r="A1119" s="18">
        <v>24654</v>
      </c>
      <c r="B1119" s="18" t="s">
        <v>14434</v>
      </c>
      <c r="C1119" s="18" t="s">
        <v>14436</v>
      </c>
      <c r="D1119" s="5" t="str">
        <f ca="1">IFERROR(__xludf.DUMMYFUNCTION("GOOGLETRANSLATE(B1119,""ja"",""vi"")"),"Dụng cụ cầm tay")</f>
        <v>Dụng cụ cầm tay</v>
      </c>
      <c r="E1119" s="5" t="str">
        <f ca="1">IFERROR(__xludf.DUMMYFUNCTION("GOOGLETRANSLATE(C1119,""ja"",""vi"")"),"Đấu giá&gt; ô tô, xe máy&gt; xe máy&gt; Công cụ&gt; Dụng cụ cầm tay")</f>
        <v>Đấu giá&gt; ô tô, xe máy&gt; xe máy&gt; Công cụ&gt; Dụng cụ cầm tay</v>
      </c>
      <c r="F1119" t="str">
        <f t="shared" ca="1" si="17"/>
        <v>"24654" : "Dụng cụ cầm tay",</v>
      </c>
    </row>
    <row r="1120" spans="1:6" ht="15.75" customHeight="1">
      <c r="A1120" s="18">
        <v>2084042023</v>
      </c>
      <c r="B1120" s="18" t="s">
        <v>14440</v>
      </c>
      <c r="C1120" s="18" t="s">
        <v>14441</v>
      </c>
      <c r="D1120" s="5" t="str">
        <f ca="1">IFERROR(__xludf.DUMMYFUNCTION("GOOGLETRANSLATE(B1120,""ja"",""vi"")"),"Bike lift")</f>
        <v>Bike lift</v>
      </c>
      <c r="E1120" s="5" t="str">
        <f ca="1">IFERROR(__xludf.DUMMYFUNCTION("GOOGLETRANSLATE(C1120,""ja"",""vi"")"),"Đấu giá&gt; ô tô, xe máy&gt; xe máy&gt; Công cụ&gt; xe đạp lift")</f>
        <v>Đấu giá&gt; ô tô, xe máy&gt; xe máy&gt; Công cụ&gt; xe đạp lift</v>
      </c>
      <c r="F1120" t="str">
        <f t="shared" ca="1" si="17"/>
        <v>"2084042023" : "Bike lift",</v>
      </c>
    </row>
    <row r="1121" spans="1:6" ht="15.75" customHeight="1">
      <c r="A1121" s="18">
        <v>2084042024</v>
      </c>
      <c r="B1121" s="18" t="s">
        <v>14446</v>
      </c>
      <c r="C1121" s="18" t="s">
        <v>14447</v>
      </c>
      <c r="D1121" s="5" t="str">
        <f ca="1">IFERROR(__xludf.DUMMYFUNCTION("GOOGLETRANSLATE(B1121,""ja"",""vi"")"),"ống trong máy hút bụi")</f>
        <v>ống trong máy hút bụi</v>
      </c>
      <c r="E1121" s="5" t="str">
        <f ca="1">IFERROR(__xludf.DUMMYFUNCTION("GOOGLETRANSLATE(C1121,""ja"",""vi"")"),"Đấu giá&gt; ô tô, xe máy&gt; xe máy&gt; Công cụ&gt; đo chân không")</f>
        <v>Đấu giá&gt; ô tô, xe máy&gt; xe máy&gt; Công cụ&gt; đo chân không</v>
      </c>
      <c r="F1121" t="str">
        <f t="shared" ca="1" si="17"/>
        <v>"2084042024" : "ống trong máy hút bụi",</v>
      </c>
    </row>
    <row r="1122" spans="1:6" ht="15.75" customHeight="1">
      <c r="A1122" s="18">
        <v>2084042025</v>
      </c>
      <c r="B1122" s="18" t="s">
        <v>14450</v>
      </c>
      <c r="C1122" s="18" t="s">
        <v>14452</v>
      </c>
      <c r="D1122" s="5" t="str">
        <f ca="1">IFERROR(__xludf.DUMMYFUNCTION("GOOGLETRANSLATE(B1122,""ja"",""vi"")"),"On-board công cụ")</f>
        <v>On-board công cụ</v>
      </c>
      <c r="E1122" s="5" t="str">
        <f ca="1">IFERROR(__xludf.DUMMYFUNCTION("GOOGLETRANSLATE(C1122,""ja"",""vi"")"),"Đấu giá&gt; ô tô, xe máy&gt; xe máy&gt; Công cụ&gt; Công cụ Ô tô")</f>
        <v>Đấu giá&gt; ô tô, xe máy&gt; xe máy&gt; Công cụ&gt; Công cụ Ô tô</v>
      </c>
      <c r="F1122" t="str">
        <f t="shared" ca="1" si="17"/>
        <v>"2084042025" : "On-board công cụ",</v>
      </c>
    </row>
    <row r="1123" spans="1:6" ht="15.75" customHeight="1">
      <c r="A1123" s="18">
        <v>2084042064</v>
      </c>
      <c r="B1123" s="18" t="s">
        <v>12697</v>
      </c>
      <c r="C1123" s="18" t="s">
        <v>14455</v>
      </c>
      <c r="D1123" s="5" t="str">
        <f ca="1">IFERROR(__xludf.DUMMYFUNCTION("GOOGLETRANSLATE(B1123,""ja"",""vi"")"),"chiếu sáng")</f>
        <v>chiếu sáng</v>
      </c>
      <c r="E1123" s="5" t="str">
        <f ca="1">IFERROR(__xludf.DUMMYFUNCTION("GOOGLETRANSLATE(C1123,""ja"",""vi"")"),"Đấu giá&gt; ô tô, xe máy&gt; xe máy&gt; Công cụ&gt; Ánh sáng")</f>
        <v>Đấu giá&gt; ô tô, xe máy&gt; xe máy&gt; Công cụ&gt; Ánh sáng</v>
      </c>
      <c r="F1123" t="str">
        <f t="shared" ca="1" si="17"/>
        <v>"2084042064" : "chiếu sáng",</v>
      </c>
    </row>
    <row r="1124" spans="1:6" ht="15.75" customHeight="1">
      <c r="A1124" s="18">
        <v>24666</v>
      </c>
      <c r="B1124" s="18" t="s">
        <v>14458</v>
      </c>
      <c r="C1124" s="18" t="s">
        <v>14459</v>
      </c>
      <c r="D1124" s="5" t="str">
        <f ca="1">IFERROR(__xludf.DUMMYFUNCTION("GOOGLETRANSLATE(B1124,""ja"",""vi"")"),"công cụ quyền lực")</f>
        <v>công cụ quyền lực</v>
      </c>
      <c r="E1124" s="5" t="str">
        <f ca="1">IFERROR(__xludf.DUMMYFUNCTION("GOOGLETRANSLATE(C1124,""ja"",""vi"")"),"Đấu giá&gt; ô tô, xe máy&gt; xe máy&gt; công cụ&gt; công cụ quyền lực")</f>
        <v>Đấu giá&gt; ô tô, xe máy&gt; xe máy&gt; công cụ&gt; công cụ quyền lực</v>
      </c>
      <c r="F1124" t="str">
        <f t="shared" ca="1" si="17"/>
        <v>"24666" : "công cụ quyền lực",</v>
      </c>
    </row>
    <row r="1125" spans="1:6" ht="15.75" customHeight="1">
      <c r="A1125" s="18">
        <v>2084042026</v>
      </c>
      <c r="B1125" s="18" t="s">
        <v>46</v>
      </c>
      <c r="C1125" s="18" t="s">
        <v>14462</v>
      </c>
      <c r="D1125" s="5" t="str">
        <f ca="1">IFERROR(__xludf.DUMMYFUNCTION("GOOGLETRANSLATE(B1125,""ja"",""vi"")"),"nếu không thì")</f>
        <v>nếu không thì</v>
      </c>
      <c r="E1125" s="5" t="str">
        <f ca="1">IFERROR(__xludf.DUMMYFUNCTION("GOOGLETRANSLATE(C1125,""ja"",""vi"")"),"Đấu giá&gt; ô tô, xe máy&gt; xe máy&gt; Công cụ&gt; Khác")</f>
        <v>Đấu giá&gt; ô tô, xe máy&gt; xe máy&gt; Công cụ&gt; Khác</v>
      </c>
      <c r="F1125" t="str">
        <f t="shared" ca="1" si="17"/>
        <v>"2084042026" : "nếu không thì",</v>
      </c>
    </row>
    <row r="1126" spans="1:6" ht="15.75" customHeight="1">
      <c r="A1126" s="18">
        <v>2084008702</v>
      </c>
      <c r="B1126" s="18" t="s">
        <v>13906</v>
      </c>
      <c r="C1126" s="18" t="s">
        <v>14465</v>
      </c>
      <c r="D1126" s="5" t="str">
        <f ca="1">IFERROR(__xludf.DUMMYFUNCTION("GOOGLETRANSLATE(B1126,""ja"",""vi"")"),"BMW")</f>
        <v>BMW</v>
      </c>
      <c r="E1126" s="5" t="str">
        <f ca="1">IFERROR(__xludf.DUMMYFUNCTION("GOOGLETRANSLATE(C1126,""ja"",""vi"")"),"Đấu giá&gt; ô tô, xe máy&gt; xe máy&gt; Catalogue, danh sách phần, cuốn sách dịch vụ&gt; BMW")</f>
        <v>Đấu giá&gt; ô tô, xe máy&gt; xe máy&gt; Catalogue, danh sách phần, cuốn sách dịch vụ&gt; BMW</v>
      </c>
      <c r="F1126" t="str">
        <f t="shared" ca="1" si="17"/>
        <v>"2084008702" : "BMW",</v>
      </c>
    </row>
    <row r="1127" spans="1:6" ht="15.75" customHeight="1">
      <c r="A1127" s="18">
        <v>2084008703</v>
      </c>
      <c r="B1127" s="18" t="s">
        <v>13977</v>
      </c>
      <c r="C1127" s="18" t="s">
        <v>14467</v>
      </c>
      <c r="D1127" s="5" t="str">
        <f ca="1">IFERROR(__xludf.DUMMYFUNCTION("GOOGLETRANSLATE(B1127,""ja"",""vi"")"),"Aprilia")</f>
        <v>Aprilia</v>
      </c>
      <c r="E1127" s="5" t="str">
        <f ca="1">IFERROR(__xludf.DUMMYFUNCTION("GOOGLETRANSLATE(C1127,""ja"",""vi"")"),"Đấu giá&gt; ô tô, xe máy&gt; xe máy&gt; Catalogue, danh sách phần, cuốn sách dịch vụ&gt; Aprilia")</f>
        <v>Đấu giá&gt; ô tô, xe máy&gt; xe máy&gt; Catalogue, danh sách phần, cuốn sách dịch vụ&gt; Aprilia</v>
      </c>
      <c r="F1127" t="str">
        <f t="shared" ca="1" si="17"/>
        <v>"2084008703" : "Aprilia",</v>
      </c>
    </row>
    <row r="1128" spans="1:6" ht="15.75" customHeight="1">
      <c r="A1128" s="18">
        <v>2084008704</v>
      </c>
      <c r="B1128" s="18" t="s">
        <v>6920</v>
      </c>
      <c r="C1128" s="18" t="s">
        <v>14470</v>
      </c>
      <c r="D1128" s="5" t="str">
        <f ca="1">IFERROR(__xludf.DUMMYFUNCTION("GOOGLETRANSLATE(B1128,""ja"",""vi"")"),"Kawasaki")</f>
        <v>Kawasaki</v>
      </c>
      <c r="E1128" s="5" t="str">
        <f ca="1">IFERROR(__xludf.DUMMYFUNCTION("GOOGLETRANSLATE(C1128,""ja"",""vi"")"),"Đấu giá&gt; ô tô, xe máy&gt; xe máy&gt; Catalogue, danh sách phần, cuốn sách dịch vụ&gt; Kawasaki")</f>
        <v>Đấu giá&gt; ô tô, xe máy&gt; xe máy&gt; Catalogue, danh sách phần, cuốn sách dịch vụ&gt; Kawasaki</v>
      </c>
      <c r="F1128" t="str">
        <f t="shared" ca="1" si="17"/>
        <v>"2084008704" : "Kawasaki",</v>
      </c>
    </row>
    <row r="1129" spans="1:6" ht="15.75" customHeight="1">
      <c r="A1129" s="18">
        <v>2084008705</v>
      </c>
      <c r="B1129" s="18" t="s">
        <v>6923</v>
      </c>
      <c r="C1129" s="18" t="s">
        <v>14473</v>
      </c>
      <c r="D1129" s="5" t="str">
        <f ca="1">IFERROR(__xludf.DUMMYFUNCTION("GOOGLETRANSLATE(B1129,""ja"",""vi"")"),"Suzuki")</f>
        <v>Suzuki</v>
      </c>
      <c r="E1129" s="5" t="str">
        <f ca="1">IFERROR(__xludf.DUMMYFUNCTION("GOOGLETRANSLATE(C1129,""ja"",""vi"")"),"Đấu giá&gt; ô tô, xe máy&gt; xe máy&gt; Catalogue, danh sách phần, cuốn sách dịch vụ&gt; Suzuki")</f>
        <v>Đấu giá&gt; ô tô, xe máy&gt; xe máy&gt; Catalogue, danh sách phần, cuốn sách dịch vụ&gt; Suzuki</v>
      </c>
      <c r="F1129" t="str">
        <f t="shared" ca="1" si="17"/>
        <v>"2084008705" : "Suzuki",</v>
      </c>
    </row>
    <row r="1130" spans="1:6" ht="15.75" customHeight="1">
      <c r="A1130" s="18">
        <v>2084008707</v>
      </c>
      <c r="B1130" s="18" t="s">
        <v>14005</v>
      </c>
      <c r="C1130" s="18" t="s">
        <v>14475</v>
      </c>
      <c r="D1130" s="5" t="str">
        <f ca="1">IFERROR(__xludf.DUMMYFUNCTION("GOOGLETRANSLATE(B1130,""ja"",""vi"")"),"chiến thắng")</f>
        <v>chiến thắng</v>
      </c>
      <c r="E1130" s="5" t="str">
        <f ca="1">IFERROR(__xludf.DUMMYFUNCTION("GOOGLETRANSLATE(C1130,""ja"",""vi"")"),"Đấu giá&gt; ô tô, xe máy&gt; xe máy&gt; Catalogue, danh sách phần, cuốn sách dịch vụ&gt; Triumph")</f>
        <v>Đấu giá&gt; ô tô, xe máy&gt; xe máy&gt; Catalogue, danh sách phần, cuốn sách dịch vụ&gt; Triumph</v>
      </c>
      <c r="F1130" t="str">
        <f t="shared" ca="1" si="17"/>
        <v>"2084008707" : "chiến thắng",</v>
      </c>
    </row>
    <row r="1131" spans="1:6" ht="15.75" customHeight="1">
      <c r="A1131" s="18">
        <v>2084008706</v>
      </c>
      <c r="B1131" s="18" t="s">
        <v>13969</v>
      </c>
      <c r="C1131" s="18" t="s">
        <v>14478</v>
      </c>
      <c r="D1131" s="5" t="str">
        <f ca="1">IFERROR(__xludf.DUMMYFUNCTION("GOOGLETRANSLATE(B1131,""ja"",""vi"")"),"Ducati")</f>
        <v>Ducati</v>
      </c>
      <c r="E1131" s="5" t="str">
        <f ca="1">IFERROR(__xludf.DUMMYFUNCTION("GOOGLETRANSLATE(C1131,""ja"",""vi"")"),"Đấu giá&gt; ô tô, xe máy&gt; xe máy&gt; Catalogue, danh sách phần, cuốn sách dịch vụ&gt; Ducati")</f>
        <v>Đấu giá&gt; ô tô, xe máy&gt; xe máy&gt; Catalogue, danh sách phần, cuốn sách dịch vụ&gt; Ducati</v>
      </c>
      <c r="F1131" t="str">
        <f t="shared" ca="1" si="17"/>
        <v>"2084008706" : "Ducati",</v>
      </c>
    </row>
    <row r="1132" spans="1:6" ht="15.75" customHeight="1">
      <c r="A1132" s="18">
        <v>2084008708</v>
      </c>
      <c r="B1132" s="18" t="s">
        <v>6934</v>
      </c>
      <c r="C1132" s="18" t="s">
        <v>14481</v>
      </c>
      <c r="D1132" s="5" t="str">
        <f ca="1">IFERROR(__xludf.DUMMYFUNCTION("GOOGLETRANSLATE(B1132,""ja"",""vi"")"),"Harley davidson")</f>
        <v>Harley davidson</v>
      </c>
      <c r="E1132" s="5" t="str">
        <f ca="1">IFERROR(__xludf.DUMMYFUNCTION("GOOGLETRANSLATE(C1132,""ja"",""vi"")"),"Đấu giá&gt; ô tô, xe máy&gt; xe máy&gt; Catalogue, danh sách phần, cuốn sách dịch vụ&gt; Harley-Davidson")</f>
        <v>Đấu giá&gt; ô tô, xe máy&gt; xe máy&gt; Catalogue, danh sách phần, cuốn sách dịch vụ&gt; Harley-Davidson</v>
      </c>
      <c r="F1132" t="str">
        <f t="shared" ca="1" si="17"/>
        <v>"2084008708" : "Harley davidson",</v>
      </c>
    </row>
    <row r="1133" spans="1:6" ht="15.75" customHeight="1">
      <c r="A1133" s="18">
        <v>2084008710</v>
      </c>
      <c r="B1133" s="18" t="s">
        <v>13996</v>
      </c>
      <c r="C1133" s="18" t="s">
        <v>14483</v>
      </c>
      <c r="D1133" s="5" t="str">
        <f ca="1">IFERROR(__xludf.DUMMYFUNCTION("GOOGLETRANSLATE(B1133,""ja"",""vi"")"),"Bimota")</f>
        <v>Bimota</v>
      </c>
      <c r="E1133" s="5" t="str">
        <f ca="1">IFERROR(__xludf.DUMMYFUNCTION("GOOGLETRANSLATE(C1133,""ja"",""vi"")"),"Đấu giá&gt; ô tô, xe máy&gt; xe máy&gt; Catalogue, danh sách phần, cuốn sách dịch vụ&gt; Bimota")</f>
        <v>Đấu giá&gt; ô tô, xe máy&gt; xe máy&gt; Catalogue, danh sách phần, cuốn sách dịch vụ&gt; Bimota</v>
      </c>
      <c r="F1133" t="str">
        <f t="shared" ca="1" si="17"/>
        <v>"2084008710" : "Bimota",</v>
      </c>
    </row>
    <row r="1134" spans="1:6" ht="15.75" customHeight="1">
      <c r="A1134" s="18">
        <v>2084008711</v>
      </c>
      <c r="B1134" s="18" t="s">
        <v>13960</v>
      </c>
      <c r="C1134" s="18" t="s">
        <v>14485</v>
      </c>
      <c r="D1134" s="5" t="str">
        <f ca="1">IFERROR(__xludf.DUMMYFUNCTION("GOOGLETRANSLATE(B1134,""ja"",""vi"")"),"Buell")</f>
        <v>Buell</v>
      </c>
      <c r="E1134" s="5" t="str">
        <f ca="1">IFERROR(__xludf.DUMMYFUNCTION("GOOGLETRANSLATE(C1134,""ja"",""vi"")"),"Đấu giá&gt; ô tô, xe máy&gt; xe máy&gt; Catalogue, danh sách phần, cuốn sách dịch vụ&gt; Buell")</f>
        <v>Đấu giá&gt; ô tô, xe máy&gt; xe máy&gt; Catalogue, danh sách phần, cuốn sách dịch vụ&gt; Buell</v>
      </c>
      <c r="F1134" t="str">
        <f t="shared" ca="1" si="17"/>
        <v>"2084008711" : "Buell",</v>
      </c>
    </row>
    <row r="1135" spans="1:6" ht="15.75" customHeight="1">
      <c r="A1135" s="18">
        <v>2084008709</v>
      </c>
      <c r="B1135" s="18" t="s">
        <v>14487</v>
      </c>
      <c r="C1135" s="18" t="s">
        <v>14488</v>
      </c>
      <c r="D1135" s="5" t="str">
        <f ca="1">IFERROR(__xludf.DUMMYFUNCTION("GOOGLETRANSLATE(B1135,""ja"",""vi"")"),"Piaggio")</f>
        <v>Piaggio</v>
      </c>
      <c r="E1135" s="5" t="str">
        <f ca="1">IFERROR(__xludf.DUMMYFUNCTION("GOOGLETRANSLATE(C1135,""ja"",""vi"")"),"Đấu giá&gt; ô tô, xe máy&gt; xe máy&gt; Catalogue, danh sách phần, cuốn sách dịch vụ&gt; Piaggio")</f>
        <v>Đấu giá&gt; ô tô, xe máy&gt; xe máy&gt; Catalogue, danh sách phần, cuốn sách dịch vụ&gt; Piaggio</v>
      </c>
      <c r="F1135" t="str">
        <f t="shared" ca="1" si="17"/>
        <v>"2084008709" : "Piaggio",</v>
      </c>
    </row>
    <row r="1136" spans="1:6" ht="15.75" customHeight="1">
      <c r="A1136" s="18">
        <v>2084008712</v>
      </c>
      <c r="B1136" s="18" t="s">
        <v>6927</v>
      </c>
      <c r="C1136" s="18" t="s">
        <v>14489</v>
      </c>
      <c r="D1136" s="5" t="str">
        <f ca="1">IFERROR(__xludf.DUMMYFUNCTION("GOOGLETRANSLATE(B1136,""ja"",""vi"")"),"Honda")</f>
        <v>Honda</v>
      </c>
      <c r="E1136" s="5" t="str">
        <f ca="1">IFERROR(__xludf.DUMMYFUNCTION("GOOGLETRANSLATE(C1136,""ja"",""vi"")"),"Đấu giá&gt; ô tô, xe máy&gt; xe máy&gt; Catalogue, danh sách phần, cuốn sách dịch vụ&gt; Honda")</f>
        <v>Đấu giá&gt; ô tô, xe máy&gt; xe máy&gt; Catalogue, danh sách phần, cuốn sách dịch vụ&gt; Honda</v>
      </c>
      <c r="F1136" t="str">
        <f t="shared" ca="1" si="17"/>
        <v>"2084008712" : "Honda",</v>
      </c>
    </row>
    <row r="1137" spans="1:6" ht="15.75" customHeight="1">
      <c r="A1137" s="18">
        <v>2084008713</v>
      </c>
      <c r="B1137" s="18" t="s">
        <v>14491</v>
      </c>
      <c r="C1137" s="18" t="s">
        <v>14492</v>
      </c>
      <c r="D1137" s="5" t="str">
        <f ca="1">IFERROR(__xludf.DUMMYFUNCTION("GOOGLETRANSLATE(B1137,""ja"",""vi"")"),"Moto Guzzi")</f>
        <v>Moto Guzzi</v>
      </c>
      <c r="E1137" s="5" t="str">
        <f ca="1">IFERROR(__xludf.DUMMYFUNCTION("GOOGLETRANSLATE(C1137,""ja"",""vi"")"),"Đấu giá&gt; ô tô, xe máy&gt; xe máy&gt; Catalogue, danh sách phần, cuốn sách dịch vụ&gt; Moto Guzzi")</f>
        <v>Đấu giá&gt; ô tô, xe máy&gt; xe máy&gt; Catalogue, danh sách phần, cuốn sách dịch vụ&gt; Moto Guzzi</v>
      </c>
      <c r="F1137" t="str">
        <f t="shared" ca="1" si="17"/>
        <v>"2084008713" : "Moto Guzzi",</v>
      </c>
    </row>
    <row r="1138" spans="1:6" ht="15.75" customHeight="1">
      <c r="A1138" s="18">
        <v>2084008714</v>
      </c>
      <c r="B1138" s="18" t="s">
        <v>2522</v>
      </c>
      <c r="C1138" s="18" t="s">
        <v>14493</v>
      </c>
      <c r="D1138" s="5" t="str">
        <f ca="1">IFERROR(__xludf.DUMMYFUNCTION("GOOGLETRANSLATE(B1138,""ja"",""vi"")"),"Yamaha")</f>
        <v>Yamaha</v>
      </c>
      <c r="E1138" s="5" t="str">
        <f ca="1">IFERROR(__xludf.DUMMYFUNCTION("GOOGLETRANSLATE(C1138,""ja"",""vi"")"),"Đấu giá&gt; ô tô, xe máy&gt; xe máy&gt; Catalogue, danh sách phần, cuốn sách dịch vụ&gt; Yamaha")</f>
        <v>Đấu giá&gt; ô tô, xe máy&gt; xe máy&gt; Catalogue, danh sách phần, cuốn sách dịch vụ&gt; Yamaha</v>
      </c>
      <c r="F1138" t="str">
        <f t="shared" ca="1" si="17"/>
        <v>"2084008714" : "Yamaha",</v>
      </c>
    </row>
    <row r="1139" spans="1:6" ht="15.75" customHeight="1">
      <c r="A1139" s="18">
        <v>2084008715</v>
      </c>
      <c r="B1139" s="18" t="s">
        <v>46</v>
      </c>
      <c r="C1139" s="18" t="s">
        <v>14495</v>
      </c>
      <c r="D1139" s="5" t="str">
        <f ca="1">IFERROR(__xludf.DUMMYFUNCTION("GOOGLETRANSLATE(B1139,""ja"",""vi"")"),"nếu không thì")</f>
        <v>nếu không thì</v>
      </c>
      <c r="E1139" s="5" t="str">
        <f ca="1">IFERROR(__xludf.DUMMYFUNCTION("GOOGLETRANSLATE(C1139,""ja"",""vi"")"),"Đấu giá&gt; ô tô, xe máy&gt; xe máy&gt; Catalogue, danh sách phần, cuốn sách dịch vụ&gt; Khác")</f>
        <v>Đấu giá&gt; ô tô, xe máy&gt; xe máy&gt; Catalogue, danh sách phần, cuốn sách dịch vụ&gt; Khác</v>
      </c>
      <c r="F1139" t="str">
        <f t="shared" ca="1" si="17"/>
        <v>"2084008715" : "nếu không thì",</v>
      </c>
    </row>
    <row r="1140" spans="1:6" ht="15.75" customHeight="1">
      <c r="A1140" s="18">
        <v>2084008877</v>
      </c>
      <c r="B1140" s="18" t="s">
        <v>5405</v>
      </c>
      <c r="C1140" s="18" t="s">
        <v>5407</v>
      </c>
      <c r="D1140" s="5" t="str">
        <f ca="1">IFERROR(__xludf.DUMMYFUNCTION("GOOGLETRANSLATE(B1140,""ja"",""vi"")"),"Bike chung")</f>
        <v>Bike chung</v>
      </c>
      <c r="E1140" s="5" t="str">
        <f ca="1">IFERROR(__xludf.DUMMYFUNCTION("GOOGLETRANSLATE(C1140,""ja"",""vi"")"),"Đấu giá&gt; cuốn sách, tạp chí&gt; sở thích, thể thao, sử dụng thực tế&gt; xe máy&gt; nói chung xe đạp")</f>
        <v>Đấu giá&gt; cuốn sách, tạp chí&gt; sở thích, thể thao, sử dụng thực tế&gt; xe máy&gt; nói chung xe đạp</v>
      </c>
      <c r="F1140" t="str">
        <f t="shared" ca="1" si="17"/>
        <v>"2084008877" : "Bike chung",</v>
      </c>
    </row>
    <row r="1141" spans="1:6" ht="15.75" customHeight="1">
      <c r="A1141" s="18">
        <v>2084008878</v>
      </c>
      <c r="B1141" s="18" t="s">
        <v>5409</v>
      </c>
      <c r="C1141" s="18" t="s">
        <v>5411</v>
      </c>
      <c r="D1141" s="5" t="str">
        <f ca="1">IFERROR(__xludf.DUMMYFUNCTION("GOOGLETRANSLATE(B1141,""ja"",""vi"")"),"cơ chế")</f>
        <v>cơ chế</v>
      </c>
      <c r="E1141" s="5" t="str">
        <f ca="1">IFERROR(__xludf.DUMMYFUNCTION("GOOGLETRANSLATE(C1141,""ja"",""vi"")"),"Đấu giá&gt; cuốn sách, tạp chí&gt; sở thích, thể thao, sử dụng thực tế&gt; xe máy&gt; cơ chế")</f>
        <v>Đấu giá&gt; cuốn sách, tạp chí&gt; sở thích, thể thao, sử dụng thực tế&gt; xe máy&gt; cơ chế</v>
      </c>
      <c r="F1141" t="str">
        <f t="shared" ca="1" si="17"/>
        <v>"2084008878" : "cơ chế",</v>
      </c>
    </row>
    <row r="1142" spans="1:6" ht="15.75" customHeight="1">
      <c r="A1142" s="18">
        <v>2084008879</v>
      </c>
      <c r="B1142" s="18" t="s">
        <v>5413</v>
      </c>
      <c r="C1142" s="18" t="s">
        <v>5414</v>
      </c>
      <c r="D1142" s="5" t="str">
        <f ca="1">IFERROR(__xludf.DUMMYFUNCTION("GOOGLETRANSLATE(B1142,""ja"",""vi"")"),"bảo trì")</f>
        <v>bảo trì</v>
      </c>
      <c r="E1142" s="5" t="str">
        <f ca="1">IFERROR(__xludf.DUMMYFUNCTION("GOOGLETRANSLATE(C1142,""ja"",""vi"")"),"Đấu giá&gt; cuốn sách, tạp chí&gt; sở thích, thể thao, sử dụng thực tế&gt; xe máy&gt; bảo trì")</f>
        <v>Đấu giá&gt; cuốn sách, tạp chí&gt; sở thích, thể thao, sử dụng thực tế&gt; xe máy&gt; bảo trì</v>
      </c>
      <c r="F1142" t="str">
        <f t="shared" ca="1" si="17"/>
        <v>"2084008879" : "bảo trì",</v>
      </c>
    </row>
    <row r="1143" spans="1:6" ht="15.75" customHeight="1">
      <c r="A1143" s="18">
        <v>2084008105</v>
      </c>
      <c r="B1143" s="18" t="s">
        <v>1586</v>
      </c>
      <c r="C1143" s="18" t="s">
        <v>5415</v>
      </c>
      <c r="D1143" s="5" t="str">
        <f ca="1">IFERROR(__xludf.DUMMYFUNCTION("GOOGLETRANSLATE(B1143,""ja"",""vi"")"),"tạp chí")</f>
        <v>tạp chí</v>
      </c>
      <c r="E1143" s="5" t="str">
        <f ca="1">IFERROR(__xludf.DUMMYFUNCTION("GOOGLETRANSLATE(C1143,""ja"",""vi"")"),"Đấu giá&gt; cuốn sách, tạp chí&gt; sở thích, thể thao, sử dụng thực tế&gt; xe máy&gt; Tạp chí")</f>
        <v>Đấu giá&gt; cuốn sách, tạp chí&gt; sở thích, thể thao, sử dụng thực tế&gt; xe máy&gt; Tạp chí</v>
      </c>
      <c r="F1143" t="str">
        <f t="shared" ca="1" si="17"/>
        <v>"2084008105" : "tạp chí",</v>
      </c>
    </row>
    <row r="1144" spans="1:6" ht="15.75" customHeight="1">
      <c r="A1144" s="18">
        <v>2084008880</v>
      </c>
      <c r="B1144" s="18" t="s">
        <v>5416</v>
      </c>
      <c r="C1144" s="18" t="s">
        <v>5417</v>
      </c>
      <c r="D1144" s="5" t="str">
        <f ca="1">IFERROR(__xludf.DUMMYFUNCTION("GOOGLETRANSLATE(B1144,""ja"",""vi"")"),"Bằng lái xe")</f>
        <v>Bằng lái xe</v>
      </c>
      <c r="E1144" s="5" t="str">
        <f ca="1">IFERROR(__xludf.DUMMYFUNCTION("GOOGLETRANSLATE(C1144,""ja"",""vi"")"),"Đấu giá&gt; cuốn sách, tạp chí&gt; sở thích, thể thao, sử dụng thực tế&gt; xe máy&gt; mua lại giấy phép")</f>
        <v>Đấu giá&gt; cuốn sách, tạp chí&gt; sở thích, thể thao, sử dụng thực tế&gt; xe máy&gt; mua lại giấy phép</v>
      </c>
      <c r="F1144" t="str">
        <f t="shared" ca="1" si="17"/>
        <v>"2084008880" : "Bằng lái xe",</v>
      </c>
    </row>
    <row r="1145" spans="1:6" ht="15.75" customHeight="1">
      <c r="A1145" s="18">
        <v>2084019981</v>
      </c>
      <c r="B1145" s="18" t="s">
        <v>7699</v>
      </c>
      <c r="C1145" s="18" t="s">
        <v>14500</v>
      </c>
      <c r="D1145" s="5" t="str">
        <f ca="1">IFERROR(__xludf.DUMMYFUNCTION("GOOGLETRANSLATE(B1145,""ja"",""vi"")"),"key Chains")</f>
        <v>key Chains</v>
      </c>
      <c r="E1145" s="5" t="str">
        <f ca="1">IFERROR(__xludf.DUMMYFUNCTION("GOOGLETRANSLATE(C1145,""ja"",""vi"")"),"Đấu giá&gt; ô tô, xe máy&gt; xe máy&gt; hàng xe máy liên quan đến&gt; Keychain")</f>
        <v>Đấu giá&gt; ô tô, xe máy&gt; xe máy&gt; hàng xe máy liên quan đến&gt; Keychain</v>
      </c>
      <c r="F1145" t="str">
        <f t="shared" ca="1" si="17"/>
        <v>"2084019981" : "key Chains",</v>
      </c>
    </row>
    <row r="1146" spans="1:6" ht="15.75" customHeight="1">
      <c r="A1146" s="18">
        <v>2084012429</v>
      </c>
      <c r="B1146" s="18" t="s">
        <v>14340</v>
      </c>
      <c r="C1146" s="18" t="s">
        <v>14502</v>
      </c>
      <c r="D1146" s="5" t="str">
        <f ca="1">IFERROR(__xludf.DUMMYFUNCTION("GOOGLETRANSLATE(B1146,""ja"",""vi"")"),"Sticker, decal")</f>
        <v>Sticker, decal</v>
      </c>
      <c r="E1146" s="5" t="str">
        <f ca="1">IFERROR(__xludf.DUMMYFUNCTION("GOOGLETRANSLATE(C1146,""ja"",""vi"")"),"Đấu giá&gt; ô tô, xe máy&gt; xe máy&gt; hàng xe máy liên quan đến&gt; dán, decal")</f>
        <v>Đấu giá&gt; ô tô, xe máy&gt; xe máy&gt; hàng xe máy liên quan đến&gt; dán, decal</v>
      </c>
      <c r="F1146" t="str">
        <f t="shared" ca="1" si="17"/>
        <v>"2084012429" : "Sticker, decal",</v>
      </c>
    </row>
    <row r="1147" spans="1:6" ht="15.75" customHeight="1">
      <c r="A1147" s="18">
        <v>2084019983</v>
      </c>
      <c r="B1147" s="18" t="s">
        <v>8514</v>
      </c>
      <c r="C1147" s="18" t="s">
        <v>14504</v>
      </c>
      <c r="D1147" s="5" t="str">
        <f ca="1">IFERROR(__xludf.DUMMYFUNCTION("GOOGLETRANSLATE(B1147,""ja"",""vi"")"),"Văn phòng phẩm")</f>
        <v>Văn phòng phẩm</v>
      </c>
      <c r="E1147" s="5" t="str">
        <f ca="1">IFERROR(__xludf.DUMMYFUNCTION("GOOGLETRANSLATE(C1147,""ja"",""vi"")"),"Đấu giá&gt; ô tô, xe máy&gt; xe máy&gt; hàng xe máy liên quan đến&gt; Văn phòng phẩm")</f>
        <v>Đấu giá&gt; ô tô, xe máy&gt; xe máy&gt; hàng xe máy liên quan đến&gt; Văn phòng phẩm</v>
      </c>
      <c r="F1147" t="str">
        <f t="shared" ca="1" si="17"/>
        <v>"2084019983" : "Văn phòng phẩm",</v>
      </c>
    </row>
    <row r="1148" spans="1:6" ht="15.75" customHeight="1">
      <c r="A1148" s="18">
        <v>2084019985</v>
      </c>
      <c r="B1148" s="18" t="s">
        <v>14223</v>
      </c>
      <c r="C1148" s="18" t="s">
        <v>14506</v>
      </c>
      <c r="D1148" s="5" t="str">
        <f ca="1">IFERROR(__xludf.DUMMYFUNCTION("GOOGLETRANSLATE(B1148,""ja"",""vi"")"),"xe máy maker")</f>
        <v>xe máy maker</v>
      </c>
      <c r="E1148" s="5" t="str">
        <f ca="1">IFERROR(__xludf.DUMMYFUNCTION("GOOGLETRANSLATE(C1148,""ja"",""vi"")"),"Đấu giá&gt; ô tô, xe máy&gt; xe máy&gt; hàng xe máy liên quan đến&gt; nhà sản xuất xe máy bằng")</f>
        <v>Đấu giá&gt; ô tô, xe máy&gt; xe máy&gt; hàng xe máy liên quan đến&gt; nhà sản xuất xe máy bằng</v>
      </c>
      <c r="F1148" t="str">
        <f t="shared" ca="1" si="17"/>
        <v>"2084019985" : "xe máy maker",</v>
      </c>
    </row>
    <row r="1149" spans="1:6" ht="15.75" customHeight="1">
      <c r="A1149" s="18">
        <v>2084019984</v>
      </c>
      <c r="B1149" s="18" t="s">
        <v>46</v>
      </c>
      <c r="C1149" s="18" t="s">
        <v>14508</v>
      </c>
      <c r="D1149" s="5" t="str">
        <f ca="1">IFERROR(__xludf.DUMMYFUNCTION("GOOGLETRANSLATE(B1149,""ja"",""vi"")"),"nếu không thì")</f>
        <v>nếu không thì</v>
      </c>
      <c r="E1149" s="5" t="str">
        <f ca="1">IFERROR(__xludf.DUMMYFUNCTION("GOOGLETRANSLATE(C1149,""ja"",""vi"")"),"Đấu giá&gt; ô tô, xe máy&gt; xe máy&gt; hàng xe máy liên quan đến&gt; Khác")</f>
        <v>Đấu giá&gt; ô tô, xe máy&gt; xe máy&gt; hàng xe máy liên quan đến&gt; Khác</v>
      </c>
      <c r="F1149" t="str">
        <f t="shared" ca="1" si="17"/>
        <v>"2084019984" : "nếu không thì",</v>
      </c>
    </row>
    <row r="1150" spans="1:6" ht="15.75" customHeight="1">
      <c r="A1150" s="18">
        <v>2084005529</v>
      </c>
      <c r="B1150" s="18" t="s">
        <v>14078</v>
      </c>
      <c r="C1150" s="18" t="s">
        <v>14079</v>
      </c>
      <c r="D1150" s="5" t="str">
        <f ca="1">IFERROR(__xludf.DUMMYFUNCTION("GOOGLETRANSLATE(B1150,""ja"",""vi"")"),"bộ phận đánh lửa")</f>
        <v>bộ phận đánh lửa</v>
      </c>
      <c r="E1150" s="5" t="str">
        <f ca="1">IFERROR(__xludf.DUMMYFUNCTION("GOOGLETRANSLATE(C1150,""ja"",""vi"")"),"Đấu giá&gt; ô tô, xe máy&gt; xe máy&gt; phụ tùng&gt; đánh lửa")</f>
        <v>Đấu giá&gt; ô tô, xe máy&gt; xe máy&gt; phụ tùng&gt; đánh lửa</v>
      </c>
      <c r="F1150" t="str">
        <f t="shared" ca="1" si="17"/>
        <v>"2084005529" : "bộ phận đánh lửa",</v>
      </c>
    </row>
    <row r="1151" spans="1:6" ht="15.75" customHeight="1">
      <c r="A1151" s="18">
        <v>2084012453</v>
      </c>
      <c r="B1151" s="18" t="s">
        <v>14083</v>
      </c>
      <c r="C1151" s="18" t="s">
        <v>14084</v>
      </c>
      <c r="D1151" s="5" t="str">
        <f ca="1">IFERROR(__xludf.DUMMYFUNCTION("GOOGLETRANSLATE(B1151,""ja"",""vi"")"),"bộ lọc không khí, không khí sạch hơn")</f>
        <v>bộ lọc không khí, không khí sạch hơn</v>
      </c>
      <c r="E1151" s="5" t="str">
        <f ca="1">IFERROR(__xludf.DUMMYFUNCTION("GOOGLETRANSLATE(C1151,""ja"",""vi"")"),"Đấu giá&gt; ô tô, xe máy&gt; xe máy&gt; phụ tùng&gt; lọc không khí, không khí sạch hơn")</f>
        <v>Đấu giá&gt; ô tô, xe máy&gt; xe máy&gt; phụ tùng&gt; lọc không khí, không khí sạch hơn</v>
      </c>
      <c r="F1151" t="str">
        <f t="shared" ca="1" si="17"/>
        <v>"2084012453" : "bộ lọc không khí, không khí sạch hơn",</v>
      </c>
    </row>
    <row r="1152" spans="1:6" ht="15.75" customHeight="1">
      <c r="A1152" s="18">
        <v>2084005513</v>
      </c>
      <c r="B1152" s="18" t="s">
        <v>14086</v>
      </c>
      <c r="C1152" s="18" t="s">
        <v>14087</v>
      </c>
      <c r="D1152" s="5" t="str">
        <f ca="1">IFERROR(__xludf.DUMMYFUNCTION("GOOGLETRANSLATE(B1152,""ja"",""vi"")"),"Động cơ, hệ thống làm mát")</f>
        <v>Động cơ, hệ thống làm mát</v>
      </c>
      <c r="E1152" s="5" t="str">
        <f ca="1">IFERROR(__xludf.DUMMYFUNCTION("GOOGLETRANSLATE(C1152,""ja"",""vi"")"),"Đấu giá&gt; ô tô, xe máy&gt; xe máy&gt; phụ tùng&gt; động cơ, hệ thống làm mát")</f>
        <v>Đấu giá&gt; ô tô, xe máy&gt; xe máy&gt; phụ tùng&gt; động cơ, hệ thống làm mát</v>
      </c>
      <c r="F1152" t="str">
        <f t="shared" ca="1" si="17"/>
        <v>"2084005513" : "Động cơ, hệ thống làm mát",</v>
      </c>
    </row>
    <row r="1153" spans="1:6" ht="15.75" customHeight="1">
      <c r="A1153" s="18">
        <v>2084252547</v>
      </c>
      <c r="B1153" s="18" t="s">
        <v>14088</v>
      </c>
      <c r="C1153" s="18" t="s">
        <v>14090</v>
      </c>
      <c r="D1153" s="5" t="str">
        <f ca="1">IFERROR(__xludf.DUMMYFUNCTION("GOOGLETRANSLATE(B1153,""ja"",""vi"")"),"bảo vệ động cơ")</f>
        <v>bảo vệ động cơ</v>
      </c>
      <c r="E1153" s="5" t="str">
        <f ca="1">IFERROR(__xludf.DUMMYFUNCTION("GOOGLETRANSLATE(C1153,""ja"",""vi"")"),"Đấu giá&gt; ô tô, xe máy&gt; xe máy&gt; phụ tùng&gt; bảo vệ động cơ")</f>
        <v>Đấu giá&gt; ô tô, xe máy&gt; xe máy&gt; phụ tùng&gt; bảo vệ động cơ</v>
      </c>
      <c r="F1153" t="str">
        <f t="shared" ca="1" si="17"/>
        <v>"2084252547" : "bảo vệ động cơ",</v>
      </c>
    </row>
    <row r="1154" spans="1:6" ht="15.75" customHeight="1">
      <c r="A1154" s="18">
        <v>2084005525</v>
      </c>
      <c r="B1154" s="18" t="s">
        <v>14091</v>
      </c>
      <c r="C1154" s="18" t="s">
        <v>14092</v>
      </c>
      <c r="D1154" s="5" t="str">
        <f ca="1">IFERROR(__xludf.DUMMYFUNCTION("GOOGLETRANSLATE(B1154,""ja"",""vi"")"),"Cowl, fender")</f>
        <v>Cowl, fender</v>
      </c>
      <c r="E1154" s="5" t="str">
        <f ca="1">IFERROR(__xludf.DUMMYFUNCTION("GOOGLETRANSLATE(C1154,""ja"",""vi"")"),"Đấu giá&gt; ô tô, xe máy&gt; xe máy&gt; phụ tùng&gt; cái ca bô, fender")</f>
        <v>Đấu giá&gt; ô tô, xe máy&gt; xe máy&gt; phụ tùng&gt; cái ca bô, fender</v>
      </c>
      <c r="F1154" t="str">
        <f t="shared" ref="F1154:F1217" ca="1" si="18">CONCATENATE(CHAR(34)&amp;"",A1154,""&amp;CHAR(34)," : ", CHAR(34)&amp;"",D1154,""&amp;CHAR(34),",")</f>
        <v>"2084005525" : "Cowl, fender",</v>
      </c>
    </row>
    <row r="1155" spans="1:6" ht="15.75" customHeight="1">
      <c r="A1155" s="18">
        <v>2084005521</v>
      </c>
      <c r="B1155" s="18" t="s">
        <v>14094</v>
      </c>
      <c r="C1155" s="18" t="s">
        <v>14095</v>
      </c>
      <c r="D1155" s="5" t="str">
        <f ca="1">IFERROR(__xludf.DUMMYFUNCTION("GOOGLETRANSLATE(B1155,""ja"",""vi"")"),"Bộ chế hòa khí, phun")</f>
        <v>Bộ chế hòa khí, phun</v>
      </c>
      <c r="E1155" s="5" t="str">
        <f ca="1">IFERROR(__xludf.DUMMYFUNCTION("GOOGLETRANSLATE(C1155,""ja"",""vi"")"),"Đấu giá&gt; ô tô, xe máy&gt; xe máy&gt; phụ tùng&gt; bộ chế hòa khí, phun")</f>
        <v>Đấu giá&gt; ô tô, xe máy&gt; xe máy&gt; phụ tùng&gt; bộ chế hòa khí, phun</v>
      </c>
      <c r="F1155" t="str">
        <f t="shared" ca="1" si="18"/>
        <v>"2084005521" : "Bộ chế hòa khí, phun",</v>
      </c>
    </row>
    <row r="1156" spans="1:6" ht="15.75" customHeight="1">
      <c r="A1156" s="18">
        <v>2084012428</v>
      </c>
      <c r="B1156" s="18" t="s">
        <v>14099</v>
      </c>
      <c r="C1156" s="18" t="s">
        <v>14100</v>
      </c>
      <c r="D1156" s="5" t="str">
        <f ca="1">IFERROR(__xludf.DUMMYFUNCTION("GOOGLETRANSLATE(B1156,""ja"",""vi"")"),"Carrier, lấy thanh")</f>
        <v>Carrier, lấy thanh</v>
      </c>
      <c r="E1156" s="5" t="str">
        <f ca="1">IFERROR(__xludf.DUMMYFUNCTION("GOOGLETRANSLATE(C1156,""ja"",""vi"")"),"Đấu giá&gt; ô tô, xe máy&gt; xe máy&gt; phụ tùng&gt; vận chuyển, thanh lấy")</f>
        <v>Đấu giá&gt; ô tô, xe máy&gt; xe máy&gt; phụ tùng&gt; vận chuyển, thanh lấy</v>
      </c>
      <c r="F1156" t="str">
        <f t="shared" ca="1" si="18"/>
        <v>"2084012428" : "Carrier, lấy thanh",</v>
      </c>
    </row>
    <row r="1157" spans="1:6" ht="15.75" customHeight="1">
      <c r="A1157" s="18">
        <v>2084237383</v>
      </c>
      <c r="B1157" s="18" t="s">
        <v>14104</v>
      </c>
      <c r="C1157" s="18" t="s">
        <v>14105</v>
      </c>
      <c r="D1157" s="5" t="str">
        <f ca="1">IFERROR(__xludf.DUMMYFUNCTION("GOOGLETRANSLATE(B1157,""ja"",""vi"")"),"bìa Side")</f>
        <v>bìa Side</v>
      </c>
      <c r="E1157" s="5" t="str">
        <f ca="1">IFERROR(__xludf.DUMMYFUNCTION("GOOGLETRANSLATE(C1157,""ja"",""vi"")"),"Đấu giá&gt; ô tô, xe máy&gt; xe máy&gt; phụ tùng&gt; bìa bên")</f>
        <v>Đấu giá&gt; ô tô, xe máy&gt; xe máy&gt; phụ tùng&gt; bìa bên</v>
      </c>
      <c r="F1157" t="str">
        <f t="shared" ca="1" si="18"/>
        <v>"2084237383" : "bìa Side",</v>
      </c>
    </row>
    <row r="1158" spans="1:6" ht="15.75" customHeight="1">
      <c r="A1158" s="18">
        <v>2084005514</v>
      </c>
      <c r="B1158" s="18" t="s">
        <v>10370</v>
      </c>
      <c r="C1158" s="18" t="s">
        <v>14110</v>
      </c>
      <c r="D1158" s="5" t="str">
        <f ca="1">IFERROR(__xludf.DUMMYFUNCTION("GOOGLETRANSLATE(B1158,""ja"",""vi"")"),"Đình chỉ")</f>
        <v>Đình chỉ</v>
      </c>
      <c r="E1158" s="5" t="str">
        <f ca="1">IFERROR(__xludf.DUMMYFUNCTION("GOOGLETRANSLATE(C1158,""ja"",""vi"")"),"Đấu giá&gt; ô tô, xe máy&gt; xe máy&gt; phụ tùng&gt; treo")</f>
        <v>Đấu giá&gt; ô tô, xe máy&gt; xe máy&gt; phụ tùng&gt; treo</v>
      </c>
      <c r="F1158" t="str">
        <f t="shared" ca="1" si="18"/>
        <v>"2084005514" : "Đình chỉ",</v>
      </c>
    </row>
    <row r="1159" spans="1:6" ht="15.75" customHeight="1">
      <c r="A1159" s="18">
        <v>2084252766</v>
      </c>
      <c r="B1159" s="18" t="s">
        <v>14113</v>
      </c>
      <c r="C1159" s="18" t="s">
        <v>14114</v>
      </c>
      <c r="D1159" s="5" t="str">
        <f ca="1">IFERROR(__xludf.DUMMYFUNCTION("GOOGLETRANSLATE(B1159,""ja"",""vi"")"),"Sissy, tựa lưng")</f>
        <v>Sissy, tựa lưng</v>
      </c>
      <c r="E1159" s="5" t="str">
        <f ca="1">IFERROR(__xludf.DUMMYFUNCTION("GOOGLETRANSLATE(C1159,""ja"",""vi"")"),"Đấu giá&gt; ô tô, xe máy&gt; xe máy&gt; phụ tùng&gt; Sissy, tựa lưng")</f>
        <v>Đấu giá&gt; ô tô, xe máy&gt; xe máy&gt; phụ tùng&gt; Sissy, tựa lưng</v>
      </c>
      <c r="F1159" t="str">
        <f t="shared" ca="1" si="18"/>
        <v>"2084252766" : "Sissy, tựa lưng",</v>
      </c>
    </row>
    <row r="1160" spans="1:6" ht="15.75" customHeight="1">
      <c r="A1160" s="18">
        <v>2084005515</v>
      </c>
      <c r="B1160" s="18" t="s">
        <v>14117</v>
      </c>
      <c r="C1160" s="18" t="s">
        <v>14119</v>
      </c>
      <c r="D1160" s="5" t="str">
        <f ca="1">IFERROR(__xludf.DUMMYFUNCTION("GOOGLETRANSLATE(B1160,""ja"",""vi"")"),"ghế")</f>
        <v>ghế</v>
      </c>
      <c r="E1160" s="5" t="str">
        <f ca="1">IFERROR(__xludf.DUMMYFUNCTION("GOOGLETRANSLATE(C1160,""ja"",""vi"")"),"Đấu giá&gt; ô tô, xe máy&gt; xe máy&gt; phụ tùng&gt; ghế")</f>
        <v>Đấu giá&gt; ô tô, xe máy&gt; xe máy&gt; phụ tùng&gt; ghế</v>
      </c>
      <c r="F1160" t="str">
        <f t="shared" ca="1" si="18"/>
        <v>"2084005515" : "ghế",</v>
      </c>
    </row>
    <row r="1161" spans="1:6" ht="15.75" customHeight="1">
      <c r="A1161" s="18">
        <v>2084019067</v>
      </c>
      <c r="B1161" s="18" t="s">
        <v>14122</v>
      </c>
      <c r="C1161" s="18" t="s">
        <v>14123</v>
      </c>
      <c r="D1161" s="5" t="str">
        <f ca="1">IFERROR(__xludf.DUMMYFUNCTION("GOOGLETRANSLATE(B1161,""ja"",""vi"")"),"swing arm")</f>
        <v>swing arm</v>
      </c>
      <c r="E1161" s="5" t="str">
        <f ca="1">IFERROR(__xludf.DUMMYFUNCTION("GOOGLETRANSLATE(C1161,""ja"",""vi"")"),"Đấu giá&gt; ô tô, xe máy&gt; xe máy&gt; phụ tùng&gt; swing arm")</f>
        <v>Đấu giá&gt; ô tô, xe máy&gt; xe máy&gt; phụ tùng&gt; swing arm</v>
      </c>
      <c r="F1161" t="str">
        <f t="shared" ca="1" si="18"/>
        <v>"2084019067" : "swing arm",</v>
      </c>
    </row>
    <row r="1162" spans="1:6" ht="15.75" customHeight="1">
      <c r="A1162" s="18">
        <v>2084049683</v>
      </c>
      <c r="B1162" s="18" t="s">
        <v>14126</v>
      </c>
      <c r="C1162" s="18" t="s">
        <v>14127</v>
      </c>
      <c r="D1162" s="5" t="str">
        <f ca="1">IFERROR(__xludf.DUMMYFUNCTION("GOOGLETRANSLATE(B1162,""ja"",""vi"")"),"ổn định")</f>
        <v>ổn định</v>
      </c>
      <c r="E1162" s="5" t="str">
        <f ca="1">IFERROR(__xludf.DUMMYFUNCTION("GOOGLETRANSLATE(C1162,""ja"",""vi"")"),"Đấu giá&gt; ô tô, xe máy&gt; xe máy&gt; phụ tùng&gt; ổn định")</f>
        <v>Đấu giá&gt; ô tô, xe máy&gt; xe máy&gt; phụ tùng&gt; ổn định</v>
      </c>
      <c r="F1162" t="str">
        <f t="shared" ca="1" si="18"/>
        <v>"2084049683" : "ổn định",</v>
      </c>
    </row>
    <row r="1163" spans="1:6" ht="15.75" customHeight="1">
      <c r="A1163" s="18">
        <v>2084019068</v>
      </c>
      <c r="B1163" s="18" t="s">
        <v>4614</v>
      </c>
      <c r="C1163" s="18" t="s">
        <v>14130</v>
      </c>
      <c r="D1163" s="5" t="str">
        <f ca="1">IFERROR(__xludf.DUMMYFUNCTION("GOOGLETRANSLATE(B1163,""ja"",""vi"")"),"đứng")</f>
        <v>đứng</v>
      </c>
      <c r="E1163" s="5" t="str">
        <f ca="1">IFERROR(__xludf.DUMMYFUNCTION("GOOGLETRANSLATE(C1163,""ja"",""vi"")"),"Đấu giá&gt; ô tô, xe máy&gt; xe máy&gt; phụ tùng&gt; đứng")</f>
        <v>Đấu giá&gt; ô tô, xe máy&gt; xe máy&gt; phụ tùng&gt; đứng</v>
      </c>
      <c r="F1163" t="str">
        <f t="shared" ca="1" si="18"/>
        <v>"2084019068" : "đứng",</v>
      </c>
    </row>
    <row r="1164" spans="1:6" ht="15.75" customHeight="1">
      <c r="A1164" s="18">
        <v>2084047635</v>
      </c>
      <c r="B1164" s="18" t="s">
        <v>14132</v>
      </c>
      <c r="C1164" s="18" t="s">
        <v>14133</v>
      </c>
      <c r="D1164" s="5" t="str">
        <f ca="1">IFERROR(__xludf.DUMMYFUNCTION("GOOGLETRANSLATE(B1164,""ja"",""vi"")"),"van điều tiết chỉ đạo")</f>
        <v>van điều tiết chỉ đạo</v>
      </c>
      <c r="E1164" s="5" t="str">
        <f ca="1">IFERROR(__xludf.DUMMYFUNCTION("GOOGLETRANSLATE(C1164,""ja"",""vi"")"),"Đấu giá&gt; ô tô, xe máy&gt; xe máy&gt; phụ tùng&gt; lái van điều tiết")</f>
        <v>Đấu giá&gt; ô tô, xe máy&gt; xe máy&gt; phụ tùng&gt; lái van điều tiết</v>
      </c>
      <c r="F1164" t="str">
        <f t="shared" ca="1" si="18"/>
        <v>"2084047635" : "van điều tiết chỉ đạo",</v>
      </c>
    </row>
    <row r="1165" spans="1:6" ht="15.75" customHeight="1">
      <c r="A1165" s="18">
        <v>2084019069</v>
      </c>
      <c r="B1165" s="18" t="s">
        <v>14136</v>
      </c>
      <c r="C1165" s="18" t="s">
        <v>14137</v>
      </c>
      <c r="D1165" s="5" t="str">
        <f ca="1">IFERROR(__xludf.DUMMYFUNCTION("GOOGLETRANSLATE(B1165,""ja"",""vi"")"),"Bước, đạp")</f>
        <v>Bước, đạp</v>
      </c>
      <c r="E1165" s="5" t="str">
        <f ca="1">IFERROR(__xludf.DUMMYFUNCTION("GOOGLETRANSLATE(C1165,""ja"",""vi"")"),"Đấu giá&gt; ô tô, xe máy&gt; xe máy&gt; phụ tùng&gt; bước, đạp")</f>
        <v>Đấu giá&gt; ô tô, xe máy&gt; xe máy&gt; phụ tùng&gt; bước, đạp</v>
      </c>
      <c r="F1165" t="str">
        <f t="shared" ca="1" si="18"/>
        <v>"2084019069" : "Bước, đạp",</v>
      </c>
    </row>
    <row r="1166" spans="1:6" ht="15.75" customHeight="1">
      <c r="A1166" s="18">
        <v>2084019070</v>
      </c>
      <c r="B1166" s="18" t="s">
        <v>14141</v>
      </c>
      <c r="C1166" s="18" t="s">
        <v>14142</v>
      </c>
      <c r="D1166" s="5" t="str">
        <f ca="1">IFERROR(__xludf.DUMMYFUNCTION("GOOGLETRANSLATE(B1166,""ja"",""vi"")"),"bugi")</f>
        <v>bugi</v>
      </c>
      <c r="E1166" s="5" t="str">
        <f ca="1">IFERROR(__xludf.DUMMYFUNCTION("GOOGLETRANSLATE(C1166,""ja"",""vi"")"),"Đấu giá&gt; ô tô, xe máy&gt; xe máy&gt; phụ tùng&gt; bugi")</f>
        <v>Đấu giá&gt; ô tô, xe máy&gt; xe máy&gt; phụ tùng&gt; bugi</v>
      </c>
      <c r="F1166" t="str">
        <f t="shared" ca="1" si="18"/>
        <v>"2084019070" : "bugi",</v>
      </c>
    </row>
    <row r="1167" spans="1:6" ht="15.75" customHeight="1">
      <c r="A1167" s="18">
        <v>2084019071</v>
      </c>
      <c r="B1167" s="18" t="s">
        <v>14145</v>
      </c>
      <c r="C1167" s="18" t="s">
        <v>14146</v>
      </c>
      <c r="D1167" s="5" t="str">
        <f ca="1">IFERROR(__xludf.DUMMYFUNCTION("GOOGLETRANSLATE(B1167,""ja"",""vi"")"),"răng bi nhông của máy")</f>
        <v>răng bi nhông của máy</v>
      </c>
      <c r="E1167" s="5" t="str">
        <f ca="1">IFERROR(__xludf.DUMMYFUNCTION("GOOGLETRANSLATE(C1167,""ja"",""vi"")"),"Đấu giá&gt; ô tô, xe máy&gt; xe máy&gt; phụ tùng&gt; xích")</f>
        <v>Đấu giá&gt; ô tô, xe máy&gt; xe máy&gt; phụ tùng&gt; xích</v>
      </c>
      <c r="F1167" t="str">
        <f t="shared" ca="1" si="18"/>
        <v>"2084019071" : "răng bi nhông của máy",</v>
      </c>
    </row>
    <row r="1168" spans="1:6" ht="15.75" customHeight="1">
      <c r="A1168" s="18">
        <v>2084005516</v>
      </c>
      <c r="B1168" s="18" t="s">
        <v>10382</v>
      </c>
      <c r="C1168" s="18" t="s">
        <v>14150</v>
      </c>
      <c r="D1168" s="5" t="str">
        <f ca="1">IFERROR(__xludf.DUMMYFUNCTION("GOOGLETRANSLATE(B1168,""ja"",""vi"")"),"lốp")</f>
        <v>lốp</v>
      </c>
      <c r="E1168" s="5" t="str">
        <f ca="1">IFERROR(__xludf.DUMMYFUNCTION("GOOGLETRANSLATE(C1168,""ja"",""vi"")"),"Đấu giá&gt; ô tô, xe máy&gt; xe máy&gt; phụ tùng&gt; lốp")</f>
        <v>Đấu giá&gt; ô tô, xe máy&gt; xe máy&gt; phụ tùng&gt; lốp</v>
      </c>
      <c r="F1168" t="str">
        <f t="shared" ca="1" si="18"/>
        <v>"2084005516" : "lốp",</v>
      </c>
    </row>
    <row r="1169" spans="1:6" ht="15.75" customHeight="1">
      <c r="A1169" s="18">
        <v>2084005524</v>
      </c>
      <c r="B1169" s="18" t="s">
        <v>14153</v>
      </c>
      <c r="C1169" s="18" t="s">
        <v>14154</v>
      </c>
      <c r="D1169" s="5" t="str">
        <f ca="1">IFERROR(__xludf.DUMMYFUNCTION("GOOGLETRANSLATE(B1169,""ja"",""vi"")"),"xe tăng")</f>
        <v>xe tăng</v>
      </c>
      <c r="E1169" s="5" t="str">
        <f ca="1">IFERROR(__xludf.DUMMYFUNCTION("GOOGLETRANSLATE(C1169,""ja"",""vi"")"),"Đấu giá&gt; ô tô, xe máy&gt; xe máy&gt; phụ tùng&gt; xe tăng")</f>
        <v>Đấu giá&gt; ô tô, xe máy&gt; xe máy&gt; phụ tùng&gt; xe tăng</v>
      </c>
      <c r="F1169" t="str">
        <f t="shared" ca="1" si="18"/>
        <v>"2084005524" : "xe tăng",</v>
      </c>
    </row>
    <row r="1170" spans="1:6" ht="15.75" customHeight="1">
      <c r="A1170" s="18">
        <v>2084005522</v>
      </c>
      <c r="B1170" s="18" t="s">
        <v>14157</v>
      </c>
      <c r="C1170" s="18" t="s">
        <v>14158</v>
      </c>
      <c r="D1170" s="5" t="str">
        <f ca="1">IFERROR(__xludf.DUMMYFUNCTION("GOOGLETRANSLATE(B1170,""ja"",""vi"")"),"Dây chuyền, thắt lưng")</f>
        <v>Dây chuyền, thắt lưng</v>
      </c>
      <c r="E1170" s="5" t="str">
        <f ca="1">IFERROR(__xludf.DUMMYFUNCTION("GOOGLETRANSLATE(C1170,""ja"",""vi"")"),"Đấu giá&gt; ô tô, xe máy&gt; xe máy&gt; phụ tùng&gt; dây chuyền, thắt lưng")</f>
        <v>Đấu giá&gt; ô tô, xe máy&gt; xe máy&gt; phụ tùng&gt; dây chuyền, thắt lưng</v>
      </c>
      <c r="F1170" t="str">
        <f t="shared" ca="1" si="18"/>
        <v>"2084005522" : "Dây chuyền, thắt lưng",</v>
      </c>
    </row>
    <row r="1171" spans="1:6" ht="15.75" customHeight="1">
      <c r="A1171" s="18">
        <v>2084048526</v>
      </c>
      <c r="B1171" s="18" t="s">
        <v>14161</v>
      </c>
      <c r="C1171" s="18" t="s">
        <v>14164</v>
      </c>
      <c r="D1171" s="5" t="str">
        <f ca="1">IFERROR(__xludf.DUMMYFUNCTION("GOOGLETRANSLATE(B1171,""ja"",""vi"")"),"bìa chuỗi")</f>
        <v>bìa chuỗi</v>
      </c>
      <c r="E1171" s="5" t="str">
        <f ca="1">IFERROR(__xludf.DUMMYFUNCTION("GOOGLETRANSLATE(C1171,""ja"",""vi"")"),"Đấu giá&gt; ô tô, xe máy&gt; xe máy&gt; phụ tùng&gt; bìa chuỗi")</f>
        <v>Đấu giá&gt; ô tô, xe máy&gt; xe máy&gt; phụ tùng&gt; bìa chuỗi</v>
      </c>
      <c r="F1171" t="str">
        <f t="shared" ca="1" si="18"/>
        <v>"2084048526" : "bìa chuỗi",</v>
      </c>
    </row>
    <row r="1172" spans="1:6" ht="15.75" customHeight="1">
      <c r="A1172" s="18">
        <v>2084019076</v>
      </c>
      <c r="B1172" s="18" t="s">
        <v>14167</v>
      </c>
      <c r="C1172" s="18" t="s">
        <v>14168</v>
      </c>
      <c r="D1172" s="5" t="str">
        <f ca="1">IFERROR(__xludf.DUMMYFUNCTION("GOOGLETRANSLATE(B1172,""ja"",""vi"")"),"truyền")</f>
        <v>truyền</v>
      </c>
      <c r="E1172" s="5" t="str">
        <f ca="1">IFERROR(__xludf.DUMMYFUNCTION("GOOGLETRANSLATE(C1172,""ja"",""vi"")"),"Đấu giá&gt; ô tô, xe máy&gt; xe máy&gt; phụ tùng&gt; truyền")</f>
        <v>Đấu giá&gt; ô tô, xe máy&gt; xe máy&gt; phụ tùng&gt; truyền</v>
      </c>
      <c r="F1172" t="str">
        <f t="shared" ca="1" si="18"/>
        <v>"2084019076" : "truyền",</v>
      </c>
    </row>
    <row r="1173" spans="1:6" ht="15.75" customHeight="1">
      <c r="A1173" s="18">
        <v>2084289692</v>
      </c>
      <c r="B1173" s="18" t="s">
        <v>14171</v>
      </c>
      <c r="C1173" s="18" t="s">
        <v>14174</v>
      </c>
      <c r="D1173" s="5" t="str">
        <f ca="1">IFERROR(__xludf.DUMMYFUNCTION("GOOGLETRANSLATE(B1173,""ja"",""vi"")"),"giữ giấy phép tấm")</f>
        <v>giữ giấy phép tấm</v>
      </c>
      <c r="E1173" s="5" t="str">
        <f ca="1">IFERROR(__xludf.DUMMYFUNCTION("GOOGLETRANSLATE(C1173,""ja"",""vi"")"),"Đấu giá&gt; ô tô, xe máy&gt; xe máy&gt; phụ tùng&gt; giữ biển số xe")</f>
        <v>Đấu giá&gt; ô tô, xe máy&gt; xe máy&gt; phụ tùng&gt; giữ biển số xe</v>
      </c>
      <c r="F1173" t="str">
        <f t="shared" ca="1" si="18"/>
        <v>"2084289692" : "giữ giấy phép tấm",</v>
      </c>
    </row>
    <row r="1174" spans="1:6" ht="15.75" customHeight="1">
      <c r="A1174" s="18">
        <v>2084019079</v>
      </c>
      <c r="B1174" s="18" t="s">
        <v>14177</v>
      </c>
      <c r="C1174" s="18" t="s">
        <v>14179</v>
      </c>
      <c r="D1174" s="5" t="str">
        <f ca="1">IFERROR(__xludf.DUMMYFUNCTION("GOOGLETRANSLATE(B1174,""ja"",""vi"")"),"Khai thác, dây")</f>
        <v>Khai thác, dây</v>
      </c>
      <c r="E1174" s="5" t="str">
        <f ca="1">IFERROR(__xludf.DUMMYFUNCTION("GOOGLETRANSLATE(C1174,""ja"",""vi"")"),"Đấu giá&gt; ô tô, xe máy&gt; xe máy&gt; phụ tùng&gt; khai thác, dây")</f>
        <v>Đấu giá&gt; ô tô, xe máy&gt; xe máy&gt; phụ tùng&gt; khai thác, dây</v>
      </c>
      <c r="F1174" t="str">
        <f t="shared" ca="1" si="18"/>
        <v>"2084019079" : "Khai thác, dây",</v>
      </c>
    </row>
    <row r="1175" spans="1:6" ht="15.75" customHeight="1">
      <c r="A1175" s="18">
        <v>2084005520</v>
      </c>
      <c r="B1175" s="18" t="s">
        <v>10405</v>
      </c>
      <c r="C1175" s="18" t="s">
        <v>14182</v>
      </c>
      <c r="D1175" s="5" t="str">
        <f ca="1">IFERROR(__xludf.DUMMYFUNCTION("GOOGLETRANSLATE(B1175,""ja"",""vi"")"),"Xử lý")</f>
        <v>Xử lý</v>
      </c>
      <c r="E1175" s="5" t="str">
        <f ca="1">IFERROR(__xludf.DUMMYFUNCTION("GOOGLETRANSLATE(C1175,""ja"",""vi"")"),"Đấu giá&gt; ô tô, xe máy&gt; xe máy&gt; phụ tùng&gt; xử lý")</f>
        <v>Đấu giá&gt; ô tô, xe máy&gt; xe máy&gt; phụ tùng&gt; xử lý</v>
      </c>
      <c r="F1175" t="str">
        <f t="shared" ca="1" si="18"/>
        <v>"2084005520" : "Xử lý",</v>
      </c>
    </row>
    <row r="1176" spans="1:6" ht="15.75" customHeight="1">
      <c r="A1176" s="18">
        <v>2084005528</v>
      </c>
      <c r="B1176" s="18" t="s">
        <v>14186</v>
      </c>
      <c r="C1176" s="18" t="s">
        <v>14188</v>
      </c>
      <c r="D1176" s="5" t="str">
        <f ca="1">IFERROR(__xludf.DUMMYFUNCTION("GOOGLETRANSLATE(B1176,""ja"",""vi"")"),"ắc quy")</f>
        <v>ắc quy</v>
      </c>
      <c r="E1176" s="5" t="str">
        <f ca="1">IFERROR(__xludf.DUMMYFUNCTION("GOOGLETRANSLATE(C1176,""ja"",""vi"")"),"Đấu giá&gt; ô tô, xe máy&gt; xe máy&gt; phụ tùng&gt; Pin")</f>
        <v>Đấu giá&gt; ô tô, xe máy&gt; xe máy&gt; phụ tùng&gt; Pin</v>
      </c>
      <c r="F1176" t="str">
        <f t="shared" ca="1" si="18"/>
        <v>"2084005528" : "ắc quy",</v>
      </c>
    </row>
    <row r="1177" spans="1:6" ht="15.75" customHeight="1">
      <c r="A1177" s="18">
        <v>2084012450</v>
      </c>
      <c r="B1177" s="18" t="s">
        <v>3400</v>
      </c>
      <c r="C1177" s="18" t="s">
        <v>14194</v>
      </c>
      <c r="D1177" s="5" t="str">
        <f ca="1">IFERROR(__xludf.DUMMYFUNCTION("GOOGLETRANSLATE(B1177,""ja"",""vi"")"),"Lọc")</f>
        <v>Lọc</v>
      </c>
      <c r="E1177" s="5" t="str">
        <f ca="1">IFERROR(__xludf.DUMMYFUNCTION("GOOGLETRANSLATE(C1177,""ja"",""vi"")"),"Đấu giá&gt; ô tô, xe máy&gt; xe máy&gt; phụ tùng&gt; lọc")</f>
        <v>Đấu giá&gt; ô tô, xe máy&gt; xe máy&gt; phụ tùng&gt; lọc</v>
      </c>
      <c r="F1177" t="str">
        <f t="shared" ca="1" si="18"/>
        <v>"2084012450" : "Lọc",</v>
      </c>
    </row>
    <row r="1178" spans="1:6" ht="15.75" customHeight="1">
      <c r="A1178" s="18">
        <v>2084005526</v>
      </c>
      <c r="B1178" s="18" t="s">
        <v>10323</v>
      </c>
      <c r="C1178" s="18" t="s">
        <v>14196</v>
      </c>
      <c r="D1178" s="5" t="str">
        <f ca="1">IFERROR(__xludf.DUMMYFUNCTION("GOOGLETRANSLATE(B1178,""ja"",""vi"")"),"khung")</f>
        <v>khung</v>
      </c>
      <c r="E1178" s="5" t="str">
        <f ca="1">IFERROR(__xludf.DUMMYFUNCTION("GOOGLETRANSLATE(C1178,""ja"",""vi"")"),"Đấu giá&gt; ô tô, xe máy&gt; xe máy&gt; phụ tùng&gt; khung")</f>
        <v>Đấu giá&gt; ô tô, xe máy&gt; xe máy&gt; phụ tùng&gt; khung</v>
      </c>
      <c r="F1178" t="str">
        <f t="shared" ca="1" si="18"/>
        <v>"2084005526" : "khung",</v>
      </c>
    </row>
    <row r="1179" spans="1:6" ht="15.75" customHeight="1">
      <c r="A1179" s="18">
        <v>2084005518</v>
      </c>
      <c r="B1179" s="18" t="s">
        <v>10438</v>
      </c>
      <c r="C1179" s="18" t="s">
        <v>14200</v>
      </c>
      <c r="D1179" s="5" t="str">
        <f ca="1">IFERROR(__xludf.DUMMYFUNCTION("GOOGLETRANSLATE(B1179,""ja"",""vi"")"),"phanh")</f>
        <v>phanh</v>
      </c>
      <c r="E1179" s="5" t="str">
        <f ca="1">IFERROR(__xludf.DUMMYFUNCTION("GOOGLETRANSLATE(C1179,""ja"",""vi"")"),"Đấu giá&gt; ô tô, xe máy&gt; xe máy&gt; phụ tùng&gt; phanh")</f>
        <v>Đấu giá&gt; ô tô, xe máy&gt; xe máy&gt; phụ tùng&gt; phanh</v>
      </c>
      <c r="F1179" t="str">
        <f t="shared" ca="1" si="18"/>
        <v>"2084005518" : "phanh",</v>
      </c>
    </row>
    <row r="1180" spans="1:6" ht="15.75" customHeight="1">
      <c r="A1180" s="18">
        <v>2084244700</v>
      </c>
      <c r="B1180" s="18" t="s">
        <v>14202</v>
      </c>
      <c r="C1180" s="18" t="s">
        <v>14203</v>
      </c>
      <c r="D1180" s="5" t="str">
        <f ca="1">IFERROR(__xludf.DUMMYFUNCTION("GOOGLETRANSLATE(B1180,""ja"",""vi"")"),"cái ròng rọc")</f>
        <v>cái ròng rọc</v>
      </c>
      <c r="E1180" s="5" t="str">
        <f ca="1">IFERROR(__xludf.DUMMYFUNCTION("GOOGLETRANSLATE(C1180,""ja"",""vi"")"),"Đấu giá&gt; ô tô, xe máy&gt; xe máy&gt; phụ tùng&gt; Pulley")</f>
        <v>Đấu giá&gt; ô tô, xe máy&gt; xe máy&gt; phụ tùng&gt; Pulley</v>
      </c>
      <c r="F1180" t="str">
        <f t="shared" ca="1" si="18"/>
        <v>"2084244700" : "cái ròng rọc",</v>
      </c>
    </row>
    <row r="1181" spans="1:6" ht="15.75" customHeight="1">
      <c r="A1181" s="18">
        <v>2084019086</v>
      </c>
      <c r="B1181" s="18" t="s">
        <v>14205</v>
      </c>
      <c r="C1181" s="18" t="s">
        <v>14206</v>
      </c>
      <c r="D1181" s="5" t="str">
        <f ca="1">IFERROR(__xludf.DUMMYFUNCTION("GOOGLETRANSLATE(B1181,""ja"",""vi"")"),"sừng")</f>
        <v>sừng</v>
      </c>
      <c r="E1181" s="5" t="str">
        <f ca="1">IFERROR(__xludf.DUMMYFUNCTION("GOOGLETRANSLATE(C1181,""ja"",""vi"")"),"Đấu giá&gt; ô tô, xe máy&gt; xe máy&gt; phụ tùng&gt; sừng")</f>
        <v>Đấu giá&gt; ô tô, xe máy&gt; xe máy&gt; phụ tùng&gt; sừng</v>
      </c>
      <c r="F1181" t="str">
        <f t="shared" ca="1" si="18"/>
        <v>"2084019086" : "sừng",</v>
      </c>
    </row>
    <row r="1182" spans="1:6" ht="15.75" customHeight="1">
      <c r="A1182" s="18">
        <v>2084005517</v>
      </c>
      <c r="B1182" s="18" t="s">
        <v>10376</v>
      </c>
      <c r="C1182" s="18" t="s">
        <v>14208</v>
      </c>
      <c r="D1182" s="5" t="str">
        <f ca="1">IFERROR(__xludf.DUMMYFUNCTION("GOOGLETRANSLATE(B1182,""ja"",""vi"")"),"bánh xe")</f>
        <v>bánh xe</v>
      </c>
      <c r="E1182" s="5" t="str">
        <f ca="1">IFERROR(__xludf.DUMMYFUNCTION("GOOGLETRANSLATE(C1182,""ja"",""vi"")"),"Đấu giá&gt; ô tô, xe máy&gt; xe máy&gt; phụ tùng&gt; bánh xe")</f>
        <v>Đấu giá&gt; ô tô, xe máy&gt; xe máy&gt; phụ tùng&gt; bánh xe</v>
      </c>
      <c r="F1182" t="str">
        <f t="shared" ca="1" si="18"/>
        <v>"2084005517" : "bánh xe",</v>
      </c>
    </row>
    <row r="1183" spans="1:6" ht="15.75" customHeight="1">
      <c r="A1183" s="18">
        <v>2084005519</v>
      </c>
      <c r="B1183" s="18" t="s">
        <v>14210</v>
      </c>
      <c r="C1183" s="18" t="s">
        <v>14211</v>
      </c>
      <c r="D1183" s="5" t="str">
        <f ca="1">IFERROR(__xludf.DUMMYFUNCTION("GOOGLETRANSLATE(B1183,""ja"",""vi"")"),"khăn choàng cổ")</f>
        <v>khăn choàng cổ</v>
      </c>
      <c r="E1183" s="5" t="str">
        <f ca="1">IFERROR(__xludf.DUMMYFUNCTION("GOOGLETRANSLATE(C1183,""ja"",""vi"")"),"Đấu giá&gt; ô tô, xe máy&gt; xe máy&gt; phụ tùng&gt; muffler")</f>
        <v>Đấu giá&gt; ô tô, xe máy&gt; xe máy&gt; phụ tùng&gt; muffler</v>
      </c>
      <c r="F1183" t="str">
        <f t="shared" ca="1" si="18"/>
        <v>"2084005519" : "khăn choàng cổ",</v>
      </c>
    </row>
    <row r="1184" spans="1:6" ht="15.75" customHeight="1">
      <c r="A1184" s="18">
        <v>2084005527</v>
      </c>
      <c r="B1184" s="18" t="s">
        <v>14212</v>
      </c>
      <c r="C1184" s="18" t="s">
        <v>14214</v>
      </c>
      <c r="D1184" s="5" t="str">
        <f ca="1">IFERROR(__xludf.DUMMYFUNCTION("GOOGLETRANSLATE(B1184,""ja"",""vi"")"),"gương")</f>
        <v>gương</v>
      </c>
      <c r="E1184" s="5" t="str">
        <f ca="1">IFERROR(__xludf.DUMMYFUNCTION("GOOGLETRANSLATE(C1184,""ja"",""vi"")"),"Đấu giá&gt; ô tô, xe máy&gt; xe máy&gt; phụ tùng&gt; gương")</f>
        <v>Đấu giá&gt; ô tô, xe máy&gt; xe máy&gt; phụ tùng&gt; gương</v>
      </c>
      <c r="F1184" t="str">
        <f t="shared" ca="1" si="18"/>
        <v>"2084005527" : "gương",</v>
      </c>
    </row>
    <row r="1185" spans="1:6" ht="15.75" customHeight="1">
      <c r="A1185" s="18">
        <v>2084005530</v>
      </c>
      <c r="B1185" s="18" t="s">
        <v>2962</v>
      </c>
      <c r="C1185" s="18" t="s">
        <v>14215</v>
      </c>
      <c r="D1185" s="5" t="str">
        <f ca="1">IFERROR(__xludf.DUMMYFUNCTION("GOOGLETRANSLATE(B1185,""ja"",""vi"")"),"Meter")</f>
        <v>Meter</v>
      </c>
      <c r="E1185" s="5" t="str">
        <f ca="1">IFERROR(__xludf.DUMMYFUNCTION("GOOGLETRANSLATE(C1185,""ja"",""vi"")"),"Đấu giá&gt; ô tô, xe máy&gt; xe máy&gt; phụ tùng&gt; mét")</f>
        <v>Đấu giá&gt; ô tô, xe máy&gt; xe máy&gt; phụ tùng&gt; mét</v>
      </c>
      <c r="F1185" t="str">
        <f t="shared" ca="1" si="18"/>
        <v>"2084005530" : "Meter",</v>
      </c>
    </row>
    <row r="1186" spans="1:6" ht="15.75" customHeight="1">
      <c r="A1186" s="18">
        <v>2084005523</v>
      </c>
      <c r="B1186" s="18" t="s">
        <v>14217</v>
      </c>
      <c r="C1186" s="18" t="s">
        <v>14218</v>
      </c>
      <c r="D1186" s="5" t="str">
        <f ca="1">IFERROR(__xludf.DUMMYFUNCTION("GOOGLETRANSLATE(B1186,""ja"",""vi"")"),"Ánh sáng, tín hiệu lần lượt")</f>
        <v>Ánh sáng, tín hiệu lần lượt</v>
      </c>
      <c r="E1186" s="5" t="str">
        <f ca="1">IFERROR(__xludf.DUMMYFUNCTION("GOOGLETRANSLATE(C1186,""ja"",""vi"")"),"Đấu giá&gt; ô tô, xe máy&gt; xe máy&gt; phụ tùng&gt; ánh sáng, tín hiệu lần lượt")</f>
        <v>Đấu giá&gt; ô tô, xe máy&gt; xe máy&gt; phụ tùng&gt; ánh sáng, tín hiệu lần lượt</v>
      </c>
      <c r="F1186" t="str">
        <f t="shared" ca="1" si="18"/>
        <v>"2084005523" : "Ánh sáng, tín hiệu lần lượt",</v>
      </c>
    </row>
    <row r="1187" spans="1:6" ht="15.75" customHeight="1">
      <c r="A1187" s="18">
        <v>2084019087</v>
      </c>
      <c r="B1187" s="18" t="s">
        <v>14220</v>
      </c>
      <c r="C1187" s="18" t="s">
        <v>14221</v>
      </c>
      <c r="D1187" s="5" t="str">
        <f ca="1">IFERROR(__xludf.DUMMYFUNCTION("GOOGLETRANSLATE(B1187,""ja"",""vi"")"),"đòn bẩy")</f>
        <v>đòn bẩy</v>
      </c>
      <c r="E1187" s="5" t="str">
        <f ca="1">IFERROR(__xludf.DUMMYFUNCTION("GOOGLETRANSLATE(C1187,""ja"",""vi"")"),"Đấu giá&gt; ô tô, xe máy&gt; xe máy&gt; phụ tùng&gt; đòn bẩy")</f>
        <v>Đấu giá&gt; ô tô, xe máy&gt; xe máy&gt; phụ tùng&gt; đòn bẩy</v>
      </c>
      <c r="F1187" t="str">
        <f t="shared" ca="1" si="18"/>
        <v>"2084019087" : "đòn bẩy",</v>
      </c>
    </row>
    <row r="1188" spans="1:6" ht="15.75" customHeight="1">
      <c r="A1188" s="18">
        <v>2084015597</v>
      </c>
      <c r="B1188" s="18" t="s">
        <v>14223</v>
      </c>
      <c r="C1188" s="18" t="s">
        <v>14224</v>
      </c>
      <c r="D1188" s="5" t="str">
        <f ca="1">IFERROR(__xludf.DUMMYFUNCTION("GOOGLETRANSLATE(B1188,""ja"",""vi"")"),"xe máy maker")</f>
        <v>xe máy maker</v>
      </c>
      <c r="E1188" s="5" t="str">
        <f ca="1">IFERROR(__xludf.DUMMYFUNCTION("GOOGLETRANSLATE(C1188,""ja"",""vi"")"),"Đấu giá&gt; ô tô, xe máy&gt; xe máy&gt; phụ tùng&gt; nhà sản xuất xe máy bằng")</f>
        <v>Đấu giá&gt; ô tô, xe máy&gt; xe máy&gt; phụ tùng&gt; nhà sản xuất xe máy bằng</v>
      </c>
      <c r="F1188" t="str">
        <f t="shared" ca="1" si="18"/>
        <v>"2084015597" : "xe máy maker",</v>
      </c>
    </row>
    <row r="1189" spans="1:6" ht="15.75" customHeight="1">
      <c r="A1189" s="18">
        <v>2084255908</v>
      </c>
      <c r="B1189" s="18" t="s">
        <v>5027</v>
      </c>
      <c r="C1189" s="18" t="s">
        <v>14226</v>
      </c>
      <c r="D1189" s="5" t="str">
        <f ca="1">IFERROR(__xludf.DUMMYFUNCTION("GOOGLETRANSLATE(B1189,""ja"",""vi"")"),"âm thanh")</f>
        <v>âm thanh</v>
      </c>
      <c r="E1189" s="5" t="str">
        <f ca="1">IFERROR(__xludf.DUMMYFUNCTION("GOOGLETRANSLATE(C1189,""ja"",""vi"")"),"Đấu giá&gt; ô tô, xe máy&gt; xe máy&gt; phụ tùng&gt; Audio")</f>
        <v>Đấu giá&gt; ô tô, xe máy&gt; xe máy&gt; phụ tùng&gt; Audio</v>
      </c>
      <c r="F1189" t="str">
        <f t="shared" ca="1" si="18"/>
        <v>"2084255908" : "âm thanh",</v>
      </c>
    </row>
    <row r="1190" spans="1:6" ht="15.75" customHeight="1">
      <c r="A1190" s="18">
        <v>2084005531</v>
      </c>
      <c r="B1190" s="18" t="s">
        <v>46</v>
      </c>
      <c r="C1190" s="18" t="s">
        <v>14229</v>
      </c>
      <c r="D1190" s="5" t="str">
        <f ca="1">IFERROR(__xludf.DUMMYFUNCTION("GOOGLETRANSLATE(B1190,""ja"",""vi"")"),"nếu không thì")</f>
        <v>nếu không thì</v>
      </c>
      <c r="E1190" s="5" t="str">
        <f ca="1">IFERROR(__xludf.DUMMYFUNCTION("GOOGLETRANSLATE(C1190,""ja"",""vi"")"),"Đấu giá&gt; ô tô, xe máy&gt; xe máy&gt; phụ tùng&gt; Khác")</f>
        <v>Đấu giá&gt; ô tô, xe máy&gt; xe máy&gt; phụ tùng&gt; Khác</v>
      </c>
      <c r="F1190" t="str">
        <f t="shared" ca="1" si="18"/>
        <v>"2084005531" : "nếu không thì",</v>
      </c>
    </row>
    <row r="1191" spans="1:6" ht="15.75" customHeight="1">
      <c r="A1191" s="18">
        <v>2084241155</v>
      </c>
      <c r="B1191" s="18" t="s">
        <v>14583</v>
      </c>
      <c r="C1191" s="18" t="s">
        <v>14585</v>
      </c>
      <c r="D1191" s="5" t="str">
        <f ca="1">IFERROR(__xludf.DUMMYFUNCTION("GOOGLETRANSLATE(B1191,""ja"",""vi"")"),"Xe tải, bãi")</f>
        <v>Xe tải, bãi</v>
      </c>
      <c r="E1191" s="5" t="str">
        <f ca="1">IFERROR(__xludf.DUMMYFUNCTION("GOOGLETRANSLATE(C1191,""ja"",""vi"")"),"Đấu giá&gt; ô tô, xe máy&gt; xe tải, bãi, máy móc xây dựng&gt; phụ tùng&gt; xe tải, bãi")</f>
        <v>Đấu giá&gt; ô tô, xe máy&gt; xe tải, bãi, máy móc xây dựng&gt; phụ tùng&gt; xe tải, bãi</v>
      </c>
      <c r="F1191" t="str">
        <f t="shared" ca="1" si="18"/>
        <v>"2084241155" : "Xe tải, bãi",</v>
      </c>
    </row>
    <row r="1192" spans="1:6" ht="15.75" customHeight="1">
      <c r="A1192" s="18">
        <v>2084241154</v>
      </c>
      <c r="B1192" s="18" t="s">
        <v>13933</v>
      </c>
      <c r="C1192" s="18" t="s">
        <v>14588</v>
      </c>
      <c r="D1192" s="5" t="str">
        <f ca="1">IFERROR(__xludf.DUMMYFUNCTION("GOOGLETRANSLATE(B1192,""ja"",""vi"")"),"máy móc thiết bị xây dựng, thiết bị nặng")</f>
        <v>máy móc thiết bị xây dựng, thiết bị nặng</v>
      </c>
      <c r="E1192" s="5" t="str">
        <f ca="1">IFERROR(__xludf.DUMMYFUNCTION("GOOGLETRANSLATE(C1192,""ja"",""vi"")"),"Đấu giá&gt; ô tô, xe máy&gt; xe tải, bãi, máy móc xây dựng&gt; phụ tùng&gt; máy móc xây dựng, thiết bị nặng")</f>
        <v>Đấu giá&gt; ô tô, xe máy&gt; xe tải, bãi, máy móc xây dựng&gt; phụ tùng&gt; máy móc xây dựng, thiết bị nặng</v>
      </c>
      <c r="F1192" t="str">
        <f t="shared" ca="1" si="18"/>
        <v>"2084241154" : "máy móc thiết bị xây dựng, thiết bị nặng",</v>
      </c>
    </row>
    <row r="1193" spans="1:6" ht="15.75" customHeight="1">
      <c r="A1193" s="18">
        <v>2084200183</v>
      </c>
      <c r="B1193" s="18" t="s">
        <v>14592</v>
      </c>
      <c r="C1193" s="18" t="s">
        <v>14593</v>
      </c>
      <c r="D1193" s="5" t="str">
        <f ca="1">IFERROR(__xludf.DUMMYFUNCTION("GOOGLETRANSLATE(B1193,""ja"",""vi"")"),"Lốp và bánh xe Set")</f>
        <v>Lốp và bánh xe Set</v>
      </c>
      <c r="E1193" s="5" t="str">
        <f ca="1">IFERROR(__xludf.DUMMYFUNCTION("GOOGLETRANSLATE(C1193,""ja"",""vi"")"),"Đấu giá&gt; ô tô, xe máy&gt; lốp xe, bánh xe&gt; bánh lốp bộ")</f>
        <v>Đấu giá&gt; ô tô, xe máy&gt; lốp xe, bánh xe&gt; bánh lốp bộ</v>
      </c>
      <c r="F1193" t="str">
        <f t="shared" ca="1" si="18"/>
        <v>"2084200183" : "Lốp và bánh xe Set",</v>
      </c>
    </row>
    <row r="1194" spans="1:6" ht="15.75" customHeight="1">
      <c r="A1194" s="18">
        <v>2084005141</v>
      </c>
      <c r="B1194" s="18" t="s">
        <v>10382</v>
      </c>
      <c r="C1194" s="18" t="s">
        <v>14598</v>
      </c>
      <c r="D1194" s="5" t="str">
        <f ca="1">IFERROR(__xludf.DUMMYFUNCTION("GOOGLETRANSLATE(B1194,""ja"",""vi"")"),"lốp")</f>
        <v>lốp</v>
      </c>
      <c r="E1194" s="5" t="str">
        <f ca="1">IFERROR(__xludf.DUMMYFUNCTION("GOOGLETRANSLATE(C1194,""ja"",""vi"")"),"Đấu giá&gt; ô tô, xe máy&gt; lốp xe, bánh xe&gt; lốp")</f>
        <v>Đấu giá&gt; ô tô, xe máy&gt; lốp xe, bánh xe&gt; lốp</v>
      </c>
      <c r="F1194" t="str">
        <f t="shared" ca="1" si="18"/>
        <v>"2084005141" : "lốp",</v>
      </c>
    </row>
    <row r="1195" spans="1:6" ht="15.75" customHeight="1">
      <c r="A1195" s="18">
        <v>2084005140</v>
      </c>
      <c r="B1195" s="18" t="s">
        <v>10376</v>
      </c>
      <c r="C1195" s="18" t="s">
        <v>14601</v>
      </c>
      <c r="D1195" s="5" t="str">
        <f ca="1">IFERROR(__xludf.DUMMYFUNCTION("GOOGLETRANSLATE(B1195,""ja"",""vi"")"),"bánh xe")</f>
        <v>bánh xe</v>
      </c>
      <c r="E1195" s="5" t="str">
        <f ca="1">IFERROR(__xludf.DUMMYFUNCTION("GOOGLETRANSLATE(C1195,""ja"",""vi"")"),"Đấu giá&gt; ô tô, xe máy&gt; lốp xe, bánh xe&gt; bánh xe")</f>
        <v>Đấu giá&gt; ô tô, xe máy&gt; lốp xe, bánh xe&gt; bánh xe</v>
      </c>
      <c r="F1195" t="str">
        <f t="shared" ca="1" si="18"/>
        <v>"2084005140" : "bánh xe",</v>
      </c>
    </row>
    <row r="1196" spans="1:6" ht="15.75" customHeight="1">
      <c r="A1196" s="18">
        <v>2084008459</v>
      </c>
      <c r="B1196" s="18" t="s">
        <v>14603</v>
      </c>
      <c r="C1196" s="18" t="s">
        <v>14607</v>
      </c>
      <c r="D1196" s="5" t="str">
        <f ca="1">IFERROR(__xludf.DUMMYFUNCTION("GOOGLETRANSLATE(B1196,""ja"",""vi"")"),"Chain, không trơn trượt")</f>
        <v>Chain, không trơn trượt</v>
      </c>
      <c r="E1196" s="5" t="str">
        <f ca="1">IFERROR(__xludf.DUMMYFUNCTION("GOOGLETRANSLATE(C1196,""ja"",""vi"")"),"Đấu giá&gt; ô tô, xe máy&gt; lốp xe, bánh xe&gt; chuỗi, không trơn trượt")</f>
        <v>Đấu giá&gt; ô tô, xe máy&gt; lốp xe, bánh xe&gt; chuỗi, không trơn trượt</v>
      </c>
      <c r="F1196" t="str">
        <f t="shared" ca="1" si="18"/>
        <v>"2084008459" : "Chain, không trơn trượt",</v>
      </c>
    </row>
    <row r="1197" spans="1:6" ht="15.75" customHeight="1">
      <c r="A1197" s="18">
        <v>2084230821</v>
      </c>
      <c r="B1197" s="18" t="s">
        <v>14609</v>
      </c>
      <c r="C1197" s="18" t="s">
        <v>14611</v>
      </c>
      <c r="D1197" s="5" t="str">
        <f ca="1">IFERROR(__xludf.DUMMYFUNCTION("GOOGLETRANSLATE(B1197,""ja"",""vi"")"),"spacer")</f>
        <v>spacer</v>
      </c>
      <c r="E1197" s="5" t="str">
        <f ca="1">IFERROR(__xludf.DUMMYFUNCTION("GOOGLETRANSLATE(C1197,""ja"",""vi"")"),"Đấu giá&gt; ô tô, xe máy&gt; lốp xe, bánh xe&gt; spacer")</f>
        <v>Đấu giá&gt; ô tô, xe máy&gt; lốp xe, bánh xe&gt; spacer</v>
      </c>
      <c r="F1197" t="str">
        <f t="shared" ca="1" si="18"/>
        <v>"2084230821" : "spacer",</v>
      </c>
    </row>
    <row r="1198" spans="1:6" ht="15.75" customHeight="1">
      <c r="A1198" s="18">
        <v>2084064158</v>
      </c>
      <c r="B1198" s="18" t="s">
        <v>14615</v>
      </c>
      <c r="C1198" s="18" t="s">
        <v>14616</v>
      </c>
      <c r="D1198" s="5" t="str">
        <f ca="1">IFERROR(__xludf.DUMMYFUNCTION("GOOGLETRANSLATE(B1198,""ja"",""vi"")"),"nắp bánh xe")</f>
        <v>nắp bánh xe</v>
      </c>
      <c r="E1198" s="5" t="str">
        <f ca="1">IFERROR(__xludf.DUMMYFUNCTION("GOOGLETRANSLATE(C1198,""ja"",""vi"")"),"Đấu giá&gt; ô tô, xe máy&gt; lốp xe, bánh xe&gt; nắp bánh xe")</f>
        <v>Đấu giá&gt; ô tô, xe máy&gt; lốp xe, bánh xe&gt; nắp bánh xe</v>
      </c>
      <c r="F1198" t="str">
        <f t="shared" ca="1" si="18"/>
        <v>"2084064158" : "nắp bánh xe",</v>
      </c>
    </row>
    <row r="1199" spans="1:6" ht="15.75" customHeight="1">
      <c r="A1199" s="18">
        <v>2084064153</v>
      </c>
      <c r="B1199" s="18" t="s">
        <v>14619</v>
      </c>
      <c r="C1199" s="18" t="s">
        <v>14620</v>
      </c>
      <c r="D1199" s="5" t="str">
        <f ca="1">IFERROR(__xludf.DUMMYFUNCTION("GOOGLETRANSLATE(B1199,""ja"",""vi"")"),"hạt bánh xe")</f>
        <v>hạt bánh xe</v>
      </c>
      <c r="E1199" s="5" t="str">
        <f ca="1">IFERROR(__xludf.DUMMYFUNCTION("GOOGLETRANSLATE(C1199,""ja"",""vi"")"),"Đấu giá&gt; ô tô, xe máy&gt; lốp xe, bánh xe&gt; nut bánh xe")</f>
        <v>Đấu giá&gt; ô tô, xe máy&gt; lốp xe, bánh xe&gt; nut bánh xe</v>
      </c>
      <c r="F1199" t="str">
        <f t="shared" ca="1" si="18"/>
        <v>"2084064153" : "hạt bánh xe",</v>
      </c>
    </row>
    <row r="1200" spans="1:6" ht="15.75" customHeight="1">
      <c r="A1200" s="18">
        <v>2084005514</v>
      </c>
      <c r="B1200" s="18" t="s">
        <v>14624</v>
      </c>
      <c r="C1200" s="18" t="s">
        <v>14625</v>
      </c>
      <c r="D1200" s="5" t="str">
        <f ca="1">IFERROR(__xludf.DUMMYFUNCTION("GOOGLETRANSLATE(B1200,""ja"",""vi"")"),"Đối với xe máy")</f>
        <v>Đối với xe máy</v>
      </c>
      <c r="E1200" s="5" t="str">
        <f ca="1">IFERROR(__xludf.DUMMYFUNCTION("GOOGLETRANSLATE(C1200,""ja"",""vi"")"),"Đấu giá&gt; ô tô, xe máy&gt; phụ tùng&gt; treo&gt; cho xe gắn máy")</f>
        <v>Đấu giá&gt; ô tô, xe máy&gt; phụ tùng&gt; treo&gt; cho xe gắn máy</v>
      </c>
      <c r="F1200" t="str">
        <f t="shared" ca="1" si="18"/>
        <v>"2084005514" : "Đối với xe máy",</v>
      </c>
    </row>
    <row r="1201" spans="1:6" ht="15.75" customHeight="1">
      <c r="A1201" s="18">
        <v>2084016842</v>
      </c>
      <c r="B1201" s="18" t="s">
        <v>14628</v>
      </c>
      <c r="C1201" s="18" t="s">
        <v>14630</v>
      </c>
      <c r="D1201" s="5" t="str">
        <f ca="1">IFERROR(__xludf.DUMMYFUNCTION("GOOGLETRANSLATE(B1201,""ja"",""vi"")"),"Đối với BMW")</f>
        <v>Đối với BMW</v>
      </c>
      <c r="E1201" s="5" t="str">
        <f ca="1">IFERROR(__xludf.DUMMYFUNCTION("GOOGLETRANSLATE(C1201,""ja"",""vi"")"),"Đấu giá&gt; ô tô, xe máy&gt; phụ tùng&gt; treo&gt; cho BMW")</f>
        <v>Đấu giá&gt; ô tô, xe máy&gt; phụ tùng&gt; treo&gt; cho BMW</v>
      </c>
      <c r="F1201" t="str">
        <f t="shared" ca="1" si="18"/>
        <v>"2084016842" : "Đối với BMW",</v>
      </c>
    </row>
    <row r="1202" spans="1:6" ht="15.75" customHeight="1">
      <c r="A1202" s="18">
        <v>2084016845</v>
      </c>
      <c r="B1202" s="18" t="s">
        <v>14633</v>
      </c>
      <c r="C1202" s="18" t="s">
        <v>14635</v>
      </c>
      <c r="D1202" s="5" t="str">
        <f ca="1">IFERROR(__xludf.DUMMYFUNCTION("GOOGLETRANSLATE(B1202,""ja"",""vi"")"),"Đối với Isuzu")</f>
        <v>Đối với Isuzu</v>
      </c>
      <c r="E1202" s="5" t="str">
        <f ca="1">IFERROR(__xludf.DUMMYFUNCTION("GOOGLETRANSLATE(C1202,""ja"",""vi"")"),"Đấu giá&gt; ô tô, xe máy&gt; phụ tùng&gt; treo&gt; cho Isuzu")</f>
        <v>Đấu giá&gt; ô tô, xe máy&gt; phụ tùng&gt; treo&gt; cho Isuzu</v>
      </c>
      <c r="F1202" t="str">
        <f t="shared" ca="1" si="18"/>
        <v>"2084016845" : "Đối với Isuzu",</v>
      </c>
    </row>
    <row r="1203" spans="1:6" ht="15.75" customHeight="1">
      <c r="A1203" s="18">
        <v>2084016843</v>
      </c>
      <c r="B1203" s="18" t="s">
        <v>14640</v>
      </c>
      <c r="C1203" s="18" t="s">
        <v>14641</v>
      </c>
      <c r="D1203" s="5" t="str">
        <f ca="1">IFERROR(__xludf.DUMMYFUNCTION("GOOGLETRANSLATE(B1203,""ja"",""vi"")"),"Đối với Audi")</f>
        <v>Đối với Audi</v>
      </c>
      <c r="E1203" s="5" t="str">
        <f ca="1">IFERROR(__xludf.DUMMYFUNCTION("GOOGLETRANSLATE(C1203,""ja"",""vi"")"),"Đấu giá&gt; ô tô, xe máy&gt; phụ tùng&gt; treo&gt; cho Audi")</f>
        <v>Đấu giá&gt; ô tô, xe máy&gt; phụ tùng&gt; treo&gt; cho Audi</v>
      </c>
      <c r="F1203" t="str">
        <f t="shared" ca="1" si="18"/>
        <v>"2084016843" : "Đối với Audi",</v>
      </c>
    </row>
    <row r="1204" spans="1:6" ht="15.75" customHeight="1">
      <c r="A1204" s="18">
        <v>2084016844</v>
      </c>
      <c r="B1204" s="18" t="s">
        <v>14644</v>
      </c>
      <c r="C1204" s="18" t="s">
        <v>14646</v>
      </c>
      <c r="D1204" s="5" t="str">
        <f ca="1">IFERROR(__xludf.DUMMYFUNCTION("GOOGLETRANSLATE(B1204,""ja"",""vi"")"),"Đối với Alfa Romeo")</f>
        <v>Đối với Alfa Romeo</v>
      </c>
      <c r="E1204" s="5" t="str">
        <f ca="1">IFERROR(__xludf.DUMMYFUNCTION("GOOGLETRANSLATE(C1204,""ja"",""vi"")"),"Đấu giá&gt; ô tô, xe máy&gt; phụ tùng&gt; treo&gt; alpha cho Romeo")</f>
        <v>Đấu giá&gt; ô tô, xe máy&gt; phụ tùng&gt; treo&gt; alpha cho Romeo</v>
      </c>
      <c r="F1204" t="str">
        <f t="shared" ca="1" si="18"/>
        <v>"2084016844" : "Đối với Alfa Romeo",</v>
      </c>
    </row>
    <row r="1205" spans="1:6" ht="15.75" customHeight="1">
      <c r="A1205" s="18">
        <v>2084016846</v>
      </c>
      <c r="B1205" s="18" t="s">
        <v>14649</v>
      </c>
      <c r="C1205" s="18" t="s">
        <v>14650</v>
      </c>
      <c r="D1205" s="5" t="str">
        <f ca="1">IFERROR(__xludf.DUMMYFUNCTION("GOOGLETRANSLATE(B1205,""ja"",""vi"")"),"cho Opel")</f>
        <v>cho Opel</v>
      </c>
      <c r="E1205" s="5" t="str">
        <f ca="1">IFERROR(__xludf.DUMMYFUNCTION("GOOGLETRANSLATE(C1205,""ja"",""vi"")"),"Đấu giá&gt; ô tô, xe máy&gt; phụ tùng&gt; treo&gt; cho Opel")</f>
        <v>Đấu giá&gt; ô tô, xe máy&gt; phụ tùng&gt; treo&gt; cho Opel</v>
      </c>
      <c r="F1205" t="str">
        <f t="shared" ca="1" si="18"/>
        <v>"2084016846" : "cho Opel",</v>
      </c>
    </row>
    <row r="1206" spans="1:6" ht="15.75" customHeight="1">
      <c r="A1206" s="18">
        <v>2084198622</v>
      </c>
      <c r="B1206" s="18" t="s">
        <v>14654</v>
      </c>
      <c r="C1206" s="18" t="s">
        <v>14656</v>
      </c>
      <c r="D1206" s="5" t="str">
        <f ca="1">IFERROR(__xludf.DUMMYFUNCTION("GOOGLETRANSLATE(B1206,""ja"",""vi"")"),"Đối với Chrysler")</f>
        <v>Đối với Chrysler</v>
      </c>
      <c r="E1206" s="5" t="str">
        <f ca="1">IFERROR(__xludf.DUMMYFUNCTION("GOOGLETRANSLATE(C1206,""ja"",""vi"")"),"Đấu giá&gt; ô tô, xe máy&gt; phụ tùng&gt; treo&gt; cho Chrysler")</f>
        <v>Đấu giá&gt; ô tô, xe máy&gt; phụ tùng&gt; treo&gt; cho Chrysler</v>
      </c>
      <c r="F1206" t="str">
        <f t="shared" ca="1" si="18"/>
        <v>"2084198622" : "Đối với Chrysler",</v>
      </c>
    </row>
    <row r="1207" spans="1:6" ht="15.75" customHeight="1">
      <c r="A1207" s="18">
        <v>2084016847</v>
      </c>
      <c r="B1207" s="18" t="s">
        <v>14657</v>
      </c>
      <c r="C1207" s="18" t="s">
        <v>14660</v>
      </c>
      <c r="D1207" s="5" t="str">
        <f ca="1">IFERROR(__xludf.DUMMYFUNCTION("GOOGLETRANSLATE(B1207,""ja"",""vi"")"),"Đối với Citroen")</f>
        <v>Đối với Citroen</v>
      </c>
      <c r="E1207" s="5" t="str">
        <f ca="1">IFERROR(__xludf.DUMMYFUNCTION("GOOGLETRANSLATE(C1207,""ja"",""vi"")"),"Đấu giá&gt; ô tô, xe máy&gt; phụ tùng&gt; treo&gt; cho Citroen")</f>
        <v>Đấu giá&gt; ô tô, xe máy&gt; phụ tùng&gt; treo&gt; cho Citroen</v>
      </c>
      <c r="F1207" t="str">
        <f t="shared" ca="1" si="18"/>
        <v>"2084016847" : "Đối với Citroen",</v>
      </c>
    </row>
    <row r="1208" spans="1:6" ht="15.75" customHeight="1">
      <c r="A1208" s="18">
        <v>2084016848</v>
      </c>
      <c r="B1208" s="18" t="s">
        <v>14663</v>
      </c>
      <c r="C1208" s="18" t="s">
        <v>14664</v>
      </c>
      <c r="D1208" s="5" t="str">
        <f ca="1">IFERROR(__xludf.DUMMYFUNCTION("GOOGLETRANSLATE(B1208,""ja"",""vi"")"),"Đối với Chevrolet")</f>
        <v>Đối với Chevrolet</v>
      </c>
      <c r="E1208" s="5" t="str">
        <f ca="1">IFERROR(__xludf.DUMMYFUNCTION("GOOGLETRANSLATE(C1208,""ja"",""vi"")"),"Đấu giá&gt; ô tô, xe máy&gt; phụ tùng&gt; treo&gt; cho Chevrolet")</f>
        <v>Đấu giá&gt; ô tô, xe máy&gt; phụ tùng&gt; treo&gt; cho Chevrolet</v>
      </c>
      <c r="F1208" t="str">
        <f t="shared" ca="1" si="18"/>
        <v>"2084016848" : "Đối với Chevrolet",</v>
      </c>
    </row>
    <row r="1209" spans="1:6" ht="15.75" customHeight="1">
      <c r="A1209" s="18">
        <v>2084198768</v>
      </c>
      <c r="B1209" s="18" t="s">
        <v>14667</v>
      </c>
      <c r="C1209" s="18" t="s">
        <v>14668</v>
      </c>
      <c r="D1209" s="5" t="str">
        <f ca="1">IFERROR(__xludf.DUMMYFUNCTION("GOOGLETRANSLATE(B1209,""ja"",""vi"")"),"Đối với Jaguar")</f>
        <v>Đối với Jaguar</v>
      </c>
      <c r="E1209" s="5" t="str">
        <f ca="1">IFERROR(__xludf.DUMMYFUNCTION("GOOGLETRANSLATE(C1209,""ja"",""vi"")"),"Đấu giá&gt; ô tô, xe máy&gt; phụ tùng&gt; treo&gt; cho Jaguar")</f>
        <v>Đấu giá&gt; ô tô, xe máy&gt; phụ tùng&gt; treo&gt; cho Jaguar</v>
      </c>
      <c r="F1209" t="str">
        <f t="shared" ca="1" si="18"/>
        <v>"2084198768" : "Đối với Jaguar",</v>
      </c>
    </row>
    <row r="1210" spans="1:6" ht="15.75" customHeight="1">
      <c r="A1210" s="18">
        <v>2084016849</v>
      </c>
      <c r="B1210" s="18" t="s">
        <v>14671</v>
      </c>
      <c r="C1210" s="18" t="s">
        <v>14672</v>
      </c>
      <c r="D1210" s="5" t="str">
        <f ca="1">IFERROR(__xludf.DUMMYFUNCTION("GOOGLETRANSLATE(B1210,""ja"",""vi"")"),"Đối với Suzuki")</f>
        <v>Đối với Suzuki</v>
      </c>
      <c r="E1210" s="5" t="str">
        <f ca="1">IFERROR(__xludf.DUMMYFUNCTION("GOOGLETRANSLATE(C1210,""ja"",""vi"")"),"Đấu giá&gt; ô tô, xe máy&gt; phụ tùng&gt; treo&gt; cho Suzuki")</f>
        <v>Đấu giá&gt; ô tô, xe máy&gt; phụ tùng&gt; treo&gt; cho Suzuki</v>
      </c>
      <c r="F1210" t="str">
        <f t="shared" ca="1" si="18"/>
        <v>"2084016849" : "Đối với Suzuki",</v>
      </c>
    </row>
    <row r="1211" spans="1:6" ht="15.75" customHeight="1">
      <c r="A1211" s="18">
        <v>2084016850</v>
      </c>
      <c r="B1211" s="18" t="s">
        <v>14673</v>
      </c>
      <c r="C1211" s="18" t="s">
        <v>14676</v>
      </c>
      <c r="D1211" s="5" t="str">
        <f ca="1">IFERROR(__xludf.DUMMYFUNCTION("GOOGLETRANSLATE(B1211,""ja"",""vi"")"),"Đối với Subaru")</f>
        <v>Đối với Subaru</v>
      </c>
      <c r="E1211" s="5" t="str">
        <f ca="1">IFERROR(__xludf.DUMMYFUNCTION("GOOGLETRANSLATE(C1211,""ja"",""vi"")"),"Đấu giá&gt; ô tô, xe máy&gt; phụ tùng&gt; treo&gt; cho Subaru")</f>
        <v>Đấu giá&gt; ô tô, xe máy&gt; phụ tùng&gt; treo&gt; cho Subaru</v>
      </c>
      <c r="F1211" t="str">
        <f t="shared" ca="1" si="18"/>
        <v>"2084016850" : "Đối với Subaru",</v>
      </c>
    </row>
    <row r="1212" spans="1:6" ht="15.75" customHeight="1">
      <c r="A1212" s="18">
        <v>2084016851</v>
      </c>
      <c r="B1212" s="18" t="s">
        <v>14677</v>
      </c>
      <c r="C1212" s="18" t="s">
        <v>14680</v>
      </c>
      <c r="D1212" s="5" t="str">
        <f ca="1">IFERROR(__xludf.DUMMYFUNCTION("GOOGLETRANSLATE(B1212,""ja"",""vi"")"),"Đối với Daihatsu")</f>
        <v>Đối với Daihatsu</v>
      </c>
      <c r="E1212" s="5" t="str">
        <f ca="1">IFERROR(__xludf.DUMMYFUNCTION("GOOGLETRANSLATE(C1212,""ja"",""vi"")"),"Đấu giá&gt; ô tô, xe máy&gt; phụ tùng&gt; treo&gt; cho Daihatsu")</f>
        <v>Đấu giá&gt; ô tô, xe máy&gt; phụ tùng&gt; treo&gt; cho Daihatsu</v>
      </c>
      <c r="F1212" t="str">
        <f t="shared" ca="1" si="18"/>
        <v>"2084016851" : "Đối với Daihatsu",</v>
      </c>
    </row>
    <row r="1213" spans="1:6" ht="15.75" customHeight="1">
      <c r="A1213" s="18">
        <v>2084016852</v>
      </c>
      <c r="B1213" s="18" t="s">
        <v>14682</v>
      </c>
      <c r="C1213" s="18" t="s">
        <v>14683</v>
      </c>
      <c r="D1213" s="5" t="str">
        <f ca="1">IFERROR(__xludf.DUMMYFUNCTION("GOOGLETRANSLATE(B1213,""ja"",""vi"")"),"Đối với Toyota")</f>
        <v>Đối với Toyota</v>
      </c>
      <c r="E1213" s="5" t="str">
        <f ca="1">IFERROR(__xludf.DUMMYFUNCTION("GOOGLETRANSLATE(C1213,""ja"",""vi"")"),"Đấu giá&gt; ô tô, xe máy&gt; phụ tùng&gt; treo&gt; cho Toyota")</f>
        <v>Đấu giá&gt; ô tô, xe máy&gt; phụ tùng&gt; treo&gt; cho Toyota</v>
      </c>
      <c r="F1213" t="str">
        <f t="shared" ca="1" si="18"/>
        <v>"2084016852" : "Đối với Toyota",</v>
      </c>
    </row>
    <row r="1214" spans="1:6" ht="15.75" customHeight="1">
      <c r="A1214" s="18">
        <v>2084016854</v>
      </c>
      <c r="B1214" s="18" t="s">
        <v>14685</v>
      </c>
      <c r="C1214" s="18" t="s">
        <v>14687</v>
      </c>
      <c r="D1214" s="5" t="str">
        <f ca="1">IFERROR(__xludf.DUMMYFUNCTION("GOOGLETRANSLATE(B1214,""ja"",""vi"")"),"Đối với Fiat")</f>
        <v>Đối với Fiat</v>
      </c>
      <c r="E1214" s="5" t="str">
        <f ca="1">IFERROR(__xludf.DUMMYFUNCTION("GOOGLETRANSLATE(C1214,""ja"",""vi"")"),"Đấu giá&gt; ô tô, xe máy&gt; phụ tùng&gt; treo&gt; cho Fiat")</f>
        <v>Đấu giá&gt; ô tô, xe máy&gt; phụ tùng&gt; treo&gt; cho Fiat</v>
      </c>
      <c r="F1214" t="str">
        <f t="shared" ca="1" si="18"/>
        <v>"2084016854" : "Đối với Fiat",</v>
      </c>
    </row>
    <row r="1215" spans="1:6" ht="15.75" customHeight="1">
      <c r="A1215" s="18">
        <v>2084016855</v>
      </c>
      <c r="B1215" s="18" t="s">
        <v>14690</v>
      </c>
      <c r="C1215" s="18" t="s">
        <v>14691</v>
      </c>
      <c r="D1215" s="5" t="str">
        <f ca="1">IFERROR(__xludf.DUMMYFUNCTION("GOOGLETRANSLATE(B1215,""ja"",""vi"")"),"Đối với Ford")</f>
        <v>Đối với Ford</v>
      </c>
      <c r="E1215" s="5" t="str">
        <f ca="1">IFERROR(__xludf.DUMMYFUNCTION("GOOGLETRANSLATE(C1215,""ja"",""vi"")"),"Đấu giá&gt; ô tô, xe máy&gt; phụ tùng&gt; treo&gt; cho Ford")</f>
        <v>Đấu giá&gt; ô tô, xe máy&gt; phụ tùng&gt; treo&gt; cho Ford</v>
      </c>
      <c r="F1215" t="str">
        <f t="shared" ca="1" si="18"/>
        <v>"2084016855" : "Đối với Ford",</v>
      </c>
    </row>
    <row r="1216" spans="1:6" ht="15.75" customHeight="1">
      <c r="A1216" s="18">
        <v>2084016856</v>
      </c>
      <c r="B1216" s="18" t="s">
        <v>14694</v>
      </c>
      <c r="C1216" s="18" t="s">
        <v>14695</v>
      </c>
      <c r="D1216" s="5" t="str">
        <f ca="1">IFERROR(__xludf.DUMMYFUNCTION("GOOGLETRANSLATE(B1216,""ja"",""vi"")"),"Đối với Volkswagen")</f>
        <v>Đối với Volkswagen</v>
      </c>
      <c r="E1216" s="5" t="str">
        <f ca="1">IFERROR(__xludf.DUMMYFUNCTION("GOOGLETRANSLATE(C1216,""ja"",""vi"")"),"Đấu giá&gt; ô tô, xe máy&gt; phụ tùng&gt; treo&gt; cho Volkswagen")</f>
        <v>Đấu giá&gt; ô tô, xe máy&gt; phụ tùng&gt; treo&gt; cho Volkswagen</v>
      </c>
      <c r="F1216" t="str">
        <f t="shared" ca="1" si="18"/>
        <v>"2084016856" : "Đối với Volkswagen",</v>
      </c>
    </row>
    <row r="1217" spans="1:6" ht="15.75" customHeight="1">
      <c r="A1217" s="18">
        <v>2084016857</v>
      </c>
      <c r="B1217" s="18" t="s">
        <v>14698</v>
      </c>
      <c r="C1217" s="18" t="s">
        <v>14699</v>
      </c>
      <c r="D1217" s="5" t="str">
        <f ca="1">IFERROR(__xludf.DUMMYFUNCTION("GOOGLETRANSLATE(B1217,""ja"",""vi"")"),"Đối với Peugeot")</f>
        <v>Đối với Peugeot</v>
      </c>
      <c r="E1217" s="5" t="str">
        <f ca="1">IFERROR(__xludf.DUMMYFUNCTION("GOOGLETRANSLATE(C1217,""ja"",""vi"")"),"Đấu giá&gt; ô tô, xe máy&gt; phụ tùng&gt; treo&gt; cho Peugeot")</f>
        <v>Đấu giá&gt; ô tô, xe máy&gt; phụ tùng&gt; treo&gt; cho Peugeot</v>
      </c>
      <c r="F1217" t="str">
        <f t="shared" ca="1" si="18"/>
        <v>"2084016857" : "Đối với Peugeot",</v>
      </c>
    </row>
    <row r="1218" spans="1:6" ht="15.75" customHeight="1">
      <c r="A1218" s="18">
        <v>2084016860</v>
      </c>
      <c r="B1218" s="18" t="s">
        <v>14701</v>
      </c>
      <c r="C1218" s="18" t="s">
        <v>14703</v>
      </c>
      <c r="D1218" s="5" t="str">
        <f ca="1">IFERROR(__xludf.DUMMYFUNCTION("GOOGLETRANSLATE(B1218,""ja"",""vi"")"),"Đối với Honda")</f>
        <v>Đối với Honda</v>
      </c>
      <c r="E1218" s="5" t="str">
        <f ca="1">IFERROR(__xludf.DUMMYFUNCTION("GOOGLETRANSLATE(C1218,""ja"",""vi"")"),"Đấu giá&gt; ô tô, xe máy&gt; phụ tùng&gt; treo&gt; cho Honda")</f>
        <v>Đấu giá&gt; ô tô, xe máy&gt; phụ tùng&gt; treo&gt; cho Honda</v>
      </c>
      <c r="F1218" t="str">
        <f t="shared" ref="F1218:F1281" ca="1" si="19">CONCATENATE(CHAR(34)&amp;"",A1218,""&amp;CHAR(34)," : ", CHAR(34)&amp;"",D1218,""&amp;CHAR(34),",")</f>
        <v>"2084016860" : "Đối với Honda",</v>
      </c>
    </row>
    <row r="1219" spans="1:6" ht="15.75" customHeight="1">
      <c r="A1219" s="18">
        <v>2084016859</v>
      </c>
      <c r="B1219" s="18" t="s">
        <v>14705</v>
      </c>
      <c r="C1219" s="18" t="s">
        <v>14706</v>
      </c>
      <c r="D1219" s="5" t="str">
        <f ca="1">IFERROR(__xludf.DUMMYFUNCTION("GOOGLETRANSLATE(B1219,""ja"",""vi"")"),"Đối với Volvo")</f>
        <v>Đối với Volvo</v>
      </c>
      <c r="E1219" s="5" t="str">
        <f ca="1">IFERROR(__xludf.DUMMYFUNCTION("GOOGLETRANSLATE(C1219,""ja"",""vi"")"),"Đấu giá&gt; ô tô, xe máy&gt; phụ tùng&gt; treo&gt; cho Volvo")</f>
        <v>Đấu giá&gt; ô tô, xe máy&gt; phụ tùng&gt; treo&gt; cho Volvo</v>
      </c>
      <c r="F1219" t="str">
        <f t="shared" ca="1" si="19"/>
        <v>"2084016859" : "Đối với Volvo",</v>
      </c>
    </row>
    <row r="1220" spans="1:6" ht="15.75" customHeight="1">
      <c r="A1220" s="18">
        <v>2084016858</v>
      </c>
      <c r="B1220" s="18" t="s">
        <v>14709</v>
      </c>
      <c r="C1220" s="18" t="s">
        <v>14710</v>
      </c>
      <c r="D1220" s="5" t="str">
        <f ca="1">IFERROR(__xludf.DUMMYFUNCTION("GOOGLETRANSLATE(B1220,""ja"",""vi"")"),"Đối với Porsche")</f>
        <v>Đối với Porsche</v>
      </c>
      <c r="E1220" s="5" t="str">
        <f ca="1">IFERROR(__xludf.DUMMYFUNCTION("GOOGLETRANSLATE(C1220,""ja"",""vi"")"),"Đấu giá&gt; ô tô, xe máy&gt; phụ tùng&gt; treo&gt; cho Porsche")</f>
        <v>Đấu giá&gt; ô tô, xe máy&gt; phụ tùng&gt; treo&gt; cho Porsche</v>
      </c>
      <c r="F1220" t="str">
        <f t="shared" ca="1" si="19"/>
        <v>"2084016858" : "Đối với Porsche",</v>
      </c>
    </row>
    <row r="1221" spans="1:6" ht="15.75" customHeight="1">
      <c r="A1221" s="18">
        <v>2084016861</v>
      </c>
      <c r="B1221" s="18" t="s">
        <v>14713</v>
      </c>
      <c r="C1221" s="18" t="s">
        <v>14714</v>
      </c>
      <c r="D1221" s="5" t="str">
        <f ca="1">IFERROR(__xludf.DUMMYFUNCTION("GOOGLETRANSLATE(B1221,""ja"",""vi"")"),"Đối với Mazda")</f>
        <v>Đối với Mazda</v>
      </c>
      <c r="E1221" s="5" t="str">
        <f ca="1">IFERROR(__xludf.DUMMYFUNCTION("GOOGLETRANSLATE(C1221,""ja"",""vi"")"),"Đấu giá&gt; ô tô, xe máy&gt; phụ tùng&gt; treo&gt; cho Mazda")</f>
        <v>Đấu giá&gt; ô tô, xe máy&gt; phụ tùng&gt; treo&gt; cho Mazda</v>
      </c>
      <c r="F1221" t="str">
        <f t="shared" ca="1" si="19"/>
        <v>"2084016861" : "Đối với Mazda",</v>
      </c>
    </row>
    <row r="1222" spans="1:6" ht="15.75" customHeight="1">
      <c r="A1222" s="18">
        <v>2084016863</v>
      </c>
      <c r="B1222" s="18" t="s">
        <v>14717</v>
      </c>
      <c r="C1222" s="18" t="s">
        <v>14718</v>
      </c>
      <c r="D1222" s="5" t="str">
        <f ca="1">IFERROR(__xludf.DUMMYFUNCTION("GOOGLETRANSLATE(B1222,""ja"",""vi"")"),"Mini")</f>
        <v>Mini</v>
      </c>
      <c r="E1222" s="5" t="str">
        <f ca="1">IFERROR(__xludf.DUMMYFUNCTION("GOOGLETRANSLATE(C1222,""ja"",""vi"")"),"Đấu giá&gt; ô tô, xe máy&gt; phụ tùng&gt; treo&gt; mini")</f>
        <v>Đấu giá&gt; ô tô, xe máy&gt; phụ tùng&gt; treo&gt; mini</v>
      </c>
      <c r="F1222" t="str">
        <f t="shared" ca="1" si="19"/>
        <v>"2084016863" : "Mini",</v>
      </c>
    </row>
    <row r="1223" spans="1:6" ht="15.75" customHeight="1">
      <c r="A1223" s="18">
        <v>2084016864</v>
      </c>
      <c r="B1223" s="18" t="s">
        <v>14720</v>
      </c>
      <c r="C1223" s="18" t="s">
        <v>14722</v>
      </c>
      <c r="D1223" s="5" t="str">
        <f ca="1">IFERROR(__xludf.DUMMYFUNCTION("GOOGLETRANSLATE(B1223,""ja"",""vi"")"),"Đối với Mercedes-Benz")</f>
        <v>Đối với Mercedes-Benz</v>
      </c>
      <c r="E1223" s="5" t="str">
        <f ca="1">IFERROR(__xludf.DUMMYFUNCTION("GOOGLETRANSLATE(C1223,""ja"",""vi"")"),"Đấu giá&gt; ô tô, xe máy&gt; phụ tùng&gt; treo&gt; cho Mercedes-Benz")</f>
        <v>Đấu giá&gt; ô tô, xe máy&gt; phụ tùng&gt; treo&gt; cho Mercedes-Benz</v>
      </c>
      <c r="F1223" t="str">
        <f t="shared" ca="1" si="19"/>
        <v>"2084016864" : "Đối với Mercedes-Benz",</v>
      </c>
    </row>
    <row r="1224" spans="1:6" ht="15.75" customHeight="1">
      <c r="A1224" s="18">
        <v>2084016865</v>
      </c>
      <c r="B1224" s="18" t="s">
        <v>14724</v>
      </c>
      <c r="C1224" s="18" t="s">
        <v>14725</v>
      </c>
      <c r="D1224" s="5" t="str">
        <f ca="1">IFERROR(__xludf.DUMMYFUNCTION("GOOGLETRANSLATE(B1224,""ja"",""vi"")"),"Đối với Renault")</f>
        <v>Đối với Renault</v>
      </c>
      <c r="E1224" s="5" t="str">
        <f ca="1">IFERROR(__xludf.DUMMYFUNCTION("GOOGLETRANSLATE(C1224,""ja"",""vi"")"),"Đấu giá&gt; ô tô, xe máy&gt; phụ tùng&gt; treo&gt; cho Renault")</f>
        <v>Đấu giá&gt; ô tô, xe máy&gt; phụ tùng&gt; treo&gt; cho Renault</v>
      </c>
      <c r="F1224" t="str">
        <f t="shared" ca="1" si="19"/>
        <v>"2084016865" : "Đối với Renault",</v>
      </c>
    </row>
    <row r="1225" spans="1:6" ht="15.75" customHeight="1">
      <c r="A1225" s="18">
        <v>2084230425</v>
      </c>
      <c r="B1225" s="18" t="s">
        <v>14729</v>
      </c>
      <c r="C1225" s="18" t="s">
        <v>14730</v>
      </c>
      <c r="D1225" s="5" t="str">
        <f ca="1">IFERROR(__xludf.DUMMYFUNCTION("GOOGLETRANSLATE(B1225,""ja"",""vi"")"),"Đối với Lexus")</f>
        <v>Đối với Lexus</v>
      </c>
      <c r="E1225" s="5" t="str">
        <f ca="1">IFERROR(__xludf.DUMMYFUNCTION("GOOGLETRANSLATE(C1225,""ja"",""vi"")"),"Đấu giá&gt; ô tô, xe máy&gt; phụ tùng&gt; treo&gt; cho Lexus")</f>
        <v>Đấu giá&gt; ô tô, xe máy&gt; phụ tùng&gt; treo&gt; cho Lexus</v>
      </c>
      <c r="F1225" t="str">
        <f t="shared" ca="1" si="19"/>
        <v>"2084230425" : "Đối với Lexus",</v>
      </c>
    </row>
    <row r="1226" spans="1:6" ht="15.75" customHeight="1">
      <c r="A1226" s="18">
        <v>2084016862</v>
      </c>
      <c r="B1226" s="18" t="s">
        <v>14734</v>
      </c>
      <c r="C1226" s="18" t="s">
        <v>14735</v>
      </c>
      <c r="D1226" s="5" t="str">
        <f ca="1">IFERROR(__xludf.DUMMYFUNCTION("GOOGLETRANSLATE(B1226,""ja"",""vi"")"),"Đối với Mitsubishi")</f>
        <v>Đối với Mitsubishi</v>
      </c>
      <c r="E1226" s="5" t="str">
        <f ca="1">IFERROR(__xludf.DUMMYFUNCTION("GOOGLETRANSLATE(C1226,""ja"",""vi"")"),"Đấu giá&gt; ô tô, xe máy&gt; phụ tùng&gt; treo&gt; cho Mitsubishi")</f>
        <v>Đấu giá&gt; ô tô, xe máy&gt; phụ tùng&gt; treo&gt; cho Mitsubishi</v>
      </c>
      <c r="F1226" t="str">
        <f t="shared" ca="1" si="19"/>
        <v>"2084016862" : "Đối với Mitsubishi",</v>
      </c>
    </row>
    <row r="1227" spans="1:6" ht="15.75" customHeight="1">
      <c r="A1227" s="18">
        <v>2084016853</v>
      </c>
      <c r="B1227" s="18" t="s">
        <v>14737</v>
      </c>
      <c r="C1227" s="18" t="s">
        <v>14738</v>
      </c>
      <c r="D1227" s="5" t="str">
        <f ca="1">IFERROR(__xludf.DUMMYFUNCTION("GOOGLETRANSLATE(B1227,""ja"",""vi"")"),"Đối với Nissan")</f>
        <v>Đối với Nissan</v>
      </c>
      <c r="E1227" s="5" t="str">
        <f ca="1">IFERROR(__xludf.DUMMYFUNCTION("GOOGLETRANSLATE(C1227,""ja"",""vi"")"),"Đấu giá&gt; ô tô, xe máy&gt; phụ tùng&gt; treo&gt; cho Nissan")</f>
        <v>Đấu giá&gt; ô tô, xe máy&gt; phụ tùng&gt; treo&gt; cho Nissan</v>
      </c>
      <c r="F1227" t="str">
        <f t="shared" ca="1" si="19"/>
        <v>"2084016853" : "Đối với Nissan",</v>
      </c>
    </row>
    <row r="1228" spans="1:6" ht="15.75" customHeight="1">
      <c r="A1228" s="18">
        <v>2084018626</v>
      </c>
      <c r="B1228" s="18" t="s">
        <v>46</v>
      </c>
      <c r="C1228" s="18" t="s">
        <v>14742</v>
      </c>
      <c r="D1228" s="5" t="str">
        <f ca="1">IFERROR(__xludf.DUMMYFUNCTION("GOOGLETRANSLATE(B1228,""ja"",""vi"")"),"nếu không thì")</f>
        <v>nếu không thì</v>
      </c>
      <c r="E1228" s="5" t="str">
        <f ca="1">IFERROR(__xludf.DUMMYFUNCTION("GOOGLETRANSLATE(C1228,""ja"",""vi"")"),"Đấu giá&gt; ô tô, xe máy&gt; phụ tùng&gt; treo&gt; Khác")</f>
        <v>Đấu giá&gt; ô tô, xe máy&gt; phụ tùng&gt; treo&gt; Khác</v>
      </c>
      <c r="F1228" t="str">
        <f t="shared" ca="1" si="19"/>
        <v>"2084018626" : "nếu không thì",</v>
      </c>
    </row>
    <row r="1229" spans="1:6" ht="15.75" customHeight="1">
      <c r="A1229" s="18">
        <v>2084017082</v>
      </c>
      <c r="B1229" s="18" t="s">
        <v>14628</v>
      </c>
      <c r="C1229" s="18" t="s">
        <v>14746</v>
      </c>
      <c r="D1229" s="5" t="str">
        <f ca="1">IFERROR(__xludf.DUMMYFUNCTION("GOOGLETRANSLATE(B1229,""ja"",""vi"")"),"Đối với BMW")</f>
        <v>Đối với BMW</v>
      </c>
      <c r="E1229" s="5" t="str">
        <f ca="1">IFERROR(__xludf.DUMMYFUNCTION("GOOGLETRANSLATE(C1229,""ja"",""vi"")"),"Đấu giá&gt; ô tô, xe máy&gt; phụ tùng&gt; thanh tháp, cuộn thanh&gt; cho BMW")</f>
        <v>Đấu giá&gt; ô tô, xe máy&gt; phụ tùng&gt; thanh tháp, cuộn thanh&gt; cho BMW</v>
      </c>
      <c r="F1229" t="str">
        <f t="shared" ca="1" si="19"/>
        <v>"2084017082" : "Đối với BMW",</v>
      </c>
    </row>
    <row r="1230" spans="1:6" ht="15.75" customHeight="1">
      <c r="A1230" s="18">
        <v>2084017085</v>
      </c>
      <c r="B1230" s="18" t="s">
        <v>14633</v>
      </c>
      <c r="C1230" s="18" t="s">
        <v>14749</v>
      </c>
      <c r="D1230" s="5" t="str">
        <f ca="1">IFERROR(__xludf.DUMMYFUNCTION("GOOGLETRANSLATE(B1230,""ja"",""vi"")"),"Đối với Isuzu")</f>
        <v>Đối với Isuzu</v>
      </c>
      <c r="E1230" s="5" t="str">
        <f ca="1">IFERROR(__xludf.DUMMYFUNCTION("GOOGLETRANSLATE(C1230,""ja"",""vi"")"),"Đấu giá&gt; ô tô, xe máy&gt; phụ tùng&gt; thanh tháp, cuộn thanh&gt; cho Isuzu")</f>
        <v>Đấu giá&gt; ô tô, xe máy&gt; phụ tùng&gt; thanh tháp, cuộn thanh&gt; cho Isuzu</v>
      </c>
      <c r="F1230" t="str">
        <f t="shared" ca="1" si="19"/>
        <v>"2084017085" : "Đối với Isuzu",</v>
      </c>
    </row>
    <row r="1231" spans="1:6" ht="15.75" customHeight="1">
      <c r="A1231" s="18">
        <v>2084017083</v>
      </c>
      <c r="B1231" s="18" t="s">
        <v>14640</v>
      </c>
      <c r="C1231" s="18" t="s">
        <v>14752</v>
      </c>
      <c r="D1231" s="5" t="str">
        <f ca="1">IFERROR(__xludf.DUMMYFUNCTION("GOOGLETRANSLATE(B1231,""ja"",""vi"")"),"Đối với Audi")</f>
        <v>Đối với Audi</v>
      </c>
      <c r="E1231" s="5" t="str">
        <f ca="1">IFERROR(__xludf.DUMMYFUNCTION("GOOGLETRANSLATE(C1231,""ja"",""vi"")"),"Đấu giá&gt; ô tô, xe máy&gt; phụ tùng&gt; thanh tháp, cuộn thanh&gt; cho Audi")</f>
        <v>Đấu giá&gt; ô tô, xe máy&gt; phụ tùng&gt; thanh tháp, cuộn thanh&gt; cho Audi</v>
      </c>
      <c r="F1231" t="str">
        <f t="shared" ca="1" si="19"/>
        <v>"2084017083" : "Đối với Audi",</v>
      </c>
    </row>
    <row r="1232" spans="1:6" ht="15.75" customHeight="1">
      <c r="A1232" s="18">
        <v>2084017084</v>
      </c>
      <c r="B1232" s="18" t="s">
        <v>14644</v>
      </c>
      <c r="C1232" s="18" t="s">
        <v>14756</v>
      </c>
      <c r="D1232" s="5" t="str">
        <f ca="1">IFERROR(__xludf.DUMMYFUNCTION("GOOGLETRANSLATE(B1232,""ja"",""vi"")"),"Đối với Alfa Romeo")</f>
        <v>Đối với Alfa Romeo</v>
      </c>
      <c r="E1232" s="5" t="str">
        <f ca="1">IFERROR(__xludf.DUMMYFUNCTION("GOOGLETRANSLATE(C1232,""ja"",""vi"")"),"Đấu giá&gt; ô tô, xe máy&gt; phụ tùng&gt; thanh tháp, thanh cuộn&gt; alpha cho Romeo")</f>
        <v>Đấu giá&gt; ô tô, xe máy&gt; phụ tùng&gt; thanh tháp, thanh cuộn&gt; alpha cho Romeo</v>
      </c>
      <c r="F1232" t="str">
        <f t="shared" ca="1" si="19"/>
        <v>"2084017084" : "Đối với Alfa Romeo",</v>
      </c>
    </row>
    <row r="1233" spans="1:6" ht="15.75" customHeight="1">
      <c r="A1233" s="18">
        <v>2084017086</v>
      </c>
      <c r="B1233" s="18" t="s">
        <v>14649</v>
      </c>
      <c r="C1233" s="18" t="s">
        <v>14759</v>
      </c>
      <c r="D1233" s="5" t="str">
        <f ca="1">IFERROR(__xludf.DUMMYFUNCTION("GOOGLETRANSLATE(B1233,""ja"",""vi"")"),"cho Opel")</f>
        <v>cho Opel</v>
      </c>
      <c r="E1233" s="5" t="str">
        <f ca="1">IFERROR(__xludf.DUMMYFUNCTION("GOOGLETRANSLATE(C1233,""ja"",""vi"")"),"Đấu giá&gt; ô tô, xe máy&gt; phụ tùng&gt; thanh tháp, cuộn thanh&gt; cho Opel")</f>
        <v>Đấu giá&gt; ô tô, xe máy&gt; phụ tùng&gt; thanh tháp, cuộn thanh&gt; cho Opel</v>
      </c>
      <c r="F1233" t="str">
        <f t="shared" ca="1" si="19"/>
        <v>"2084017086" : "cho Opel",</v>
      </c>
    </row>
    <row r="1234" spans="1:6" ht="15.75" customHeight="1">
      <c r="A1234" s="18">
        <v>2084017087</v>
      </c>
      <c r="B1234" s="18" t="s">
        <v>14657</v>
      </c>
      <c r="C1234" s="18" t="s">
        <v>14762</v>
      </c>
      <c r="D1234" s="5" t="str">
        <f ca="1">IFERROR(__xludf.DUMMYFUNCTION("GOOGLETRANSLATE(B1234,""ja"",""vi"")"),"Đối với Citroen")</f>
        <v>Đối với Citroen</v>
      </c>
      <c r="E1234" s="5" t="str">
        <f ca="1">IFERROR(__xludf.DUMMYFUNCTION("GOOGLETRANSLATE(C1234,""ja"",""vi"")"),"Đấu giá&gt; ô tô, xe máy&gt; phụ tùng&gt; thanh tháp, cuộn thanh&gt; cho Citroen")</f>
        <v>Đấu giá&gt; ô tô, xe máy&gt; phụ tùng&gt; thanh tháp, cuộn thanh&gt; cho Citroen</v>
      </c>
      <c r="F1234" t="str">
        <f t="shared" ca="1" si="19"/>
        <v>"2084017087" : "Đối với Citroen",</v>
      </c>
    </row>
    <row r="1235" spans="1:6" ht="15.75" customHeight="1">
      <c r="A1235" s="18">
        <v>2084017088</v>
      </c>
      <c r="B1235" s="18" t="s">
        <v>14663</v>
      </c>
      <c r="C1235" s="18" t="s">
        <v>14766</v>
      </c>
      <c r="D1235" s="5" t="str">
        <f ca="1">IFERROR(__xludf.DUMMYFUNCTION("GOOGLETRANSLATE(B1235,""ja"",""vi"")"),"Đối với Chevrolet")</f>
        <v>Đối với Chevrolet</v>
      </c>
      <c r="E1235" s="5" t="str">
        <f ca="1">IFERROR(__xludf.DUMMYFUNCTION("GOOGLETRANSLATE(C1235,""ja"",""vi"")"),"Đấu giá&gt; ô tô, xe máy&gt; phụ tùng&gt; thanh tháp, cuộn thanh&gt; cho Chevrolet")</f>
        <v>Đấu giá&gt; ô tô, xe máy&gt; phụ tùng&gt; thanh tháp, cuộn thanh&gt; cho Chevrolet</v>
      </c>
      <c r="F1235" t="str">
        <f t="shared" ca="1" si="19"/>
        <v>"2084017088" : "Đối với Chevrolet",</v>
      </c>
    </row>
    <row r="1236" spans="1:6" ht="15.75" customHeight="1">
      <c r="A1236" s="18">
        <v>2084017089</v>
      </c>
      <c r="B1236" s="18" t="s">
        <v>14671</v>
      </c>
      <c r="C1236" s="18" t="s">
        <v>14770</v>
      </c>
      <c r="D1236" s="5" t="str">
        <f ca="1">IFERROR(__xludf.DUMMYFUNCTION("GOOGLETRANSLATE(B1236,""ja"",""vi"")"),"Đối với Suzuki")</f>
        <v>Đối với Suzuki</v>
      </c>
      <c r="E1236" s="5" t="str">
        <f ca="1">IFERROR(__xludf.DUMMYFUNCTION("GOOGLETRANSLATE(C1236,""ja"",""vi"")"),"Đấu giá&gt; ô tô, xe máy&gt; phụ tùng&gt; thanh tháp, cuộn thanh&gt; cho Suzuki")</f>
        <v>Đấu giá&gt; ô tô, xe máy&gt; phụ tùng&gt; thanh tháp, cuộn thanh&gt; cho Suzuki</v>
      </c>
      <c r="F1236" t="str">
        <f t="shared" ca="1" si="19"/>
        <v>"2084017089" : "Đối với Suzuki",</v>
      </c>
    </row>
    <row r="1237" spans="1:6" ht="15.75" customHeight="1">
      <c r="A1237" s="18">
        <v>2084017090</v>
      </c>
      <c r="B1237" s="18" t="s">
        <v>14673</v>
      </c>
      <c r="C1237" s="18" t="s">
        <v>14774</v>
      </c>
      <c r="D1237" s="5" t="str">
        <f ca="1">IFERROR(__xludf.DUMMYFUNCTION("GOOGLETRANSLATE(B1237,""ja"",""vi"")"),"Đối với Subaru")</f>
        <v>Đối với Subaru</v>
      </c>
      <c r="E1237" s="5" t="str">
        <f ca="1">IFERROR(__xludf.DUMMYFUNCTION("GOOGLETRANSLATE(C1237,""ja"",""vi"")"),"Đấu giá&gt; ô tô, xe máy&gt; phụ tùng&gt; thanh tháp, cuộn thanh&gt; cho Subaru")</f>
        <v>Đấu giá&gt; ô tô, xe máy&gt; phụ tùng&gt; thanh tháp, cuộn thanh&gt; cho Subaru</v>
      </c>
      <c r="F1237" t="str">
        <f t="shared" ca="1" si="19"/>
        <v>"2084017090" : "Đối với Subaru",</v>
      </c>
    </row>
    <row r="1238" spans="1:6" ht="15.75" customHeight="1">
      <c r="A1238" s="18">
        <v>2084017091</v>
      </c>
      <c r="B1238" s="18" t="s">
        <v>14677</v>
      </c>
      <c r="C1238" s="18" t="s">
        <v>14776</v>
      </c>
      <c r="D1238" s="5" t="str">
        <f ca="1">IFERROR(__xludf.DUMMYFUNCTION("GOOGLETRANSLATE(B1238,""ja"",""vi"")"),"Đối với Daihatsu")</f>
        <v>Đối với Daihatsu</v>
      </c>
      <c r="E1238" s="5" t="str">
        <f ca="1">IFERROR(__xludf.DUMMYFUNCTION("GOOGLETRANSLATE(C1238,""ja"",""vi"")"),"Đấu giá&gt; ô tô, xe máy&gt; phụ tùng&gt; thanh tháp, cuộn thanh&gt; cho Daihatsu")</f>
        <v>Đấu giá&gt; ô tô, xe máy&gt; phụ tùng&gt; thanh tháp, cuộn thanh&gt; cho Daihatsu</v>
      </c>
      <c r="F1238" t="str">
        <f t="shared" ca="1" si="19"/>
        <v>"2084017091" : "Đối với Daihatsu",</v>
      </c>
    </row>
    <row r="1239" spans="1:6" ht="15.75" customHeight="1">
      <c r="A1239" s="18">
        <v>2084017092</v>
      </c>
      <c r="B1239" s="18" t="s">
        <v>14682</v>
      </c>
      <c r="C1239" s="18" t="s">
        <v>14780</v>
      </c>
      <c r="D1239" s="5" t="str">
        <f ca="1">IFERROR(__xludf.DUMMYFUNCTION("GOOGLETRANSLATE(B1239,""ja"",""vi"")"),"Đối với Toyota")</f>
        <v>Đối với Toyota</v>
      </c>
      <c r="E1239" s="5" t="str">
        <f ca="1">IFERROR(__xludf.DUMMYFUNCTION("GOOGLETRANSLATE(C1239,""ja"",""vi"")"),"Đấu giá&gt; ô tô, xe máy&gt; phụ tùng&gt; thanh tháp, cuộn thanh&gt; cho Toyota")</f>
        <v>Đấu giá&gt; ô tô, xe máy&gt; phụ tùng&gt; thanh tháp, cuộn thanh&gt; cho Toyota</v>
      </c>
      <c r="F1239" t="str">
        <f t="shared" ca="1" si="19"/>
        <v>"2084017092" : "Đối với Toyota",</v>
      </c>
    </row>
    <row r="1240" spans="1:6" ht="15.75" customHeight="1">
      <c r="A1240" s="18">
        <v>2084017094</v>
      </c>
      <c r="B1240" s="18" t="s">
        <v>14685</v>
      </c>
      <c r="C1240" s="18" t="s">
        <v>14782</v>
      </c>
      <c r="D1240" s="5" t="str">
        <f ca="1">IFERROR(__xludf.DUMMYFUNCTION("GOOGLETRANSLATE(B1240,""ja"",""vi"")"),"Đối với Fiat")</f>
        <v>Đối với Fiat</v>
      </c>
      <c r="E1240" s="5" t="str">
        <f ca="1">IFERROR(__xludf.DUMMYFUNCTION("GOOGLETRANSLATE(C1240,""ja"",""vi"")"),"Đấu giá&gt; ô tô, xe máy&gt; phụ tùng&gt; thanh tháp, cuộn thanh&gt; cho Fiat")</f>
        <v>Đấu giá&gt; ô tô, xe máy&gt; phụ tùng&gt; thanh tháp, cuộn thanh&gt; cho Fiat</v>
      </c>
      <c r="F1240" t="str">
        <f t="shared" ca="1" si="19"/>
        <v>"2084017094" : "Đối với Fiat",</v>
      </c>
    </row>
    <row r="1241" spans="1:6" ht="15.75" customHeight="1">
      <c r="A1241" s="18">
        <v>2084017095</v>
      </c>
      <c r="B1241" s="18" t="s">
        <v>14690</v>
      </c>
      <c r="C1241" s="18" t="s">
        <v>14784</v>
      </c>
      <c r="D1241" s="5" t="str">
        <f ca="1">IFERROR(__xludf.DUMMYFUNCTION("GOOGLETRANSLATE(B1241,""ja"",""vi"")"),"Đối với Ford")</f>
        <v>Đối với Ford</v>
      </c>
      <c r="E1241" s="5" t="str">
        <f ca="1">IFERROR(__xludf.DUMMYFUNCTION("GOOGLETRANSLATE(C1241,""ja"",""vi"")"),"Đấu giá&gt; ô tô, xe máy&gt; phụ tùng&gt; thanh tháp, cuộn thanh&gt; cho Ford")</f>
        <v>Đấu giá&gt; ô tô, xe máy&gt; phụ tùng&gt; thanh tháp, cuộn thanh&gt; cho Ford</v>
      </c>
      <c r="F1241" t="str">
        <f t="shared" ca="1" si="19"/>
        <v>"2084017095" : "Đối với Ford",</v>
      </c>
    </row>
    <row r="1242" spans="1:6" ht="15.75" customHeight="1">
      <c r="A1242" s="18">
        <v>2084017096</v>
      </c>
      <c r="B1242" s="18" t="s">
        <v>14694</v>
      </c>
      <c r="C1242" s="18" t="s">
        <v>14786</v>
      </c>
      <c r="D1242" s="5" t="str">
        <f ca="1">IFERROR(__xludf.DUMMYFUNCTION("GOOGLETRANSLATE(B1242,""ja"",""vi"")"),"Đối với Volkswagen")</f>
        <v>Đối với Volkswagen</v>
      </c>
      <c r="E1242" s="5" t="str">
        <f ca="1">IFERROR(__xludf.DUMMYFUNCTION("GOOGLETRANSLATE(C1242,""ja"",""vi"")"),"Đấu giá&gt; ô tô, xe máy&gt; phụ tùng&gt; thanh tháp, thanh cuộn&gt; Volkswagen")</f>
        <v>Đấu giá&gt; ô tô, xe máy&gt; phụ tùng&gt; thanh tháp, thanh cuộn&gt; Volkswagen</v>
      </c>
      <c r="F1242" t="str">
        <f t="shared" ca="1" si="19"/>
        <v>"2084017096" : "Đối với Volkswagen",</v>
      </c>
    </row>
    <row r="1243" spans="1:6" ht="15.75" customHeight="1">
      <c r="A1243" s="18">
        <v>2084017097</v>
      </c>
      <c r="B1243" s="18" t="s">
        <v>14698</v>
      </c>
      <c r="C1243" s="18" t="s">
        <v>14789</v>
      </c>
      <c r="D1243" s="5" t="str">
        <f ca="1">IFERROR(__xludf.DUMMYFUNCTION("GOOGLETRANSLATE(B1243,""ja"",""vi"")"),"Đối với Peugeot")</f>
        <v>Đối với Peugeot</v>
      </c>
      <c r="E1243" s="5" t="str">
        <f ca="1">IFERROR(__xludf.DUMMYFUNCTION("GOOGLETRANSLATE(C1243,""ja"",""vi"")"),"Đấu giá&gt; ô tô, xe máy&gt; phụ tùng&gt; thanh tháp, cuộn thanh&gt; cho Peugeot")</f>
        <v>Đấu giá&gt; ô tô, xe máy&gt; phụ tùng&gt; thanh tháp, cuộn thanh&gt; cho Peugeot</v>
      </c>
      <c r="F1243" t="str">
        <f t="shared" ca="1" si="19"/>
        <v>"2084017097" : "Đối với Peugeot",</v>
      </c>
    </row>
    <row r="1244" spans="1:6" ht="15.75" customHeight="1">
      <c r="A1244" s="18">
        <v>2084017100</v>
      </c>
      <c r="B1244" s="18" t="s">
        <v>14701</v>
      </c>
      <c r="C1244" s="18" t="s">
        <v>14791</v>
      </c>
      <c r="D1244" s="5" t="str">
        <f ca="1">IFERROR(__xludf.DUMMYFUNCTION("GOOGLETRANSLATE(B1244,""ja"",""vi"")"),"Đối với Honda")</f>
        <v>Đối với Honda</v>
      </c>
      <c r="E1244" s="5" t="str">
        <f ca="1">IFERROR(__xludf.DUMMYFUNCTION("GOOGLETRANSLATE(C1244,""ja"",""vi"")"),"Đấu giá&gt; ô tô, xe máy&gt; phụ tùng&gt; thanh tháp, cuộn thanh&gt; cho Honda")</f>
        <v>Đấu giá&gt; ô tô, xe máy&gt; phụ tùng&gt; thanh tháp, cuộn thanh&gt; cho Honda</v>
      </c>
      <c r="F1244" t="str">
        <f t="shared" ca="1" si="19"/>
        <v>"2084017100" : "Đối với Honda",</v>
      </c>
    </row>
    <row r="1245" spans="1:6" ht="15.75" customHeight="1">
      <c r="A1245" s="18">
        <v>2084017099</v>
      </c>
      <c r="B1245" s="18" t="s">
        <v>14705</v>
      </c>
      <c r="C1245" s="18" t="s">
        <v>14793</v>
      </c>
      <c r="D1245" s="5" t="str">
        <f ca="1">IFERROR(__xludf.DUMMYFUNCTION("GOOGLETRANSLATE(B1245,""ja"",""vi"")"),"Đối với Volvo")</f>
        <v>Đối với Volvo</v>
      </c>
      <c r="E1245" s="5" t="str">
        <f ca="1">IFERROR(__xludf.DUMMYFUNCTION("GOOGLETRANSLATE(C1245,""ja"",""vi"")"),"Đấu giá&gt; ô tô, xe máy&gt; phụ tùng&gt; thanh tháp, cuộn thanh&gt; cho Volvo")</f>
        <v>Đấu giá&gt; ô tô, xe máy&gt; phụ tùng&gt; thanh tháp, cuộn thanh&gt; cho Volvo</v>
      </c>
      <c r="F1245" t="str">
        <f t="shared" ca="1" si="19"/>
        <v>"2084017099" : "Đối với Volvo",</v>
      </c>
    </row>
    <row r="1246" spans="1:6" ht="15.75" customHeight="1">
      <c r="A1246" s="18">
        <v>2084017098</v>
      </c>
      <c r="B1246" s="18" t="s">
        <v>14709</v>
      </c>
      <c r="C1246" s="18" t="s">
        <v>14796</v>
      </c>
      <c r="D1246" s="5" t="str">
        <f ca="1">IFERROR(__xludf.DUMMYFUNCTION("GOOGLETRANSLATE(B1246,""ja"",""vi"")"),"Đối với Porsche")</f>
        <v>Đối với Porsche</v>
      </c>
      <c r="E1246" s="5" t="str">
        <f ca="1">IFERROR(__xludf.DUMMYFUNCTION("GOOGLETRANSLATE(C1246,""ja"",""vi"")"),"Đấu giá&gt; ô tô, xe máy&gt; phụ tùng&gt; thanh tháp, cuộn thanh&gt; cho Porsche")</f>
        <v>Đấu giá&gt; ô tô, xe máy&gt; phụ tùng&gt; thanh tháp, cuộn thanh&gt; cho Porsche</v>
      </c>
      <c r="F1246" t="str">
        <f t="shared" ca="1" si="19"/>
        <v>"2084017098" : "Đối với Porsche",</v>
      </c>
    </row>
    <row r="1247" spans="1:6" ht="15.75" customHeight="1">
      <c r="A1247" s="18">
        <v>2084017101</v>
      </c>
      <c r="B1247" s="18" t="s">
        <v>14713</v>
      </c>
      <c r="C1247" s="18" t="s">
        <v>14798</v>
      </c>
      <c r="D1247" s="5" t="str">
        <f ca="1">IFERROR(__xludf.DUMMYFUNCTION("GOOGLETRANSLATE(B1247,""ja"",""vi"")"),"Đối với Mazda")</f>
        <v>Đối với Mazda</v>
      </c>
      <c r="E1247" s="5" t="str">
        <f ca="1">IFERROR(__xludf.DUMMYFUNCTION("GOOGLETRANSLATE(C1247,""ja"",""vi"")"),"Đấu giá&gt; ô tô, xe máy&gt; phụ tùng&gt; thanh tháp, cuộn thanh&gt; cho Mazda")</f>
        <v>Đấu giá&gt; ô tô, xe máy&gt; phụ tùng&gt; thanh tháp, cuộn thanh&gt; cho Mazda</v>
      </c>
      <c r="F1247" t="str">
        <f t="shared" ca="1" si="19"/>
        <v>"2084017101" : "Đối với Mazda",</v>
      </c>
    </row>
    <row r="1248" spans="1:6" ht="15.75" customHeight="1">
      <c r="A1248" s="18">
        <v>2084017103</v>
      </c>
      <c r="B1248" s="18" t="s">
        <v>14717</v>
      </c>
      <c r="C1248" s="18" t="s">
        <v>14800</v>
      </c>
      <c r="D1248" s="5" t="str">
        <f ca="1">IFERROR(__xludf.DUMMYFUNCTION("GOOGLETRANSLATE(B1248,""ja"",""vi"")"),"Mini")</f>
        <v>Mini</v>
      </c>
      <c r="E1248" s="5" t="str">
        <f ca="1">IFERROR(__xludf.DUMMYFUNCTION("GOOGLETRANSLATE(C1248,""ja"",""vi"")"),"Đấu giá&gt; ô tô, xe máy&gt; phụ tùng&gt; thanh tháp, thanh cuộn&gt; Mini")</f>
        <v>Đấu giá&gt; ô tô, xe máy&gt; phụ tùng&gt; thanh tháp, thanh cuộn&gt; Mini</v>
      </c>
      <c r="F1248" t="str">
        <f t="shared" ca="1" si="19"/>
        <v>"2084017103" : "Mini",</v>
      </c>
    </row>
    <row r="1249" spans="1:6" ht="15.75" customHeight="1">
      <c r="A1249" s="18">
        <v>2084017104</v>
      </c>
      <c r="B1249" s="18" t="s">
        <v>14720</v>
      </c>
      <c r="C1249" s="18" t="s">
        <v>14802</v>
      </c>
      <c r="D1249" s="5" t="str">
        <f ca="1">IFERROR(__xludf.DUMMYFUNCTION("GOOGLETRANSLATE(B1249,""ja"",""vi"")"),"Đối với Mercedes-Benz")</f>
        <v>Đối với Mercedes-Benz</v>
      </c>
      <c r="E1249" s="5" t="str">
        <f ca="1">IFERROR(__xludf.DUMMYFUNCTION("GOOGLETRANSLATE(C1249,""ja"",""vi"")"),"Đấu giá&gt; ô tô, xe máy&gt; phụ tùng&gt; thanh tháp, thanh cuộn&gt; Mercedes-Benz")</f>
        <v>Đấu giá&gt; ô tô, xe máy&gt; phụ tùng&gt; thanh tháp, thanh cuộn&gt; Mercedes-Benz</v>
      </c>
      <c r="F1249" t="str">
        <f t="shared" ca="1" si="19"/>
        <v>"2084017104" : "Đối với Mercedes-Benz",</v>
      </c>
    </row>
    <row r="1250" spans="1:6" ht="15.75" customHeight="1">
      <c r="A1250" s="18">
        <v>2084017105</v>
      </c>
      <c r="B1250" s="18" t="s">
        <v>14724</v>
      </c>
      <c r="C1250" s="18" t="s">
        <v>14803</v>
      </c>
      <c r="D1250" s="5" t="str">
        <f ca="1">IFERROR(__xludf.DUMMYFUNCTION("GOOGLETRANSLATE(B1250,""ja"",""vi"")"),"Đối với Renault")</f>
        <v>Đối với Renault</v>
      </c>
      <c r="E1250" s="5" t="str">
        <f ca="1">IFERROR(__xludf.DUMMYFUNCTION("GOOGLETRANSLATE(C1250,""ja"",""vi"")"),"Đấu giá&gt; ô tô, xe máy&gt; phụ tùng&gt; thanh tháp, cuộn thanh&gt; cho Renault")</f>
        <v>Đấu giá&gt; ô tô, xe máy&gt; phụ tùng&gt; thanh tháp, cuộn thanh&gt; cho Renault</v>
      </c>
      <c r="F1250" t="str">
        <f t="shared" ca="1" si="19"/>
        <v>"2084017105" : "Đối với Renault",</v>
      </c>
    </row>
    <row r="1251" spans="1:6" ht="15.75" customHeight="1">
      <c r="A1251" s="18">
        <v>2084230491</v>
      </c>
      <c r="B1251" s="18" t="s">
        <v>14729</v>
      </c>
      <c r="C1251" s="18" t="s">
        <v>14805</v>
      </c>
      <c r="D1251" s="5" t="str">
        <f ca="1">IFERROR(__xludf.DUMMYFUNCTION("GOOGLETRANSLATE(B1251,""ja"",""vi"")"),"Đối với Lexus")</f>
        <v>Đối với Lexus</v>
      </c>
      <c r="E1251" s="5" t="str">
        <f ca="1">IFERROR(__xludf.DUMMYFUNCTION("GOOGLETRANSLATE(C1251,""ja"",""vi"")"),"Đấu giá&gt; ô tô, xe máy&gt; phụ tùng&gt; thanh tháp, cuộn thanh&gt; cho Lexus")</f>
        <v>Đấu giá&gt; ô tô, xe máy&gt; phụ tùng&gt; thanh tháp, cuộn thanh&gt; cho Lexus</v>
      </c>
      <c r="F1251" t="str">
        <f t="shared" ca="1" si="19"/>
        <v>"2084230491" : "Đối với Lexus",</v>
      </c>
    </row>
    <row r="1252" spans="1:6" ht="15.75" customHeight="1">
      <c r="A1252" s="18">
        <v>2084017102</v>
      </c>
      <c r="B1252" s="18" t="s">
        <v>14734</v>
      </c>
      <c r="C1252" s="18" t="s">
        <v>14807</v>
      </c>
      <c r="D1252" s="5" t="str">
        <f ca="1">IFERROR(__xludf.DUMMYFUNCTION("GOOGLETRANSLATE(B1252,""ja"",""vi"")"),"Đối với Mitsubishi")</f>
        <v>Đối với Mitsubishi</v>
      </c>
      <c r="E1252" s="5" t="str">
        <f ca="1">IFERROR(__xludf.DUMMYFUNCTION("GOOGLETRANSLATE(C1252,""ja"",""vi"")"),"Đấu giá&gt; ô tô, xe máy&gt; phụ tùng&gt; thanh tháp, cuộn thanh&gt; cho Mitsubishi")</f>
        <v>Đấu giá&gt; ô tô, xe máy&gt; phụ tùng&gt; thanh tháp, cuộn thanh&gt; cho Mitsubishi</v>
      </c>
      <c r="F1252" t="str">
        <f t="shared" ca="1" si="19"/>
        <v>"2084017102" : "Đối với Mitsubishi",</v>
      </c>
    </row>
    <row r="1253" spans="1:6" ht="15.75" customHeight="1">
      <c r="A1253" s="18">
        <v>2084017093</v>
      </c>
      <c r="B1253" s="18" t="s">
        <v>14737</v>
      </c>
      <c r="C1253" s="18" t="s">
        <v>14808</v>
      </c>
      <c r="D1253" s="5" t="str">
        <f ca="1">IFERROR(__xludf.DUMMYFUNCTION("GOOGLETRANSLATE(B1253,""ja"",""vi"")"),"Đối với Nissan")</f>
        <v>Đối với Nissan</v>
      </c>
      <c r="E1253" s="5" t="str">
        <f ca="1">IFERROR(__xludf.DUMMYFUNCTION("GOOGLETRANSLATE(C1253,""ja"",""vi"")"),"Đấu giá&gt; ô tô, xe máy&gt; phụ tùng&gt; thanh tháp, cuộn thanh&gt; cho Nissan")</f>
        <v>Đấu giá&gt; ô tô, xe máy&gt; phụ tùng&gt; thanh tháp, cuộn thanh&gt; cho Nissan</v>
      </c>
      <c r="F1253" t="str">
        <f t="shared" ca="1" si="19"/>
        <v>"2084017093" : "Đối với Nissan",</v>
      </c>
    </row>
    <row r="1254" spans="1:6" ht="15.75" customHeight="1">
      <c r="A1254" s="18">
        <v>2084018624</v>
      </c>
      <c r="B1254" s="18" t="s">
        <v>46</v>
      </c>
      <c r="C1254" s="18" t="s">
        <v>14811</v>
      </c>
      <c r="D1254" s="5" t="str">
        <f ca="1">IFERROR(__xludf.DUMMYFUNCTION("GOOGLETRANSLATE(B1254,""ja"",""vi"")"),"nếu không thì")</f>
        <v>nếu không thì</v>
      </c>
      <c r="E1254" s="5" t="str">
        <f ca="1">IFERROR(__xludf.DUMMYFUNCTION("GOOGLETRANSLATE(C1254,""ja"",""vi"")"),"Đấu giá&gt; ô tô, xe máy&gt; phụ tùng&gt; thanh tháp, thanh cuộn&gt; Khác")</f>
        <v>Đấu giá&gt; ô tô, xe máy&gt; phụ tùng&gt; thanh tháp, thanh cuộn&gt; Khác</v>
      </c>
      <c r="F1254" t="str">
        <f t="shared" ca="1" si="19"/>
        <v>"2084018624" : "nếu không thì",</v>
      </c>
    </row>
    <row r="1255" spans="1:6" ht="15.75" customHeight="1">
      <c r="A1255" s="18">
        <v>2084005518</v>
      </c>
      <c r="B1255" s="18" t="s">
        <v>14624</v>
      </c>
      <c r="C1255" s="18" t="s">
        <v>14813</v>
      </c>
      <c r="D1255" s="5" t="str">
        <f ca="1">IFERROR(__xludf.DUMMYFUNCTION("GOOGLETRANSLATE(B1255,""ja"",""vi"")"),"Đối với xe máy")</f>
        <v>Đối với xe máy</v>
      </c>
      <c r="E1255" s="5" t="str">
        <f ca="1">IFERROR(__xludf.DUMMYFUNCTION("GOOGLETRANSLATE(C1255,""ja"",""vi"")"),"Đấu giá&gt; ô tô, xe máy&gt; phụ tùng&gt; phanh&gt; cho xe gắn máy")</f>
        <v>Đấu giá&gt; ô tô, xe máy&gt; phụ tùng&gt; phanh&gt; cho xe gắn máy</v>
      </c>
      <c r="F1255" t="str">
        <f t="shared" ca="1" si="19"/>
        <v>"2084005518" : "Đối với xe máy",</v>
      </c>
    </row>
    <row r="1256" spans="1:6" ht="15.75" customHeight="1">
      <c r="A1256" s="18">
        <v>2084016881</v>
      </c>
      <c r="B1256" s="18" t="s">
        <v>14628</v>
      </c>
      <c r="C1256" s="18" t="s">
        <v>14815</v>
      </c>
      <c r="D1256" s="5" t="str">
        <f ca="1">IFERROR(__xludf.DUMMYFUNCTION("GOOGLETRANSLATE(B1256,""ja"",""vi"")"),"Đối với BMW")</f>
        <v>Đối với BMW</v>
      </c>
      <c r="E1256" s="5" t="str">
        <f ca="1">IFERROR(__xludf.DUMMYFUNCTION("GOOGLETRANSLATE(C1256,""ja"",""vi"")"),"Đấu giá&gt; ô tô, xe máy&gt; phụ tùng&gt; phanh&gt; cho BMW")</f>
        <v>Đấu giá&gt; ô tô, xe máy&gt; phụ tùng&gt; phanh&gt; cho BMW</v>
      </c>
      <c r="F1256" t="str">
        <f t="shared" ca="1" si="19"/>
        <v>"2084016881" : "Đối với BMW",</v>
      </c>
    </row>
    <row r="1257" spans="1:6" ht="15.75" customHeight="1">
      <c r="A1257" s="18">
        <v>2084016884</v>
      </c>
      <c r="B1257" s="18" t="s">
        <v>14633</v>
      </c>
      <c r="C1257" s="18" t="s">
        <v>14818</v>
      </c>
      <c r="D1257" s="5" t="str">
        <f ca="1">IFERROR(__xludf.DUMMYFUNCTION("GOOGLETRANSLATE(B1257,""ja"",""vi"")"),"Đối với Isuzu")</f>
        <v>Đối với Isuzu</v>
      </c>
      <c r="E1257" s="5" t="str">
        <f ca="1">IFERROR(__xludf.DUMMYFUNCTION("GOOGLETRANSLATE(C1257,""ja"",""vi"")"),"Đấu giá&gt; ô tô, xe máy&gt; phụ tùng&gt; phanh&gt; cho Isuzu")</f>
        <v>Đấu giá&gt; ô tô, xe máy&gt; phụ tùng&gt; phanh&gt; cho Isuzu</v>
      </c>
      <c r="F1257" t="str">
        <f t="shared" ca="1" si="19"/>
        <v>"2084016884" : "Đối với Isuzu",</v>
      </c>
    </row>
    <row r="1258" spans="1:6" ht="15.75" customHeight="1">
      <c r="A1258" s="18">
        <v>2084016882</v>
      </c>
      <c r="B1258" s="18" t="s">
        <v>14640</v>
      </c>
      <c r="C1258" s="18" t="s">
        <v>14819</v>
      </c>
      <c r="D1258" s="5" t="str">
        <f ca="1">IFERROR(__xludf.DUMMYFUNCTION("GOOGLETRANSLATE(B1258,""ja"",""vi"")"),"Đối với Audi")</f>
        <v>Đối với Audi</v>
      </c>
      <c r="E1258" s="5" t="str">
        <f ca="1">IFERROR(__xludf.DUMMYFUNCTION("GOOGLETRANSLATE(C1258,""ja"",""vi"")"),"Đấu giá&gt; ô tô, xe máy&gt; phụ tùng&gt; phanh&gt; cho Audi")</f>
        <v>Đấu giá&gt; ô tô, xe máy&gt; phụ tùng&gt; phanh&gt; cho Audi</v>
      </c>
      <c r="F1258" t="str">
        <f t="shared" ca="1" si="19"/>
        <v>"2084016882" : "Đối với Audi",</v>
      </c>
    </row>
    <row r="1259" spans="1:6" ht="15.75" customHeight="1">
      <c r="A1259" s="18">
        <v>2084016883</v>
      </c>
      <c r="B1259" s="18" t="s">
        <v>14644</v>
      </c>
      <c r="C1259" s="18" t="s">
        <v>14822</v>
      </c>
      <c r="D1259" s="5" t="str">
        <f ca="1">IFERROR(__xludf.DUMMYFUNCTION("GOOGLETRANSLATE(B1259,""ja"",""vi"")"),"Đối với Alfa Romeo")</f>
        <v>Đối với Alfa Romeo</v>
      </c>
      <c r="E1259" s="5" t="str">
        <f ca="1">IFERROR(__xludf.DUMMYFUNCTION("GOOGLETRANSLATE(C1259,""ja"",""vi"")"),"Đấu giá&gt; ô tô, xe máy&gt; phụ tùng&gt; phanh&gt; alpha cho Romeo")</f>
        <v>Đấu giá&gt; ô tô, xe máy&gt; phụ tùng&gt; phanh&gt; alpha cho Romeo</v>
      </c>
      <c r="F1259" t="str">
        <f t="shared" ca="1" si="19"/>
        <v>"2084016883" : "Đối với Alfa Romeo",</v>
      </c>
    </row>
    <row r="1260" spans="1:6" ht="15.75" customHeight="1">
      <c r="A1260" s="18">
        <v>2084016885</v>
      </c>
      <c r="B1260" s="18" t="s">
        <v>14649</v>
      </c>
      <c r="C1260" s="18" t="s">
        <v>14826</v>
      </c>
      <c r="D1260" s="5" t="str">
        <f ca="1">IFERROR(__xludf.DUMMYFUNCTION("GOOGLETRANSLATE(B1260,""ja"",""vi"")"),"cho Opel")</f>
        <v>cho Opel</v>
      </c>
      <c r="E1260" s="5" t="str">
        <f ca="1">IFERROR(__xludf.DUMMYFUNCTION("GOOGLETRANSLATE(C1260,""ja"",""vi"")"),"Đấu giá&gt; ô tô, xe máy&gt; phụ tùng&gt; phanh&gt; cho Opel")</f>
        <v>Đấu giá&gt; ô tô, xe máy&gt; phụ tùng&gt; phanh&gt; cho Opel</v>
      </c>
      <c r="F1260" t="str">
        <f t="shared" ca="1" si="19"/>
        <v>"2084016885" : "cho Opel",</v>
      </c>
    </row>
    <row r="1261" spans="1:6" ht="15.75" customHeight="1">
      <c r="A1261" s="18">
        <v>2084200327</v>
      </c>
      <c r="B1261" s="18" t="s">
        <v>14654</v>
      </c>
      <c r="C1261" s="18" t="s">
        <v>14829</v>
      </c>
      <c r="D1261" s="5" t="str">
        <f ca="1">IFERROR(__xludf.DUMMYFUNCTION("GOOGLETRANSLATE(B1261,""ja"",""vi"")"),"Đối với Chrysler")</f>
        <v>Đối với Chrysler</v>
      </c>
      <c r="E1261" s="5" t="str">
        <f ca="1">IFERROR(__xludf.DUMMYFUNCTION("GOOGLETRANSLATE(C1261,""ja"",""vi"")"),"Đấu giá&gt; ô tô, xe máy&gt; phụ tùng&gt; phanh&gt; cho Chrysler")</f>
        <v>Đấu giá&gt; ô tô, xe máy&gt; phụ tùng&gt; phanh&gt; cho Chrysler</v>
      </c>
      <c r="F1261" t="str">
        <f t="shared" ca="1" si="19"/>
        <v>"2084200327" : "Đối với Chrysler",</v>
      </c>
    </row>
    <row r="1262" spans="1:6" ht="15.75" customHeight="1">
      <c r="A1262" s="18">
        <v>2084016886</v>
      </c>
      <c r="B1262" s="18" t="s">
        <v>14657</v>
      </c>
      <c r="C1262" s="18" t="s">
        <v>14833</v>
      </c>
      <c r="D1262" s="5" t="str">
        <f ca="1">IFERROR(__xludf.DUMMYFUNCTION("GOOGLETRANSLATE(B1262,""ja"",""vi"")"),"Đối với Citroen")</f>
        <v>Đối với Citroen</v>
      </c>
      <c r="E1262" s="5" t="str">
        <f ca="1">IFERROR(__xludf.DUMMYFUNCTION("GOOGLETRANSLATE(C1262,""ja"",""vi"")"),"Đấu giá&gt; ô tô, xe máy&gt; phụ tùng&gt; phanh&gt; cho Citroen")</f>
        <v>Đấu giá&gt; ô tô, xe máy&gt; phụ tùng&gt; phanh&gt; cho Citroen</v>
      </c>
      <c r="F1262" t="str">
        <f t="shared" ca="1" si="19"/>
        <v>"2084016886" : "Đối với Citroen",</v>
      </c>
    </row>
    <row r="1263" spans="1:6" ht="15.75" customHeight="1">
      <c r="A1263" s="18">
        <v>2084016887</v>
      </c>
      <c r="B1263" s="18" t="s">
        <v>14663</v>
      </c>
      <c r="C1263" s="18" t="s">
        <v>14837</v>
      </c>
      <c r="D1263" s="5" t="str">
        <f ca="1">IFERROR(__xludf.DUMMYFUNCTION("GOOGLETRANSLATE(B1263,""ja"",""vi"")"),"Đối với Chevrolet")</f>
        <v>Đối với Chevrolet</v>
      </c>
      <c r="E1263" s="5" t="str">
        <f ca="1">IFERROR(__xludf.DUMMYFUNCTION("GOOGLETRANSLATE(C1263,""ja"",""vi"")"),"Đấu giá&gt; ô tô, xe máy&gt; phụ tùng&gt; phanh&gt; cho Chevrolet")</f>
        <v>Đấu giá&gt; ô tô, xe máy&gt; phụ tùng&gt; phanh&gt; cho Chevrolet</v>
      </c>
      <c r="F1263" t="str">
        <f t="shared" ca="1" si="19"/>
        <v>"2084016887" : "Đối với Chevrolet",</v>
      </c>
    </row>
    <row r="1264" spans="1:6" ht="15.75" customHeight="1">
      <c r="A1264" s="18">
        <v>2084200328</v>
      </c>
      <c r="B1264" s="18" t="s">
        <v>14667</v>
      </c>
      <c r="C1264" s="18" t="s">
        <v>14840</v>
      </c>
      <c r="D1264" s="5" t="str">
        <f ca="1">IFERROR(__xludf.DUMMYFUNCTION("GOOGLETRANSLATE(B1264,""ja"",""vi"")"),"Đối với Jaguar")</f>
        <v>Đối với Jaguar</v>
      </c>
      <c r="E1264" s="5" t="str">
        <f ca="1">IFERROR(__xludf.DUMMYFUNCTION("GOOGLETRANSLATE(C1264,""ja"",""vi"")"),"Đấu giá&gt; ô tô, xe máy&gt; phụ tùng&gt; phanh&gt; cho Jaguar")</f>
        <v>Đấu giá&gt; ô tô, xe máy&gt; phụ tùng&gt; phanh&gt; cho Jaguar</v>
      </c>
      <c r="F1264" t="str">
        <f t="shared" ca="1" si="19"/>
        <v>"2084200328" : "Đối với Jaguar",</v>
      </c>
    </row>
    <row r="1265" spans="1:6" ht="15.75" customHeight="1">
      <c r="A1265" s="18">
        <v>2084016888</v>
      </c>
      <c r="B1265" s="18" t="s">
        <v>14671</v>
      </c>
      <c r="C1265" s="18" t="s">
        <v>14842</v>
      </c>
      <c r="D1265" s="5" t="str">
        <f ca="1">IFERROR(__xludf.DUMMYFUNCTION("GOOGLETRANSLATE(B1265,""ja"",""vi"")"),"Đối với Suzuki")</f>
        <v>Đối với Suzuki</v>
      </c>
      <c r="E1265" s="5" t="str">
        <f ca="1">IFERROR(__xludf.DUMMYFUNCTION("GOOGLETRANSLATE(C1265,""ja"",""vi"")"),"Đấu giá&gt; ô tô, xe máy&gt; phụ tùng&gt; phanh&gt; cho Suzuki")</f>
        <v>Đấu giá&gt; ô tô, xe máy&gt; phụ tùng&gt; phanh&gt; cho Suzuki</v>
      </c>
      <c r="F1265" t="str">
        <f t="shared" ca="1" si="19"/>
        <v>"2084016888" : "Đối với Suzuki",</v>
      </c>
    </row>
    <row r="1266" spans="1:6" ht="15.75" customHeight="1">
      <c r="A1266" s="18">
        <v>2084016889</v>
      </c>
      <c r="B1266" s="18" t="s">
        <v>14673</v>
      </c>
      <c r="C1266" s="18" t="s">
        <v>14844</v>
      </c>
      <c r="D1266" s="5" t="str">
        <f ca="1">IFERROR(__xludf.DUMMYFUNCTION("GOOGLETRANSLATE(B1266,""ja"",""vi"")"),"Đối với Subaru")</f>
        <v>Đối với Subaru</v>
      </c>
      <c r="E1266" s="5" t="str">
        <f ca="1">IFERROR(__xludf.DUMMYFUNCTION("GOOGLETRANSLATE(C1266,""ja"",""vi"")"),"Đấu giá&gt; ô tô, xe máy&gt; phụ tùng&gt; phanh&gt; cho Subaru")</f>
        <v>Đấu giá&gt; ô tô, xe máy&gt; phụ tùng&gt; phanh&gt; cho Subaru</v>
      </c>
      <c r="F1266" t="str">
        <f t="shared" ca="1" si="19"/>
        <v>"2084016889" : "Đối với Subaru",</v>
      </c>
    </row>
    <row r="1267" spans="1:6" ht="15.75" customHeight="1">
      <c r="A1267" s="18">
        <v>2084016866</v>
      </c>
      <c r="B1267" s="18" t="s">
        <v>14677</v>
      </c>
      <c r="C1267" s="18" t="s">
        <v>14846</v>
      </c>
      <c r="D1267" s="5" t="str">
        <f ca="1">IFERROR(__xludf.DUMMYFUNCTION("GOOGLETRANSLATE(B1267,""ja"",""vi"")"),"Đối với Daihatsu")</f>
        <v>Đối với Daihatsu</v>
      </c>
      <c r="E1267" s="5" t="str">
        <f ca="1">IFERROR(__xludf.DUMMYFUNCTION("GOOGLETRANSLATE(C1267,""ja"",""vi"")"),"Đấu giá&gt; ô tô, xe máy&gt; phụ tùng&gt; phanh&gt; cho Daihatsu")</f>
        <v>Đấu giá&gt; ô tô, xe máy&gt; phụ tùng&gt; phanh&gt; cho Daihatsu</v>
      </c>
      <c r="F1267" t="str">
        <f t="shared" ca="1" si="19"/>
        <v>"2084016866" : "Đối với Daihatsu",</v>
      </c>
    </row>
    <row r="1268" spans="1:6" ht="15.75" customHeight="1">
      <c r="A1268" s="18">
        <v>2084016867</v>
      </c>
      <c r="B1268" s="18" t="s">
        <v>14682</v>
      </c>
      <c r="C1268" s="18" t="s">
        <v>14848</v>
      </c>
      <c r="D1268" s="5" t="str">
        <f ca="1">IFERROR(__xludf.DUMMYFUNCTION("GOOGLETRANSLATE(B1268,""ja"",""vi"")"),"Đối với Toyota")</f>
        <v>Đối với Toyota</v>
      </c>
      <c r="E1268" s="5" t="str">
        <f ca="1">IFERROR(__xludf.DUMMYFUNCTION("GOOGLETRANSLATE(C1268,""ja"",""vi"")"),"Đấu giá&gt; ô tô, xe máy&gt; phụ tùng&gt; phanh&gt; cho Toyota")</f>
        <v>Đấu giá&gt; ô tô, xe máy&gt; phụ tùng&gt; phanh&gt; cho Toyota</v>
      </c>
      <c r="F1268" t="str">
        <f t="shared" ca="1" si="19"/>
        <v>"2084016867" : "Đối với Toyota",</v>
      </c>
    </row>
    <row r="1269" spans="1:6" ht="15.75" customHeight="1">
      <c r="A1269" s="18">
        <v>2084016869</v>
      </c>
      <c r="B1269" s="18" t="s">
        <v>14685</v>
      </c>
      <c r="C1269" s="18" t="s">
        <v>14849</v>
      </c>
      <c r="D1269" s="5" t="str">
        <f ca="1">IFERROR(__xludf.DUMMYFUNCTION("GOOGLETRANSLATE(B1269,""ja"",""vi"")"),"Đối với Fiat")</f>
        <v>Đối với Fiat</v>
      </c>
      <c r="E1269" s="5" t="str">
        <f ca="1">IFERROR(__xludf.DUMMYFUNCTION("GOOGLETRANSLATE(C1269,""ja"",""vi"")"),"Đấu giá&gt; ô tô, xe máy&gt; phụ tùng&gt; phanh&gt; cho Fiat")</f>
        <v>Đấu giá&gt; ô tô, xe máy&gt; phụ tùng&gt; phanh&gt; cho Fiat</v>
      </c>
      <c r="F1269" t="str">
        <f t="shared" ca="1" si="19"/>
        <v>"2084016869" : "Đối với Fiat",</v>
      </c>
    </row>
    <row r="1270" spans="1:6" ht="15.75" customHeight="1">
      <c r="A1270" s="18">
        <v>2084016870</v>
      </c>
      <c r="B1270" s="18" t="s">
        <v>14690</v>
      </c>
      <c r="C1270" s="18" t="s">
        <v>14851</v>
      </c>
      <c r="D1270" s="5" t="str">
        <f ca="1">IFERROR(__xludf.DUMMYFUNCTION("GOOGLETRANSLATE(B1270,""ja"",""vi"")"),"Đối với Ford")</f>
        <v>Đối với Ford</v>
      </c>
      <c r="E1270" s="5" t="str">
        <f ca="1">IFERROR(__xludf.DUMMYFUNCTION("GOOGLETRANSLATE(C1270,""ja"",""vi"")"),"Đấu giá&gt; ô tô, xe máy&gt; phụ tùng&gt; phanh&gt; cho Ford")</f>
        <v>Đấu giá&gt; ô tô, xe máy&gt; phụ tùng&gt; phanh&gt; cho Ford</v>
      </c>
      <c r="F1270" t="str">
        <f t="shared" ca="1" si="19"/>
        <v>"2084016870" : "Đối với Ford",</v>
      </c>
    </row>
    <row r="1271" spans="1:6" ht="15.75" customHeight="1">
      <c r="A1271" s="18">
        <v>2084016871</v>
      </c>
      <c r="B1271" s="18" t="s">
        <v>14694</v>
      </c>
      <c r="C1271" s="18" t="s">
        <v>14853</v>
      </c>
      <c r="D1271" s="5" t="str">
        <f ca="1">IFERROR(__xludf.DUMMYFUNCTION("GOOGLETRANSLATE(B1271,""ja"",""vi"")"),"Đối với Volkswagen")</f>
        <v>Đối với Volkswagen</v>
      </c>
      <c r="E1271" s="5" t="str">
        <f ca="1">IFERROR(__xludf.DUMMYFUNCTION("GOOGLETRANSLATE(C1271,""ja"",""vi"")"),"Đấu giá&gt; ô tô, xe máy&gt; phụ tùng&gt; phanh&gt; cho Volkswagen")</f>
        <v>Đấu giá&gt; ô tô, xe máy&gt; phụ tùng&gt; phanh&gt; cho Volkswagen</v>
      </c>
      <c r="F1271" t="str">
        <f t="shared" ca="1" si="19"/>
        <v>"2084016871" : "Đối với Volkswagen",</v>
      </c>
    </row>
    <row r="1272" spans="1:6" ht="15.75" customHeight="1">
      <c r="A1272" s="18">
        <v>2084016872</v>
      </c>
      <c r="B1272" s="18" t="s">
        <v>14698</v>
      </c>
      <c r="C1272" s="18" t="s">
        <v>14856</v>
      </c>
      <c r="D1272" s="5" t="str">
        <f ca="1">IFERROR(__xludf.DUMMYFUNCTION("GOOGLETRANSLATE(B1272,""ja"",""vi"")"),"Đối với Peugeot")</f>
        <v>Đối với Peugeot</v>
      </c>
      <c r="E1272" s="5" t="str">
        <f ca="1">IFERROR(__xludf.DUMMYFUNCTION("GOOGLETRANSLATE(C1272,""ja"",""vi"")"),"Đấu giá&gt; ô tô, xe máy&gt; phụ tùng&gt; phanh&gt; cho Peugeot")</f>
        <v>Đấu giá&gt; ô tô, xe máy&gt; phụ tùng&gt; phanh&gt; cho Peugeot</v>
      </c>
      <c r="F1272" t="str">
        <f t="shared" ca="1" si="19"/>
        <v>"2084016872" : "Đối với Peugeot",</v>
      </c>
    </row>
    <row r="1273" spans="1:6" ht="15.75" customHeight="1">
      <c r="A1273" s="18">
        <v>2084016875</v>
      </c>
      <c r="B1273" s="18" t="s">
        <v>14701</v>
      </c>
      <c r="C1273" s="18" t="s">
        <v>14858</v>
      </c>
      <c r="D1273" s="5" t="str">
        <f ca="1">IFERROR(__xludf.DUMMYFUNCTION("GOOGLETRANSLATE(B1273,""ja"",""vi"")"),"Đối với Honda")</f>
        <v>Đối với Honda</v>
      </c>
      <c r="E1273" s="5" t="str">
        <f ca="1">IFERROR(__xludf.DUMMYFUNCTION("GOOGLETRANSLATE(C1273,""ja"",""vi"")"),"Đấu giá&gt; ô tô, xe máy&gt; phụ tùng&gt; phanh&gt; cho Honda")</f>
        <v>Đấu giá&gt; ô tô, xe máy&gt; phụ tùng&gt; phanh&gt; cho Honda</v>
      </c>
      <c r="F1273" t="str">
        <f t="shared" ca="1" si="19"/>
        <v>"2084016875" : "Đối với Honda",</v>
      </c>
    </row>
    <row r="1274" spans="1:6" ht="15.75" customHeight="1">
      <c r="A1274" s="18">
        <v>2084016874</v>
      </c>
      <c r="B1274" s="18" t="s">
        <v>14705</v>
      </c>
      <c r="C1274" s="18" t="s">
        <v>14860</v>
      </c>
      <c r="D1274" s="5" t="str">
        <f ca="1">IFERROR(__xludf.DUMMYFUNCTION("GOOGLETRANSLATE(B1274,""ja"",""vi"")"),"Đối với Volvo")</f>
        <v>Đối với Volvo</v>
      </c>
      <c r="E1274" s="5" t="str">
        <f ca="1">IFERROR(__xludf.DUMMYFUNCTION("GOOGLETRANSLATE(C1274,""ja"",""vi"")"),"Đấu giá&gt; ô tô, xe máy&gt; phụ tùng&gt; phanh&gt; cho Volvo")</f>
        <v>Đấu giá&gt; ô tô, xe máy&gt; phụ tùng&gt; phanh&gt; cho Volvo</v>
      </c>
      <c r="F1274" t="str">
        <f t="shared" ca="1" si="19"/>
        <v>"2084016874" : "Đối với Volvo",</v>
      </c>
    </row>
    <row r="1275" spans="1:6" ht="15.75" customHeight="1">
      <c r="A1275" s="18">
        <v>2084016873</v>
      </c>
      <c r="B1275" s="18" t="s">
        <v>14709</v>
      </c>
      <c r="C1275" s="18" t="s">
        <v>14862</v>
      </c>
      <c r="D1275" s="5" t="str">
        <f ca="1">IFERROR(__xludf.DUMMYFUNCTION("GOOGLETRANSLATE(B1275,""ja"",""vi"")"),"Đối với Porsche")</f>
        <v>Đối với Porsche</v>
      </c>
      <c r="E1275" s="5" t="str">
        <f ca="1">IFERROR(__xludf.DUMMYFUNCTION("GOOGLETRANSLATE(C1275,""ja"",""vi"")"),"Đấu giá&gt; ô tô, xe máy&gt; phụ tùng&gt; phanh&gt; cho Porsche")</f>
        <v>Đấu giá&gt; ô tô, xe máy&gt; phụ tùng&gt; phanh&gt; cho Porsche</v>
      </c>
      <c r="F1275" t="str">
        <f t="shared" ca="1" si="19"/>
        <v>"2084016873" : "Đối với Porsche",</v>
      </c>
    </row>
    <row r="1276" spans="1:6" ht="15.75" customHeight="1">
      <c r="A1276" s="18">
        <v>2084016876</v>
      </c>
      <c r="B1276" s="18" t="s">
        <v>14713</v>
      </c>
      <c r="C1276" s="18" t="s">
        <v>14864</v>
      </c>
      <c r="D1276" s="5" t="str">
        <f ca="1">IFERROR(__xludf.DUMMYFUNCTION("GOOGLETRANSLATE(B1276,""ja"",""vi"")"),"Đối với Mazda")</f>
        <v>Đối với Mazda</v>
      </c>
      <c r="E1276" s="5" t="str">
        <f ca="1">IFERROR(__xludf.DUMMYFUNCTION("GOOGLETRANSLATE(C1276,""ja"",""vi"")"),"Đấu giá&gt; ô tô, xe máy&gt; phụ tùng&gt; phanh&gt; cho Mazda")</f>
        <v>Đấu giá&gt; ô tô, xe máy&gt; phụ tùng&gt; phanh&gt; cho Mazda</v>
      </c>
      <c r="F1276" t="str">
        <f t="shared" ca="1" si="19"/>
        <v>"2084016876" : "Đối với Mazda",</v>
      </c>
    </row>
    <row r="1277" spans="1:6" ht="15.75" customHeight="1">
      <c r="A1277" s="18">
        <v>2084016878</v>
      </c>
      <c r="B1277" s="18" t="s">
        <v>14717</v>
      </c>
      <c r="C1277" s="18" t="s">
        <v>14866</v>
      </c>
      <c r="D1277" s="5" t="str">
        <f ca="1">IFERROR(__xludf.DUMMYFUNCTION("GOOGLETRANSLATE(B1277,""ja"",""vi"")"),"Mini")</f>
        <v>Mini</v>
      </c>
      <c r="E1277" s="5" t="str">
        <f ca="1">IFERROR(__xludf.DUMMYFUNCTION("GOOGLETRANSLATE(C1277,""ja"",""vi"")"),"Đấu giá&gt; ô tô, xe máy&gt; phụ tùng&gt; phanh&gt; mini")</f>
        <v>Đấu giá&gt; ô tô, xe máy&gt; phụ tùng&gt; phanh&gt; mini</v>
      </c>
      <c r="F1277" t="str">
        <f t="shared" ca="1" si="19"/>
        <v>"2084016878" : "Mini",</v>
      </c>
    </row>
    <row r="1278" spans="1:6" ht="15.75" customHeight="1">
      <c r="A1278" s="18">
        <v>2084016879</v>
      </c>
      <c r="B1278" s="18" t="s">
        <v>14720</v>
      </c>
      <c r="C1278" s="18" t="s">
        <v>14868</v>
      </c>
      <c r="D1278" s="5" t="str">
        <f ca="1">IFERROR(__xludf.DUMMYFUNCTION("GOOGLETRANSLATE(B1278,""ja"",""vi"")"),"Đối với Mercedes-Benz")</f>
        <v>Đối với Mercedes-Benz</v>
      </c>
      <c r="E1278" s="5" t="str">
        <f ca="1">IFERROR(__xludf.DUMMYFUNCTION("GOOGLETRANSLATE(C1278,""ja"",""vi"")"),"Đấu giá&gt; ô tô, xe máy&gt; phụ tùng&gt; phanh&gt; cho Mercedes-Benz")</f>
        <v>Đấu giá&gt; ô tô, xe máy&gt; phụ tùng&gt; phanh&gt; cho Mercedes-Benz</v>
      </c>
      <c r="F1278" t="str">
        <f t="shared" ca="1" si="19"/>
        <v>"2084016879" : "Đối với Mercedes-Benz",</v>
      </c>
    </row>
    <row r="1279" spans="1:6" ht="15.75" customHeight="1">
      <c r="A1279" s="18">
        <v>2084200329</v>
      </c>
      <c r="B1279" s="18" t="s">
        <v>14870</v>
      </c>
      <c r="C1279" s="18" t="s">
        <v>14871</v>
      </c>
      <c r="D1279" s="5" t="str">
        <f ca="1">IFERROR(__xludf.DUMMYFUNCTION("GOOGLETRANSLATE(B1279,""ja"",""vi"")"),"Đối với Lancia")</f>
        <v>Đối với Lancia</v>
      </c>
      <c r="E1279" s="5" t="str">
        <f ca="1">IFERROR(__xludf.DUMMYFUNCTION("GOOGLETRANSLATE(C1279,""ja"",""vi"")"),"Đấu giá&gt; ô tô, xe máy&gt; phụ tùng&gt; phanh&gt; cho Lancia")</f>
        <v>Đấu giá&gt; ô tô, xe máy&gt; phụ tùng&gt; phanh&gt; cho Lancia</v>
      </c>
      <c r="F1279" t="str">
        <f t="shared" ca="1" si="19"/>
        <v>"2084200329" : "Đối với Lancia",</v>
      </c>
    </row>
    <row r="1280" spans="1:6" ht="15.75" customHeight="1">
      <c r="A1280" s="18">
        <v>2084016880</v>
      </c>
      <c r="B1280" s="18" t="s">
        <v>14724</v>
      </c>
      <c r="C1280" s="18" t="s">
        <v>14874</v>
      </c>
      <c r="D1280" s="5" t="str">
        <f ca="1">IFERROR(__xludf.DUMMYFUNCTION("GOOGLETRANSLATE(B1280,""ja"",""vi"")"),"Đối với Renault")</f>
        <v>Đối với Renault</v>
      </c>
      <c r="E1280" s="5" t="str">
        <f ca="1">IFERROR(__xludf.DUMMYFUNCTION("GOOGLETRANSLATE(C1280,""ja"",""vi"")"),"Đấu giá&gt; ô tô, xe máy&gt; phụ tùng&gt; phanh&gt; cho Renault")</f>
        <v>Đấu giá&gt; ô tô, xe máy&gt; phụ tùng&gt; phanh&gt; cho Renault</v>
      </c>
      <c r="F1280" t="str">
        <f t="shared" ca="1" si="19"/>
        <v>"2084016880" : "Đối với Renault",</v>
      </c>
    </row>
    <row r="1281" spans="1:6" ht="15.75" customHeight="1">
      <c r="A1281" s="18">
        <v>2084230492</v>
      </c>
      <c r="B1281" s="18" t="s">
        <v>14729</v>
      </c>
      <c r="C1281" s="18" t="s">
        <v>14876</v>
      </c>
      <c r="D1281" s="5" t="str">
        <f ca="1">IFERROR(__xludf.DUMMYFUNCTION("GOOGLETRANSLATE(B1281,""ja"",""vi"")"),"Đối với Lexus")</f>
        <v>Đối với Lexus</v>
      </c>
      <c r="E1281" s="5" t="str">
        <f ca="1">IFERROR(__xludf.DUMMYFUNCTION("GOOGLETRANSLATE(C1281,""ja"",""vi"")"),"Đấu giá&gt; ô tô, xe máy&gt; phụ tùng&gt; phanh&gt; cho Lexus")</f>
        <v>Đấu giá&gt; ô tô, xe máy&gt; phụ tùng&gt; phanh&gt; cho Lexus</v>
      </c>
      <c r="F1281" t="str">
        <f t="shared" ca="1" si="19"/>
        <v>"2084230492" : "Đối với Lexus",</v>
      </c>
    </row>
    <row r="1282" spans="1:6" ht="15.75" customHeight="1">
      <c r="A1282" s="18">
        <v>2084016877</v>
      </c>
      <c r="B1282" s="18" t="s">
        <v>14734</v>
      </c>
      <c r="C1282" s="18" t="s">
        <v>14878</v>
      </c>
      <c r="D1282" s="5" t="str">
        <f ca="1">IFERROR(__xludf.DUMMYFUNCTION("GOOGLETRANSLATE(B1282,""ja"",""vi"")"),"Đối với Mitsubishi")</f>
        <v>Đối với Mitsubishi</v>
      </c>
      <c r="E1282" s="5" t="str">
        <f ca="1">IFERROR(__xludf.DUMMYFUNCTION("GOOGLETRANSLATE(C1282,""ja"",""vi"")"),"Đấu giá&gt; ô tô, xe máy&gt; phụ tùng&gt; phanh&gt; cho Mitsubishi")</f>
        <v>Đấu giá&gt; ô tô, xe máy&gt; phụ tùng&gt; phanh&gt; cho Mitsubishi</v>
      </c>
      <c r="F1282" t="str">
        <f t="shared" ref="F1282:F1345" ca="1" si="20">CONCATENATE(CHAR(34)&amp;"",A1282,""&amp;CHAR(34)," : ", CHAR(34)&amp;"",D1282,""&amp;CHAR(34),",")</f>
        <v>"2084016877" : "Đối với Mitsubishi",</v>
      </c>
    </row>
    <row r="1283" spans="1:6" ht="15.75" customHeight="1">
      <c r="A1283" s="18">
        <v>2084016868</v>
      </c>
      <c r="B1283" s="18" t="s">
        <v>14737</v>
      </c>
      <c r="C1283" s="18" t="s">
        <v>14882</v>
      </c>
      <c r="D1283" s="5" t="str">
        <f ca="1">IFERROR(__xludf.DUMMYFUNCTION("GOOGLETRANSLATE(B1283,""ja"",""vi"")"),"Đối với Nissan")</f>
        <v>Đối với Nissan</v>
      </c>
      <c r="E1283" s="5" t="str">
        <f ca="1">IFERROR(__xludf.DUMMYFUNCTION("GOOGLETRANSLATE(C1283,""ja"",""vi"")"),"Đấu giá&gt; ô tô, xe máy&gt; phụ tùng&gt; phanh&gt; cho Nissan")</f>
        <v>Đấu giá&gt; ô tô, xe máy&gt; phụ tùng&gt; phanh&gt; cho Nissan</v>
      </c>
      <c r="F1283" t="str">
        <f t="shared" ca="1" si="20"/>
        <v>"2084016868" : "Đối với Nissan",</v>
      </c>
    </row>
    <row r="1284" spans="1:6" ht="15.75" customHeight="1">
      <c r="A1284" s="18">
        <v>2084018627</v>
      </c>
      <c r="B1284" s="18" t="s">
        <v>46</v>
      </c>
      <c r="C1284" s="18" t="s">
        <v>14884</v>
      </c>
      <c r="D1284" s="5" t="str">
        <f ca="1">IFERROR(__xludf.DUMMYFUNCTION("GOOGLETRANSLATE(B1284,""ja"",""vi"")"),"nếu không thì")</f>
        <v>nếu không thì</v>
      </c>
      <c r="E1284" s="5" t="str">
        <f ca="1">IFERROR(__xludf.DUMMYFUNCTION("GOOGLETRANSLATE(C1284,""ja"",""vi"")"),"Đấu giá&gt; ô tô, xe máy&gt; phụ tùng&gt; phanh&gt; Khác")</f>
        <v>Đấu giá&gt; ô tô, xe máy&gt; phụ tùng&gt; phanh&gt; Khác</v>
      </c>
      <c r="F1284" t="str">
        <f t="shared" ca="1" si="20"/>
        <v>"2084018627" : "nếu không thì",</v>
      </c>
    </row>
    <row r="1285" spans="1:6" ht="15.75" customHeight="1">
      <c r="A1285" s="18">
        <v>2084241176</v>
      </c>
      <c r="B1285" s="18" t="s">
        <v>14888</v>
      </c>
      <c r="C1285" s="18" t="s">
        <v>14889</v>
      </c>
      <c r="D1285" s="5" t="str">
        <f ca="1">IFERROR(__xludf.DUMMYFUNCTION("GOOGLETRANSLATE(B1285,""ja"",""vi"")"),"Xe tải, bãi chỉ")</f>
        <v>Xe tải, bãi chỉ</v>
      </c>
      <c r="E1285" s="5" t="str">
        <f ca="1">IFERROR(__xludf.DUMMYFUNCTION("GOOGLETRANSLATE(C1285,""ja"",""vi"")"),"Đấu giá&gt; ô tô, xe máy&gt; phụ tùng&gt; ngoại thất, aero&gt; xe tải, bãi chỉ")</f>
        <v>Đấu giá&gt; ô tô, xe máy&gt; phụ tùng&gt; ngoại thất, aero&gt; xe tải, bãi chỉ</v>
      </c>
      <c r="F1285" t="str">
        <f t="shared" ca="1" si="20"/>
        <v>"2084241176" : "Xe tải, bãi chỉ",</v>
      </c>
    </row>
    <row r="1286" spans="1:6" ht="15.75" customHeight="1">
      <c r="A1286" s="18">
        <v>2084200196</v>
      </c>
      <c r="B1286" s="18" t="s">
        <v>14891</v>
      </c>
      <c r="C1286" s="18" t="s">
        <v>14892</v>
      </c>
      <c r="D1286" s="5" t="str">
        <f ca="1">IFERROR(__xludf.DUMMYFUNCTION("GOOGLETRANSLATE(B1286,""ja"",""vi"")"),"ô tô Brands")</f>
        <v>ô tô Brands</v>
      </c>
      <c r="E1286" s="5" t="str">
        <f ca="1">IFERROR(__xludf.DUMMYFUNCTION("GOOGLETRANSLATE(C1286,""ja"",""vi"")"),"Đấu giá&gt; ô tô, xe máy&gt; phụ tùng&gt; ngoại thất, aero&gt; Ô tô Brands")</f>
        <v>Đấu giá&gt; ô tô, xe máy&gt; phụ tùng&gt; ngoại thất, aero&gt; Ô tô Brands</v>
      </c>
      <c r="F1286" t="str">
        <f t="shared" ca="1" si="20"/>
        <v>"2084200196" : "ô tô Brands",</v>
      </c>
    </row>
    <row r="1287" spans="1:6" ht="15.75" customHeight="1">
      <c r="A1287" s="18">
        <v>2084047101</v>
      </c>
      <c r="B1287" s="18" t="s">
        <v>14895</v>
      </c>
      <c r="C1287" s="18" t="s">
        <v>14896</v>
      </c>
      <c r="D1287" s="5" t="str">
        <f ca="1">IFERROR(__xludf.DUMMYFUNCTION("GOOGLETRANSLATE(B1287,""ja"",""vi"")"),"biểu tượng")</f>
        <v>biểu tượng</v>
      </c>
      <c r="E1287" s="5" t="str">
        <f ca="1">IFERROR(__xludf.DUMMYFUNCTION("GOOGLETRANSLATE(C1287,""ja"",""vi"")"),"Đấu giá&gt; ô tô, xe máy&gt; phụ tùng&gt; ngoại thất, aero&gt; biểu tượng")</f>
        <v>Đấu giá&gt; ô tô, xe máy&gt; phụ tùng&gt; ngoại thất, aero&gt; biểu tượng</v>
      </c>
      <c r="F1287" t="str">
        <f t="shared" ca="1" si="20"/>
        <v>"2084047101" : "biểu tượng",</v>
      </c>
    </row>
    <row r="1288" spans="1:6" ht="15.75" customHeight="1">
      <c r="A1288" s="18">
        <v>2084005808</v>
      </c>
      <c r="B1288" s="18" t="s">
        <v>14899</v>
      </c>
      <c r="C1288" s="18" t="s">
        <v>14900</v>
      </c>
      <c r="D1288" s="5" t="str">
        <f ca="1">IFERROR(__xludf.DUMMYFUNCTION("GOOGLETRANSLATE(B1288,""ja"",""vi"")"),"Career, rack")</f>
        <v>Career, rack</v>
      </c>
      <c r="E1288" s="5" t="str">
        <f ca="1">IFERROR(__xludf.DUMMYFUNCTION("GOOGLETRANSLATE(C1288,""ja"",""vi"")"),"Đấu giá&gt; ô tô, xe máy&gt; phụ tùng&gt; ngoại thất, aero&gt; hãng, rack")</f>
        <v>Đấu giá&gt; ô tô, xe máy&gt; phụ tùng&gt; ngoại thất, aero&gt; hãng, rack</v>
      </c>
      <c r="F1288" t="str">
        <f t="shared" ca="1" si="20"/>
        <v>"2084005808" : "Career, rack",</v>
      </c>
    </row>
    <row r="1289" spans="1:6" ht="15.75" customHeight="1">
      <c r="A1289" s="18">
        <v>2084258256</v>
      </c>
      <c r="B1289" s="18" t="s">
        <v>14903</v>
      </c>
      <c r="C1289" s="18" t="s">
        <v>14904</v>
      </c>
      <c r="D1289" s="5" t="str">
        <f ca="1">IFERROR(__xludf.DUMMYFUNCTION("GOOGLETRANSLATE(B1289,""ja"",""vi"")"),"trung tâm mua sắm")</f>
        <v>trung tâm mua sắm</v>
      </c>
      <c r="E1289" s="5" t="str">
        <f ca="1">IFERROR(__xludf.DUMMYFUNCTION("GOOGLETRANSLATE(C1289,""ja"",""vi"")"),"Đấu giá&gt; ô tô, xe máy&gt; phụ tùng&gt; ngoại thất, aero&gt; Mall")</f>
        <v>Đấu giá&gt; ô tô, xe máy&gt; phụ tùng&gt; ngoại thất, aero&gt; Mall</v>
      </c>
      <c r="F1289" t="str">
        <f t="shared" ca="1" si="20"/>
        <v>"2084258256" : "trung tâm mua sắm",</v>
      </c>
    </row>
    <row r="1290" spans="1:6" ht="15.75" customHeight="1">
      <c r="A1290" s="18">
        <v>2084008425</v>
      </c>
      <c r="B1290" s="18" t="s">
        <v>46</v>
      </c>
      <c r="C1290" s="18" t="s">
        <v>14907</v>
      </c>
      <c r="D1290" s="5" t="str">
        <f ca="1">IFERROR(__xludf.DUMMYFUNCTION("GOOGLETRANSLATE(B1290,""ja"",""vi"")"),"nếu không thì")</f>
        <v>nếu không thì</v>
      </c>
      <c r="E1290" s="5" t="str">
        <f ca="1">IFERROR(__xludf.DUMMYFUNCTION("GOOGLETRANSLATE(C1290,""ja"",""vi"")"),"Đấu giá&gt; ô tô, xe máy&gt; phụ tùng&gt; ngoại thất, aero&gt; Khác")</f>
        <v>Đấu giá&gt; ô tô, xe máy&gt; phụ tùng&gt; ngoại thất, aero&gt; Khác</v>
      </c>
      <c r="F1290" t="str">
        <f t="shared" ca="1" si="20"/>
        <v>"2084008425" : "nếu không thì",</v>
      </c>
    </row>
    <row r="1291" spans="1:6" ht="15.75" customHeight="1">
      <c r="A1291" s="18">
        <v>2084005523</v>
      </c>
      <c r="B1291" s="18" t="s">
        <v>14909</v>
      </c>
      <c r="C1291" s="18" t="s">
        <v>14911</v>
      </c>
      <c r="D1291" s="5" t="str">
        <f ca="1">IFERROR(__xludf.DUMMYFUNCTION("GOOGLETRANSLATE(B1291,""ja"",""vi"")"),"đèn xe máy, tín hiệu lần lượt")</f>
        <v>đèn xe máy, tín hiệu lần lượt</v>
      </c>
      <c r="E1291" s="5" t="str">
        <f ca="1">IFERROR(__xludf.DUMMYFUNCTION("GOOGLETRANSLATE(C1291,""ja"",""vi"")"),"Đấu giá&gt; ô tô, xe máy&gt; phụ tùng&gt; Ánh sáng&gt; đèn xe máy, tín hiệu lần lượt")</f>
        <v>Đấu giá&gt; ô tô, xe máy&gt; phụ tùng&gt; Ánh sáng&gt; đèn xe máy, tín hiệu lần lượt</v>
      </c>
      <c r="F1291" t="str">
        <f t="shared" ca="1" si="20"/>
        <v>"2084005523" : "đèn xe máy, tín hiệu lần lượt",</v>
      </c>
    </row>
    <row r="1292" spans="1:6" ht="15.75" customHeight="1">
      <c r="A1292" s="18">
        <v>2084241159</v>
      </c>
      <c r="B1292" s="18" t="s">
        <v>14888</v>
      </c>
      <c r="C1292" s="18" t="s">
        <v>14914</v>
      </c>
      <c r="D1292" s="5" t="str">
        <f ca="1">IFERROR(__xludf.DUMMYFUNCTION("GOOGLETRANSLATE(B1292,""ja"",""vi"")"),"Xe tải, bãi chỉ")</f>
        <v>Xe tải, bãi chỉ</v>
      </c>
      <c r="E1292" s="5" t="str">
        <f ca="1">IFERROR(__xludf.DUMMYFUNCTION("GOOGLETRANSLATE(C1292,""ja"",""vi"")"),"Đấu giá&gt; ô tô, xe máy&gt; phụ tùng&gt; Ánh sáng&gt; xe tải, bãi chỉ")</f>
        <v>Đấu giá&gt; ô tô, xe máy&gt; phụ tùng&gt; Ánh sáng&gt; xe tải, bãi chỉ</v>
      </c>
      <c r="F1292" t="str">
        <f t="shared" ca="1" si="20"/>
        <v>"2084241159" : "Xe tải, bãi chỉ",</v>
      </c>
    </row>
    <row r="1293" spans="1:6" ht="15.75" customHeight="1">
      <c r="A1293" s="18">
        <v>2084015633</v>
      </c>
      <c r="B1293" s="18" t="s">
        <v>14891</v>
      </c>
      <c r="C1293" s="18" t="s">
        <v>14916</v>
      </c>
      <c r="D1293" s="5" t="str">
        <f ca="1">IFERROR(__xludf.DUMMYFUNCTION("GOOGLETRANSLATE(B1293,""ja"",""vi"")"),"ô tô Brands")</f>
        <v>ô tô Brands</v>
      </c>
      <c r="E1293" s="5" t="str">
        <f ca="1">IFERROR(__xludf.DUMMYFUNCTION("GOOGLETRANSLATE(C1293,""ja"",""vi"")"),"Đấu giá&gt; ô tô, xe máy&gt; phụ tùng&gt; Ánh sáng&gt; Auto Brands")</f>
        <v>Đấu giá&gt; ô tô, xe máy&gt; phụ tùng&gt; Ánh sáng&gt; Auto Brands</v>
      </c>
      <c r="F1293" t="str">
        <f t="shared" ca="1" si="20"/>
        <v>"2084015633" : "ô tô Brands",</v>
      </c>
    </row>
    <row r="1294" spans="1:6" ht="15.75" customHeight="1">
      <c r="A1294" s="18">
        <v>2084198427</v>
      </c>
      <c r="B1294" s="18" t="s">
        <v>14919</v>
      </c>
      <c r="C1294" s="18" t="s">
        <v>14920</v>
      </c>
      <c r="D1294" s="5" t="str">
        <f ca="1">IFERROR(__xludf.DUMMYFUNCTION("GOOGLETRANSLATE(B1294,""ja"",""vi"")"),"HID kit")</f>
        <v>HID kit</v>
      </c>
      <c r="E1294" s="5" t="str">
        <f ca="1">IFERROR(__xludf.DUMMYFUNCTION("GOOGLETRANSLATE(C1294,""ja"",""vi"")"),"Đấu giá&gt; ô tô, xe máy&gt; phụ tùng&gt; đèn&gt; kit HID")</f>
        <v>Đấu giá&gt; ô tô, xe máy&gt; phụ tùng&gt; đèn&gt; kit HID</v>
      </c>
      <c r="F1294" t="str">
        <f t="shared" ca="1" si="20"/>
        <v>"2084198427" : "HID kit",</v>
      </c>
    </row>
    <row r="1295" spans="1:6" ht="15.75" customHeight="1">
      <c r="A1295" s="18">
        <v>2084198327</v>
      </c>
      <c r="B1295" s="18" t="s">
        <v>14923</v>
      </c>
      <c r="C1295" s="18" t="s">
        <v>14924</v>
      </c>
      <c r="D1295" s="5" t="str">
        <f ca="1">IFERROR(__xludf.DUMMYFUNCTION("GOOGLETRANSLATE(B1295,""ja"",""vi"")"),"ánh sáng ban ngày")</f>
        <v>ánh sáng ban ngày</v>
      </c>
      <c r="E1295" s="5" t="str">
        <f ca="1">IFERROR(__xludf.DUMMYFUNCTION("GOOGLETRANSLATE(C1295,""ja"",""vi"")"),"Đấu giá&gt; ô tô, xe máy&gt; phụ tùng&gt; đèn&gt; Ánh sáng ban ngày")</f>
        <v>Đấu giá&gt; ô tô, xe máy&gt; phụ tùng&gt; đèn&gt; Ánh sáng ban ngày</v>
      </c>
      <c r="F1295" t="str">
        <f t="shared" ca="1" si="20"/>
        <v>"2084198327" : "ánh sáng ban ngày",</v>
      </c>
    </row>
    <row r="1296" spans="1:6" ht="15.75" customHeight="1">
      <c r="A1296" s="18">
        <v>2084008496</v>
      </c>
      <c r="B1296" s="18" t="s">
        <v>14927</v>
      </c>
      <c r="C1296" s="18" t="s">
        <v>14928</v>
      </c>
      <c r="D1296" s="5" t="str">
        <f ca="1">IFERROR(__xludf.DUMMYFUNCTION("GOOGLETRANSLATE(B1296,""ja"",""vi"")"),"van")</f>
        <v>van</v>
      </c>
      <c r="E1296" s="5" t="str">
        <f ca="1">IFERROR(__xludf.DUMMYFUNCTION("GOOGLETRANSLATE(C1296,""ja"",""vi"")"),"Đấu giá&gt; ô tô, xe máy&gt; phụ tùng&gt; đèn&gt; van")</f>
        <v>Đấu giá&gt; ô tô, xe máy&gt; phụ tùng&gt; đèn&gt; van</v>
      </c>
      <c r="F1296" t="str">
        <f t="shared" ca="1" si="20"/>
        <v>"2084008496" : "van",</v>
      </c>
    </row>
    <row r="1297" spans="1:6" ht="15.75" customHeight="1">
      <c r="A1297" s="18">
        <v>2084008497</v>
      </c>
      <c r="B1297" s="18" t="s">
        <v>14931</v>
      </c>
      <c r="C1297" s="18" t="s">
        <v>14932</v>
      </c>
      <c r="D1297" s="5" t="str">
        <f ca="1">IFERROR(__xludf.DUMMYFUNCTION("GOOGLETRANSLATE(B1297,""ja"",""vi"")"),"đèn sương mù")</f>
        <v>đèn sương mù</v>
      </c>
      <c r="E1297" s="5" t="str">
        <f ca="1">IFERROR(__xludf.DUMMYFUNCTION("GOOGLETRANSLATE(C1297,""ja"",""vi"")"),"Đấu giá&gt; ô tô, xe máy&gt; phụ tùng&gt; Ánh sáng&gt; Đèn sương mù")</f>
        <v>Đấu giá&gt; ô tô, xe máy&gt; phụ tùng&gt; Ánh sáng&gt; Đèn sương mù</v>
      </c>
      <c r="F1297" t="str">
        <f t="shared" ca="1" si="20"/>
        <v>"2084008497" : "đèn sương mù",</v>
      </c>
    </row>
    <row r="1298" spans="1:6" ht="15.75" customHeight="1">
      <c r="A1298" s="18">
        <v>2084008498</v>
      </c>
      <c r="B1298" s="18" t="s">
        <v>46</v>
      </c>
      <c r="C1298" s="18" t="s">
        <v>14934</v>
      </c>
      <c r="D1298" s="5" t="str">
        <f ca="1">IFERROR(__xludf.DUMMYFUNCTION("GOOGLETRANSLATE(B1298,""ja"",""vi"")"),"nếu không thì")</f>
        <v>nếu không thì</v>
      </c>
      <c r="E1298" s="5" t="str">
        <f ca="1">IFERROR(__xludf.DUMMYFUNCTION("GOOGLETRANSLATE(C1298,""ja"",""vi"")"),"Đấu giá&gt; ô tô, xe máy&gt; phụ tùng&gt; Ánh sáng&gt; Khác")</f>
        <v>Đấu giá&gt; ô tô, xe máy&gt; phụ tùng&gt; Ánh sáng&gt; Khác</v>
      </c>
      <c r="F1298" t="str">
        <f t="shared" ca="1" si="20"/>
        <v>"2084008498" : "nếu không thì",</v>
      </c>
    </row>
    <row r="1299" spans="1:6" ht="15.75" customHeight="1">
      <c r="A1299" s="18">
        <v>2084241178</v>
      </c>
      <c r="B1299" s="18" t="s">
        <v>14888</v>
      </c>
      <c r="C1299" s="18" t="s">
        <v>14937</v>
      </c>
      <c r="D1299" s="5" t="str">
        <f ca="1">IFERROR(__xludf.DUMMYFUNCTION("GOOGLETRANSLATE(B1299,""ja"",""vi"")"),"Xe tải, bãi chỉ")</f>
        <v>Xe tải, bãi chỉ</v>
      </c>
      <c r="E1299" s="5" t="str">
        <f ca="1">IFERROR(__xludf.DUMMYFUNCTION("GOOGLETRANSLATE(C1299,""ja"",""vi"")"),"Đấu giá&gt; ô tô, xe máy&gt; phụ tùng&gt; cửa gương&gt; xe tải, bãi chỉ")</f>
        <v>Đấu giá&gt; ô tô, xe máy&gt; phụ tùng&gt; cửa gương&gt; xe tải, bãi chỉ</v>
      </c>
      <c r="F1299" t="str">
        <f t="shared" ca="1" si="20"/>
        <v>"2084241178" : "Xe tải, bãi chỉ",</v>
      </c>
    </row>
    <row r="1300" spans="1:6" ht="15.75" customHeight="1">
      <c r="A1300" s="18">
        <v>2084201191</v>
      </c>
      <c r="B1300" s="18" t="s">
        <v>14628</v>
      </c>
      <c r="C1300" s="18" t="s">
        <v>14940</v>
      </c>
      <c r="D1300" s="5" t="str">
        <f ca="1">IFERROR(__xludf.DUMMYFUNCTION("GOOGLETRANSLATE(B1300,""ja"",""vi"")"),"Đối với BMW")</f>
        <v>Đối với BMW</v>
      </c>
      <c r="E1300" s="5" t="str">
        <f ca="1">IFERROR(__xludf.DUMMYFUNCTION("GOOGLETRANSLATE(C1300,""ja"",""vi"")"),"Đấu giá&gt; ô tô, xe máy&gt; phụ tùng&gt; cửa gương&gt; cho BMW")</f>
        <v>Đấu giá&gt; ô tô, xe máy&gt; phụ tùng&gt; cửa gương&gt; cho BMW</v>
      </c>
      <c r="F1300" t="str">
        <f t="shared" ca="1" si="20"/>
        <v>"2084201191" : "Đối với BMW",</v>
      </c>
    </row>
    <row r="1301" spans="1:6" ht="15.75" customHeight="1">
      <c r="A1301" s="18">
        <v>2084201192</v>
      </c>
      <c r="B1301" s="18" t="s">
        <v>14633</v>
      </c>
      <c r="C1301" s="18" t="s">
        <v>14943</v>
      </c>
      <c r="D1301" s="5" t="str">
        <f ca="1">IFERROR(__xludf.DUMMYFUNCTION("GOOGLETRANSLATE(B1301,""ja"",""vi"")"),"Đối với Isuzu")</f>
        <v>Đối với Isuzu</v>
      </c>
      <c r="E1301" s="5" t="str">
        <f ca="1">IFERROR(__xludf.DUMMYFUNCTION("GOOGLETRANSLATE(C1301,""ja"",""vi"")"),"Đấu giá&gt; ô tô, xe máy&gt; phụ tùng&gt; cửa gương&gt; cho Isuzu")</f>
        <v>Đấu giá&gt; ô tô, xe máy&gt; phụ tùng&gt; cửa gương&gt; cho Isuzu</v>
      </c>
      <c r="F1301" t="str">
        <f t="shared" ca="1" si="20"/>
        <v>"2084201192" : "Đối với Isuzu",</v>
      </c>
    </row>
    <row r="1302" spans="1:6" ht="15.75" customHeight="1">
      <c r="A1302" s="18">
        <v>2084201193</v>
      </c>
      <c r="B1302" s="18" t="s">
        <v>14640</v>
      </c>
      <c r="C1302" s="18" t="s">
        <v>14945</v>
      </c>
      <c r="D1302" s="5" t="str">
        <f ca="1">IFERROR(__xludf.DUMMYFUNCTION("GOOGLETRANSLATE(B1302,""ja"",""vi"")"),"Đối với Audi")</f>
        <v>Đối với Audi</v>
      </c>
      <c r="E1302" s="5" t="str">
        <f ca="1">IFERROR(__xludf.DUMMYFUNCTION("GOOGLETRANSLATE(C1302,""ja"",""vi"")"),"Đấu giá&gt; ô tô, xe máy&gt; phụ tùng&gt; cửa gương&gt; cho Audi")</f>
        <v>Đấu giá&gt; ô tô, xe máy&gt; phụ tùng&gt; cửa gương&gt; cho Audi</v>
      </c>
      <c r="F1302" t="str">
        <f t="shared" ca="1" si="20"/>
        <v>"2084201193" : "Đối với Audi",</v>
      </c>
    </row>
    <row r="1303" spans="1:6" ht="15.75" customHeight="1">
      <c r="A1303" s="18">
        <v>2084201194</v>
      </c>
      <c r="B1303" s="18" t="s">
        <v>14644</v>
      </c>
      <c r="C1303" s="18" t="s">
        <v>14949</v>
      </c>
      <c r="D1303" s="5" t="str">
        <f ca="1">IFERROR(__xludf.DUMMYFUNCTION("GOOGLETRANSLATE(B1303,""ja"",""vi"")"),"Đối với Alfa Romeo")</f>
        <v>Đối với Alfa Romeo</v>
      </c>
      <c r="E1303" s="5" t="str">
        <f ca="1">IFERROR(__xludf.DUMMYFUNCTION("GOOGLETRANSLATE(C1303,""ja"",""vi"")"),"Đấu giá&gt; ô tô, xe máy&gt; phụ tùng&gt; cửa gương&gt; alpha cho Romeo")</f>
        <v>Đấu giá&gt; ô tô, xe máy&gt; phụ tùng&gt; cửa gương&gt; alpha cho Romeo</v>
      </c>
      <c r="F1303" t="str">
        <f t="shared" ca="1" si="20"/>
        <v>"2084201194" : "Đối với Alfa Romeo",</v>
      </c>
    </row>
    <row r="1304" spans="1:6" ht="15.75" customHeight="1">
      <c r="A1304" s="18">
        <v>2084201195</v>
      </c>
      <c r="B1304" s="18" t="s">
        <v>14649</v>
      </c>
      <c r="C1304" s="18" t="s">
        <v>14951</v>
      </c>
      <c r="D1304" s="5" t="str">
        <f ca="1">IFERROR(__xludf.DUMMYFUNCTION("GOOGLETRANSLATE(B1304,""ja"",""vi"")"),"cho Opel")</f>
        <v>cho Opel</v>
      </c>
      <c r="E1304" s="5" t="str">
        <f ca="1">IFERROR(__xludf.DUMMYFUNCTION("GOOGLETRANSLATE(C1304,""ja"",""vi"")"),"Đấu giá&gt; ô tô, xe máy&gt; phụ tùng&gt; cửa gương&gt; cho Opel")</f>
        <v>Đấu giá&gt; ô tô, xe máy&gt; phụ tùng&gt; cửa gương&gt; cho Opel</v>
      </c>
      <c r="F1304" t="str">
        <f t="shared" ca="1" si="20"/>
        <v>"2084201195" : "cho Opel",</v>
      </c>
    </row>
    <row r="1305" spans="1:6" ht="15.75" customHeight="1">
      <c r="A1305" s="18">
        <v>2084201196</v>
      </c>
      <c r="B1305" s="18" t="s">
        <v>14654</v>
      </c>
      <c r="C1305" s="18" t="s">
        <v>14955</v>
      </c>
      <c r="D1305" s="5" t="str">
        <f ca="1">IFERROR(__xludf.DUMMYFUNCTION("GOOGLETRANSLATE(B1305,""ja"",""vi"")"),"Đối với Chrysler")</f>
        <v>Đối với Chrysler</v>
      </c>
      <c r="E1305" s="5" t="str">
        <f ca="1">IFERROR(__xludf.DUMMYFUNCTION("GOOGLETRANSLATE(C1305,""ja"",""vi"")"),"Đấu giá&gt; ô tô, xe máy&gt; phụ tùng&gt; cửa gương&gt; cho Chrysler")</f>
        <v>Đấu giá&gt; ô tô, xe máy&gt; phụ tùng&gt; cửa gương&gt; cho Chrysler</v>
      </c>
      <c r="F1305" t="str">
        <f t="shared" ca="1" si="20"/>
        <v>"2084201196" : "Đối với Chrysler",</v>
      </c>
    </row>
    <row r="1306" spans="1:6" ht="15.75" customHeight="1">
      <c r="A1306" s="18">
        <v>2084201197</v>
      </c>
      <c r="B1306" s="18" t="s">
        <v>14657</v>
      </c>
      <c r="C1306" s="18" t="s">
        <v>14958</v>
      </c>
      <c r="D1306" s="5" t="str">
        <f ca="1">IFERROR(__xludf.DUMMYFUNCTION("GOOGLETRANSLATE(B1306,""ja"",""vi"")"),"Đối với Citroen")</f>
        <v>Đối với Citroen</v>
      </c>
      <c r="E1306" s="5" t="str">
        <f ca="1">IFERROR(__xludf.DUMMYFUNCTION("GOOGLETRANSLATE(C1306,""ja"",""vi"")"),"Đấu giá&gt; ô tô, xe máy&gt; phụ tùng&gt; cửa gương&gt; cho Citroen")</f>
        <v>Đấu giá&gt; ô tô, xe máy&gt; phụ tùng&gt; cửa gương&gt; cho Citroen</v>
      </c>
      <c r="F1306" t="str">
        <f t="shared" ca="1" si="20"/>
        <v>"2084201197" : "Đối với Citroen",</v>
      </c>
    </row>
    <row r="1307" spans="1:6" ht="15.75" customHeight="1">
      <c r="A1307" s="18">
        <v>2084201198</v>
      </c>
      <c r="B1307" s="18" t="s">
        <v>14663</v>
      </c>
      <c r="C1307" s="18" t="s">
        <v>14960</v>
      </c>
      <c r="D1307" s="5" t="str">
        <f ca="1">IFERROR(__xludf.DUMMYFUNCTION("GOOGLETRANSLATE(B1307,""ja"",""vi"")"),"Đối với Chevrolet")</f>
        <v>Đối với Chevrolet</v>
      </c>
      <c r="E1307" s="5" t="str">
        <f ca="1">IFERROR(__xludf.DUMMYFUNCTION("GOOGLETRANSLATE(C1307,""ja"",""vi"")"),"Đấu giá&gt; ô tô, xe máy&gt; phụ tùng&gt; cửa gương&gt; cho Chevrolet")</f>
        <v>Đấu giá&gt; ô tô, xe máy&gt; phụ tùng&gt; cửa gương&gt; cho Chevrolet</v>
      </c>
      <c r="F1307" t="str">
        <f t="shared" ca="1" si="20"/>
        <v>"2084201198" : "Đối với Chevrolet",</v>
      </c>
    </row>
    <row r="1308" spans="1:6" ht="15.75" customHeight="1">
      <c r="A1308" s="18">
        <v>2084201199</v>
      </c>
      <c r="B1308" s="18" t="s">
        <v>14667</v>
      </c>
      <c r="C1308" s="18" t="s">
        <v>14963</v>
      </c>
      <c r="D1308" s="5" t="str">
        <f ca="1">IFERROR(__xludf.DUMMYFUNCTION("GOOGLETRANSLATE(B1308,""ja"",""vi"")"),"Đối với Jaguar")</f>
        <v>Đối với Jaguar</v>
      </c>
      <c r="E1308" s="5" t="str">
        <f ca="1">IFERROR(__xludf.DUMMYFUNCTION("GOOGLETRANSLATE(C1308,""ja"",""vi"")"),"Đấu giá&gt; ô tô, xe máy&gt; phụ tùng&gt; cửa gương&gt; cho Jaguar")</f>
        <v>Đấu giá&gt; ô tô, xe máy&gt; phụ tùng&gt; cửa gương&gt; cho Jaguar</v>
      </c>
      <c r="F1308" t="str">
        <f t="shared" ca="1" si="20"/>
        <v>"2084201199" : "Đối với Jaguar",</v>
      </c>
    </row>
    <row r="1309" spans="1:6" ht="15.75" customHeight="1">
      <c r="A1309" s="18">
        <v>2084201200</v>
      </c>
      <c r="B1309" s="18" t="s">
        <v>14671</v>
      </c>
      <c r="C1309" s="18" t="s">
        <v>14965</v>
      </c>
      <c r="D1309" s="5" t="str">
        <f ca="1">IFERROR(__xludf.DUMMYFUNCTION("GOOGLETRANSLATE(B1309,""ja"",""vi"")"),"Đối với Suzuki")</f>
        <v>Đối với Suzuki</v>
      </c>
      <c r="E1309" s="5" t="str">
        <f ca="1">IFERROR(__xludf.DUMMYFUNCTION("GOOGLETRANSLATE(C1309,""ja"",""vi"")"),"Đấu giá&gt; ô tô, xe máy&gt; phụ tùng&gt; cửa gương&gt; cho Suzuki")</f>
        <v>Đấu giá&gt; ô tô, xe máy&gt; phụ tùng&gt; cửa gương&gt; cho Suzuki</v>
      </c>
      <c r="F1309" t="str">
        <f t="shared" ca="1" si="20"/>
        <v>"2084201200" : "Đối với Suzuki",</v>
      </c>
    </row>
    <row r="1310" spans="1:6" ht="15.75" customHeight="1">
      <c r="A1310" s="18">
        <v>2084201201</v>
      </c>
      <c r="B1310" s="18" t="s">
        <v>14673</v>
      </c>
      <c r="C1310" s="18" t="s">
        <v>14969</v>
      </c>
      <c r="D1310" s="5" t="str">
        <f ca="1">IFERROR(__xludf.DUMMYFUNCTION("GOOGLETRANSLATE(B1310,""ja"",""vi"")"),"Đối với Subaru")</f>
        <v>Đối với Subaru</v>
      </c>
      <c r="E1310" s="5" t="str">
        <f ca="1">IFERROR(__xludf.DUMMYFUNCTION("GOOGLETRANSLATE(C1310,""ja"",""vi"")"),"Đấu giá&gt; ô tô, xe máy&gt; phụ tùng&gt; cửa gương&gt; cho Subaru")</f>
        <v>Đấu giá&gt; ô tô, xe máy&gt; phụ tùng&gt; cửa gương&gt; cho Subaru</v>
      </c>
      <c r="F1310" t="str">
        <f t="shared" ca="1" si="20"/>
        <v>"2084201201" : "Đối với Subaru",</v>
      </c>
    </row>
    <row r="1311" spans="1:6" ht="15.75" customHeight="1">
      <c r="A1311" s="18">
        <v>2084201204</v>
      </c>
      <c r="B1311" s="18" t="s">
        <v>14677</v>
      </c>
      <c r="C1311" s="18" t="s">
        <v>14973</v>
      </c>
      <c r="D1311" s="5" t="str">
        <f ca="1">IFERROR(__xludf.DUMMYFUNCTION("GOOGLETRANSLATE(B1311,""ja"",""vi"")"),"Đối với Daihatsu")</f>
        <v>Đối với Daihatsu</v>
      </c>
      <c r="E1311" s="5" t="str">
        <f ca="1">IFERROR(__xludf.DUMMYFUNCTION("GOOGLETRANSLATE(C1311,""ja"",""vi"")"),"Đấu giá&gt; ô tô, xe máy&gt; phụ tùng&gt; cửa gương&gt; cho Daihatsu")</f>
        <v>Đấu giá&gt; ô tô, xe máy&gt; phụ tùng&gt; cửa gương&gt; cho Daihatsu</v>
      </c>
      <c r="F1311" t="str">
        <f t="shared" ca="1" si="20"/>
        <v>"2084201204" : "Đối với Daihatsu",</v>
      </c>
    </row>
    <row r="1312" spans="1:6" ht="15.75" customHeight="1">
      <c r="A1312" s="18">
        <v>2084201206</v>
      </c>
      <c r="B1312" s="18" t="s">
        <v>14682</v>
      </c>
      <c r="C1312" s="18" t="s">
        <v>14976</v>
      </c>
      <c r="D1312" s="5" t="str">
        <f ca="1">IFERROR(__xludf.DUMMYFUNCTION("GOOGLETRANSLATE(B1312,""ja"",""vi"")"),"Đối với Toyota")</f>
        <v>Đối với Toyota</v>
      </c>
      <c r="E1312" s="5" t="str">
        <f ca="1">IFERROR(__xludf.DUMMYFUNCTION("GOOGLETRANSLATE(C1312,""ja"",""vi"")"),"Đấu giá&gt; ô tô, xe máy&gt; phụ tùng&gt; cửa gương&gt; cho Toyota")</f>
        <v>Đấu giá&gt; ô tô, xe máy&gt; phụ tùng&gt; cửa gương&gt; cho Toyota</v>
      </c>
      <c r="F1312" t="str">
        <f t="shared" ca="1" si="20"/>
        <v>"2084201206" : "Đối với Toyota",</v>
      </c>
    </row>
    <row r="1313" spans="1:6" ht="15.75" customHeight="1">
      <c r="A1313" s="18">
        <v>2084201208</v>
      </c>
      <c r="B1313" s="18" t="s">
        <v>14685</v>
      </c>
      <c r="C1313" s="18" t="s">
        <v>14979</v>
      </c>
      <c r="D1313" s="5" t="str">
        <f ca="1">IFERROR(__xludf.DUMMYFUNCTION("GOOGLETRANSLATE(B1313,""ja"",""vi"")"),"Đối với Fiat")</f>
        <v>Đối với Fiat</v>
      </c>
      <c r="E1313" s="5" t="str">
        <f ca="1">IFERROR(__xludf.DUMMYFUNCTION("GOOGLETRANSLATE(C1313,""ja"",""vi"")"),"Đấu giá&gt; ô tô, xe máy&gt; phụ tùng&gt; cửa gương&gt; cho Fiat")</f>
        <v>Đấu giá&gt; ô tô, xe máy&gt; phụ tùng&gt; cửa gương&gt; cho Fiat</v>
      </c>
      <c r="F1313" t="str">
        <f t="shared" ca="1" si="20"/>
        <v>"2084201208" : "Đối với Fiat",</v>
      </c>
    </row>
    <row r="1314" spans="1:6" ht="15.75" customHeight="1">
      <c r="A1314" s="18">
        <v>2084201209</v>
      </c>
      <c r="B1314" s="18" t="s">
        <v>14690</v>
      </c>
      <c r="C1314" s="18" t="s">
        <v>14983</v>
      </c>
      <c r="D1314" s="5" t="str">
        <f ca="1">IFERROR(__xludf.DUMMYFUNCTION("GOOGLETRANSLATE(B1314,""ja"",""vi"")"),"Đối với Ford")</f>
        <v>Đối với Ford</v>
      </c>
      <c r="E1314" s="5" t="str">
        <f ca="1">IFERROR(__xludf.DUMMYFUNCTION("GOOGLETRANSLATE(C1314,""ja"",""vi"")"),"Đấu giá&gt; ô tô, xe máy&gt; phụ tùng&gt; cửa gương&gt; cho Ford")</f>
        <v>Đấu giá&gt; ô tô, xe máy&gt; phụ tùng&gt; cửa gương&gt; cho Ford</v>
      </c>
      <c r="F1314" t="str">
        <f t="shared" ca="1" si="20"/>
        <v>"2084201209" : "Đối với Ford",</v>
      </c>
    </row>
    <row r="1315" spans="1:6" ht="15.75" customHeight="1">
      <c r="A1315" s="18">
        <v>2084201210</v>
      </c>
      <c r="B1315" s="18" t="s">
        <v>14694</v>
      </c>
      <c r="C1315" s="18" t="s">
        <v>14986</v>
      </c>
      <c r="D1315" s="5" t="str">
        <f ca="1">IFERROR(__xludf.DUMMYFUNCTION("GOOGLETRANSLATE(B1315,""ja"",""vi"")"),"Đối với Volkswagen")</f>
        <v>Đối với Volkswagen</v>
      </c>
      <c r="E1315" s="5" t="str">
        <f ca="1">IFERROR(__xludf.DUMMYFUNCTION("GOOGLETRANSLATE(C1315,""ja"",""vi"")"),"Đấu giá&gt; ô tô, xe máy&gt; phụ tùng&gt; cửa gương&gt; cho Volkswagen")</f>
        <v>Đấu giá&gt; ô tô, xe máy&gt; phụ tùng&gt; cửa gương&gt; cho Volkswagen</v>
      </c>
      <c r="F1315" t="str">
        <f t="shared" ca="1" si="20"/>
        <v>"2084201210" : "Đối với Volkswagen",</v>
      </c>
    </row>
    <row r="1316" spans="1:6" ht="15.75" customHeight="1">
      <c r="A1316" s="18">
        <v>2084201202</v>
      </c>
      <c r="B1316" s="18" t="s">
        <v>14698</v>
      </c>
      <c r="C1316" s="18" t="s">
        <v>14990</v>
      </c>
      <c r="D1316" s="5" t="str">
        <f ca="1">IFERROR(__xludf.DUMMYFUNCTION("GOOGLETRANSLATE(B1316,""ja"",""vi"")"),"Đối với Peugeot")</f>
        <v>Đối với Peugeot</v>
      </c>
      <c r="E1316" s="5" t="str">
        <f ca="1">IFERROR(__xludf.DUMMYFUNCTION("GOOGLETRANSLATE(C1316,""ja"",""vi"")"),"Đấu giá&gt; ô tô, xe máy&gt; phụ tùng&gt; cửa gương&gt; cho Peugeot")</f>
        <v>Đấu giá&gt; ô tô, xe máy&gt; phụ tùng&gt; cửa gương&gt; cho Peugeot</v>
      </c>
      <c r="F1316" t="str">
        <f t="shared" ca="1" si="20"/>
        <v>"2084201202" : "Đối với Peugeot",</v>
      </c>
    </row>
    <row r="1317" spans="1:6" ht="15.75" customHeight="1">
      <c r="A1317" s="18">
        <v>2084201211</v>
      </c>
      <c r="B1317" s="18" t="s">
        <v>14701</v>
      </c>
      <c r="C1317" s="18" t="s">
        <v>14993</v>
      </c>
      <c r="D1317" s="5" t="str">
        <f ca="1">IFERROR(__xludf.DUMMYFUNCTION("GOOGLETRANSLATE(B1317,""ja"",""vi"")"),"Đối với Honda")</f>
        <v>Đối với Honda</v>
      </c>
      <c r="E1317" s="5" t="str">
        <f ca="1">IFERROR(__xludf.DUMMYFUNCTION("GOOGLETRANSLATE(C1317,""ja"",""vi"")"),"Đấu giá&gt; ô tô, xe máy&gt; phụ tùng&gt; cửa gương&gt; cho Honda")</f>
        <v>Đấu giá&gt; ô tô, xe máy&gt; phụ tùng&gt; cửa gương&gt; cho Honda</v>
      </c>
      <c r="F1317" t="str">
        <f t="shared" ca="1" si="20"/>
        <v>"2084201211" : "Đối với Honda",</v>
      </c>
    </row>
    <row r="1318" spans="1:6" ht="15.75" customHeight="1">
      <c r="A1318" s="18">
        <v>2084201212</v>
      </c>
      <c r="B1318" s="18" t="s">
        <v>14705</v>
      </c>
      <c r="C1318" s="18" t="s">
        <v>14996</v>
      </c>
      <c r="D1318" s="5" t="str">
        <f ca="1">IFERROR(__xludf.DUMMYFUNCTION("GOOGLETRANSLATE(B1318,""ja"",""vi"")"),"Đối với Volvo")</f>
        <v>Đối với Volvo</v>
      </c>
      <c r="E1318" s="5" t="str">
        <f ca="1">IFERROR(__xludf.DUMMYFUNCTION("GOOGLETRANSLATE(C1318,""ja"",""vi"")"),"Đấu giá&gt; ô tô, xe máy&gt; phụ tùng&gt; cửa gương&gt; cho Volvo")</f>
        <v>Đấu giá&gt; ô tô, xe máy&gt; phụ tùng&gt; cửa gương&gt; cho Volvo</v>
      </c>
      <c r="F1318" t="str">
        <f t="shared" ca="1" si="20"/>
        <v>"2084201212" : "Đối với Volvo",</v>
      </c>
    </row>
    <row r="1319" spans="1:6" ht="15.75" customHeight="1">
      <c r="A1319" s="18">
        <v>2084201213</v>
      </c>
      <c r="B1319" s="18" t="s">
        <v>14709</v>
      </c>
      <c r="C1319" s="18" t="s">
        <v>15001</v>
      </c>
      <c r="D1319" s="5" t="str">
        <f ca="1">IFERROR(__xludf.DUMMYFUNCTION("GOOGLETRANSLATE(B1319,""ja"",""vi"")"),"Đối với Porsche")</f>
        <v>Đối với Porsche</v>
      </c>
      <c r="E1319" s="5" t="str">
        <f ca="1">IFERROR(__xludf.DUMMYFUNCTION("GOOGLETRANSLATE(C1319,""ja"",""vi"")"),"Đấu giá&gt; ô tô, xe máy&gt; phụ tùng&gt; cửa gương&gt; cho Porsche")</f>
        <v>Đấu giá&gt; ô tô, xe máy&gt; phụ tùng&gt; cửa gương&gt; cho Porsche</v>
      </c>
      <c r="F1319" t="str">
        <f t="shared" ca="1" si="20"/>
        <v>"2084201213" : "Đối với Porsche",</v>
      </c>
    </row>
    <row r="1320" spans="1:6" ht="15.75" customHeight="1">
      <c r="A1320" s="18">
        <v>2084201214</v>
      </c>
      <c r="B1320" s="18" t="s">
        <v>14713</v>
      </c>
      <c r="C1320" s="18" t="s">
        <v>15003</v>
      </c>
      <c r="D1320" s="5" t="str">
        <f ca="1">IFERROR(__xludf.DUMMYFUNCTION("GOOGLETRANSLATE(B1320,""ja"",""vi"")"),"Đối với Mazda")</f>
        <v>Đối với Mazda</v>
      </c>
      <c r="E1320" s="5" t="str">
        <f ca="1">IFERROR(__xludf.DUMMYFUNCTION("GOOGLETRANSLATE(C1320,""ja"",""vi"")"),"Đấu giá&gt; ô tô, xe máy&gt; phụ tùng&gt; cửa gương&gt; cho Mazda")</f>
        <v>Đấu giá&gt; ô tô, xe máy&gt; phụ tùng&gt; cửa gương&gt; cho Mazda</v>
      </c>
      <c r="F1320" t="str">
        <f t="shared" ca="1" si="20"/>
        <v>"2084201214" : "Đối với Mazda",</v>
      </c>
    </row>
    <row r="1321" spans="1:6" ht="15.75" customHeight="1">
      <c r="A1321" s="18">
        <v>2084201203</v>
      </c>
      <c r="B1321" s="18" t="s">
        <v>14717</v>
      </c>
      <c r="C1321" s="18" t="s">
        <v>15004</v>
      </c>
      <c r="D1321" s="5" t="str">
        <f ca="1">IFERROR(__xludf.DUMMYFUNCTION("GOOGLETRANSLATE(B1321,""ja"",""vi"")"),"Mini")</f>
        <v>Mini</v>
      </c>
      <c r="E1321" s="5" t="str">
        <f ca="1">IFERROR(__xludf.DUMMYFUNCTION("GOOGLETRANSLATE(C1321,""ja"",""vi"")"),"Đấu giá&gt; ô tô, xe máy&gt; phụ tùng&gt; cửa gương&gt; mini")</f>
        <v>Đấu giá&gt; ô tô, xe máy&gt; phụ tùng&gt; cửa gương&gt; mini</v>
      </c>
      <c r="F1321" t="str">
        <f t="shared" ca="1" si="20"/>
        <v>"2084201203" : "Mini",</v>
      </c>
    </row>
    <row r="1322" spans="1:6" ht="15.75" customHeight="1">
      <c r="A1322" s="18">
        <v>2084201205</v>
      </c>
      <c r="B1322" s="18" t="s">
        <v>14720</v>
      </c>
      <c r="C1322" s="18" t="s">
        <v>15007</v>
      </c>
      <c r="D1322" s="5" t="str">
        <f ca="1">IFERROR(__xludf.DUMMYFUNCTION("GOOGLETRANSLATE(B1322,""ja"",""vi"")"),"Đối với Mercedes-Benz")</f>
        <v>Đối với Mercedes-Benz</v>
      </c>
      <c r="E1322" s="5" t="str">
        <f ca="1">IFERROR(__xludf.DUMMYFUNCTION("GOOGLETRANSLATE(C1322,""ja"",""vi"")"),"Đấu giá&gt; ô tô, xe máy&gt; phụ tùng&gt; cửa gương&gt; cho Mercedes-Benz")</f>
        <v>Đấu giá&gt; ô tô, xe máy&gt; phụ tùng&gt; cửa gương&gt; cho Mercedes-Benz</v>
      </c>
      <c r="F1322" t="str">
        <f t="shared" ca="1" si="20"/>
        <v>"2084201205" : "Đối với Mercedes-Benz",</v>
      </c>
    </row>
    <row r="1323" spans="1:6" ht="15.75" customHeight="1">
      <c r="A1323" s="18">
        <v>2084201207</v>
      </c>
      <c r="B1323" s="18" t="s">
        <v>14724</v>
      </c>
      <c r="C1323" s="18" t="s">
        <v>15009</v>
      </c>
      <c r="D1323" s="5" t="str">
        <f ca="1">IFERROR(__xludf.DUMMYFUNCTION("GOOGLETRANSLATE(B1323,""ja"",""vi"")"),"Đối với Renault")</f>
        <v>Đối với Renault</v>
      </c>
      <c r="E1323" s="5" t="str">
        <f ca="1">IFERROR(__xludf.DUMMYFUNCTION("GOOGLETRANSLATE(C1323,""ja"",""vi"")"),"Đấu giá&gt; ô tô, xe máy&gt; phụ tùng&gt; cửa gương&gt; cho Renault")</f>
        <v>Đấu giá&gt; ô tô, xe máy&gt; phụ tùng&gt; cửa gương&gt; cho Renault</v>
      </c>
      <c r="F1323" t="str">
        <f t="shared" ca="1" si="20"/>
        <v>"2084201207" : "Đối với Renault",</v>
      </c>
    </row>
    <row r="1324" spans="1:6" ht="15.75" customHeight="1">
      <c r="A1324" s="18">
        <v>2084201215</v>
      </c>
      <c r="B1324" s="18" t="s">
        <v>14734</v>
      </c>
      <c r="C1324" s="18" t="s">
        <v>15011</v>
      </c>
      <c r="D1324" s="5" t="str">
        <f ca="1">IFERROR(__xludf.DUMMYFUNCTION("GOOGLETRANSLATE(B1324,""ja"",""vi"")"),"Đối với Mitsubishi")</f>
        <v>Đối với Mitsubishi</v>
      </c>
      <c r="E1324" s="5" t="str">
        <f ca="1">IFERROR(__xludf.DUMMYFUNCTION("GOOGLETRANSLATE(C1324,""ja"",""vi"")"),"Đấu giá&gt; ô tô, xe máy&gt; phụ tùng&gt; cửa gương&gt; cho Mitsubishi")</f>
        <v>Đấu giá&gt; ô tô, xe máy&gt; phụ tùng&gt; cửa gương&gt; cho Mitsubishi</v>
      </c>
      <c r="F1324" t="str">
        <f t="shared" ca="1" si="20"/>
        <v>"2084201215" : "Đối với Mitsubishi",</v>
      </c>
    </row>
    <row r="1325" spans="1:6" ht="15.75" customHeight="1">
      <c r="A1325" s="18">
        <v>2084201216</v>
      </c>
      <c r="B1325" s="18" t="s">
        <v>14737</v>
      </c>
      <c r="C1325" s="18" t="s">
        <v>15013</v>
      </c>
      <c r="D1325" s="5" t="str">
        <f ca="1">IFERROR(__xludf.DUMMYFUNCTION("GOOGLETRANSLATE(B1325,""ja"",""vi"")"),"Đối với Nissan")</f>
        <v>Đối với Nissan</v>
      </c>
      <c r="E1325" s="5" t="str">
        <f ca="1">IFERROR(__xludf.DUMMYFUNCTION("GOOGLETRANSLATE(C1325,""ja"",""vi"")"),"Đấu giá&gt; ô tô, xe máy&gt; phụ tùng&gt; cửa gương&gt; cho Nissan")</f>
        <v>Đấu giá&gt; ô tô, xe máy&gt; phụ tùng&gt; cửa gương&gt; cho Nissan</v>
      </c>
      <c r="F1325" t="str">
        <f t="shared" ca="1" si="20"/>
        <v>"2084201216" : "Đối với Nissan",</v>
      </c>
    </row>
    <row r="1326" spans="1:6" ht="15.75" customHeight="1">
      <c r="A1326" s="18">
        <v>2084008425</v>
      </c>
      <c r="B1326" s="18" t="s">
        <v>46</v>
      </c>
      <c r="C1326" s="18" t="s">
        <v>15016</v>
      </c>
      <c r="D1326" s="5" t="str">
        <f ca="1">IFERROR(__xludf.DUMMYFUNCTION("GOOGLETRANSLATE(B1326,""ja"",""vi"")"),"nếu không thì")</f>
        <v>nếu không thì</v>
      </c>
      <c r="E1326" s="5" t="str">
        <f ca="1">IFERROR(__xludf.DUMMYFUNCTION("GOOGLETRANSLATE(C1326,""ja"",""vi"")"),"Đấu giá&gt; ô tô, xe máy&gt; phụ tùng&gt; cửa gương&gt; Khác")</f>
        <v>Đấu giá&gt; ô tô, xe máy&gt; phụ tùng&gt; cửa gương&gt; Khác</v>
      </c>
      <c r="F1326" t="str">
        <f t="shared" ca="1" si="20"/>
        <v>"2084008425" : "nếu không thì",</v>
      </c>
    </row>
    <row r="1327" spans="1:6" ht="15.75" customHeight="1">
      <c r="A1327" s="18">
        <v>2084241182</v>
      </c>
      <c r="B1327" s="18" t="s">
        <v>14888</v>
      </c>
      <c r="C1327" s="18" t="s">
        <v>15019</v>
      </c>
      <c r="D1327" s="5" t="str">
        <f ca="1">IFERROR(__xludf.DUMMYFUNCTION("GOOGLETRANSLATE(B1327,""ja"",""vi"")"),"Xe tải, bãi chỉ")</f>
        <v>Xe tải, bãi chỉ</v>
      </c>
      <c r="E1327" s="5" t="str">
        <f ca="1">IFERROR(__xludf.DUMMYFUNCTION("GOOGLETRANSLATE(C1327,""ja"",""vi"")"),"Đấu giá&gt; ô tô, xe máy&gt; phụ tùng&gt; hàng nội thất&gt; xe tải, bãi chỉ")</f>
        <v>Đấu giá&gt; ô tô, xe máy&gt; phụ tùng&gt; hàng nội thất&gt; xe tải, bãi chỉ</v>
      </c>
      <c r="F1327" t="str">
        <f t="shared" ca="1" si="20"/>
        <v>"2084241182" : "Xe tải, bãi chỉ",</v>
      </c>
    </row>
    <row r="1328" spans="1:6" ht="15.75" customHeight="1">
      <c r="A1328" s="18">
        <v>2084200201</v>
      </c>
      <c r="B1328" s="18" t="s">
        <v>14891</v>
      </c>
      <c r="C1328" s="18" t="s">
        <v>15021</v>
      </c>
      <c r="D1328" s="5" t="str">
        <f ca="1">IFERROR(__xludf.DUMMYFUNCTION("GOOGLETRANSLATE(B1328,""ja"",""vi"")"),"ô tô Brands")</f>
        <v>ô tô Brands</v>
      </c>
      <c r="E1328" s="5" t="str">
        <f ca="1">IFERROR(__xludf.DUMMYFUNCTION("GOOGLETRANSLATE(C1328,""ja"",""vi"")"),"Đấu giá&gt; ô tô, xe máy&gt; phụ tùng&gt; hàng nội thất&gt; Auto Brands")</f>
        <v>Đấu giá&gt; ô tô, xe máy&gt; phụ tùng&gt; hàng nội thất&gt; Auto Brands</v>
      </c>
      <c r="F1328" t="str">
        <f t="shared" ca="1" si="20"/>
        <v>"2084200201" : "ô tô Brands",</v>
      </c>
    </row>
    <row r="1329" spans="1:6" ht="15.75" customHeight="1">
      <c r="A1329" s="18">
        <v>2084203777</v>
      </c>
      <c r="B1329" s="18" t="s">
        <v>15023</v>
      </c>
      <c r="C1329" s="18" t="s">
        <v>15024</v>
      </c>
      <c r="D1329" s="5" t="str">
        <f ca="1">IFERROR(__xludf.DUMMYFUNCTION("GOOGLETRANSLATE(B1329,""ja"",""vi"")"),"phim cách nhiệt, phim xe")</f>
        <v>phim cách nhiệt, phim xe</v>
      </c>
      <c r="E1329" s="5" t="str">
        <f ca="1">IFERROR(__xludf.DUMMYFUNCTION("GOOGLETRANSLATE(C1329,""ja"",""vi"")"),"Đấu giá&gt; ô tô, xe máy&gt; phụ tùng&gt; hàng nội thất&gt; phim cửa sổ, phim xe")</f>
        <v>Đấu giá&gt; ô tô, xe máy&gt; phụ tùng&gt; hàng nội thất&gt; phim cửa sổ, phim xe</v>
      </c>
      <c r="F1329" t="str">
        <f t="shared" ca="1" si="20"/>
        <v>"2084203777" : "phim cách nhiệt, phim xe",</v>
      </c>
    </row>
    <row r="1330" spans="1:6" ht="15.75" customHeight="1">
      <c r="A1330" s="18">
        <v>2084048326</v>
      </c>
      <c r="B1330" s="18" t="s">
        <v>15026</v>
      </c>
      <c r="C1330" s="18" t="s">
        <v>15027</v>
      </c>
      <c r="D1330" s="5" t="str">
        <f ca="1">IFERROR(__xludf.DUMMYFUNCTION("GOOGLETRANSLATE(B1330,""ja"",""vi"")"),"ETC")</f>
        <v>ETC</v>
      </c>
      <c r="E1330" s="5" t="str">
        <f ca="1">IFERROR(__xludf.DUMMYFUNCTION("GOOGLETRANSLATE(C1330,""ja"",""vi"")"),"Đấu giá&gt; ô tô, xe máy&gt; phụ tùng&gt; hàng nội thất&gt; ETC")</f>
        <v>Đấu giá&gt; ô tô, xe máy&gt; phụ tùng&gt; hàng nội thất&gt; ETC</v>
      </c>
      <c r="F1330" t="str">
        <f t="shared" ca="1" si="20"/>
        <v>"2084048326" : "ETC",</v>
      </c>
    </row>
    <row r="1331" spans="1:6" ht="15.75" customHeight="1">
      <c r="A1331" s="18">
        <v>23852</v>
      </c>
      <c r="B1331" s="18" t="s">
        <v>5523</v>
      </c>
      <c r="C1331" s="18" t="s">
        <v>15031</v>
      </c>
      <c r="D1331" s="5" t="str">
        <f ca="1">IFERROR(__xludf.DUMMYFUNCTION("GOOGLETRANSLATE(B1331,""ja"",""vi"")"),"Car Audio")</f>
        <v>Car Audio</v>
      </c>
      <c r="E1331" s="5" t="str">
        <f ca="1">IFERROR(__xludf.DUMMYFUNCTION("GOOGLETRANSLATE(C1331,""ja"",""vi"")"),"Đấu giá&gt; ô tô, xe máy&gt; phụ tùng&gt; hàng nội thất&gt; Car Audio")</f>
        <v>Đấu giá&gt; ô tô, xe máy&gt; phụ tùng&gt; hàng nội thất&gt; Car Audio</v>
      </c>
      <c r="F1331" t="str">
        <f t="shared" ca="1" si="20"/>
        <v>"23852" : "Car Audio",</v>
      </c>
    </row>
    <row r="1332" spans="1:6" ht="15.75" customHeight="1">
      <c r="A1332" s="18">
        <v>23879</v>
      </c>
      <c r="B1332" s="18" t="s">
        <v>15036</v>
      </c>
      <c r="C1332" s="18" t="s">
        <v>15037</v>
      </c>
      <c r="D1332" s="5" t="str">
        <f ca="1">IFERROR(__xludf.DUMMYFUNCTION("GOOGLETRANSLATE(B1332,""ja"",""vi"")"),"xe chuyển hướng")</f>
        <v>xe chuyển hướng</v>
      </c>
      <c r="E1332" s="5" t="str">
        <f ca="1">IFERROR(__xludf.DUMMYFUNCTION("GOOGLETRANSLATE(C1332,""ja"",""vi"")"),"Đấu giá&gt; ô tô, xe máy&gt; phụ tùng&gt; hàng nội thất&gt; xe chuyển hướng")</f>
        <v>Đấu giá&gt; ô tô, xe máy&gt; phụ tùng&gt; hàng nội thất&gt; xe chuyển hướng</v>
      </c>
      <c r="F1332" t="str">
        <f t="shared" ca="1" si="20"/>
        <v>"23879" : "xe chuyển hướng",</v>
      </c>
    </row>
    <row r="1333" spans="1:6" ht="15.75" customHeight="1">
      <c r="A1333" s="18">
        <v>2084005258</v>
      </c>
      <c r="B1333" s="18" t="s">
        <v>14117</v>
      </c>
      <c r="C1333" s="18" t="s">
        <v>15043</v>
      </c>
      <c r="D1333" s="5" t="str">
        <f ca="1">IFERROR(__xludf.DUMMYFUNCTION("GOOGLETRANSLATE(B1333,""ja"",""vi"")"),"ghế")</f>
        <v>ghế</v>
      </c>
      <c r="E1333" s="5" t="str">
        <f ca="1">IFERROR(__xludf.DUMMYFUNCTION("GOOGLETRANSLATE(C1333,""ja"",""vi"")"),"Đấu giá&gt; ô tô, xe máy&gt; phụ tùng&gt; hàng nội thất&gt; tấm")</f>
        <v>Đấu giá&gt; ô tô, xe máy&gt; phụ tùng&gt; hàng nội thất&gt; tấm</v>
      </c>
      <c r="F1333" t="str">
        <f t="shared" ca="1" si="20"/>
        <v>"2084005258" : "ghế",</v>
      </c>
    </row>
    <row r="1334" spans="1:6" ht="15.75" customHeight="1">
      <c r="A1334" s="18">
        <v>2084005142</v>
      </c>
      <c r="B1334" s="18" t="s">
        <v>15045</v>
      </c>
      <c r="C1334" s="18" t="s">
        <v>15048</v>
      </c>
      <c r="D1334" s="5" t="str">
        <f ca="1">IFERROR(__xludf.DUMMYFUNCTION("GOOGLETRANSLATE(B1334,""ja"",""vi"")"),"tay lái")</f>
        <v>tay lái</v>
      </c>
      <c r="E1334" s="5" t="str">
        <f ca="1">IFERROR(__xludf.DUMMYFUNCTION("GOOGLETRANSLATE(C1334,""ja"",""vi"")"),"Đấu giá&gt; ô tô, xe máy&gt; phụ tùng&gt; hàng nội thất&gt; lái")</f>
        <v>Đấu giá&gt; ô tô, xe máy&gt; phụ tùng&gt; hàng nội thất&gt; lái</v>
      </c>
      <c r="F1334" t="str">
        <f t="shared" ca="1" si="20"/>
        <v>"2084005142" : "tay lái",</v>
      </c>
    </row>
    <row r="1335" spans="1:6" ht="15.75" customHeight="1">
      <c r="A1335" s="18">
        <v>2084005799</v>
      </c>
      <c r="B1335" s="18" t="s">
        <v>15052</v>
      </c>
      <c r="C1335" s="18" t="s">
        <v>15054</v>
      </c>
      <c r="D1335" s="5" t="str">
        <f ca="1">IFERROR(__xludf.DUMMYFUNCTION("GOOGLETRANSLATE(B1335,""ja"",""vi"")"),"an ninh")</f>
        <v>an ninh</v>
      </c>
      <c r="E1335" s="5" t="str">
        <f ca="1">IFERROR(__xludf.DUMMYFUNCTION("GOOGLETRANSLATE(C1335,""ja"",""vi"")"),"Đấu giá&gt; ô tô, xe máy&gt; phụ tùng&gt; hàng nội thất&gt; Bảo mật")</f>
        <v>Đấu giá&gt; ô tô, xe máy&gt; phụ tùng&gt; hàng nội thất&gt; Bảo mật</v>
      </c>
      <c r="F1335" t="str">
        <f t="shared" ca="1" si="20"/>
        <v>"2084005799" : "an ninh",</v>
      </c>
    </row>
    <row r="1336" spans="1:6" ht="15.75" customHeight="1">
      <c r="A1336" s="18">
        <v>2084008427</v>
      </c>
      <c r="B1336" s="18" t="s">
        <v>15058</v>
      </c>
      <c r="C1336" s="18" t="s">
        <v>15060</v>
      </c>
      <c r="D1336" s="5" t="str">
        <f ca="1">IFERROR(__xludf.DUMMYFUNCTION("GOOGLETRANSLATE(B1336,""ja"",""vi"")"),"Meter")</f>
        <v>Meter</v>
      </c>
      <c r="E1336" s="5" t="str">
        <f ca="1">IFERROR(__xludf.DUMMYFUNCTION("GOOGLETRANSLATE(C1336,""ja"",""vi"")"),"Đấu giá&gt; ô tô, xe máy&gt; phụ tùng&gt; hàng nội thất&gt; công cụ")</f>
        <v>Đấu giá&gt; ô tô, xe máy&gt; phụ tùng&gt; hàng nội thất&gt; công cụ</v>
      </c>
      <c r="F1336" t="str">
        <f t="shared" ca="1" si="20"/>
        <v>"2084008427" : "Meter",</v>
      </c>
    </row>
    <row r="1337" spans="1:6" ht="15.75" customHeight="1">
      <c r="A1337" s="18">
        <v>2084200206</v>
      </c>
      <c r="B1337" s="18" t="s">
        <v>1685</v>
      </c>
      <c r="C1337" s="18" t="s">
        <v>15067</v>
      </c>
      <c r="D1337" s="5" t="str">
        <f ca="1">IFERROR(__xludf.DUMMYFUNCTION("GOOGLETRANSLATE(B1337,""ja"",""vi"")"),"phụ kiện")</f>
        <v>phụ kiện</v>
      </c>
      <c r="E1337" s="5" t="str">
        <f ca="1">IFERROR(__xludf.DUMMYFUNCTION("GOOGLETRANSLATE(C1337,""ja"",""vi"")"),"Đấu giá&gt; ô tô, xe máy&gt; phụ tùng&gt; hàng nội thất&gt; Accessories")</f>
        <v>Đấu giá&gt; ô tô, xe máy&gt; phụ tùng&gt; hàng nội thất&gt; Accessories</v>
      </c>
      <c r="F1337" t="str">
        <f t="shared" ca="1" si="20"/>
        <v>"2084200206" : "phụ kiện",</v>
      </c>
    </row>
    <row r="1338" spans="1:6" ht="15.75" customHeight="1">
      <c r="A1338" s="18">
        <v>2084064604</v>
      </c>
      <c r="B1338" s="18" t="s">
        <v>46</v>
      </c>
      <c r="C1338" s="18" t="s">
        <v>15074</v>
      </c>
      <c r="D1338" s="5" t="str">
        <f ca="1">IFERROR(__xludf.DUMMYFUNCTION("GOOGLETRANSLATE(B1338,""ja"",""vi"")"),"nếu không thì")</f>
        <v>nếu không thì</v>
      </c>
      <c r="E1338" s="5" t="str">
        <f ca="1">IFERROR(__xludf.DUMMYFUNCTION("GOOGLETRANSLATE(C1338,""ja"",""vi"")"),"Đấu giá&gt; ô tô, xe máy&gt; phụ tùng&gt; hàng nội thất&gt; Khác")</f>
        <v>Đấu giá&gt; ô tô, xe máy&gt; phụ tùng&gt; hàng nội thất&gt; Khác</v>
      </c>
      <c r="F1338" t="str">
        <f t="shared" ca="1" si="20"/>
        <v>"2084064604" : "nếu không thì",</v>
      </c>
    </row>
    <row r="1339" spans="1:6" ht="15.75" customHeight="1">
      <c r="A1339" s="18">
        <v>2084015630</v>
      </c>
      <c r="B1339" s="18" t="s">
        <v>14891</v>
      </c>
      <c r="C1339" s="18" t="s">
        <v>15081</v>
      </c>
      <c r="D1339" s="5" t="str">
        <f ca="1">IFERROR(__xludf.DUMMYFUNCTION("GOOGLETRANSLATE(B1339,""ja"",""vi"")"),"ô tô Brands")</f>
        <v>ô tô Brands</v>
      </c>
      <c r="E1339" s="5" t="str">
        <f ca="1">IFERROR(__xludf.DUMMYFUNCTION("GOOGLETRANSLATE(C1339,""ja"",""vi"")"),"Đấu giá&gt; ô tô, xe máy&gt; phụ tùng&gt; lái&gt; Auto Brands")</f>
        <v>Đấu giá&gt; ô tô, xe máy&gt; phụ tùng&gt; lái&gt; Auto Brands</v>
      </c>
      <c r="F1339" t="str">
        <f t="shared" ca="1" si="20"/>
        <v>"2084015630" : "ô tô Brands",</v>
      </c>
    </row>
    <row r="1340" spans="1:6" ht="15.75" customHeight="1">
      <c r="A1340" s="18">
        <v>2084008438</v>
      </c>
      <c r="B1340" s="18" t="s">
        <v>15083</v>
      </c>
      <c r="C1340" s="18" t="s">
        <v>15086</v>
      </c>
      <c r="D1340" s="5" t="str">
        <f ca="1">IFERROR(__xludf.DUMMYFUNCTION("GOOGLETRANSLATE(B1340,""ja"",""vi"")"),"Itaruborante")</f>
        <v>Itaruborante</v>
      </c>
      <c r="E1340" s="5" t="str">
        <f ca="1">IFERROR(__xludf.DUMMYFUNCTION("GOOGLETRANSLATE(C1340,""ja"",""vi"")"),"Đấu giá&gt; ô tô, xe máy&gt; phụ tùng&gt; lái&gt; Itaruborante")</f>
        <v>Đấu giá&gt; ô tô, xe máy&gt; phụ tùng&gt; lái&gt; Itaruborante</v>
      </c>
      <c r="F1340" t="str">
        <f t="shared" ca="1" si="20"/>
        <v>"2084008438" : "Itaruborante",</v>
      </c>
    </row>
    <row r="1341" spans="1:6" ht="15.75" customHeight="1">
      <c r="A1341" s="18">
        <v>2084008439</v>
      </c>
      <c r="B1341" s="18" t="s">
        <v>15089</v>
      </c>
      <c r="C1341" s="18" t="s">
        <v>15090</v>
      </c>
      <c r="D1341" s="5" t="str">
        <f ca="1">IFERROR(__xludf.DUMMYFUNCTION("GOOGLETRANSLATE(B1341,""ja"",""vi"")"),"Nardi")</f>
        <v>Nardi</v>
      </c>
      <c r="E1341" s="5" t="str">
        <f ca="1">IFERROR(__xludf.DUMMYFUNCTION("GOOGLETRANSLATE(C1341,""ja"",""vi"")"),"Đấu giá&gt; ô tô, xe máy&gt; phụ tùng&gt; lái&gt; Nardi")</f>
        <v>Đấu giá&gt; ô tô, xe máy&gt; phụ tùng&gt; lái&gt; Nardi</v>
      </c>
      <c r="F1341" t="str">
        <f t="shared" ca="1" si="20"/>
        <v>"2084008439" : "Nardi",</v>
      </c>
    </row>
    <row r="1342" spans="1:6" ht="15.75" customHeight="1">
      <c r="A1342" s="18">
        <v>2084008440</v>
      </c>
      <c r="B1342" s="18" t="s">
        <v>15094</v>
      </c>
      <c r="C1342" s="18" t="s">
        <v>15096</v>
      </c>
      <c r="D1342" s="5" t="str">
        <f ca="1">IFERROR(__xludf.DUMMYFUNCTION("GOOGLETRANSLATE(B1342,""ja"",""vi"")"),"đào")</f>
        <v>đào</v>
      </c>
      <c r="E1342" s="5" t="str">
        <f ca="1">IFERROR(__xludf.DUMMYFUNCTION("GOOGLETRANSLATE(C1342,""ja"",""vi"")"),"Đấu giá&gt; ô tô, xe máy&gt; phụ tùng&gt; lái&gt; đào")</f>
        <v>Đấu giá&gt; ô tô, xe máy&gt; phụ tùng&gt; lái&gt; đào</v>
      </c>
      <c r="F1342" t="str">
        <f t="shared" ca="1" si="20"/>
        <v>"2084008440" : "đào",</v>
      </c>
    </row>
    <row r="1343" spans="1:6" ht="15.75" customHeight="1">
      <c r="A1343" s="18">
        <v>2084008441</v>
      </c>
      <c r="B1343" s="18" t="s">
        <v>46</v>
      </c>
      <c r="C1343" s="18" t="s">
        <v>15098</v>
      </c>
      <c r="D1343" s="5" t="str">
        <f ca="1">IFERROR(__xludf.DUMMYFUNCTION("GOOGLETRANSLATE(B1343,""ja"",""vi"")"),"nếu không thì")</f>
        <v>nếu không thì</v>
      </c>
      <c r="E1343" s="5" t="str">
        <f ca="1">IFERROR(__xludf.DUMMYFUNCTION("GOOGLETRANSLATE(C1343,""ja"",""vi"")"),"Đấu giá&gt; ô tô, xe máy&gt; phụ tùng&gt; lái&gt; Khác")</f>
        <v>Đấu giá&gt; ô tô, xe máy&gt; phụ tùng&gt; lái&gt; Khác</v>
      </c>
      <c r="F1343" t="str">
        <f t="shared" ca="1" si="20"/>
        <v>"2084008441" : "nếu không thì",</v>
      </c>
    </row>
    <row r="1344" spans="1:6" ht="15.75" customHeight="1">
      <c r="A1344" s="18">
        <v>2084005515</v>
      </c>
      <c r="B1344" s="18" t="s">
        <v>14624</v>
      </c>
      <c r="C1344" s="18" t="s">
        <v>15101</v>
      </c>
      <c r="D1344" s="5" t="str">
        <f ca="1">IFERROR(__xludf.DUMMYFUNCTION("GOOGLETRANSLATE(B1344,""ja"",""vi"")"),"Đối với xe máy")</f>
        <v>Đối với xe máy</v>
      </c>
      <c r="E1344" s="5" t="str">
        <f ca="1">IFERROR(__xludf.DUMMYFUNCTION("GOOGLETRANSLATE(C1344,""ja"",""vi"")"),"Đấu giá&gt; ô tô, xe máy&gt; phụ tùng&gt; ghế&gt; cho xe gắn máy")</f>
        <v>Đấu giá&gt; ô tô, xe máy&gt; phụ tùng&gt; ghế&gt; cho xe gắn máy</v>
      </c>
      <c r="F1344" t="str">
        <f t="shared" ca="1" si="20"/>
        <v>"2084005515" : "Đối với xe máy",</v>
      </c>
    </row>
    <row r="1345" spans="1:6" ht="15.75" customHeight="1">
      <c r="A1345" s="18">
        <v>2084015629</v>
      </c>
      <c r="B1345" s="18" t="s">
        <v>14891</v>
      </c>
      <c r="C1345" s="18" t="s">
        <v>15103</v>
      </c>
      <c r="D1345" s="5" t="str">
        <f ca="1">IFERROR(__xludf.DUMMYFUNCTION("GOOGLETRANSLATE(B1345,""ja"",""vi"")"),"ô tô Brands")</f>
        <v>ô tô Brands</v>
      </c>
      <c r="E1345" s="5" t="str">
        <f ca="1">IFERROR(__xludf.DUMMYFUNCTION("GOOGLETRANSLATE(C1345,""ja"",""vi"")"),"Đấu giá&gt; ô tô, xe máy&gt; phụ tùng&gt; ghế&gt; Auto Brands")</f>
        <v>Đấu giá&gt; ô tô, xe máy&gt; phụ tùng&gt; ghế&gt; Auto Brands</v>
      </c>
      <c r="F1345" t="str">
        <f t="shared" ca="1" si="20"/>
        <v>"2084015629" : "ô tô Brands",</v>
      </c>
    </row>
    <row r="1346" spans="1:6" ht="15.75" customHeight="1">
      <c r="A1346" s="18">
        <v>2084208070</v>
      </c>
      <c r="B1346" s="18" t="s">
        <v>15104</v>
      </c>
      <c r="C1346" s="18" t="s">
        <v>15106</v>
      </c>
      <c r="D1346" s="5" t="str">
        <f ca="1">IFERROR(__xludf.DUMMYFUNCTION("GOOGLETRANSLATE(B1346,""ja"",""vi"")"),"Sparco")</f>
        <v>Sparco</v>
      </c>
      <c r="E1346" s="5" t="str">
        <f ca="1">IFERROR(__xludf.DUMMYFUNCTION("GOOGLETRANSLATE(C1346,""ja"",""vi"")"),"Đấu giá&gt; ô tô, xe máy&gt; phụ tùng&gt; ghế&gt; Sparco")</f>
        <v>Đấu giá&gt; ô tô, xe máy&gt; phụ tùng&gt; ghế&gt; Sparco</v>
      </c>
      <c r="F1346" t="str">
        <f t="shared" ref="F1346:F1409" ca="1" si="21">CONCATENATE(CHAR(34)&amp;"",A1346,""&amp;CHAR(34)," : ", CHAR(34)&amp;"",D1346,""&amp;CHAR(34),",")</f>
        <v>"2084208070" : "Sparco",</v>
      </c>
    </row>
    <row r="1347" spans="1:6" ht="15.75" customHeight="1">
      <c r="A1347" s="18">
        <v>2084008434</v>
      </c>
      <c r="B1347" s="18" t="s">
        <v>15108</v>
      </c>
      <c r="C1347" s="18" t="s">
        <v>15109</v>
      </c>
      <c r="D1347" s="5" t="str">
        <f ca="1">IFERROR(__xludf.DUMMYFUNCTION("GOOGLETRANSLATE(B1347,""ja"",""vi"")"),"Brides")</f>
        <v>Brides</v>
      </c>
      <c r="E1347" s="5" t="str">
        <f ca="1">IFERROR(__xludf.DUMMYFUNCTION("GOOGLETRANSLATE(C1347,""ja"",""vi"")"),"Đấu giá&gt; ô tô, xe máy&gt; phụ tùng&gt; ghế&gt; Brides")</f>
        <v>Đấu giá&gt; ô tô, xe máy&gt; phụ tùng&gt; ghế&gt; Brides</v>
      </c>
      <c r="F1347" t="str">
        <f t="shared" ca="1" si="21"/>
        <v>"2084008434" : "Brides",</v>
      </c>
    </row>
    <row r="1348" spans="1:6" ht="15.75" customHeight="1">
      <c r="A1348" s="18">
        <v>2084008433</v>
      </c>
      <c r="B1348" s="18" t="s">
        <v>13457</v>
      </c>
      <c r="C1348" s="18" t="s">
        <v>15112</v>
      </c>
      <c r="D1348" s="5" t="str">
        <f ca="1">IFERROR(__xludf.DUMMYFUNCTION("GOOGLETRANSLATE(B1348,""ja"",""vi"")"),"Recaro")</f>
        <v>Recaro</v>
      </c>
      <c r="E1348" s="5" t="str">
        <f ca="1">IFERROR(__xludf.DUMMYFUNCTION("GOOGLETRANSLATE(C1348,""ja"",""vi"")"),"Đấu giá&gt; ô tô, xe máy&gt; phụ tùng&gt; ghế&gt; Recaro")</f>
        <v>Đấu giá&gt; ô tô, xe máy&gt; phụ tùng&gt; ghế&gt; Recaro</v>
      </c>
      <c r="F1348" t="str">
        <f t="shared" ca="1" si="21"/>
        <v>"2084008433" : "Recaro",</v>
      </c>
    </row>
    <row r="1349" spans="1:6" ht="15.75" customHeight="1">
      <c r="A1349" s="18">
        <v>2084005811</v>
      </c>
      <c r="B1349" s="18" t="s">
        <v>15115</v>
      </c>
      <c r="C1349" s="18" t="s">
        <v>15116</v>
      </c>
      <c r="D1349" s="5" t="str">
        <f ca="1">IFERROR(__xludf.DUMMYFUNCTION("GOOGLETRANSLATE(B1349,""ja"",""vi"")"),"vỏ bọc ghế ngồi")</f>
        <v>vỏ bọc ghế ngồi</v>
      </c>
      <c r="E1349" s="5" t="str">
        <f ca="1">IFERROR(__xludf.DUMMYFUNCTION("GOOGLETRANSLATE(C1349,""ja"",""vi"")"),"Đấu giá&gt; ô tô, xe máy&gt; phụ tùng&gt; ghế&gt; vỏ bọc ghế ngồi")</f>
        <v>Đấu giá&gt; ô tô, xe máy&gt; phụ tùng&gt; ghế&gt; vỏ bọc ghế ngồi</v>
      </c>
      <c r="F1349" t="str">
        <f t="shared" ca="1" si="21"/>
        <v>"2084005811" : "vỏ bọc ghế ngồi",</v>
      </c>
    </row>
    <row r="1350" spans="1:6" ht="15.75" customHeight="1">
      <c r="A1350" s="18">
        <v>2084005815</v>
      </c>
      <c r="B1350" s="18" t="s">
        <v>15119</v>
      </c>
      <c r="C1350" s="18" t="s">
        <v>15120</v>
      </c>
      <c r="D1350" s="5" t="str">
        <f ca="1">IFERROR(__xludf.DUMMYFUNCTION("GOOGLETRANSLATE(B1350,""ja"",""vi"")"),"dây an toàn")</f>
        <v>dây an toàn</v>
      </c>
      <c r="E1350" s="5" t="str">
        <f ca="1">IFERROR(__xludf.DUMMYFUNCTION("GOOGLETRANSLATE(C1350,""ja"",""vi"")"),"Đấu giá&gt; ô tô, xe máy&gt; phụ tùng&gt; ghế&gt; dây an toàn")</f>
        <v>Đấu giá&gt; ô tô, xe máy&gt; phụ tùng&gt; ghế&gt; dây an toàn</v>
      </c>
      <c r="F1350" t="str">
        <f t="shared" ca="1" si="21"/>
        <v>"2084005815" : "dây an toàn",</v>
      </c>
    </row>
    <row r="1351" spans="1:6" ht="15.75" customHeight="1">
      <c r="A1351" s="18">
        <v>2084005814</v>
      </c>
      <c r="B1351" s="18" t="s">
        <v>10632</v>
      </c>
      <c r="C1351" s="18" t="s">
        <v>15123</v>
      </c>
      <c r="D1351" s="5" t="str">
        <f ca="1">IFERROR(__xludf.DUMMYFUNCTION("GOOGLETRANSLATE(B1351,""ja"",""vi"")"),"ghế trẻ em")</f>
        <v>ghế trẻ em</v>
      </c>
      <c r="E1351" s="5" t="str">
        <f ca="1">IFERROR(__xludf.DUMMYFUNCTION("GOOGLETRANSLATE(C1351,""ja"",""vi"")"),"Đấu giá&gt; ô tô, xe máy&gt; phụ tùng&gt; ghế&gt; ghế trẻ em")</f>
        <v>Đấu giá&gt; ô tô, xe máy&gt; phụ tùng&gt; ghế&gt; ghế trẻ em</v>
      </c>
      <c r="F1351" t="str">
        <f t="shared" ca="1" si="21"/>
        <v>"2084005814" : "ghế trẻ em",</v>
      </c>
    </row>
    <row r="1352" spans="1:6" ht="15.75" customHeight="1">
      <c r="A1352" s="18">
        <v>2084047108</v>
      </c>
      <c r="B1352" s="18" t="s">
        <v>15125</v>
      </c>
      <c r="C1352" s="18" t="s">
        <v>15126</v>
      </c>
      <c r="D1352" s="5" t="str">
        <f ca="1">IFERROR(__xludf.DUMMYFUNCTION("GOOGLETRANSLATE(B1352,""ja"",""vi"")"),"ghế bé")</f>
        <v>ghế bé</v>
      </c>
      <c r="E1352" s="5" t="str">
        <f ca="1">IFERROR(__xludf.DUMMYFUNCTION("GOOGLETRANSLATE(C1352,""ja"",""vi"")"),"Đấu giá&gt; ô tô, xe máy&gt; phụ tùng&gt; ghế&gt; ghế bé")</f>
        <v>Đấu giá&gt; ô tô, xe máy&gt; phụ tùng&gt; ghế&gt; ghế bé</v>
      </c>
      <c r="F1352" t="str">
        <f t="shared" ca="1" si="21"/>
        <v>"2084047108" : "ghế bé",</v>
      </c>
    </row>
    <row r="1353" spans="1:6" ht="15.75" customHeight="1">
      <c r="A1353" s="18">
        <v>2084008435</v>
      </c>
      <c r="B1353" s="18" t="s">
        <v>46</v>
      </c>
      <c r="C1353" s="18" t="s">
        <v>15130</v>
      </c>
      <c r="D1353" s="5" t="str">
        <f ca="1">IFERROR(__xludf.DUMMYFUNCTION("GOOGLETRANSLATE(B1353,""ja"",""vi"")"),"nếu không thì")</f>
        <v>nếu không thì</v>
      </c>
      <c r="E1353" s="5" t="str">
        <f ca="1">IFERROR(__xludf.DUMMYFUNCTION("GOOGLETRANSLATE(C1353,""ja"",""vi"")"),"Đấu giá&gt; ô tô, xe máy&gt; phụ tùng&gt; ghế&gt; Khác")</f>
        <v>Đấu giá&gt; ô tô, xe máy&gt; phụ tùng&gt; ghế&gt; Khác</v>
      </c>
      <c r="F1353" t="str">
        <f t="shared" ca="1" si="21"/>
        <v>"2084008435" : "nếu không thì",</v>
      </c>
    </row>
    <row r="1354" spans="1:6" ht="15.75" customHeight="1">
      <c r="A1354" s="18">
        <v>2084015627</v>
      </c>
      <c r="B1354" s="18" t="s">
        <v>14891</v>
      </c>
      <c r="C1354" s="18" t="s">
        <v>15134</v>
      </c>
      <c r="D1354" s="5" t="str">
        <f ca="1">IFERROR(__xludf.DUMMYFUNCTION("GOOGLETRANSLATE(B1354,""ja"",""vi"")"),"ô tô Brands")</f>
        <v>ô tô Brands</v>
      </c>
      <c r="E1354" s="5" t="str">
        <f ca="1">IFERROR(__xludf.DUMMYFUNCTION("GOOGLETRANSLATE(C1354,""ja"",""vi"")"),"Đấu giá&gt; ô tô, xe máy&gt; phụ tùng&gt; mét&gt; Auto Brands")</f>
        <v>Đấu giá&gt; ô tô, xe máy&gt; phụ tùng&gt; mét&gt; Auto Brands</v>
      </c>
      <c r="F1354" t="str">
        <f t="shared" ca="1" si="21"/>
        <v>"2084015627" : "ô tô Brands",</v>
      </c>
    </row>
    <row r="1355" spans="1:6" ht="15.75" customHeight="1">
      <c r="A1355" s="18">
        <v>2084048528</v>
      </c>
      <c r="B1355" s="18" t="s">
        <v>15137</v>
      </c>
      <c r="C1355" s="18" t="s">
        <v>15139</v>
      </c>
      <c r="D1355" s="5" t="str">
        <f ca="1">IFERROR(__xludf.DUMMYFUNCTION("GOOGLETRANSLATE(B1355,""ja"",""vi"")"),"Turbo hẹn giờ")</f>
        <v>Turbo hẹn giờ</v>
      </c>
      <c r="E1355" s="5" t="str">
        <f ca="1">IFERROR(__xludf.DUMMYFUNCTION("GOOGLETRANSLATE(C1355,""ja"",""vi"")"),"Đấu giá&gt; ô tô, xe máy&gt; phụ tùng&gt; mét&gt; Turbo hẹn giờ")</f>
        <v>Đấu giá&gt; ô tô, xe máy&gt; phụ tùng&gt; mét&gt; Turbo hẹn giờ</v>
      </c>
      <c r="F1355" t="str">
        <f t="shared" ca="1" si="21"/>
        <v>"2084048528" : "Turbo hẹn giờ",</v>
      </c>
    </row>
    <row r="1356" spans="1:6" ht="15.75" customHeight="1">
      <c r="A1356" s="18">
        <v>2084008429</v>
      </c>
      <c r="B1356" s="18" t="s">
        <v>15140</v>
      </c>
      <c r="C1356" s="18" t="s">
        <v>15141</v>
      </c>
      <c r="D1356" s="5" t="str">
        <f ca="1">IFERROR(__xludf.DUMMYFUNCTION("GOOGLETRANSLATE(B1356,""ja"",""vi"")"),"máy đo tốc độ")</f>
        <v>máy đo tốc độ</v>
      </c>
      <c r="E1356" s="5" t="str">
        <f ca="1">IFERROR(__xludf.DUMMYFUNCTION("GOOGLETRANSLATE(C1356,""ja"",""vi"")"),"Đấu giá&gt; ô tô, xe máy&gt; phụ tùng&gt; mét&gt; tachometer")</f>
        <v>Đấu giá&gt; ô tô, xe máy&gt; phụ tùng&gt; mét&gt; tachometer</v>
      </c>
      <c r="F1356" t="str">
        <f t="shared" ca="1" si="21"/>
        <v>"2084008429" : "máy đo tốc độ",</v>
      </c>
    </row>
    <row r="1357" spans="1:6" ht="15.75" customHeight="1">
      <c r="A1357" s="18">
        <v>2084208113</v>
      </c>
      <c r="B1357" s="18" t="s">
        <v>15145</v>
      </c>
      <c r="C1357" s="18" t="s">
        <v>15146</v>
      </c>
      <c r="D1357" s="5" t="str">
        <f ca="1">IFERROR(__xludf.DUMMYFUNCTION("GOOGLETRANSLATE(B1357,""ja"",""vi"")"),"mét bổ sung")</f>
        <v>mét bổ sung</v>
      </c>
      <c r="E1357" s="5" t="str">
        <f ca="1">IFERROR(__xludf.DUMMYFUNCTION("GOOGLETRANSLATE(C1357,""ja"",""vi"")"),"Đấu giá&gt; ô tô, xe máy&gt; phụ tùng&gt; mét&gt; Add mét")</f>
        <v>Đấu giá&gt; ô tô, xe máy&gt; phụ tùng&gt; mét&gt; Add mét</v>
      </c>
      <c r="F1357" t="str">
        <f t="shared" ca="1" si="21"/>
        <v>"2084208113" : "mét bổ sung",</v>
      </c>
    </row>
    <row r="1358" spans="1:6" ht="15.75" customHeight="1">
      <c r="A1358" s="18">
        <v>2084008430</v>
      </c>
      <c r="B1358" s="18" t="s">
        <v>46</v>
      </c>
      <c r="C1358" s="18" t="s">
        <v>15150</v>
      </c>
      <c r="D1358" s="5" t="str">
        <f ca="1">IFERROR(__xludf.DUMMYFUNCTION("GOOGLETRANSLATE(B1358,""ja"",""vi"")"),"nếu không thì")</f>
        <v>nếu không thì</v>
      </c>
      <c r="E1358" s="5" t="str">
        <f ca="1">IFERROR(__xludf.DUMMYFUNCTION("GOOGLETRANSLATE(C1358,""ja"",""vi"")"),"Đấu giá&gt; ô tô, xe máy&gt; phụ tùng&gt; mét&gt; Khác")</f>
        <v>Đấu giá&gt; ô tô, xe máy&gt; phụ tùng&gt; mét&gt; Khác</v>
      </c>
      <c r="F1358" t="str">
        <f t="shared" ca="1" si="21"/>
        <v>"2084008430" : "nếu không thì",</v>
      </c>
    </row>
    <row r="1359" spans="1:6" ht="15.75" customHeight="1">
      <c r="A1359" s="18">
        <v>2084005519</v>
      </c>
      <c r="B1359" s="18" t="s">
        <v>15154</v>
      </c>
      <c r="C1359" s="18" t="s">
        <v>15155</v>
      </c>
      <c r="D1359" s="5" t="str">
        <f ca="1">IFERROR(__xludf.DUMMYFUNCTION("GOOGLETRANSLATE(B1359,""ja"",""vi"")"),"Xe máy muffler, buồng")</f>
        <v>Xe máy muffler, buồng</v>
      </c>
      <c r="E1359" s="5" t="str">
        <f ca="1">IFERROR(__xludf.DUMMYFUNCTION("GOOGLETRANSLATE(C1359,""ja"",""vi"")"),"Đấu giá&gt; ô tô, xe máy&gt; phụ tùng&gt; muffler, các bộ phận hệ thống ống xả&gt; xe máy muffler, buồng")</f>
        <v>Đấu giá&gt; ô tô, xe máy&gt; phụ tùng&gt; muffler, các bộ phận hệ thống ống xả&gt; xe máy muffler, buồng</v>
      </c>
      <c r="F1359" t="str">
        <f t="shared" ca="1" si="21"/>
        <v>"2084005519" : "Xe máy muffler, buồng",</v>
      </c>
    </row>
    <row r="1360" spans="1:6" ht="15.75" customHeight="1">
      <c r="A1360" s="18">
        <v>2084200216</v>
      </c>
      <c r="B1360" s="18" t="s">
        <v>14891</v>
      </c>
      <c r="C1360" s="18" t="s">
        <v>15161</v>
      </c>
      <c r="D1360" s="5" t="str">
        <f ca="1">IFERROR(__xludf.DUMMYFUNCTION("GOOGLETRANSLATE(B1360,""ja"",""vi"")"),"ô tô Brands")</f>
        <v>ô tô Brands</v>
      </c>
      <c r="E1360" s="5" t="str">
        <f ca="1">IFERROR(__xludf.DUMMYFUNCTION("GOOGLETRANSLATE(C1360,""ja"",""vi"")"),"Đấu giá&gt; ô tô, xe máy&gt; phụ tùng&gt; muffler, các bộ phận hệ thống ống xả&gt; Ô tô Brands")</f>
        <v>Đấu giá&gt; ô tô, xe máy&gt; phụ tùng&gt; muffler, các bộ phận hệ thống ống xả&gt; Ô tô Brands</v>
      </c>
      <c r="F1360" t="str">
        <f t="shared" ca="1" si="21"/>
        <v>"2084200216" : "ô tô Brands",</v>
      </c>
    </row>
    <row r="1361" spans="1:6" ht="15.75" customHeight="1">
      <c r="A1361" s="18">
        <v>2084007927</v>
      </c>
      <c r="B1361" s="18" t="s">
        <v>15165</v>
      </c>
      <c r="C1361" s="18" t="s">
        <v>15167</v>
      </c>
      <c r="D1361" s="5" t="str">
        <f ca="1">IFERROR(__xludf.DUMMYFUNCTION("GOOGLETRANSLATE(B1361,""ja"",""vi"")"),"cắt muffler")</f>
        <v>cắt muffler</v>
      </c>
      <c r="E1361" s="5" t="str">
        <f ca="1">IFERROR(__xludf.DUMMYFUNCTION("GOOGLETRANSLATE(C1361,""ja"",""vi"")"),"Đấu giá&gt; ô tô, xe máy&gt; phụ tùng&gt; muffler, các bộ phận hệ thống ống xả&gt; cắt muffler")</f>
        <v>Đấu giá&gt; ô tô, xe máy&gt; phụ tùng&gt; muffler, các bộ phận hệ thống ống xả&gt; cắt muffler</v>
      </c>
      <c r="F1361" t="str">
        <f t="shared" ca="1" si="21"/>
        <v>"2084007927" : "cắt muffler",</v>
      </c>
    </row>
    <row r="1362" spans="1:6" ht="15.75" customHeight="1">
      <c r="A1362" s="18">
        <v>2084018628</v>
      </c>
      <c r="B1362" s="18" t="s">
        <v>46</v>
      </c>
      <c r="C1362" s="18" t="s">
        <v>15171</v>
      </c>
      <c r="D1362" s="5" t="str">
        <f ca="1">IFERROR(__xludf.DUMMYFUNCTION("GOOGLETRANSLATE(B1362,""ja"",""vi"")"),"nếu không thì")</f>
        <v>nếu không thì</v>
      </c>
      <c r="E1362" s="5" t="str">
        <f ca="1">IFERROR(__xludf.DUMMYFUNCTION("GOOGLETRANSLATE(C1362,""ja"",""vi"")"),"Đấu giá&gt; ô tô, xe máy&gt; phụ tùng&gt; muffler, các bộ phận hệ thống ống xả&gt; Khác")</f>
        <v>Đấu giá&gt; ô tô, xe máy&gt; phụ tùng&gt; muffler, các bộ phận hệ thống ống xả&gt; Khác</v>
      </c>
      <c r="F1362" t="str">
        <f t="shared" ca="1" si="21"/>
        <v>"2084018628" : "nếu không thì",</v>
      </c>
    </row>
    <row r="1363" spans="1:6" ht="15.75" customHeight="1">
      <c r="A1363" s="18">
        <v>2084201761</v>
      </c>
      <c r="B1363" s="18" t="s">
        <v>15175</v>
      </c>
      <c r="C1363" s="18" t="s">
        <v>15177</v>
      </c>
      <c r="D1363" s="5" t="str">
        <f ca="1">IFERROR(__xludf.DUMMYFUNCTION("GOOGLETRANSLATE(B1363,""ja"",""vi"")"),"bộ lọc không khí")</f>
        <v>bộ lọc không khí</v>
      </c>
      <c r="E1363" s="5" t="str">
        <f ca="1">IFERROR(__xludf.DUMMYFUNCTION("GOOGLETRANSLATE(C1363,""ja"",""vi"")"),"Đấu giá&gt; ô tô, xe máy&gt; phụ tùng&gt; Filters&gt; bộ lọc không khí")</f>
        <v>Đấu giá&gt; ô tô, xe máy&gt; phụ tùng&gt; Filters&gt; bộ lọc không khí</v>
      </c>
      <c r="F1363" t="str">
        <f t="shared" ca="1" si="21"/>
        <v>"2084201761" : "bộ lọc không khí",</v>
      </c>
    </row>
    <row r="1364" spans="1:6" ht="15.75" customHeight="1">
      <c r="A1364" s="18">
        <v>2084201587</v>
      </c>
      <c r="B1364" s="18" t="s">
        <v>14083</v>
      </c>
      <c r="C1364" s="18" t="s">
        <v>15181</v>
      </c>
      <c r="D1364" s="5" t="str">
        <f ca="1">IFERROR(__xludf.DUMMYFUNCTION("GOOGLETRANSLATE(B1364,""ja"",""vi"")"),"bộ lọc không khí, không khí sạch hơn")</f>
        <v>bộ lọc không khí, không khí sạch hơn</v>
      </c>
      <c r="E1364" s="5" t="str">
        <f ca="1">IFERROR(__xludf.DUMMYFUNCTION("GOOGLETRANSLATE(C1364,""ja"",""vi"")"),"Đấu giá&gt; ô tô, xe máy&gt; phụ tùng&gt; filter&gt; lọc không khí, không khí sạch hơn")</f>
        <v>Đấu giá&gt; ô tô, xe máy&gt; phụ tùng&gt; filter&gt; lọc không khí, không khí sạch hơn</v>
      </c>
      <c r="F1364" t="str">
        <f t="shared" ca="1" si="21"/>
        <v>"2084201587" : "bộ lọc không khí, không khí sạch hơn",</v>
      </c>
    </row>
    <row r="1365" spans="1:6" ht="15.75" customHeight="1">
      <c r="A1365" s="18">
        <v>2084047110</v>
      </c>
      <c r="B1365" s="18" t="s">
        <v>15186</v>
      </c>
      <c r="C1365" s="18" t="s">
        <v>15187</v>
      </c>
      <c r="D1365" s="5" t="str">
        <f ca="1">IFERROR(__xludf.DUMMYFUNCTION("GOOGLETRANSLATE(B1365,""ja"",""vi"")"),"lọc dầu")</f>
        <v>lọc dầu</v>
      </c>
      <c r="E1365" s="5" t="str">
        <f ca="1">IFERROR(__xludf.DUMMYFUNCTION("GOOGLETRANSLATE(C1365,""ja"",""vi"")"),"Đấu giá&gt; ô tô, xe máy&gt; phụ tùng&gt; filter&gt; lọc dầu")</f>
        <v>Đấu giá&gt; ô tô, xe máy&gt; phụ tùng&gt; filter&gt; lọc dầu</v>
      </c>
      <c r="F1365" t="str">
        <f t="shared" ca="1" si="21"/>
        <v>"2084047110" : "lọc dầu",</v>
      </c>
    </row>
    <row r="1366" spans="1:6" ht="15.75" customHeight="1">
      <c r="A1366" s="18">
        <v>2084047111</v>
      </c>
      <c r="B1366" s="18" t="s">
        <v>46</v>
      </c>
      <c r="C1366" s="18" t="s">
        <v>15192</v>
      </c>
      <c r="D1366" s="5" t="str">
        <f ca="1">IFERROR(__xludf.DUMMYFUNCTION("GOOGLETRANSLATE(B1366,""ja"",""vi"")"),"nếu không thì")</f>
        <v>nếu không thì</v>
      </c>
      <c r="E1366" s="5" t="str">
        <f ca="1">IFERROR(__xludf.DUMMYFUNCTION("GOOGLETRANSLATE(C1366,""ja"",""vi"")"),"Đấu giá&gt; ô tô, xe máy&gt; phụ tùng&gt; filter&gt; Khác")</f>
        <v>Đấu giá&gt; ô tô, xe máy&gt; phụ tùng&gt; filter&gt; Khác</v>
      </c>
      <c r="F1366" t="str">
        <f t="shared" ca="1" si="21"/>
        <v>"2084047111" : "nếu không thì",</v>
      </c>
    </row>
    <row r="1367" spans="1:6" ht="15.75" customHeight="1">
      <c r="A1367" s="18">
        <v>2084005513</v>
      </c>
      <c r="B1367" s="18" t="s">
        <v>15195</v>
      </c>
      <c r="C1367" s="18" t="s">
        <v>15197</v>
      </c>
      <c r="D1367" s="5" t="str">
        <f ca="1">IFERROR(__xludf.DUMMYFUNCTION("GOOGLETRANSLATE(B1367,""ja"",""vi"")"),"động cơ xe máy, hệ thống làm mát")</f>
        <v>động cơ xe máy, hệ thống làm mát</v>
      </c>
      <c r="E1367" s="5" t="str">
        <f ca="1">IFERROR(__xludf.DUMMYFUNCTION("GOOGLETRANSLATE(C1367,""ja"",""vi"")"),"Đấu giá&gt; ô tô, xe máy&gt; phụ tùng&gt; động cơ, bộ siêu tăng áp, hệ thống làm mát&gt; động cơ xe máy, hệ thống làm mát")</f>
        <v>Đấu giá&gt; ô tô, xe máy&gt; phụ tùng&gt; động cơ, bộ siêu tăng áp, hệ thống làm mát&gt; động cơ xe máy, hệ thống làm mát</v>
      </c>
      <c r="F1367" t="str">
        <f t="shared" ca="1" si="21"/>
        <v>"2084005513" : "động cơ xe máy, hệ thống làm mát",</v>
      </c>
    </row>
    <row r="1368" spans="1:6" ht="15.75" customHeight="1">
      <c r="A1368" s="18">
        <v>2084200282</v>
      </c>
      <c r="B1368" s="18" t="s">
        <v>14891</v>
      </c>
      <c r="C1368" s="18" t="s">
        <v>15201</v>
      </c>
      <c r="D1368" s="5" t="str">
        <f ca="1">IFERROR(__xludf.DUMMYFUNCTION("GOOGLETRANSLATE(B1368,""ja"",""vi"")"),"ô tô Brands")</f>
        <v>ô tô Brands</v>
      </c>
      <c r="E1368" s="5" t="str">
        <f ca="1">IFERROR(__xludf.DUMMYFUNCTION("GOOGLETRANSLATE(C1368,""ja"",""vi"")"),"Đấu giá&gt; ô tô, xe máy&gt; phụ tùng&gt; động cơ, bộ siêu tăng áp, hệ thống làm mát&gt; mark xe")</f>
        <v>Đấu giá&gt; ô tô, xe máy&gt; phụ tùng&gt; động cơ, bộ siêu tăng áp, hệ thống làm mát&gt; mark xe</v>
      </c>
      <c r="F1368" t="str">
        <f t="shared" ca="1" si="21"/>
        <v>"2084200282" : "ô tô Brands",</v>
      </c>
    </row>
    <row r="1369" spans="1:6" ht="15.75" customHeight="1">
      <c r="A1369" s="18">
        <v>2084223554</v>
      </c>
      <c r="B1369" s="18" t="s">
        <v>15205</v>
      </c>
      <c r="C1369" s="18" t="s">
        <v>15206</v>
      </c>
      <c r="D1369" s="5" t="str">
        <f ca="1">IFERROR(__xludf.DUMMYFUNCTION("GOOGLETRANSLATE(B1369,""ja"",""vi"")"),"dầu động cơ")</f>
        <v>dầu động cơ</v>
      </c>
      <c r="E1369" s="5" t="str">
        <f ca="1">IFERROR(__xludf.DUMMYFUNCTION("GOOGLETRANSLATE(C1369,""ja"",""vi"")"),"Đấu giá&gt; ô tô, xe máy&gt; phụ tùng&gt; động cơ, bộ siêu tăng áp, hệ thống làm mát&gt; dầu động cơ")</f>
        <v>Đấu giá&gt; ô tô, xe máy&gt; phụ tùng&gt; động cơ, bộ siêu tăng áp, hệ thống làm mát&gt; dầu động cơ</v>
      </c>
      <c r="F1369" t="str">
        <f t="shared" ca="1" si="21"/>
        <v>"2084223554" : "dầu động cơ",</v>
      </c>
    </row>
    <row r="1370" spans="1:6" ht="15.75" customHeight="1">
      <c r="A1370" s="18">
        <v>2084047110</v>
      </c>
      <c r="B1370" s="18" t="s">
        <v>15186</v>
      </c>
      <c r="C1370" s="18" t="s">
        <v>15212</v>
      </c>
      <c r="D1370" s="5" t="str">
        <f ca="1">IFERROR(__xludf.DUMMYFUNCTION("GOOGLETRANSLATE(B1370,""ja"",""vi"")"),"lọc dầu")</f>
        <v>lọc dầu</v>
      </c>
      <c r="E1370" s="5" t="str">
        <f ca="1">IFERROR(__xludf.DUMMYFUNCTION("GOOGLETRANSLATE(C1370,""ja"",""vi"")"),"Đấu giá&gt; ô tô, xe máy&gt; phụ tùng&gt; động cơ, bộ siêu tăng áp, hệ thống làm mát&gt; lọc dầu")</f>
        <v>Đấu giá&gt; ô tô, xe máy&gt; phụ tùng&gt; động cơ, bộ siêu tăng áp, hệ thống làm mát&gt; lọc dầu</v>
      </c>
      <c r="F1370" t="str">
        <f t="shared" ca="1" si="21"/>
        <v>"2084047110" : "lọc dầu",</v>
      </c>
    </row>
    <row r="1371" spans="1:6" ht="15.75" customHeight="1">
      <c r="A1371" s="18">
        <v>2084008463</v>
      </c>
      <c r="B1371" s="18" t="s">
        <v>14141</v>
      </c>
      <c r="C1371" s="18" t="s">
        <v>15216</v>
      </c>
      <c r="D1371" s="5" t="str">
        <f ca="1">IFERROR(__xludf.DUMMYFUNCTION("GOOGLETRANSLATE(B1371,""ja"",""vi"")"),"bugi")</f>
        <v>bugi</v>
      </c>
      <c r="E1371" s="5" t="str">
        <f ca="1">IFERROR(__xludf.DUMMYFUNCTION("GOOGLETRANSLATE(C1371,""ja"",""vi"")"),"Đấu giá&gt; ô tô, xe máy&gt; phụ tùng&gt; động cơ, bộ siêu tăng áp, hệ thống làm mát&gt; bugi")</f>
        <v>Đấu giá&gt; ô tô, xe máy&gt; phụ tùng&gt; động cơ, bộ siêu tăng áp, hệ thống làm mát&gt; bugi</v>
      </c>
      <c r="F1371" t="str">
        <f t="shared" ca="1" si="21"/>
        <v>"2084008463" : "bugi",</v>
      </c>
    </row>
    <row r="1372" spans="1:6" ht="15.75" customHeight="1">
      <c r="A1372" s="18">
        <v>2084018625</v>
      </c>
      <c r="B1372" s="18" t="s">
        <v>46</v>
      </c>
      <c r="C1372" s="18" t="s">
        <v>15220</v>
      </c>
      <c r="D1372" s="5" t="str">
        <f ca="1">IFERROR(__xludf.DUMMYFUNCTION("GOOGLETRANSLATE(B1372,""ja"",""vi"")"),"nếu không thì")</f>
        <v>nếu không thì</v>
      </c>
      <c r="E1372" s="5" t="str">
        <f ca="1">IFERROR(__xludf.DUMMYFUNCTION("GOOGLETRANSLATE(C1372,""ja"",""vi"")"),"Đấu giá&gt; ô tô, xe máy&gt; phụ tùng&gt; động cơ, bộ siêu tăng áp, hệ thống làm mát&gt; Khác")</f>
        <v>Đấu giá&gt; ô tô, xe máy&gt; phụ tùng&gt; động cơ, bộ siêu tăng áp, hệ thống làm mát&gt; Khác</v>
      </c>
      <c r="F1372" t="str">
        <f t="shared" ca="1" si="21"/>
        <v>"2084018625" : "nếu không thì",</v>
      </c>
    </row>
    <row r="1373" spans="1:6" ht="15.75" customHeight="1">
      <c r="A1373" s="18">
        <v>2084016983</v>
      </c>
      <c r="B1373" s="18" t="s">
        <v>14628</v>
      </c>
      <c r="C1373" s="18" t="s">
        <v>15224</v>
      </c>
      <c r="D1373" s="5" t="str">
        <f ca="1">IFERROR(__xludf.DUMMYFUNCTION("GOOGLETRANSLATE(B1373,""ja"",""vi"")"),"Đối với BMW")</f>
        <v>Đối với BMW</v>
      </c>
      <c r="E1373" s="5" t="str">
        <f ca="1">IFERROR(__xludf.DUMMYFUNCTION("GOOGLETRANSLATE(C1373,""ja"",""vi"")"),"Đấu giá&gt; ô tô, xe máy&gt; phụ tùng&gt; ly hợp, nhiệm vụ, diff&gt; cho BMW")</f>
        <v>Đấu giá&gt; ô tô, xe máy&gt; phụ tùng&gt; ly hợp, nhiệm vụ, diff&gt; cho BMW</v>
      </c>
      <c r="F1373" t="str">
        <f t="shared" ca="1" si="21"/>
        <v>"2084016983" : "Đối với BMW",</v>
      </c>
    </row>
    <row r="1374" spans="1:6" ht="15.75" customHeight="1">
      <c r="A1374" s="18">
        <v>2084016962</v>
      </c>
      <c r="B1374" s="18" t="s">
        <v>14633</v>
      </c>
      <c r="C1374" s="18" t="s">
        <v>15230</v>
      </c>
      <c r="D1374" s="5" t="str">
        <f ca="1">IFERROR(__xludf.DUMMYFUNCTION("GOOGLETRANSLATE(B1374,""ja"",""vi"")"),"Đối với Isuzu")</f>
        <v>Đối với Isuzu</v>
      </c>
      <c r="E1374" s="5" t="str">
        <f ca="1">IFERROR(__xludf.DUMMYFUNCTION("GOOGLETRANSLATE(C1374,""ja"",""vi"")"),"Đấu giá&gt; ô tô, xe máy&gt; phụ tùng&gt; ly hợp, nhiệm vụ, diff&gt; cho Isuzu")</f>
        <v>Đấu giá&gt; ô tô, xe máy&gt; phụ tùng&gt; ly hợp, nhiệm vụ, diff&gt; cho Isuzu</v>
      </c>
      <c r="F1374" t="str">
        <f t="shared" ca="1" si="21"/>
        <v>"2084016962" : "Đối với Isuzu",</v>
      </c>
    </row>
    <row r="1375" spans="1:6" ht="15.75" customHeight="1">
      <c r="A1375" s="18">
        <v>2084016984</v>
      </c>
      <c r="B1375" s="18" t="s">
        <v>14640</v>
      </c>
      <c r="C1375" s="18" t="s">
        <v>15236</v>
      </c>
      <c r="D1375" s="5" t="str">
        <f ca="1">IFERROR(__xludf.DUMMYFUNCTION("GOOGLETRANSLATE(B1375,""ja"",""vi"")"),"Đối với Audi")</f>
        <v>Đối với Audi</v>
      </c>
      <c r="E1375" s="5" t="str">
        <f ca="1">IFERROR(__xludf.DUMMYFUNCTION("GOOGLETRANSLATE(C1375,""ja"",""vi"")"),"Đấu giá&gt; ô tô, xe máy&gt; phụ tùng&gt; ly hợp, nhiệm vụ, diff&gt; cho Audi")</f>
        <v>Đấu giá&gt; ô tô, xe máy&gt; phụ tùng&gt; ly hợp, nhiệm vụ, diff&gt; cho Audi</v>
      </c>
      <c r="F1375" t="str">
        <f t="shared" ca="1" si="21"/>
        <v>"2084016984" : "Đối với Audi",</v>
      </c>
    </row>
    <row r="1376" spans="1:6" ht="15.75" customHeight="1">
      <c r="A1376" s="18">
        <v>2084016985</v>
      </c>
      <c r="B1376" s="18" t="s">
        <v>14644</v>
      </c>
      <c r="C1376" s="18" t="s">
        <v>15241</v>
      </c>
      <c r="D1376" s="5" t="str">
        <f ca="1">IFERROR(__xludf.DUMMYFUNCTION("GOOGLETRANSLATE(B1376,""ja"",""vi"")"),"Đối với Alfa Romeo")</f>
        <v>Đối với Alfa Romeo</v>
      </c>
      <c r="E1376" s="5" t="str">
        <f ca="1">IFERROR(__xludf.DUMMYFUNCTION("GOOGLETRANSLATE(C1376,""ja"",""vi"")"),"Đấu giá&gt; ô tô, xe máy&gt; phụ tùng&gt; ly hợp, nhiệm vụ, diff&gt; alpha cho Romeo")</f>
        <v>Đấu giá&gt; ô tô, xe máy&gt; phụ tùng&gt; ly hợp, nhiệm vụ, diff&gt; alpha cho Romeo</v>
      </c>
      <c r="F1376" t="str">
        <f t="shared" ca="1" si="21"/>
        <v>"2084016985" : "Đối với Alfa Romeo",</v>
      </c>
    </row>
    <row r="1377" spans="1:6" ht="15.75" customHeight="1">
      <c r="A1377" s="18">
        <v>2084016963</v>
      </c>
      <c r="B1377" s="18" t="s">
        <v>14649</v>
      </c>
      <c r="C1377" s="18" t="s">
        <v>15245</v>
      </c>
      <c r="D1377" s="5" t="str">
        <f ca="1">IFERROR(__xludf.DUMMYFUNCTION("GOOGLETRANSLATE(B1377,""ja"",""vi"")"),"cho Opel")</f>
        <v>cho Opel</v>
      </c>
      <c r="E1377" s="5" t="str">
        <f ca="1">IFERROR(__xludf.DUMMYFUNCTION("GOOGLETRANSLATE(C1377,""ja"",""vi"")"),"Đấu giá&gt; ô tô, xe máy&gt; phụ tùng&gt; ly hợp, nhiệm vụ, diff&gt; cho Opel")</f>
        <v>Đấu giá&gt; ô tô, xe máy&gt; phụ tùng&gt; ly hợp, nhiệm vụ, diff&gt; cho Opel</v>
      </c>
      <c r="F1377" t="str">
        <f t="shared" ca="1" si="21"/>
        <v>"2084016963" : "cho Opel",</v>
      </c>
    </row>
    <row r="1378" spans="1:6" ht="15.75" customHeight="1">
      <c r="A1378" s="18">
        <v>2084200338</v>
      </c>
      <c r="B1378" s="18" t="s">
        <v>14654</v>
      </c>
      <c r="C1378" s="18" t="s">
        <v>15251</v>
      </c>
      <c r="D1378" s="5" t="str">
        <f ca="1">IFERROR(__xludf.DUMMYFUNCTION("GOOGLETRANSLATE(B1378,""ja"",""vi"")"),"Đối với Chrysler")</f>
        <v>Đối với Chrysler</v>
      </c>
      <c r="E1378" s="5" t="str">
        <f ca="1">IFERROR(__xludf.DUMMYFUNCTION("GOOGLETRANSLATE(C1378,""ja"",""vi"")"),"Đấu giá&gt; ô tô, xe máy&gt; phụ tùng&gt; ly hợp, nhiệm vụ, diff&gt; cho Chrysler")</f>
        <v>Đấu giá&gt; ô tô, xe máy&gt; phụ tùng&gt; ly hợp, nhiệm vụ, diff&gt; cho Chrysler</v>
      </c>
      <c r="F1378" t="str">
        <f t="shared" ca="1" si="21"/>
        <v>"2084200338" : "Đối với Chrysler",</v>
      </c>
    </row>
    <row r="1379" spans="1:6" ht="15.75" customHeight="1">
      <c r="A1379" s="18">
        <v>2084016964</v>
      </c>
      <c r="B1379" s="18" t="s">
        <v>14657</v>
      </c>
      <c r="C1379" s="18" t="s">
        <v>15257</v>
      </c>
      <c r="D1379" s="5" t="str">
        <f ca="1">IFERROR(__xludf.DUMMYFUNCTION("GOOGLETRANSLATE(B1379,""ja"",""vi"")"),"Đối với Citroen")</f>
        <v>Đối với Citroen</v>
      </c>
      <c r="E1379" s="5" t="str">
        <f ca="1">IFERROR(__xludf.DUMMYFUNCTION("GOOGLETRANSLATE(C1379,""ja"",""vi"")"),"Đấu giá&gt; ô tô, xe máy&gt; phụ tùng&gt; ly hợp, nhiệm vụ, diff&gt; cho Citroen")</f>
        <v>Đấu giá&gt; ô tô, xe máy&gt; phụ tùng&gt; ly hợp, nhiệm vụ, diff&gt; cho Citroen</v>
      </c>
      <c r="F1379" t="str">
        <f t="shared" ca="1" si="21"/>
        <v>"2084016964" : "Đối với Citroen",</v>
      </c>
    </row>
    <row r="1380" spans="1:6" ht="15.75" customHeight="1">
      <c r="A1380" s="18">
        <v>2084016965</v>
      </c>
      <c r="B1380" s="18" t="s">
        <v>14663</v>
      </c>
      <c r="C1380" s="18" t="s">
        <v>15261</v>
      </c>
      <c r="D1380" s="5" t="str">
        <f ca="1">IFERROR(__xludf.DUMMYFUNCTION("GOOGLETRANSLATE(B1380,""ja"",""vi"")"),"Đối với Chevrolet")</f>
        <v>Đối với Chevrolet</v>
      </c>
      <c r="E1380" s="5" t="str">
        <f ca="1">IFERROR(__xludf.DUMMYFUNCTION("GOOGLETRANSLATE(C1380,""ja"",""vi"")"),"Đấu giá&gt; ô tô, xe máy&gt; phụ tùng&gt; ly hợp, nhiệm vụ, diff&gt; cho Chevrolet")</f>
        <v>Đấu giá&gt; ô tô, xe máy&gt; phụ tùng&gt; ly hợp, nhiệm vụ, diff&gt; cho Chevrolet</v>
      </c>
      <c r="F1380" t="str">
        <f t="shared" ca="1" si="21"/>
        <v>"2084016965" : "Đối với Chevrolet",</v>
      </c>
    </row>
    <row r="1381" spans="1:6" ht="15.75" customHeight="1">
      <c r="A1381" s="18">
        <v>2084200336</v>
      </c>
      <c r="B1381" s="18" t="s">
        <v>14667</v>
      </c>
      <c r="C1381" s="18" t="s">
        <v>15265</v>
      </c>
      <c r="D1381" s="5" t="str">
        <f ca="1">IFERROR(__xludf.DUMMYFUNCTION("GOOGLETRANSLATE(B1381,""ja"",""vi"")"),"Đối với Jaguar")</f>
        <v>Đối với Jaguar</v>
      </c>
      <c r="E1381" s="5" t="str">
        <f ca="1">IFERROR(__xludf.DUMMYFUNCTION("GOOGLETRANSLATE(C1381,""ja"",""vi"")"),"Đấu giá&gt; ô tô, xe máy&gt; phụ tùng&gt; ly hợp, nhiệm vụ, diff&gt; cho Jaguar")</f>
        <v>Đấu giá&gt; ô tô, xe máy&gt; phụ tùng&gt; ly hợp, nhiệm vụ, diff&gt; cho Jaguar</v>
      </c>
      <c r="F1381" t="str">
        <f t="shared" ca="1" si="21"/>
        <v>"2084200336" : "Đối với Jaguar",</v>
      </c>
    </row>
    <row r="1382" spans="1:6" ht="15.75" customHeight="1">
      <c r="A1382" s="18">
        <v>2084016966</v>
      </c>
      <c r="B1382" s="18" t="s">
        <v>14671</v>
      </c>
      <c r="C1382" s="18" t="s">
        <v>15269</v>
      </c>
      <c r="D1382" s="5" t="str">
        <f ca="1">IFERROR(__xludf.DUMMYFUNCTION("GOOGLETRANSLATE(B1382,""ja"",""vi"")"),"Đối với Suzuki")</f>
        <v>Đối với Suzuki</v>
      </c>
      <c r="E1382" s="5" t="str">
        <f ca="1">IFERROR(__xludf.DUMMYFUNCTION("GOOGLETRANSLATE(C1382,""ja"",""vi"")"),"Đấu giá&gt; ô tô, xe máy&gt; phụ tùng&gt; ly hợp, nhiệm vụ, diff&gt; cho Suzuki")</f>
        <v>Đấu giá&gt; ô tô, xe máy&gt; phụ tùng&gt; ly hợp, nhiệm vụ, diff&gt; cho Suzuki</v>
      </c>
      <c r="F1382" t="str">
        <f t="shared" ca="1" si="21"/>
        <v>"2084016966" : "Đối với Suzuki",</v>
      </c>
    </row>
    <row r="1383" spans="1:6" ht="15.75" customHeight="1">
      <c r="A1383" s="18">
        <v>2084016967</v>
      </c>
      <c r="B1383" s="18" t="s">
        <v>14673</v>
      </c>
      <c r="C1383" s="18" t="s">
        <v>15274</v>
      </c>
      <c r="D1383" s="5" t="str">
        <f ca="1">IFERROR(__xludf.DUMMYFUNCTION("GOOGLETRANSLATE(B1383,""ja"",""vi"")"),"Đối với Subaru")</f>
        <v>Đối với Subaru</v>
      </c>
      <c r="E1383" s="5" t="str">
        <f ca="1">IFERROR(__xludf.DUMMYFUNCTION("GOOGLETRANSLATE(C1383,""ja"",""vi"")"),"Đấu giá&gt; ô tô, xe máy&gt; phụ tùng&gt; ly hợp, nhiệm vụ, diff&gt; cho Subaru")</f>
        <v>Đấu giá&gt; ô tô, xe máy&gt; phụ tùng&gt; ly hợp, nhiệm vụ, diff&gt; cho Subaru</v>
      </c>
      <c r="F1383" t="str">
        <f t="shared" ca="1" si="21"/>
        <v>"2084016967" : "Đối với Subaru",</v>
      </c>
    </row>
    <row r="1384" spans="1:6" ht="15.75" customHeight="1">
      <c r="A1384" s="18">
        <v>2084016968</v>
      </c>
      <c r="B1384" s="18" t="s">
        <v>14677</v>
      </c>
      <c r="C1384" s="18" t="s">
        <v>15280</v>
      </c>
      <c r="D1384" s="5" t="str">
        <f ca="1">IFERROR(__xludf.DUMMYFUNCTION("GOOGLETRANSLATE(B1384,""ja"",""vi"")"),"Đối với Daihatsu")</f>
        <v>Đối với Daihatsu</v>
      </c>
      <c r="E1384" s="5" t="str">
        <f ca="1">IFERROR(__xludf.DUMMYFUNCTION("GOOGLETRANSLATE(C1384,""ja"",""vi"")"),"Đấu giá&gt; ô tô, xe máy&gt; phụ tùng&gt; ly hợp, nhiệm vụ, diff&gt; cho Daihatsu")</f>
        <v>Đấu giá&gt; ô tô, xe máy&gt; phụ tùng&gt; ly hợp, nhiệm vụ, diff&gt; cho Daihatsu</v>
      </c>
      <c r="F1384" t="str">
        <f t="shared" ca="1" si="21"/>
        <v>"2084016968" : "Đối với Daihatsu",</v>
      </c>
    </row>
    <row r="1385" spans="1:6" ht="15.75" customHeight="1">
      <c r="A1385" s="18">
        <v>2084016969</v>
      </c>
      <c r="B1385" s="18" t="s">
        <v>14682</v>
      </c>
      <c r="C1385" s="18" t="s">
        <v>15285</v>
      </c>
      <c r="D1385" s="5" t="str">
        <f ca="1">IFERROR(__xludf.DUMMYFUNCTION("GOOGLETRANSLATE(B1385,""ja"",""vi"")"),"Đối với Toyota")</f>
        <v>Đối với Toyota</v>
      </c>
      <c r="E1385" s="5" t="str">
        <f ca="1">IFERROR(__xludf.DUMMYFUNCTION("GOOGLETRANSLATE(C1385,""ja"",""vi"")"),"Đấu giá&gt; ô tô, xe máy&gt; phụ tùng&gt; ly hợp, nhiệm vụ, diff&gt; cho Toyota")</f>
        <v>Đấu giá&gt; ô tô, xe máy&gt; phụ tùng&gt; ly hợp, nhiệm vụ, diff&gt; cho Toyota</v>
      </c>
      <c r="F1385" t="str">
        <f t="shared" ca="1" si="21"/>
        <v>"2084016969" : "Đối với Toyota",</v>
      </c>
    </row>
    <row r="1386" spans="1:6" ht="15.75" customHeight="1">
      <c r="A1386" s="18">
        <v>2084016971</v>
      </c>
      <c r="B1386" s="18" t="s">
        <v>14685</v>
      </c>
      <c r="C1386" s="18" t="s">
        <v>15289</v>
      </c>
      <c r="D1386" s="5" t="str">
        <f ca="1">IFERROR(__xludf.DUMMYFUNCTION("GOOGLETRANSLATE(B1386,""ja"",""vi"")"),"Đối với Fiat")</f>
        <v>Đối với Fiat</v>
      </c>
      <c r="E1386" s="5" t="str">
        <f ca="1">IFERROR(__xludf.DUMMYFUNCTION("GOOGLETRANSLATE(C1386,""ja"",""vi"")"),"Đấu giá&gt; ô tô, xe máy&gt; phụ tùng&gt; ly hợp, nhiệm vụ, diff&gt; cho Fiat")</f>
        <v>Đấu giá&gt; ô tô, xe máy&gt; phụ tùng&gt; ly hợp, nhiệm vụ, diff&gt; cho Fiat</v>
      </c>
      <c r="F1386" t="str">
        <f t="shared" ca="1" si="21"/>
        <v>"2084016971" : "Đối với Fiat",</v>
      </c>
    </row>
    <row r="1387" spans="1:6" ht="15.75" customHeight="1">
      <c r="A1387" s="18">
        <v>2084016972</v>
      </c>
      <c r="B1387" s="18" t="s">
        <v>14690</v>
      </c>
      <c r="C1387" s="18" t="s">
        <v>15293</v>
      </c>
      <c r="D1387" s="5" t="str">
        <f ca="1">IFERROR(__xludf.DUMMYFUNCTION("GOOGLETRANSLATE(B1387,""ja"",""vi"")"),"Đối với Ford")</f>
        <v>Đối với Ford</v>
      </c>
      <c r="E1387" s="5" t="str">
        <f ca="1">IFERROR(__xludf.DUMMYFUNCTION("GOOGLETRANSLATE(C1387,""ja"",""vi"")"),"Đấu giá&gt; ô tô, xe máy&gt; phụ tùng&gt; ly hợp, nhiệm vụ, diff&gt; cho Ford")</f>
        <v>Đấu giá&gt; ô tô, xe máy&gt; phụ tùng&gt; ly hợp, nhiệm vụ, diff&gt; cho Ford</v>
      </c>
      <c r="F1387" t="str">
        <f t="shared" ca="1" si="21"/>
        <v>"2084016972" : "Đối với Ford",</v>
      </c>
    </row>
    <row r="1388" spans="1:6" ht="15.75" customHeight="1">
      <c r="A1388" s="18">
        <v>2084016973</v>
      </c>
      <c r="B1388" s="18" t="s">
        <v>14694</v>
      </c>
      <c r="C1388" s="18" t="s">
        <v>15299</v>
      </c>
      <c r="D1388" s="5" t="str">
        <f ca="1">IFERROR(__xludf.DUMMYFUNCTION("GOOGLETRANSLATE(B1388,""ja"",""vi"")"),"Đối với Volkswagen")</f>
        <v>Đối với Volkswagen</v>
      </c>
      <c r="E1388" s="5" t="str">
        <f ca="1">IFERROR(__xludf.DUMMYFUNCTION("GOOGLETRANSLATE(C1388,""ja"",""vi"")"),"Đấu giá&gt; ô tô, xe máy&gt; phụ tùng&gt; ly hợp, nhiệm vụ, diff&gt; cho Volkswagen")</f>
        <v>Đấu giá&gt; ô tô, xe máy&gt; phụ tùng&gt; ly hợp, nhiệm vụ, diff&gt; cho Volkswagen</v>
      </c>
      <c r="F1388" t="str">
        <f t="shared" ca="1" si="21"/>
        <v>"2084016973" : "Đối với Volkswagen",</v>
      </c>
    </row>
    <row r="1389" spans="1:6" ht="15.75" customHeight="1">
      <c r="A1389" s="18">
        <v>2084016974</v>
      </c>
      <c r="B1389" s="18" t="s">
        <v>14698</v>
      </c>
      <c r="C1389" s="18" t="s">
        <v>15304</v>
      </c>
      <c r="D1389" s="5" t="str">
        <f ca="1">IFERROR(__xludf.DUMMYFUNCTION("GOOGLETRANSLATE(B1389,""ja"",""vi"")"),"Đối với Peugeot")</f>
        <v>Đối với Peugeot</v>
      </c>
      <c r="E1389" s="5" t="str">
        <f ca="1">IFERROR(__xludf.DUMMYFUNCTION("GOOGLETRANSLATE(C1389,""ja"",""vi"")"),"Đấu giá&gt; ô tô, xe máy&gt; phụ tùng&gt; ly hợp, nhiệm vụ, diff&gt; cho Peugeot")</f>
        <v>Đấu giá&gt; ô tô, xe máy&gt; phụ tùng&gt; ly hợp, nhiệm vụ, diff&gt; cho Peugeot</v>
      </c>
      <c r="F1389" t="str">
        <f t="shared" ca="1" si="21"/>
        <v>"2084016974" : "Đối với Peugeot",</v>
      </c>
    </row>
    <row r="1390" spans="1:6" ht="15.75" customHeight="1">
      <c r="A1390" s="18">
        <v>2084016977</v>
      </c>
      <c r="B1390" s="18" t="s">
        <v>14701</v>
      </c>
      <c r="C1390" s="18" t="s">
        <v>15307</v>
      </c>
      <c r="D1390" s="5" t="str">
        <f ca="1">IFERROR(__xludf.DUMMYFUNCTION("GOOGLETRANSLATE(B1390,""ja"",""vi"")"),"Đối với Honda")</f>
        <v>Đối với Honda</v>
      </c>
      <c r="E1390" s="5" t="str">
        <f ca="1">IFERROR(__xludf.DUMMYFUNCTION("GOOGLETRANSLATE(C1390,""ja"",""vi"")"),"Đấu giá&gt; ô tô, xe máy&gt; phụ tùng&gt; ly hợp, nhiệm vụ, diff&gt; cho Honda")</f>
        <v>Đấu giá&gt; ô tô, xe máy&gt; phụ tùng&gt; ly hợp, nhiệm vụ, diff&gt; cho Honda</v>
      </c>
      <c r="F1390" t="str">
        <f t="shared" ca="1" si="21"/>
        <v>"2084016977" : "Đối với Honda",</v>
      </c>
    </row>
    <row r="1391" spans="1:6" ht="15.75" customHeight="1">
      <c r="A1391" s="18">
        <v>2084016976</v>
      </c>
      <c r="B1391" s="18" t="s">
        <v>14705</v>
      </c>
      <c r="C1391" s="18" t="s">
        <v>15312</v>
      </c>
      <c r="D1391" s="5" t="str">
        <f ca="1">IFERROR(__xludf.DUMMYFUNCTION("GOOGLETRANSLATE(B1391,""ja"",""vi"")"),"Đối với Volvo")</f>
        <v>Đối với Volvo</v>
      </c>
      <c r="E1391" s="5" t="str">
        <f ca="1">IFERROR(__xludf.DUMMYFUNCTION("GOOGLETRANSLATE(C1391,""ja"",""vi"")"),"Đấu giá&gt; ô tô, xe máy&gt; phụ tùng&gt; ly hợp, nhiệm vụ, diff&gt; cho Volvo")</f>
        <v>Đấu giá&gt; ô tô, xe máy&gt; phụ tùng&gt; ly hợp, nhiệm vụ, diff&gt; cho Volvo</v>
      </c>
      <c r="F1391" t="str">
        <f t="shared" ca="1" si="21"/>
        <v>"2084016976" : "Đối với Volvo",</v>
      </c>
    </row>
    <row r="1392" spans="1:6" ht="15.75" customHeight="1">
      <c r="A1392" s="18">
        <v>2084016975</v>
      </c>
      <c r="B1392" s="18" t="s">
        <v>14709</v>
      </c>
      <c r="C1392" s="18" t="s">
        <v>15317</v>
      </c>
      <c r="D1392" s="5" t="str">
        <f ca="1">IFERROR(__xludf.DUMMYFUNCTION("GOOGLETRANSLATE(B1392,""ja"",""vi"")"),"Đối với Porsche")</f>
        <v>Đối với Porsche</v>
      </c>
      <c r="E1392" s="5" t="str">
        <f ca="1">IFERROR(__xludf.DUMMYFUNCTION("GOOGLETRANSLATE(C1392,""ja"",""vi"")"),"Đấu giá&gt; ô tô, xe máy&gt; phụ tùng&gt; ly hợp, nhiệm vụ, diff&gt; cho Porsche")</f>
        <v>Đấu giá&gt; ô tô, xe máy&gt; phụ tùng&gt; ly hợp, nhiệm vụ, diff&gt; cho Porsche</v>
      </c>
      <c r="F1392" t="str">
        <f t="shared" ca="1" si="21"/>
        <v>"2084016975" : "Đối với Porsche",</v>
      </c>
    </row>
    <row r="1393" spans="1:6" ht="15.75" customHeight="1">
      <c r="A1393" s="18">
        <v>2084016978</v>
      </c>
      <c r="B1393" s="18" t="s">
        <v>14713</v>
      </c>
      <c r="C1393" s="18" t="s">
        <v>15321</v>
      </c>
      <c r="D1393" s="5" t="str">
        <f ca="1">IFERROR(__xludf.DUMMYFUNCTION("GOOGLETRANSLATE(B1393,""ja"",""vi"")"),"Đối với Mazda")</f>
        <v>Đối với Mazda</v>
      </c>
      <c r="E1393" s="5" t="str">
        <f ca="1">IFERROR(__xludf.DUMMYFUNCTION("GOOGLETRANSLATE(C1393,""ja"",""vi"")"),"Đấu giá&gt; ô tô, xe máy&gt; phụ tùng&gt; ly hợp, nhiệm vụ, diff&gt; cho Mazda")</f>
        <v>Đấu giá&gt; ô tô, xe máy&gt; phụ tùng&gt; ly hợp, nhiệm vụ, diff&gt; cho Mazda</v>
      </c>
      <c r="F1393" t="str">
        <f t="shared" ca="1" si="21"/>
        <v>"2084016978" : "Đối với Mazda",</v>
      </c>
    </row>
    <row r="1394" spans="1:6" ht="15.75" customHeight="1">
      <c r="A1394" s="18">
        <v>2084016980</v>
      </c>
      <c r="B1394" s="18" t="s">
        <v>14717</v>
      </c>
      <c r="C1394" s="18" t="s">
        <v>15323</v>
      </c>
      <c r="D1394" s="5" t="str">
        <f ca="1">IFERROR(__xludf.DUMMYFUNCTION("GOOGLETRANSLATE(B1394,""ja"",""vi"")"),"Mini")</f>
        <v>Mini</v>
      </c>
      <c r="E1394" s="5" t="str">
        <f ca="1">IFERROR(__xludf.DUMMYFUNCTION("GOOGLETRANSLATE(C1394,""ja"",""vi"")"),"Đấu giá&gt; ô tô, xe máy&gt; phụ tùng&gt; ly hợp, nhiệm vụ, diff&gt; mini")</f>
        <v>Đấu giá&gt; ô tô, xe máy&gt; phụ tùng&gt; ly hợp, nhiệm vụ, diff&gt; mini</v>
      </c>
      <c r="F1394" t="str">
        <f t="shared" ca="1" si="21"/>
        <v>"2084016980" : "Mini",</v>
      </c>
    </row>
    <row r="1395" spans="1:6" ht="15.75" customHeight="1">
      <c r="A1395" s="18">
        <v>2084016981</v>
      </c>
      <c r="B1395" s="18" t="s">
        <v>14720</v>
      </c>
      <c r="C1395" s="18" t="s">
        <v>15327</v>
      </c>
      <c r="D1395" s="5" t="str">
        <f ca="1">IFERROR(__xludf.DUMMYFUNCTION("GOOGLETRANSLATE(B1395,""ja"",""vi"")"),"Đối với Mercedes-Benz")</f>
        <v>Đối với Mercedes-Benz</v>
      </c>
      <c r="E1395" s="5" t="str">
        <f ca="1">IFERROR(__xludf.DUMMYFUNCTION("GOOGLETRANSLATE(C1395,""ja"",""vi"")"),"Đấu giá&gt; ô tô, xe máy&gt; phụ tùng&gt; ly hợp, nhiệm vụ, diff&gt; cho Mercedes-Benz")</f>
        <v>Đấu giá&gt; ô tô, xe máy&gt; phụ tùng&gt; ly hợp, nhiệm vụ, diff&gt; cho Mercedes-Benz</v>
      </c>
      <c r="F1395" t="str">
        <f t="shared" ca="1" si="21"/>
        <v>"2084016981" : "Đối với Mercedes-Benz",</v>
      </c>
    </row>
    <row r="1396" spans="1:6" ht="15.75" customHeight="1">
      <c r="A1396" s="18">
        <v>2084200337</v>
      </c>
      <c r="B1396" s="18" t="s">
        <v>14870</v>
      </c>
      <c r="C1396" s="18" t="s">
        <v>15333</v>
      </c>
      <c r="D1396" s="5" t="str">
        <f ca="1">IFERROR(__xludf.DUMMYFUNCTION("GOOGLETRANSLATE(B1396,""ja"",""vi"")"),"Đối với Lancia")</f>
        <v>Đối với Lancia</v>
      </c>
      <c r="E1396" s="5" t="str">
        <f ca="1">IFERROR(__xludf.DUMMYFUNCTION("GOOGLETRANSLATE(C1396,""ja"",""vi"")"),"Đấu giá&gt; ô tô, xe máy&gt; phụ tùng&gt; ly hợp, nhiệm vụ, diff&gt; cho Lancia")</f>
        <v>Đấu giá&gt; ô tô, xe máy&gt; phụ tùng&gt; ly hợp, nhiệm vụ, diff&gt; cho Lancia</v>
      </c>
      <c r="F1396" t="str">
        <f t="shared" ca="1" si="21"/>
        <v>"2084200337" : "Đối với Lancia",</v>
      </c>
    </row>
    <row r="1397" spans="1:6" ht="15.75" customHeight="1">
      <c r="A1397" s="18">
        <v>2084016982</v>
      </c>
      <c r="B1397" s="18" t="s">
        <v>14724</v>
      </c>
      <c r="C1397" s="18" t="s">
        <v>15338</v>
      </c>
      <c r="D1397" s="5" t="str">
        <f ca="1">IFERROR(__xludf.DUMMYFUNCTION("GOOGLETRANSLATE(B1397,""ja"",""vi"")"),"Đối với Renault")</f>
        <v>Đối với Renault</v>
      </c>
      <c r="E1397" s="5" t="str">
        <f ca="1">IFERROR(__xludf.DUMMYFUNCTION("GOOGLETRANSLATE(C1397,""ja"",""vi"")"),"Đấu giá&gt; ô tô, xe máy&gt; phụ tùng&gt; ly hợp, nhiệm vụ, diff&gt; cho Renault")</f>
        <v>Đấu giá&gt; ô tô, xe máy&gt; phụ tùng&gt; ly hợp, nhiệm vụ, diff&gt; cho Renault</v>
      </c>
      <c r="F1397" t="str">
        <f t="shared" ca="1" si="21"/>
        <v>"2084016982" : "Đối với Renault",</v>
      </c>
    </row>
    <row r="1398" spans="1:6" ht="15.75" customHeight="1">
      <c r="A1398" s="18">
        <v>2084230488</v>
      </c>
      <c r="B1398" s="18" t="s">
        <v>14729</v>
      </c>
      <c r="C1398" s="18" t="s">
        <v>15343</v>
      </c>
      <c r="D1398" s="5" t="str">
        <f ca="1">IFERROR(__xludf.DUMMYFUNCTION("GOOGLETRANSLATE(B1398,""ja"",""vi"")"),"Đối với Lexus")</f>
        <v>Đối với Lexus</v>
      </c>
      <c r="E1398" s="5" t="str">
        <f ca="1">IFERROR(__xludf.DUMMYFUNCTION("GOOGLETRANSLATE(C1398,""ja"",""vi"")"),"Đấu giá&gt; ô tô, xe máy&gt; phụ tùng&gt; ly hợp, nhiệm vụ, diff&gt; cho Lexus")</f>
        <v>Đấu giá&gt; ô tô, xe máy&gt; phụ tùng&gt; ly hợp, nhiệm vụ, diff&gt; cho Lexus</v>
      </c>
      <c r="F1398" t="str">
        <f t="shared" ca="1" si="21"/>
        <v>"2084230488" : "Đối với Lexus",</v>
      </c>
    </row>
    <row r="1399" spans="1:6" ht="15.75" customHeight="1">
      <c r="A1399" s="18">
        <v>2084016979</v>
      </c>
      <c r="B1399" s="18" t="s">
        <v>14734</v>
      </c>
      <c r="C1399" s="18" t="s">
        <v>15346</v>
      </c>
      <c r="D1399" s="5" t="str">
        <f ca="1">IFERROR(__xludf.DUMMYFUNCTION("GOOGLETRANSLATE(B1399,""ja"",""vi"")"),"Đối với Mitsubishi")</f>
        <v>Đối với Mitsubishi</v>
      </c>
      <c r="E1399" s="5" t="str">
        <f ca="1">IFERROR(__xludf.DUMMYFUNCTION("GOOGLETRANSLATE(C1399,""ja"",""vi"")"),"Đấu giá&gt; ô tô, xe máy&gt; phụ tùng&gt; ly hợp, nhiệm vụ, diff&gt; cho Mitsubishi")</f>
        <v>Đấu giá&gt; ô tô, xe máy&gt; phụ tùng&gt; ly hợp, nhiệm vụ, diff&gt; cho Mitsubishi</v>
      </c>
      <c r="F1399" t="str">
        <f t="shared" ca="1" si="21"/>
        <v>"2084016979" : "Đối với Mitsubishi",</v>
      </c>
    </row>
    <row r="1400" spans="1:6" ht="15.75" customHeight="1">
      <c r="A1400" s="18">
        <v>2084016970</v>
      </c>
      <c r="B1400" s="18" t="s">
        <v>14737</v>
      </c>
      <c r="C1400" s="18" t="s">
        <v>15353</v>
      </c>
      <c r="D1400" s="5" t="str">
        <f ca="1">IFERROR(__xludf.DUMMYFUNCTION("GOOGLETRANSLATE(B1400,""ja"",""vi"")"),"Đối với Nissan")</f>
        <v>Đối với Nissan</v>
      </c>
      <c r="E1400" s="5" t="str">
        <f ca="1">IFERROR(__xludf.DUMMYFUNCTION("GOOGLETRANSLATE(C1400,""ja"",""vi"")"),"Đấu giá&gt; ô tô, xe máy&gt; phụ tùng&gt; ly hợp, nhiệm vụ, diff&gt; cho Nissan")</f>
        <v>Đấu giá&gt; ô tô, xe máy&gt; phụ tùng&gt; ly hợp, nhiệm vụ, diff&gt; cho Nissan</v>
      </c>
      <c r="F1400" t="str">
        <f t="shared" ca="1" si="21"/>
        <v>"2084016970" : "Đối với Nissan",</v>
      </c>
    </row>
    <row r="1401" spans="1:6" ht="15.75" customHeight="1">
      <c r="A1401" s="18">
        <v>2084018622</v>
      </c>
      <c r="B1401" s="18" t="s">
        <v>46</v>
      </c>
      <c r="C1401" s="18" t="s">
        <v>15359</v>
      </c>
      <c r="D1401" s="5" t="str">
        <f ca="1">IFERROR(__xludf.DUMMYFUNCTION("GOOGLETRANSLATE(B1401,""ja"",""vi"")"),"nếu không thì")</f>
        <v>nếu không thì</v>
      </c>
      <c r="E1401" s="5" t="str">
        <f ca="1">IFERROR(__xludf.DUMMYFUNCTION("GOOGLETRANSLATE(C1401,""ja"",""vi"")"),"Đấu giá&gt; ô tô, xe máy&gt; phụ tùng&gt; ly hợp, nhiệm vụ, diff&gt; Khác")</f>
        <v>Đấu giá&gt; ô tô, xe máy&gt; phụ tùng&gt; ly hợp, nhiệm vụ, diff&gt; Khác</v>
      </c>
      <c r="F1401" t="str">
        <f t="shared" ca="1" si="21"/>
        <v>"2084018622" : "nếu không thì",</v>
      </c>
    </row>
    <row r="1402" spans="1:6" ht="15.75" customHeight="1">
      <c r="A1402" s="18">
        <v>2084017017</v>
      </c>
      <c r="B1402" s="18" t="s">
        <v>14628</v>
      </c>
      <c r="C1402" s="18" t="s">
        <v>15365</v>
      </c>
      <c r="D1402" s="5" t="str">
        <f ca="1">IFERROR(__xludf.DUMMYFUNCTION("GOOGLETRANSLATE(B1402,""ja"",""vi"")"),"Đối với BMW")</f>
        <v>Đối với BMW</v>
      </c>
      <c r="E1402" s="5" t="str">
        <f ca="1">IFERROR(__xludf.DUMMYFUNCTION("GOOGLETRANSLATE(C1402,""ja"",""vi"")"),"Đấu giá&gt; ô tô, xe máy&gt; phụ tùng&gt; máy tính&gt; cho BMW")</f>
        <v>Đấu giá&gt; ô tô, xe máy&gt; phụ tùng&gt; máy tính&gt; cho BMW</v>
      </c>
      <c r="F1402" t="str">
        <f t="shared" ca="1" si="21"/>
        <v>"2084017017" : "Đối với BMW",</v>
      </c>
    </row>
    <row r="1403" spans="1:6" ht="15.75" customHeight="1">
      <c r="A1403" s="18">
        <v>2084017020</v>
      </c>
      <c r="B1403" s="18" t="s">
        <v>14633</v>
      </c>
      <c r="C1403" s="18" t="s">
        <v>15370</v>
      </c>
      <c r="D1403" s="5" t="str">
        <f ca="1">IFERROR(__xludf.DUMMYFUNCTION("GOOGLETRANSLATE(B1403,""ja"",""vi"")"),"Đối với Isuzu")</f>
        <v>Đối với Isuzu</v>
      </c>
      <c r="E1403" s="5" t="str">
        <f ca="1">IFERROR(__xludf.DUMMYFUNCTION("GOOGLETRANSLATE(C1403,""ja"",""vi"")"),"Đấu giá&gt; ô tô, xe máy&gt; phụ tùng&gt; máy tính&gt; cho Isuzu")</f>
        <v>Đấu giá&gt; ô tô, xe máy&gt; phụ tùng&gt; máy tính&gt; cho Isuzu</v>
      </c>
      <c r="F1403" t="str">
        <f t="shared" ca="1" si="21"/>
        <v>"2084017020" : "Đối với Isuzu",</v>
      </c>
    </row>
    <row r="1404" spans="1:6" ht="15.75" customHeight="1">
      <c r="A1404" s="18">
        <v>2084017018</v>
      </c>
      <c r="B1404" s="18" t="s">
        <v>14640</v>
      </c>
      <c r="C1404" s="18" t="s">
        <v>15373</v>
      </c>
      <c r="D1404" s="5" t="str">
        <f ca="1">IFERROR(__xludf.DUMMYFUNCTION("GOOGLETRANSLATE(B1404,""ja"",""vi"")"),"Đối với Audi")</f>
        <v>Đối với Audi</v>
      </c>
      <c r="E1404" s="5" t="str">
        <f ca="1">IFERROR(__xludf.DUMMYFUNCTION("GOOGLETRANSLATE(C1404,""ja"",""vi"")"),"Đấu giá&gt; ô tô, xe máy&gt; phụ tùng&gt; máy tính&gt; cho Audi")</f>
        <v>Đấu giá&gt; ô tô, xe máy&gt; phụ tùng&gt; máy tính&gt; cho Audi</v>
      </c>
      <c r="F1404" t="str">
        <f t="shared" ca="1" si="21"/>
        <v>"2084017018" : "Đối với Audi",</v>
      </c>
    </row>
    <row r="1405" spans="1:6" ht="15.75" customHeight="1">
      <c r="A1405" s="18">
        <v>2084017019</v>
      </c>
      <c r="B1405" s="18" t="s">
        <v>14644</v>
      </c>
      <c r="C1405" s="18" t="s">
        <v>15377</v>
      </c>
      <c r="D1405" s="5" t="str">
        <f ca="1">IFERROR(__xludf.DUMMYFUNCTION("GOOGLETRANSLATE(B1405,""ja"",""vi"")"),"Đối với Alfa Romeo")</f>
        <v>Đối với Alfa Romeo</v>
      </c>
      <c r="E1405" s="5" t="str">
        <f ca="1">IFERROR(__xludf.DUMMYFUNCTION("GOOGLETRANSLATE(C1405,""ja"",""vi"")"),"Đấu giá&gt; ô tô, xe máy&gt; phụ tùng&gt; máy tính&gt; alpha cho Romeo")</f>
        <v>Đấu giá&gt; ô tô, xe máy&gt; phụ tùng&gt; máy tính&gt; alpha cho Romeo</v>
      </c>
      <c r="F1405" t="str">
        <f t="shared" ca="1" si="21"/>
        <v>"2084017019" : "Đối với Alfa Romeo",</v>
      </c>
    </row>
    <row r="1406" spans="1:6" ht="15.75" customHeight="1">
      <c r="A1406" s="18">
        <v>2084017021</v>
      </c>
      <c r="B1406" s="18" t="s">
        <v>14649</v>
      </c>
      <c r="C1406" s="18" t="s">
        <v>15381</v>
      </c>
      <c r="D1406" s="5" t="str">
        <f ca="1">IFERROR(__xludf.DUMMYFUNCTION("GOOGLETRANSLATE(B1406,""ja"",""vi"")"),"cho Opel")</f>
        <v>cho Opel</v>
      </c>
      <c r="E1406" s="5" t="str">
        <f ca="1">IFERROR(__xludf.DUMMYFUNCTION("GOOGLETRANSLATE(C1406,""ja"",""vi"")"),"Đấu giá&gt; ô tô, xe máy&gt; phụ tùng&gt; máy tính&gt; cho Opel")</f>
        <v>Đấu giá&gt; ô tô, xe máy&gt; phụ tùng&gt; máy tính&gt; cho Opel</v>
      </c>
      <c r="F1406" t="str">
        <f t="shared" ca="1" si="21"/>
        <v>"2084017021" : "cho Opel",</v>
      </c>
    </row>
    <row r="1407" spans="1:6" ht="15.75" customHeight="1">
      <c r="A1407" s="18">
        <v>2084017022</v>
      </c>
      <c r="B1407" s="18" t="s">
        <v>14657</v>
      </c>
      <c r="C1407" s="18" t="s">
        <v>15385</v>
      </c>
      <c r="D1407" s="5" t="str">
        <f ca="1">IFERROR(__xludf.DUMMYFUNCTION("GOOGLETRANSLATE(B1407,""ja"",""vi"")"),"Đối với Citroen")</f>
        <v>Đối với Citroen</v>
      </c>
      <c r="E1407" s="5" t="str">
        <f ca="1">IFERROR(__xludf.DUMMYFUNCTION("GOOGLETRANSLATE(C1407,""ja"",""vi"")"),"Đấu giá&gt; ô tô, xe máy&gt; phụ tùng&gt; máy tính&gt; cho Citroen")</f>
        <v>Đấu giá&gt; ô tô, xe máy&gt; phụ tùng&gt; máy tính&gt; cho Citroen</v>
      </c>
      <c r="F1407" t="str">
        <f t="shared" ca="1" si="21"/>
        <v>"2084017022" : "Đối với Citroen",</v>
      </c>
    </row>
    <row r="1408" spans="1:6" ht="15.75" customHeight="1">
      <c r="A1408" s="18">
        <v>2084017023</v>
      </c>
      <c r="B1408" s="18" t="s">
        <v>14663</v>
      </c>
      <c r="C1408" s="18" t="s">
        <v>15389</v>
      </c>
      <c r="D1408" s="5" t="str">
        <f ca="1">IFERROR(__xludf.DUMMYFUNCTION("GOOGLETRANSLATE(B1408,""ja"",""vi"")"),"Đối với Chevrolet")</f>
        <v>Đối với Chevrolet</v>
      </c>
      <c r="E1408" s="5" t="str">
        <f ca="1">IFERROR(__xludf.DUMMYFUNCTION("GOOGLETRANSLATE(C1408,""ja"",""vi"")"),"Đấu giá&gt; ô tô, xe máy&gt; phụ tùng&gt; máy tính&gt; cho Chevrolet")</f>
        <v>Đấu giá&gt; ô tô, xe máy&gt; phụ tùng&gt; máy tính&gt; cho Chevrolet</v>
      </c>
      <c r="F1408" t="str">
        <f t="shared" ca="1" si="21"/>
        <v>"2084017023" : "Đối với Chevrolet",</v>
      </c>
    </row>
    <row r="1409" spans="1:6" ht="15.75" customHeight="1">
      <c r="A1409" s="18">
        <v>2084200339</v>
      </c>
      <c r="B1409" s="18" t="s">
        <v>14667</v>
      </c>
      <c r="C1409" s="18" t="s">
        <v>15392</v>
      </c>
      <c r="D1409" s="5" t="str">
        <f ca="1">IFERROR(__xludf.DUMMYFUNCTION("GOOGLETRANSLATE(B1409,""ja"",""vi"")"),"Đối với Jaguar")</f>
        <v>Đối với Jaguar</v>
      </c>
      <c r="E1409" s="5" t="str">
        <f ca="1">IFERROR(__xludf.DUMMYFUNCTION("GOOGLETRANSLATE(C1409,""ja"",""vi"")"),"Đấu giá&gt; ô tô, xe máy&gt; phụ tùng&gt; máy tính&gt; cho Jaguar")</f>
        <v>Đấu giá&gt; ô tô, xe máy&gt; phụ tùng&gt; máy tính&gt; cho Jaguar</v>
      </c>
      <c r="F1409" t="str">
        <f t="shared" ca="1" si="21"/>
        <v>"2084200339" : "Đối với Jaguar",</v>
      </c>
    </row>
    <row r="1410" spans="1:6" ht="15.75" customHeight="1">
      <c r="A1410" s="18">
        <v>2084017024</v>
      </c>
      <c r="B1410" s="18" t="s">
        <v>14671</v>
      </c>
      <c r="C1410" s="18" t="s">
        <v>15395</v>
      </c>
      <c r="D1410" s="5" t="str">
        <f ca="1">IFERROR(__xludf.DUMMYFUNCTION("GOOGLETRANSLATE(B1410,""ja"",""vi"")"),"Đối với Suzuki")</f>
        <v>Đối với Suzuki</v>
      </c>
      <c r="E1410" s="5" t="str">
        <f ca="1">IFERROR(__xludf.DUMMYFUNCTION("GOOGLETRANSLATE(C1410,""ja"",""vi"")"),"Đấu giá&gt; ô tô, xe máy&gt; phụ tùng&gt; máy tính&gt; cho Suzuki")</f>
        <v>Đấu giá&gt; ô tô, xe máy&gt; phụ tùng&gt; máy tính&gt; cho Suzuki</v>
      </c>
      <c r="F1410" t="str">
        <f t="shared" ref="F1410:F1473" ca="1" si="22">CONCATENATE(CHAR(34)&amp;"",A1410,""&amp;CHAR(34)," : ", CHAR(34)&amp;"",D1410,""&amp;CHAR(34),",")</f>
        <v>"2084017024" : "Đối với Suzuki",</v>
      </c>
    </row>
    <row r="1411" spans="1:6" ht="15.75" customHeight="1">
      <c r="A1411" s="18">
        <v>2084017025</v>
      </c>
      <c r="B1411" s="18" t="s">
        <v>14673</v>
      </c>
      <c r="C1411" s="18" t="s">
        <v>15399</v>
      </c>
      <c r="D1411" s="5" t="str">
        <f ca="1">IFERROR(__xludf.DUMMYFUNCTION("GOOGLETRANSLATE(B1411,""ja"",""vi"")"),"Đối với Subaru")</f>
        <v>Đối với Subaru</v>
      </c>
      <c r="E1411" s="5" t="str">
        <f ca="1">IFERROR(__xludf.DUMMYFUNCTION("GOOGLETRANSLATE(C1411,""ja"",""vi"")"),"Đấu giá&gt; ô tô, xe máy&gt; phụ tùng&gt; máy tính&gt; cho Subaru")</f>
        <v>Đấu giá&gt; ô tô, xe máy&gt; phụ tùng&gt; máy tính&gt; cho Subaru</v>
      </c>
      <c r="F1411" t="str">
        <f t="shared" ca="1" si="22"/>
        <v>"2084017025" : "Đối với Subaru",</v>
      </c>
    </row>
    <row r="1412" spans="1:6" ht="15.75" customHeight="1">
      <c r="A1412" s="18">
        <v>2084017026</v>
      </c>
      <c r="B1412" s="18" t="s">
        <v>14677</v>
      </c>
      <c r="C1412" s="18" t="s">
        <v>15404</v>
      </c>
      <c r="D1412" s="5" t="str">
        <f ca="1">IFERROR(__xludf.DUMMYFUNCTION("GOOGLETRANSLATE(B1412,""ja"",""vi"")"),"Đối với Daihatsu")</f>
        <v>Đối với Daihatsu</v>
      </c>
      <c r="E1412" s="5" t="str">
        <f ca="1">IFERROR(__xludf.DUMMYFUNCTION("GOOGLETRANSLATE(C1412,""ja"",""vi"")"),"Đấu giá&gt; ô tô, xe máy&gt; phụ tùng&gt; máy tính&gt; cho Daihatsu")</f>
        <v>Đấu giá&gt; ô tô, xe máy&gt; phụ tùng&gt; máy tính&gt; cho Daihatsu</v>
      </c>
      <c r="F1412" t="str">
        <f t="shared" ca="1" si="22"/>
        <v>"2084017026" : "Đối với Daihatsu",</v>
      </c>
    </row>
    <row r="1413" spans="1:6" ht="15.75" customHeight="1">
      <c r="A1413" s="18">
        <v>2084017027</v>
      </c>
      <c r="B1413" s="18" t="s">
        <v>14682</v>
      </c>
      <c r="C1413" s="18" t="s">
        <v>15407</v>
      </c>
      <c r="D1413" s="5" t="str">
        <f ca="1">IFERROR(__xludf.DUMMYFUNCTION("GOOGLETRANSLATE(B1413,""ja"",""vi"")"),"Đối với Toyota")</f>
        <v>Đối với Toyota</v>
      </c>
      <c r="E1413" s="5" t="str">
        <f ca="1">IFERROR(__xludf.DUMMYFUNCTION("GOOGLETRANSLATE(C1413,""ja"",""vi"")"),"Đấu giá&gt; ô tô, xe máy&gt; phụ tùng&gt; máy tính&gt; cho Toyota")</f>
        <v>Đấu giá&gt; ô tô, xe máy&gt; phụ tùng&gt; máy tính&gt; cho Toyota</v>
      </c>
      <c r="F1413" t="str">
        <f t="shared" ca="1" si="22"/>
        <v>"2084017027" : "Đối với Toyota",</v>
      </c>
    </row>
    <row r="1414" spans="1:6" ht="15.75" customHeight="1">
      <c r="A1414" s="18">
        <v>2084017029</v>
      </c>
      <c r="B1414" s="18" t="s">
        <v>14685</v>
      </c>
      <c r="C1414" s="18" t="s">
        <v>15410</v>
      </c>
      <c r="D1414" s="5" t="str">
        <f ca="1">IFERROR(__xludf.DUMMYFUNCTION("GOOGLETRANSLATE(B1414,""ja"",""vi"")"),"Đối với Fiat")</f>
        <v>Đối với Fiat</v>
      </c>
      <c r="E1414" s="5" t="str">
        <f ca="1">IFERROR(__xludf.DUMMYFUNCTION("GOOGLETRANSLATE(C1414,""ja"",""vi"")"),"Đấu giá&gt; ô tô, xe máy&gt; phụ tùng&gt; máy tính&gt; cho Fiat")</f>
        <v>Đấu giá&gt; ô tô, xe máy&gt; phụ tùng&gt; máy tính&gt; cho Fiat</v>
      </c>
      <c r="F1414" t="str">
        <f t="shared" ca="1" si="22"/>
        <v>"2084017029" : "Đối với Fiat",</v>
      </c>
    </row>
    <row r="1415" spans="1:6" ht="15.75" customHeight="1">
      <c r="A1415" s="18">
        <v>2084017030</v>
      </c>
      <c r="B1415" s="18" t="s">
        <v>14690</v>
      </c>
      <c r="C1415" s="18" t="s">
        <v>15412</v>
      </c>
      <c r="D1415" s="5" t="str">
        <f ca="1">IFERROR(__xludf.DUMMYFUNCTION("GOOGLETRANSLATE(B1415,""ja"",""vi"")"),"Đối với Ford")</f>
        <v>Đối với Ford</v>
      </c>
      <c r="E1415" s="5" t="str">
        <f ca="1">IFERROR(__xludf.DUMMYFUNCTION("GOOGLETRANSLATE(C1415,""ja"",""vi"")"),"Đấu giá&gt; ô tô, xe máy&gt; phụ tùng&gt; máy tính&gt; cho Ford")</f>
        <v>Đấu giá&gt; ô tô, xe máy&gt; phụ tùng&gt; máy tính&gt; cho Ford</v>
      </c>
      <c r="F1415" t="str">
        <f t="shared" ca="1" si="22"/>
        <v>"2084017030" : "Đối với Ford",</v>
      </c>
    </row>
    <row r="1416" spans="1:6" ht="15.75" customHeight="1">
      <c r="A1416" s="18">
        <v>2084017031</v>
      </c>
      <c r="B1416" s="18" t="s">
        <v>14694</v>
      </c>
      <c r="C1416" s="18" t="s">
        <v>15414</v>
      </c>
      <c r="D1416" s="5" t="str">
        <f ca="1">IFERROR(__xludf.DUMMYFUNCTION("GOOGLETRANSLATE(B1416,""ja"",""vi"")"),"Đối với Volkswagen")</f>
        <v>Đối với Volkswagen</v>
      </c>
      <c r="E1416" s="5" t="str">
        <f ca="1">IFERROR(__xludf.DUMMYFUNCTION("GOOGLETRANSLATE(C1416,""ja"",""vi"")"),"Đấu giá&gt; ô tô, xe máy&gt; phụ tùng&gt; máy tính&gt; cho Volkswagen")</f>
        <v>Đấu giá&gt; ô tô, xe máy&gt; phụ tùng&gt; máy tính&gt; cho Volkswagen</v>
      </c>
      <c r="F1416" t="str">
        <f t="shared" ca="1" si="22"/>
        <v>"2084017031" : "Đối với Volkswagen",</v>
      </c>
    </row>
    <row r="1417" spans="1:6" ht="15.75" customHeight="1">
      <c r="A1417" s="18">
        <v>2084017032</v>
      </c>
      <c r="B1417" s="18" t="s">
        <v>14698</v>
      </c>
      <c r="C1417" s="18" t="s">
        <v>15416</v>
      </c>
      <c r="D1417" s="5" t="str">
        <f ca="1">IFERROR(__xludf.DUMMYFUNCTION("GOOGLETRANSLATE(B1417,""ja"",""vi"")"),"Đối với Peugeot")</f>
        <v>Đối với Peugeot</v>
      </c>
      <c r="E1417" s="5" t="str">
        <f ca="1">IFERROR(__xludf.DUMMYFUNCTION("GOOGLETRANSLATE(C1417,""ja"",""vi"")"),"Đấu giá&gt; ô tô, xe máy&gt; phụ tùng&gt; máy tính&gt; cho Peugeot")</f>
        <v>Đấu giá&gt; ô tô, xe máy&gt; phụ tùng&gt; máy tính&gt; cho Peugeot</v>
      </c>
      <c r="F1417" t="str">
        <f t="shared" ca="1" si="22"/>
        <v>"2084017032" : "Đối với Peugeot",</v>
      </c>
    </row>
    <row r="1418" spans="1:6" ht="15.75" customHeight="1">
      <c r="A1418" s="18">
        <v>2084017011</v>
      </c>
      <c r="B1418" s="18" t="s">
        <v>14701</v>
      </c>
      <c r="C1418" s="18" t="s">
        <v>15419</v>
      </c>
      <c r="D1418" s="5" t="str">
        <f ca="1">IFERROR(__xludf.DUMMYFUNCTION("GOOGLETRANSLATE(B1418,""ja"",""vi"")"),"Đối với Honda")</f>
        <v>Đối với Honda</v>
      </c>
      <c r="E1418" s="5" t="str">
        <f ca="1">IFERROR(__xludf.DUMMYFUNCTION("GOOGLETRANSLATE(C1418,""ja"",""vi"")"),"Đấu giá&gt; ô tô, xe máy&gt; phụ tùng&gt; máy tính&gt; cho Honda")</f>
        <v>Đấu giá&gt; ô tô, xe máy&gt; phụ tùng&gt; máy tính&gt; cho Honda</v>
      </c>
      <c r="F1418" t="str">
        <f t="shared" ca="1" si="22"/>
        <v>"2084017011" : "Đối với Honda",</v>
      </c>
    </row>
    <row r="1419" spans="1:6" ht="15.75" customHeight="1">
      <c r="A1419" s="18">
        <v>2084017010</v>
      </c>
      <c r="B1419" s="18" t="s">
        <v>14705</v>
      </c>
      <c r="C1419" s="18" t="s">
        <v>15422</v>
      </c>
      <c r="D1419" s="5" t="str">
        <f ca="1">IFERROR(__xludf.DUMMYFUNCTION("GOOGLETRANSLATE(B1419,""ja"",""vi"")"),"Đối với Volvo")</f>
        <v>Đối với Volvo</v>
      </c>
      <c r="E1419" s="5" t="str">
        <f ca="1">IFERROR(__xludf.DUMMYFUNCTION("GOOGLETRANSLATE(C1419,""ja"",""vi"")"),"Đấu giá&gt; ô tô, xe máy&gt; phụ tùng&gt; máy tính&gt; cho Volvo")</f>
        <v>Đấu giá&gt; ô tô, xe máy&gt; phụ tùng&gt; máy tính&gt; cho Volvo</v>
      </c>
      <c r="F1419" t="str">
        <f t="shared" ca="1" si="22"/>
        <v>"2084017010" : "Đối với Volvo",</v>
      </c>
    </row>
    <row r="1420" spans="1:6" ht="15.75" customHeight="1">
      <c r="A1420" s="18">
        <v>2084017033</v>
      </c>
      <c r="B1420" s="18" t="s">
        <v>14709</v>
      </c>
      <c r="C1420" s="18" t="s">
        <v>15425</v>
      </c>
      <c r="D1420" s="5" t="str">
        <f ca="1">IFERROR(__xludf.DUMMYFUNCTION("GOOGLETRANSLATE(B1420,""ja"",""vi"")"),"Đối với Porsche")</f>
        <v>Đối với Porsche</v>
      </c>
      <c r="E1420" s="5" t="str">
        <f ca="1">IFERROR(__xludf.DUMMYFUNCTION("GOOGLETRANSLATE(C1420,""ja"",""vi"")"),"Đấu giá&gt; ô tô, xe máy&gt; phụ tùng&gt; máy tính&gt; cho Porsche")</f>
        <v>Đấu giá&gt; ô tô, xe máy&gt; phụ tùng&gt; máy tính&gt; cho Porsche</v>
      </c>
      <c r="F1420" t="str">
        <f t="shared" ca="1" si="22"/>
        <v>"2084017033" : "Đối với Porsche",</v>
      </c>
    </row>
    <row r="1421" spans="1:6" ht="15.75" customHeight="1">
      <c r="A1421" s="18">
        <v>2084017012</v>
      </c>
      <c r="B1421" s="18" t="s">
        <v>14713</v>
      </c>
      <c r="C1421" s="18" t="s">
        <v>15428</v>
      </c>
      <c r="D1421" s="5" t="str">
        <f ca="1">IFERROR(__xludf.DUMMYFUNCTION("GOOGLETRANSLATE(B1421,""ja"",""vi"")"),"Đối với Mazda")</f>
        <v>Đối với Mazda</v>
      </c>
      <c r="E1421" s="5" t="str">
        <f ca="1">IFERROR(__xludf.DUMMYFUNCTION("GOOGLETRANSLATE(C1421,""ja"",""vi"")"),"Đấu giá&gt; ô tô, xe máy&gt; phụ tùng&gt; máy tính&gt; cho Mazda")</f>
        <v>Đấu giá&gt; ô tô, xe máy&gt; phụ tùng&gt; máy tính&gt; cho Mazda</v>
      </c>
      <c r="F1421" t="str">
        <f t="shared" ca="1" si="22"/>
        <v>"2084017012" : "Đối với Mazda",</v>
      </c>
    </row>
    <row r="1422" spans="1:6" ht="15.75" customHeight="1">
      <c r="A1422" s="18">
        <v>2084017014</v>
      </c>
      <c r="B1422" s="18" t="s">
        <v>14717</v>
      </c>
      <c r="C1422" s="18" t="s">
        <v>15431</v>
      </c>
      <c r="D1422" s="5" t="str">
        <f ca="1">IFERROR(__xludf.DUMMYFUNCTION("GOOGLETRANSLATE(B1422,""ja"",""vi"")"),"Mini")</f>
        <v>Mini</v>
      </c>
      <c r="E1422" s="5" t="str">
        <f ca="1">IFERROR(__xludf.DUMMYFUNCTION("GOOGLETRANSLATE(C1422,""ja"",""vi"")"),"Đấu giá&gt; ô tô, xe máy&gt; phụ tùng&gt; máy tính&gt; cho mini")</f>
        <v>Đấu giá&gt; ô tô, xe máy&gt; phụ tùng&gt; máy tính&gt; cho mini</v>
      </c>
      <c r="F1422" t="str">
        <f t="shared" ca="1" si="22"/>
        <v>"2084017014" : "Mini",</v>
      </c>
    </row>
    <row r="1423" spans="1:6" ht="15.75" customHeight="1">
      <c r="A1423" s="18">
        <v>2084017015</v>
      </c>
      <c r="B1423" s="18" t="s">
        <v>14720</v>
      </c>
      <c r="C1423" s="18" t="s">
        <v>15433</v>
      </c>
      <c r="D1423" s="5" t="str">
        <f ca="1">IFERROR(__xludf.DUMMYFUNCTION("GOOGLETRANSLATE(B1423,""ja"",""vi"")"),"Đối với Mercedes-Benz")</f>
        <v>Đối với Mercedes-Benz</v>
      </c>
      <c r="E1423" s="5" t="str">
        <f ca="1">IFERROR(__xludf.DUMMYFUNCTION("GOOGLETRANSLATE(C1423,""ja"",""vi"")"),"Đấu giá&gt; ô tô, xe máy&gt; phụ tùng&gt; máy tính&gt; cho Mercedes-Benz")</f>
        <v>Đấu giá&gt; ô tô, xe máy&gt; phụ tùng&gt; máy tính&gt; cho Mercedes-Benz</v>
      </c>
      <c r="F1423" t="str">
        <f t="shared" ca="1" si="22"/>
        <v>"2084017015" : "Đối với Mercedes-Benz",</v>
      </c>
    </row>
    <row r="1424" spans="1:6" ht="15.75" customHeight="1">
      <c r="A1424" s="18">
        <v>2084017016</v>
      </c>
      <c r="B1424" s="18" t="s">
        <v>14724</v>
      </c>
      <c r="C1424" s="18" t="s">
        <v>15436</v>
      </c>
      <c r="D1424" s="5" t="str">
        <f ca="1">IFERROR(__xludf.DUMMYFUNCTION("GOOGLETRANSLATE(B1424,""ja"",""vi"")"),"Đối với Renault")</f>
        <v>Đối với Renault</v>
      </c>
      <c r="E1424" s="5" t="str">
        <f ca="1">IFERROR(__xludf.DUMMYFUNCTION("GOOGLETRANSLATE(C1424,""ja"",""vi"")"),"Đấu giá&gt; ô tô, xe máy&gt; phụ tùng&gt; máy tính&gt; cho Renault")</f>
        <v>Đấu giá&gt; ô tô, xe máy&gt; phụ tùng&gt; máy tính&gt; cho Renault</v>
      </c>
      <c r="F1424" t="str">
        <f t="shared" ca="1" si="22"/>
        <v>"2084017016" : "Đối với Renault",</v>
      </c>
    </row>
    <row r="1425" spans="1:6" ht="15.75" customHeight="1">
      <c r="A1425" s="18">
        <v>2084230489</v>
      </c>
      <c r="B1425" s="18" t="s">
        <v>14729</v>
      </c>
      <c r="C1425" s="18" t="s">
        <v>15439</v>
      </c>
      <c r="D1425" s="5" t="str">
        <f ca="1">IFERROR(__xludf.DUMMYFUNCTION("GOOGLETRANSLATE(B1425,""ja"",""vi"")"),"Đối với Lexus")</f>
        <v>Đối với Lexus</v>
      </c>
      <c r="E1425" s="5" t="str">
        <f ca="1">IFERROR(__xludf.DUMMYFUNCTION("GOOGLETRANSLATE(C1425,""ja"",""vi"")"),"Đấu giá&gt; ô tô, xe máy&gt; phụ tùng&gt; máy tính&gt; cho Lexus")</f>
        <v>Đấu giá&gt; ô tô, xe máy&gt; phụ tùng&gt; máy tính&gt; cho Lexus</v>
      </c>
      <c r="F1425" t="str">
        <f t="shared" ca="1" si="22"/>
        <v>"2084230489" : "Đối với Lexus",</v>
      </c>
    </row>
    <row r="1426" spans="1:6" ht="15.75" customHeight="1">
      <c r="A1426" s="18">
        <v>2084017013</v>
      </c>
      <c r="B1426" s="18" t="s">
        <v>14734</v>
      </c>
      <c r="C1426" s="18" t="s">
        <v>15442</v>
      </c>
      <c r="D1426" s="5" t="str">
        <f ca="1">IFERROR(__xludf.DUMMYFUNCTION("GOOGLETRANSLATE(B1426,""ja"",""vi"")"),"Đối với Mitsubishi")</f>
        <v>Đối với Mitsubishi</v>
      </c>
      <c r="E1426" s="5" t="str">
        <f ca="1">IFERROR(__xludf.DUMMYFUNCTION("GOOGLETRANSLATE(C1426,""ja"",""vi"")"),"Đấu giá&gt; ô tô, xe máy&gt; phụ tùng&gt; máy tính&gt; cho Mitsubishi")</f>
        <v>Đấu giá&gt; ô tô, xe máy&gt; phụ tùng&gt; máy tính&gt; cho Mitsubishi</v>
      </c>
      <c r="F1426" t="str">
        <f t="shared" ca="1" si="22"/>
        <v>"2084017013" : "Đối với Mitsubishi",</v>
      </c>
    </row>
    <row r="1427" spans="1:6" ht="15.75" customHeight="1">
      <c r="A1427" s="18">
        <v>2084017028</v>
      </c>
      <c r="B1427" s="18" t="s">
        <v>14737</v>
      </c>
      <c r="C1427" s="18" t="s">
        <v>15445</v>
      </c>
      <c r="D1427" s="5" t="str">
        <f ca="1">IFERROR(__xludf.DUMMYFUNCTION("GOOGLETRANSLATE(B1427,""ja"",""vi"")"),"Đối với Nissan")</f>
        <v>Đối với Nissan</v>
      </c>
      <c r="E1427" s="5" t="str">
        <f ca="1">IFERROR(__xludf.DUMMYFUNCTION("GOOGLETRANSLATE(C1427,""ja"",""vi"")"),"Đấu giá&gt; ô tô, xe máy&gt; phụ tùng&gt; máy tính&gt; cho Nissan")</f>
        <v>Đấu giá&gt; ô tô, xe máy&gt; phụ tùng&gt; máy tính&gt; cho Nissan</v>
      </c>
      <c r="F1427" t="str">
        <f t="shared" ca="1" si="22"/>
        <v>"2084017028" : "Đối với Nissan",</v>
      </c>
    </row>
    <row r="1428" spans="1:6" ht="15.75" customHeight="1">
      <c r="A1428" s="18">
        <v>2084018623</v>
      </c>
      <c r="B1428" s="18" t="s">
        <v>46</v>
      </c>
      <c r="C1428" s="18" t="s">
        <v>15448</v>
      </c>
      <c r="D1428" s="5" t="str">
        <f ca="1">IFERROR(__xludf.DUMMYFUNCTION("GOOGLETRANSLATE(B1428,""ja"",""vi"")"),"nếu không thì")</f>
        <v>nếu không thì</v>
      </c>
      <c r="E1428" s="5" t="str">
        <f ca="1">IFERROR(__xludf.DUMMYFUNCTION("GOOGLETRANSLATE(C1428,""ja"",""vi"")"),"Đấu giá&gt; ô tô, xe máy&gt; phụ tùng&gt; máy tính&gt; Khác")</f>
        <v>Đấu giá&gt; ô tô, xe máy&gt; phụ tùng&gt; máy tính&gt; Khác</v>
      </c>
      <c r="F1428" t="str">
        <f t="shared" ca="1" si="22"/>
        <v>"2084018623" : "nếu không thì",</v>
      </c>
    </row>
    <row r="1429" spans="1:6" ht="15.75" customHeight="1">
      <c r="A1429" s="18">
        <v>2084200999</v>
      </c>
      <c r="B1429" s="18" t="s">
        <v>15451</v>
      </c>
      <c r="C1429" s="18" t="s">
        <v>15452</v>
      </c>
      <c r="D1429" s="5" t="str">
        <f ca="1">IFERROR(__xludf.DUMMYFUNCTION("GOOGLETRANSLATE(B1429,""ja"",""vi"")"),"Genuine")</f>
        <v>Genuine</v>
      </c>
      <c r="E1429" s="5" t="str">
        <f ca="1">IFERROR(__xludf.DUMMYFUNCTION("GOOGLETRANSLATE(C1429,""ja"",""vi"")"),"Đấu giá&gt; ô tô, xe máy&gt; phụ tùng&gt; sừng&gt; chính hãng")</f>
        <v>Đấu giá&gt; ô tô, xe máy&gt; phụ tùng&gt; sừng&gt; chính hãng</v>
      </c>
      <c r="F1429" t="str">
        <f t="shared" ca="1" si="22"/>
        <v>"2084200999" : "Genuine",</v>
      </c>
    </row>
    <row r="1430" spans="1:6" ht="15.75" customHeight="1">
      <c r="A1430" s="18">
        <v>2084201000</v>
      </c>
      <c r="B1430" s="18" t="s">
        <v>15455</v>
      </c>
      <c r="C1430" s="18" t="s">
        <v>15456</v>
      </c>
      <c r="D1430" s="5" t="str">
        <f ca="1">IFERROR(__xludf.DUMMYFUNCTION("GOOGLETRANSLATE(B1430,""ja"",""vi"")"),"hàng bên ngoài")</f>
        <v>hàng bên ngoài</v>
      </c>
      <c r="E1430" s="5" t="str">
        <f ca="1">IFERROR(__xludf.DUMMYFUNCTION("GOOGLETRANSLATE(C1430,""ja"",""vi"")"),"Đấu giá&gt; ô tô, xe máy&gt; phụ tùng&gt; sừng&gt; bên ngoài hàng")</f>
        <v>Đấu giá&gt; ô tô, xe máy&gt; phụ tùng&gt; sừng&gt; bên ngoài hàng</v>
      </c>
      <c r="F1430" t="str">
        <f t="shared" ca="1" si="22"/>
        <v>"2084201000" : "hàng bên ngoài",</v>
      </c>
    </row>
    <row r="1431" spans="1:6" ht="15.75" customHeight="1">
      <c r="A1431" s="18">
        <v>2084241186</v>
      </c>
      <c r="B1431" s="18" t="s">
        <v>15459</v>
      </c>
      <c r="C1431" s="18" t="s">
        <v>15460</v>
      </c>
      <c r="D1431" s="5" t="str">
        <f ca="1">IFERROR(__xludf.DUMMYFUNCTION("GOOGLETRANSLATE(B1431,""ja"",""vi"")"),"Horn (chỉ 24V)")</f>
        <v>Horn (chỉ 24V)</v>
      </c>
      <c r="E1431" s="5" t="str">
        <f ca="1">IFERROR(__xludf.DUMMYFUNCTION("GOOGLETRANSLATE(C1431,""ja"",""vi"")"),"Đấu giá&gt; ô tô, xe máy&gt; phụ tùng&gt; sừng&gt; Horn (24V chỉ)")</f>
        <v>Đấu giá&gt; ô tô, xe máy&gt; phụ tùng&gt; sừng&gt; Horn (24V chỉ)</v>
      </c>
      <c r="F1431" t="str">
        <f t="shared" ca="1" si="22"/>
        <v>"2084241186" : "Horn (chỉ 24V)",</v>
      </c>
    </row>
    <row r="1432" spans="1:6" ht="15.75" customHeight="1">
      <c r="A1432" s="18">
        <v>2084015632</v>
      </c>
      <c r="B1432" s="18" t="s">
        <v>14891</v>
      </c>
      <c r="C1432" s="18" t="s">
        <v>15463</v>
      </c>
      <c r="D1432" s="5" t="str">
        <f ca="1">IFERROR(__xludf.DUMMYFUNCTION("GOOGLETRANSLATE(B1432,""ja"",""vi"")"),"ô tô Brands")</f>
        <v>ô tô Brands</v>
      </c>
      <c r="E1432" s="5" t="str">
        <f ca="1">IFERROR(__xludf.DUMMYFUNCTION("GOOGLETRANSLATE(C1432,""ja"",""vi"")"),"Đấu giá&gt; ô tô, xe máy&gt; phụ tùng&gt; Thiết bị điện&gt; Auto Brands")</f>
        <v>Đấu giá&gt; ô tô, xe máy&gt; phụ tùng&gt; Thiết bị điện&gt; Auto Brands</v>
      </c>
      <c r="F1432" t="str">
        <f t="shared" ca="1" si="22"/>
        <v>"2084015632" : "ô tô Brands",</v>
      </c>
    </row>
    <row r="1433" spans="1:6" ht="15.75" customHeight="1">
      <c r="A1433" s="18">
        <v>2084008463</v>
      </c>
      <c r="B1433" s="18" t="s">
        <v>14141</v>
      </c>
      <c r="C1433" s="18" t="s">
        <v>15465</v>
      </c>
      <c r="D1433" s="5" t="str">
        <f ca="1">IFERROR(__xludf.DUMMYFUNCTION("GOOGLETRANSLATE(B1433,""ja"",""vi"")"),"bugi")</f>
        <v>bugi</v>
      </c>
      <c r="E1433" s="5" t="str">
        <f ca="1">IFERROR(__xludf.DUMMYFUNCTION("GOOGLETRANSLATE(C1433,""ja"",""vi"")"),"Đấu giá&gt; ô tô, xe máy&gt; phụ tùng&gt; Thiết bị điện&gt; bugi")</f>
        <v>Đấu giá&gt; ô tô, xe máy&gt; phụ tùng&gt; Thiết bị điện&gt; bugi</v>
      </c>
      <c r="F1433" t="str">
        <f t="shared" ca="1" si="22"/>
        <v>"2084008463" : "bugi",</v>
      </c>
    </row>
    <row r="1434" spans="1:6" ht="15.75" customHeight="1">
      <c r="A1434" s="18">
        <v>2084210665</v>
      </c>
      <c r="B1434" s="18" t="s">
        <v>15467</v>
      </c>
      <c r="C1434" s="18" t="s">
        <v>15468</v>
      </c>
      <c r="D1434" s="5" t="str">
        <f ca="1">IFERROR(__xludf.DUMMYFUNCTION("GOOGLETRANSLATE(B1434,""ja"",""vi"")"),"sự vun")</f>
        <v>sự vun</v>
      </c>
      <c r="E1434" s="5" t="str">
        <f ca="1">IFERROR(__xludf.DUMMYFUNCTION("GOOGLETRANSLATE(C1434,""ja"",""vi"")"),"Đấu giá&gt; ô tô, xe máy&gt; phụ tùng&gt; Thiết bị điện&gt; Nối đất")</f>
        <v>Đấu giá&gt; ô tô, xe máy&gt; phụ tùng&gt; Thiết bị điện&gt; Nối đất</v>
      </c>
      <c r="F1434" t="str">
        <f t="shared" ca="1" si="22"/>
        <v>"2084210665" : "sự vun",</v>
      </c>
    </row>
    <row r="1435" spans="1:6" ht="15.75" customHeight="1">
      <c r="A1435" s="18">
        <v>2084210666</v>
      </c>
      <c r="B1435" s="18" t="s">
        <v>15471</v>
      </c>
      <c r="C1435" s="18" t="s">
        <v>15472</v>
      </c>
      <c r="D1435" s="5" t="str">
        <f ca="1">IFERROR(__xludf.DUMMYFUNCTION("GOOGLETRANSLATE(B1435,""ja"",""vi"")"),"dây cắm")</f>
        <v>dây cắm</v>
      </c>
      <c r="E1435" s="5" t="str">
        <f ca="1">IFERROR(__xludf.DUMMYFUNCTION("GOOGLETRANSLATE(C1435,""ja"",""vi"")"),"Đấu giá&gt; ô tô, xe máy&gt; phụ tùng&gt; Thiết bị điện&gt; dây cắm")</f>
        <v>Đấu giá&gt; ô tô, xe máy&gt; phụ tùng&gt; Thiết bị điện&gt; dây cắm</v>
      </c>
      <c r="F1435" t="str">
        <f t="shared" ca="1" si="22"/>
        <v>"2084210666" : "dây cắm",</v>
      </c>
    </row>
    <row r="1436" spans="1:6" ht="15.75" customHeight="1">
      <c r="A1436" s="18">
        <v>2084005800</v>
      </c>
      <c r="B1436" s="18" t="s">
        <v>14186</v>
      </c>
      <c r="C1436" s="18" t="s">
        <v>15474</v>
      </c>
      <c r="D1436" s="5" t="str">
        <f ca="1">IFERROR(__xludf.DUMMYFUNCTION("GOOGLETRANSLATE(B1436,""ja"",""vi"")"),"ắc quy")</f>
        <v>ắc quy</v>
      </c>
      <c r="E1436" s="5" t="str">
        <f ca="1">IFERROR(__xludf.DUMMYFUNCTION("GOOGLETRANSLATE(C1436,""ja"",""vi"")"),"Đấu giá&gt; ô tô, xe máy&gt; phụ tùng&gt; Thiết bị điện&gt; Pin")</f>
        <v>Đấu giá&gt; ô tô, xe máy&gt; phụ tùng&gt; Thiết bị điện&gt; Pin</v>
      </c>
      <c r="F1436" t="str">
        <f t="shared" ca="1" si="22"/>
        <v>"2084005800" : "ắc quy",</v>
      </c>
    </row>
    <row r="1437" spans="1:6" ht="15.75" customHeight="1">
      <c r="A1437" s="18">
        <v>2084005810</v>
      </c>
      <c r="B1437" s="18" t="s">
        <v>15477</v>
      </c>
      <c r="C1437" s="18" t="s">
        <v>15478</v>
      </c>
      <c r="D1437" s="5" t="str">
        <f ca="1">IFERROR(__xludf.DUMMYFUNCTION("GOOGLETRANSLATE(B1437,""ja"",""vi"")"),"biến tần")</f>
        <v>biến tần</v>
      </c>
      <c r="E1437" s="5" t="str">
        <f ca="1">IFERROR(__xludf.DUMMYFUNCTION("GOOGLETRANSLATE(C1437,""ja"",""vi"")"),"Đấu giá&gt; ô tô, xe máy&gt; phụ tùng&gt; Thiết bị điện&gt; Biến tần")</f>
        <v>Đấu giá&gt; ô tô, xe máy&gt; phụ tùng&gt; Thiết bị điện&gt; Biến tần</v>
      </c>
      <c r="F1437" t="str">
        <f t="shared" ca="1" si="22"/>
        <v>"2084005810" : "biến tần",</v>
      </c>
    </row>
    <row r="1438" spans="1:6" ht="15.75" customHeight="1">
      <c r="A1438" s="18">
        <v>2084291400</v>
      </c>
      <c r="B1438" s="18" t="s">
        <v>15481</v>
      </c>
      <c r="C1438" s="18" t="s">
        <v>15483</v>
      </c>
      <c r="D1438" s="5" t="str">
        <f ca="1">IFERROR(__xludf.DUMMYFUNCTION("GOOGLETRANSLATE(B1438,""ja"",""vi"")"),"keyless entry")</f>
        <v>keyless entry</v>
      </c>
      <c r="E1438" s="5" t="str">
        <f ca="1">IFERROR(__xludf.DUMMYFUNCTION("GOOGLETRANSLATE(C1438,""ja"",""vi"")"),"Đấu giá&gt; ô tô, xe máy&gt; phụ tùng&gt; Thiết bị điện&gt; keyless entry")</f>
        <v>Đấu giá&gt; ô tô, xe máy&gt; phụ tùng&gt; Thiết bị điện&gt; keyless entry</v>
      </c>
      <c r="F1438" t="str">
        <f t="shared" ca="1" si="22"/>
        <v>"2084291400" : "keyless entry",</v>
      </c>
    </row>
    <row r="1439" spans="1:6" ht="15.75" customHeight="1">
      <c r="A1439" s="18">
        <v>2084290712</v>
      </c>
      <c r="B1439" s="18" t="s">
        <v>2717</v>
      </c>
      <c r="C1439" s="18" t="s">
        <v>15485</v>
      </c>
      <c r="D1439" s="5" t="str">
        <f ca="1">IFERROR(__xludf.DUMMYFUNCTION("GOOGLETRANSLATE(B1439,""ja"",""vi"")"),"chuyển đổi")</f>
        <v>chuyển đổi</v>
      </c>
      <c r="E1439" s="5" t="str">
        <f ca="1">IFERROR(__xludf.DUMMYFUNCTION("GOOGLETRANSLATE(C1439,""ja"",""vi"")"),"Đấu giá&gt; ô tô, xe máy&gt; phụ tùng&gt; Thiết bị điện&gt; Converters")</f>
        <v>Đấu giá&gt; ô tô, xe máy&gt; phụ tùng&gt; Thiết bị điện&gt; Converters</v>
      </c>
      <c r="F1439" t="str">
        <f t="shared" ca="1" si="22"/>
        <v>"2084290712" : "chuyển đổi",</v>
      </c>
    </row>
    <row r="1440" spans="1:6" ht="15.75" customHeight="1">
      <c r="A1440" s="18">
        <v>2084048528</v>
      </c>
      <c r="B1440" s="18" t="s">
        <v>15137</v>
      </c>
      <c r="C1440" s="18" t="s">
        <v>15487</v>
      </c>
      <c r="D1440" s="5" t="str">
        <f ca="1">IFERROR(__xludf.DUMMYFUNCTION("GOOGLETRANSLATE(B1440,""ja"",""vi"")"),"Turbo hẹn giờ")</f>
        <v>Turbo hẹn giờ</v>
      </c>
      <c r="E1440" s="5" t="str">
        <f ca="1">IFERROR(__xludf.DUMMYFUNCTION("GOOGLETRANSLATE(C1440,""ja"",""vi"")"),"Đấu giá&gt; ô tô, xe máy&gt; phụ tùng&gt; Thiết bị điện&gt; tuabin timer")</f>
        <v>Đấu giá&gt; ô tô, xe máy&gt; phụ tùng&gt; Thiết bị điện&gt; tuabin timer</v>
      </c>
      <c r="F1440" t="str">
        <f t="shared" ca="1" si="22"/>
        <v>"2084048528" : "Turbo hẹn giờ",</v>
      </c>
    </row>
    <row r="1441" spans="1:6" ht="15.75" customHeight="1">
      <c r="A1441" s="18">
        <v>2084231726</v>
      </c>
      <c r="B1441" s="18" t="s">
        <v>15490</v>
      </c>
      <c r="C1441" s="18" t="s">
        <v>15491</v>
      </c>
      <c r="D1441" s="5" t="str">
        <f ca="1">IFERROR(__xludf.DUMMYFUNCTION("GOOGLETRANSLATE(B1441,""ja"",""vi"")"),"ổ ghi")</f>
        <v>ổ ghi</v>
      </c>
      <c r="E1441" s="5" t="str">
        <f ca="1">IFERROR(__xludf.DUMMYFUNCTION("GOOGLETRANSLATE(C1441,""ja"",""vi"")"),"Đấu giá&gt; ô tô, xe máy&gt; phụ tùng&gt; Thiết bị điện&gt; Máy ghi ổ đĩa")</f>
        <v>Đấu giá&gt; ô tô, xe máy&gt; phụ tùng&gt; Thiết bị điện&gt; Máy ghi ổ đĩa</v>
      </c>
      <c r="F1441" t="str">
        <f t="shared" ca="1" si="22"/>
        <v>"2084231726" : "ổ ghi",</v>
      </c>
    </row>
    <row r="1442" spans="1:6" ht="15.75" customHeight="1">
      <c r="A1442" s="18">
        <v>2084048527</v>
      </c>
      <c r="B1442" s="18" t="s">
        <v>15496</v>
      </c>
      <c r="C1442" s="18" t="s">
        <v>15497</v>
      </c>
      <c r="D1442" s="5" t="str">
        <f ca="1">IFERROR(__xludf.DUMMYFUNCTION("GOOGLETRANSLATE(B1442,""ja"",""vi"")"),"khởi động điều khiển từ xa")</f>
        <v>khởi động điều khiển từ xa</v>
      </c>
      <c r="E1442" s="5" t="str">
        <f ca="1">IFERROR(__xludf.DUMMYFUNCTION("GOOGLETRANSLATE(C1442,""ja"",""vi"")"),"Đấu giá&gt; ô tô, xe máy&gt; phụ tùng&gt; Thiết bị điện&gt; điều khiển từ xa khởi động")</f>
        <v>Đấu giá&gt; ô tô, xe máy&gt; phụ tùng&gt; Thiết bị điện&gt; điều khiển từ xa khởi động</v>
      </c>
      <c r="F1442" t="str">
        <f t="shared" ca="1" si="22"/>
        <v>"2084048527" : "khởi động điều khiển từ xa",</v>
      </c>
    </row>
    <row r="1443" spans="1:6" ht="15.75" customHeight="1">
      <c r="A1443" s="18">
        <v>2084048326</v>
      </c>
      <c r="B1443" s="18" t="s">
        <v>15026</v>
      </c>
      <c r="C1443" s="18" t="s">
        <v>15502</v>
      </c>
      <c r="D1443" s="5" t="str">
        <f ca="1">IFERROR(__xludf.DUMMYFUNCTION("GOOGLETRANSLATE(B1443,""ja"",""vi"")"),"ETC")</f>
        <v>ETC</v>
      </c>
      <c r="E1443" s="5" t="str">
        <f ca="1">IFERROR(__xludf.DUMMYFUNCTION("GOOGLETRANSLATE(C1443,""ja"",""vi"")"),"Đấu giá&gt; ô tô, xe máy&gt; phụ tùng&gt; Thiết bị điện&gt; ETC")</f>
        <v>Đấu giá&gt; ô tô, xe máy&gt; phụ tùng&gt; Thiết bị điện&gt; ETC</v>
      </c>
      <c r="F1443" t="str">
        <f t="shared" ca="1" si="22"/>
        <v>"2084048326" : "ETC",</v>
      </c>
    </row>
    <row r="1444" spans="1:6" ht="15.75" customHeight="1">
      <c r="A1444" s="18">
        <v>23852</v>
      </c>
      <c r="B1444" s="18" t="s">
        <v>5523</v>
      </c>
      <c r="C1444" s="18" t="s">
        <v>15506</v>
      </c>
      <c r="D1444" s="5" t="str">
        <f ca="1">IFERROR(__xludf.DUMMYFUNCTION("GOOGLETRANSLATE(B1444,""ja"",""vi"")"),"Car Audio")</f>
        <v>Car Audio</v>
      </c>
      <c r="E1444" s="5" t="str">
        <f ca="1">IFERROR(__xludf.DUMMYFUNCTION("GOOGLETRANSLATE(C1444,""ja"",""vi"")"),"Đấu giá&gt; ô tô, xe máy&gt; phụ tùng&gt; Thiết bị điện&gt; Car Audio")</f>
        <v>Đấu giá&gt; ô tô, xe máy&gt; phụ tùng&gt; Thiết bị điện&gt; Car Audio</v>
      </c>
      <c r="F1444" t="str">
        <f t="shared" ca="1" si="22"/>
        <v>"23852" : "Car Audio",</v>
      </c>
    </row>
    <row r="1445" spans="1:6" ht="15.75" customHeight="1">
      <c r="A1445" s="18">
        <v>23879</v>
      </c>
      <c r="B1445" s="18" t="s">
        <v>15509</v>
      </c>
      <c r="C1445" s="18" t="s">
        <v>15510</v>
      </c>
      <c r="D1445" s="5" t="str">
        <f ca="1">IFERROR(__xludf.DUMMYFUNCTION("GOOGLETRANSLATE(B1445,""ja"",""vi"")"),"hệ thống định vị xe")</f>
        <v>hệ thống định vị xe</v>
      </c>
      <c r="E1445" s="5" t="str">
        <f ca="1">IFERROR(__xludf.DUMMYFUNCTION("GOOGLETRANSLATE(C1445,""ja"",""vi"")"),"Đấu giá&gt; ô tô, xe máy&gt; phụ tùng&gt; Thiết bị điện&gt; hệ thống định vị xe")</f>
        <v>Đấu giá&gt; ô tô, xe máy&gt; phụ tùng&gt; Thiết bị điện&gt; hệ thống định vị xe</v>
      </c>
      <c r="F1445" t="str">
        <f t="shared" ca="1" si="22"/>
        <v>"23879" : "hệ thống định vị xe",</v>
      </c>
    </row>
    <row r="1446" spans="1:6" ht="15.75" customHeight="1">
      <c r="A1446" s="18">
        <v>2084007928</v>
      </c>
      <c r="B1446" s="18" t="s">
        <v>15515</v>
      </c>
      <c r="C1446" s="18" t="s">
        <v>15516</v>
      </c>
      <c r="D1446" s="5" t="str">
        <f ca="1">IFERROR(__xludf.DUMMYFUNCTION("GOOGLETRANSLATE(B1446,""ja"",""vi"")"),"máy dò radar")</f>
        <v>máy dò radar</v>
      </c>
      <c r="E1446" s="5" t="str">
        <f ca="1">IFERROR(__xludf.DUMMYFUNCTION("GOOGLETRANSLATE(C1446,""ja"",""vi"")"),"Đấu giá&gt; ô tô, xe máy&gt; phụ tùng&gt; Thiết bị điện&gt; Radar Detectors")</f>
        <v>Đấu giá&gt; ô tô, xe máy&gt; phụ tùng&gt; Thiết bị điện&gt; Radar Detectors</v>
      </c>
      <c r="F1446" t="str">
        <f t="shared" ca="1" si="22"/>
        <v>"2084007928" : "máy dò radar",</v>
      </c>
    </row>
    <row r="1447" spans="1:6" ht="15.75" customHeight="1">
      <c r="A1447" s="18">
        <v>2084008465</v>
      </c>
      <c r="B1447" s="18" t="s">
        <v>46</v>
      </c>
      <c r="C1447" s="18" t="s">
        <v>15520</v>
      </c>
      <c r="D1447" s="5" t="str">
        <f ca="1">IFERROR(__xludf.DUMMYFUNCTION("GOOGLETRANSLATE(B1447,""ja"",""vi"")"),"nếu không thì")</f>
        <v>nếu không thì</v>
      </c>
      <c r="E1447" s="5" t="str">
        <f ca="1">IFERROR(__xludf.DUMMYFUNCTION("GOOGLETRANSLATE(C1447,""ja"",""vi"")"),"Đấu giá&gt; ô tô, xe máy&gt; phụ tùng&gt; Thiết bị điện&gt; Khác")</f>
        <v>Đấu giá&gt; ô tô, xe máy&gt; phụ tùng&gt; Thiết bị điện&gt; Khác</v>
      </c>
      <c r="F1447" t="str">
        <f t="shared" ca="1" si="22"/>
        <v>"2084008465" : "nếu không thì",</v>
      </c>
    </row>
    <row r="1448" spans="1:6" ht="15.75" customHeight="1">
      <c r="A1448" s="18">
        <v>2084016914</v>
      </c>
      <c r="B1448" s="18" t="s">
        <v>14628</v>
      </c>
      <c r="C1448" s="18" t="s">
        <v>15524</v>
      </c>
      <c r="D1448" s="5" t="str">
        <f ca="1">IFERROR(__xludf.DUMMYFUNCTION("GOOGLETRANSLATE(B1448,""ja"",""vi"")"),"Đối với BMW")</f>
        <v>Đối với BMW</v>
      </c>
      <c r="E1448" s="5" t="str">
        <f ca="1">IFERROR(__xludf.DUMMYFUNCTION("GOOGLETRANSLATE(C1448,""ja"",""vi"")"),"Đấu giá&gt; ô tô, xe máy&gt; phụ tùng&gt; Bằng cách sản xuất xe hơi&gt; cho BMW")</f>
        <v>Đấu giá&gt; ô tô, xe máy&gt; phụ tùng&gt; Bằng cách sản xuất xe hơi&gt; cho BMW</v>
      </c>
      <c r="F1448" t="str">
        <f t="shared" ca="1" si="22"/>
        <v>"2084016914" : "Đối với BMW",</v>
      </c>
    </row>
    <row r="1449" spans="1:6" ht="15.75" customHeight="1">
      <c r="A1449" s="18">
        <v>2084016917</v>
      </c>
      <c r="B1449" s="18" t="s">
        <v>14633</v>
      </c>
      <c r="C1449" s="18" t="s">
        <v>15528</v>
      </c>
      <c r="D1449" s="5" t="str">
        <f ca="1">IFERROR(__xludf.DUMMYFUNCTION("GOOGLETRANSLATE(B1449,""ja"",""vi"")"),"Đối với Isuzu")</f>
        <v>Đối với Isuzu</v>
      </c>
      <c r="E1449" s="5" t="str">
        <f ca="1">IFERROR(__xludf.DUMMYFUNCTION("GOOGLETRANSLATE(C1449,""ja"",""vi"")"),"Đấu giá&gt; ô tô, xe máy&gt; phụ tùng&gt; Bằng cách sản xuất xe hơi&gt; cho Isuzu")</f>
        <v>Đấu giá&gt; ô tô, xe máy&gt; phụ tùng&gt; Bằng cách sản xuất xe hơi&gt; cho Isuzu</v>
      </c>
      <c r="F1449" t="str">
        <f t="shared" ca="1" si="22"/>
        <v>"2084016917" : "Đối với Isuzu",</v>
      </c>
    </row>
    <row r="1450" spans="1:6" ht="15.75" customHeight="1">
      <c r="A1450" s="18">
        <v>2084016915</v>
      </c>
      <c r="B1450" s="18" t="s">
        <v>14640</v>
      </c>
      <c r="C1450" s="18" t="s">
        <v>15532</v>
      </c>
      <c r="D1450" s="5" t="str">
        <f ca="1">IFERROR(__xludf.DUMMYFUNCTION("GOOGLETRANSLATE(B1450,""ja"",""vi"")"),"Đối với Audi")</f>
        <v>Đối với Audi</v>
      </c>
      <c r="E1450" s="5" t="str">
        <f ca="1">IFERROR(__xludf.DUMMYFUNCTION("GOOGLETRANSLATE(C1450,""ja"",""vi"")"),"Đấu giá&gt; ô tô, xe máy&gt; phụ tùng&gt; Bằng cách sản xuất xe hơi&gt; cho Audi")</f>
        <v>Đấu giá&gt; ô tô, xe máy&gt; phụ tùng&gt; Bằng cách sản xuất xe hơi&gt; cho Audi</v>
      </c>
      <c r="F1450" t="str">
        <f t="shared" ca="1" si="22"/>
        <v>"2084016915" : "Đối với Audi",</v>
      </c>
    </row>
    <row r="1451" spans="1:6" ht="15.75" customHeight="1">
      <c r="A1451" s="18">
        <v>2084016916</v>
      </c>
      <c r="B1451" s="18" t="s">
        <v>14644</v>
      </c>
      <c r="C1451" s="18" t="s">
        <v>15536</v>
      </c>
      <c r="D1451" s="5" t="str">
        <f ca="1">IFERROR(__xludf.DUMMYFUNCTION("GOOGLETRANSLATE(B1451,""ja"",""vi"")"),"Đối với Alfa Romeo")</f>
        <v>Đối với Alfa Romeo</v>
      </c>
      <c r="E1451" s="5" t="str">
        <f ca="1">IFERROR(__xludf.DUMMYFUNCTION("GOOGLETRANSLATE(C1451,""ja"",""vi"")"),"Đấu giá&gt; ô tô, xe máy&gt; phụ tùng&gt; Bằng cách sản xuất xe hơi&gt; alpha cho Romeo")</f>
        <v>Đấu giá&gt; ô tô, xe máy&gt; phụ tùng&gt; Bằng cách sản xuất xe hơi&gt; alpha cho Romeo</v>
      </c>
      <c r="F1451" t="str">
        <f t="shared" ca="1" si="22"/>
        <v>"2084016916" : "Đối với Alfa Romeo",</v>
      </c>
    </row>
    <row r="1452" spans="1:6" ht="15.75" customHeight="1">
      <c r="A1452" s="18">
        <v>2084016918</v>
      </c>
      <c r="B1452" s="18" t="s">
        <v>14649</v>
      </c>
      <c r="C1452" s="18" t="s">
        <v>15539</v>
      </c>
      <c r="D1452" s="5" t="str">
        <f ca="1">IFERROR(__xludf.DUMMYFUNCTION("GOOGLETRANSLATE(B1452,""ja"",""vi"")"),"cho Opel")</f>
        <v>cho Opel</v>
      </c>
      <c r="E1452" s="5" t="str">
        <f ca="1">IFERROR(__xludf.DUMMYFUNCTION("GOOGLETRANSLATE(C1452,""ja"",""vi"")"),"Đấu giá&gt; ô tô, xe máy&gt; phụ tùng&gt; Bằng cách sản xuất xe hơi&gt; cho Opel")</f>
        <v>Đấu giá&gt; ô tô, xe máy&gt; phụ tùng&gt; Bằng cách sản xuất xe hơi&gt; cho Opel</v>
      </c>
      <c r="F1452" t="str">
        <f t="shared" ca="1" si="22"/>
        <v>"2084016918" : "cho Opel",</v>
      </c>
    </row>
    <row r="1453" spans="1:6" ht="15.75" customHeight="1">
      <c r="A1453" s="18">
        <v>2084200985</v>
      </c>
      <c r="B1453" s="18" t="s">
        <v>14654</v>
      </c>
      <c r="C1453" s="18" t="s">
        <v>15541</v>
      </c>
      <c r="D1453" s="5" t="str">
        <f ca="1">IFERROR(__xludf.DUMMYFUNCTION("GOOGLETRANSLATE(B1453,""ja"",""vi"")"),"Đối với Chrysler")</f>
        <v>Đối với Chrysler</v>
      </c>
      <c r="E1453" s="5" t="str">
        <f ca="1">IFERROR(__xludf.DUMMYFUNCTION("GOOGLETRANSLATE(C1453,""ja"",""vi"")"),"Đấu giá&gt; ô tô, xe máy&gt; phụ tùng&gt; Bằng cách sản xuất xe hơi&gt; cho Chrysler")</f>
        <v>Đấu giá&gt; ô tô, xe máy&gt; phụ tùng&gt; Bằng cách sản xuất xe hơi&gt; cho Chrysler</v>
      </c>
      <c r="F1453" t="str">
        <f t="shared" ca="1" si="22"/>
        <v>"2084200985" : "Đối với Chrysler",</v>
      </c>
    </row>
    <row r="1454" spans="1:6" ht="15.75" customHeight="1">
      <c r="A1454" s="18">
        <v>2084016919</v>
      </c>
      <c r="B1454" s="18" t="s">
        <v>14657</v>
      </c>
      <c r="C1454" s="18" t="s">
        <v>15544</v>
      </c>
      <c r="D1454" s="5" t="str">
        <f ca="1">IFERROR(__xludf.DUMMYFUNCTION("GOOGLETRANSLATE(B1454,""ja"",""vi"")"),"Đối với Citroen")</f>
        <v>Đối với Citroen</v>
      </c>
      <c r="E1454" s="5" t="str">
        <f ca="1">IFERROR(__xludf.DUMMYFUNCTION("GOOGLETRANSLATE(C1454,""ja"",""vi"")"),"Đấu giá&gt; ô tô, xe máy&gt; phụ tùng&gt; Bằng cách sản xuất xe hơi&gt; cho Citroen")</f>
        <v>Đấu giá&gt; ô tô, xe máy&gt; phụ tùng&gt; Bằng cách sản xuất xe hơi&gt; cho Citroen</v>
      </c>
      <c r="F1454" t="str">
        <f t="shared" ca="1" si="22"/>
        <v>"2084016919" : "Đối với Citroen",</v>
      </c>
    </row>
    <row r="1455" spans="1:6" ht="15.75" customHeight="1">
      <c r="A1455" s="18">
        <v>2084016920</v>
      </c>
      <c r="B1455" s="18" t="s">
        <v>14663</v>
      </c>
      <c r="C1455" s="18" t="s">
        <v>15548</v>
      </c>
      <c r="D1455" s="5" t="str">
        <f ca="1">IFERROR(__xludf.DUMMYFUNCTION("GOOGLETRANSLATE(B1455,""ja"",""vi"")"),"Đối với Chevrolet")</f>
        <v>Đối với Chevrolet</v>
      </c>
      <c r="E1455" s="5" t="str">
        <f ca="1">IFERROR(__xludf.DUMMYFUNCTION("GOOGLETRANSLATE(C1455,""ja"",""vi"")"),"Đấu giá&gt; ô tô, xe máy&gt; phụ tùng&gt; Bằng cách sản xuất xe hơi&gt; cho Chevrolet")</f>
        <v>Đấu giá&gt; ô tô, xe máy&gt; phụ tùng&gt; Bằng cách sản xuất xe hơi&gt; cho Chevrolet</v>
      </c>
      <c r="F1455" t="str">
        <f t="shared" ca="1" si="22"/>
        <v>"2084016920" : "Đối với Chevrolet",</v>
      </c>
    </row>
    <row r="1456" spans="1:6" ht="15.75" customHeight="1">
      <c r="A1456" s="18">
        <v>2084200973</v>
      </c>
      <c r="B1456" s="18" t="s">
        <v>14667</v>
      </c>
      <c r="C1456" s="18" t="s">
        <v>15551</v>
      </c>
      <c r="D1456" s="5" t="str">
        <f ca="1">IFERROR(__xludf.DUMMYFUNCTION("GOOGLETRANSLATE(B1456,""ja"",""vi"")"),"Đối với Jaguar")</f>
        <v>Đối với Jaguar</v>
      </c>
      <c r="E1456" s="5" t="str">
        <f ca="1">IFERROR(__xludf.DUMMYFUNCTION("GOOGLETRANSLATE(C1456,""ja"",""vi"")"),"Đấu giá&gt; ô tô, xe máy&gt; phụ tùng&gt; Bằng cách sản xuất xe hơi&gt; cho Jaguar")</f>
        <v>Đấu giá&gt; ô tô, xe máy&gt; phụ tùng&gt; Bằng cách sản xuất xe hơi&gt; cho Jaguar</v>
      </c>
      <c r="F1456" t="str">
        <f t="shared" ca="1" si="22"/>
        <v>"2084200973" : "Đối với Jaguar",</v>
      </c>
    </row>
    <row r="1457" spans="1:6" ht="15.75" customHeight="1">
      <c r="A1457" s="18">
        <v>2084016921</v>
      </c>
      <c r="B1457" s="18" t="s">
        <v>14671</v>
      </c>
      <c r="C1457" s="18" t="s">
        <v>15553</v>
      </c>
      <c r="D1457" s="5" t="str">
        <f ca="1">IFERROR(__xludf.DUMMYFUNCTION("GOOGLETRANSLATE(B1457,""ja"",""vi"")"),"Đối với Suzuki")</f>
        <v>Đối với Suzuki</v>
      </c>
      <c r="E1457" s="5" t="str">
        <f ca="1">IFERROR(__xludf.DUMMYFUNCTION("GOOGLETRANSLATE(C1457,""ja"",""vi"")"),"Đấu giá&gt; ô tô, xe máy&gt; phụ tùng&gt; Bằng cách sản xuất xe hơi&gt; cho Suzuki")</f>
        <v>Đấu giá&gt; ô tô, xe máy&gt; phụ tùng&gt; Bằng cách sản xuất xe hơi&gt; cho Suzuki</v>
      </c>
      <c r="F1457" t="str">
        <f t="shared" ca="1" si="22"/>
        <v>"2084016921" : "Đối với Suzuki",</v>
      </c>
    </row>
    <row r="1458" spans="1:6" ht="15.75" customHeight="1">
      <c r="A1458" s="18">
        <v>2084016922</v>
      </c>
      <c r="B1458" s="18" t="s">
        <v>14673</v>
      </c>
      <c r="C1458" s="18" t="s">
        <v>15556</v>
      </c>
      <c r="D1458" s="5" t="str">
        <f ca="1">IFERROR(__xludf.DUMMYFUNCTION("GOOGLETRANSLATE(B1458,""ja"",""vi"")"),"Đối với Subaru")</f>
        <v>Đối với Subaru</v>
      </c>
      <c r="E1458" s="5" t="str">
        <f ca="1">IFERROR(__xludf.DUMMYFUNCTION("GOOGLETRANSLATE(C1458,""ja"",""vi"")"),"Đấu giá&gt; ô tô, xe máy&gt; phụ tùng&gt; Bằng cách sản xuất xe hơi&gt; cho Subaru")</f>
        <v>Đấu giá&gt; ô tô, xe máy&gt; phụ tùng&gt; Bằng cách sản xuất xe hơi&gt; cho Subaru</v>
      </c>
      <c r="F1458" t="str">
        <f t="shared" ca="1" si="22"/>
        <v>"2084016922" : "Đối với Subaru",</v>
      </c>
    </row>
    <row r="1459" spans="1:6" ht="15.75" customHeight="1">
      <c r="A1459" s="18">
        <v>2084016923</v>
      </c>
      <c r="B1459" s="18" t="s">
        <v>14677</v>
      </c>
      <c r="C1459" s="18" t="s">
        <v>15559</v>
      </c>
      <c r="D1459" s="5" t="str">
        <f ca="1">IFERROR(__xludf.DUMMYFUNCTION("GOOGLETRANSLATE(B1459,""ja"",""vi"")"),"Đối với Daihatsu")</f>
        <v>Đối với Daihatsu</v>
      </c>
      <c r="E1459" s="5" t="str">
        <f ca="1">IFERROR(__xludf.DUMMYFUNCTION("GOOGLETRANSLATE(C1459,""ja"",""vi"")"),"Đấu giá&gt; ô tô, xe máy&gt; phụ tùng&gt; Bằng cách sản xuất xe hơi&gt; cho Daihatsu")</f>
        <v>Đấu giá&gt; ô tô, xe máy&gt; phụ tùng&gt; Bằng cách sản xuất xe hơi&gt; cho Daihatsu</v>
      </c>
      <c r="F1459" t="str">
        <f t="shared" ca="1" si="22"/>
        <v>"2084016923" : "Đối với Daihatsu",</v>
      </c>
    </row>
    <row r="1460" spans="1:6" ht="15.75" customHeight="1">
      <c r="A1460" s="18">
        <v>2084016924</v>
      </c>
      <c r="B1460" s="18" t="s">
        <v>14682</v>
      </c>
      <c r="C1460" s="18" t="s">
        <v>15562</v>
      </c>
      <c r="D1460" s="5" t="str">
        <f ca="1">IFERROR(__xludf.DUMMYFUNCTION("GOOGLETRANSLATE(B1460,""ja"",""vi"")"),"Đối với Toyota")</f>
        <v>Đối với Toyota</v>
      </c>
      <c r="E1460" s="5" t="str">
        <f ca="1">IFERROR(__xludf.DUMMYFUNCTION("GOOGLETRANSLATE(C1460,""ja"",""vi"")"),"Đấu giá&gt; ô tô, xe máy&gt; phụ tùng&gt; Bằng cách sản xuất xe hơi&gt; cho Toyota")</f>
        <v>Đấu giá&gt; ô tô, xe máy&gt; phụ tùng&gt; Bằng cách sản xuất xe hơi&gt; cho Toyota</v>
      </c>
      <c r="F1460" t="str">
        <f t="shared" ca="1" si="22"/>
        <v>"2084016924" : "Đối với Toyota",</v>
      </c>
    </row>
    <row r="1461" spans="1:6" ht="15.75" customHeight="1">
      <c r="A1461" s="18">
        <v>2084016926</v>
      </c>
      <c r="B1461" s="18" t="s">
        <v>14685</v>
      </c>
      <c r="C1461" s="18" t="s">
        <v>15564</v>
      </c>
      <c r="D1461" s="5" t="str">
        <f ca="1">IFERROR(__xludf.DUMMYFUNCTION("GOOGLETRANSLATE(B1461,""ja"",""vi"")"),"Đối với Fiat")</f>
        <v>Đối với Fiat</v>
      </c>
      <c r="E1461" s="5" t="str">
        <f ca="1">IFERROR(__xludf.DUMMYFUNCTION("GOOGLETRANSLATE(C1461,""ja"",""vi"")"),"Đấu giá&gt; ô tô, xe máy&gt; phụ tùng&gt; Bằng cách sản xuất xe hơi&gt; cho Fiat")</f>
        <v>Đấu giá&gt; ô tô, xe máy&gt; phụ tùng&gt; Bằng cách sản xuất xe hơi&gt; cho Fiat</v>
      </c>
      <c r="F1461" t="str">
        <f t="shared" ca="1" si="22"/>
        <v>"2084016926" : "Đối với Fiat",</v>
      </c>
    </row>
    <row r="1462" spans="1:6" ht="15.75" customHeight="1">
      <c r="A1462" s="18">
        <v>2084016927</v>
      </c>
      <c r="B1462" s="18" t="s">
        <v>14690</v>
      </c>
      <c r="C1462" s="18" t="s">
        <v>15567</v>
      </c>
      <c r="D1462" s="5" t="str">
        <f ca="1">IFERROR(__xludf.DUMMYFUNCTION("GOOGLETRANSLATE(B1462,""ja"",""vi"")"),"Đối với Ford")</f>
        <v>Đối với Ford</v>
      </c>
      <c r="E1462" s="5" t="str">
        <f ca="1">IFERROR(__xludf.DUMMYFUNCTION("GOOGLETRANSLATE(C1462,""ja"",""vi"")"),"Đấu giá&gt; ô tô, xe máy&gt; phụ tùng&gt; Bằng cách sản xuất xe hơi&gt; cho Ford")</f>
        <v>Đấu giá&gt; ô tô, xe máy&gt; phụ tùng&gt; Bằng cách sản xuất xe hơi&gt; cho Ford</v>
      </c>
      <c r="F1462" t="str">
        <f t="shared" ca="1" si="22"/>
        <v>"2084016927" : "Đối với Ford",</v>
      </c>
    </row>
    <row r="1463" spans="1:6" ht="15.75" customHeight="1">
      <c r="A1463" s="18">
        <v>2084016928</v>
      </c>
      <c r="B1463" s="18" t="s">
        <v>14694</v>
      </c>
      <c r="C1463" s="18" t="s">
        <v>15570</v>
      </c>
      <c r="D1463" s="5" t="str">
        <f ca="1">IFERROR(__xludf.DUMMYFUNCTION("GOOGLETRANSLATE(B1463,""ja"",""vi"")"),"Đối với Volkswagen")</f>
        <v>Đối với Volkswagen</v>
      </c>
      <c r="E1463" s="5" t="str">
        <f ca="1">IFERROR(__xludf.DUMMYFUNCTION("GOOGLETRANSLATE(C1463,""ja"",""vi"")"),"Đấu giá&gt; ô tô, xe máy&gt; phụ tùng&gt; Bằng cách sản xuất xe hơi&gt; cho Volkswagen")</f>
        <v>Đấu giá&gt; ô tô, xe máy&gt; phụ tùng&gt; Bằng cách sản xuất xe hơi&gt; cho Volkswagen</v>
      </c>
      <c r="F1463" t="str">
        <f t="shared" ca="1" si="22"/>
        <v>"2084016928" : "Đối với Volkswagen",</v>
      </c>
    </row>
    <row r="1464" spans="1:6" ht="15.75" customHeight="1">
      <c r="A1464" s="18">
        <v>2084016929</v>
      </c>
      <c r="B1464" s="18" t="s">
        <v>14698</v>
      </c>
      <c r="C1464" s="18" t="s">
        <v>15575</v>
      </c>
      <c r="D1464" s="5" t="str">
        <f ca="1">IFERROR(__xludf.DUMMYFUNCTION("GOOGLETRANSLATE(B1464,""ja"",""vi"")"),"Đối với Peugeot")</f>
        <v>Đối với Peugeot</v>
      </c>
      <c r="E1464" s="5" t="str">
        <f ca="1">IFERROR(__xludf.DUMMYFUNCTION("GOOGLETRANSLATE(C1464,""ja"",""vi"")"),"Đấu giá&gt; ô tô, xe máy&gt; phụ tùng&gt; Bằng cách sản xuất xe hơi&gt; cho Peugeot")</f>
        <v>Đấu giá&gt; ô tô, xe máy&gt; phụ tùng&gt; Bằng cách sản xuất xe hơi&gt; cho Peugeot</v>
      </c>
      <c r="F1464" t="str">
        <f t="shared" ca="1" si="22"/>
        <v>"2084016929" : "Đối với Peugeot",</v>
      </c>
    </row>
    <row r="1465" spans="1:6" ht="15.75" customHeight="1">
      <c r="A1465" s="18">
        <v>2084016932</v>
      </c>
      <c r="B1465" s="18" t="s">
        <v>14701</v>
      </c>
      <c r="C1465" s="18" t="s">
        <v>15580</v>
      </c>
      <c r="D1465" s="5" t="str">
        <f ca="1">IFERROR(__xludf.DUMMYFUNCTION("GOOGLETRANSLATE(B1465,""ja"",""vi"")"),"Đối với Honda")</f>
        <v>Đối với Honda</v>
      </c>
      <c r="E1465" s="5" t="str">
        <f ca="1">IFERROR(__xludf.DUMMYFUNCTION("GOOGLETRANSLATE(C1465,""ja"",""vi"")"),"Đấu giá&gt; ô tô, xe máy&gt; phụ tùng&gt; Bằng cách sản xuất xe hơi&gt; cho Honda")</f>
        <v>Đấu giá&gt; ô tô, xe máy&gt; phụ tùng&gt; Bằng cách sản xuất xe hơi&gt; cho Honda</v>
      </c>
      <c r="F1465" t="str">
        <f t="shared" ca="1" si="22"/>
        <v>"2084016932" : "Đối với Honda",</v>
      </c>
    </row>
    <row r="1466" spans="1:6" ht="15.75" customHeight="1">
      <c r="A1466" s="18">
        <v>2084016931</v>
      </c>
      <c r="B1466" s="18" t="s">
        <v>14705</v>
      </c>
      <c r="C1466" s="18" t="s">
        <v>15586</v>
      </c>
      <c r="D1466" s="5" t="str">
        <f ca="1">IFERROR(__xludf.DUMMYFUNCTION("GOOGLETRANSLATE(B1466,""ja"",""vi"")"),"Đối với Volvo")</f>
        <v>Đối với Volvo</v>
      </c>
      <c r="E1466" s="5" t="str">
        <f ca="1">IFERROR(__xludf.DUMMYFUNCTION("GOOGLETRANSLATE(C1466,""ja"",""vi"")"),"Đấu giá&gt; ô tô, xe máy&gt; phụ tùng&gt; Bằng cách sản xuất xe hơi&gt; cho Volvo")</f>
        <v>Đấu giá&gt; ô tô, xe máy&gt; phụ tùng&gt; Bằng cách sản xuất xe hơi&gt; cho Volvo</v>
      </c>
      <c r="F1466" t="str">
        <f t="shared" ca="1" si="22"/>
        <v>"2084016931" : "Đối với Volvo",</v>
      </c>
    </row>
    <row r="1467" spans="1:6" ht="15.75" customHeight="1">
      <c r="A1467" s="18">
        <v>2084016930</v>
      </c>
      <c r="B1467" s="18" t="s">
        <v>14709</v>
      </c>
      <c r="C1467" s="18" t="s">
        <v>15593</v>
      </c>
      <c r="D1467" s="5" t="str">
        <f ca="1">IFERROR(__xludf.DUMMYFUNCTION("GOOGLETRANSLATE(B1467,""ja"",""vi"")"),"Đối với Porsche")</f>
        <v>Đối với Porsche</v>
      </c>
      <c r="E1467" s="5" t="str">
        <f ca="1">IFERROR(__xludf.DUMMYFUNCTION("GOOGLETRANSLATE(C1467,""ja"",""vi"")"),"Đấu giá&gt; ô tô, xe máy&gt; phụ tùng&gt; Bằng cách sản xuất xe hơi&gt; cho Porsche")</f>
        <v>Đấu giá&gt; ô tô, xe máy&gt; phụ tùng&gt; Bằng cách sản xuất xe hơi&gt; cho Porsche</v>
      </c>
      <c r="F1467" t="str">
        <f t="shared" ca="1" si="22"/>
        <v>"2084016930" : "Đối với Porsche",</v>
      </c>
    </row>
    <row r="1468" spans="1:6" ht="15.75" customHeight="1">
      <c r="A1468" s="18">
        <v>2084016933</v>
      </c>
      <c r="B1468" s="18" t="s">
        <v>14713</v>
      </c>
      <c r="C1468" s="18" t="s">
        <v>15600</v>
      </c>
      <c r="D1468" s="5" t="str">
        <f ca="1">IFERROR(__xludf.DUMMYFUNCTION("GOOGLETRANSLATE(B1468,""ja"",""vi"")"),"Đối với Mazda")</f>
        <v>Đối với Mazda</v>
      </c>
      <c r="E1468" s="5" t="str">
        <f ca="1">IFERROR(__xludf.DUMMYFUNCTION("GOOGLETRANSLATE(C1468,""ja"",""vi"")"),"Đấu giá&gt; ô tô, xe máy&gt; phụ tùng&gt; Bằng cách sản xuất xe hơi&gt; cho Mazda")</f>
        <v>Đấu giá&gt; ô tô, xe máy&gt; phụ tùng&gt; Bằng cách sản xuất xe hơi&gt; cho Mazda</v>
      </c>
      <c r="F1468" t="str">
        <f t="shared" ca="1" si="22"/>
        <v>"2084016933" : "Đối với Mazda",</v>
      </c>
    </row>
    <row r="1469" spans="1:6" ht="15.75" customHeight="1">
      <c r="A1469" s="18">
        <v>2084016935</v>
      </c>
      <c r="B1469" s="18" t="s">
        <v>14717</v>
      </c>
      <c r="C1469" s="18" t="s">
        <v>15606</v>
      </c>
      <c r="D1469" s="5" t="str">
        <f ca="1">IFERROR(__xludf.DUMMYFUNCTION("GOOGLETRANSLATE(B1469,""ja"",""vi"")"),"Mini")</f>
        <v>Mini</v>
      </c>
      <c r="E1469" s="5" t="str">
        <f ca="1">IFERROR(__xludf.DUMMYFUNCTION("GOOGLETRANSLATE(C1469,""ja"",""vi"")"),"Đấu giá&gt; ô tô, xe máy&gt; phụ tùng&gt; Bằng cách sản xuất xe hơi&gt; mini")</f>
        <v>Đấu giá&gt; ô tô, xe máy&gt; phụ tùng&gt; Bằng cách sản xuất xe hơi&gt; mini</v>
      </c>
      <c r="F1469" t="str">
        <f t="shared" ca="1" si="22"/>
        <v>"2084016935" : "Mini",</v>
      </c>
    </row>
    <row r="1470" spans="1:6" ht="15.75" customHeight="1">
      <c r="A1470" s="18">
        <v>2084016936</v>
      </c>
      <c r="B1470" s="18" t="s">
        <v>14720</v>
      </c>
      <c r="C1470" s="18" t="s">
        <v>15611</v>
      </c>
      <c r="D1470" s="5" t="str">
        <f ca="1">IFERROR(__xludf.DUMMYFUNCTION("GOOGLETRANSLATE(B1470,""ja"",""vi"")"),"Đối với Mercedes-Benz")</f>
        <v>Đối với Mercedes-Benz</v>
      </c>
      <c r="E1470" s="5" t="str">
        <f ca="1">IFERROR(__xludf.DUMMYFUNCTION("GOOGLETRANSLATE(C1470,""ja"",""vi"")"),"Đấu giá&gt; ô tô, xe máy&gt; phụ tùng&gt; Bằng cách sản xuất xe hơi&gt; cho Mercedes-Benz")</f>
        <v>Đấu giá&gt; ô tô, xe máy&gt; phụ tùng&gt; Bằng cách sản xuất xe hơi&gt; cho Mercedes-Benz</v>
      </c>
      <c r="F1470" t="str">
        <f t="shared" ca="1" si="22"/>
        <v>"2084016936" : "Đối với Mercedes-Benz",</v>
      </c>
    </row>
    <row r="1471" spans="1:6" ht="15.75" customHeight="1">
      <c r="A1471" s="18">
        <v>2084200965</v>
      </c>
      <c r="B1471" s="18" t="s">
        <v>14870</v>
      </c>
      <c r="C1471" s="18" t="s">
        <v>15615</v>
      </c>
      <c r="D1471" s="5" t="str">
        <f ca="1">IFERROR(__xludf.DUMMYFUNCTION("GOOGLETRANSLATE(B1471,""ja"",""vi"")"),"Đối với Lancia")</f>
        <v>Đối với Lancia</v>
      </c>
      <c r="E1471" s="5" t="str">
        <f ca="1">IFERROR(__xludf.DUMMYFUNCTION("GOOGLETRANSLATE(C1471,""ja"",""vi"")"),"Đấu giá&gt; ô tô, xe máy&gt; phụ tùng&gt; Bằng cách sản xuất xe hơi&gt; cho Lancia")</f>
        <v>Đấu giá&gt; ô tô, xe máy&gt; phụ tùng&gt; Bằng cách sản xuất xe hơi&gt; cho Lancia</v>
      </c>
      <c r="F1471" t="str">
        <f t="shared" ca="1" si="22"/>
        <v>"2084200965" : "Đối với Lancia",</v>
      </c>
    </row>
    <row r="1472" spans="1:6" ht="15.75" customHeight="1">
      <c r="A1472" s="18">
        <v>2084016937</v>
      </c>
      <c r="B1472" s="18" t="s">
        <v>14724</v>
      </c>
      <c r="C1472" s="18" t="s">
        <v>15619</v>
      </c>
      <c r="D1472" s="5" t="str">
        <f ca="1">IFERROR(__xludf.DUMMYFUNCTION("GOOGLETRANSLATE(B1472,""ja"",""vi"")"),"Đối với Renault")</f>
        <v>Đối với Renault</v>
      </c>
      <c r="E1472" s="5" t="str">
        <f ca="1">IFERROR(__xludf.DUMMYFUNCTION("GOOGLETRANSLATE(C1472,""ja"",""vi"")"),"Đấu giá&gt; ô tô, xe máy&gt; phụ tùng&gt; Bằng cách sản xuất xe hơi&gt; cho Renault")</f>
        <v>Đấu giá&gt; ô tô, xe máy&gt; phụ tùng&gt; Bằng cách sản xuất xe hơi&gt; cho Renault</v>
      </c>
      <c r="F1472" t="str">
        <f t="shared" ca="1" si="22"/>
        <v>"2084016937" : "Đối với Renault",</v>
      </c>
    </row>
    <row r="1473" spans="1:6" ht="15.75" customHeight="1">
      <c r="A1473" s="18">
        <v>2084016934</v>
      </c>
      <c r="B1473" s="18" t="s">
        <v>14734</v>
      </c>
      <c r="C1473" s="18" t="s">
        <v>15623</v>
      </c>
      <c r="D1473" s="5" t="str">
        <f ca="1">IFERROR(__xludf.DUMMYFUNCTION("GOOGLETRANSLATE(B1473,""ja"",""vi"")"),"Đối với Mitsubishi")</f>
        <v>Đối với Mitsubishi</v>
      </c>
      <c r="E1473" s="5" t="str">
        <f ca="1">IFERROR(__xludf.DUMMYFUNCTION("GOOGLETRANSLATE(C1473,""ja"",""vi"")"),"Đấu giá&gt; ô tô, xe máy&gt; phụ tùng&gt; Bằng cách sản xuất xe hơi&gt; cho Mitsubishi")</f>
        <v>Đấu giá&gt; ô tô, xe máy&gt; phụ tùng&gt; Bằng cách sản xuất xe hơi&gt; cho Mitsubishi</v>
      </c>
      <c r="F1473" t="str">
        <f t="shared" ca="1" si="22"/>
        <v>"2084016934" : "Đối với Mitsubishi",</v>
      </c>
    </row>
    <row r="1474" spans="1:6" ht="15.75" customHeight="1">
      <c r="A1474" s="18">
        <v>2084016925</v>
      </c>
      <c r="B1474" s="18" t="s">
        <v>14737</v>
      </c>
      <c r="C1474" s="18" t="s">
        <v>15626</v>
      </c>
      <c r="D1474" s="5" t="str">
        <f ca="1">IFERROR(__xludf.DUMMYFUNCTION("GOOGLETRANSLATE(B1474,""ja"",""vi"")"),"Đối với Nissan")</f>
        <v>Đối với Nissan</v>
      </c>
      <c r="E1474" s="5" t="str">
        <f ca="1">IFERROR(__xludf.DUMMYFUNCTION("GOOGLETRANSLATE(C1474,""ja"",""vi"")"),"Đấu giá&gt; ô tô, xe máy&gt; phụ tùng&gt; Bằng cách sản xuất xe hơi&gt; cho Nissan")</f>
        <v>Đấu giá&gt; ô tô, xe máy&gt; phụ tùng&gt; Bằng cách sản xuất xe hơi&gt; cho Nissan</v>
      </c>
      <c r="F1474" t="str">
        <f t="shared" ref="F1474:F1537" ca="1" si="23">CONCATENATE(CHAR(34)&amp;"",A1474,""&amp;CHAR(34)," : ", CHAR(34)&amp;"",D1474,""&amp;CHAR(34),",")</f>
        <v>"2084016925" : "Đối với Nissan",</v>
      </c>
    </row>
    <row r="1475" spans="1:6" ht="15.75" customHeight="1">
      <c r="A1475" s="18">
        <v>2084061284</v>
      </c>
      <c r="B1475" s="18" t="s">
        <v>13861</v>
      </c>
      <c r="C1475" s="18" t="s">
        <v>13862</v>
      </c>
      <c r="D1475" s="5" t="str">
        <f ca="1">IFERROR(__xludf.DUMMYFUNCTION("GOOGLETRANSLATE(B1475,""ja"",""vi"")"),"Toyota")</f>
        <v>Toyota</v>
      </c>
      <c r="E1475" s="5" t="str">
        <f ca="1">IFERROR(__xludf.DUMMYFUNCTION("GOOGLETRANSLATE(C1475,""ja"",""vi"")"),"Đấu giá&gt; ô tô, xe máy&gt; phụ tùng lên xe&gt; Toyota")</f>
        <v>Đấu giá&gt; ô tô, xe máy&gt; phụ tùng lên xe&gt; Toyota</v>
      </c>
      <c r="F1475" t="str">
        <f t="shared" ca="1" si="23"/>
        <v>"2084061284" : "Toyota",</v>
      </c>
    </row>
    <row r="1476" spans="1:6" ht="15.75" customHeight="1">
      <c r="A1476" s="18">
        <v>2084061282</v>
      </c>
      <c r="B1476" s="18" t="s">
        <v>6923</v>
      </c>
      <c r="C1476" s="18" t="s">
        <v>13869</v>
      </c>
      <c r="D1476" s="5" t="str">
        <f ca="1">IFERROR(__xludf.DUMMYFUNCTION("GOOGLETRANSLATE(B1476,""ja"",""vi"")"),"Suzuki")</f>
        <v>Suzuki</v>
      </c>
      <c r="E1476" s="5" t="str">
        <f ca="1">IFERROR(__xludf.DUMMYFUNCTION("GOOGLETRANSLATE(C1476,""ja"",""vi"")"),"Đấu giá&gt; ô tô, xe máy&gt; phụ tùng lên xe&gt; Suzuki")</f>
        <v>Đấu giá&gt; ô tô, xe máy&gt; phụ tùng lên xe&gt; Suzuki</v>
      </c>
      <c r="F1476" t="str">
        <f t="shared" ca="1" si="23"/>
        <v>"2084061282" : "Suzuki",</v>
      </c>
    </row>
    <row r="1477" spans="1:6" ht="15.75" customHeight="1">
      <c r="A1477" s="18">
        <v>2084313084</v>
      </c>
      <c r="B1477" s="18" t="s">
        <v>13872</v>
      </c>
      <c r="C1477" s="18" t="s">
        <v>13874</v>
      </c>
      <c r="D1477" s="5" t="str">
        <f ca="1">IFERROR(__xludf.DUMMYFUNCTION("GOOGLETRANSLATE(B1477,""ja"",""vi"")"),"Subaru")</f>
        <v>Subaru</v>
      </c>
      <c r="E1477" s="5" t="str">
        <f ca="1">IFERROR(__xludf.DUMMYFUNCTION("GOOGLETRANSLATE(C1477,""ja"",""vi"")"),"Đấu giá&gt; ô tô, xe máy&gt; phụ tùng lên xe&gt; Subaru")</f>
        <v>Đấu giá&gt; ô tô, xe máy&gt; phụ tùng lên xe&gt; Subaru</v>
      </c>
      <c r="F1477" t="str">
        <f t="shared" ca="1" si="23"/>
        <v>"2084313084" : "Subaru",</v>
      </c>
    </row>
    <row r="1478" spans="1:6" ht="15.75" customHeight="1">
      <c r="A1478" s="18">
        <v>2084061283</v>
      </c>
      <c r="B1478" s="18" t="s">
        <v>13879</v>
      </c>
      <c r="C1478" s="18" t="s">
        <v>13880</v>
      </c>
      <c r="D1478" s="5" t="str">
        <f ca="1">IFERROR(__xludf.DUMMYFUNCTION("GOOGLETRANSLATE(B1478,""ja"",""vi"")"),"Daihatsu")</f>
        <v>Daihatsu</v>
      </c>
      <c r="E1478" s="5" t="str">
        <f ca="1">IFERROR(__xludf.DUMMYFUNCTION("GOOGLETRANSLATE(C1478,""ja"",""vi"")"),"Đấu giá&gt; ô tô, xe máy&gt; phụ tùng lên xe&gt; Daihatsu")</f>
        <v>Đấu giá&gt; ô tô, xe máy&gt; phụ tùng lên xe&gt; Daihatsu</v>
      </c>
      <c r="F1478" t="str">
        <f t="shared" ca="1" si="23"/>
        <v>"2084061283" : "Daihatsu",</v>
      </c>
    </row>
    <row r="1479" spans="1:6" ht="15.75" customHeight="1">
      <c r="A1479" s="18">
        <v>2084061285</v>
      </c>
      <c r="B1479" s="18" t="s">
        <v>6927</v>
      </c>
      <c r="C1479" s="18" t="s">
        <v>13885</v>
      </c>
      <c r="D1479" s="5" t="str">
        <f ca="1">IFERROR(__xludf.DUMMYFUNCTION("GOOGLETRANSLATE(B1479,""ja"",""vi"")"),"Honda")</f>
        <v>Honda</v>
      </c>
      <c r="E1479" s="5" t="str">
        <f ca="1">IFERROR(__xludf.DUMMYFUNCTION("GOOGLETRANSLATE(C1479,""ja"",""vi"")"),"Đấu giá&gt; ô tô, xe máy&gt; phụ tùng lên xe&gt; Honda")</f>
        <v>Đấu giá&gt; ô tô, xe máy&gt; phụ tùng lên xe&gt; Honda</v>
      </c>
      <c r="F1479" t="str">
        <f t="shared" ca="1" si="23"/>
        <v>"2084061285" : "Honda",</v>
      </c>
    </row>
    <row r="1480" spans="1:6" ht="15.75" customHeight="1">
      <c r="A1480" s="18">
        <v>2084313083</v>
      </c>
      <c r="B1480" s="18" t="s">
        <v>13887</v>
      </c>
      <c r="C1480" s="18" t="s">
        <v>13890</v>
      </c>
      <c r="D1480" s="5" t="str">
        <f ca="1">IFERROR(__xludf.DUMMYFUNCTION("GOOGLETRANSLATE(B1480,""ja"",""vi"")"),"Mazda")</f>
        <v>Mazda</v>
      </c>
      <c r="E1480" s="5" t="str">
        <f ca="1">IFERROR(__xludf.DUMMYFUNCTION("GOOGLETRANSLATE(C1480,""ja"",""vi"")"),"Đấu giá&gt; ô tô, xe máy&gt; phụ tùng lên xe&gt; Mazda")</f>
        <v>Đấu giá&gt; ô tô, xe máy&gt; phụ tùng lên xe&gt; Mazda</v>
      </c>
      <c r="F1480" t="str">
        <f t="shared" ca="1" si="23"/>
        <v>"2084313083" : "Mazda",</v>
      </c>
    </row>
    <row r="1481" spans="1:6" ht="15.75" customHeight="1">
      <c r="A1481" s="18">
        <v>2084061286</v>
      </c>
      <c r="B1481" s="18" t="s">
        <v>13893</v>
      </c>
      <c r="C1481" s="18" t="s">
        <v>13895</v>
      </c>
      <c r="D1481" s="5" t="str">
        <f ca="1">IFERROR(__xludf.DUMMYFUNCTION("GOOGLETRANSLATE(B1481,""ja"",""vi"")"),"Mitsubishi")</f>
        <v>Mitsubishi</v>
      </c>
      <c r="E1481" s="5" t="str">
        <f ca="1">IFERROR(__xludf.DUMMYFUNCTION("GOOGLETRANSLATE(C1481,""ja"",""vi"")"),"Đấu giá&gt; ô tô, xe máy&gt; phụ tùng lên xe&gt; Mitsubishi")</f>
        <v>Đấu giá&gt; ô tô, xe máy&gt; phụ tùng lên xe&gt; Mitsubishi</v>
      </c>
      <c r="F1481" t="str">
        <f t="shared" ca="1" si="23"/>
        <v>"2084061286" : "Mitsubishi",</v>
      </c>
    </row>
    <row r="1482" spans="1:6" ht="15.75" customHeight="1">
      <c r="A1482" s="18">
        <v>2084061287</v>
      </c>
      <c r="B1482" s="18" t="s">
        <v>13900</v>
      </c>
      <c r="C1482" s="18" t="s">
        <v>13901</v>
      </c>
      <c r="D1482" s="5" t="str">
        <f ca="1">IFERROR(__xludf.DUMMYFUNCTION("GOOGLETRANSLATE(B1482,""ja"",""vi"")"),"Nissan")</f>
        <v>Nissan</v>
      </c>
      <c r="E1482" s="5" t="str">
        <f ca="1">IFERROR(__xludf.DUMMYFUNCTION("GOOGLETRANSLATE(C1482,""ja"",""vi"")"),"Đấu giá&gt; ô tô, xe máy&gt; phụ tùng lên xe&gt; Nissan")</f>
        <v>Đấu giá&gt; ô tô, xe máy&gt; phụ tùng lên xe&gt; Nissan</v>
      </c>
      <c r="F1482" t="str">
        <f t="shared" ca="1" si="23"/>
        <v>"2084061287" : "Nissan",</v>
      </c>
    </row>
    <row r="1483" spans="1:6" ht="15.75" customHeight="1">
      <c r="A1483" s="18">
        <v>2084061281</v>
      </c>
      <c r="B1483" s="18" t="s">
        <v>13906</v>
      </c>
      <c r="C1483" s="18" t="s">
        <v>13908</v>
      </c>
      <c r="D1483" s="5" t="str">
        <f ca="1">IFERROR(__xludf.DUMMYFUNCTION("GOOGLETRANSLATE(B1483,""ja"",""vi"")"),"BMW")</f>
        <v>BMW</v>
      </c>
      <c r="E1483" s="5" t="str">
        <f ca="1">IFERROR(__xludf.DUMMYFUNCTION("GOOGLETRANSLATE(C1483,""ja"",""vi"")"),"Đấu giá&gt; ô tô, xe máy&gt; phụ tùng lên xe&gt; BMW")</f>
        <v>Đấu giá&gt; ô tô, xe máy&gt; phụ tùng lên xe&gt; BMW</v>
      </c>
      <c r="F1483" t="str">
        <f t="shared" ca="1" si="23"/>
        <v>"2084061281" : "BMW",</v>
      </c>
    </row>
    <row r="1484" spans="1:6" ht="15.75" customHeight="1">
      <c r="A1484" s="18">
        <v>2084313085</v>
      </c>
      <c r="B1484" s="18" t="s">
        <v>13913</v>
      </c>
      <c r="C1484" s="18" t="s">
        <v>13915</v>
      </c>
      <c r="D1484" s="5" t="str">
        <f ca="1">IFERROR(__xludf.DUMMYFUNCTION("GOOGLETRANSLATE(B1484,""ja"",""vi"")"),"Mercedes-Benz")</f>
        <v>Mercedes-Benz</v>
      </c>
      <c r="E1484" s="5" t="str">
        <f ca="1">IFERROR(__xludf.DUMMYFUNCTION("GOOGLETRANSLATE(C1484,""ja"",""vi"")"),"Đấu giá&gt; ô tô, xe máy&gt; phụ tùng lên xe&gt; Mercedes-Benz")</f>
        <v>Đấu giá&gt; ô tô, xe máy&gt; phụ tùng lên xe&gt; Mercedes-Benz</v>
      </c>
      <c r="F1484" t="str">
        <f t="shared" ca="1" si="23"/>
        <v>"2084313085" : "Mercedes-Benz",</v>
      </c>
    </row>
    <row r="1485" spans="1:6" ht="15.75" customHeight="1">
      <c r="A1485" s="18">
        <v>2084061288</v>
      </c>
      <c r="B1485" s="18" t="s">
        <v>46</v>
      </c>
      <c r="C1485" s="18" t="s">
        <v>13920</v>
      </c>
      <c r="D1485" s="5" t="str">
        <f ca="1">IFERROR(__xludf.DUMMYFUNCTION("GOOGLETRANSLATE(B1485,""ja"",""vi"")"),"nếu không thì")</f>
        <v>nếu không thì</v>
      </c>
      <c r="E1485" s="5" t="str">
        <f ca="1">IFERROR(__xludf.DUMMYFUNCTION("GOOGLETRANSLATE(C1485,""ja"",""vi"")"),"Đấu giá&gt; ô tô, xe máy&gt; phụ tùng lên xe&gt; Khác")</f>
        <v>Đấu giá&gt; ô tô, xe máy&gt; phụ tùng lên xe&gt; Khác</v>
      </c>
      <c r="F1485" t="str">
        <f t="shared" ca="1" si="23"/>
        <v>"2084061288" : "nếu không thì",</v>
      </c>
    </row>
    <row r="1486" spans="1:6" ht="15.75" customHeight="1">
      <c r="A1486" s="18">
        <v>2084241156</v>
      </c>
      <c r="B1486" s="18" t="s">
        <v>14888</v>
      </c>
      <c r="C1486" s="18" t="s">
        <v>15643</v>
      </c>
      <c r="D1486" s="5" t="str">
        <f ca="1">IFERROR(__xludf.DUMMYFUNCTION("GOOGLETRANSLATE(B1486,""ja"",""vi"")"),"Xe tải, bãi chỉ")</f>
        <v>Xe tải, bãi chỉ</v>
      </c>
      <c r="E1486" s="5" t="str">
        <f ca="1">IFERROR(__xludf.DUMMYFUNCTION("GOOGLETRANSLATE(C1486,""ja"",""vi"")"),"Đấu giá&gt; ô tô, xe máy&gt; lốp xe, bánh xe&gt; bánh lốp bộ&gt; xe tải, bãi chỉ")</f>
        <v>Đấu giá&gt; ô tô, xe máy&gt; lốp xe, bánh xe&gt; bánh lốp bộ&gt; xe tải, bãi chỉ</v>
      </c>
      <c r="F1486" t="str">
        <f t="shared" ca="1" si="23"/>
        <v>"2084241156" : "Xe tải, bãi chỉ",</v>
      </c>
    </row>
    <row r="1487" spans="1:6" ht="15.75" customHeight="1">
      <c r="A1487" s="18">
        <v>2084200184</v>
      </c>
      <c r="B1487" s="18" t="s">
        <v>15646</v>
      </c>
      <c r="C1487" s="18" t="s">
        <v>15649</v>
      </c>
      <c r="D1487" s="5" t="str">
        <f ca="1">IFERROR(__xludf.DUMMYFUNCTION("GOOGLETRANSLATE(B1487,""ja"",""vi"")"),"12 inch hoặc nhỏ hơn")</f>
        <v>12 inch hoặc nhỏ hơn</v>
      </c>
      <c r="E1487" s="5" t="str">
        <f ca="1">IFERROR(__xludf.DUMMYFUNCTION("GOOGLETRANSLATE(C1487,""ja"",""vi"")"),"Đấu giá&gt; ô tô, xe máy&gt; lốp xe, bánh xe&gt; bánh lốp bộ&gt; dưới 12 inch")</f>
        <v>Đấu giá&gt; ô tô, xe máy&gt; lốp xe, bánh xe&gt; bánh lốp bộ&gt; dưới 12 inch</v>
      </c>
      <c r="F1487" t="str">
        <f t="shared" ca="1" si="23"/>
        <v>"2084200184" : "12 inch hoặc nhỏ hơn",</v>
      </c>
    </row>
    <row r="1488" spans="1:6" ht="15.75" customHeight="1">
      <c r="A1488" s="18">
        <v>2084200185</v>
      </c>
      <c r="B1488" s="18" t="s">
        <v>15653</v>
      </c>
      <c r="C1488" s="18" t="s">
        <v>15656</v>
      </c>
      <c r="D1488" s="5" t="str">
        <f ca="1">IFERROR(__xludf.DUMMYFUNCTION("GOOGLETRANSLATE(B1488,""ja"",""vi"")"),"13 inch")</f>
        <v>13 inch</v>
      </c>
      <c r="E1488" s="5" t="str">
        <f ca="1">IFERROR(__xludf.DUMMYFUNCTION("GOOGLETRANSLATE(C1488,""ja"",""vi"")"),"Đấu giá&gt; ô tô, xe máy&gt; lốp xe, bánh xe&gt; bánh lốp bộ&gt; 13 inch")</f>
        <v>Đấu giá&gt; ô tô, xe máy&gt; lốp xe, bánh xe&gt; bánh lốp bộ&gt; 13 inch</v>
      </c>
      <c r="F1488" t="str">
        <f t="shared" ca="1" si="23"/>
        <v>"2084200185" : "13 inch",</v>
      </c>
    </row>
    <row r="1489" spans="1:6" ht="15.75" customHeight="1">
      <c r="A1489" s="18">
        <v>2084200186</v>
      </c>
      <c r="B1489" s="18" t="s">
        <v>15659</v>
      </c>
      <c r="C1489" s="18" t="s">
        <v>15660</v>
      </c>
      <c r="D1489" s="5" t="str">
        <f ca="1">IFERROR(__xludf.DUMMYFUNCTION("GOOGLETRANSLATE(B1489,""ja"",""vi"")"),"14 inch")</f>
        <v>14 inch</v>
      </c>
      <c r="E1489" s="5" t="str">
        <f ca="1">IFERROR(__xludf.DUMMYFUNCTION("GOOGLETRANSLATE(C1489,""ja"",""vi"")"),"Đấu giá&gt; ô tô, xe máy&gt; lốp xe, bánh xe&gt; bánh lốp bộ&gt; 14 inch")</f>
        <v>Đấu giá&gt; ô tô, xe máy&gt; lốp xe, bánh xe&gt; bánh lốp bộ&gt; 14 inch</v>
      </c>
      <c r="F1489" t="str">
        <f t="shared" ca="1" si="23"/>
        <v>"2084200186" : "14 inch",</v>
      </c>
    </row>
    <row r="1490" spans="1:6" ht="15.75" customHeight="1">
      <c r="A1490" s="18">
        <v>2084200187</v>
      </c>
      <c r="B1490" s="18" t="s">
        <v>15663</v>
      </c>
      <c r="C1490" s="18" t="s">
        <v>15664</v>
      </c>
      <c r="D1490" s="5" t="str">
        <f ca="1">IFERROR(__xludf.DUMMYFUNCTION("GOOGLETRANSLATE(B1490,""ja"",""vi"")"),"15 inch")</f>
        <v>15 inch</v>
      </c>
      <c r="E1490" s="5" t="str">
        <f ca="1">IFERROR(__xludf.DUMMYFUNCTION("GOOGLETRANSLATE(C1490,""ja"",""vi"")"),"Đấu giá&gt; ô tô, xe máy&gt; lốp xe, bánh xe&gt; bánh lốp bộ&gt; 15 inch")</f>
        <v>Đấu giá&gt; ô tô, xe máy&gt; lốp xe, bánh xe&gt; bánh lốp bộ&gt; 15 inch</v>
      </c>
      <c r="F1490" t="str">
        <f t="shared" ca="1" si="23"/>
        <v>"2084200187" : "15 inch",</v>
      </c>
    </row>
    <row r="1491" spans="1:6" ht="15.75" customHeight="1">
      <c r="A1491" s="18">
        <v>2084200188</v>
      </c>
      <c r="B1491" s="18" t="s">
        <v>15667</v>
      </c>
      <c r="C1491" s="18" t="s">
        <v>15668</v>
      </c>
      <c r="D1491" s="5" t="str">
        <f ca="1">IFERROR(__xludf.DUMMYFUNCTION("GOOGLETRANSLATE(B1491,""ja"",""vi"")"),"16 inch")</f>
        <v>16 inch</v>
      </c>
      <c r="E1491" s="5" t="str">
        <f ca="1">IFERROR(__xludf.DUMMYFUNCTION("GOOGLETRANSLATE(C1491,""ja"",""vi"")"),"Đấu giá&gt; ô tô, xe máy&gt; lốp xe, bánh xe&gt; bánh lốp bộ&gt; 16 inch")</f>
        <v>Đấu giá&gt; ô tô, xe máy&gt; lốp xe, bánh xe&gt; bánh lốp bộ&gt; 16 inch</v>
      </c>
      <c r="F1491" t="str">
        <f t="shared" ca="1" si="23"/>
        <v>"2084200188" : "16 inch",</v>
      </c>
    </row>
    <row r="1492" spans="1:6" ht="15.75" customHeight="1">
      <c r="A1492" s="18">
        <v>2084200189</v>
      </c>
      <c r="B1492" s="18" t="s">
        <v>15672</v>
      </c>
      <c r="C1492" s="18" t="s">
        <v>15673</v>
      </c>
      <c r="D1492" s="5" t="str">
        <f ca="1">IFERROR(__xludf.DUMMYFUNCTION("GOOGLETRANSLATE(B1492,""ja"",""vi"")"),"17 inch")</f>
        <v>17 inch</v>
      </c>
      <c r="E1492" s="5" t="str">
        <f ca="1">IFERROR(__xludf.DUMMYFUNCTION("GOOGLETRANSLATE(C1492,""ja"",""vi"")"),"Đấu giá&gt; ô tô, xe máy&gt; lốp xe, bánh xe&gt; bánh lốp bộ&gt; 17 inch")</f>
        <v>Đấu giá&gt; ô tô, xe máy&gt; lốp xe, bánh xe&gt; bánh lốp bộ&gt; 17 inch</v>
      </c>
      <c r="F1492" t="str">
        <f t="shared" ca="1" si="23"/>
        <v>"2084200189" : "17 inch",</v>
      </c>
    </row>
    <row r="1493" spans="1:6" ht="15.75" customHeight="1">
      <c r="A1493" s="18">
        <v>2084200190</v>
      </c>
      <c r="B1493" s="18" t="s">
        <v>15677</v>
      </c>
      <c r="C1493" s="18" t="s">
        <v>15678</v>
      </c>
      <c r="D1493" s="5" t="str">
        <f ca="1">IFERROR(__xludf.DUMMYFUNCTION("GOOGLETRANSLATE(B1493,""ja"",""vi"")"),"18 inch")</f>
        <v>18 inch</v>
      </c>
      <c r="E1493" s="5" t="str">
        <f ca="1">IFERROR(__xludf.DUMMYFUNCTION("GOOGLETRANSLATE(C1493,""ja"",""vi"")"),"Đấu giá&gt; ô tô, xe máy&gt; lốp xe, bánh xe&gt; bánh lốp bộ&gt; 18 inch")</f>
        <v>Đấu giá&gt; ô tô, xe máy&gt; lốp xe, bánh xe&gt; bánh lốp bộ&gt; 18 inch</v>
      </c>
      <c r="F1493" t="str">
        <f t="shared" ca="1" si="23"/>
        <v>"2084200190" : "18 inch",</v>
      </c>
    </row>
    <row r="1494" spans="1:6" ht="15.75" customHeight="1">
      <c r="A1494" s="18">
        <v>2084200191</v>
      </c>
      <c r="B1494" s="18" t="s">
        <v>15681</v>
      </c>
      <c r="C1494" s="18" t="s">
        <v>15683</v>
      </c>
      <c r="D1494" s="5" t="str">
        <f ca="1">IFERROR(__xludf.DUMMYFUNCTION("GOOGLETRANSLATE(B1494,""ja"",""vi"")"),"19 inch")</f>
        <v>19 inch</v>
      </c>
      <c r="E1494" s="5" t="str">
        <f ca="1">IFERROR(__xludf.DUMMYFUNCTION("GOOGLETRANSLATE(C1494,""ja"",""vi"")"),"Đấu giá&gt; ô tô, xe máy&gt; lốp xe, bánh xe&gt; bánh lốp bộ&gt; 19 inch")</f>
        <v>Đấu giá&gt; ô tô, xe máy&gt; lốp xe, bánh xe&gt; bánh lốp bộ&gt; 19 inch</v>
      </c>
      <c r="F1494" t="str">
        <f t="shared" ca="1" si="23"/>
        <v>"2084200191" : "19 inch",</v>
      </c>
    </row>
    <row r="1495" spans="1:6" ht="15.75" customHeight="1">
      <c r="A1495" s="18">
        <v>2084200192</v>
      </c>
      <c r="B1495" s="18" t="s">
        <v>15685</v>
      </c>
      <c r="C1495" s="18" t="s">
        <v>15688</v>
      </c>
      <c r="D1495" s="5" t="str">
        <f ca="1">IFERROR(__xludf.DUMMYFUNCTION("GOOGLETRANSLATE(B1495,""ja"",""vi"")"),"20 inch")</f>
        <v>20 inch</v>
      </c>
      <c r="E1495" s="5" t="str">
        <f ca="1">IFERROR(__xludf.DUMMYFUNCTION("GOOGLETRANSLATE(C1495,""ja"",""vi"")"),"Đấu giá&gt; ô tô, xe máy&gt; lốp xe, bánh xe&gt; bánh lốp bộ&gt; 20 inch")</f>
        <v>Đấu giá&gt; ô tô, xe máy&gt; lốp xe, bánh xe&gt; bánh lốp bộ&gt; 20 inch</v>
      </c>
      <c r="F1495" t="str">
        <f t="shared" ca="1" si="23"/>
        <v>"2084200192" : "20 inch",</v>
      </c>
    </row>
    <row r="1496" spans="1:6" ht="15.75" customHeight="1">
      <c r="A1496" s="18">
        <v>2084200193</v>
      </c>
      <c r="B1496" s="18" t="s">
        <v>15689</v>
      </c>
      <c r="C1496" s="18" t="s">
        <v>15691</v>
      </c>
      <c r="D1496" s="5" t="str">
        <f ca="1">IFERROR(__xludf.DUMMYFUNCTION("GOOGLETRANSLATE(B1496,""ja"",""vi"")"),"21 inch")</f>
        <v>21 inch</v>
      </c>
      <c r="E1496" s="5" t="str">
        <f ca="1">IFERROR(__xludf.DUMMYFUNCTION("GOOGLETRANSLATE(C1496,""ja"",""vi"")"),"Đấu giá&gt; ô tô, xe máy&gt; lốp xe, bánh xe&gt; bánh lốp bộ&gt; 21 inch")</f>
        <v>Đấu giá&gt; ô tô, xe máy&gt; lốp xe, bánh xe&gt; bánh lốp bộ&gt; 21 inch</v>
      </c>
      <c r="F1496" t="str">
        <f t="shared" ca="1" si="23"/>
        <v>"2084200193" : "21 inch",</v>
      </c>
    </row>
    <row r="1497" spans="1:6" ht="15.75" customHeight="1">
      <c r="A1497" s="18">
        <v>2084200194</v>
      </c>
      <c r="B1497" s="18" t="s">
        <v>15694</v>
      </c>
      <c r="C1497" s="18" t="s">
        <v>15695</v>
      </c>
      <c r="D1497" s="5" t="str">
        <f ca="1">IFERROR(__xludf.DUMMYFUNCTION("GOOGLETRANSLATE(B1497,""ja"",""vi"")"),"22 inch")</f>
        <v>22 inch</v>
      </c>
      <c r="E1497" s="5" t="str">
        <f ca="1">IFERROR(__xludf.DUMMYFUNCTION("GOOGLETRANSLATE(C1497,""ja"",""vi"")"),"Đấu giá&gt; ô tô, xe máy&gt; lốp xe, bánh xe&gt; bánh lốp bộ&gt; 22 inch")</f>
        <v>Đấu giá&gt; ô tô, xe máy&gt; lốp xe, bánh xe&gt; bánh lốp bộ&gt; 22 inch</v>
      </c>
      <c r="F1497" t="str">
        <f t="shared" ca="1" si="23"/>
        <v>"2084200194" : "22 inch",</v>
      </c>
    </row>
    <row r="1498" spans="1:6" ht="15.75" customHeight="1">
      <c r="A1498" s="18">
        <v>2084200195</v>
      </c>
      <c r="B1498" s="18" t="s">
        <v>15698</v>
      </c>
      <c r="C1498" s="18" t="s">
        <v>15699</v>
      </c>
      <c r="D1498" s="5" t="str">
        <f ca="1">IFERROR(__xludf.DUMMYFUNCTION("GOOGLETRANSLATE(B1498,""ja"",""vi"")"),"23 inch trở lên")</f>
        <v>23 inch trở lên</v>
      </c>
      <c r="E1498" s="5" t="str">
        <f ca="1">IFERROR(__xludf.DUMMYFUNCTION("GOOGLETRANSLATE(C1498,""ja"",""vi"")"),"Đấu giá&gt; ô tô, xe máy&gt; lốp xe, bánh xe&gt; bánh lốp bộ&gt; 23 inch hoặc hơn")</f>
        <v>Đấu giá&gt; ô tô, xe máy&gt; lốp xe, bánh xe&gt; bánh lốp bộ&gt; 23 inch hoặc hơn</v>
      </c>
      <c r="F1498" t="str">
        <f t="shared" ca="1" si="23"/>
        <v>"2084200195" : "23 inch trở lên",</v>
      </c>
    </row>
    <row r="1499" spans="1:6" ht="15.75" customHeight="1">
      <c r="A1499" s="18">
        <v>2084005141</v>
      </c>
      <c r="B1499" s="18" t="s">
        <v>15701</v>
      </c>
      <c r="C1499" s="18" t="s">
        <v>15702</v>
      </c>
      <c r="D1499" s="5" t="str">
        <f ca="1">IFERROR(__xludf.DUMMYFUNCTION("GOOGLETRANSLATE(B1499,""ja"",""vi"")"),"lốp chỉ")</f>
        <v>lốp chỉ</v>
      </c>
      <c r="E1499" s="5" t="str">
        <f ca="1">IFERROR(__xludf.DUMMYFUNCTION("GOOGLETRANSLATE(C1499,""ja"",""vi"")"),"chỉ đấu giá&gt; ô tô, xe máy&gt; lốp xe, bánh xe&gt; bánh lốp bộ&gt; lốp")</f>
        <v>chỉ đấu giá&gt; ô tô, xe máy&gt; lốp xe, bánh xe&gt; bánh lốp bộ&gt; lốp</v>
      </c>
      <c r="F1499" t="str">
        <f t="shared" ca="1" si="23"/>
        <v>"2084005141" : "lốp chỉ",</v>
      </c>
    </row>
    <row r="1500" spans="1:6" ht="15.75" customHeight="1">
      <c r="A1500" s="18">
        <v>2084005140</v>
      </c>
      <c r="B1500" s="18" t="s">
        <v>15703</v>
      </c>
      <c r="C1500" s="18" t="s">
        <v>15705</v>
      </c>
      <c r="D1500" s="5" t="str">
        <f ca="1">IFERROR(__xludf.DUMMYFUNCTION("GOOGLETRANSLATE(B1500,""ja"",""vi"")"),"bánh xe chỉ")</f>
        <v>bánh xe chỉ</v>
      </c>
      <c r="E1500" s="5" t="str">
        <f ca="1">IFERROR(__xludf.DUMMYFUNCTION("GOOGLETRANSLATE(C1500,""ja"",""vi"")"),"Đấu giá&gt; ô tô, xe máy&gt; lốp xe, bánh xe&gt; bánh lốp bộ&gt; Wheel chỉ")</f>
        <v>Đấu giá&gt; ô tô, xe máy&gt; lốp xe, bánh xe&gt; bánh lốp bộ&gt; Wheel chỉ</v>
      </c>
      <c r="F1500" t="str">
        <f t="shared" ca="1" si="23"/>
        <v>"2084005140" : "bánh xe chỉ",</v>
      </c>
    </row>
    <row r="1501" spans="1:6" ht="15.75" customHeight="1">
      <c r="A1501" s="18">
        <v>2084005516</v>
      </c>
      <c r="B1501" s="18" t="s">
        <v>14624</v>
      </c>
      <c r="C1501" s="18" t="s">
        <v>15706</v>
      </c>
      <c r="D1501" s="5" t="str">
        <f ca="1">IFERROR(__xludf.DUMMYFUNCTION("GOOGLETRANSLATE(B1501,""ja"",""vi"")"),"Đối với xe máy")</f>
        <v>Đối với xe máy</v>
      </c>
      <c r="E1501" s="5" t="str">
        <f ca="1">IFERROR(__xludf.DUMMYFUNCTION("GOOGLETRANSLATE(C1501,""ja"",""vi"")"),"Đấu giá&gt; ô tô, xe máy&gt; lốp xe, bánh xe&gt; lốp&gt; cho xe gắn máy")</f>
        <v>Đấu giá&gt; ô tô, xe máy&gt; lốp xe, bánh xe&gt; lốp&gt; cho xe gắn máy</v>
      </c>
      <c r="F1501" t="str">
        <f t="shared" ca="1" si="23"/>
        <v>"2084005516" : "Đối với xe máy",</v>
      </c>
    </row>
    <row r="1502" spans="1:6" ht="15.75" customHeight="1">
      <c r="A1502" s="18">
        <v>2084241157</v>
      </c>
      <c r="B1502" s="18" t="s">
        <v>14888</v>
      </c>
      <c r="C1502" s="18" t="s">
        <v>15708</v>
      </c>
      <c r="D1502" s="5" t="str">
        <f ca="1">IFERROR(__xludf.DUMMYFUNCTION("GOOGLETRANSLATE(B1502,""ja"",""vi"")"),"Xe tải, bãi chỉ")</f>
        <v>Xe tải, bãi chỉ</v>
      </c>
      <c r="E1502" s="5" t="str">
        <f ca="1">IFERROR(__xludf.DUMMYFUNCTION("GOOGLETRANSLATE(C1502,""ja"",""vi"")"),"Đấu giá&gt; ô tô, xe máy&gt; lốp xe, bánh xe&gt; lốp&gt; xe tải, bãi chỉ")</f>
        <v>Đấu giá&gt; ô tô, xe máy&gt; lốp xe, bánh xe&gt; lốp&gt; xe tải, bãi chỉ</v>
      </c>
      <c r="F1502" t="str">
        <f t="shared" ca="1" si="23"/>
        <v>"2084241157" : "Xe tải, bãi chỉ",</v>
      </c>
    </row>
    <row r="1503" spans="1:6" ht="15.75" customHeight="1">
      <c r="A1503" s="18">
        <v>2084008443</v>
      </c>
      <c r="B1503" s="18" t="s">
        <v>15710</v>
      </c>
      <c r="C1503" s="18" t="s">
        <v>15711</v>
      </c>
      <c r="D1503" s="5" t="str">
        <f ca="1">IFERROR(__xludf.DUMMYFUNCTION("GOOGLETRANSLATE(B1503,""ja"",""vi"")"),"On-Road")</f>
        <v>On-Road</v>
      </c>
      <c r="E1503" s="5" t="str">
        <f ca="1">IFERROR(__xludf.DUMMYFUNCTION("GOOGLETRANSLATE(C1503,""ja"",""vi"")"),"Đấu giá&gt; ô tô, xe máy&gt; lốp xe, bánh xe&gt; lốp&gt; On-Road")</f>
        <v>Đấu giá&gt; ô tô, xe máy&gt; lốp xe, bánh xe&gt; lốp&gt; On-Road</v>
      </c>
      <c r="F1503" t="str">
        <f t="shared" ca="1" si="23"/>
        <v>"2084008443" : "On-Road",</v>
      </c>
    </row>
    <row r="1504" spans="1:6" ht="15.75" customHeight="1">
      <c r="A1504" s="18">
        <v>2084008452</v>
      </c>
      <c r="B1504" s="18" t="s">
        <v>15712</v>
      </c>
      <c r="C1504" s="18" t="s">
        <v>15713</v>
      </c>
      <c r="D1504" s="5" t="str">
        <f ca="1">IFERROR(__xludf.DUMMYFUNCTION("GOOGLETRANSLATE(B1504,""ja"",""vi"")"),"Studless")</f>
        <v>Studless</v>
      </c>
      <c r="E1504" s="5" t="str">
        <f ca="1">IFERROR(__xludf.DUMMYFUNCTION("GOOGLETRANSLATE(C1504,""ja"",""vi"")"),"Đấu giá&gt; ô tô, xe máy&gt; lốp xe, bánh xe&gt; lốp&gt; studless")</f>
        <v>Đấu giá&gt; ô tô, xe máy&gt; lốp xe, bánh xe&gt; lốp&gt; studless</v>
      </c>
      <c r="F1504" t="str">
        <f t="shared" ca="1" si="23"/>
        <v>"2084008452" : "Studless",</v>
      </c>
    </row>
    <row r="1505" spans="1:6" ht="15.75" customHeight="1">
      <c r="A1505" s="18">
        <v>2084064161</v>
      </c>
      <c r="B1505" s="18" t="s">
        <v>15715</v>
      </c>
      <c r="C1505" s="18" t="s">
        <v>15716</v>
      </c>
      <c r="D1505" s="5" t="str">
        <f ca="1">IFERROR(__xludf.DUMMYFUNCTION("GOOGLETRANSLATE(B1505,""ja"",""vi"")"),"S lốp")</f>
        <v>S lốp</v>
      </c>
      <c r="E1505" s="5" t="str">
        <f ca="1">IFERROR(__xludf.DUMMYFUNCTION("GOOGLETRANSLATE(C1505,""ja"",""vi"")"),"Đấu giá&gt; ô tô, xe máy&gt; lốp xe, bánh xe&gt; lốp&gt; S lốp")</f>
        <v>Đấu giá&gt; ô tô, xe máy&gt; lốp xe, bánh xe&gt; lốp&gt; S lốp</v>
      </c>
      <c r="F1505" t="str">
        <f t="shared" ca="1" si="23"/>
        <v>"2084064161" : "S lốp",</v>
      </c>
    </row>
    <row r="1506" spans="1:6" ht="15.75" customHeight="1">
      <c r="A1506" s="18">
        <v>2084008450</v>
      </c>
      <c r="B1506" s="18" t="s">
        <v>15719</v>
      </c>
      <c r="C1506" s="18" t="s">
        <v>15721</v>
      </c>
      <c r="D1506" s="5" t="str">
        <f ca="1">IFERROR(__xludf.DUMMYFUNCTION("GOOGLETRANSLATE(B1506,""ja"",""vi"")"),"Off-road")</f>
        <v>Off-road</v>
      </c>
      <c r="E1506" s="5" t="str">
        <f ca="1">IFERROR(__xludf.DUMMYFUNCTION("GOOGLETRANSLATE(C1506,""ja"",""vi"")"),"Đấu giá&gt; ô tô, xe máy&gt; lốp xe, bánh xe&gt; lốp&gt; off-road")</f>
        <v>Đấu giá&gt; ô tô, xe máy&gt; lốp xe, bánh xe&gt; lốp&gt; off-road</v>
      </c>
      <c r="F1506" t="str">
        <f t="shared" ca="1" si="23"/>
        <v>"2084008450" : "Off-road",</v>
      </c>
    </row>
    <row r="1507" spans="1:6" ht="15.75" customHeight="1">
      <c r="A1507" s="18">
        <v>2084008451</v>
      </c>
      <c r="B1507" s="18" t="s">
        <v>15724</v>
      </c>
      <c r="C1507" s="18" t="s">
        <v>15725</v>
      </c>
      <c r="D1507" s="5" t="str">
        <f ca="1">IFERROR(__xludf.DUMMYFUNCTION("GOOGLETRANSLATE(B1507,""ja"",""vi"")"),"Đối với các cuộc thi")</f>
        <v>Đối với các cuộc thi</v>
      </c>
      <c r="E1507" s="5" t="str">
        <f ca="1">IFERROR(__xludf.DUMMYFUNCTION("GOOGLETRANSLATE(C1507,""ja"",""vi"")"),"Đấu giá&gt; ô tô, xe máy&gt; lốp xe, bánh xe&gt; lốp&gt; cho cuộc thi")</f>
        <v>Đấu giá&gt; ô tô, xe máy&gt; lốp xe, bánh xe&gt; lốp&gt; cho cuộc thi</v>
      </c>
      <c r="F1507" t="str">
        <f t="shared" ca="1" si="23"/>
        <v>"2084008451" : "Đối với các cuộc thi",</v>
      </c>
    </row>
    <row r="1508" spans="1:6" ht="15.75" customHeight="1">
      <c r="A1508" s="18">
        <v>2084008460</v>
      </c>
      <c r="B1508" s="18" t="s">
        <v>46</v>
      </c>
      <c r="C1508" s="18" t="s">
        <v>15728</v>
      </c>
      <c r="D1508" s="5" t="str">
        <f ca="1">IFERROR(__xludf.DUMMYFUNCTION("GOOGLETRANSLATE(B1508,""ja"",""vi"")"),"nếu không thì")</f>
        <v>nếu không thì</v>
      </c>
      <c r="E1508" s="5" t="str">
        <f ca="1">IFERROR(__xludf.DUMMYFUNCTION("GOOGLETRANSLATE(C1508,""ja"",""vi"")"),"Đấu giá&gt; ô tô, xe máy&gt; lốp xe, bánh xe&gt; lốp&gt; Khác")</f>
        <v>Đấu giá&gt; ô tô, xe máy&gt; lốp xe, bánh xe&gt; lốp&gt; Khác</v>
      </c>
      <c r="F1508" t="str">
        <f t="shared" ca="1" si="23"/>
        <v>"2084008460" : "nếu không thì",</v>
      </c>
    </row>
    <row r="1509" spans="1:6" ht="15.75" customHeight="1">
      <c r="A1509" s="18">
        <v>2084005517</v>
      </c>
      <c r="B1509" s="18" t="s">
        <v>14624</v>
      </c>
      <c r="C1509" s="18" t="s">
        <v>15732</v>
      </c>
      <c r="D1509" s="5" t="str">
        <f ca="1">IFERROR(__xludf.DUMMYFUNCTION("GOOGLETRANSLATE(B1509,""ja"",""vi"")"),"Đối với xe máy")</f>
        <v>Đối với xe máy</v>
      </c>
      <c r="E1509" s="5" t="str">
        <f ca="1">IFERROR(__xludf.DUMMYFUNCTION("GOOGLETRANSLATE(C1509,""ja"",""vi"")"),"Đấu giá&gt; ô tô, xe máy&gt; lốp xe, bánh xe&gt; bánh xe&gt; cho xe gắn máy")</f>
        <v>Đấu giá&gt; ô tô, xe máy&gt; lốp xe, bánh xe&gt; bánh xe&gt; cho xe gắn máy</v>
      </c>
      <c r="F1509" t="str">
        <f t="shared" ca="1" si="23"/>
        <v>"2084005517" : "Đối với xe máy",</v>
      </c>
    </row>
    <row r="1510" spans="1:6" ht="15.75" customHeight="1">
      <c r="A1510" s="18">
        <v>2084241158</v>
      </c>
      <c r="B1510" s="18" t="s">
        <v>14888</v>
      </c>
      <c r="C1510" s="18" t="s">
        <v>15735</v>
      </c>
      <c r="D1510" s="5" t="str">
        <f ca="1">IFERROR(__xludf.DUMMYFUNCTION("GOOGLETRANSLATE(B1510,""ja"",""vi"")"),"Xe tải, bãi chỉ")</f>
        <v>Xe tải, bãi chỉ</v>
      </c>
      <c r="E1510" s="5" t="str">
        <f ca="1">IFERROR(__xludf.DUMMYFUNCTION("GOOGLETRANSLATE(C1510,""ja"",""vi"")"),"Đấu giá&gt; ô tô, xe máy&gt; lốp xe, bánh xe&gt; bánh xe&gt; xe tải, bãi chỉ")</f>
        <v>Đấu giá&gt; ô tô, xe máy&gt; lốp xe, bánh xe&gt; bánh xe&gt; xe tải, bãi chỉ</v>
      </c>
      <c r="F1510" t="str">
        <f t="shared" ca="1" si="23"/>
        <v>"2084241158" : "Xe tải, bãi chỉ",</v>
      </c>
    </row>
    <row r="1511" spans="1:6" ht="15.75" customHeight="1">
      <c r="A1511" s="18">
        <v>2084008467</v>
      </c>
      <c r="B1511" s="18" t="s">
        <v>15646</v>
      </c>
      <c r="C1511" s="18" t="s">
        <v>15739</v>
      </c>
      <c r="D1511" s="5" t="str">
        <f ca="1">IFERROR(__xludf.DUMMYFUNCTION("GOOGLETRANSLATE(B1511,""ja"",""vi"")"),"12 inch hoặc nhỏ hơn")</f>
        <v>12 inch hoặc nhỏ hơn</v>
      </c>
      <c r="E1511" s="5" t="str">
        <f ca="1">IFERROR(__xludf.DUMMYFUNCTION("GOOGLETRANSLATE(C1511,""ja"",""vi"")"),"Đấu giá&gt; ô tô, xe máy&gt; lốp xe, bánh xe&gt; bánh xe&gt; dưới 12 inch")</f>
        <v>Đấu giá&gt; ô tô, xe máy&gt; lốp xe, bánh xe&gt; bánh xe&gt; dưới 12 inch</v>
      </c>
      <c r="F1511" t="str">
        <f t="shared" ca="1" si="23"/>
        <v>"2084008467" : "12 inch hoặc nhỏ hơn",</v>
      </c>
    </row>
    <row r="1512" spans="1:6" ht="15.75" customHeight="1">
      <c r="A1512" s="18">
        <v>2084008471</v>
      </c>
      <c r="B1512" s="18" t="s">
        <v>15653</v>
      </c>
      <c r="C1512" s="18" t="s">
        <v>15742</v>
      </c>
      <c r="D1512" s="5" t="str">
        <f ca="1">IFERROR(__xludf.DUMMYFUNCTION("GOOGLETRANSLATE(B1512,""ja"",""vi"")"),"13 inch")</f>
        <v>13 inch</v>
      </c>
      <c r="E1512" s="5" t="str">
        <f ca="1">IFERROR(__xludf.DUMMYFUNCTION("GOOGLETRANSLATE(C1512,""ja"",""vi"")"),"Đấu giá&gt; ô tô, xe máy&gt; lốp xe, bánh xe&gt; bánh xe&gt; 13 inch")</f>
        <v>Đấu giá&gt; ô tô, xe máy&gt; lốp xe, bánh xe&gt; bánh xe&gt; 13 inch</v>
      </c>
      <c r="F1512" t="str">
        <f t="shared" ca="1" si="23"/>
        <v>"2084008471" : "13 inch",</v>
      </c>
    </row>
    <row r="1513" spans="1:6" ht="15.75" customHeight="1">
      <c r="A1513" s="18">
        <v>2084008472</v>
      </c>
      <c r="B1513" s="18" t="s">
        <v>15659</v>
      </c>
      <c r="C1513" s="18" t="s">
        <v>15746</v>
      </c>
      <c r="D1513" s="5" t="str">
        <f ca="1">IFERROR(__xludf.DUMMYFUNCTION("GOOGLETRANSLATE(B1513,""ja"",""vi"")"),"14 inch")</f>
        <v>14 inch</v>
      </c>
      <c r="E1513" s="5" t="str">
        <f ca="1">IFERROR(__xludf.DUMMYFUNCTION("GOOGLETRANSLATE(C1513,""ja"",""vi"")"),"Đấu giá&gt; ô tô, xe máy&gt; lốp xe, bánh xe&gt; bánh xe&gt; 14 inch")</f>
        <v>Đấu giá&gt; ô tô, xe máy&gt; lốp xe, bánh xe&gt; bánh xe&gt; 14 inch</v>
      </c>
      <c r="F1513" t="str">
        <f t="shared" ca="1" si="23"/>
        <v>"2084008472" : "14 inch",</v>
      </c>
    </row>
    <row r="1514" spans="1:6" ht="15.75" customHeight="1">
      <c r="A1514" s="18">
        <v>2084008473</v>
      </c>
      <c r="B1514" s="18" t="s">
        <v>15663</v>
      </c>
      <c r="C1514" s="18" t="s">
        <v>15748</v>
      </c>
      <c r="D1514" s="5" t="str">
        <f ca="1">IFERROR(__xludf.DUMMYFUNCTION("GOOGLETRANSLATE(B1514,""ja"",""vi"")"),"15 inch")</f>
        <v>15 inch</v>
      </c>
      <c r="E1514" s="5" t="str">
        <f ca="1">IFERROR(__xludf.DUMMYFUNCTION("GOOGLETRANSLATE(C1514,""ja"",""vi"")"),"Đấu giá&gt; ô tô, xe máy&gt; lốp xe, bánh xe&gt; bánh xe&gt; 15 inch")</f>
        <v>Đấu giá&gt; ô tô, xe máy&gt; lốp xe, bánh xe&gt; bánh xe&gt; 15 inch</v>
      </c>
      <c r="F1514" t="str">
        <f t="shared" ca="1" si="23"/>
        <v>"2084008473" : "15 inch",</v>
      </c>
    </row>
    <row r="1515" spans="1:6" ht="15.75" customHeight="1">
      <c r="A1515" s="18">
        <v>2084008474</v>
      </c>
      <c r="B1515" s="18" t="s">
        <v>15667</v>
      </c>
      <c r="C1515" s="18" t="s">
        <v>15750</v>
      </c>
      <c r="D1515" s="5" t="str">
        <f ca="1">IFERROR(__xludf.DUMMYFUNCTION("GOOGLETRANSLATE(B1515,""ja"",""vi"")"),"16 inch")</f>
        <v>16 inch</v>
      </c>
      <c r="E1515" s="5" t="str">
        <f ca="1">IFERROR(__xludf.DUMMYFUNCTION("GOOGLETRANSLATE(C1515,""ja"",""vi"")"),"Đấu giá&gt; ô tô, xe máy&gt; lốp xe, bánh xe&gt; bánh xe&gt; 16 inch")</f>
        <v>Đấu giá&gt; ô tô, xe máy&gt; lốp xe, bánh xe&gt; bánh xe&gt; 16 inch</v>
      </c>
      <c r="F1515" t="str">
        <f t="shared" ca="1" si="23"/>
        <v>"2084008474" : "16 inch",</v>
      </c>
    </row>
    <row r="1516" spans="1:6" ht="15.75" customHeight="1">
      <c r="A1516" s="18">
        <v>2084040548</v>
      </c>
      <c r="B1516" s="18" t="s">
        <v>15672</v>
      </c>
      <c r="C1516" s="18" t="s">
        <v>15751</v>
      </c>
      <c r="D1516" s="5" t="str">
        <f ca="1">IFERROR(__xludf.DUMMYFUNCTION("GOOGLETRANSLATE(B1516,""ja"",""vi"")"),"17 inch")</f>
        <v>17 inch</v>
      </c>
      <c r="E1516" s="5" t="str">
        <f ca="1">IFERROR(__xludf.DUMMYFUNCTION("GOOGLETRANSLATE(C1516,""ja"",""vi"")"),"Đấu giá&gt; ô tô, xe máy&gt; lốp xe, bánh xe&gt; bánh xe&gt; 17 inch")</f>
        <v>Đấu giá&gt; ô tô, xe máy&gt; lốp xe, bánh xe&gt; bánh xe&gt; 17 inch</v>
      </c>
      <c r="F1516" t="str">
        <f t="shared" ca="1" si="23"/>
        <v>"2084040548" : "17 inch",</v>
      </c>
    </row>
    <row r="1517" spans="1:6" ht="15.75" customHeight="1">
      <c r="A1517" s="18">
        <v>2084040547</v>
      </c>
      <c r="B1517" s="18" t="s">
        <v>15677</v>
      </c>
      <c r="C1517" s="18" t="s">
        <v>15752</v>
      </c>
      <c r="D1517" s="5" t="str">
        <f ca="1">IFERROR(__xludf.DUMMYFUNCTION("GOOGLETRANSLATE(B1517,""ja"",""vi"")"),"18 inch")</f>
        <v>18 inch</v>
      </c>
      <c r="E1517" s="5" t="str">
        <f ca="1">IFERROR(__xludf.DUMMYFUNCTION("GOOGLETRANSLATE(C1517,""ja"",""vi"")"),"Đấu giá&gt; ô tô, xe máy&gt; lốp xe, bánh xe&gt; bánh xe&gt; 18 inch")</f>
        <v>Đấu giá&gt; ô tô, xe máy&gt; lốp xe, bánh xe&gt; bánh xe&gt; 18 inch</v>
      </c>
      <c r="F1517" t="str">
        <f t="shared" ca="1" si="23"/>
        <v>"2084040547" : "18 inch",</v>
      </c>
    </row>
    <row r="1518" spans="1:6" ht="15.75" customHeight="1">
      <c r="A1518" s="18">
        <v>2084195226</v>
      </c>
      <c r="B1518" s="18" t="s">
        <v>15681</v>
      </c>
      <c r="C1518" s="18" t="s">
        <v>15753</v>
      </c>
      <c r="D1518" s="5" t="str">
        <f ca="1">IFERROR(__xludf.DUMMYFUNCTION("GOOGLETRANSLATE(B1518,""ja"",""vi"")"),"19 inch")</f>
        <v>19 inch</v>
      </c>
      <c r="E1518" s="5" t="str">
        <f ca="1">IFERROR(__xludf.DUMMYFUNCTION("GOOGLETRANSLATE(C1518,""ja"",""vi"")"),"Đấu giá&gt; ô tô, xe máy&gt; lốp xe, bánh xe&gt; bánh xe&gt; 19 inch")</f>
        <v>Đấu giá&gt; ô tô, xe máy&gt; lốp xe, bánh xe&gt; bánh xe&gt; 19 inch</v>
      </c>
      <c r="F1518" t="str">
        <f t="shared" ca="1" si="23"/>
        <v>"2084195226" : "19 inch",</v>
      </c>
    </row>
    <row r="1519" spans="1:6" ht="15.75" customHeight="1">
      <c r="A1519" s="18">
        <v>2084195227</v>
      </c>
      <c r="B1519" s="18" t="s">
        <v>15685</v>
      </c>
      <c r="C1519" s="18" t="s">
        <v>15758</v>
      </c>
      <c r="D1519" s="5" t="str">
        <f ca="1">IFERROR(__xludf.DUMMYFUNCTION("GOOGLETRANSLATE(B1519,""ja"",""vi"")"),"20 inch")</f>
        <v>20 inch</v>
      </c>
      <c r="E1519" s="5" t="str">
        <f ca="1">IFERROR(__xludf.DUMMYFUNCTION("GOOGLETRANSLATE(C1519,""ja"",""vi"")"),"Đấu giá&gt; ô tô, xe máy&gt; lốp xe, bánh xe&gt; bánh xe&gt; 20 inch")</f>
        <v>Đấu giá&gt; ô tô, xe máy&gt; lốp xe, bánh xe&gt; bánh xe&gt; 20 inch</v>
      </c>
      <c r="F1519" t="str">
        <f t="shared" ca="1" si="23"/>
        <v>"2084195227" : "20 inch",</v>
      </c>
    </row>
    <row r="1520" spans="1:6" ht="15.75" customHeight="1">
      <c r="A1520" s="18">
        <v>2084195228</v>
      </c>
      <c r="B1520" s="18" t="s">
        <v>15689</v>
      </c>
      <c r="C1520" s="18" t="s">
        <v>15760</v>
      </c>
      <c r="D1520" s="5" t="str">
        <f ca="1">IFERROR(__xludf.DUMMYFUNCTION("GOOGLETRANSLATE(B1520,""ja"",""vi"")"),"21 inch")</f>
        <v>21 inch</v>
      </c>
      <c r="E1520" s="5" t="str">
        <f ca="1">IFERROR(__xludf.DUMMYFUNCTION("GOOGLETRANSLATE(C1520,""ja"",""vi"")"),"Đấu giá&gt; ô tô, xe máy&gt; lốp xe, bánh xe&gt; bánh xe&gt; 21 inch")</f>
        <v>Đấu giá&gt; ô tô, xe máy&gt; lốp xe, bánh xe&gt; bánh xe&gt; 21 inch</v>
      </c>
      <c r="F1520" t="str">
        <f t="shared" ca="1" si="23"/>
        <v>"2084195228" : "21 inch",</v>
      </c>
    </row>
    <row r="1521" spans="1:6" ht="15.75" customHeight="1">
      <c r="A1521" s="18">
        <v>2084195229</v>
      </c>
      <c r="B1521" s="18" t="s">
        <v>15694</v>
      </c>
      <c r="C1521" s="18" t="s">
        <v>15762</v>
      </c>
      <c r="D1521" s="5" t="str">
        <f ca="1">IFERROR(__xludf.DUMMYFUNCTION("GOOGLETRANSLATE(B1521,""ja"",""vi"")"),"22 inch")</f>
        <v>22 inch</v>
      </c>
      <c r="E1521" s="5" t="str">
        <f ca="1">IFERROR(__xludf.DUMMYFUNCTION("GOOGLETRANSLATE(C1521,""ja"",""vi"")"),"Đấu giá&gt; ô tô, xe máy&gt; lốp xe, bánh xe&gt; bánh xe&gt; 22 inch")</f>
        <v>Đấu giá&gt; ô tô, xe máy&gt; lốp xe, bánh xe&gt; bánh xe&gt; 22 inch</v>
      </c>
      <c r="F1521" t="str">
        <f t="shared" ca="1" si="23"/>
        <v>"2084195229" : "22 inch",</v>
      </c>
    </row>
    <row r="1522" spans="1:6" ht="15.75" customHeight="1">
      <c r="A1522" s="18">
        <v>2084195230</v>
      </c>
      <c r="B1522" s="18" t="s">
        <v>15698</v>
      </c>
      <c r="C1522" s="18" t="s">
        <v>15765</v>
      </c>
      <c r="D1522" s="5" t="str">
        <f ca="1">IFERROR(__xludf.DUMMYFUNCTION("GOOGLETRANSLATE(B1522,""ja"",""vi"")"),"23 inch trở lên")</f>
        <v>23 inch trở lên</v>
      </c>
      <c r="E1522" s="5" t="str">
        <f ca="1">IFERROR(__xludf.DUMMYFUNCTION("GOOGLETRANSLATE(C1522,""ja"",""vi"")"),"Đấu giá&gt; ô tô, xe máy&gt; lốp xe, bánh xe&gt; bánh xe&gt; 23 inch hoặc hơn")</f>
        <v>Đấu giá&gt; ô tô, xe máy&gt; lốp xe, bánh xe&gt; bánh xe&gt; 23 inch hoặc hơn</v>
      </c>
      <c r="F1522" t="str">
        <f t="shared" ca="1" si="23"/>
        <v>"2084195230" : "23 inch trở lên",</v>
      </c>
    </row>
    <row r="1523" spans="1:6" ht="15.75" customHeight="1">
      <c r="A1523" s="18">
        <v>2084210660</v>
      </c>
      <c r="B1523" s="18" t="s">
        <v>15767</v>
      </c>
      <c r="C1523" s="18" t="s">
        <v>15769</v>
      </c>
      <c r="D1523" s="5" t="str">
        <f ca="1">IFERROR(__xludf.DUMMYFUNCTION("GOOGLETRANSLATE(B1523,""ja"",""vi"")"),"chuỗi kim loại")</f>
        <v>chuỗi kim loại</v>
      </c>
      <c r="E1523" s="5" t="str">
        <f ca="1">IFERROR(__xludf.DUMMYFUNCTION("GOOGLETRANSLATE(C1523,""ja"",""vi"")"),"Đấu giá&gt; ô tô, xe máy&gt; lốp xe, bánh xe&gt; chuỗi, không trơn trượt&gt; chuỗi kim loại")</f>
        <v>Đấu giá&gt; ô tô, xe máy&gt; lốp xe, bánh xe&gt; chuỗi, không trơn trượt&gt; chuỗi kim loại</v>
      </c>
      <c r="F1523" t="str">
        <f t="shared" ca="1" si="23"/>
        <v>"2084210660" : "chuỗi kim loại",</v>
      </c>
    </row>
    <row r="1524" spans="1:6" ht="15.75" customHeight="1">
      <c r="A1524" s="18">
        <v>2084210661</v>
      </c>
      <c r="B1524" s="18" t="s">
        <v>15772</v>
      </c>
      <c r="C1524" s="18" t="s">
        <v>15773</v>
      </c>
      <c r="D1524" s="5" t="str">
        <f ca="1">IFERROR(__xludf.DUMMYFUNCTION("GOOGLETRANSLATE(B1524,""ja"",""vi"")"),"chuỗi phi kim loại")</f>
        <v>chuỗi phi kim loại</v>
      </c>
      <c r="E1524" s="5" t="str">
        <f ca="1">IFERROR(__xludf.DUMMYFUNCTION("GOOGLETRANSLATE(C1524,""ja"",""vi"")"),"Đấu giá&gt; ô tô, xe máy&gt; lốp xe, bánh xe&gt; chuỗi, không trơn trượt&gt; chuỗi phi kim loại")</f>
        <v>Đấu giá&gt; ô tô, xe máy&gt; lốp xe, bánh xe&gt; chuỗi, không trơn trượt&gt; chuỗi phi kim loại</v>
      </c>
      <c r="F1524" t="str">
        <f t="shared" ca="1" si="23"/>
        <v>"2084210661" : "chuỗi phi kim loại",</v>
      </c>
    </row>
    <row r="1525" spans="1:6" ht="15.75" customHeight="1">
      <c r="A1525" s="18">
        <v>2084210662</v>
      </c>
      <c r="B1525" s="18" t="s">
        <v>46</v>
      </c>
      <c r="C1525" s="18" t="s">
        <v>15776</v>
      </c>
      <c r="D1525" s="5" t="str">
        <f ca="1">IFERROR(__xludf.DUMMYFUNCTION("GOOGLETRANSLATE(B1525,""ja"",""vi"")"),"nếu không thì")</f>
        <v>nếu không thì</v>
      </c>
      <c r="E1525" s="5" t="str">
        <f ca="1">IFERROR(__xludf.DUMMYFUNCTION("GOOGLETRANSLATE(C1525,""ja"",""vi"")"),"Đấu giá&gt; ô tô, xe máy&gt; lốp xe, bánh xe&gt; chuỗi, không trơn trượt&gt; Khác")</f>
        <v>Đấu giá&gt; ô tô, xe máy&gt; lốp xe, bánh xe&gt; chuỗi, không trơn trượt&gt; Khác</v>
      </c>
      <c r="F1525" t="str">
        <f t="shared" ca="1" si="23"/>
        <v>"2084210662" : "nếu không thì",</v>
      </c>
    </row>
    <row r="1526" spans="1:6" ht="15.75" customHeight="1">
      <c r="A1526" s="18">
        <v>2084230822</v>
      </c>
      <c r="B1526" s="18" t="s">
        <v>15779</v>
      </c>
      <c r="C1526" s="24" t="s">
        <v>15780</v>
      </c>
      <c r="D1526" s="5" t="str">
        <f ca="1">IFERROR(__xludf.DUMMYFUNCTION("GOOGLETRANSLATE(B1526,""ja"",""vi"")"),"4 lỗ")</f>
        <v>4 lỗ</v>
      </c>
      <c r="E1526" s="5" t="str">
        <f ca="1">IFERROR(__xludf.DUMMYFUNCTION("GOOGLETRANSLATE(C1526,""ja"",""vi"")"),"Đấu giá&gt; ô tô, xe máy&gt; lốp xe, bánh xe&gt; spacer&gt; 4 lỗ")</f>
        <v>Đấu giá&gt; ô tô, xe máy&gt; lốp xe, bánh xe&gt; spacer&gt; 4 lỗ</v>
      </c>
      <c r="F1526" t="str">
        <f t="shared" ca="1" si="23"/>
        <v>"2084230822" : "4 lỗ",</v>
      </c>
    </row>
    <row r="1527" spans="1:6" ht="15.75" customHeight="1">
      <c r="A1527" s="18">
        <v>2084230823</v>
      </c>
      <c r="B1527" s="18" t="s">
        <v>15789</v>
      </c>
      <c r="C1527" s="24" t="s">
        <v>15790</v>
      </c>
      <c r="D1527" s="5" t="str">
        <f ca="1">IFERROR(__xludf.DUMMYFUNCTION("GOOGLETRANSLATE(B1527,""ja"",""vi"")"),"5 lỗ")</f>
        <v>5 lỗ</v>
      </c>
      <c r="E1527" s="5" t="str">
        <f ca="1">IFERROR(__xludf.DUMMYFUNCTION("GOOGLETRANSLATE(C1527,""ja"",""vi"")"),"Đấu giá&gt; ô tô, xe máy&gt; lốp xe, bánh xe&gt; spacer&gt; 5 lỗ")</f>
        <v>Đấu giá&gt; ô tô, xe máy&gt; lốp xe, bánh xe&gt; spacer&gt; 5 lỗ</v>
      </c>
      <c r="F1527" t="str">
        <f t="shared" ca="1" si="23"/>
        <v>"2084230823" : "5 lỗ",</v>
      </c>
    </row>
    <row r="1528" spans="1:6" ht="15.75" customHeight="1">
      <c r="A1528" s="18">
        <v>2084230824</v>
      </c>
      <c r="B1528" s="18" t="s">
        <v>15793</v>
      </c>
      <c r="C1528" s="24" t="s">
        <v>15794</v>
      </c>
      <c r="D1528" s="5" t="str">
        <f ca="1">IFERROR(__xludf.DUMMYFUNCTION("GOOGLETRANSLATE(B1528,""ja"",""vi"")"),"6 lỗ")</f>
        <v>6 lỗ</v>
      </c>
      <c r="E1528" s="5" t="str">
        <f ca="1">IFERROR(__xludf.DUMMYFUNCTION("GOOGLETRANSLATE(C1528,""ja"",""vi"")"),"Đấu giá&gt; ô tô, xe máy&gt; lốp xe, bánh xe&gt; spacer&gt; 6 lỗ")</f>
        <v>Đấu giá&gt; ô tô, xe máy&gt; lốp xe, bánh xe&gt; spacer&gt; 6 lỗ</v>
      </c>
      <c r="F1528" t="str">
        <f t="shared" ca="1" si="23"/>
        <v>"2084230824" : "6 lỗ",</v>
      </c>
    </row>
    <row r="1529" spans="1:6" ht="15.75" customHeight="1">
      <c r="A1529" s="18">
        <v>2084230825</v>
      </c>
      <c r="B1529" s="18" t="s">
        <v>46</v>
      </c>
      <c r="C1529" s="24" t="s">
        <v>15799</v>
      </c>
      <c r="D1529" s="5" t="str">
        <f ca="1">IFERROR(__xludf.DUMMYFUNCTION("GOOGLETRANSLATE(B1529,""ja"",""vi"")"),"nếu không thì")</f>
        <v>nếu không thì</v>
      </c>
      <c r="E1529" s="5" t="str">
        <f ca="1">IFERROR(__xludf.DUMMYFUNCTION("GOOGLETRANSLATE(C1529,""ja"",""vi"")"),"Đấu giá&gt; ô tô, xe máy&gt; lốp xe, bánh xe&gt; spacer&gt; Khác")</f>
        <v>Đấu giá&gt; ô tô, xe máy&gt; lốp xe, bánh xe&gt; spacer&gt; Khác</v>
      </c>
      <c r="F1529" t="str">
        <f t="shared" ca="1" si="23"/>
        <v>"2084230825" : "nếu không thì",</v>
      </c>
    </row>
    <row r="1530" spans="1:6" ht="15.75" customHeight="1">
      <c r="A1530" s="18">
        <v>2084064159</v>
      </c>
      <c r="B1530" s="18" t="s">
        <v>15451</v>
      </c>
      <c r="C1530" s="18" t="s">
        <v>15802</v>
      </c>
      <c r="D1530" s="5" t="str">
        <f ca="1">IFERROR(__xludf.DUMMYFUNCTION("GOOGLETRANSLATE(B1530,""ja"",""vi"")"),"Genuine")</f>
        <v>Genuine</v>
      </c>
      <c r="E1530" s="5" t="str">
        <f ca="1">IFERROR(__xludf.DUMMYFUNCTION("GOOGLETRANSLATE(C1530,""ja"",""vi"")"),"Đấu giá&gt; ô tô, xe máy&gt; lốp xe, bánh xe&gt; bánh xe nắp&gt; chính hãng")</f>
        <v>Đấu giá&gt; ô tô, xe máy&gt; lốp xe, bánh xe&gt; bánh xe nắp&gt; chính hãng</v>
      </c>
      <c r="F1530" t="str">
        <f t="shared" ca="1" si="23"/>
        <v>"2084064159" : "Genuine",</v>
      </c>
    </row>
    <row r="1531" spans="1:6" ht="15.75" customHeight="1">
      <c r="A1531" s="18">
        <v>2084064160</v>
      </c>
      <c r="B1531" s="18" t="s">
        <v>15455</v>
      </c>
      <c r="C1531" s="18" t="s">
        <v>15807</v>
      </c>
      <c r="D1531" s="5" t="str">
        <f ca="1">IFERROR(__xludf.DUMMYFUNCTION("GOOGLETRANSLATE(B1531,""ja"",""vi"")"),"hàng bên ngoài")</f>
        <v>hàng bên ngoài</v>
      </c>
      <c r="E1531" s="5" t="str">
        <f ca="1">IFERROR(__xludf.DUMMYFUNCTION("GOOGLETRANSLATE(C1531,""ja"",""vi"")"),"Đấu giá&gt; ô tô, xe máy&gt; lốp xe, bánh xe&gt; bánh xe nắp&gt; bên ngoài hàng")</f>
        <v>Đấu giá&gt; ô tô, xe máy&gt; lốp xe, bánh xe&gt; bánh xe nắp&gt; bên ngoài hàng</v>
      </c>
      <c r="F1531" t="str">
        <f t="shared" ca="1" si="23"/>
        <v>"2084064160" : "hàng bên ngoài",</v>
      </c>
    </row>
    <row r="1532" spans="1:6" ht="15.75" customHeight="1">
      <c r="A1532" s="18">
        <v>2084064154</v>
      </c>
      <c r="B1532" s="18" t="s">
        <v>15813</v>
      </c>
      <c r="C1532" s="18" t="s">
        <v>15815</v>
      </c>
      <c r="D1532" s="5" t="str">
        <f ca="1">IFERROR(__xludf.DUMMYFUNCTION("GOOGLETRANSLATE(B1532,""ja"",""vi"")"),"hạt nhôm")</f>
        <v>hạt nhôm</v>
      </c>
      <c r="E1532" s="5" t="str">
        <f ca="1">IFERROR(__xludf.DUMMYFUNCTION("GOOGLETRANSLATE(C1532,""ja"",""vi"")"),"Đấu giá&gt; ô tô, xe máy&gt; lốp xe, bánh xe&gt; bánh xe nut&gt; hạt nhôm")</f>
        <v>Đấu giá&gt; ô tô, xe máy&gt; lốp xe, bánh xe&gt; bánh xe nut&gt; hạt nhôm</v>
      </c>
      <c r="F1532" t="str">
        <f t="shared" ca="1" si="23"/>
        <v>"2084064154" : "hạt nhôm",</v>
      </c>
    </row>
    <row r="1533" spans="1:6" ht="15.75" customHeight="1">
      <c r="A1533" s="18">
        <v>2084064156</v>
      </c>
      <c r="B1533" s="18" t="s">
        <v>15821</v>
      </c>
      <c r="C1533" s="18" t="s">
        <v>15822</v>
      </c>
      <c r="D1533" s="5" t="str">
        <f ca="1">IFERROR(__xludf.DUMMYFUNCTION("GOOGLETRANSLATE(B1533,""ja"",""vi"")"),"Đai ốc thép")</f>
        <v>Đai ốc thép</v>
      </c>
      <c r="E1533" s="5" t="str">
        <f ca="1">IFERROR(__xludf.DUMMYFUNCTION("GOOGLETRANSLATE(C1533,""ja"",""vi"")"),"Đấu giá&gt; ô tô, xe máy&gt; lốp xe, bánh xe&gt; bánh xe nut&gt; Đai ốc thép")</f>
        <v>Đấu giá&gt; ô tô, xe máy&gt; lốp xe, bánh xe&gt; bánh xe nut&gt; Đai ốc thép</v>
      </c>
      <c r="F1533" t="str">
        <f t="shared" ca="1" si="23"/>
        <v>"2084064156" : "Đai ốc thép",</v>
      </c>
    </row>
    <row r="1534" spans="1:6" ht="15.75" customHeight="1">
      <c r="A1534" s="18">
        <v>2084064155</v>
      </c>
      <c r="B1534" s="18" t="s">
        <v>15827</v>
      </c>
      <c r="C1534" s="18" t="s">
        <v>15828</v>
      </c>
      <c r="D1534" s="5" t="str">
        <f ca="1">IFERROR(__xludf.DUMMYFUNCTION("GOOGLETRANSLATE(B1534,""ja"",""vi"")"),"Khóa đai ốc")</f>
        <v>Khóa đai ốc</v>
      </c>
      <c r="E1534" s="5" t="str">
        <f ca="1">IFERROR(__xludf.DUMMYFUNCTION("GOOGLETRANSLATE(C1534,""ja"",""vi"")"),"Đấu giá&gt; ô tô, xe máy&gt; lốp xe, bánh xe&gt; bánh xe nut&gt; đai ốc khóa")</f>
        <v>Đấu giá&gt; ô tô, xe máy&gt; lốp xe, bánh xe&gt; bánh xe nut&gt; đai ốc khóa</v>
      </c>
      <c r="F1534" t="str">
        <f t="shared" ca="1" si="23"/>
        <v>"2084064155" : "Khóa đai ốc",</v>
      </c>
    </row>
    <row r="1535" spans="1:6" ht="15.75" customHeight="1">
      <c r="A1535" s="18">
        <v>2084064157</v>
      </c>
      <c r="B1535" s="18" t="s">
        <v>46</v>
      </c>
      <c r="C1535" s="18" t="s">
        <v>15831</v>
      </c>
      <c r="D1535" s="5" t="str">
        <f ca="1">IFERROR(__xludf.DUMMYFUNCTION("GOOGLETRANSLATE(B1535,""ja"",""vi"")"),"nếu không thì")</f>
        <v>nếu không thì</v>
      </c>
      <c r="E1535" s="5" t="str">
        <f ca="1">IFERROR(__xludf.DUMMYFUNCTION("GOOGLETRANSLATE(C1535,""ja"",""vi"")"),"Đấu giá&gt; ô tô, xe máy&gt; lốp xe, bánh xe&gt; nut bánh&gt; Khác")</f>
        <v>Đấu giá&gt; ô tô, xe máy&gt; lốp xe, bánh xe&gt; nut bánh&gt; Khác</v>
      </c>
      <c r="F1535" t="str">
        <f t="shared" ca="1" si="23"/>
        <v>"2084064157" : "nếu không thì",</v>
      </c>
    </row>
    <row r="1536" spans="1:6" ht="15.75" customHeight="1">
      <c r="A1536" s="18">
        <v>2084291425</v>
      </c>
      <c r="B1536" s="18" t="s">
        <v>15833</v>
      </c>
      <c r="C1536" s="18" t="s">
        <v>15834</v>
      </c>
      <c r="D1536" s="5" t="str">
        <f ca="1">IFERROR(__xludf.DUMMYFUNCTION("GOOGLETRANSLATE(B1536,""ja"",""vi"")"),"Carrozzeria")</f>
        <v>Carrozzeria</v>
      </c>
      <c r="E1536" s="5" t="str">
        <f ca="1">IFERROR(__xludf.DUMMYFUNCTION("GOOGLETRANSLATE(C1536,""ja"",""vi"")"),"Đấu giá&gt; ô tô, xe máy&gt; ETC&gt; ăng ten loại tách&gt; Carrozzeria")</f>
        <v>Đấu giá&gt; ô tô, xe máy&gt; ETC&gt; ăng ten loại tách&gt; Carrozzeria</v>
      </c>
      <c r="F1536" t="str">
        <f t="shared" ca="1" si="23"/>
        <v>"2084291425" : "Carrozzeria",</v>
      </c>
    </row>
    <row r="1537" spans="1:6" ht="15.75" customHeight="1">
      <c r="A1537" s="18">
        <v>2084291424</v>
      </c>
      <c r="B1537" s="18" t="s">
        <v>1918</v>
      </c>
      <c r="C1537" s="18" t="s">
        <v>15836</v>
      </c>
      <c r="D1537" s="5" t="str">
        <f ca="1">IFERROR(__xludf.DUMMYFUNCTION("GOOGLETRANSLATE(B1537,""ja"",""vi"")"),"Panasonic")</f>
        <v>Panasonic</v>
      </c>
      <c r="E1537" s="5" t="str">
        <f ca="1">IFERROR(__xludf.DUMMYFUNCTION("GOOGLETRANSLATE(C1537,""ja"",""vi"")"),"Đấu giá&gt; ô tô, xe máy&gt; ETC&gt; ăng ten loại tách&gt; Panasonic")</f>
        <v>Đấu giá&gt; ô tô, xe máy&gt; ETC&gt; ăng ten loại tách&gt; Panasonic</v>
      </c>
      <c r="F1537" t="str">
        <f t="shared" ca="1" si="23"/>
        <v>"2084291424" : "Panasonic",</v>
      </c>
    </row>
    <row r="1538" spans="1:6" ht="15.75" customHeight="1">
      <c r="A1538" s="18">
        <v>2084291428</v>
      </c>
      <c r="B1538" s="18" t="s">
        <v>15838</v>
      </c>
      <c r="C1538" s="18" t="s">
        <v>15839</v>
      </c>
      <c r="D1538" s="5" t="str">
        <f ca="1">IFERROR(__xludf.DUMMYFUNCTION("GOOGLETRANSLATE(B1538,""ja"",""vi"")"),"Furuno")</f>
        <v>Furuno</v>
      </c>
      <c r="E1538" s="5" t="str">
        <f ca="1">IFERROR(__xludf.DUMMYFUNCTION("GOOGLETRANSLATE(C1538,""ja"",""vi"")"),"Đấu giá&gt; ô tô, xe máy&gt; ETC&gt; ăng ten loại tách&gt; Furuno")</f>
        <v>Đấu giá&gt; ô tô, xe máy&gt; ETC&gt; ăng ten loại tách&gt; Furuno</v>
      </c>
      <c r="F1538" t="str">
        <f t="shared" ref="F1538:F1601" ca="1" si="24">CONCATENATE(CHAR(34)&amp;"",A1538,""&amp;CHAR(34)," : ", CHAR(34)&amp;"",D1538,""&amp;CHAR(34),",")</f>
        <v>"2084291428" : "Furuno",</v>
      </c>
    </row>
    <row r="1539" spans="1:6" ht="15.75" customHeight="1">
      <c r="A1539" s="18">
        <v>2084291426</v>
      </c>
      <c r="B1539" s="18" t="s">
        <v>15841</v>
      </c>
      <c r="C1539" s="18" t="s">
        <v>15842</v>
      </c>
      <c r="D1539" s="5" t="str">
        <f ca="1">IFERROR(__xludf.DUMMYFUNCTION("GOOGLETRANSLATE(B1539,""ja"",""vi"")"),"Mitsubishi Heavy Industries, Ltd.")</f>
        <v>Mitsubishi Heavy Industries, Ltd.</v>
      </c>
      <c r="E1539" s="5" t="str">
        <f ca="1">IFERROR(__xludf.DUMMYFUNCTION("GOOGLETRANSLATE(C1539,""ja"",""vi"")"),"Đấu giá&gt; ô tô, xe máy&gt; ETC&gt; ăng ten loại tách&gt; Mitsubishi Heavy Industries, Ltd.")</f>
        <v>Đấu giá&gt; ô tô, xe máy&gt; ETC&gt; ăng ten loại tách&gt; Mitsubishi Heavy Industries, Ltd.</v>
      </c>
      <c r="F1539" t="str">
        <f t="shared" ca="1" si="24"/>
        <v>"2084291426" : "Mitsubishi Heavy Industries, Ltd.",</v>
      </c>
    </row>
    <row r="1540" spans="1:6" ht="15.75" customHeight="1">
      <c r="A1540" s="18">
        <v>2084291427</v>
      </c>
      <c r="B1540" s="18" t="s">
        <v>1770</v>
      </c>
      <c r="C1540" s="18" t="s">
        <v>15845</v>
      </c>
      <c r="D1540" s="5" t="str">
        <f ca="1">IFERROR(__xludf.DUMMYFUNCTION("GOOGLETRANSLATE(B1540,""ja"",""vi"")"),"Mitsubishi Electric")</f>
        <v>Mitsubishi Electric</v>
      </c>
      <c r="E1540" s="5" t="str">
        <f ca="1">IFERROR(__xludf.DUMMYFUNCTION("GOOGLETRANSLATE(C1540,""ja"",""vi"")"),"Đấu giá&gt; ô tô, xe máy&gt; ETC&gt; ăng ten loại tách&gt; Mitsubishi Electric")</f>
        <v>Đấu giá&gt; ô tô, xe máy&gt; ETC&gt; ăng ten loại tách&gt; Mitsubishi Electric</v>
      </c>
      <c r="F1540" t="str">
        <f t="shared" ca="1" si="24"/>
        <v>"2084291427" : "Mitsubishi Electric",</v>
      </c>
    </row>
    <row r="1541" spans="1:6" ht="15.75" customHeight="1">
      <c r="A1541" s="18">
        <v>2084291429</v>
      </c>
      <c r="B1541" s="18" t="s">
        <v>15451</v>
      </c>
      <c r="C1541" s="18" t="s">
        <v>15847</v>
      </c>
      <c r="D1541" s="5" t="str">
        <f ca="1">IFERROR(__xludf.DUMMYFUNCTION("GOOGLETRANSLATE(B1541,""ja"",""vi"")"),"Genuine")</f>
        <v>Genuine</v>
      </c>
      <c r="E1541" s="5" t="str">
        <f ca="1">IFERROR(__xludf.DUMMYFUNCTION("GOOGLETRANSLATE(C1541,""ja"",""vi"")"),"Đấu giá&gt; ô tô, xe máy&gt; ETC&gt; ăng ten loại tách&gt; chính hãng")</f>
        <v>Đấu giá&gt; ô tô, xe máy&gt; ETC&gt; ăng ten loại tách&gt; chính hãng</v>
      </c>
      <c r="F1541" t="str">
        <f t="shared" ca="1" si="24"/>
        <v>"2084291429" : "Genuine",</v>
      </c>
    </row>
    <row r="1542" spans="1:6" ht="15.75" customHeight="1">
      <c r="A1542" s="18">
        <v>2084291430</v>
      </c>
      <c r="B1542" s="18" t="s">
        <v>46</v>
      </c>
      <c r="C1542" s="18" t="s">
        <v>15849</v>
      </c>
      <c r="D1542" s="5" t="str">
        <f ca="1">IFERROR(__xludf.DUMMYFUNCTION("GOOGLETRANSLATE(B1542,""ja"",""vi"")"),"nếu không thì")</f>
        <v>nếu không thì</v>
      </c>
      <c r="E1542" s="5" t="str">
        <f ca="1">IFERROR(__xludf.DUMMYFUNCTION("GOOGLETRANSLATE(C1542,""ja"",""vi"")"),"Đấu giá&gt; ô tô, xe máy&gt; ETC&gt; ăng ten loại tách&gt; Khác")</f>
        <v>Đấu giá&gt; ô tô, xe máy&gt; ETC&gt; ăng ten loại tách&gt; Khác</v>
      </c>
      <c r="F1542" t="str">
        <f t="shared" ca="1" si="24"/>
        <v>"2084291430" : "nếu không thì",</v>
      </c>
    </row>
    <row r="1543" spans="1:6" ht="15.75" customHeight="1">
      <c r="A1543" s="18">
        <v>2084214167</v>
      </c>
      <c r="B1543" s="18" t="s">
        <v>5151</v>
      </c>
      <c r="C1543" s="18" t="s">
        <v>15852</v>
      </c>
      <c r="D1543" s="5" t="str">
        <f ca="1">IFERROR(__xludf.DUMMYFUNCTION("GOOGLETRANSLATE(B1543,""ja"",""vi"")"),"Hokkaido")</f>
        <v>Hokkaido</v>
      </c>
      <c r="E1543" s="5" t="str">
        <f ca="1">IFERROR(__xludf.DUMMYFUNCTION("GOOGLETRANSLATE(C1543,""ja"",""vi"")"),"Đấu giá&gt; Khác&gt; sửa chữa, lắp đặt&gt; ô tô, xe máy&gt; ETC lắp&gt; Hokkaido")</f>
        <v>Đấu giá&gt; Khác&gt; sửa chữa, lắp đặt&gt; ô tô, xe máy&gt; ETC lắp&gt; Hokkaido</v>
      </c>
      <c r="F1543" t="str">
        <f t="shared" ca="1" si="24"/>
        <v>"2084214167" : "Hokkaido",</v>
      </c>
    </row>
    <row r="1544" spans="1:6" ht="15.75" customHeight="1">
      <c r="A1544" s="18">
        <v>2084214174</v>
      </c>
      <c r="B1544" s="18" t="s">
        <v>5155</v>
      </c>
      <c r="C1544" s="18" t="s">
        <v>15855</v>
      </c>
      <c r="D1544" s="5" t="str">
        <f ca="1">IFERROR(__xludf.DUMMYFUNCTION("GOOGLETRANSLATE(B1544,""ja"",""vi"")"),"đông bắc")</f>
        <v>đông bắc</v>
      </c>
      <c r="E1544" s="5" t="str">
        <f ca="1">IFERROR(__xludf.DUMMYFUNCTION("GOOGLETRANSLATE(C1544,""ja"",""vi"")"),"Đấu giá&gt; Khác&gt; sửa chữa, lắp đặt&gt; ô tô, xe máy&gt; ETC lắp&gt; Đông Bắc")</f>
        <v>Đấu giá&gt; Khác&gt; sửa chữa, lắp đặt&gt; ô tô, xe máy&gt; ETC lắp&gt; Đông Bắc</v>
      </c>
      <c r="F1544" t="str">
        <f t="shared" ca="1" si="24"/>
        <v>"2084214174" : "đông bắc",</v>
      </c>
    </row>
    <row r="1545" spans="1:6" ht="15.75" customHeight="1">
      <c r="A1545" s="18">
        <v>2084214175</v>
      </c>
      <c r="B1545" s="18" t="s">
        <v>5159</v>
      </c>
      <c r="C1545" s="18" t="s">
        <v>15858</v>
      </c>
      <c r="D1545" s="5" t="str">
        <f ca="1">IFERROR(__xludf.DUMMYFUNCTION("GOOGLETRANSLATE(B1545,""ja"",""vi"")"),"Kanto")</f>
        <v>Kanto</v>
      </c>
      <c r="E1545" s="5" t="str">
        <f ca="1">IFERROR(__xludf.DUMMYFUNCTION("GOOGLETRANSLATE(C1545,""ja"",""vi"")"),"Đấu giá&gt; Khác&gt; sửa chữa, lắp đặt&gt; ô tô, xe máy&gt; ETC lắp&gt; Kanto")</f>
        <v>Đấu giá&gt; Khác&gt; sửa chữa, lắp đặt&gt; ô tô, xe máy&gt; ETC lắp&gt; Kanto</v>
      </c>
      <c r="F1545" t="str">
        <f t="shared" ca="1" si="24"/>
        <v>"2084214175" : "Kanto",</v>
      </c>
    </row>
    <row r="1546" spans="1:6" ht="15.75" customHeight="1">
      <c r="A1546" s="18">
        <v>2084214176</v>
      </c>
      <c r="B1546" s="18" t="s">
        <v>5166</v>
      </c>
      <c r="C1546" s="18" t="s">
        <v>15861</v>
      </c>
      <c r="D1546" s="5" t="str">
        <f ca="1">IFERROR(__xludf.DUMMYFUNCTION("GOOGLETRANSLATE(B1546,""ja"",""vi"")"),"Shin-Etsu")</f>
        <v>Shin-Etsu</v>
      </c>
      <c r="E1546" s="5" t="str">
        <f ca="1">IFERROR(__xludf.DUMMYFUNCTION("GOOGLETRANSLATE(C1546,""ja"",""vi"")"),"Đấu giá&gt; Khác&gt; sửa chữa, lắp đặt&gt; ô tô, xe máy&gt; ETC lắp&gt; Shin-Etsu")</f>
        <v>Đấu giá&gt; Khác&gt; sửa chữa, lắp đặt&gt; ô tô, xe máy&gt; ETC lắp&gt; Shin-Etsu</v>
      </c>
      <c r="F1546" t="str">
        <f t="shared" ca="1" si="24"/>
        <v>"2084214176" : "Shin-Etsu",</v>
      </c>
    </row>
    <row r="1547" spans="1:6" ht="15.75" customHeight="1">
      <c r="A1547" s="18">
        <v>2084214177</v>
      </c>
      <c r="B1547" s="18" t="s">
        <v>5163</v>
      </c>
      <c r="C1547" s="18" t="s">
        <v>15864</v>
      </c>
      <c r="D1547" s="5" t="str">
        <f ca="1">IFERROR(__xludf.DUMMYFUNCTION("GOOGLETRANSLATE(B1547,""ja"",""vi"")"),"Hokuriku")</f>
        <v>Hokuriku</v>
      </c>
      <c r="E1547" s="5" t="str">
        <f ca="1">IFERROR(__xludf.DUMMYFUNCTION("GOOGLETRANSLATE(C1547,""ja"",""vi"")"),"Đấu giá&gt; Khác&gt; sửa chữa, lắp đặt&gt; ô tô, xe máy&gt; ETC lắp&gt; Hokuriku")</f>
        <v>Đấu giá&gt; Khác&gt; sửa chữa, lắp đặt&gt; ô tô, xe máy&gt; ETC lắp&gt; Hokuriku</v>
      </c>
      <c r="F1547" t="str">
        <f t="shared" ca="1" si="24"/>
        <v>"2084214177" : "Hokuriku",</v>
      </c>
    </row>
    <row r="1548" spans="1:6" ht="15.75" customHeight="1">
      <c r="A1548" s="18">
        <v>2084214178</v>
      </c>
      <c r="B1548" s="18" t="s">
        <v>5170</v>
      </c>
      <c r="C1548" s="18" t="s">
        <v>15867</v>
      </c>
      <c r="D1548" s="5" t="str">
        <f ca="1">IFERROR(__xludf.DUMMYFUNCTION("GOOGLETRANSLATE(B1548,""ja"",""vi"")"),"Tokai")</f>
        <v>Tokai</v>
      </c>
      <c r="E1548" s="5" t="str">
        <f ca="1">IFERROR(__xludf.DUMMYFUNCTION("GOOGLETRANSLATE(C1548,""ja"",""vi"")"),"Đấu giá&gt; Khác&gt; sửa chữa, lắp đặt&gt; ô tô, xe máy&gt; ETC lắp&gt; Tokai")</f>
        <v>Đấu giá&gt; Khác&gt; sửa chữa, lắp đặt&gt; ô tô, xe máy&gt; ETC lắp&gt; Tokai</v>
      </c>
      <c r="F1548" t="str">
        <f t="shared" ca="1" si="24"/>
        <v>"2084214178" : "Tokai",</v>
      </c>
    </row>
    <row r="1549" spans="1:6" ht="15.75" customHeight="1">
      <c r="A1549" s="18">
        <v>2084214179</v>
      </c>
      <c r="B1549" s="18" t="s">
        <v>5174</v>
      </c>
      <c r="C1549" s="18" t="s">
        <v>15870</v>
      </c>
      <c r="D1549" s="5" t="str">
        <f ca="1">IFERROR(__xludf.DUMMYFUNCTION("GOOGLETRANSLATE(B1549,""ja"",""vi"")"),"Kinki")</f>
        <v>Kinki</v>
      </c>
      <c r="E1549" s="5" t="str">
        <f ca="1">IFERROR(__xludf.DUMMYFUNCTION("GOOGLETRANSLATE(C1549,""ja"",""vi"")"),"Đấu giá&gt; Khác&gt; sửa chữa, lắp đặt&gt; ô tô, xe máy&gt; ETC lắp&gt; Kinki")</f>
        <v>Đấu giá&gt; Khác&gt; sửa chữa, lắp đặt&gt; ô tô, xe máy&gt; ETC lắp&gt; Kinki</v>
      </c>
      <c r="F1549" t="str">
        <f t="shared" ca="1" si="24"/>
        <v>"2084214179" : "Kinki",</v>
      </c>
    </row>
    <row r="1550" spans="1:6" ht="15.75" customHeight="1">
      <c r="A1550" s="18">
        <v>2084214180</v>
      </c>
      <c r="B1550" s="18" t="s">
        <v>5177</v>
      </c>
      <c r="C1550" s="18" t="s">
        <v>15873</v>
      </c>
      <c r="D1550" s="5" t="str">
        <f ca="1">IFERROR(__xludf.DUMMYFUNCTION("GOOGLETRANSLATE(B1550,""ja"",""vi"")"),"đồ sứ")</f>
        <v>đồ sứ</v>
      </c>
      <c r="E1550" s="5" t="str">
        <f ca="1">IFERROR(__xludf.DUMMYFUNCTION("GOOGLETRANSLATE(C1550,""ja"",""vi"")"),"Đấu giá&gt; Khác&gt; sửa chữa, lắp đặt&gt; ô tô, xe máy&gt; ETC lắp&gt; Trung Quốc")</f>
        <v>Đấu giá&gt; Khác&gt; sửa chữa, lắp đặt&gt; ô tô, xe máy&gt; ETC lắp&gt; Trung Quốc</v>
      </c>
      <c r="F1550" t="str">
        <f t="shared" ca="1" si="24"/>
        <v>"2084214180" : "đồ sứ",</v>
      </c>
    </row>
    <row r="1551" spans="1:6" ht="15.75" customHeight="1">
      <c r="A1551" s="18">
        <v>2084214181</v>
      </c>
      <c r="B1551" s="18" t="s">
        <v>5180</v>
      </c>
      <c r="C1551" s="18" t="s">
        <v>15875</v>
      </c>
      <c r="D1551" s="5" t="str">
        <f ca="1">IFERROR(__xludf.DUMMYFUNCTION("GOOGLETRANSLATE(B1551,""ja"",""vi"")"),"Shikoku")</f>
        <v>Shikoku</v>
      </c>
      <c r="E1551" s="5" t="str">
        <f ca="1">IFERROR(__xludf.DUMMYFUNCTION("GOOGLETRANSLATE(C1551,""ja"",""vi"")"),"Đấu giá&gt; Khác&gt; sửa chữa, lắp đặt&gt; ô tô, xe máy&gt; ETC lắp&gt; Shikoku")</f>
        <v>Đấu giá&gt; Khác&gt; sửa chữa, lắp đặt&gt; ô tô, xe máy&gt; ETC lắp&gt; Shikoku</v>
      </c>
      <c r="F1551" t="str">
        <f t="shared" ca="1" si="24"/>
        <v>"2084214181" : "Shikoku",</v>
      </c>
    </row>
    <row r="1552" spans="1:6" ht="15.75" customHeight="1">
      <c r="A1552" s="18">
        <v>2084214182</v>
      </c>
      <c r="B1552" s="18" t="s">
        <v>5183</v>
      </c>
      <c r="C1552" s="18" t="s">
        <v>15878</v>
      </c>
      <c r="D1552" s="5" t="str">
        <f ca="1">IFERROR(__xludf.DUMMYFUNCTION("GOOGLETRANSLATE(B1552,""ja"",""vi"")"),"Kyushu")</f>
        <v>Kyushu</v>
      </c>
      <c r="E1552" s="5" t="str">
        <f ca="1">IFERROR(__xludf.DUMMYFUNCTION("GOOGLETRANSLATE(C1552,""ja"",""vi"")"),"Đấu giá&gt; Khác&gt; sửa chữa, lắp đặt&gt; ô tô, xe máy&gt; ETC lắp&gt; Kyushu")</f>
        <v>Đấu giá&gt; Khác&gt; sửa chữa, lắp đặt&gt; ô tô, xe máy&gt; ETC lắp&gt; Kyushu</v>
      </c>
      <c r="F1552" t="str">
        <f t="shared" ca="1" si="24"/>
        <v>"2084214182" : "Kyushu",</v>
      </c>
    </row>
    <row r="1553" spans="1:6" ht="15.75" customHeight="1">
      <c r="A1553" s="18">
        <v>2084214183</v>
      </c>
      <c r="B1553" s="18" t="s">
        <v>5186</v>
      </c>
      <c r="C1553" s="18" t="s">
        <v>15881</v>
      </c>
      <c r="D1553" s="5" t="str">
        <f ca="1">IFERROR(__xludf.DUMMYFUNCTION("GOOGLETRANSLATE(B1553,""ja"",""vi"")"),"Okinawa")</f>
        <v>Okinawa</v>
      </c>
      <c r="E1553" s="5" t="str">
        <f ca="1">IFERROR(__xludf.DUMMYFUNCTION("GOOGLETRANSLATE(C1553,""ja"",""vi"")"),"Đấu giá&gt; Khác&gt; sửa chữa, lắp đặt&gt; ô tô, xe máy&gt; ETC lắp&gt; Okinawa")</f>
        <v>Đấu giá&gt; Khác&gt; sửa chữa, lắp đặt&gt; ô tô, xe máy&gt; ETC lắp&gt; Okinawa</v>
      </c>
      <c r="F1553" t="str">
        <f t="shared" ca="1" si="24"/>
        <v>"2084214183" : "Okinawa",</v>
      </c>
    </row>
    <row r="1554" spans="1:6" ht="15.75" customHeight="1">
      <c r="A1554" s="18">
        <v>2084230402</v>
      </c>
      <c r="B1554" s="18" t="s">
        <v>15451</v>
      </c>
      <c r="C1554" s="18" t="s">
        <v>15883</v>
      </c>
      <c r="D1554" s="5" t="str">
        <f ca="1">IFERROR(__xludf.DUMMYFUNCTION("GOOGLETRANSLATE(B1554,""ja"",""vi"")"),"Genuine")</f>
        <v>Genuine</v>
      </c>
      <c r="E1554" s="5" t="str">
        <f ca="1">IFERROR(__xludf.DUMMYFUNCTION("GOOGLETRANSLATE(C1554,""ja"",""vi"")"),"Đấu giá&gt; ô tô, xe máy&gt; chuyển hướng xe&gt; Thương hiệu&gt; chính hãng")</f>
        <v>Đấu giá&gt; ô tô, xe máy&gt; chuyển hướng xe&gt; Thương hiệu&gt; chính hãng</v>
      </c>
      <c r="F1554" t="str">
        <f t="shared" ca="1" si="24"/>
        <v>"2084230402" : "Genuine",</v>
      </c>
    </row>
    <row r="1555" spans="1:6" ht="15.75" customHeight="1">
      <c r="A1555" s="18">
        <v>2084007933</v>
      </c>
      <c r="B1555" s="18" t="s">
        <v>15885</v>
      </c>
      <c r="C1555" s="18" t="s">
        <v>15886</v>
      </c>
      <c r="D1555" s="5" t="str">
        <f ca="1">IFERROR(__xludf.DUMMYFUNCTION("GOOGLETRANSLATE(B1555,""ja"",""vi"")"),"Azesuto, Clarion")</f>
        <v>Azesuto, Clarion</v>
      </c>
      <c r="E1555" s="5" t="str">
        <f ca="1">IFERROR(__xludf.DUMMYFUNCTION("GOOGLETRANSLATE(C1555,""ja"",""vi"")"),"Đấu giá&gt; ô tô, xe máy&gt; xe chuyển hướng&gt; Thương hiệu&gt; Azesuto, Clarion")</f>
        <v>Đấu giá&gt; ô tô, xe máy&gt; xe chuyển hướng&gt; Thương hiệu&gt; Azesuto, Clarion</v>
      </c>
      <c r="F1555" t="str">
        <f t="shared" ca="1" si="24"/>
        <v>"2084007933" : "Azesuto, Clarion",</v>
      </c>
    </row>
    <row r="1556" spans="1:6" ht="15.75" customHeight="1">
      <c r="A1556" s="18">
        <v>2084007934</v>
      </c>
      <c r="B1556" s="18" t="s">
        <v>15888</v>
      </c>
      <c r="C1556" s="18" t="s">
        <v>15889</v>
      </c>
      <c r="D1556" s="5" t="str">
        <f ca="1">IFERROR(__xludf.DUMMYFUNCTION("GOOGLETRANSLATE(B1556,""ja"",""vi"")"),"núi cao")</f>
        <v>núi cao</v>
      </c>
      <c r="E1556" s="5" t="str">
        <f ca="1">IFERROR(__xludf.DUMMYFUNCTION("GOOGLETRANSLATE(C1556,""ja"",""vi"")"),"Đấu giá&gt; ô tô, xe máy&gt; chuyển hướng xe&gt; Thương hiệu&gt; Alpine")</f>
        <v>Đấu giá&gt; ô tô, xe máy&gt; chuyển hướng xe&gt; Thương hiệu&gt; Alpine</v>
      </c>
      <c r="F1556" t="str">
        <f t="shared" ca="1" si="24"/>
        <v>"2084007934" : "núi cao",</v>
      </c>
    </row>
    <row r="1557" spans="1:6" ht="15.75" customHeight="1">
      <c r="A1557" s="18">
        <v>2084007935</v>
      </c>
      <c r="B1557" s="18" t="s">
        <v>15890</v>
      </c>
      <c r="C1557" s="18" t="s">
        <v>15891</v>
      </c>
      <c r="D1557" s="5" t="str">
        <f ca="1">IFERROR(__xludf.DUMMYFUNCTION("GOOGLETRANSLATE(B1557,""ja"",""vi"")"),"Eclipse")</f>
        <v>Eclipse</v>
      </c>
      <c r="E1557" s="5" t="str">
        <f ca="1">IFERROR(__xludf.DUMMYFUNCTION("GOOGLETRANSLATE(C1557,""ja"",""vi"")"),"Đấu giá&gt; ô tô, xe máy&gt; chuyển hướng xe&gt; Thương hiệu&gt; Eclipse")</f>
        <v>Đấu giá&gt; ô tô, xe máy&gt; chuyển hướng xe&gt; Thương hiệu&gt; Eclipse</v>
      </c>
      <c r="F1557" t="str">
        <f t="shared" ca="1" si="24"/>
        <v>"2084007935" : "Eclipse",</v>
      </c>
    </row>
    <row r="1558" spans="1:6" ht="15.75" customHeight="1">
      <c r="A1558" s="18">
        <v>2084007936</v>
      </c>
      <c r="B1558" s="18" t="s">
        <v>15833</v>
      </c>
      <c r="C1558" s="18" t="s">
        <v>15893</v>
      </c>
      <c r="D1558" s="5" t="str">
        <f ca="1">IFERROR(__xludf.DUMMYFUNCTION("GOOGLETRANSLATE(B1558,""ja"",""vi"")"),"Carrozzeria")</f>
        <v>Carrozzeria</v>
      </c>
      <c r="E1558" s="5" t="str">
        <f ca="1">IFERROR(__xludf.DUMMYFUNCTION("GOOGLETRANSLATE(C1558,""ja"",""vi"")"),"Đấu giá&gt; ô tô, xe máy&gt; chuyển hướng xe&gt; Thương hiệu&gt; Carrozzeria")</f>
        <v>Đấu giá&gt; ô tô, xe máy&gt; chuyển hướng xe&gt; Thương hiệu&gt; Carrozzeria</v>
      </c>
      <c r="F1558" t="str">
        <f t="shared" ca="1" si="24"/>
        <v>"2084007936" : "Carrozzeria",</v>
      </c>
    </row>
    <row r="1559" spans="1:6" ht="15.75" customHeight="1">
      <c r="A1559" s="18">
        <v>2084290705</v>
      </c>
      <c r="B1559" s="18" t="s">
        <v>15895</v>
      </c>
      <c r="C1559" s="18" t="s">
        <v>15896</v>
      </c>
      <c r="D1559" s="5" t="str">
        <f ca="1">IFERROR(__xludf.DUMMYFUNCTION("GOOGLETRANSLATE(B1559,""ja"",""vi"")"),"Garmin")</f>
        <v>Garmin</v>
      </c>
      <c r="E1559" s="5" t="str">
        <f ca="1">IFERROR(__xludf.DUMMYFUNCTION("GOOGLETRANSLATE(C1559,""ja"",""vi"")"),"Đấu giá&gt; ô tô, xe máy&gt; chuyển hướng xe&gt; Thương hiệu&gt; Garmin")</f>
        <v>Đấu giá&gt; ô tô, xe máy&gt; chuyển hướng xe&gt; Thương hiệu&gt; Garmin</v>
      </c>
      <c r="F1559" t="str">
        <f t="shared" ca="1" si="24"/>
        <v>"2084290705" : "Garmin",</v>
      </c>
    </row>
    <row r="1560" spans="1:6" ht="15.75" customHeight="1">
      <c r="A1560" s="18">
        <v>2084007937</v>
      </c>
      <c r="B1560" s="18" t="s">
        <v>2491</v>
      </c>
      <c r="C1560" s="18" t="s">
        <v>15898</v>
      </c>
      <c r="D1560" s="5" t="str">
        <f ca="1">IFERROR(__xludf.DUMMYFUNCTION("GOOGLETRANSLATE(B1560,""ja"",""vi"")"),"Kenwood")</f>
        <v>Kenwood</v>
      </c>
      <c r="E1560" s="5" t="str">
        <f ca="1">IFERROR(__xludf.DUMMYFUNCTION("GOOGLETRANSLATE(C1560,""ja"",""vi"")"),"Đấu giá&gt; ô tô, xe máy&gt; chuyển hướng xe&gt; Thương hiệu&gt; Kenwood")</f>
        <v>Đấu giá&gt; ô tô, xe máy&gt; chuyển hướng xe&gt; Thương hiệu&gt; Kenwood</v>
      </c>
      <c r="F1560" t="str">
        <f t="shared" ca="1" si="24"/>
        <v>"2084007937" : "Kenwood",</v>
      </c>
    </row>
    <row r="1561" spans="1:6" ht="15.75" customHeight="1">
      <c r="A1561" s="18">
        <v>2084007938</v>
      </c>
      <c r="B1561" s="18" t="s">
        <v>1738</v>
      </c>
      <c r="C1561" s="18" t="s">
        <v>15900</v>
      </c>
      <c r="D1561" s="5" t="str">
        <f ca="1">IFERROR(__xludf.DUMMYFUNCTION("GOOGLETRANSLATE(B1561,""ja"",""vi"")"),"Sony")</f>
        <v>Sony</v>
      </c>
      <c r="E1561" s="5" t="str">
        <f ca="1">IFERROR(__xludf.DUMMYFUNCTION("GOOGLETRANSLATE(C1561,""ja"",""vi"")"),"Đấu giá&gt; ô tô, xe máy&gt; chuyển hướng xe&gt; Thương hiệu&gt; Sony")</f>
        <v>Đấu giá&gt; ô tô, xe máy&gt; chuyển hướng xe&gt; Thương hiệu&gt; Sony</v>
      </c>
      <c r="F1561" t="str">
        <f t="shared" ca="1" si="24"/>
        <v>"2084007938" : "Sony",</v>
      </c>
    </row>
    <row r="1562" spans="1:6" ht="15.75" customHeight="1">
      <c r="A1562" s="18">
        <v>2084290706</v>
      </c>
      <c r="B1562" s="18" t="s">
        <v>15902</v>
      </c>
      <c r="C1562" s="18" t="s">
        <v>15903</v>
      </c>
      <c r="D1562" s="5" t="str">
        <f ca="1">IFERROR(__xludf.DUMMYFUNCTION("GOOGLETRANSLATE(B1562,""ja"",""vi"")"),"Tri-Win")</f>
        <v>Tri-Win</v>
      </c>
      <c r="E1562" s="5" t="str">
        <f ca="1">IFERROR(__xludf.DUMMYFUNCTION("GOOGLETRANSLATE(C1562,""ja"",""vi"")"),"Đấu giá&gt; ô tô, xe máy&gt; chuyển hướng xe&gt; Thương hiệu&gt; Tri-Win")</f>
        <v>Đấu giá&gt; ô tô, xe máy&gt; chuyển hướng xe&gt; Thương hiệu&gt; Tri-Win</v>
      </c>
      <c r="F1562" t="str">
        <f t="shared" ca="1" si="24"/>
        <v>"2084290706" : "Tri-Win",</v>
      </c>
    </row>
    <row r="1563" spans="1:6" ht="15.75" customHeight="1">
      <c r="A1563" s="18">
        <v>2084007939</v>
      </c>
      <c r="B1563" s="18" t="s">
        <v>1918</v>
      </c>
      <c r="C1563" s="18" t="s">
        <v>15905</v>
      </c>
      <c r="D1563" s="5" t="str">
        <f ca="1">IFERROR(__xludf.DUMMYFUNCTION("GOOGLETRANSLATE(B1563,""ja"",""vi"")"),"Panasonic")</f>
        <v>Panasonic</v>
      </c>
      <c r="E1563" s="5" t="str">
        <f ca="1">IFERROR(__xludf.DUMMYFUNCTION("GOOGLETRANSLATE(C1563,""ja"",""vi"")"),"Đấu giá&gt; ô tô, xe máy&gt; chuyển hướng xe&gt; Thương hiệu&gt; Panasonic")</f>
        <v>Đấu giá&gt; ô tô, xe máy&gt; chuyển hướng xe&gt; Thương hiệu&gt; Panasonic</v>
      </c>
      <c r="F1563" t="str">
        <f t="shared" ca="1" si="24"/>
        <v>"2084007939" : "Panasonic",</v>
      </c>
    </row>
    <row r="1564" spans="1:6" ht="15.75" customHeight="1">
      <c r="A1564" s="18">
        <v>2084290707</v>
      </c>
      <c r="B1564" s="18" t="s">
        <v>15907</v>
      </c>
      <c r="C1564" s="18" t="s">
        <v>15908</v>
      </c>
      <c r="D1564" s="5" t="str">
        <f ca="1">IFERROR(__xludf.DUMMYFUNCTION("GOOGLETRANSLATE(B1564,""ja"",""vi"")"),"Hyundai")</f>
        <v>Hyundai</v>
      </c>
      <c r="E1564" s="5" t="str">
        <f ca="1">IFERROR(__xludf.DUMMYFUNCTION("GOOGLETRANSLATE(C1564,""ja"",""vi"")"),"Đấu giá&gt; ô tô, xe máy&gt; chuyển hướng xe&gt; Thương hiệu&gt; Hyundai")</f>
        <v>Đấu giá&gt; ô tô, xe máy&gt; chuyển hướng xe&gt; Thương hiệu&gt; Hyundai</v>
      </c>
      <c r="F1564" t="str">
        <f t="shared" ca="1" si="24"/>
        <v>"2084290707" : "Hyundai",</v>
      </c>
    </row>
    <row r="1565" spans="1:6" ht="15.75" customHeight="1">
      <c r="A1565" s="18">
        <v>2084290708</v>
      </c>
      <c r="B1565" s="18" t="s">
        <v>15913</v>
      </c>
      <c r="C1565" s="18" t="s">
        <v>15915</v>
      </c>
      <c r="D1565" s="5" t="str">
        <f ca="1">IFERROR(__xludf.DUMMYFUNCTION("GOOGLETRANSLATE(B1565,""ja"",""vi"")"),"sao Mộc")</f>
        <v>sao Mộc</v>
      </c>
      <c r="E1565" s="5" t="str">
        <f ca="1">IFERROR(__xludf.DUMMYFUNCTION("GOOGLETRANSLATE(C1565,""ja"",""vi"")"),"Đấu giá&gt; ô tô, xe máy&gt; chuyển hướng xe&gt; Thương hiệu&gt; Jupiter")</f>
        <v>Đấu giá&gt; ô tô, xe máy&gt; chuyển hướng xe&gt; Thương hiệu&gt; Jupiter</v>
      </c>
      <c r="F1565" t="str">
        <f t="shared" ca="1" si="24"/>
        <v>"2084290708" : "sao Mộc",</v>
      </c>
    </row>
    <row r="1566" spans="1:6" ht="15.75" customHeight="1">
      <c r="A1566" s="18">
        <v>2084242700</v>
      </c>
      <c r="B1566" s="18" t="s">
        <v>1770</v>
      </c>
      <c r="C1566" s="18" t="s">
        <v>15917</v>
      </c>
      <c r="D1566" s="5" t="str">
        <f ca="1">IFERROR(__xludf.DUMMYFUNCTION("GOOGLETRANSLATE(B1566,""ja"",""vi"")"),"Mitsubishi Electric")</f>
        <v>Mitsubishi Electric</v>
      </c>
      <c r="E1566" s="5" t="str">
        <f ca="1">IFERROR(__xludf.DUMMYFUNCTION("GOOGLETRANSLATE(C1566,""ja"",""vi"")"),"Đấu giá&gt; ô tô, xe máy&gt; chuyển hướng xe&gt; Thương hiệu&gt; Mitsubishi Electric")</f>
        <v>Đấu giá&gt; ô tô, xe máy&gt; chuyển hướng xe&gt; Thương hiệu&gt; Mitsubishi Electric</v>
      </c>
      <c r="F1566" t="str">
        <f t="shared" ca="1" si="24"/>
        <v>"2084242700" : "Mitsubishi Electric",</v>
      </c>
    </row>
    <row r="1567" spans="1:6" ht="15.75" customHeight="1">
      <c r="A1567" s="18">
        <v>2084054104</v>
      </c>
      <c r="B1567" s="18" t="s">
        <v>1842</v>
      </c>
      <c r="C1567" s="18" t="s">
        <v>15921</v>
      </c>
      <c r="D1567" s="5" t="str">
        <f ca="1">IFERROR(__xludf.DUMMYFUNCTION("GOOGLETRANSLATE(B1567,""ja"",""vi"")"),"Sanyo")</f>
        <v>Sanyo</v>
      </c>
      <c r="E1567" s="5" t="str">
        <f ca="1">IFERROR(__xludf.DUMMYFUNCTION("GOOGLETRANSLATE(C1567,""ja"",""vi"")"),"Đấu giá&gt; ô tô, xe máy&gt; chuyển hướng xe&gt; Thương hiệu&gt; Sanyo")</f>
        <v>Đấu giá&gt; ô tô, xe máy&gt; chuyển hướng xe&gt; Thương hiệu&gt; Sanyo</v>
      </c>
      <c r="F1567" t="str">
        <f t="shared" ca="1" si="24"/>
        <v>"2084054104" : "Sanyo",</v>
      </c>
    </row>
    <row r="1568" spans="1:6" ht="15.75" customHeight="1">
      <c r="A1568" s="18">
        <v>2084047103</v>
      </c>
      <c r="B1568" s="18" t="s">
        <v>15923</v>
      </c>
      <c r="C1568" s="18" t="s">
        <v>15924</v>
      </c>
      <c r="D1568" s="5" t="str">
        <f ca="1">IFERROR(__xludf.DUMMYFUNCTION("GOOGLETRANSLATE(B1568,""ja"",""vi"")"),"chỉ TV tuner")</f>
        <v>chỉ TV tuner</v>
      </c>
      <c r="E1568" s="5" t="str">
        <f ca="1">IFERROR(__xludf.DUMMYFUNCTION("GOOGLETRANSLATE(C1568,""ja"",""vi"")"),"chỉ đấu giá&gt; ô tô, xe máy&gt; xe chuyển hướng&gt; Thương hiệu&gt; TV tuner")</f>
        <v>chỉ đấu giá&gt; ô tô, xe máy&gt; xe chuyển hướng&gt; Thương hiệu&gt; TV tuner</v>
      </c>
      <c r="F1568" t="str">
        <f t="shared" ca="1" si="24"/>
        <v>"2084047103" : "chỉ TV tuner",</v>
      </c>
    </row>
    <row r="1569" spans="1:6" ht="15.75" customHeight="1">
      <c r="A1569" s="18">
        <v>2084047104</v>
      </c>
      <c r="B1569" s="18" t="s">
        <v>15928</v>
      </c>
      <c r="C1569" s="18" t="s">
        <v>15929</v>
      </c>
      <c r="D1569" s="5" t="str">
        <f ca="1">IFERROR(__xludf.DUMMYFUNCTION("GOOGLETRANSLATE(B1569,""ja"",""vi"")"),"Antenna chỉ")</f>
        <v>Antenna chỉ</v>
      </c>
      <c r="E1569" s="5" t="str">
        <f ca="1">IFERROR(__xludf.DUMMYFUNCTION("GOOGLETRANSLATE(C1569,""ja"",""vi"")"),"Đấu giá&gt; ô tô, xe máy&gt; chuyển hướng xe&gt; Thương hiệu&gt; ăng ten chỉ")</f>
        <v>Đấu giá&gt; ô tô, xe máy&gt; chuyển hướng xe&gt; Thương hiệu&gt; ăng ten chỉ</v>
      </c>
      <c r="F1569" t="str">
        <f t="shared" ca="1" si="24"/>
        <v>"2084047104" : "Antenna chỉ",</v>
      </c>
    </row>
    <row r="1570" spans="1:6" ht="15.75" customHeight="1">
      <c r="A1570" s="18">
        <v>2084007930</v>
      </c>
      <c r="B1570" s="18" t="s">
        <v>15933</v>
      </c>
      <c r="C1570" s="18" t="s">
        <v>15935</v>
      </c>
      <c r="D1570" s="5" t="str">
        <f ca="1">IFERROR(__xludf.DUMMYFUNCTION("GOOGLETRANSLATE(B1570,""ja"",""vi"")"),"chỉ theo dõi")</f>
        <v>chỉ theo dõi</v>
      </c>
      <c r="E1570" s="5" t="str">
        <f ca="1">IFERROR(__xludf.DUMMYFUNCTION("GOOGLETRANSLATE(C1570,""ja"",""vi"")"),"Đấu giá&gt; ô tô, xe máy&gt; xe chuyển hướng&gt; Thương hiệu&gt; màn hình chỉ")</f>
        <v>Đấu giá&gt; ô tô, xe máy&gt; xe chuyển hướng&gt; Thương hiệu&gt; màn hình chỉ</v>
      </c>
      <c r="F1570" t="str">
        <f t="shared" ca="1" si="24"/>
        <v>"2084007930" : "chỉ theo dõi",</v>
      </c>
    </row>
    <row r="1571" spans="1:6" ht="15.75" customHeight="1">
      <c r="A1571" s="18">
        <v>2084007940</v>
      </c>
      <c r="B1571" s="18" t="s">
        <v>46</v>
      </c>
      <c r="C1571" s="18" t="s">
        <v>15940</v>
      </c>
      <c r="D1571" s="5" t="str">
        <f ca="1">IFERROR(__xludf.DUMMYFUNCTION("GOOGLETRANSLATE(B1571,""ja"",""vi"")"),"nếu không thì")</f>
        <v>nếu không thì</v>
      </c>
      <c r="E1571" s="5" t="str">
        <f ca="1">IFERROR(__xludf.DUMMYFUNCTION("GOOGLETRANSLATE(C1571,""ja"",""vi"")"),"Đấu giá&gt; ô tô, xe máy&gt; chuyển hướng xe&gt; Thương hiệu&gt; Khác")</f>
        <v>Đấu giá&gt; ô tô, xe máy&gt; chuyển hướng xe&gt; Thương hiệu&gt; Khác</v>
      </c>
      <c r="F1571" t="str">
        <f t="shared" ca="1" si="24"/>
        <v>"2084007940" : "nếu không thì",</v>
      </c>
    </row>
    <row r="1572" spans="1:6" ht="15.75" customHeight="1">
      <c r="A1572" s="18">
        <v>2084204096</v>
      </c>
      <c r="B1572" s="18" t="s">
        <v>15946</v>
      </c>
      <c r="C1572" s="18" t="s">
        <v>15947</v>
      </c>
      <c r="D1572" s="5" t="str">
        <f ca="1">IFERROR(__xludf.DUMMYFUNCTION("GOOGLETRANSLATE(B1572,""ja"",""vi"")"),"Dash")</f>
        <v>Dash</v>
      </c>
      <c r="E1572" s="5" t="str">
        <f ca="1">IFERROR(__xludf.DUMMYFUNCTION("GOOGLETRANSLATE(C1572,""ja"",""vi"")"),"Đấu giá&gt; ô tô, xe máy&gt; xe chuyển hướng&gt; màn hình&gt; in-dash")</f>
        <v>Đấu giá&gt; ô tô, xe máy&gt; xe chuyển hướng&gt; màn hình&gt; in-dash</v>
      </c>
      <c r="F1572" t="str">
        <f t="shared" ca="1" si="24"/>
        <v>"2084204096" : "Dash",</v>
      </c>
    </row>
    <row r="1573" spans="1:6" ht="15.75" customHeight="1">
      <c r="A1573" s="18">
        <v>2084204095</v>
      </c>
      <c r="B1573" s="18" t="s">
        <v>15953</v>
      </c>
      <c r="C1573" s="18" t="s">
        <v>15954</v>
      </c>
      <c r="D1573" s="5" t="str">
        <f ca="1">IFERROR(__xludf.DUMMYFUNCTION("GOOGLETRANSLATE(B1573,""ja"",""vi"")"),"Dash")</f>
        <v>Dash</v>
      </c>
      <c r="E1573" s="5" t="str">
        <f ca="1">IFERROR(__xludf.DUMMYFUNCTION("GOOGLETRANSLATE(C1573,""ja"",""vi"")"),"Đấu giá&gt; ô tô, xe máy&gt; xe chuyển hướng&gt; màn hình&gt; dash")</f>
        <v>Đấu giá&gt; ô tô, xe máy&gt; xe chuyển hướng&gt; màn hình&gt; dash</v>
      </c>
      <c r="F1573" t="str">
        <f t="shared" ca="1" si="24"/>
        <v>"2084204095" : "Dash",</v>
      </c>
    </row>
    <row r="1574" spans="1:6" ht="15.75" customHeight="1">
      <c r="A1574" s="18">
        <v>2084204098</v>
      </c>
      <c r="B1574" s="18" t="s">
        <v>15961</v>
      </c>
      <c r="C1574" s="18" t="s">
        <v>15963</v>
      </c>
      <c r="D1574" s="5" t="str">
        <f ca="1">IFERROR(__xludf.DUMMYFUNCTION("GOOGLETRANSLATE(B1574,""ja"",""vi"")"),"lưởi trai của mũ")</f>
        <v>lưởi trai của mũ</v>
      </c>
      <c r="E1574" s="5" t="str">
        <f ca="1">IFERROR(__xludf.DUMMYFUNCTION("GOOGLETRANSLATE(C1574,""ja"",""vi"")"),"Đấu giá&gt; ô tô, xe máy&gt; xe chuyển hướng&gt; màn hình&gt; visor")</f>
        <v>Đấu giá&gt; ô tô, xe máy&gt; xe chuyển hướng&gt; màn hình&gt; visor</v>
      </c>
      <c r="F1574" t="str">
        <f t="shared" ca="1" si="24"/>
        <v>"2084204098" : "lưởi trai của mũ",</v>
      </c>
    </row>
    <row r="1575" spans="1:6" ht="15.75" customHeight="1">
      <c r="A1575" s="18">
        <v>2084230414</v>
      </c>
      <c r="B1575" s="18" t="s">
        <v>15967</v>
      </c>
      <c r="C1575" s="18" t="s">
        <v>15969</v>
      </c>
      <c r="D1575" s="5" t="str">
        <f ca="1">IFERROR(__xludf.DUMMYFUNCTION("GOOGLETRANSLATE(B1575,""ja"",""vi"")"),"chiếu hậu gương")</f>
        <v>chiếu hậu gương</v>
      </c>
      <c r="E1575" s="5" t="str">
        <f ca="1">IFERROR(__xludf.DUMMYFUNCTION("GOOGLETRANSLATE(C1575,""ja"",""vi"")"),"Đấu giá&gt; ô tô, xe máy&gt; xe chuyển hướng&gt; màn hình&gt; gương chiếu hậu")</f>
        <v>Đấu giá&gt; ô tô, xe máy&gt; xe chuyển hướng&gt; màn hình&gt; gương chiếu hậu</v>
      </c>
      <c r="F1575" t="str">
        <f t="shared" ca="1" si="24"/>
        <v>"2084230414" : "chiếu hậu gương",</v>
      </c>
    </row>
    <row r="1576" spans="1:6" ht="15.75" customHeight="1">
      <c r="A1576" s="18">
        <v>2084204094</v>
      </c>
      <c r="B1576" s="18" t="s">
        <v>15975</v>
      </c>
      <c r="C1576" s="18" t="s">
        <v>15977</v>
      </c>
      <c r="D1576" s="5" t="str">
        <f ca="1">IFERROR(__xludf.DUMMYFUNCTION("GOOGLETRANSLATE(B1576,""ja"",""vi"")"),"Lật xuống")</f>
        <v>Lật xuống</v>
      </c>
      <c r="E1576" s="5" t="str">
        <f ca="1">IFERROR(__xludf.DUMMYFUNCTION("GOOGLETRANSLATE(C1576,""ja"",""vi"")"),"Đấu giá&gt; ô tô, xe máy&gt; xe chuyển hướng&gt; màn hình&gt; lật xuống")</f>
        <v>Đấu giá&gt; ô tô, xe máy&gt; xe chuyển hướng&gt; màn hình&gt; lật xuống</v>
      </c>
      <c r="F1576" t="str">
        <f t="shared" ca="1" si="24"/>
        <v>"2084204094" : "Lật xuống",</v>
      </c>
    </row>
    <row r="1577" spans="1:6" ht="15.75" customHeight="1">
      <c r="A1577" s="18">
        <v>2084204097</v>
      </c>
      <c r="B1577" s="18" t="s">
        <v>15982</v>
      </c>
      <c r="C1577" s="18" t="s">
        <v>15985</v>
      </c>
      <c r="D1577" s="5" t="str">
        <f ca="1">IFERROR(__xludf.DUMMYFUNCTION("GOOGLETRANSLATE(B1577,""ja"",""vi"")"),"tựa đầu")</f>
        <v>tựa đầu</v>
      </c>
      <c r="E1577" s="5" t="str">
        <f ca="1">IFERROR(__xludf.DUMMYFUNCTION("GOOGLETRANSLATE(C1577,""ja"",""vi"")"),"Đấu giá&gt; ô tô, xe máy&gt; xe chuyển hướng&gt; màn hình&gt; tựa đầu")</f>
        <v>Đấu giá&gt; ô tô, xe máy&gt; xe chuyển hướng&gt; màn hình&gt; tựa đầu</v>
      </c>
      <c r="F1577" t="str">
        <f t="shared" ca="1" si="24"/>
        <v>"2084204097" : "tựa đầu",</v>
      </c>
    </row>
    <row r="1578" spans="1:6" ht="15.75" customHeight="1">
      <c r="A1578" s="18">
        <v>2084204099</v>
      </c>
      <c r="B1578" s="18" t="s">
        <v>46</v>
      </c>
      <c r="C1578" s="18" t="s">
        <v>15989</v>
      </c>
      <c r="D1578" s="5" t="str">
        <f ca="1">IFERROR(__xludf.DUMMYFUNCTION("GOOGLETRANSLATE(B1578,""ja"",""vi"")"),"nếu không thì")</f>
        <v>nếu không thì</v>
      </c>
      <c r="E1578" s="5" t="str">
        <f ca="1">IFERROR(__xludf.DUMMYFUNCTION("GOOGLETRANSLATE(C1578,""ja"",""vi"")"),"Đấu giá&gt; ô tô, xe máy&gt; chuyển hướng xe&gt; màn hình&gt; Khác")</f>
        <v>Đấu giá&gt; ô tô, xe máy&gt; chuyển hướng xe&gt; màn hình&gt; Khác</v>
      </c>
      <c r="F1578" t="str">
        <f t="shared" ca="1" si="24"/>
        <v>"2084204099" : "nếu không thì",</v>
      </c>
    </row>
    <row r="1579" spans="1:6" ht="15.75" customHeight="1">
      <c r="A1579" s="18">
        <v>2084047105</v>
      </c>
      <c r="B1579" s="18" t="s">
        <v>15992</v>
      </c>
      <c r="C1579" s="18" t="s">
        <v>15994</v>
      </c>
      <c r="D1579" s="5" t="str">
        <f ca="1">IFERROR(__xludf.DUMMYFUNCTION("GOOGLETRANSLATE(B1579,""ja"",""vi"")"),"CD-ROM")</f>
        <v>CD-ROM</v>
      </c>
      <c r="E1579" s="5" t="str">
        <f ca="1">IFERROR(__xludf.DUMMYFUNCTION("GOOGLETRANSLATE(C1579,""ja"",""vi"")"),"Đấu giá&gt; ô tô, xe máy&gt; Hệ thống xe chuyển hướng&gt; Phần mềm&gt; CD-ROM")</f>
        <v>Đấu giá&gt; ô tô, xe máy&gt; Hệ thống xe chuyển hướng&gt; Phần mềm&gt; CD-ROM</v>
      </c>
      <c r="F1579" t="str">
        <f t="shared" ca="1" si="24"/>
        <v>"2084047105" : "CD-ROM",</v>
      </c>
    </row>
    <row r="1580" spans="1:6" ht="15.75" customHeight="1">
      <c r="A1580" s="18">
        <v>2084047106</v>
      </c>
      <c r="B1580" s="18" t="s">
        <v>15997</v>
      </c>
      <c r="C1580" s="18" t="s">
        <v>15999</v>
      </c>
      <c r="D1580" s="5" t="str">
        <f ca="1">IFERROR(__xludf.DUMMYFUNCTION("GOOGLETRANSLATE(B1580,""ja"",""vi"")"),"DVD-ROM")</f>
        <v>DVD-ROM</v>
      </c>
      <c r="E1580" s="5" t="str">
        <f ca="1">IFERROR(__xludf.DUMMYFUNCTION("GOOGLETRANSLATE(C1580,""ja"",""vi"")"),"Đấu giá&gt; ô tô, xe máy&gt; Hệ thống xe chuyển hướng&gt; Phần mềm&gt; DVD-ROM")</f>
        <v>Đấu giá&gt; ô tô, xe máy&gt; Hệ thống xe chuyển hướng&gt; Phần mềm&gt; DVD-ROM</v>
      </c>
      <c r="F1580" t="str">
        <f t="shared" ca="1" si="24"/>
        <v>"2084047106" : "DVD-ROM",</v>
      </c>
    </row>
    <row r="1581" spans="1:6" ht="15.75" customHeight="1">
      <c r="A1581" s="18">
        <v>2084286655</v>
      </c>
      <c r="B1581" s="18" t="s">
        <v>16004</v>
      </c>
      <c r="C1581" s="18" t="s">
        <v>16005</v>
      </c>
      <c r="D1581" s="5" t="str">
        <f ca="1">IFERROR(__xludf.DUMMYFUNCTION("GOOGLETRANSLATE(B1581,""ja"",""vi"")"),"thẻ SD cho hệ thống định vị xe")</f>
        <v>thẻ SD cho hệ thống định vị xe</v>
      </c>
      <c r="E1581" s="5" t="str">
        <f ca="1">IFERROR(__xludf.DUMMYFUNCTION("GOOGLETRANSLATE(C1581,""ja"",""vi"")"),"Đấu giá&gt; ô tô, xe máy&gt; xe chuyển hướng hệ thống&gt; Phần mềm&gt; thẻ SD cho hệ thống định vị xe")</f>
        <v>Đấu giá&gt; ô tô, xe máy&gt; xe chuyển hướng hệ thống&gt; Phần mềm&gt; thẻ SD cho hệ thống định vị xe</v>
      </c>
      <c r="F1581" t="str">
        <f t="shared" ca="1" si="24"/>
        <v>"2084286655" : "thẻ SD cho hệ thống định vị xe",</v>
      </c>
    </row>
    <row r="1582" spans="1:6" ht="15.75" customHeight="1">
      <c r="A1582" s="18">
        <v>2084047107</v>
      </c>
      <c r="B1582" s="18" t="s">
        <v>46</v>
      </c>
      <c r="C1582" s="18" t="s">
        <v>16010</v>
      </c>
      <c r="D1582" s="5" t="str">
        <f ca="1">IFERROR(__xludf.DUMMYFUNCTION("GOOGLETRANSLATE(B1582,""ja"",""vi"")"),"nếu không thì")</f>
        <v>nếu không thì</v>
      </c>
      <c r="E1582" s="5" t="str">
        <f ca="1">IFERROR(__xludf.DUMMYFUNCTION("GOOGLETRANSLATE(C1582,""ja"",""vi"")"),"Đấu giá&gt; ô tô, xe máy&gt; xe chuyển hướng&gt; Phần mềm&gt; Khác")</f>
        <v>Đấu giá&gt; ô tô, xe máy&gt; xe chuyển hướng&gt; Phần mềm&gt; Khác</v>
      </c>
      <c r="F1582" t="str">
        <f t="shared" ca="1" si="24"/>
        <v>"2084047107" : "nếu không thì",</v>
      </c>
    </row>
    <row r="1583" spans="1:6" ht="15.75" customHeight="1">
      <c r="A1583" s="18">
        <v>2084290688</v>
      </c>
      <c r="B1583" s="18" t="s">
        <v>16015</v>
      </c>
      <c r="C1583" s="18" t="s">
        <v>16016</v>
      </c>
      <c r="D1583" s="5" t="str">
        <f ca="1">IFERROR(__xludf.DUMMYFUNCTION("GOOGLETRANSLATE(B1583,""ja"",""vi"")"),"ăng-ten GPS")</f>
        <v>ăng-ten GPS</v>
      </c>
      <c r="E1583" s="5" t="str">
        <f ca="1">IFERROR(__xludf.DUMMYFUNCTION("GOOGLETRANSLATE(C1583,""ja"",""vi"")"),"Đấu giá&gt; ô tô, xe máy&gt; hệ thống định vị xe&gt; ăng ten&gt; GPS ăng ten")</f>
        <v>Đấu giá&gt; ô tô, xe máy&gt; hệ thống định vị xe&gt; ăng ten&gt; GPS ăng ten</v>
      </c>
      <c r="F1583" t="str">
        <f t="shared" ca="1" si="24"/>
        <v>"2084290688" : "ăng-ten GPS",</v>
      </c>
    </row>
    <row r="1584" spans="1:6" ht="15.75" customHeight="1">
      <c r="A1584" s="18">
        <v>2084290694</v>
      </c>
      <c r="B1584" s="18" t="s">
        <v>16019</v>
      </c>
      <c r="C1584" s="18" t="s">
        <v>16021</v>
      </c>
      <c r="D1584" s="5" t="str">
        <f ca="1">IFERROR(__xludf.DUMMYFUNCTION("GOOGLETRANSLATE(B1584,""ja"",""vi"")"),"VICS ăng ten")</f>
        <v>VICS ăng ten</v>
      </c>
      <c r="E1584" s="5" t="str">
        <f ca="1">IFERROR(__xludf.DUMMYFUNCTION("GOOGLETRANSLATE(C1584,""ja"",""vi"")"),"Đấu giá&gt; ô tô, xe máy&gt; hệ thống định vị xe&gt; ăng ten&gt; VICS ăng ten")</f>
        <v>Đấu giá&gt; ô tô, xe máy&gt; hệ thống định vị xe&gt; ăng ten&gt; VICS ăng ten</v>
      </c>
      <c r="F1584" t="str">
        <f t="shared" ca="1" si="24"/>
        <v>"2084290694" : "VICS ăng ten",</v>
      </c>
    </row>
    <row r="1585" spans="1:6" ht="15.75" customHeight="1">
      <c r="A1585" s="18">
        <v>2084230817</v>
      </c>
      <c r="B1585" s="18" t="s">
        <v>16024</v>
      </c>
      <c r="C1585" s="18" t="s">
        <v>16025</v>
      </c>
      <c r="D1585" s="5" t="str">
        <f ca="1">IFERROR(__xludf.DUMMYFUNCTION("GOOGLETRANSLATE(B1585,""ja"",""vi"")"),"Antenna tăng cường")</f>
        <v>Antenna tăng cường</v>
      </c>
      <c r="E1585" s="5" t="str">
        <f ca="1">IFERROR(__xludf.DUMMYFUNCTION("GOOGLETRANSLATE(C1585,""ja"",""vi"")"),"Đấu giá&gt; ô tô, xe máy&gt; hệ thống định vị xe&gt; ăng ten&gt; ăng-ten tăng cường")</f>
        <v>Đấu giá&gt; ô tô, xe máy&gt; hệ thống định vị xe&gt; ăng ten&gt; ăng-ten tăng cường</v>
      </c>
      <c r="F1585" t="str">
        <f t="shared" ca="1" si="24"/>
        <v>"2084230817" : "Antenna tăng cường",</v>
      </c>
    </row>
    <row r="1586" spans="1:6" ht="15.75" customHeight="1">
      <c r="A1586" s="18">
        <v>2084204092</v>
      </c>
      <c r="B1586" s="18" t="s">
        <v>16028</v>
      </c>
      <c r="C1586" s="18" t="s">
        <v>16031</v>
      </c>
      <c r="D1586" s="5" t="str">
        <f ca="1">IFERROR(__xludf.DUMMYFUNCTION("GOOGLETRANSLATE(B1586,""ja"",""vi"")"),"ăng ten đa dạng")</f>
        <v>ăng ten đa dạng</v>
      </c>
      <c r="E1586" s="5" t="str">
        <f ca="1">IFERROR(__xludf.DUMMYFUNCTION("GOOGLETRANSLATE(C1586,""ja"",""vi"")"),"Đấu giá&gt; ô tô, xe máy&gt; hệ thống định vị xe&gt; ăng ten&gt; đa dạng ăng ten")</f>
        <v>Đấu giá&gt; ô tô, xe máy&gt; hệ thống định vị xe&gt; ăng ten&gt; đa dạng ăng ten</v>
      </c>
      <c r="F1586" t="str">
        <f t="shared" ca="1" si="24"/>
        <v>"2084204092" : "ăng ten đa dạng",</v>
      </c>
    </row>
    <row r="1587" spans="1:6" ht="15.75" customHeight="1">
      <c r="A1587" s="18">
        <v>2084204091</v>
      </c>
      <c r="B1587" s="18" t="s">
        <v>16033</v>
      </c>
      <c r="C1587" s="18" t="s">
        <v>16035</v>
      </c>
      <c r="D1587" s="5" t="str">
        <f ca="1">IFERROR(__xludf.DUMMYFUNCTION("GOOGLETRANSLATE(B1587,""ja"",""vi"")"),"ăng ten phim")</f>
        <v>ăng ten phim</v>
      </c>
      <c r="E1587" s="5" t="str">
        <f ca="1">IFERROR(__xludf.DUMMYFUNCTION("GOOGLETRANSLATE(C1587,""ja"",""vi"")"),"Đấu giá&gt; ô tô, xe máy&gt; hệ thống định vị xe&gt; ăng ten&gt; phim ăng ten")</f>
        <v>Đấu giá&gt; ô tô, xe máy&gt; hệ thống định vị xe&gt; ăng ten&gt; phim ăng ten</v>
      </c>
      <c r="F1587" t="str">
        <f t="shared" ca="1" si="24"/>
        <v>"2084204091" : "ăng ten phim",</v>
      </c>
    </row>
    <row r="1588" spans="1:6" ht="15.75" customHeight="1">
      <c r="A1588" s="18">
        <v>2084230818</v>
      </c>
      <c r="B1588" s="18" t="s">
        <v>16039</v>
      </c>
      <c r="C1588" s="18" t="s">
        <v>16040</v>
      </c>
      <c r="D1588" s="5" t="str">
        <f ca="1">IFERROR(__xludf.DUMMYFUNCTION("GOOGLETRANSLATE(B1588,""ja"",""vi"")"),"Đài phát thanh ăng ten")</f>
        <v>Đài phát thanh ăng ten</v>
      </c>
      <c r="E1588" s="5" t="str">
        <f ca="1">IFERROR(__xludf.DUMMYFUNCTION("GOOGLETRANSLATE(C1588,""ja"",""vi"")"),"Đấu giá&gt; ô tô, xe máy&gt; hệ thống định vị xe&gt; ăng ten&gt; đài phát thanh ăng ten")</f>
        <v>Đấu giá&gt; ô tô, xe máy&gt; hệ thống định vị xe&gt; ăng ten&gt; đài phát thanh ăng ten</v>
      </c>
      <c r="F1588" t="str">
        <f t="shared" ca="1" si="24"/>
        <v>"2084230818" : "Đài phát thanh ăng ten",</v>
      </c>
    </row>
    <row r="1589" spans="1:6" ht="15.75" customHeight="1">
      <c r="A1589" s="18">
        <v>2084204093</v>
      </c>
      <c r="B1589" s="18" t="s">
        <v>46</v>
      </c>
      <c r="C1589" s="18" t="s">
        <v>16045</v>
      </c>
      <c r="D1589" s="5" t="str">
        <f ca="1">IFERROR(__xludf.DUMMYFUNCTION("GOOGLETRANSLATE(B1589,""ja"",""vi"")"),"nếu không thì")</f>
        <v>nếu không thì</v>
      </c>
      <c r="E1589" s="5" t="str">
        <f ca="1">IFERROR(__xludf.DUMMYFUNCTION("GOOGLETRANSLATE(C1589,""ja"",""vi"")"),"Đấu giá&gt; ô tô, xe máy&gt; xe chuyển hướng hệ thống&gt; ăng ten&gt; Khác")</f>
        <v>Đấu giá&gt; ô tô, xe máy&gt; xe chuyển hướng hệ thống&gt; ăng ten&gt; Khác</v>
      </c>
      <c r="F1589" t="str">
        <f t="shared" ca="1" si="24"/>
        <v>"2084204093" : "nếu không thì",</v>
      </c>
    </row>
    <row r="1590" spans="1:6" ht="15.75" customHeight="1">
      <c r="A1590" s="18">
        <v>2084290701</v>
      </c>
      <c r="B1590" s="18" t="s">
        <v>1918</v>
      </c>
      <c r="C1590" s="18" t="s">
        <v>16049</v>
      </c>
      <c r="D1590" s="5" t="str">
        <f ca="1">IFERROR(__xludf.DUMMYFUNCTION("GOOGLETRANSLATE(B1590,""ja"",""vi"")"),"Panasonic")</f>
        <v>Panasonic</v>
      </c>
      <c r="E1590" s="5" t="str">
        <f ca="1">IFERROR(__xludf.DUMMYFUNCTION("GOOGLETRANSLATE(C1590,""ja"",""vi"")"),"Đấu giá&gt; ô tô, xe máy&gt; hệ thống định vị xe&gt; đơn vị Bluetooth&gt; Panasonic")</f>
        <v>Đấu giá&gt; ô tô, xe máy&gt; hệ thống định vị xe&gt; đơn vị Bluetooth&gt; Panasonic</v>
      </c>
      <c r="F1590" t="str">
        <f t="shared" ca="1" si="24"/>
        <v>"2084290701" : "Panasonic",</v>
      </c>
    </row>
    <row r="1591" spans="1:6" ht="15.75" customHeight="1">
      <c r="A1591" s="18">
        <v>2084290702</v>
      </c>
      <c r="B1591" s="18" t="s">
        <v>15833</v>
      </c>
      <c r="C1591" s="18" t="s">
        <v>16053</v>
      </c>
      <c r="D1591" s="5" t="str">
        <f ca="1">IFERROR(__xludf.DUMMYFUNCTION("GOOGLETRANSLATE(B1591,""ja"",""vi"")"),"Carrozzeria")</f>
        <v>Carrozzeria</v>
      </c>
      <c r="E1591" s="5" t="str">
        <f ca="1">IFERROR(__xludf.DUMMYFUNCTION("GOOGLETRANSLATE(C1591,""ja"",""vi"")"),"Đấu giá&gt; ô tô, xe máy&gt; hệ thống định vị xe&gt; đơn vị Bluetooth&gt; Carrozzeria")</f>
        <v>Đấu giá&gt; ô tô, xe máy&gt; hệ thống định vị xe&gt; đơn vị Bluetooth&gt; Carrozzeria</v>
      </c>
      <c r="F1591" t="str">
        <f t="shared" ca="1" si="24"/>
        <v>"2084290702" : "Carrozzeria",</v>
      </c>
    </row>
    <row r="1592" spans="1:6" ht="15.75" customHeight="1">
      <c r="A1592" s="18">
        <v>2084290703</v>
      </c>
      <c r="B1592" s="18" t="s">
        <v>15890</v>
      </c>
      <c r="C1592" s="18" t="s">
        <v>16057</v>
      </c>
      <c r="D1592" s="5" t="str">
        <f ca="1">IFERROR(__xludf.DUMMYFUNCTION("GOOGLETRANSLATE(B1592,""ja"",""vi"")"),"Eclipse")</f>
        <v>Eclipse</v>
      </c>
      <c r="E1592" s="5" t="str">
        <f ca="1">IFERROR(__xludf.DUMMYFUNCTION("GOOGLETRANSLATE(C1592,""ja"",""vi"")"),"Đấu giá&gt; ô tô, xe máy&gt; hệ thống định vị xe&gt; đơn vị Bluetooth&gt; Eclipse")</f>
        <v>Đấu giá&gt; ô tô, xe máy&gt; hệ thống định vị xe&gt; đơn vị Bluetooth&gt; Eclipse</v>
      </c>
      <c r="F1592" t="str">
        <f t="shared" ca="1" si="24"/>
        <v>"2084290703" : "Eclipse",</v>
      </c>
    </row>
    <row r="1593" spans="1:6" ht="15.75" customHeight="1">
      <c r="A1593" s="18">
        <v>2084290704</v>
      </c>
      <c r="B1593" s="18" t="s">
        <v>46</v>
      </c>
      <c r="C1593" s="18" t="s">
        <v>16062</v>
      </c>
      <c r="D1593" s="5" t="str">
        <f ca="1">IFERROR(__xludf.DUMMYFUNCTION("GOOGLETRANSLATE(B1593,""ja"",""vi"")"),"nếu không thì")</f>
        <v>nếu không thì</v>
      </c>
      <c r="E1593" s="5" t="str">
        <f ca="1">IFERROR(__xludf.DUMMYFUNCTION("GOOGLETRANSLATE(C1593,""ja"",""vi"")"),"Đấu giá&gt; ô tô, xe máy&gt; hệ thống định vị xe&gt; đơn vị Bluetooth&gt; Khác")</f>
        <v>Đấu giá&gt; ô tô, xe máy&gt; hệ thống định vị xe&gt; đơn vị Bluetooth&gt; Khác</v>
      </c>
      <c r="F1593" t="str">
        <f t="shared" ca="1" si="24"/>
        <v>"2084290704" : "nếu không thì",</v>
      </c>
    </row>
    <row r="1594" spans="1:6" ht="15.75" customHeight="1">
      <c r="A1594" s="18">
        <v>2084230813</v>
      </c>
      <c r="B1594" s="18" t="s">
        <v>16067</v>
      </c>
      <c r="C1594" s="18" t="s">
        <v>16068</v>
      </c>
      <c r="D1594" s="5" t="str">
        <f ca="1">IFERROR(__xludf.DUMMYFUNCTION("GOOGLETRANSLATE(B1594,""ja"",""vi"")"),"analog Tuner")</f>
        <v>analog Tuner</v>
      </c>
      <c r="E1594" s="5" t="str">
        <f ca="1">IFERROR(__xludf.DUMMYFUNCTION("GOOGLETRANSLATE(C1594,""ja"",""vi"")"),"Đấu giá&gt; ô tô, xe máy&gt; xe chuyển hướng hệ thống&gt; TV tuner&gt; analog chỉnh")</f>
        <v>Đấu giá&gt; ô tô, xe máy&gt; xe chuyển hướng hệ thống&gt; TV tuner&gt; analog chỉnh</v>
      </c>
      <c r="F1594" t="str">
        <f t="shared" ca="1" si="24"/>
        <v>"2084230813" : "analog Tuner",</v>
      </c>
    </row>
    <row r="1595" spans="1:6" ht="15.75" customHeight="1">
      <c r="A1595" s="18">
        <v>2084230814</v>
      </c>
      <c r="B1595" s="18" t="s">
        <v>16072</v>
      </c>
      <c r="C1595" s="18" t="s">
        <v>16074</v>
      </c>
      <c r="D1595" s="5" t="str">
        <f ca="1">IFERROR(__xludf.DUMMYFUNCTION("GOOGLETRANSLATE(B1595,""ja"",""vi"")"),"Seg Tuner chuyên dụng")</f>
        <v>Seg Tuner chuyên dụng</v>
      </c>
      <c r="E1595" s="5" t="str">
        <f ca="1">IFERROR(__xludf.DUMMYFUNCTION("GOOGLETRANSLATE(C1595,""ja"",""vi"")"),"Đấu giá&gt; ô tô, xe máy&gt; hệ thống định vị xe&gt; TV tuner&gt; Seg Tuner chuyên dụng")</f>
        <v>Đấu giá&gt; ô tô, xe máy&gt; hệ thống định vị xe&gt; TV tuner&gt; Seg Tuner chuyên dụng</v>
      </c>
      <c r="F1595" t="str">
        <f t="shared" ca="1" si="24"/>
        <v>"2084230814" : "Seg Tuner chuyên dụng",</v>
      </c>
    </row>
    <row r="1596" spans="1:6" ht="15.75" customHeight="1">
      <c r="A1596" s="18">
        <v>2084230815</v>
      </c>
      <c r="B1596" s="18" t="s">
        <v>16076</v>
      </c>
      <c r="C1596" s="18" t="s">
        <v>16079</v>
      </c>
      <c r="D1596" s="5" t="str">
        <f ca="1">IFERROR(__xludf.DUMMYFUNCTION("GOOGLETRANSLATE(B1596,""ja"",""vi"")"),"tuner kỹ thuật số mặt đất")</f>
        <v>tuner kỹ thuật số mặt đất</v>
      </c>
      <c r="E1596" s="5" t="str">
        <f ca="1">IFERROR(__xludf.DUMMYFUNCTION("GOOGLETRANSLATE(C1596,""ja"",""vi"")"),"Đấu giá&gt; ô tô, xe máy&gt; hệ thống định vị xe&gt; TV tuner&gt; trên cạn tuner kỹ thuật số")</f>
        <v>Đấu giá&gt; ô tô, xe máy&gt; hệ thống định vị xe&gt; TV tuner&gt; trên cạn tuner kỹ thuật số</v>
      </c>
      <c r="F1596" t="str">
        <f t="shared" ca="1" si="24"/>
        <v>"2084230815" : "tuner kỹ thuật số mặt đất",</v>
      </c>
    </row>
    <row r="1597" spans="1:6" ht="15.75" customHeight="1">
      <c r="A1597" s="18">
        <v>2084230816</v>
      </c>
      <c r="B1597" s="18" t="s">
        <v>46</v>
      </c>
      <c r="C1597" s="18" t="s">
        <v>16082</v>
      </c>
      <c r="D1597" s="5" t="str">
        <f ca="1">IFERROR(__xludf.DUMMYFUNCTION("GOOGLETRANSLATE(B1597,""ja"",""vi"")"),"nếu không thì")</f>
        <v>nếu không thì</v>
      </c>
      <c r="E1597" s="5" t="str">
        <f ca="1">IFERROR(__xludf.DUMMYFUNCTION("GOOGLETRANSLATE(C1597,""ja"",""vi"")"),"Đấu giá&gt; ô tô, xe máy&gt; xe chuyển hướng hệ thống&gt; TV tuner&gt; Khác")</f>
        <v>Đấu giá&gt; ô tô, xe máy&gt; xe chuyển hướng hệ thống&gt; TV tuner&gt; Khác</v>
      </c>
      <c r="F1597" t="str">
        <f t="shared" ca="1" si="24"/>
        <v>"2084230816" : "nếu không thì",</v>
      </c>
    </row>
    <row r="1598" spans="1:6" ht="15.75" customHeight="1">
      <c r="A1598" s="18">
        <v>2084291420</v>
      </c>
      <c r="B1598" s="18" t="s">
        <v>15888</v>
      </c>
      <c r="C1598" s="18" t="s">
        <v>16086</v>
      </c>
      <c r="D1598" s="5" t="str">
        <f ca="1">IFERROR(__xludf.DUMMYFUNCTION("GOOGLETRANSLATE(B1598,""ja"",""vi"")"),"núi cao")</f>
        <v>núi cao</v>
      </c>
      <c r="E1598" s="5" t="str">
        <f ca="1">IFERROR(__xludf.DUMMYFUNCTION("GOOGLETRANSLATE(C1598,""ja"",""vi"")"),"Đấu giá&gt; ô tô, xe máy&gt; hệ thống định vị xe&gt; máy ảnh trở lại, màn hình lại&gt; Alpine")</f>
        <v>Đấu giá&gt; ô tô, xe máy&gt; hệ thống định vị xe&gt; máy ảnh trở lại, màn hình lại&gt; Alpine</v>
      </c>
      <c r="F1598" t="str">
        <f t="shared" ca="1" si="24"/>
        <v>"2084291420" : "núi cao",</v>
      </c>
    </row>
    <row r="1599" spans="1:6" ht="15.75" customHeight="1">
      <c r="A1599" s="18">
        <v>2084291421</v>
      </c>
      <c r="B1599" s="18" t="s">
        <v>15890</v>
      </c>
      <c r="C1599" s="18" t="s">
        <v>16090</v>
      </c>
      <c r="D1599" s="5" t="str">
        <f ca="1">IFERROR(__xludf.DUMMYFUNCTION("GOOGLETRANSLATE(B1599,""ja"",""vi"")"),"Eclipse")</f>
        <v>Eclipse</v>
      </c>
      <c r="E1599" s="5" t="str">
        <f ca="1">IFERROR(__xludf.DUMMYFUNCTION("GOOGLETRANSLATE(C1599,""ja"",""vi"")"),"Đấu giá&gt; ô tô, xe máy&gt; hệ thống định vị xe&gt; máy ảnh trở lại, màn hình lại&gt; Eclipse")</f>
        <v>Đấu giá&gt; ô tô, xe máy&gt; hệ thống định vị xe&gt; máy ảnh trở lại, màn hình lại&gt; Eclipse</v>
      </c>
      <c r="F1599" t="str">
        <f t="shared" ca="1" si="24"/>
        <v>"2084291421" : "Eclipse",</v>
      </c>
    </row>
    <row r="1600" spans="1:6" ht="15.75" customHeight="1">
      <c r="A1600" s="18">
        <v>2084291419</v>
      </c>
      <c r="B1600" s="18" t="s">
        <v>15833</v>
      </c>
      <c r="C1600" s="18" t="s">
        <v>16094</v>
      </c>
      <c r="D1600" s="5" t="str">
        <f ca="1">IFERROR(__xludf.DUMMYFUNCTION("GOOGLETRANSLATE(B1600,""ja"",""vi"")"),"Carrozzeria")</f>
        <v>Carrozzeria</v>
      </c>
      <c r="E1600" s="5" t="str">
        <f ca="1">IFERROR(__xludf.DUMMYFUNCTION("GOOGLETRANSLATE(C1600,""ja"",""vi"")"),"Đấu giá&gt; ô tô, xe máy&gt; hệ thống định vị xe&gt; máy ảnh trở lại, màn hình lại&gt; Carrozzeria")</f>
        <v>Đấu giá&gt; ô tô, xe máy&gt; hệ thống định vị xe&gt; máy ảnh trở lại, màn hình lại&gt; Carrozzeria</v>
      </c>
      <c r="F1600" t="str">
        <f t="shared" ca="1" si="24"/>
        <v>"2084291419" : "Carrozzeria",</v>
      </c>
    </row>
    <row r="1601" spans="1:6" ht="15.75" customHeight="1">
      <c r="A1601" s="18">
        <v>2084291418</v>
      </c>
      <c r="B1601" s="18" t="s">
        <v>1918</v>
      </c>
      <c r="C1601" s="18" t="s">
        <v>16099</v>
      </c>
      <c r="D1601" s="5" t="str">
        <f ca="1">IFERROR(__xludf.DUMMYFUNCTION("GOOGLETRANSLATE(B1601,""ja"",""vi"")"),"Panasonic")</f>
        <v>Panasonic</v>
      </c>
      <c r="E1601" s="5" t="str">
        <f ca="1">IFERROR(__xludf.DUMMYFUNCTION("GOOGLETRANSLATE(C1601,""ja"",""vi"")"),"Đấu giá&gt; ô tô, xe máy&gt; hệ thống định vị xe&gt; máy ảnh trở lại, màn hình lại&gt; Panasonic")</f>
        <v>Đấu giá&gt; ô tô, xe máy&gt; hệ thống định vị xe&gt; máy ảnh trở lại, màn hình lại&gt; Panasonic</v>
      </c>
      <c r="F1601" t="str">
        <f t="shared" ca="1" si="24"/>
        <v>"2084291418" : "Panasonic",</v>
      </c>
    </row>
    <row r="1602" spans="1:6" ht="15.75" customHeight="1">
      <c r="A1602" s="18">
        <v>2084291422</v>
      </c>
      <c r="B1602" s="18" t="s">
        <v>15451</v>
      </c>
      <c r="C1602" s="18" t="s">
        <v>16103</v>
      </c>
      <c r="D1602" s="5" t="str">
        <f ca="1">IFERROR(__xludf.DUMMYFUNCTION("GOOGLETRANSLATE(B1602,""ja"",""vi"")"),"Genuine")</f>
        <v>Genuine</v>
      </c>
      <c r="E1602" s="5" t="str">
        <f ca="1">IFERROR(__xludf.DUMMYFUNCTION("GOOGLETRANSLATE(C1602,""ja"",""vi"")"),"Đấu giá&gt; ô tô, xe máy&gt; hệ thống định vị xe&gt; máy ảnh trở lại, màn hình lại&gt; chính hãng")</f>
        <v>Đấu giá&gt; ô tô, xe máy&gt; hệ thống định vị xe&gt; máy ảnh trở lại, màn hình lại&gt; chính hãng</v>
      </c>
      <c r="F1602" t="str">
        <f t="shared" ref="F1602:F1665" ca="1" si="25">CONCATENATE(CHAR(34)&amp;"",A1602,""&amp;CHAR(34)," : ", CHAR(34)&amp;"",D1602,""&amp;CHAR(34),",")</f>
        <v>"2084291422" : "Genuine",</v>
      </c>
    </row>
    <row r="1603" spans="1:6" ht="15.75" customHeight="1">
      <c r="A1603" s="18">
        <v>2084291423</v>
      </c>
      <c r="B1603" s="18" t="s">
        <v>46</v>
      </c>
      <c r="C1603" s="18" t="s">
        <v>16109</v>
      </c>
      <c r="D1603" s="5" t="str">
        <f ca="1">IFERROR(__xludf.DUMMYFUNCTION("GOOGLETRANSLATE(B1603,""ja"",""vi"")"),"nếu không thì")</f>
        <v>nếu không thì</v>
      </c>
      <c r="E1603" s="5" t="str">
        <f ca="1">IFERROR(__xludf.DUMMYFUNCTION("GOOGLETRANSLATE(C1603,""ja"",""vi"")"),"Đấu giá&gt; ô tô, xe máy&gt; hệ thống định vị xe&gt; máy ảnh trở lại, màn hình lại&gt; Khác")</f>
        <v>Đấu giá&gt; ô tô, xe máy&gt; hệ thống định vị xe&gt; máy ảnh trở lại, màn hình lại&gt; Khác</v>
      </c>
      <c r="F1603" t="str">
        <f t="shared" ca="1" si="25"/>
        <v>"2084291423" : "nếu không thì",</v>
      </c>
    </row>
    <row r="1604" spans="1:6" ht="15.75" customHeight="1">
      <c r="A1604" s="18">
        <v>2084286647</v>
      </c>
      <c r="B1604" s="18" t="s">
        <v>15888</v>
      </c>
      <c r="C1604" s="18" t="s">
        <v>16110</v>
      </c>
      <c r="D1604" s="5" t="str">
        <f ca="1">IFERROR(__xludf.DUMMYFUNCTION("GOOGLETRANSLATE(B1604,""ja"",""vi"")"),"núi cao")</f>
        <v>núi cao</v>
      </c>
      <c r="E1604" s="5" t="str">
        <f ca="1">IFERROR(__xludf.DUMMYFUNCTION("GOOGLETRANSLATE(C1604,""ja"",""vi"")"),"Đấu giá&gt; ô tô, xe máy&gt; hệ thống định vị xe&gt; đèn hiệu&gt; Alpine")</f>
        <v>Đấu giá&gt; ô tô, xe máy&gt; hệ thống định vị xe&gt; đèn hiệu&gt; Alpine</v>
      </c>
      <c r="F1604" t="str">
        <f t="shared" ca="1" si="25"/>
        <v>"2084286647" : "núi cao",</v>
      </c>
    </row>
    <row r="1605" spans="1:6" ht="15.75" customHeight="1">
      <c r="A1605" s="18">
        <v>2084286648</v>
      </c>
      <c r="B1605" s="18" t="s">
        <v>15890</v>
      </c>
      <c r="C1605" s="18" t="s">
        <v>16115</v>
      </c>
      <c r="D1605" s="5" t="str">
        <f ca="1">IFERROR(__xludf.DUMMYFUNCTION("GOOGLETRANSLATE(B1605,""ja"",""vi"")"),"Eclipse")</f>
        <v>Eclipse</v>
      </c>
      <c r="E1605" s="5" t="str">
        <f ca="1">IFERROR(__xludf.DUMMYFUNCTION("GOOGLETRANSLATE(C1605,""ja"",""vi"")"),"Đấu giá&gt; ô tô, xe máy&gt; hệ thống định vị xe&gt; đèn hiệu&gt; Eclipse")</f>
        <v>Đấu giá&gt; ô tô, xe máy&gt; hệ thống định vị xe&gt; đèn hiệu&gt; Eclipse</v>
      </c>
      <c r="F1605" t="str">
        <f t="shared" ca="1" si="25"/>
        <v>"2084286648" : "Eclipse",</v>
      </c>
    </row>
    <row r="1606" spans="1:6" ht="15.75" customHeight="1">
      <c r="A1606" s="18">
        <v>2084286646</v>
      </c>
      <c r="B1606" s="18" t="s">
        <v>15833</v>
      </c>
      <c r="C1606" s="18" t="s">
        <v>16118</v>
      </c>
      <c r="D1606" s="5" t="str">
        <f ca="1">IFERROR(__xludf.DUMMYFUNCTION("GOOGLETRANSLATE(B1606,""ja"",""vi"")"),"Carrozzeria")</f>
        <v>Carrozzeria</v>
      </c>
      <c r="E1606" s="5" t="str">
        <f ca="1">IFERROR(__xludf.DUMMYFUNCTION("GOOGLETRANSLATE(C1606,""ja"",""vi"")"),"Đấu giá&gt; ô tô, xe máy&gt; hệ thống định vị xe&gt; đèn hiệu&gt; Carrozzeria")</f>
        <v>Đấu giá&gt; ô tô, xe máy&gt; hệ thống định vị xe&gt; đèn hiệu&gt; Carrozzeria</v>
      </c>
      <c r="F1606" t="str">
        <f t="shared" ca="1" si="25"/>
        <v>"2084286646" : "Carrozzeria",</v>
      </c>
    </row>
    <row r="1607" spans="1:6" ht="15.75" customHeight="1">
      <c r="A1607" s="18">
        <v>2084286649</v>
      </c>
      <c r="B1607" s="18" t="s">
        <v>1738</v>
      </c>
      <c r="C1607" s="18" t="s">
        <v>16123</v>
      </c>
      <c r="D1607" s="5" t="str">
        <f ca="1">IFERROR(__xludf.DUMMYFUNCTION("GOOGLETRANSLATE(B1607,""ja"",""vi"")"),"Sony")</f>
        <v>Sony</v>
      </c>
      <c r="E1607" s="5" t="str">
        <f ca="1">IFERROR(__xludf.DUMMYFUNCTION("GOOGLETRANSLATE(C1607,""ja"",""vi"")"),"Đấu giá&gt; ô tô, xe máy&gt; xe chuyển hướng hệ thống&gt; đèn hiệu&gt; Sony")</f>
        <v>Đấu giá&gt; ô tô, xe máy&gt; xe chuyển hướng hệ thống&gt; đèn hiệu&gt; Sony</v>
      </c>
      <c r="F1607" t="str">
        <f t="shared" ca="1" si="25"/>
        <v>"2084286649" : "Sony",</v>
      </c>
    </row>
    <row r="1608" spans="1:6" ht="15.75" customHeight="1">
      <c r="A1608" s="18">
        <v>2084286645</v>
      </c>
      <c r="B1608" s="18" t="s">
        <v>1918</v>
      </c>
      <c r="C1608" s="18" t="s">
        <v>16126</v>
      </c>
      <c r="D1608" s="5" t="str">
        <f ca="1">IFERROR(__xludf.DUMMYFUNCTION("GOOGLETRANSLATE(B1608,""ja"",""vi"")"),"Panasonic")</f>
        <v>Panasonic</v>
      </c>
      <c r="E1608" s="5" t="str">
        <f ca="1">IFERROR(__xludf.DUMMYFUNCTION("GOOGLETRANSLATE(C1608,""ja"",""vi"")"),"Đấu giá&gt; ô tô, xe máy&gt; hệ thống định vị xe&gt; đèn hiệu&gt; Panasonic")</f>
        <v>Đấu giá&gt; ô tô, xe máy&gt; hệ thống định vị xe&gt; đèn hiệu&gt; Panasonic</v>
      </c>
      <c r="F1608" t="str">
        <f t="shared" ca="1" si="25"/>
        <v>"2084286645" : "Panasonic",</v>
      </c>
    </row>
    <row r="1609" spans="1:6" ht="15.75" customHeight="1">
      <c r="A1609" s="18">
        <v>2084286644</v>
      </c>
      <c r="B1609" s="18" t="s">
        <v>1842</v>
      </c>
      <c r="C1609" s="18" t="s">
        <v>16130</v>
      </c>
      <c r="D1609" s="5" t="str">
        <f ca="1">IFERROR(__xludf.DUMMYFUNCTION("GOOGLETRANSLATE(B1609,""ja"",""vi"")"),"Sanyo")</f>
        <v>Sanyo</v>
      </c>
      <c r="E1609" s="5" t="str">
        <f ca="1">IFERROR(__xludf.DUMMYFUNCTION("GOOGLETRANSLATE(C1609,""ja"",""vi"")"),"Đấu giá&gt; ô tô, xe máy&gt; hệ thống định vị xe&gt; đèn hiệu&gt; Sanyo")</f>
        <v>Đấu giá&gt; ô tô, xe máy&gt; hệ thống định vị xe&gt; đèn hiệu&gt; Sanyo</v>
      </c>
      <c r="F1609" t="str">
        <f t="shared" ca="1" si="25"/>
        <v>"2084286644" : "Sanyo",</v>
      </c>
    </row>
    <row r="1610" spans="1:6" ht="15.75" customHeight="1">
      <c r="A1610" s="18">
        <v>2084286650</v>
      </c>
      <c r="B1610" s="18" t="s">
        <v>46</v>
      </c>
      <c r="C1610" s="18" t="s">
        <v>16135</v>
      </c>
      <c r="D1610" s="5" t="str">
        <f ca="1">IFERROR(__xludf.DUMMYFUNCTION("GOOGLETRANSLATE(B1610,""ja"",""vi"")"),"nếu không thì")</f>
        <v>nếu không thì</v>
      </c>
      <c r="E1610" s="5" t="str">
        <f ca="1">IFERROR(__xludf.DUMMYFUNCTION("GOOGLETRANSLATE(C1610,""ja"",""vi"")"),"Đấu giá&gt; ô tô, xe máy&gt; xe chuyển hướng hệ thống&gt; đèn hiệu&gt; Khác")</f>
        <v>Đấu giá&gt; ô tô, xe máy&gt; xe chuyển hướng hệ thống&gt; đèn hiệu&gt; Khác</v>
      </c>
      <c r="F1610" t="str">
        <f t="shared" ca="1" si="25"/>
        <v>"2084286650" : "nếu không thì",</v>
      </c>
    </row>
    <row r="1611" spans="1:6" ht="15.75" customHeight="1">
      <c r="A1611" s="18">
        <v>2084290680</v>
      </c>
      <c r="B1611" s="18" t="s">
        <v>1842</v>
      </c>
      <c r="C1611" s="18" t="s">
        <v>16140</v>
      </c>
      <c r="D1611" s="5" t="str">
        <f ca="1">IFERROR(__xludf.DUMMYFUNCTION("GOOGLETRANSLATE(B1611,""ja"",""vi"")"),"Sanyo")</f>
        <v>Sanyo</v>
      </c>
      <c r="E1611" s="5" t="str">
        <f ca="1">IFERROR(__xludf.DUMMYFUNCTION("GOOGLETRANSLATE(C1611,""ja"",""vi"")"),"Đấu giá&gt; ô tô, xe máy&gt; hệ thống định vị xe&gt; điều khiển từ xa&gt; Sanyo")</f>
        <v>Đấu giá&gt; ô tô, xe máy&gt; hệ thống định vị xe&gt; điều khiển từ xa&gt; Sanyo</v>
      </c>
      <c r="F1611" t="str">
        <f t="shared" ca="1" si="25"/>
        <v>"2084290680" : "Sanyo",</v>
      </c>
    </row>
    <row r="1612" spans="1:6" ht="15.75" customHeight="1">
      <c r="A1612" s="18">
        <v>2084290681</v>
      </c>
      <c r="B1612" s="18" t="s">
        <v>1918</v>
      </c>
      <c r="C1612" s="18" t="s">
        <v>16144</v>
      </c>
      <c r="D1612" s="5" t="str">
        <f ca="1">IFERROR(__xludf.DUMMYFUNCTION("GOOGLETRANSLATE(B1612,""ja"",""vi"")"),"Panasonic")</f>
        <v>Panasonic</v>
      </c>
      <c r="E1612" s="5" t="str">
        <f ca="1">IFERROR(__xludf.DUMMYFUNCTION("GOOGLETRANSLATE(C1612,""ja"",""vi"")"),"Đấu giá&gt; ô tô, xe máy&gt; hệ thống định vị xe&gt; điều khiển từ xa&gt; Panasonic")</f>
        <v>Đấu giá&gt; ô tô, xe máy&gt; hệ thống định vị xe&gt; điều khiển từ xa&gt; Panasonic</v>
      </c>
      <c r="F1612" t="str">
        <f t="shared" ca="1" si="25"/>
        <v>"2084290681" : "Panasonic",</v>
      </c>
    </row>
    <row r="1613" spans="1:6" ht="15.75" customHeight="1">
      <c r="A1613" s="18">
        <v>2084290682</v>
      </c>
      <c r="B1613" s="18" t="s">
        <v>15833</v>
      </c>
      <c r="C1613" s="18" t="s">
        <v>16151</v>
      </c>
      <c r="D1613" s="5" t="str">
        <f ca="1">IFERROR(__xludf.DUMMYFUNCTION("GOOGLETRANSLATE(B1613,""ja"",""vi"")"),"Carrozzeria")</f>
        <v>Carrozzeria</v>
      </c>
      <c r="E1613" s="5" t="str">
        <f ca="1">IFERROR(__xludf.DUMMYFUNCTION("GOOGLETRANSLATE(C1613,""ja"",""vi"")"),"Đấu giá&gt; ô tô, xe máy&gt; hệ thống định vị xe&gt; điều khiển từ xa&gt; Carrozzeria")</f>
        <v>Đấu giá&gt; ô tô, xe máy&gt; hệ thống định vị xe&gt; điều khiển từ xa&gt; Carrozzeria</v>
      </c>
      <c r="F1613" t="str">
        <f t="shared" ca="1" si="25"/>
        <v>"2084290682" : "Carrozzeria",</v>
      </c>
    </row>
    <row r="1614" spans="1:6" ht="15.75" customHeight="1">
      <c r="A1614" s="18">
        <v>2084290683</v>
      </c>
      <c r="B1614" s="18" t="s">
        <v>15888</v>
      </c>
      <c r="C1614" s="18" t="s">
        <v>16155</v>
      </c>
      <c r="D1614" s="5" t="str">
        <f ca="1">IFERROR(__xludf.DUMMYFUNCTION("GOOGLETRANSLATE(B1614,""ja"",""vi"")"),"núi cao")</f>
        <v>núi cao</v>
      </c>
      <c r="E1614" s="5" t="str">
        <f ca="1">IFERROR(__xludf.DUMMYFUNCTION("GOOGLETRANSLATE(C1614,""ja"",""vi"")"),"Đấu giá&gt; ô tô, xe máy&gt; hệ thống định vị xe&gt; điều khiển từ xa&gt; Alpine")</f>
        <v>Đấu giá&gt; ô tô, xe máy&gt; hệ thống định vị xe&gt; điều khiển từ xa&gt; Alpine</v>
      </c>
      <c r="F1614" t="str">
        <f t="shared" ca="1" si="25"/>
        <v>"2084290683" : "núi cao",</v>
      </c>
    </row>
    <row r="1615" spans="1:6" ht="15.75" customHeight="1">
      <c r="A1615" s="18">
        <v>2084290684</v>
      </c>
      <c r="B1615" s="18" t="s">
        <v>15890</v>
      </c>
      <c r="C1615" s="18" t="s">
        <v>16158</v>
      </c>
      <c r="D1615" s="5" t="str">
        <f ca="1">IFERROR(__xludf.DUMMYFUNCTION("GOOGLETRANSLATE(B1615,""ja"",""vi"")"),"Eclipse")</f>
        <v>Eclipse</v>
      </c>
      <c r="E1615" s="5" t="str">
        <f ca="1">IFERROR(__xludf.DUMMYFUNCTION("GOOGLETRANSLATE(C1615,""ja"",""vi"")"),"Đấu giá&gt; ô tô, xe máy&gt; hệ thống định vị xe&gt; điều khiển từ xa&gt; Eclipse")</f>
        <v>Đấu giá&gt; ô tô, xe máy&gt; hệ thống định vị xe&gt; điều khiển từ xa&gt; Eclipse</v>
      </c>
      <c r="F1615" t="str">
        <f t="shared" ca="1" si="25"/>
        <v>"2084290684" : "Eclipse",</v>
      </c>
    </row>
    <row r="1616" spans="1:6" ht="15.75" customHeight="1">
      <c r="A1616" s="18">
        <v>2084290685</v>
      </c>
      <c r="B1616" s="18" t="s">
        <v>1738</v>
      </c>
      <c r="C1616" s="18" t="s">
        <v>16163</v>
      </c>
      <c r="D1616" s="5" t="str">
        <f ca="1">IFERROR(__xludf.DUMMYFUNCTION("GOOGLETRANSLATE(B1616,""ja"",""vi"")"),"Sony")</f>
        <v>Sony</v>
      </c>
      <c r="E1616" s="5" t="str">
        <f ca="1">IFERROR(__xludf.DUMMYFUNCTION("GOOGLETRANSLATE(C1616,""ja"",""vi"")"),"Đấu giá&gt; ô tô, xe máy&gt; hệ thống định vị xe&gt; điều khiển từ xa&gt; Sony")</f>
        <v>Đấu giá&gt; ô tô, xe máy&gt; hệ thống định vị xe&gt; điều khiển từ xa&gt; Sony</v>
      </c>
      <c r="F1616" t="str">
        <f t="shared" ca="1" si="25"/>
        <v>"2084290685" : "Sony",</v>
      </c>
    </row>
    <row r="1617" spans="1:6" ht="15.75" customHeight="1">
      <c r="A1617" s="18">
        <v>2084290686</v>
      </c>
      <c r="B1617" s="18" t="s">
        <v>15451</v>
      </c>
      <c r="C1617" s="18" t="s">
        <v>16167</v>
      </c>
      <c r="D1617" s="5" t="str">
        <f ca="1">IFERROR(__xludf.DUMMYFUNCTION("GOOGLETRANSLATE(B1617,""ja"",""vi"")"),"Genuine")</f>
        <v>Genuine</v>
      </c>
      <c r="E1617" s="5" t="str">
        <f ca="1">IFERROR(__xludf.DUMMYFUNCTION("GOOGLETRANSLATE(C1617,""ja"",""vi"")"),"Đấu giá&gt; ô tô, xe máy&gt; hệ thống định vị xe&gt; điều khiển từ xa&gt; chính hãng")</f>
        <v>Đấu giá&gt; ô tô, xe máy&gt; hệ thống định vị xe&gt; điều khiển từ xa&gt; chính hãng</v>
      </c>
      <c r="F1617" t="str">
        <f t="shared" ca="1" si="25"/>
        <v>"2084290686" : "Genuine",</v>
      </c>
    </row>
    <row r="1618" spans="1:6" ht="15.75" customHeight="1">
      <c r="A1618" s="18">
        <v>2084290687</v>
      </c>
      <c r="B1618" s="18" t="s">
        <v>46</v>
      </c>
      <c r="C1618" s="18" t="s">
        <v>16172</v>
      </c>
      <c r="D1618" s="5" t="str">
        <f ca="1">IFERROR(__xludf.DUMMYFUNCTION("GOOGLETRANSLATE(B1618,""ja"",""vi"")"),"nếu không thì")</f>
        <v>nếu không thì</v>
      </c>
      <c r="E1618" s="5" t="str">
        <f ca="1">IFERROR(__xludf.DUMMYFUNCTION("GOOGLETRANSLATE(C1618,""ja"",""vi"")"),"Đấu giá&gt; ô tô, xe máy&gt; hệ thống định vị xe&gt; điều khiển từ xa&gt; Khác")</f>
        <v>Đấu giá&gt; ô tô, xe máy&gt; hệ thống định vị xe&gt; điều khiển từ xa&gt; Khác</v>
      </c>
      <c r="F1618" t="str">
        <f t="shared" ca="1" si="25"/>
        <v>"2084290687" : "nếu không thì",</v>
      </c>
    </row>
    <row r="1619" spans="1:6" ht="15.75" customHeight="1">
      <c r="A1619" s="18">
        <v>2084286641</v>
      </c>
      <c r="B1619" s="18" t="s">
        <v>16176</v>
      </c>
      <c r="C1619" s="18" t="s">
        <v>16178</v>
      </c>
      <c r="D1619" s="5" t="str">
        <f ca="1">IFERROR(__xludf.DUMMYFUNCTION("GOOGLETRANSLATE(B1619,""ja"",""vi"")"),"sản phẩm có mục đích chung")</f>
        <v>sản phẩm có mục đích chung</v>
      </c>
      <c r="E1619" s="5" t="str">
        <f ca="1">IFERROR(__xludf.DUMMYFUNCTION("GOOGLETRANSLATE(C1619,""ja"",""vi"")"),"Đấu giá&gt; ô tô, xe máy&gt; hệ thống định vị xe&gt; màng bảo vệ màn hình LCD, bìa&gt; sản phẩm có mục đích chung")</f>
        <v>Đấu giá&gt; ô tô, xe máy&gt; hệ thống định vị xe&gt; màng bảo vệ màn hình LCD, bìa&gt; sản phẩm có mục đích chung</v>
      </c>
      <c r="F1619" t="str">
        <f t="shared" ca="1" si="25"/>
        <v>"2084286641" : "sản phẩm có mục đích chung",</v>
      </c>
    </row>
    <row r="1620" spans="1:6" ht="15.75" customHeight="1">
      <c r="A1620" s="18">
        <v>2084286638</v>
      </c>
      <c r="B1620" s="18" t="s">
        <v>16181</v>
      </c>
      <c r="C1620" s="18" t="s">
        <v>16183</v>
      </c>
      <c r="D1620" s="5" t="str">
        <f ca="1">IFERROR(__xludf.DUMMYFUNCTION("GOOGLETRANSLATE(B1620,""ja"",""vi"")"),"Đối với Alpine")</f>
        <v>Đối với Alpine</v>
      </c>
      <c r="E1620" s="5" t="str">
        <f ca="1">IFERROR(__xludf.DUMMYFUNCTION("GOOGLETRANSLATE(C1620,""ja"",""vi"")"),"Đấu giá&gt; ô tô, xe máy&gt; hệ thống định vị xe&gt; màng bảo vệ màn hình LCD, bìa&gt; cho Alpine")</f>
        <v>Đấu giá&gt; ô tô, xe máy&gt; hệ thống định vị xe&gt; màng bảo vệ màn hình LCD, bìa&gt; cho Alpine</v>
      </c>
      <c r="F1620" t="str">
        <f t="shared" ca="1" si="25"/>
        <v>"2084286638" : "Đối với Alpine",</v>
      </c>
    </row>
    <row r="1621" spans="1:6" ht="15.75" customHeight="1">
      <c r="A1621" s="18">
        <v>2084286639</v>
      </c>
      <c r="B1621" s="18" t="s">
        <v>16186</v>
      </c>
      <c r="C1621" s="18" t="s">
        <v>16187</v>
      </c>
      <c r="D1621" s="5" t="str">
        <f ca="1">IFERROR(__xludf.DUMMYFUNCTION("GOOGLETRANSLATE(B1621,""ja"",""vi"")"),"cho Eclipse")</f>
        <v>cho Eclipse</v>
      </c>
      <c r="E1621" s="5" t="str">
        <f ca="1">IFERROR(__xludf.DUMMYFUNCTION("GOOGLETRANSLATE(C1621,""ja"",""vi"")"),"Đấu giá&gt; ô tô, xe máy&gt; hệ thống định vị xe&gt; màng bảo vệ màn hình LCD, bìa&gt; cho Eclipse")</f>
        <v>Đấu giá&gt; ô tô, xe máy&gt; hệ thống định vị xe&gt; màng bảo vệ màn hình LCD, bìa&gt; cho Eclipse</v>
      </c>
      <c r="F1621" t="str">
        <f t="shared" ca="1" si="25"/>
        <v>"2084286639" : "cho Eclipse",</v>
      </c>
    </row>
    <row r="1622" spans="1:6" ht="15.75" customHeight="1">
      <c r="A1622" s="18">
        <v>2084286637</v>
      </c>
      <c r="B1622" s="18" t="s">
        <v>16197</v>
      </c>
      <c r="C1622" s="18" t="s">
        <v>16198</v>
      </c>
      <c r="D1622" s="5" t="str">
        <f ca="1">IFERROR(__xludf.DUMMYFUNCTION("GOOGLETRANSLATE(B1622,""ja"",""vi"")"),"Đối với Carrozzeria")</f>
        <v>Đối với Carrozzeria</v>
      </c>
      <c r="E1622" s="5" t="str">
        <f ca="1">IFERROR(__xludf.DUMMYFUNCTION("GOOGLETRANSLATE(C1622,""ja"",""vi"")"),"Đấu giá&gt; ô tô, xe máy&gt; hệ thống định vị xe&gt; màng bảo vệ màn hình LCD, bìa&gt; cho Carrozzeria")</f>
        <v>Đấu giá&gt; ô tô, xe máy&gt; hệ thống định vị xe&gt; màng bảo vệ màn hình LCD, bìa&gt; cho Carrozzeria</v>
      </c>
      <c r="F1622" t="str">
        <f t="shared" ca="1" si="25"/>
        <v>"2084286637" : "Đối với Carrozzeria",</v>
      </c>
    </row>
    <row r="1623" spans="1:6" ht="15.75" customHeight="1">
      <c r="A1623" s="18">
        <v>2084286640</v>
      </c>
      <c r="B1623" s="18" t="s">
        <v>16203</v>
      </c>
      <c r="C1623" s="18" t="s">
        <v>16204</v>
      </c>
      <c r="D1623" s="5" t="str">
        <f ca="1">IFERROR(__xludf.DUMMYFUNCTION("GOOGLETRANSLATE(B1623,""ja"",""vi"")"),"Đối với Sony")</f>
        <v>Đối với Sony</v>
      </c>
      <c r="E1623" s="5" t="str">
        <f ca="1">IFERROR(__xludf.DUMMYFUNCTION("GOOGLETRANSLATE(C1623,""ja"",""vi"")"),"Đấu giá&gt; ô tô, xe máy&gt; hệ thống định vị xe&gt; màng bảo vệ màn hình LCD, bìa&gt; cho Sony")</f>
        <v>Đấu giá&gt; ô tô, xe máy&gt; hệ thống định vị xe&gt; màng bảo vệ màn hình LCD, bìa&gt; cho Sony</v>
      </c>
      <c r="F1623" t="str">
        <f t="shared" ca="1" si="25"/>
        <v>"2084286640" : "Đối với Sony",</v>
      </c>
    </row>
    <row r="1624" spans="1:6" ht="15.75" customHeight="1">
      <c r="A1624" s="18">
        <v>2084286636</v>
      </c>
      <c r="B1624" s="18" t="s">
        <v>16207</v>
      </c>
      <c r="C1624" s="18" t="s">
        <v>16209</v>
      </c>
      <c r="D1624" s="5" t="str">
        <f ca="1">IFERROR(__xludf.DUMMYFUNCTION("GOOGLETRANSLATE(B1624,""ja"",""vi"")"),"Đối với Panasonic")</f>
        <v>Đối với Panasonic</v>
      </c>
      <c r="E1624" s="5" t="str">
        <f ca="1">IFERROR(__xludf.DUMMYFUNCTION("GOOGLETRANSLATE(C1624,""ja"",""vi"")"),"Đấu giá&gt; ô tô, xe máy&gt; hệ thống định vị xe&gt; màng bảo vệ màn hình LCD, bìa&gt; cho Panasonic")</f>
        <v>Đấu giá&gt; ô tô, xe máy&gt; hệ thống định vị xe&gt; màng bảo vệ màn hình LCD, bìa&gt; cho Panasonic</v>
      </c>
      <c r="F1624" t="str">
        <f t="shared" ca="1" si="25"/>
        <v>"2084286636" : "Đối với Panasonic",</v>
      </c>
    </row>
    <row r="1625" spans="1:6" ht="15.75" customHeight="1">
      <c r="A1625" s="18">
        <v>2084286635</v>
      </c>
      <c r="B1625" s="18" t="s">
        <v>16213</v>
      </c>
      <c r="C1625" s="18" t="s">
        <v>16215</v>
      </c>
      <c r="D1625" s="5" t="str">
        <f ca="1">IFERROR(__xludf.DUMMYFUNCTION("GOOGLETRANSLATE(B1625,""ja"",""vi"")"),"Đối với Sanyo")</f>
        <v>Đối với Sanyo</v>
      </c>
      <c r="E1625" s="5" t="str">
        <f ca="1">IFERROR(__xludf.DUMMYFUNCTION("GOOGLETRANSLATE(C1625,""ja"",""vi"")"),"Đấu giá&gt; ô tô, xe máy&gt; hệ thống định vị xe&gt; màng bảo vệ màn hình LCD, bìa&gt; cho Sanyo")</f>
        <v>Đấu giá&gt; ô tô, xe máy&gt; hệ thống định vị xe&gt; màng bảo vệ màn hình LCD, bìa&gt; cho Sanyo</v>
      </c>
      <c r="F1625" t="str">
        <f t="shared" ca="1" si="25"/>
        <v>"2084286635" : "Đối với Sanyo",</v>
      </c>
    </row>
    <row r="1626" spans="1:6" ht="15.75" customHeight="1">
      <c r="A1626" s="18">
        <v>2084286642</v>
      </c>
      <c r="B1626" s="18" t="s">
        <v>46</v>
      </c>
      <c r="C1626" s="18" t="s">
        <v>16217</v>
      </c>
      <c r="D1626" s="5" t="str">
        <f ca="1">IFERROR(__xludf.DUMMYFUNCTION("GOOGLETRANSLATE(B1626,""ja"",""vi"")"),"nếu không thì")</f>
        <v>nếu không thì</v>
      </c>
      <c r="E1626" s="5" t="str">
        <f ca="1">IFERROR(__xludf.DUMMYFUNCTION("GOOGLETRANSLATE(C1626,""ja"",""vi"")"),"Đấu giá&gt; ô tô, xe máy&gt; hệ thống định vị xe&gt; màng bảo vệ màn hình LCD, bìa&gt; Khác")</f>
        <v>Đấu giá&gt; ô tô, xe máy&gt; hệ thống định vị xe&gt; màng bảo vệ màn hình LCD, bìa&gt; Khác</v>
      </c>
      <c r="F1626" t="str">
        <f t="shared" ca="1" si="25"/>
        <v>"2084286642" : "nếu không thì",</v>
      </c>
    </row>
    <row r="1627" spans="1:6" ht="15.75" customHeight="1">
      <c r="A1627" s="18">
        <v>2084286585</v>
      </c>
      <c r="B1627" s="18" t="s">
        <v>15833</v>
      </c>
      <c r="C1627" s="18" t="s">
        <v>16222</v>
      </c>
      <c r="D1627" s="5" t="str">
        <f ca="1">IFERROR(__xludf.DUMMYFUNCTION("GOOGLETRANSLATE(B1627,""ja"",""vi"")"),"Carrozzeria")</f>
        <v>Carrozzeria</v>
      </c>
      <c r="E1627" s="5" t="str">
        <f ca="1">IFERROR(__xludf.DUMMYFUNCTION("GOOGLETRANSLATE(C1627,""ja"",""vi"")"),"Đấu giá&gt; ô tô, xe máy&gt; xe chuyển hướng&gt; gắn bộ, đứng&gt; Carrozzeria")</f>
        <v>Đấu giá&gt; ô tô, xe máy&gt; xe chuyển hướng&gt; gắn bộ, đứng&gt; Carrozzeria</v>
      </c>
      <c r="F1627" t="str">
        <f t="shared" ca="1" si="25"/>
        <v>"2084286585" : "Carrozzeria",</v>
      </c>
    </row>
    <row r="1628" spans="1:6" ht="15.75" customHeight="1">
      <c r="A1628" s="18">
        <v>2084286586</v>
      </c>
      <c r="B1628" s="18" t="s">
        <v>1738</v>
      </c>
      <c r="C1628" s="18" t="s">
        <v>16224</v>
      </c>
      <c r="D1628" s="5" t="str">
        <f ca="1">IFERROR(__xludf.DUMMYFUNCTION("GOOGLETRANSLATE(B1628,""ja"",""vi"")"),"Sony")</f>
        <v>Sony</v>
      </c>
      <c r="E1628" s="5" t="str">
        <f ca="1">IFERROR(__xludf.DUMMYFUNCTION("GOOGLETRANSLATE(C1628,""ja"",""vi"")"),"Đấu giá&gt; ô tô, xe máy&gt; xe chuyển hướng&gt; gắn bộ, đứng&gt; Sony")</f>
        <v>Đấu giá&gt; ô tô, xe máy&gt; xe chuyển hướng&gt; gắn bộ, đứng&gt; Sony</v>
      </c>
      <c r="F1628" t="str">
        <f t="shared" ca="1" si="25"/>
        <v>"2084286586" : "Sony",</v>
      </c>
    </row>
    <row r="1629" spans="1:6" ht="15.75" customHeight="1">
      <c r="A1629" s="18">
        <v>2084286584</v>
      </c>
      <c r="B1629" s="18" t="s">
        <v>1918</v>
      </c>
      <c r="C1629" s="18" t="s">
        <v>16228</v>
      </c>
      <c r="D1629" s="5" t="str">
        <f ca="1">IFERROR(__xludf.DUMMYFUNCTION("GOOGLETRANSLATE(B1629,""ja"",""vi"")"),"Panasonic")</f>
        <v>Panasonic</v>
      </c>
      <c r="E1629" s="5" t="str">
        <f ca="1">IFERROR(__xludf.DUMMYFUNCTION("GOOGLETRANSLATE(C1629,""ja"",""vi"")"),"Đấu giá&gt; ô tô, xe máy&gt; xe chuyển hướng&gt; gắn bộ, đứng&gt; Panasonic")</f>
        <v>Đấu giá&gt; ô tô, xe máy&gt; xe chuyển hướng&gt; gắn bộ, đứng&gt; Panasonic</v>
      </c>
      <c r="F1629" t="str">
        <f t="shared" ca="1" si="25"/>
        <v>"2084286584" : "Panasonic",</v>
      </c>
    </row>
    <row r="1630" spans="1:6" ht="15.75" customHeight="1">
      <c r="A1630" s="18">
        <v>2084286583</v>
      </c>
      <c r="B1630" s="18" t="s">
        <v>1842</v>
      </c>
      <c r="C1630" s="18" t="s">
        <v>16233</v>
      </c>
      <c r="D1630" s="5" t="str">
        <f ca="1">IFERROR(__xludf.DUMMYFUNCTION("GOOGLETRANSLATE(B1630,""ja"",""vi"")"),"Sanyo")</f>
        <v>Sanyo</v>
      </c>
      <c r="E1630" s="5" t="str">
        <f ca="1">IFERROR(__xludf.DUMMYFUNCTION("GOOGLETRANSLATE(C1630,""ja"",""vi"")"),"Đấu giá&gt; ô tô, xe máy&gt; xe chuyển hướng&gt; gắn bộ, đứng&gt; Sanyo")</f>
        <v>Đấu giá&gt; ô tô, xe máy&gt; xe chuyển hướng&gt; gắn bộ, đứng&gt; Sanyo</v>
      </c>
      <c r="F1630" t="str">
        <f t="shared" ca="1" si="25"/>
        <v>"2084286583" : "Sanyo",</v>
      </c>
    </row>
    <row r="1631" spans="1:6" ht="15.75" customHeight="1">
      <c r="A1631" s="18">
        <v>2084286659</v>
      </c>
      <c r="B1631" s="18" t="s">
        <v>16236</v>
      </c>
      <c r="C1631" s="18" t="s">
        <v>16238</v>
      </c>
      <c r="D1631" s="5" t="str">
        <f ca="1">IFERROR(__xludf.DUMMYFUNCTION("GOOGLETRANSLATE(B1631,""ja"",""vi"")"),"Điện thoại di động và giữ điện thoại thông minh")</f>
        <v>Điện thoại di động và giữ điện thoại thông minh</v>
      </c>
      <c r="E1631" s="5" t="str">
        <f ca="1">IFERROR(__xludf.DUMMYFUNCTION("GOOGLETRANSLATE(C1631,""ja"",""vi"")"),"Đấu giá&gt; ô tô, xe máy&gt; chuyển hướng xe&gt; kit gắn kết, đứng&gt; điện thoại di động và giữ điện thoại thông minh")</f>
        <v>Đấu giá&gt; ô tô, xe máy&gt; chuyển hướng xe&gt; kit gắn kết, đứng&gt; điện thoại di động và giữ điện thoại thông minh</v>
      </c>
      <c r="F1631" t="str">
        <f t="shared" ca="1" si="25"/>
        <v>"2084286659" : "Điện thoại di động và giữ điện thoại thông minh",</v>
      </c>
    </row>
    <row r="1632" spans="1:6" ht="15.75" customHeight="1">
      <c r="A1632" s="18">
        <v>2084286587</v>
      </c>
      <c r="B1632" s="18" t="s">
        <v>46</v>
      </c>
      <c r="C1632" s="18" t="s">
        <v>16240</v>
      </c>
      <c r="D1632" s="5" t="str">
        <f ca="1">IFERROR(__xludf.DUMMYFUNCTION("GOOGLETRANSLATE(B1632,""ja"",""vi"")"),"nếu không thì")</f>
        <v>nếu không thì</v>
      </c>
      <c r="E1632" s="5" t="str">
        <f ca="1">IFERROR(__xludf.DUMMYFUNCTION("GOOGLETRANSLATE(C1632,""ja"",""vi"")"),"Đấu giá&gt; ô tô, xe máy&gt; xe chuyển hướng&gt; gắn bộ, đứng&gt; Khác")</f>
        <v>Đấu giá&gt; ô tô, xe máy&gt; xe chuyển hướng&gt; gắn bộ, đứng&gt; Khác</v>
      </c>
      <c r="F1632" t="str">
        <f t="shared" ca="1" si="25"/>
        <v>"2084286587" : "nếu không thì",</v>
      </c>
    </row>
    <row r="1633" spans="1:6" ht="15.75" customHeight="1">
      <c r="A1633" s="18">
        <v>2084286592</v>
      </c>
      <c r="B1633" s="18" t="s">
        <v>15888</v>
      </c>
      <c r="C1633" s="18" t="s">
        <v>16245</v>
      </c>
      <c r="D1633" s="5" t="str">
        <f ca="1">IFERROR(__xludf.DUMMYFUNCTION("GOOGLETRANSLATE(B1633,""ja"",""vi"")"),"núi cao")</f>
        <v>núi cao</v>
      </c>
      <c r="E1633" s="5" t="str">
        <f ca="1">IFERROR(__xludf.DUMMYFUNCTION("GOOGLETRANSLATE(C1633,""ja"",""vi"")"),"Đấu giá&gt; ô tô, xe máy&gt; xe chuyển hướng hệ thống&gt; cáp kết nối, AC adapter&gt; Alpine")</f>
        <v>Đấu giá&gt; ô tô, xe máy&gt; xe chuyển hướng hệ thống&gt; cáp kết nối, AC adapter&gt; Alpine</v>
      </c>
      <c r="F1633" t="str">
        <f t="shared" ca="1" si="25"/>
        <v>"2084286592" : "núi cao",</v>
      </c>
    </row>
    <row r="1634" spans="1:6" ht="15.75" customHeight="1">
      <c r="A1634" s="18">
        <v>2084286593</v>
      </c>
      <c r="B1634" s="18" t="s">
        <v>15890</v>
      </c>
      <c r="C1634" s="18" t="s">
        <v>16250</v>
      </c>
      <c r="D1634" s="5" t="str">
        <f ca="1">IFERROR(__xludf.DUMMYFUNCTION("GOOGLETRANSLATE(B1634,""ja"",""vi"")"),"Eclipse")</f>
        <v>Eclipse</v>
      </c>
      <c r="E1634" s="5" t="str">
        <f ca="1">IFERROR(__xludf.DUMMYFUNCTION("GOOGLETRANSLATE(C1634,""ja"",""vi"")"),"Đấu giá&gt; ô tô, xe máy&gt; xe chuyển hướng hệ thống&gt; cáp kết nối, AC adapter&gt; Eclipse")</f>
        <v>Đấu giá&gt; ô tô, xe máy&gt; xe chuyển hướng hệ thống&gt; cáp kết nối, AC adapter&gt; Eclipse</v>
      </c>
      <c r="F1634" t="str">
        <f t="shared" ca="1" si="25"/>
        <v>"2084286593" : "Eclipse",</v>
      </c>
    </row>
    <row r="1635" spans="1:6" ht="15.75" customHeight="1">
      <c r="A1635" s="18">
        <v>2084286591</v>
      </c>
      <c r="B1635" s="18" t="s">
        <v>15833</v>
      </c>
      <c r="C1635" s="18" t="s">
        <v>16256</v>
      </c>
      <c r="D1635" s="5" t="str">
        <f ca="1">IFERROR(__xludf.DUMMYFUNCTION("GOOGLETRANSLATE(B1635,""ja"",""vi"")"),"Carrozzeria")</f>
        <v>Carrozzeria</v>
      </c>
      <c r="E1635" s="5" t="str">
        <f ca="1">IFERROR(__xludf.DUMMYFUNCTION("GOOGLETRANSLATE(C1635,""ja"",""vi"")"),"Đấu giá&gt; ô tô, xe máy&gt; xe chuyển hướng hệ thống&gt; cáp kết nối, AC adapter&gt; Carrozzeria")</f>
        <v>Đấu giá&gt; ô tô, xe máy&gt; xe chuyển hướng hệ thống&gt; cáp kết nối, AC adapter&gt; Carrozzeria</v>
      </c>
      <c r="F1635" t="str">
        <f t="shared" ca="1" si="25"/>
        <v>"2084286591" : "Carrozzeria",</v>
      </c>
    </row>
    <row r="1636" spans="1:6" ht="15.75" customHeight="1">
      <c r="A1636" s="18">
        <v>2084286594</v>
      </c>
      <c r="B1636" s="18" t="s">
        <v>1738</v>
      </c>
      <c r="C1636" s="18" t="s">
        <v>16260</v>
      </c>
      <c r="D1636" s="5" t="str">
        <f ca="1">IFERROR(__xludf.DUMMYFUNCTION("GOOGLETRANSLATE(B1636,""ja"",""vi"")"),"Sony")</f>
        <v>Sony</v>
      </c>
      <c r="E1636" s="5" t="str">
        <f ca="1">IFERROR(__xludf.DUMMYFUNCTION("GOOGLETRANSLATE(C1636,""ja"",""vi"")"),"Đấu giá&gt; ô tô, xe máy&gt; xe chuyển hướng hệ thống&gt; cáp kết nối, AC adapter&gt; Sony")</f>
        <v>Đấu giá&gt; ô tô, xe máy&gt; xe chuyển hướng hệ thống&gt; cáp kết nối, AC adapter&gt; Sony</v>
      </c>
      <c r="F1636" t="str">
        <f t="shared" ca="1" si="25"/>
        <v>"2084286594" : "Sony",</v>
      </c>
    </row>
    <row r="1637" spans="1:6" ht="15.75" customHeight="1">
      <c r="A1637" s="18">
        <v>2084286590</v>
      </c>
      <c r="B1637" s="18" t="s">
        <v>1918</v>
      </c>
      <c r="C1637" s="18" t="s">
        <v>16265</v>
      </c>
      <c r="D1637" s="5" t="str">
        <f ca="1">IFERROR(__xludf.DUMMYFUNCTION("GOOGLETRANSLATE(B1637,""ja"",""vi"")"),"Panasonic")</f>
        <v>Panasonic</v>
      </c>
      <c r="E1637" s="5" t="str">
        <f ca="1">IFERROR(__xludf.DUMMYFUNCTION("GOOGLETRANSLATE(C1637,""ja"",""vi"")"),"Đấu giá&gt; ô tô, xe máy&gt; xe chuyển hướng hệ thống&gt; cáp kết nối, AC adapter&gt; Panasonic")</f>
        <v>Đấu giá&gt; ô tô, xe máy&gt; xe chuyển hướng hệ thống&gt; cáp kết nối, AC adapter&gt; Panasonic</v>
      </c>
      <c r="F1637" t="str">
        <f t="shared" ca="1" si="25"/>
        <v>"2084286590" : "Panasonic",</v>
      </c>
    </row>
    <row r="1638" spans="1:6" ht="15.75" customHeight="1">
      <c r="A1638" s="18">
        <v>2084286589</v>
      </c>
      <c r="B1638" s="18" t="s">
        <v>1842</v>
      </c>
      <c r="C1638" s="18" t="s">
        <v>16270</v>
      </c>
      <c r="D1638" s="5" t="str">
        <f ca="1">IFERROR(__xludf.DUMMYFUNCTION("GOOGLETRANSLATE(B1638,""ja"",""vi"")"),"Sanyo")</f>
        <v>Sanyo</v>
      </c>
      <c r="E1638" s="5" t="str">
        <f ca="1">IFERROR(__xludf.DUMMYFUNCTION("GOOGLETRANSLATE(C1638,""ja"",""vi"")"),"Đấu giá&gt; ô tô, xe máy&gt; xe chuyển hướng hệ thống&gt; cáp kết nối, AC adapter&gt; Sanyo")</f>
        <v>Đấu giá&gt; ô tô, xe máy&gt; xe chuyển hướng hệ thống&gt; cáp kết nối, AC adapter&gt; Sanyo</v>
      </c>
      <c r="F1638" t="str">
        <f t="shared" ca="1" si="25"/>
        <v>"2084286589" : "Sanyo",</v>
      </c>
    </row>
    <row r="1639" spans="1:6" ht="15.75" customHeight="1">
      <c r="A1639" s="18">
        <v>2084286595</v>
      </c>
      <c r="B1639" s="18" t="s">
        <v>46</v>
      </c>
      <c r="C1639" s="18" t="s">
        <v>16274</v>
      </c>
      <c r="D1639" s="5" t="str">
        <f ca="1">IFERROR(__xludf.DUMMYFUNCTION("GOOGLETRANSLATE(B1639,""ja"",""vi"")"),"nếu không thì")</f>
        <v>nếu không thì</v>
      </c>
      <c r="E1639" s="5" t="str">
        <f ca="1">IFERROR(__xludf.DUMMYFUNCTION("GOOGLETRANSLATE(C1639,""ja"",""vi"")"),"Đấu giá&gt; ô tô, xe máy&gt; hệ thống định vị xe&gt; cáp kết nối, AC adapter&gt; Khác")</f>
        <v>Đấu giá&gt; ô tô, xe máy&gt; hệ thống định vị xe&gt; cáp kết nối, AC adapter&gt; Khác</v>
      </c>
      <c r="F1639" t="str">
        <f t="shared" ca="1" si="25"/>
        <v>"2084286595" : "nếu không thì",</v>
      </c>
    </row>
    <row r="1640" spans="1:6" ht="15.75" customHeight="1">
      <c r="A1640" s="18">
        <v>2084214145</v>
      </c>
      <c r="B1640" s="18" t="s">
        <v>5151</v>
      </c>
      <c r="C1640" s="18" t="s">
        <v>16277</v>
      </c>
      <c r="D1640" s="5" t="str">
        <f ca="1">IFERROR(__xludf.DUMMYFUNCTION("GOOGLETRANSLATE(B1640,""ja"",""vi"")"),"Hokkaido")</f>
        <v>Hokkaido</v>
      </c>
      <c r="E1640" s="5" t="str">
        <f ca="1">IFERROR(__xludf.DUMMYFUNCTION("GOOGLETRANSLATE(C1640,""ja"",""vi"")"),"Đấu giá&gt; Khác&gt; sửa chữa, lắp đặt&gt; ô tô, xe máy&gt; xe chuyển hướng lắp&gt; Hokkaido")</f>
        <v>Đấu giá&gt; Khác&gt; sửa chữa, lắp đặt&gt; ô tô, xe máy&gt; xe chuyển hướng lắp&gt; Hokkaido</v>
      </c>
      <c r="F1640" t="str">
        <f t="shared" ca="1" si="25"/>
        <v>"2084214145" : "Hokkaido",</v>
      </c>
    </row>
    <row r="1641" spans="1:6" ht="15.75" customHeight="1">
      <c r="A1641" s="18">
        <v>2084214146</v>
      </c>
      <c r="B1641" s="18" t="s">
        <v>5155</v>
      </c>
      <c r="C1641" s="18" t="s">
        <v>16281</v>
      </c>
      <c r="D1641" s="5" t="str">
        <f ca="1">IFERROR(__xludf.DUMMYFUNCTION("GOOGLETRANSLATE(B1641,""ja"",""vi"")"),"đông bắc")</f>
        <v>đông bắc</v>
      </c>
      <c r="E1641" s="5" t="str">
        <f ca="1">IFERROR(__xludf.DUMMYFUNCTION("GOOGLETRANSLATE(C1641,""ja"",""vi"")"),"Đấu giá&gt; Khác&gt; sửa chữa, lắp đặt&gt; ô tô, xe máy&gt; xe chuyển hướng lắp&gt; Đông Bắc")</f>
        <v>Đấu giá&gt; Khác&gt; sửa chữa, lắp đặt&gt; ô tô, xe máy&gt; xe chuyển hướng lắp&gt; Đông Bắc</v>
      </c>
      <c r="F1641" t="str">
        <f t="shared" ca="1" si="25"/>
        <v>"2084214146" : "đông bắc",</v>
      </c>
    </row>
    <row r="1642" spans="1:6" ht="15.75" customHeight="1">
      <c r="A1642" s="18">
        <v>2084214147</v>
      </c>
      <c r="B1642" s="18" t="s">
        <v>5159</v>
      </c>
      <c r="C1642" s="18" t="s">
        <v>16285</v>
      </c>
      <c r="D1642" s="5" t="str">
        <f ca="1">IFERROR(__xludf.DUMMYFUNCTION("GOOGLETRANSLATE(B1642,""ja"",""vi"")"),"Kanto")</f>
        <v>Kanto</v>
      </c>
      <c r="E1642" s="5" t="str">
        <f ca="1">IFERROR(__xludf.DUMMYFUNCTION("GOOGLETRANSLATE(C1642,""ja"",""vi"")"),"Đấu giá&gt; Khác&gt; sửa chữa, lắp đặt&gt; ô tô, xe máy&gt; xe chuyển hướng lắp&gt; Kanto")</f>
        <v>Đấu giá&gt; Khác&gt; sửa chữa, lắp đặt&gt; ô tô, xe máy&gt; xe chuyển hướng lắp&gt; Kanto</v>
      </c>
      <c r="F1642" t="str">
        <f t="shared" ca="1" si="25"/>
        <v>"2084214147" : "Kanto",</v>
      </c>
    </row>
    <row r="1643" spans="1:6" ht="15.75" customHeight="1">
      <c r="A1643" s="18">
        <v>2084214148</v>
      </c>
      <c r="B1643" s="18" t="s">
        <v>5166</v>
      </c>
      <c r="C1643" s="18" t="s">
        <v>16289</v>
      </c>
      <c r="D1643" s="5" t="str">
        <f ca="1">IFERROR(__xludf.DUMMYFUNCTION("GOOGLETRANSLATE(B1643,""ja"",""vi"")"),"Shin-Etsu")</f>
        <v>Shin-Etsu</v>
      </c>
      <c r="E1643" s="5" t="str">
        <f ca="1">IFERROR(__xludf.DUMMYFUNCTION("GOOGLETRANSLATE(C1643,""ja"",""vi"")"),"Đấu giá&gt; Khác&gt; sửa chữa, lắp đặt&gt; ô tô, xe máy&gt; xe chuyển hướng lắp&gt; Shin-Etsu")</f>
        <v>Đấu giá&gt; Khác&gt; sửa chữa, lắp đặt&gt; ô tô, xe máy&gt; xe chuyển hướng lắp&gt; Shin-Etsu</v>
      </c>
      <c r="F1643" t="str">
        <f t="shared" ca="1" si="25"/>
        <v>"2084214148" : "Shin-Etsu",</v>
      </c>
    </row>
    <row r="1644" spans="1:6" ht="15.75" customHeight="1">
      <c r="A1644" s="18">
        <v>2084214149</v>
      </c>
      <c r="B1644" s="18" t="s">
        <v>5163</v>
      </c>
      <c r="C1644" s="18" t="s">
        <v>16293</v>
      </c>
      <c r="D1644" s="5" t="str">
        <f ca="1">IFERROR(__xludf.DUMMYFUNCTION("GOOGLETRANSLATE(B1644,""ja"",""vi"")"),"Hokuriku")</f>
        <v>Hokuriku</v>
      </c>
      <c r="E1644" s="5" t="str">
        <f ca="1">IFERROR(__xludf.DUMMYFUNCTION("GOOGLETRANSLATE(C1644,""ja"",""vi"")"),"Đấu giá&gt; Khác&gt; sửa chữa, lắp đặt&gt; ô tô, xe máy&gt; xe chuyển hướng lắp&gt; Hokuriku")</f>
        <v>Đấu giá&gt; Khác&gt; sửa chữa, lắp đặt&gt; ô tô, xe máy&gt; xe chuyển hướng lắp&gt; Hokuriku</v>
      </c>
      <c r="F1644" t="str">
        <f t="shared" ca="1" si="25"/>
        <v>"2084214149" : "Hokuriku",</v>
      </c>
    </row>
    <row r="1645" spans="1:6" ht="15.75" customHeight="1">
      <c r="A1645" s="18">
        <v>2084214150</v>
      </c>
      <c r="B1645" s="18" t="s">
        <v>5170</v>
      </c>
      <c r="C1645" s="18" t="s">
        <v>16297</v>
      </c>
      <c r="D1645" s="5" t="str">
        <f ca="1">IFERROR(__xludf.DUMMYFUNCTION("GOOGLETRANSLATE(B1645,""ja"",""vi"")"),"Tokai")</f>
        <v>Tokai</v>
      </c>
      <c r="E1645" s="5" t="str">
        <f ca="1">IFERROR(__xludf.DUMMYFUNCTION("GOOGLETRANSLATE(C1645,""ja"",""vi"")"),"Đấu giá&gt; Khác&gt; sửa chữa, lắp đặt&gt; ô tô, xe máy&gt; xe chuyển hướng lắp&gt; Tokai")</f>
        <v>Đấu giá&gt; Khác&gt; sửa chữa, lắp đặt&gt; ô tô, xe máy&gt; xe chuyển hướng lắp&gt; Tokai</v>
      </c>
      <c r="F1645" t="str">
        <f t="shared" ca="1" si="25"/>
        <v>"2084214150" : "Tokai",</v>
      </c>
    </row>
    <row r="1646" spans="1:6" ht="15.75" customHeight="1">
      <c r="A1646" s="18">
        <v>2084214151</v>
      </c>
      <c r="B1646" s="18" t="s">
        <v>5174</v>
      </c>
      <c r="C1646" s="18" t="s">
        <v>16302</v>
      </c>
      <c r="D1646" s="5" t="str">
        <f ca="1">IFERROR(__xludf.DUMMYFUNCTION("GOOGLETRANSLATE(B1646,""ja"",""vi"")"),"Kinki")</f>
        <v>Kinki</v>
      </c>
      <c r="E1646" s="5" t="str">
        <f ca="1">IFERROR(__xludf.DUMMYFUNCTION("GOOGLETRANSLATE(C1646,""ja"",""vi"")"),"Đấu giá&gt; Khác&gt; sửa chữa, lắp đặt&gt; ô tô, xe máy&gt; xe chuyển hướng lắp&gt; Kinki")</f>
        <v>Đấu giá&gt; Khác&gt; sửa chữa, lắp đặt&gt; ô tô, xe máy&gt; xe chuyển hướng lắp&gt; Kinki</v>
      </c>
      <c r="F1646" t="str">
        <f t="shared" ca="1" si="25"/>
        <v>"2084214151" : "Kinki",</v>
      </c>
    </row>
    <row r="1647" spans="1:6" ht="15.75" customHeight="1">
      <c r="A1647" s="18">
        <v>2084214152</v>
      </c>
      <c r="B1647" s="18" t="s">
        <v>5177</v>
      </c>
      <c r="C1647" s="18" t="s">
        <v>16305</v>
      </c>
      <c r="D1647" s="5" t="str">
        <f ca="1">IFERROR(__xludf.DUMMYFUNCTION("GOOGLETRANSLATE(B1647,""ja"",""vi"")"),"đồ sứ")</f>
        <v>đồ sứ</v>
      </c>
      <c r="E1647" s="5" t="str">
        <f ca="1">IFERROR(__xludf.DUMMYFUNCTION("GOOGLETRANSLATE(C1647,""ja"",""vi"")"),"Đấu giá&gt; Khác&gt; sửa chữa, lắp đặt&gt; ô tô, xe máy&gt; xe chuyển hướng lắp&gt; Trung Quốc")</f>
        <v>Đấu giá&gt; Khác&gt; sửa chữa, lắp đặt&gt; ô tô, xe máy&gt; xe chuyển hướng lắp&gt; Trung Quốc</v>
      </c>
      <c r="F1647" t="str">
        <f t="shared" ca="1" si="25"/>
        <v>"2084214152" : "đồ sứ",</v>
      </c>
    </row>
    <row r="1648" spans="1:6" ht="15.75" customHeight="1">
      <c r="A1648" s="18">
        <v>2084214153</v>
      </c>
      <c r="B1648" s="18" t="s">
        <v>5180</v>
      </c>
      <c r="C1648" s="18" t="s">
        <v>16312</v>
      </c>
      <c r="D1648" s="5" t="str">
        <f ca="1">IFERROR(__xludf.DUMMYFUNCTION("GOOGLETRANSLATE(B1648,""ja"",""vi"")"),"Shikoku")</f>
        <v>Shikoku</v>
      </c>
      <c r="E1648" s="5" t="str">
        <f ca="1">IFERROR(__xludf.DUMMYFUNCTION("GOOGLETRANSLATE(C1648,""ja"",""vi"")"),"Đấu giá&gt; Khác&gt; sửa chữa, lắp đặt&gt; ô tô, xe máy&gt; xe chuyển hướng lắp&gt; Shikoku")</f>
        <v>Đấu giá&gt; Khác&gt; sửa chữa, lắp đặt&gt; ô tô, xe máy&gt; xe chuyển hướng lắp&gt; Shikoku</v>
      </c>
      <c r="F1648" t="str">
        <f t="shared" ca="1" si="25"/>
        <v>"2084214153" : "Shikoku",</v>
      </c>
    </row>
    <row r="1649" spans="1:6" ht="15.75" customHeight="1">
      <c r="A1649" s="18">
        <v>2084214154</v>
      </c>
      <c r="B1649" s="18" t="s">
        <v>5183</v>
      </c>
      <c r="C1649" s="18" t="s">
        <v>16316</v>
      </c>
      <c r="D1649" s="5" t="str">
        <f ca="1">IFERROR(__xludf.DUMMYFUNCTION("GOOGLETRANSLATE(B1649,""ja"",""vi"")"),"Kyushu")</f>
        <v>Kyushu</v>
      </c>
      <c r="E1649" s="5" t="str">
        <f ca="1">IFERROR(__xludf.DUMMYFUNCTION("GOOGLETRANSLATE(C1649,""ja"",""vi"")"),"Đấu giá&gt; Khác&gt; sửa chữa, lắp đặt&gt; ô tô, xe máy&gt; xe chuyển hướng lắp&gt; Kyushu")</f>
        <v>Đấu giá&gt; Khác&gt; sửa chữa, lắp đặt&gt; ô tô, xe máy&gt; xe chuyển hướng lắp&gt; Kyushu</v>
      </c>
      <c r="F1649" t="str">
        <f t="shared" ca="1" si="25"/>
        <v>"2084214154" : "Kyushu",</v>
      </c>
    </row>
    <row r="1650" spans="1:6" ht="15.75" customHeight="1">
      <c r="A1650" s="18">
        <v>2084214155</v>
      </c>
      <c r="B1650" s="18" t="s">
        <v>5186</v>
      </c>
      <c r="C1650" s="18" t="s">
        <v>16320</v>
      </c>
      <c r="D1650" s="5" t="str">
        <f ca="1">IFERROR(__xludf.DUMMYFUNCTION("GOOGLETRANSLATE(B1650,""ja"",""vi"")"),"Okinawa")</f>
        <v>Okinawa</v>
      </c>
      <c r="E1650" s="5" t="str">
        <f ca="1">IFERROR(__xludf.DUMMYFUNCTION("GOOGLETRANSLATE(C1650,""ja"",""vi"")"),"Đấu giá&gt; Khác&gt; sửa chữa, lắp đặt&gt; ô tô, xe máy&gt; xe chuyển hướng lắp&gt; Okinawa")</f>
        <v>Đấu giá&gt; Khác&gt; sửa chữa, lắp đặt&gt; ô tô, xe máy&gt; xe chuyển hướng lắp&gt; Okinawa</v>
      </c>
      <c r="F1650" t="str">
        <f t="shared" ca="1" si="25"/>
        <v>"2084214155" : "Okinawa",</v>
      </c>
    </row>
    <row r="1651" spans="1:6" ht="15.75" customHeight="1">
      <c r="A1651" s="18">
        <v>2084223818</v>
      </c>
      <c r="B1651" s="18" t="s">
        <v>15885</v>
      </c>
      <c r="C1651" s="18" t="s">
        <v>16323</v>
      </c>
      <c r="D1651" s="5" t="str">
        <f ca="1">IFERROR(__xludf.DUMMYFUNCTION("GOOGLETRANSLATE(B1651,""ja"",""vi"")"),"Azesuto, Clarion")</f>
        <v>Azesuto, Clarion</v>
      </c>
      <c r="E1651" s="5" t="str">
        <f ca="1">IFERROR(__xludf.DUMMYFUNCTION("GOOGLETRANSLATE(C1651,""ja"",""vi"")"),"Đấu giá&gt; ô tô, xe máy&gt; Car Audio&gt; CD &amp; MD player&gt; Azesuto, Clarion")</f>
        <v>Đấu giá&gt; ô tô, xe máy&gt; Car Audio&gt; CD &amp; MD player&gt; Azesuto, Clarion</v>
      </c>
      <c r="F1651" t="str">
        <f t="shared" ca="1" si="25"/>
        <v>"2084223818" : "Azesuto, Clarion",</v>
      </c>
    </row>
    <row r="1652" spans="1:6" ht="15.75" customHeight="1">
      <c r="A1652" s="18">
        <v>2084223816</v>
      </c>
      <c r="B1652" s="18" t="s">
        <v>15888</v>
      </c>
      <c r="C1652" s="18" t="s">
        <v>16330</v>
      </c>
      <c r="D1652" s="5" t="str">
        <f ca="1">IFERROR(__xludf.DUMMYFUNCTION("GOOGLETRANSLATE(B1652,""ja"",""vi"")"),"núi cao")</f>
        <v>núi cao</v>
      </c>
      <c r="E1652" s="5" t="str">
        <f ca="1">IFERROR(__xludf.DUMMYFUNCTION("GOOGLETRANSLATE(C1652,""ja"",""vi"")"),"Đấu giá&gt; ô tô, xe máy&gt; Car Audio&gt; CD &amp; máy nghe nhạc MD&gt; Alpine")</f>
        <v>Đấu giá&gt; ô tô, xe máy&gt; Car Audio&gt; CD &amp; máy nghe nhạc MD&gt; Alpine</v>
      </c>
      <c r="F1652" t="str">
        <f t="shared" ca="1" si="25"/>
        <v>"2084223816" : "núi cao",</v>
      </c>
    </row>
    <row r="1653" spans="1:6" ht="15.75" customHeight="1">
      <c r="A1653" s="18">
        <v>2084223817</v>
      </c>
      <c r="B1653" s="18" t="s">
        <v>15890</v>
      </c>
      <c r="C1653" s="18" t="s">
        <v>16333</v>
      </c>
      <c r="D1653" s="5" t="str">
        <f ca="1">IFERROR(__xludf.DUMMYFUNCTION("GOOGLETRANSLATE(B1653,""ja"",""vi"")"),"Eclipse")</f>
        <v>Eclipse</v>
      </c>
      <c r="E1653" s="5" t="str">
        <f ca="1">IFERROR(__xludf.DUMMYFUNCTION("GOOGLETRANSLATE(C1653,""ja"",""vi"")"),"Đấu giá&gt; ô tô, xe máy&gt; Car Audio&gt; CD &amp; máy nghe nhạc MD&gt; Eclipse")</f>
        <v>Đấu giá&gt; ô tô, xe máy&gt; Car Audio&gt; CD &amp; máy nghe nhạc MD&gt; Eclipse</v>
      </c>
      <c r="F1653" t="str">
        <f t="shared" ca="1" si="25"/>
        <v>"2084223817" : "Eclipse",</v>
      </c>
    </row>
    <row r="1654" spans="1:6" ht="15.75" customHeight="1">
      <c r="A1654" s="18">
        <v>2084223821</v>
      </c>
      <c r="B1654" s="18" t="s">
        <v>15833</v>
      </c>
      <c r="C1654" s="18" t="s">
        <v>16337</v>
      </c>
      <c r="D1654" s="5" t="str">
        <f ca="1">IFERROR(__xludf.DUMMYFUNCTION("GOOGLETRANSLATE(B1654,""ja"",""vi"")"),"Carrozzeria")</f>
        <v>Carrozzeria</v>
      </c>
      <c r="E1654" s="5" t="str">
        <f ca="1">IFERROR(__xludf.DUMMYFUNCTION("GOOGLETRANSLATE(C1654,""ja"",""vi"")"),"Đấu giá&gt; ô tô, xe máy&gt; Car Audio&gt; CD &amp; máy nghe nhạc MD&gt; Carrozzeria")</f>
        <v>Đấu giá&gt; ô tô, xe máy&gt; Car Audio&gt; CD &amp; máy nghe nhạc MD&gt; Carrozzeria</v>
      </c>
      <c r="F1654" t="str">
        <f t="shared" ca="1" si="25"/>
        <v>"2084223821" : "Carrozzeria",</v>
      </c>
    </row>
    <row r="1655" spans="1:6" ht="15.75" customHeight="1">
      <c r="A1655" s="18">
        <v>2084223819</v>
      </c>
      <c r="B1655" s="18" t="s">
        <v>2491</v>
      </c>
      <c r="C1655" s="18" t="s">
        <v>16342</v>
      </c>
      <c r="D1655" s="5" t="str">
        <f ca="1">IFERROR(__xludf.DUMMYFUNCTION("GOOGLETRANSLATE(B1655,""ja"",""vi"")"),"Kenwood")</f>
        <v>Kenwood</v>
      </c>
      <c r="E1655" s="5" t="str">
        <f ca="1">IFERROR(__xludf.DUMMYFUNCTION("GOOGLETRANSLATE(C1655,""ja"",""vi"")"),"Đấu giá&gt; ô tô, xe máy&gt; Car Audio&gt; CD &amp; MD player&gt; Kenwood")</f>
        <v>Đấu giá&gt; ô tô, xe máy&gt; Car Audio&gt; CD &amp; MD player&gt; Kenwood</v>
      </c>
      <c r="F1655" t="str">
        <f t="shared" ca="1" si="25"/>
        <v>"2084223819" : "Kenwood",</v>
      </c>
    </row>
    <row r="1656" spans="1:6" ht="15.75" customHeight="1">
      <c r="A1656" s="18">
        <v>2084223820</v>
      </c>
      <c r="B1656" s="18" t="s">
        <v>1738</v>
      </c>
      <c r="C1656" s="18" t="s">
        <v>16347</v>
      </c>
      <c r="D1656" s="5" t="str">
        <f ca="1">IFERROR(__xludf.DUMMYFUNCTION("GOOGLETRANSLATE(B1656,""ja"",""vi"")"),"Sony")</f>
        <v>Sony</v>
      </c>
      <c r="E1656" s="5" t="str">
        <f ca="1">IFERROR(__xludf.DUMMYFUNCTION("GOOGLETRANSLATE(C1656,""ja"",""vi"")"),"Đấu giá&gt; ô tô, xe máy&gt; Car Audio&gt; CD &amp; máy nghe nhạc MD&gt; Sony")</f>
        <v>Đấu giá&gt; ô tô, xe máy&gt; Car Audio&gt; CD &amp; máy nghe nhạc MD&gt; Sony</v>
      </c>
      <c r="F1656" t="str">
        <f t="shared" ca="1" si="25"/>
        <v>"2084223820" : "Sony",</v>
      </c>
    </row>
    <row r="1657" spans="1:6" ht="15.75" customHeight="1">
      <c r="A1657" s="18">
        <v>2084223822</v>
      </c>
      <c r="B1657" s="18" t="s">
        <v>1918</v>
      </c>
      <c r="C1657" s="18" t="s">
        <v>16353</v>
      </c>
      <c r="D1657" s="5" t="str">
        <f ca="1">IFERROR(__xludf.DUMMYFUNCTION("GOOGLETRANSLATE(B1657,""ja"",""vi"")"),"Panasonic")</f>
        <v>Panasonic</v>
      </c>
      <c r="E1657" s="5" t="str">
        <f ca="1">IFERROR(__xludf.DUMMYFUNCTION("GOOGLETRANSLATE(C1657,""ja"",""vi"")"),"Đấu giá&gt; ô tô, xe máy&gt; Car Audio&gt; CD &amp; máy nghe nhạc MD&gt; Panasonic")</f>
        <v>Đấu giá&gt; ô tô, xe máy&gt; Car Audio&gt; CD &amp; máy nghe nhạc MD&gt; Panasonic</v>
      </c>
      <c r="F1657" t="str">
        <f t="shared" ca="1" si="25"/>
        <v>"2084223822" : "Panasonic",</v>
      </c>
    </row>
    <row r="1658" spans="1:6" ht="15.75" customHeight="1">
      <c r="A1658" s="18">
        <v>2084223823</v>
      </c>
      <c r="B1658" s="18" t="s">
        <v>2510</v>
      </c>
      <c r="C1658" s="18" t="s">
        <v>16357</v>
      </c>
      <c r="D1658" s="5" t="str">
        <f ca="1">IFERROR(__xludf.DUMMYFUNCTION("GOOGLETRANSLATE(B1658,""ja"",""vi"")"),"kẻ thắng cuộc")</f>
        <v>kẻ thắng cuộc</v>
      </c>
      <c r="E1658" s="5" t="str">
        <f ca="1">IFERROR(__xludf.DUMMYFUNCTION("GOOGLETRANSLATE(C1658,""ja"",""vi"")"),"Đấu giá&gt; ô tô, xe máy&gt; Car Audio&gt; CD &amp; MD player&gt; Victor")</f>
        <v>Đấu giá&gt; ô tô, xe máy&gt; Car Audio&gt; CD &amp; MD player&gt; Victor</v>
      </c>
      <c r="F1658" t="str">
        <f t="shared" ca="1" si="25"/>
        <v>"2084223823" : "kẻ thắng cuộc",</v>
      </c>
    </row>
    <row r="1659" spans="1:6" ht="15.75" customHeight="1">
      <c r="A1659" s="18">
        <v>2084223824</v>
      </c>
      <c r="B1659" s="18" t="s">
        <v>46</v>
      </c>
      <c r="C1659" s="18" t="s">
        <v>16358</v>
      </c>
      <c r="D1659" s="5" t="str">
        <f ca="1">IFERROR(__xludf.DUMMYFUNCTION("GOOGLETRANSLATE(B1659,""ja"",""vi"")"),"nếu không thì")</f>
        <v>nếu không thì</v>
      </c>
      <c r="E1659" s="5" t="str">
        <f ca="1">IFERROR(__xludf.DUMMYFUNCTION("GOOGLETRANSLATE(C1659,""ja"",""vi"")"),"Đấu giá&gt; ô tô, xe máy&gt; Car Audio&gt; CD &amp; MD player&gt; Khác")</f>
        <v>Đấu giá&gt; ô tô, xe máy&gt; Car Audio&gt; CD &amp; MD player&gt; Khác</v>
      </c>
      <c r="F1659" t="str">
        <f t="shared" ca="1" si="25"/>
        <v>"2084223824" : "nếu không thì",</v>
      </c>
    </row>
    <row r="1660" spans="1:6" ht="15.75" customHeight="1">
      <c r="A1660" s="18">
        <v>2084223827</v>
      </c>
      <c r="B1660" s="18" t="s">
        <v>15885</v>
      </c>
      <c r="C1660" s="18" t="s">
        <v>16360</v>
      </c>
      <c r="D1660" s="5" t="str">
        <f ca="1">IFERROR(__xludf.DUMMYFUNCTION("GOOGLETRANSLATE(B1660,""ja"",""vi"")"),"Azesuto, Clarion")</f>
        <v>Azesuto, Clarion</v>
      </c>
      <c r="E1660" s="5" t="str">
        <f ca="1">IFERROR(__xludf.DUMMYFUNCTION("GOOGLETRANSLATE(C1660,""ja"",""vi"")"),"Đấu giá&gt; ô tô, xe máy&gt; Car Audio&gt; CD &amp; băng cassette player&gt; Azesuto, Clarion")</f>
        <v>Đấu giá&gt; ô tô, xe máy&gt; Car Audio&gt; CD &amp; băng cassette player&gt; Azesuto, Clarion</v>
      </c>
      <c r="F1660" t="str">
        <f t="shared" ca="1" si="25"/>
        <v>"2084223827" : "Azesuto, Clarion",</v>
      </c>
    </row>
    <row r="1661" spans="1:6" ht="15.75" customHeight="1">
      <c r="A1661" s="18">
        <v>2084223825</v>
      </c>
      <c r="B1661" s="18" t="s">
        <v>15888</v>
      </c>
      <c r="C1661" s="18" t="s">
        <v>16362</v>
      </c>
      <c r="D1661" s="5" t="str">
        <f ca="1">IFERROR(__xludf.DUMMYFUNCTION("GOOGLETRANSLATE(B1661,""ja"",""vi"")"),"núi cao")</f>
        <v>núi cao</v>
      </c>
      <c r="E1661" s="5" t="str">
        <f ca="1">IFERROR(__xludf.DUMMYFUNCTION("GOOGLETRANSLATE(C1661,""ja"",""vi"")"),"Đấu giá&gt; ô tô, xe máy&gt; Car Audio&gt; CD &amp; cassette&gt; Alpine")</f>
        <v>Đấu giá&gt; ô tô, xe máy&gt; Car Audio&gt; CD &amp; cassette&gt; Alpine</v>
      </c>
      <c r="F1661" t="str">
        <f t="shared" ca="1" si="25"/>
        <v>"2084223825" : "núi cao",</v>
      </c>
    </row>
    <row r="1662" spans="1:6" ht="15.75" customHeight="1">
      <c r="A1662" s="18">
        <v>2084223826</v>
      </c>
      <c r="B1662" s="18" t="s">
        <v>15890</v>
      </c>
      <c r="C1662" s="18" t="s">
        <v>16363</v>
      </c>
      <c r="D1662" s="5" t="str">
        <f ca="1">IFERROR(__xludf.DUMMYFUNCTION("GOOGLETRANSLATE(B1662,""ja"",""vi"")"),"Eclipse")</f>
        <v>Eclipse</v>
      </c>
      <c r="E1662" s="5" t="str">
        <f ca="1">IFERROR(__xludf.DUMMYFUNCTION("GOOGLETRANSLATE(C1662,""ja"",""vi"")"),"Đấu giá&gt; ô tô, xe máy&gt; Car Audio&gt; CD &amp; cassette&gt; Eclipse")</f>
        <v>Đấu giá&gt; ô tô, xe máy&gt; Car Audio&gt; CD &amp; cassette&gt; Eclipse</v>
      </c>
      <c r="F1662" t="str">
        <f t="shared" ca="1" si="25"/>
        <v>"2084223826" : "Eclipse",</v>
      </c>
    </row>
    <row r="1663" spans="1:6" ht="15.75" customHeight="1">
      <c r="A1663" s="18">
        <v>2084223830</v>
      </c>
      <c r="B1663" s="18" t="s">
        <v>15833</v>
      </c>
      <c r="C1663" s="18" t="s">
        <v>16365</v>
      </c>
      <c r="D1663" s="5" t="str">
        <f ca="1">IFERROR(__xludf.DUMMYFUNCTION("GOOGLETRANSLATE(B1663,""ja"",""vi"")"),"Carrozzeria")</f>
        <v>Carrozzeria</v>
      </c>
      <c r="E1663" s="5" t="str">
        <f ca="1">IFERROR(__xludf.DUMMYFUNCTION("GOOGLETRANSLATE(C1663,""ja"",""vi"")"),"Đấu giá&gt; ô tô, xe máy&gt; Car Audio&gt; CD &amp; cassette&gt; Carrozzeria")</f>
        <v>Đấu giá&gt; ô tô, xe máy&gt; Car Audio&gt; CD &amp; cassette&gt; Carrozzeria</v>
      </c>
      <c r="F1663" t="str">
        <f t="shared" ca="1" si="25"/>
        <v>"2084223830" : "Carrozzeria",</v>
      </c>
    </row>
    <row r="1664" spans="1:6" ht="15.75" customHeight="1">
      <c r="A1664" s="18">
        <v>2084223828</v>
      </c>
      <c r="B1664" s="18" t="s">
        <v>2491</v>
      </c>
      <c r="C1664" s="18" t="s">
        <v>16366</v>
      </c>
      <c r="D1664" s="5" t="str">
        <f ca="1">IFERROR(__xludf.DUMMYFUNCTION("GOOGLETRANSLATE(B1664,""ja"",""vi"")"),"Kenwood")</f>
        <v>Kenwood</v>
      </c>
      <c r="E1664" s="5" t="str">
        <f ca="1">IFERROR(__xludf.DUMMYFUNCTION("GOOGLETRANSLATE(C1664,""ja"",""vi"")"),"Đấu giá&gt; ô tô, xe máy&gt; Car Audio&gt; CD &amp; băng cassette player&gt; Kenwood")</f>
        <v>Đấu giá&gt; ô tô, xe máy&gt; Car Audio&gt; CD &amp; băng cassette player&gt; Kenwood</v>
      </c>
      <c r="F1664" t="str">
        <f t="shared" ca="1" si="25"/>
        <v>"2084223828" : "Kenwood",</v>
      </c>
    </row>
    <row r="1665" spans="1:6" ht="15.75" customHeight="1">
      <c r="A1665" s="18">
        <v>2084223829</v>
      </c>
      <c r="B1665" s="18" t="s">
        <v>1738</v>
      </c>
      <c r="C1665" s="18" t="s">
        <v>16368</v>
      </c>
      <c r="D1665" s="5" t="str">
        <f ca="1">IFERROR(__xludf.DUMMYFUNCTION("GOOGLETRANSLATE(B1665,""ja"",""vi"")"),"Sony")</f>
        <v>Sony</v>
      </c>
      <c r="E1665" s="5" t="str">
        <f ca="1">IFERROR(__xludf.DUMMYFUNCTION("GOOGLETRANSLATE(C1665,""ja"",""vi"")"),"Đấu giá&gt; ô tô, xe máy&gt; Car Audio&gt; CD &amp; cassette&gt; Sony")</f>
        <v>Đấu giá&gt; ô tô, xe máy&gt; Car Audio&gt; CD &amp; cassette&gt; Sony</v>
      </c>
      <c r="F1665" t="str">
        <f t="shared" ca="1" si="25"/>
        <v>"2084223829" : "Sony",</v>
      </c>
    </row>
    <row r="1666" spans="1:6" ht="15.75" customHeight="1">
      <c r="A1666" s="18">
        <v>2084223831</v>
      </c>
      <c r="B1666" s="18" t="s">
        <v>1918</v>
      </c>
      <c r="C1666" s="18" t="s">
        <v>16370</v>
      </c>
      <c r="D1666" s="5" t="str">
        <f ca="1">IFERROR(__xludf.DUMMYFUNCTION("GOOGLETRANSLATE(B1666,""ja"",""vi"")"),"Panasonic")</f>
        <v>Panasonic</v>
      </c>
      <c r="E1666" s="5" t="str">
        <f ca="1">IFERROR(__xludf.DUMMYFUNCTION("GOOGLETRANSLATE(C1666,""ja"",""vi"")"),"Đấu giá&gt; ô tô, xe máy&gt; Car Audio&gt; CD &amp; cassette&gt; Panasonic")</f>
        <v>Đấu giá&gt; ô tô, xe máy&gt; Car Audio&gt; CD &amp; cassette&gt; Panasonic</v>
      </c>
      <c r="F1666" t="str">
        <f t="shared" ref="F1666:F1729" ca="1" si="26">CONCATENATE(CHAR(34)&amp;"",A1666,""&amp;CHAR(34)," : ", CHAR(34)&amp;"",D1666,""&amp;CHAR(34),",")</f>
        <v>"2084223831" : "Panasonic",</v>
      </c>
    </row>
    <row r="1667" spans="1:6" ht="15.75" customHeight="1">
      <c r="A1667" s="18">
        <v>2084223832</v>
      </c>
      <c r="B1667" s="18" t="s">
        <v>2510</v>
      </c>
      <c r="C1667" s="18" t="s">
        <v>16371</v>
      </c>
      <c r="D1667" s="5" t="str">
        <f ca="1">IFERROR(__xludf.DUMMYFUNCTION("GOOGLETRANSLATE(B1667,""ja"",""vi"")"),"kẻ thắng cuộc")</f>
        <v>kẻ thắng cuộc</v>
      </c>
      <c r="E1667" s="5" t="str">
        <f ca="1">IFERROR(__xludf.DUMMYFUNCTION("GOOGLETRANSLATE(C1667,""ja"",""vi"")"),"Đấu giá&gt; ô tô, xe máy&gt; Car Audio&gt; CD &amp; băng cassette player&gt; Victor")</f>
        <v>Đấu giá&gt; ô tô, xe máy&gt; Car Audio&gt; CD &amp; băng cassette player&gt; Victor</v>
      </c>
      <c r="F1667" t="str">
        <f t="shared" ca="1" si="26"/>
        <v>"2084223832" : "kẻ thắng cuộc",</v>
      </c>
    </row>
    <row r="1668" spans="1:6" ht="15.75" customHeight="1">
      <c r="A1668" s="18">
        <v>2084223833</v>
      </c>
      <c r="B1668" s="18" t="s">
        <v>46</v>
      </c>
      <c r="C1668" s="18" t="s">
        <v>16373</v>
      </c>
      <c r="D1668" s="5" t="str">
        <f ca="1">IFERROR(__xludf.DUMMYFUNCTION("GOOGLETRANSLATE(B1668,""ja"",""vi"")"),"nếu không thì")</f>
        <v>nếu không thì</v>
      </c>
      <c r="E1668" s="5" t="str">
        <f ca="1">IFERROR(__xludf.DUMMYFUNCTION("GOOGLETRANSLATE(C1668,""ja"",""vi"")"),"Đấu giá&gt; ô tô, xe máy&gt; Car Audio&gt; CD &amp; cassette&gt; Khác")</f>
        <v>Đấu giá&gt; ô tô, xe máy&gt; Car Audio&gt; CD &amp; cassette&gt; Khác</v>
      </c>
      <c r="F1668" t="str">
        <f t="shared" ca="1" si="26"/>
        <v>"2084223833" : "nếu không thì",</v>
      </c>
    </row>
    <row r="1669" spans="1:6" ht="15.75" customHeight="1">
      <c r="A1669" s="18">
        <v>2084223836</v>
      </c>
      <c r="B1669" s="18" t="s">
        <v>15885</v>
      </c>
      <c r="C1669" s="18" t="s">
        <v>16375</v>
      </c>
      <c r="D1669" s="5" t="str">
        <f ca="1">IFERROR(__xludf.DUMMYFUNCTION("GOOGLETRANSLATE(B1669,""ja"",""vi"")"),"Azesuto, Clarion")</f>
        <v>Azesuto, Clarion</v>
      </c>
      <c r="E1669" s="5" t="str">
        <f ca="1">IFERROR(__xludf.DUMMYFUNCTION("GOOGLETRANSLATE(C1669,""ja"",""vi"")"),"Đấu giá&gt; ô tô, xe máy&gt; Car Audio&gt; CD changer&gt; Azesuto, Clarion")</f>
        <v>Đấu giá&gt; ô tô, xe máy&gt; Car Audio&gt; CD changer&gt; Azesuto, Clarion</v>
      </c>
      <c r="F1669" t="str">
        <f t="shared" ca="1" si="26"/>
        <v>"2084223836" : "Azesuto, Clarion",</v>
      </c>
    </row>
    <row r="1670" spans="1:6" ht="15.75" customHeight="1">
      <c r="A1670" s="18">
        <v>2084223834</v>
      </c>
      <c r="B1670" s="18" t="s">
        <v>15888</v>
      </c>
      <c r="C1670" s="18" t="s">
        <v>16377</v>
      </c>
      <c r="D1670" s="5" t="str">
        <f ca="1">IFERROR(__xludf.DUMMYFUNCTION("GOOGLETRANSLATE(B1670,""ja"",""vi"")"),"núi cao")</f>
        <v>núi cao</v>
      </c>
      <c r="E1670" s="5" t="str">
        <f ca="1">IFERROR(__xludf.DUMMYFUNCTION("GOOGLETRANSLATE(C1670,""ja"",""vi"")"),"Đấu giá&gt; ô tô, xe máy&gt; Âm thanh&gt; CD changer&gt; Alpine")</f>
        <v>Đấu giá&gt; ô tô, xe máy&gt; Âm thanh&gt; CD changer&gt; Alpine</v>
      </c>
      <c r="F1670" t="str">
        <f t="shared" ca="1" si="26"/>
        <v>"2084223834" : "núi cao",</v>
      </c>
    </row>
    <row r="1671" spans="1:6" ht="15.75" customHeight="1">
      <c r="A1671" s="18">
        <v>2084223835</v>
      </c>
      <c r="B1671" s="18" t="s">
        <v>15890</v>
      </c>
      <c r="C1671" s="18" t="s">
        <v>16379</v>
      </c>
      <c r="D1671" s="5" t="str">
        <f ca="1">IFERROR(__xludf.DUMMYFUNCTION("GOOGLETRANSLATE(B1671,""ja"",""vi"")"),"Eclipse")</f>
        <v>Eclipse</v>
      </c>
      <c r="E1671" s="5" t="str">
        <f ca="1">IFERROR(__xludf.DUMMYFUNCTION("GOOGLETRANSLATE(C1671,""ja"",""vi"")"),"Đấu giá&gt; ô tô, xe máy&gt; Âm thanh&gt; CD changer&gt; Eclipse")</f>
        <v>Đấu giá&gt; ô tô, xe máy&gt; Âm thanh&gt; CD changer&gt; Eclipse</v>
      </c>
      <c r="F1671" t="str">
        <f t="shared" ca="1" si="26"/>
        <v>"2084223835" : "Eclipse",</v>
      </c>
    </row>
    <row r="1672" spans="1:6" ht="15.75" customHeight="1">
      <c r="A1672" s="18">
        <v>2084223839</v>
      </c>
      <c r="B1672" s="18" t="s">
        <v>15833</v>
      </c>
      <c r="C1672" s="18" t="s">
        <v>16381</v>
      </c>
      <c r="D1672" s="5" t="str">
        <f ca="1">IFERROR(__xludf.DUMMYFUNCTION("GOOGLETRANSLATE(B1672,""ja"",""vi"")"),"Carrozzeria")</f>
        <v>Carrozzeria</v>
      </c>
      <c r="E1672" s="5" t="str">
        <f ca="1">IFERROR(__xludf.DUMMYFUNCTION("GOOGLETRANSLATE(C1672,""ja"",""vi"")"),"Đấu giá&gt; ô tô, xe máy&gt; Âm thanh&gt; CD changer&gt; Carrozzeria")</f>
        <v>Đấu giá&gt; ô tô, xe máy&gt; Âm thanh&gt; CD changer&gt; Carrozzeria</v>
      </c>
      <c r="F1672" t="str">
        <f t="shared" ca="1" si="26"/>
        <v>"2084223839" : "Carrozzeria",</v>
      </c>
    </row>
    <row r="1673" spans="1:6" ht="15.75" customHeight="1">
      <c r="A1673" s="18">
        <v>2084223837</v>
      </c>
      <c r="B1673" s="18" t="s">
        <v>2491</v>
      </c>
      <c r="C1673" s="18" t="s">
        <v>16383</v>
      </c>
      <c r="D1673" s="5" t="str">
        <f ca="1">IFERROR(__xludf.DUMMYFUNCTION("GOOGLETRANSLATE(B1673,""ja"",""vi"")"),"Kenwood")</f>
        <v>Kenwood</v>
      </c>
      <c r="E1673" s="5" t="str">
        <f ca="1">IFERROR(__xludf.DUMMYFUNCTION("GOOGLETRANSLATE(C1673,""ja"",""vi"")"),"Đấu giá&gt; ô tô, xe máy&gt; Âm thanh&gt; CD changer&gt; Kenwood")</f>
        <v>Đấu giá&gt; ô tô, xe máy&gt; Âm thanh&gt; CD changer&gt; Kenwood</v>
      </c>
      <c r="F1673" t="str">
        <f t="shared" ca="1" si="26"/>
        <v>"2084223837" : "Kenwood",</v>
      </c>
    </row>
    <row r="1674" spans="1:6" ht="15.75" customHeight="1">
      <c r="A1674" s="18">
        <v>2084223838</v>
      </c>
      <c r="B1674" s="18" t="s">
        <v>1738</v>
      </c>
      <c r="C1674" s="18" t="s">
        <v>16384</v>
      </c>
      <c r="D1674" s="5" t="str">
        <f ca="1">IFERROR(__xludf.DUMMYFUNCTION("GOOGLETRANSLATE(B1674,""ja"",""vi"")"),"Sony")</f>
        <v>Sony</v>
      </c>
      <c r="E1674" s="5" t="str">
        <f ca="1">IFERROR(__xludf.DUMMYFUNCTION("GOOGLETRANSLATE(C1674,""ja"",""vi"")"),"Đấu giá&gt; ô tô, xe máy&gt; Âm thanh&gt; CD changer&gt; Sony")</f>
        <v>Đấu giá&gt; ô tô, xe máy&gt; Âm thanh&gt; CD changer&gt; Sony</v>
      </c>
      <c r="F1674" t="str">
        <f t="shared" ca="1" si="26"/>
        <v>"2084223838" : "Sony",</v>
      </c>
    </row>
    <row r="1675" spans="1:6" ht="15.75" customHeight="1">
      <c r="A1675" s="18">
        <v>2084223840</v>
      </c>
      <c r="B1675" s="18" t="s">
        <v>1918</v>
      </c>
      <c r="C1675" s="18" t="s">
        <v>16386</v>
      </c>
      <c r="D1675" s="5" t="str">
        <f ca="1">IFERROR(__xludf.DUMMYFUNCTION("GOOGLETRANSLATE(B1675,""ja"",""vi"")"),"Panasonic")</f>
        <v>Panasonic</v>
      </c>
      <c r="E1675" s="5" t="str">
        <f ca="1">IFERROR(__xludf.DUMMYFUNCTION("GOOGLETRANSLATE(C1675,""ja"",""vi"")"),"Đấu giá&gt; ô tô, xe máy&gt; Âm thanh&gt; CD changer&gt; Panasonic")</f>
        <v>Đấu giá&gt; ô tô, xe máy&gt; Âm thanh&gt; CD changer&gt; Panasonic</v>
      </c>
      <c r="F1675" t="str">
        <f t="shared" ca="1" si="26"/>
        <v>"2084223840" : "Panasonic",</v>
      </c>
    </row>
    <row r="1676" spans="1:6" ht="15.75" customHeight="1">
      <c r="A1676" s="18">
        <v>2084223841</v>
      </c>
      <c r="B1676" s="18" t="s">
        <v>2510</v>
      </c>
      <c r="C1676" s="18" t="s">
        <v>16388</v>
      </c>
      <c r="D1676" s="5" t="str">
        <f ca="1">IFERROR(__xludf.DUMMYFUNCTION("GOOGLETRANSLATE(B1676,""ja"",""vi"")"),"kẻ thắng cuộc")</f>
        <v>kẻ thắng cuộc</v>
      </c>
      <c r="E1676" s="5" t="str">
        <f ca="1">IFERROR(__xludf.DUMMYFUNCTION("GOOGLETRANSLATE(C1676,""ja"",""vi"")"),"Đấu giá&gt; ô tô, xe máy&gt; Car Audio&gt; CD changer&gt; Victor")</f>
        <v>Đấu giá&gt; ô tô, xe máy&gt; Car Audio&gt; CD changer&gt; Victor</v>
      </c>
      <c r="F1676" t="str">
        <f t="shared" ca="1" si="26"/>
        <v>"2084223841" : "kẻ thắng cuộc",</v>
      </c>
    </row>
    <row r="1677" spans="1:6" ht="15.75" customHeight="1">
      <c r="A1677" s="18">
        <v>2084223842</v>
      </c>
      <c r="B1677" s="18" t="s">
        <v>46</v>
      </c>
      <c r="C1677" s="18" t="s">
        <v>16389</v>
      </c>
      <c r="D1677" s="5" t="str">
        <f ca="1">IFERROR(__xludf.DUMMYFUNCTION("GOOGLETRANSLATE(B1677,""ja"",""vi"")"),"nếu không thì")</f>
        <v>nếu không thì</v>
      </c>
      <c r="E1677" s="5" t="str">
        <f ca="1">IFERROR(__xludf.DUMMYFUNCTION("GOOGLETRANSLATE(C1677,""ja"",""vi"")"),"Đấu giá&gt; ô tô, xe máy&gt; Car Audio&gt; CD changer&gt; Khác")</f>
        <v>Đấu giá&gt; ô tô, xe máy&gt; Car Audio&gt; CD changer&gt; Khác</v>
      </c>
      <c r="F1677" t="str">
        <f t="shared" ca="1" si="26"/>
        <v>"2084223842" : "nếu không thì",</v>
      </c>
    </row>
    <row r="1678" spans="1:6" ht="15.75" customHeight="1">
      <c r="A1678" s="18">
        <v>2084223845</v>
      </c>
      <c r="B1678" s="18" t="s">
        <v>15885</v>
      </c>
      <c r="C1678" s="18" t="s">
        <v>16391</v>
      </c>
      <c r="D1678" s="5" t="str">
        <f ca="1">IFERROR(__xludf.DUMMYFUNCTION("GOOGLETRANSLATE(B1678,""ja"",""vi"")"),"Azesuto, Clarion")</f>
        <v>Azesuto, Clarion</v>
      </c>
      <c r="E1678" s="5" t="str">
        <f ca="1">IFERROR(__xludf.DUMMYFUNCTION("GOOGLETRANSLATE(C1678,""ja"",""vi"")"),"Đấu giá&gt; ô tô, xe máy&gt; Car Audio&gt; CD&gt; Azesuto, Clarion")</f>
        <v>Đấu giá&gt; ô tô, xe máy&gt; Car Audio&gt; CD&gt; Azesuto, Clarion</v>
      </c>
      <c r="F1678" t="str">
        <f t="shared" ca="1" si="26"/>
        <v>"2084223845" : "Azesuto, Clarion",</v>
      </c>
    </row>
    <row r="1679" spans="1:6" ht="15.75" customHeight="1">
      <c r="A1679" s="18">
        <v>2084223843</v>
      </c>
      <c r="B1679" s="18" t="s">
        <v>15888</v>
      </c>
      <c r="C1679" s="18" t="s">
        <v>16393</v>
      </c>
      <c r="D1679" s="5" t="str">
        <f ca="1">IFERROR(__xludf.DUMMYFUNCTION("GOOGLETRANSLATE(B1679,""ja"",""vi"")"),"núi cao")</f>
        <v>núi cao</v>
      </c>
      <c r="E1679" s="5" t="str">
        <f ca="1">IFERROR(__xludf.DUMMYFUNCTION("GOOGLETRANSLATE(C1679,""ja"",""vi"")"),"Đấu giá&gt; ô tô, xe máy&gt; Âm thanh&gt; CD&gt; Alpine")</f>
        <v>Đấu giá&gt; ô tô, xe máy&gt; Âm thanh&gt; CD&gt; Alpine</v>
      </c>
      <c r="F1679" t="str">
        <f t="shared" ca="1" si="26"/>
        <v>"2084223843" : "núi cao",</v>
      </c>
    </row>
    <row r="1680" spans="1:6" ht="15.75" customHeight="1">
      <c r="A1680" s="18">
        <v>2084223844</v>
      </c>
      <c r="B1680" s="18" t="s">
        <v>15890</v>
      </c>
      <c r="C1680" s="18" t="s">
        <v>16394</v>
      </c>
      <c r="D1680" s="5" t="str">
        <f ca="1">IFERROR(__xludf.DUMMYFUNCTION("GOOGLETRANSLATE(B1680,""ja"",""vi"")"),"Eclipse")</f>
        <v>Eclipse</v>
      </c>
      <c r="E1680" s="5" t="str">
        <f ca="1">IFERROR(__xludf.DUMMYFUNCTION("GOOGLETRANSLATE(C1680,""ja"",""vi"")"),"Đấu giá&gt; ô tô, xe máy&gt; Âm thanh&gt; CD&gt; Eclipse")</f>
        <v>Đấu giá&gt; ô tô, xe máy&gt; Âm thanh&gt; CD&gt; Eclipse</v>
      </c>
      <c r="F1680" t="str">
        <f t="shared" ca="1" si="26"/>
        <v>"2084223844" : "Eclipse",</v>
      </c>
    </row>
    <row r="1681" spans="1:6" ht="15.75" customHeight="1">
      <c r="A1681" s="18">
        <v>2084223848</v>
      </c>
      <c r="B1681" s="18" t="s">
        <v>15833</v>
      </c>
      <c r="C1681" s="18" t="s">
        <v>16396</v>
      </c>
      <c r="D1681" s="5" t="str">
        <f ca="1">IFERROR(__xludf.DUMMYFUNCTION("GOOGLETRANSLATE(B1681,""ja"",""vi"")"),"Carrozzeria")</f>
        <v>Carrozzeria</v>
      </c>
      <c r="E1681" s="5" t="str">
        <f ca="1">IFERROR(__xludf.DUMMYFUNCTION("GOOGLETRANSLATE(C1681,""ja"",""vi"")"),"Đấu giá&gt; ô tô, xe máy&gt; Âm thanh&gt; CD&gt; Carrozzeria")</f>
        <v>Đấu giá&gt; ô tô, xe máy&gt; Âm thanh&gt; CD&gt; Carrozzeria</v>
      </c>
      <c r="F1681" t="str">
        <f t="shared" ca="1" si="26"/>
        <v>"2084223848" : "Carrozzeria",</v>
      </c>
    </row>
    <row r="1682" spans="1:6" ht="15.75" customHeight="1">
      <c r="A1682" s="18">
        <v>2084223846</v>
      </c>
      <c r="B1682" s="18" t="s">
        <v>2491</v>
      </c>
      <c r="C1682" s="18" t="s">
        <v>16398</v>
      </c>
      <c r="D1682" s="5" t="str">
        <f ca="1">IFERROR(__xludf.DUMMYFUNCTION("GOOGLETRANSLATE(B1682,""ja"",""vi"")"),"Kenwood")</f>
        <v>Kenwood</v>
      </c>
      <c r="E1682" s="5" t="str">
        <f ca="1">IFERROR(__xludf.DUMMYFUNCTION("GOOGLETRANSLATE(C1682,""ja"",""vi"")"),"Đấu giá&gt; ô tô, xe máy&gt; Âm thanh&gt; CD&gt; Kenwood")</f>
        <v>Đấu giá&gt; ô tô, xe máy&gt; Âm thanh&gt; CD&gt; Kenwood</v>
      </c>
      <c r="F1682" t="str">
        <f t="shared" ca="1" si="26"/>
        <v>"2084223846" : "Kenwood",</v>
      </c>
    </row>
    <row r="1683" spans="1:6" ht="15.75" customHeight="1">
      <c r="A1683" s="18">
        <v>2084223847</v>
      </c>
      <c r="B1683" s="18" t="s">
        <v>1738</v>
      </c>
      <c r="C1683" s="18" t="s">
        <v>16399</v>
      </c>
      <c r="D1683" s="5" t="str">
        <f ca="1">IFERROR(__xludf.DUMMYFUNCTION("GOOGLETRANSLATE(B1683,""ja"",""vi"")"),"Sony")</f>
        <v>Sony</v>
      </c>
      <c r="E1683" s="5" t="str">
        <f ca="1">IFERROR(__xludf.DUMMYFUNCTION("GOOGLETRANSLATE(C1683,""ja"",""vi"")"),"Đấu giá&gt; ô tô, xe máy&gt; Car Audio&gt; Máy nghe nhạc CD&gt; Sony")</f>
        <v>Đấu giá&gt; ô tô, xe máy&gt; Car Audio&gt; Máy nghe nhạc CD&gt; Sony</v>
      </c>
      <c r="F1683" t="str">
        <f t="shared" ca="1" si="26"/>
        <v>"2084223847" : "Sony",</v>
      </c>
    </row>
    <row r="1684" spans="1:6" ht="15.75" customHeight="1">
      <c r="A1684" s="18">
        <v>2084223849</v>
      </c>
      <c r="B1684" s="18" t="s">
        <v>1918</v>
      </c>
      <c r="C1684" s="18" t="s">
        <v>16401</v>
      </c>
      <c r="D1684" s="5" t="str">
        <f ca="1">IFERROR(__xludf.DUMMYFUNCTION("GOOGLETRANSLATE(B1684,""ja"",""vi"")"),"Panasonic")</f>
        <v>Panasonic</v>
      </c>
      <c r="E1684" s="5" t="str">
        <f ca="1">IFERROR(__xludf.DUMMYFUNCTION("GOOGLETRANSLATE(C1684,""ja"",""vi"")"),"Đấu giá&gt; ô tô, xe máy&gt; Âm thanh&gt; CD&gt; Panasonic")</f>
        <v>Đấu giá&gt; ô tô, xe máy&gt; Âm thanh&gt; CD&gt; Panasonic</v>
      </c>
      <c r="F1684" t="str">
        <f t="shared" ca="1" si="26"/>
        <v>"2084223849" : "Panasonic",</v>
      </c>
    </row>
    <row r="1685" spans="1:6" ht="15.75" customHeight="1">
      <c r="A1685" s="18">
        <v>2084223850</v>
      </c>
      <c r="B1685" s="18" t="s">
        <v>2510</v>
      </c>
      <c r="C1685" s="18" t="s">
        <v>16403</v>
      </c>
      <c r="D1685" s="5" t="str">
        <f ca="1">IFERROR(__xludf.DUMMYFUNCTION("GOOGLETRANSLATE(B1685,""ja"",""vi"")"),"kẻ thắng cuộc")</f>
        <v>kẻ thắng cuộc</v>
      </c>
      <c r="E1685" s="5" t="str">
        <f ca="1">IFERROR(__xludf.DUMMYFUNCTION("GOOGLETRANSLATE(C1685,""ja"",""vi"")"),"Đấu giá&gt; ô tô, xe máy&gt; Car Audio&gt; CD&gt; Victor")</f>
        <v>Đấu giá&gt; ô tô, xe máy&gt; Car Audio&gt; CD&gt; Victor</v>
      </c>
      <c r="F1685" t="str">
        <f t="shared" ca="1" si="26"/>
        <v>"2084223850" : "kẻ thắng cuộc",</v>
      </c>
    </row>
    <row r="1686" spans="1:6" ht="15.75" customHeight="1">
      <c r="A1686" s="18">
        <v>2084223851</v>
      </c>
      <c r="B1686" s="18" t="s">
        <v>46</v>
      </c>
      <c r="C1686" s="18" t="s">
        <v>16407</v>
      </c>
      <c r="D1686" s="5" t="str">
        <f ca="1">IFERROR(__xludf.DUMMYFUNCTION("GOOGLETRANSLATE(B1686,""ja"",""vi"")"),"nếu không thì")</f>
        <v>nếu không thì</v>
      </c>
      <c r="E1686" s="5" t="str">
        <f ca="1">IFERROR(__xludf.DUMMYFUNCTION("GOOGLETRANSLATE(C1686,""ja"",""vi"")"),"Đấu giá&gt; ô tô, xe máy&gt; Car Audio&gt; CD&gt; Khác")</f>
        <v>Đấu giá&gt; ô tô, xe máy&gt; Car Audio&gt; CD&gt; Khác</v>
      </c>
      <c r="F1686" t="str">
        <f t="shared" ca="1" si="26"/>
        <v>"2084223851" : "nếu không thì",</v>
      </c>
    </row>
    <row r="1687" spans="1:6" ht="15.75" customHeight="1">
      <c r="A1687" s="18">
        <v>2084223854</v>
      </c>
      <c r="B1687" s="18" t="s">
        <v>15885</v>
      </c>
      <c r="C1687" s="18" t="s">
        <v>16411</v>
      </c>
      <c r="D1687" s="5" t="str">
        <f ca="1">IFERROR(__xludf.DUMMYFUNCTION("GOOGLETRANSLATE(B1687,""ja"",""vi"")"),"Azesuto, Clarion")</f>
        <v>Azesuto, Clarion</v>
      </c>
      <c r="E1687" s="5" t="str">
        <f ca="1">IFERROR(__xludf.DUMMYFUNCTION("GOOGLETRANSLATE(C1687,""ja"",""vi"")"),"Đấu giá&gt; ô tô, xe máy&gt; Car Audio&gt; MD player&gt; Azesuto, Clarion")</f>
        <v>Đấu giá&gt; ô tô, xe máy&gt; Car Audio&gt; MD player&gt; Azesuto, Clarion</v>
      </c>
      <c r="F1687" t="str">
        <f t="shared" ca="1" si="26"/>
        <v>"2084223854" : "Azesuto, Clarion",</v>
      </c>
    </row>
    <row r="1688" spans="1:6" ht="15.75" customHeight="1">
      <c r="A1688" s="18">
        <v>2084223852</v>
      </c>
      <c r="B1688" s="18" t="s">
        <v>15888</v>
      </c>
      <c r="C1688" s="18" t="s">
        <v>16415</v>
      </c>
      <c r="D1688" s="5" t="str">
        <f ca="1">IFERROR(__xludf.DUMMYFUNCTION("GOOGLETRANSLATE(B1688,""ja"",""vi"")"),"núi cao")</f>
        <v>núi cao</v>
      </c>
      <c r="E1688" s="5" t="str">
        <f ca="1">IFERROR(__xludf.DUMMYFUNCTION("GOOGLETRANSLATE(C1688,""ja"",""vi"")"),"Đấu giá&gt; ô tô, xe máy&gt; Âm thanh&gt; MD player&gt; Alpine")</f>
        <v>Đấu giá&gt; ô tô, xe máy&gt; Âm thanh&gt; MD player&gt; Alpine</v>
      </c>
      <c r="F1688" t="str">
        <f t="shared" ca="1" si="26"/>
        <v>"2084223852" : "núi cao",</v>
      </c>
    </row>
    <row r="1689" spans="1:6" ht="15.75" customHeight="1">
      <c r="A1689" s="18">
        <v>2084223853</v>
      </c>
      <c r="B1689" s="18" t="s">
        <v>15890</v>
      </c>
      <c r="C1689" s="18" t="s">
        <v>16417</v>
      </c>
      <c r="D1689" s="5" t="str">
        <f ca="1">IFERROR(__xludf.DUMMYFUNCTION("GOOGLETRANSLATE(B1689,""ja"",""vi"")"),"Eclipse")</f>
        <v>Eclipse</v>
      </c>
      <c r="E1689" s="5" t="str">
        <f ca="1">IFERROR(__xludf.DUMMYFUNCTION("GOOGLETRANSLATE(C1689,""ja"",""vi"")"),"Đấu giá&gt; ô tô, xe máy&gt; Âm thanh&gt; MD player&gt; Eclipse")</f>
        <v>Đấu giá&gt; ô tô, xe máy&gt; Âm thanh&gt; MD player&gt; Eclipse</v>
      </c>
      <c r="F1689" t="str">
        <f t="shared" ca="1" si="26"/>
        <v>"2084223853" : "Eclipse",</v>
      </c>
    </row>
    <row r="1690" spans="1:6" ht="15.75" customHeight="1">
      <c r="A1690" s="18">
        <v>2084223857</v>
      </c>
      <c r="B1690" s="18" t="s">
        <v>15833</v>
      </c>
      <c r="C1690" s="18" t="s">
        <v>16421</v>
      </c>
      <c r="D1690" s="5" t="str">
        <f ca="1">IFERROR(__xludf.DUMMYFUNCTION("GOOGLETRANSLATE(B1690,""ja"",""vi"")"),"Carrozzeria")</f>
        <v>Carrozzeria</v>
      </c>
      <c r="E1690" s="5" t="str">
        <f ca="1">IFERROR(__xludf.DUMMYFUNCTION("GOOGLETRANSLATE(C1690,""ja"",""vi"")"),"Đấu giá&gt; ô tô, xe máy&gt; Âm thanh&gt; MD player&gt; Carrozzeria")</f>
        <v>Đấu giá&gt; ô tô, xe máy&gt; Âm thanh&gt; MD player&gt; Carrozzeria</v>
      </c>
      <c r="F1690" t="str">
        <f t="shared" ca="1" si="26"/>
        <v>"2084223857" : "Carrozzeria",</v>
      </c>
    </row>
    <row r="1691" spans="1:6" ht="15.75" customHeight="1">
      <c r="A1691" s="18">
        <v>2084223855</v>
      </c>
      <c r="B1691" s="18" t="s">
        <v>2491</v>
      </c>
      <c r="C1691" s="18" t="s">
        <v>16424</v>
      </c>
      <c r="D1691" s="5" t="str">
        <f ca="1">IFERROR(__xludf.DUMMYFUNCTION("GOOGLETRANSLATE(B1691,""ja"",""vi"")"),"Kenwood")</f>
        <v>Kenwood</v>
      </c>
      <c r="E1691" s="5" t="str">
        <f ca="1">IFERROR(__xludf.DUMMYFUNCTION("GOOGLETRANSLATE(C1691,""ja"",""vi"")"),"Đấu giá&gt; ô tô, xe máy&gt; Âm thanh&gt; MD player&gt; Kenwood")</f>
        <v>Đấu giá&gt; ô tô, xe máy&gt; Âm thanh&gt; MD player&gt; Kenwood</v>
      </c>
      <c r="F1691" t="str">
        <f t="shared" ca="1" si="26"/>
        <v>"2084223855" : "Kenwood",</v>
      </c>
    </row>
    <row r="1692" spans="1:6" ht="15.75" customHeight="1">
      <c r="A1692" s="18">
        <v>2084223856</v>
      </c>
      <c r="B1692" s="18" t="s">
        <v>1738</v>
      </c>
      <c r="C1692" s="18" t="s">
        <v>16426</v>
      </c>
      <c r="D1692" s="5" t="str">
        <f ca="1">IFERROR(__xludf.DUMMYFUNCTION("GOOGLETRANSLATE(B1692,""ja"",""vi"")"),"Sony")</f>
        <v>Sony</v>
      </c>
      <c r="E1692" s="5" t="str">
        <f ca="1">IFERROR(__xludf.DUMMYFUNCTION("GOOGLETRANSLATE(C1692,""ja"",""vi"")"),"Đấu giá&gt; ô tô, xe máy&gt; Âm thanh&gt; MD player&gt; Sony")</f>
        <v>Đấu giá&gt; ô tô, xe máy&gt; Âm thanh&gt; MD player&gt; Sony</v>
      </c>
      <c r="F1692" t="str">
        <f t="shared" ca="1" si="26"/>
        <v>"2084223856" : "Sony",</v>
      </c>
    </row>
    <row r="1693" spans="1:6" ht="15.75" customHeight="1">
      <c r="A1693" s="18">
        <v>2084223858</v>
      </c>
      <c r="B1693" s="18" t="s">
        <v>1918</v>
      </c>
      <c r="C1693" s="18" t="s">
        <v>16429</v>
      </c>
      <c r="D1693" s="5" t="str">
        <f ca="1">IFERROR(__xludf.DUMMYFUNCTION("GOOGLETRANSLATE(B1693,""ja"",""vi"")"),"Panasonic")</f>
        <v>Panasonic</v>
      </c>
      <c r="E1693" s="5" t="str">
        <f ca="1">IFERROR(__xludf.DUMMYFUNCTION("GOOGLETRANSLATE(C1693,""ja"",""vi"")"),"Đấu giá&gt; ô tô, xe máy&gt; Car Audio&gt; Máy nghe nhạc MD&gt; Panasonic")</f>
        <v>Đấu giá&gt; ô tô, xe máy&gt; Car Audio&gt; Máy nghe nhạc MD&gt; Panasonic</v>
      </c>
      <c r="F1693" t="str">
        <f t="shared" ca="1" si="26"/>
        <v>"2084223858" : "Panasonic",</v>
      </c>
    </row>
    <row r="1694" spans="1:6" ht="15.75" customHeight="1">
      <c r="A1694" s="18">
        <v>2084223859</v>
      </c>
      <c r="B1694" s="18" t="s">
        <v>2510</v>
      </c>
      <c r="C1694" s="18" t="s">
        <v>16432</v>
      </c>
      <c r="D1694" s="5" t="str">
        <f ca="1">IFERROR(__xludf.DUMMYFUNCTION("GOOGLETRANSLATE(B1694,""ja"",""vi"")"),"kẻ thắng cuộc")</f>
        <v>kẻ thắng cuộc</v>
      </c>
      <c r="E1694" s="5" t="str">
        <f ca="1">IFERROR(__xludf.DUMMYFUNCTION("GOOGLETRANSLATE(C1694,""ja"",""vi"")"),"Đấu giá&gt; ô tô, xe máy&gt; Car Audio&gt; MD player&gt; Victor")</f>
        <v>Đấu giá&gt; ô tô, xe máy&gt; Car Audio&gt; MD player&gt; Victor</v>
      </c>
      <c r="F1694" t="str">
        <f t="shared" ca="1" si="26"/>
        <v>"2084223859" : "kẻ thắng cuộc",</v>
      </c>
    </row>
    <row r="1695" spans="1:6" ht="15.75" customHeight="1">
      <c r="A1695" s="18">
        <v>2084223860</v>
      </c>
      <c r="B1695" s="18" t="s">
        <v>46</v>
      </c>
      <c r="C1695" s="18" t="s">
        <v>16433</v>
      </c>
      <c r="D1695" s="5" t="str">
        <f ca="1">IFERROR(__xludf.DUMMYFUNCTION("GOOGLETRANSLATE(B1695,""ja"",""vi"")"),"nếu không thì")</f>
        <v>nếu không thì</v>
      </c>
      <c r="E1695" s="5" t="str">
        <f ca="1">IFERROR(__xludf.DUMMYFUNCTION("GOOGLETRANSLATE(C1695,""ja"",""vi"")"),"Đấu giá&gt; ô tô, xe máy&gt; Car Audio&gt; máy nghe nhạc MD&gt; Khác")</f>
        <v>Đấu giá&gt; ô tô, xe máy&gt; Car Audio&gt; máy nghe nhạc MD&gt; Khác</v>
      </c>
      <c r="F1695" t="str">
        <f t="shared" ca="1" si="26"/>
        <v>"2084223860" : "nếu không thì",</v>
      </c>
    </row>
    <row r="1696" spans="1:6" ht="15.75" customHeight="1">
      <c r="A1696" s="18">
        <v>2084230679</v>
      </c>
      <c r="B1696" s="18" t="s">
        <v>16436</v>
      </c>
      <c r="C1696" s="18" t="s">
        <v>16437</v>
      </c>
      <c r="D1696" s="5" t="str">
        <f ca="1">IFERROR(__xludf.DUMMYFUNCTION("GOOGLETRANSLATE(B1696,""ja"",""vi"")"),"loại 10cm")</f>
        <v>loại 10cm</v>
      </c>
      <c r="E1696" s="5" t="str">
        <f ca="1">IFERROR(__xludf.DUMMYFUNCTION("GOOGLETRANSLATE(C1696,""ja"",""vi"")"),"Đấu giá&gt; ô tô, xe máy&gt; Car Audio&gt; Loa&gt; loại 10cm")</f>
        <v>Đấu giá&gt; ô tô, xe máy&gt; Car Audio&gt; Loa&gt; loại 10cm</v>
      </c>
      <c r="F1696" t="str">
        <f t="shared" ca="1" si="26"/>
        <v>"2084230679" : "loại 10cm",</v>
      </c>
    </row>
    <row r="1697" spans="1:6" ht="15.75" customHeight="1">
      <c r="A1697" s="18">
        <v>2084230680</v>
      </c>
      <c r="B1697" s="18" t="s">
        <v>16439</v>
      </c>
      <c r="C1697" s="18" t="s">
        <v>16440</v>
      </c>
      <c r="D1697" s="5" t="str">
        <f ca="1">IFERROR(__xludf.DUMMYFUNCTION("GOOGLETRANSLATE(B1697,""ja"",""vi"")"),"loại 13cm")</f>
        <v>loại 13cm</v>
      </c>
      <c r="E1697" s="5" t="str">
        <f ca="1">IFERROR(__xludf.DUMMYFUNCTION("GOOGLETRANSLATE(C1697,""ja"",""vi"")"),"Đấu giá&gt; ô tô, xe máy&gt; Car Audio&gt; Loa&gt; loại 13cm")</f>
        <v>Đấu giá&gt; ô tô, xe máy&gt; Car Audio&gt; Loa&gt; loại 13cm</v>
      </c>
      <c r="F1697" t="str">
        <f t="shared" ca="1" si="26"/>
        <v>"2084230680" : "loại 13cm",</v>
      </c>
    </row>
    <row r="1698" spans="1:6" ht="15.75" customHeight="1">
      <c r="A1698" s="18">
        <v>2084230681</v>
      </c>
      <c r="B1698" s="18" t="s">
        <v>16441</v>
      </c>
      <c r="C1698" s="18" t="s">
        <v>16444</v>
      </c>
      <c r="D1698" s="5" t="str">
        <f ca="1">IFERROR(__xludf.DUMMYFUNCTION("GOOGLETRANSLATE(B1698,""ja"",""vi"")"),"loại 16cm")</f>
        <v>loại 16cm</v>
      </c>
      <c r="E1698" s="5" t="str">
        <f ca="1">IFERROR(__xludf.DUMMYFUNCTION("GOOGLETRANSLATE(C1698,""ja"",""vi"")"),"Đấu giá&gt; ô tô, xe máy&gt; Car Audio&gt; Loa&gt; loại 16cm")</f>
        <v>Đấu giá&gt; ô tô, xe máy&gt; Car Audio&gt; Loa&gt; loại 16cm</v>
      </c>
      <c r="F1698" t="str">
        <f t="shared" ca="1" si="26"/>
        <v>"2084230681" : "loại 16cm",</v>
      </c>
    </row>
    <row r="1699" spans="1:6" ht="15.75" customHeight="1">
      <c r="A1699" s="18">
        <v>2084230682</v>
      </c>
      <c r="B1699" s="18" t="s">
        <v>16445</v>
      </c>
      <c r="C1699" s="18" t="s">
        <v>16446</v>
      </c>
      <c r="D1699" s="5" t="str">
        <f ca="1">IFERROR(__xludf.DUMMYFUNCTION("GOOGLETRANSLATE(B1699,""ja"",""vi"")"),"loại 17cm")</f>
        <v>loại 17cm</v>
      </c>
      <c r="E1699" s="5" t="str">
        <f ca="1">IFERROR(__xludf.DUMMYFUNCTION("GOOGLETRANSLATE(C1699,""ja"",""vi"")"),"Đấu giá&gt; ô tô, xe máy&gt; Car Audio&gt; Loa&gt; loại 17cm")</f>
        <v>Đấu giá&gt; ô tô, xe máy&gt; Car Audio&gt; Loa&gt; loại 17cm</v>
      </c>
      <c r="F1699" t="str">
        <f t="shared" ca="1" si="26"/>
        <v>"2084230682" : "loại 17cm",</v>
      </c>
    </row>
    <row r="1700" spans="1:6" ht="15.75" customHeight="1">
      <c r="A1700" s="18">
        <v>2084230678</v>
      </c>
      <c r="B1700" s="18" t="s">
        <v>16449</v>
      </c>
      <c r="C1700" s="18" t="s">
        <v>16450</v>
      </c>
      <c r="D1700" s="5" t="str">
        <f ca="1">IFERROR(__xludf.DUMMYFUNCTION("GOOGLETRANSLATE(B1700,""ja"",""vi"")"),"tweeter")</f>
        <v>tweeter</v>
      </c>
      <c r="E1700" s="5" t="str">
        <f ca="1">IFERROR(__xludf.DUMMYFUNCTION("GOOGLETRANSLATE(C1700,""ja"",""vi"")"),"Đấu giá&gt; ô tô, xe máy&gt; Xe âm thanh&gt; Loa&gt; Tweeter")</f>
        <v>Đấu giá&gt; ô tô, xe máy&gt; Xe âm thanh&gt; Loa&gt; Tweeter</v>
      </c>
      <c r="F1700" t="str">
        <f t="shared" ca="1" si="26"/>
        <v>"2084230678" : "tweeter",</v>
      </c>
    </row>
    <row r="1701" spans="1:6" ht="15.75" customHeight="1">
      <c r="A1701" s="18">
        <v>2084230683</v>
      </c>
      <c r="B1701" s="18" t="s">
        <v>16452</v>
      </c>
      <c r="C1701" s="18" t="s">
        <v>16453</v>
      </c>
      <c r="D1701" s="5" t="str">
        <f ca="1">IFERROR(__xludf.DUMMYFUNCTION("GOOGLETRANSLATE(B1701,""ja"",""vi"")"),"Văn phòng phẩm, loại hộp")</f>
        <v>Văn phòng phẩm, loại hộp</v>
      </c>
      <c r="E1701" s="5" t="str">
        <f ca="1">IFERROR(__xludf.DUMMYFUNCTION("GOOGLETRANSLATE(C1701,""ja"",""vi"")"),"Đấu giá&gt; ô tô, xe máy&gt; Xe âm thanh&gt; Loa&gt; văn phòng phẩm, loại hộp")</f>
        <v>Đấu giá&gt; ô tô, xe máy&gt; Xe âm thanh&gt; Loa&gt; văn phòng phẩm, loại hộp</v>
      </c>
      <c r="F1701" t="str">
        <f t="shared" ca="1" si="26"/>
        <v>"2084230683" : "Văn phòng phẩm, loại hộp",</v>
      </c>
    </row>
    <row r="1702" spans="1:6" ht="15.75" customHeight="1">
      <c r="A1702" s="18">
        <v>2084231199</v>
      </c>
      <c r="B1702" s="18" t="s">
        <v>16456</v>
      </c>
      <c r="C1702" s="18" t="s">
        <v>16457</v>
      </c>
      <c r="D1702" s="5" t="str">
        <f ca="1">IFERROR(__xludf.DUMMYFUNCTION("GOOGLETRANSLATE(B1702,""ja"",""vi"")"),"loại hình elip")</f>
        <v>loại hình elip</v>
      </c>
      <c r="E1702" s="5" t="str">
        <f ca="1">IFERROR(__xludf.DUMMYFUNCTION("GOOGLETRANSLATE(C1702,""ja"",""vi"")"),"Đấu giá&gt; ô tô, xe máy&gt; Xe âm thanh&gt; Loa&gt; loại hình elip")</f>
        <v>Đấu giá&gt; ô tô, xe máy&gt; Xe âm thanh&gt; Loa&gt; loại hình elip</v>
      </c>
      <c r="F1702" t="str">
        <f t="shared" ca="1" si="26"/>
        <v>"2084231199" : "loại hình elip",</v>
      </c>
    </row>
    <row r="1703" spans="1:6" ht="15.75" customHeight="1">
      <c r="A1703" s="18">
        <v>2084230684</v>
      </c>
      <c r="B1703" s="18" t="s">
        <v>16459</v>
      </c>
      <c r="C1703" s="18" t="s">
        <v>16460</v>
      </c>
      <c r="D1703" s="5" t="str">
        <f ca="1">IFERROR(__xludf.DUMMYFUNCTION("GOOGLETRANSLATE(B1703,""ja"",""vi"")"),"Trần, loại trần")</f>
        <v>Trần, loại trần</v>
      </c>
      <c r="E1703" s="5" t="str">
        <f ca="1">IFERROR(__xludf.DUMMYFUNCTION("GOOGLETRANSLATE(C1703,""ja"",""vi"")"),"Đấu giá&gt; ô tô, xe máy&gt; Xe âm thanh&gt; Loa&gt; trần, loại trần")</f>
        <v>Đấu giá&gt; ô tô, xe máy&gt; Xe âm thanh&gt; Loa&gt; trần, loại trần</v>
      </c>
      <c r="F1703" t="str">
        <f t="shared" ca="1" si="26"/>
        <v>"2084230684" : "Trần, loại trần",</v>
      </c>
    </row>
    <row r="1704" spans="1:6" ht="15.75" customHeight="1">
      <c r="A1704" s="18">
        <v>2084048322</v>
      </c>
      <c r="B1704" s="18" t="s">
        <v>3101</v>
      </c>
      <c r="C1704" s="18" t="s">
        <v>16461</v>
      </c>
      <c r="D1704" s="5" t="str">
        <f ca="1">IFERROR(__xludf.DUMMYFUNCTION("GOOGLETRANSLATE(B1704,""ja"",""vi"")"),"woofer")</f>
        <v>woofer</v>
      </c>
      <c r="E1704" s="5" t="str">
        <f ca="1">IFERROR(__xludf.DUMMYFUNCTION("GOOGLETRANSLATE(C1704,""ja"",""vi"")"),"Đấu giá&gt; ô tô, xe máy&gt; Xe âm thanh&gt; Loa&gt; woofer")</f>
        <v>Đấu giá&gt; ô tô, xe máy&gt; Xe âm thanh&gt; Loa&gt; woofer</v>
      </c>
      <c r="F1704" t="str">
        <f t="shared" ca="1" si="26"/>
        <v>"2084048322" : "woofer",</v>
      </c>
    </row>
    <row r="1705" spans="1:6" ht="15.75" customHeight="1">
      <c r="A1705" s="18">
        <v>2084230685</v>
      </c>
      <c r="B1705" s="18" t="s">
        <v>46</v>
      </c>
      <c r="C1705" s="18" t="s">
        <v>16464</v>
      </c>
      <c r="D1705" s="5" t="str">
        <f ca="1">IFERROR(__xludf.DUMMYFUNCTION("GOOGLETRANSLATE(B1705,""ja"",""vi"")"),"nếu không thì")</f>
        <v>nếu không thì</v>
      </c>
      <c r="E1705" s="5" t="str">
        <f ca="1">IFERROR(__xludf.DUMMYFUNCTION("GOOGLETRANSLATE(C1705,""ja"",""vi"")"),"Đấu giá&gt; ô tô, xe máy&gt; Xe âm thanh&gt; Loa&gt; Khác")</f>
        <v>Đấu giá&gt; ô tô, xe máy&gt; Xe âm thanh&gt; Loa&gt; Khác</v>
      </c>
      <c r="F1705" t="str">
        <f t="shared" ca="1" si="26"/>
        <v>"2084230685" : "nếu không thì",</v>
      </c>
    </row>
    <row r="1706" spans="1:6" ht="15.75" customHeight="1">
      <c r="A1706" s="18">
        <v>2084214156</v>
      </c>
      <c r="B1706" s="18" t="s">
        <v>5151</v>
      </c>
      <c r="C1706" s="18" t="s">
        <v>16467</v>
      </c>
      <c r="D1706" s="5" t="str">
        <f ca="1">IFERROR(__xludf.DUMMYFUNCTION("GOOGLETRANSLATE(B1706,""ja"",""vi"")"),"Hokkaido")</f>
        <v>Hokkaido</v>
      </c>
      <c r="E1706" s="5" t="str">
        <f ca="1">IFERROR(__xludf.DUMMYFUNCTION("GOOGLETRANSLATE(C1706,""ja"",""vi"")"),"Đấu giá&gt; Khác&gt; sửa chữa, lắp đặt&gt; ô tô, xe máy&gt; âm thanh xe hơi lắp&gt; Hokkaido")</f>
        <v>Đấu giá&gt; Khác&gt; sửa chữa, lắp đặt&gt; ô tô, xe máy&gt; âm thanh xe hơi lắp&gt; Hokkaido</v>
      </c>
      <c r="F1706" t="str">
        <f t="shared" ca="1" si="26"/>
        <v>"2084214156" : "Hokkaido",</v>
      </c>
    </row>
    <row r="1707" spans="1:6" ht="15.75" customHeight="1">
      <c r="A1707" s="18">
        <v>2084214157</v>
      </c>
      <c r="B1707" s="18" t="s">
        <v>5155</v>
      </c>
      <c r="C1707" s="18" t="s">
        <v>16469</v>
      </c>
      <c r="D1707" s="5" t="str">
        <f ca="1">IFERROR(__xludf.DUMMYFUNCTION("GOOGLETRANSLATE(B1707,""ja"",""vi"")"),"đông bắc")</f>
        <v>đông bắc</v>
      </c>
      <c r="E1707" s="5" t="str">
        <f ca="1">IFERROR(__xludf.DUMMYFUNCTION("GOOGLETRANSLATE(C1707,""ja"",""vi"")"),"Đấu giá&gt; Khác&gt; sửa chữa, lắp đặt&gt; ô tô, xe máy&gt; âm thanh xe hơi lắp&gt; Đông Bắc")</f>
        <v>Đấu giá&gt; Khác&gt; sửa chữa, lắp đặt&gt; ô tô, xe máy&gt; âm thanh xe hơi lắp&gt; Đông Bắc</v>
      </c>
      <c r="F1707" t="str">
        <f t="shared" ca="1" si="26"/>
        <v>"2084214157" : "đông bắc",</v>
      </c>
    </row>
    <row r="1708" spans="1:6" ht="15.75" customHeight="1">
      <c r="A1708" s="18">
        <v>2084214158</v>
      </c>
      <c r="B1708" s="18" t="s">
        <v>5159</v>
      </c>
      <c r="C1708" s="18" t="s">
        <v>16473</v>
      </c>
      <c r="D1708" s="5" t="str">
        <f ca="1">IFERROR(__xludf.DUMMYFUNCTION("GOOGLETRANSLATE(B1708,""ja"",""vi"")"),"Kanto")</f>
        <v>Kanto</v>
      </c>
      <c r="E1708" s="5" t="str">
        <f ca="1">IFERROR(__xludf.DUMMYFUNCTION("GOOGLETRANSLATE(C1708,""ja"",""vi"")"),"Đấu giá&gt; Khác&gt; sửa chữa, lắp đặt&gt; ô tô, xe máy&gt; âm thanh xe hơi lắp&gt; Kanto")</f>
        <v>Đấu giá&gt; Khác&gt; sửa chữa, lắp đặt&gt; ô tô, xe máy&gt; âm thanh xe hơi lắp&gt; Kanto</v>
      </c>
      <c r="F1708" t="str">
        <f t="shared" ca="1" si="26"/>
        <v>"2084214158" : "Kanto",</v>
      </c>
    </row>
    <row r="1709" spans="1:6" ht="15.75" customHeight="1">
      <c r="A1709" s="18">
        <v>2084214159</v>
      </c>
      <c r="B1709" s="18" t="s">
        <v>5166</v>
      </c>
      <c r="C1709" s="18" t="s">
        <v>16475</v>
      </c>
      <c r="D1709" s="5" t="str">
        <f ca="1">IFERROR(__xludf.DUMMYFUNCTION("GOOGLETRANSLATE(B1709,""ja"",""vi"")"),"Shin-Etsu")</f>
        <v>Shin-Etsu</v>
      </c>
      <c r="E1709" s="5" t="str">
        <f ca="1">IFERROR(__xludf.DUMMYFUNCTION("GOOGLETRANSLATE(C1709,""ja"",""vi"")"),"Đấu giá&gt; Khác&gt; sửa chữa, lắp đặt&gt; ô tô, xe máy&gt; âm thanh xe hơi lắp&gt; Shin-Etsu")</f>
        <v>Đấu giá&gt; Khác&gt; sửa chữa, lắp đặt&gt; ô tô, xe máy&gt; âm thanh xe hơi lắp&gt; Shin-Etsu</v>
      </c>
      <c r="F1709" t="str">
        <f t="shared" ca="1" si="26"/>
        <v>"2084214159" : "Shin-Etsu",</v>
      </c>
    </row>
    <row r="1710" spans="1:6" ht="15.75" customHeight="1">
      <c r="A1710" s="18">
        <v>2084214160</v>
      </c>
      <c r="B1710" s="18" t="s">
        <v>5163</v>
      </c>
      <c r="C1710" s="18" t="s">
        <v>16478</v>
      </c>
      <c r="D1710" s="5" t="str">
        <f ca="1">IFERROR(__xludf.DUMMYFUNCTION("GOOGLETRANSLATE(B1710,""ja"",""vi"")"),"Hokuriku")</f>
        <v>Hokuriku</v>
      </c>
      <c r="E1710" s="5" t="str">
        <f ca="1">IFERROR(__xludf.DUMMYFUNCTION("GOOGLETRANSLATE(C1710,""ja"",""vi"")"),"Đấu giá&gt; Khác&gt; sửa chữa, lắp đặt&gt; ô tô, xe máy&gt; âm thanh xe hơi lắp&gt; Hokuriku")</f>
        <v>Đấu giá&gt; Khác&gt; sửa chữa, lắp đặt&gt; ô tô, xe máy&gt; âm thanh xe hơi lắp&gt; Hokuriku</v>
      </c>
      <c r="F1710" t="str">
        <f t="shared" ca="1" si="26"/>
        <v>"2084214160" : "Hokuriku",</v>
      </c>
    </row>
    <row r="1711" spans="1:6" ht="15.75" customHeight="1">
      <c r="A1711" s="18">
        <v>2084214161</v>
      </c>
      <c r="B1711" s="18" t="s">
        <v>5170</v>
      </c>
      <c r="C1711" s="18" t="s">
        <v>16480</v>
      </c>
      <c r="D1711" s="5" t="str">
        <f ca="1">IFERROR(__xludf.DUMMYFUNCTION("GOOGLETRANSLATE(B1711,""ja"",""vi"")"),"Tokai")</f>
        <v>Tokai</v>
      </c>
      <c r="E1711" s="5" t="str">
        <f ca="1">IFERROR(__xludf.DUMMYFUNCTION("GOOGLETRANSLATE(C1711,""ja"",""vi"")"),"Đấu giá&gt; Khác&gt; sửa chữa, lắp đặt&gt; ô tô, xe máy&gt; âm thanh xe hơi lắp&gt; Tokai")</f>
        <v>Đấu giá&gt; Khác&gt; sửa chữa, lắp đặt&gt; ô tô, xe máy&gt; âm thanh xe hơi lắp&gt; Tokai</v>
      </c>
      <c r="F1711" t="str">
        <f t="shared" ca="1" si="26"/>
        <v>"2084214161" : "Tokai",</v>
      </c>
    </row>
    <row r="1712" spans="1:6" ht="15.75" customHeight="1">
      <c r="A1712" s="18">
        <v>2084214162</v>
      </c>
      <c r="B1712" s="18" t="s">
        <v>5174</v>
      </c>
      <c r="C1712" s="18" t="s">
        <v>16481</v>
      </c>
      <c r="D1712" s="5" t="str">
        <f ca="1">IFERROR(__xludf.DUMMYFUNCTION("GOOGLETRANSLATE(B1712,""ja"",""vi"")"),"Kinki")</f>
        <v>Kinki</v>
      </c>
      <c r="E1712" s="5" t="str">
        <f ca="1">IFERROR(__xludf.DUMMYFUNCTION("GOOGLETRANSLATE(C1712,""ja"",""vi"")"),"Đấu giá&gt; Khác&gt; sửa chữa, lắp đặt&gt; ô tô, xe máy&gt; âm thanh xe hơi lắp&gt; Kinki")</f>
        <v>Đấu giá&gt; Khác&gt; sửa chữa, lắp đặt&gt; ô tô, xe máy&gt; âm thanh xe hơi lắp&gt; Kinki</v>
      </c>
      <c r="F1712" t="str">
        <f t="shared" ca="1" si="26"/>
        <v>"2084214162" : "Kinki",</v>
      </c>
    </row>
    <row r="1713" spans="1:6" ht="15.75" customHeight="1">
      <c r="A1713" s="18">
        <v>2084214163</v>
      </c>
      <c r="B1713" s="18" t="s">
        <v>5177</v>
      </c>
      <c r="C1713" s="18" t="s">
        <v>16484</v>
      </c>
      <c r="D1713" s="5" t="str">
        <f ca="1">IFERROR(__xludf.DUMMYFUNCTION("GOOGLETRANSLATE(B1713,""ja"",""vi"")"),"đồ sứ")</f>
        <v>đồ sứ</v>
      </c>
      <c r="E1713" s="5" t="str">
        <f ca="1">IFERROR(__xludf.DUMMYFUNCTION("GOOGLETRANSLATE(C1713,""ja"",""vi"")"),"Đấu giá&gt; Khác&gt; sửa chữa, lắp đặt&gt; ô tô, xe máy&gt; âm thanh xe hơi lắp&gt; Trung Quốc")</f>
        <v>Đấu giá&gt; Khác&gt; sửa chữa, lắp đặt&gt; ô tô, xe máy&gt; âm thanh xe hơi lắp&gt; Trung Quốc</v>
      </c>
      <c r="F1713" t="str">
        <f t="shared" ca="1" si="26"/>
        <v>"2084214163" : "đồ sứ",</v>
      </c>
    </row>
    <row r="1714" spans="1:6" ht="15.75" customHeight="1">
      <c r="A1714" s="18">
        <v>2084214164</v>
      </c>
      <c r="B1714" s="18" t="s">
        <v>5180</v>
      </c>
      <c r="C1714" s="18" t="s">
        <v>16487</v>
      </c>
      <c r="D1714" s="5" t="str">
        <f ca="1">IFERROR(__xludf.DUMMYFUNCTION("GOOGLETRANSLATE(B1714,""ja"",""vi"")"),"Shikoku")</f>
        <v>Shikoku</v>
      </c>
      <c r="E1714" s="5" t="str">
        <f ca="1">IFERROR(__xludf.DUMMYFUNCTION("GOOGLETRANSLATE(C1714,""ja"",""vi"")"),"Đấu giá&gt; Khác&gt; sửa chữa, lắp đặt&gt; ô tô, xe máy&gt; âm thanh xe hơi lắp&gt; Shikoku")</f>
        <v>Đấu giá&gt; Khác&gt; sửa chữa, lắp đặt&gt; ô tô, xe máy&gt; âm thanh xe hơi lắp&gt; Shikoku</v>
      </c>
      <c r="F1714" t="str">
        <f t="shared" ca="1" si="26"/>
        <v>"2084214164" : "Shikoku",</v>
      </c>
    </row>
    <row r="1715" spans="1:6" ht="15.75" customHeight="1">
      <c r="A1715" s="18">
        <v>2084214165</v>
      </c>
      <c r="B1715" s="18" t="s">
        <v>5183</v>
      </c>
      <c r="C1715" s="18" t="s">
        <v>16489</v>
      </c>
      <c r="D1715" s="5" t="str">
        <f ca="1">IFERROR(__xludf.DUMMYFUNCTION("GOOGLETRANSLATE(B1715,""ja"",""vi"")"),"Kyushu")</f>
        <v>Kyushu</v>
      </c>
      <c r="E1715" s="5" t="str">
        <f ca="1">IFERROR(__xludf.DUMMYFUNCTION("GOOGLETRANSLATE(C1715,""ja"",""vi"")"),"Đấu giá&gt; Khác&gt; sửa chữa, lắp đặt&gt; ô tô, xe máy&gt; âm thanh xe hơi lắp&gt; Kyushu")</f>
        <v>Đấu giá&gt; Khác&gt; sửa chữa, lắp đặt&gt; ô tô, xe máy&gt; âm thanh xe hơi lắp&gt; Kyushu</v>
      </c>
      <c r="F1715" t="str">
        <f t="shared" ca="1" si="26"/>
        <v>"2084214165" : "Kyushu",</v>
      </c>
    </row>
    <row r="1716" spans="1:6" ht="15.75" customHeight="1">
      <c r="A1716" s="18">
        <v>2084214166</v>
      </c>
      <c r="B1716" s="18" t="s">
        <v>5186</v>
      </c>
      <c r="C1716" s="18" t="s">
        <v>16491</v>
      </c>
      <c r="D1716" s="5" t="str">
        <f ca="1">IFERROR(__xludf.DUMMYFUNCTION("GOOGLETRANSLATE(B1716,""ja"",""vi"")"),"Okinawa")</f>
        <v>Okinawa</v>
      </c>
      <c r="E1716" s="5" t="str">
        <f ca="1">IFERROR(__xludf.DUMMYFUNCTION("GOOGLETRANSLATE(C1716,""ja"",""vi"")"),"Đấu giá&gt; Khác&gt; sửa chữa, lắp đặt&gt; ô tô, xe máy&gt; âm thanh xe hơi lắp&gt; Okinawa")</f>
        <v>Đấu giá&gt; Khác&gt; sửa chữa, lắp đặt&gt; ô tô, xe máy&gt; âm thanh xe hơi lắp&gt; Okinawa</v>
      </c>
      <c r="F1716" t="str">
        <f t="shared" ca="1" si="26"/>
        <v>"2084214166" : "Okinawa",</v>
      </c>
    </row>
    <row r="1717" spans="1:6" ht="15.75" customHeight="1">
      <c r="A1717" s="18">
        <v>2084012427</v>
      </c>
      <c r="B1717" s="18" t="s">
        <v>14298</v>
      </c>
      <c r="C1717" s="18" t="s">
        <v>14299</v>
      </c>
      <c r="D1717" s="5" t="str">
        <f ca="1">IFERROR(__xludf.DUMMYFUNCTION("GOOGLETRANSLATE(B1717,""ja"",""vi"")"),"che")</f>
        <v>che</v>
      </c>
      <c r="E1717" s="5" t="str">
        <f ca="1">IFERROR(__xludf.DUMMYFUNCTION("GOOGLETRANSLATE(C1717,""ja"",""vi"")"),"Đấu giá&gt; ô tô, xe máy&gt; xe máy&gt; Phụ kiện&gt; bìa")</f>
        <v>Đấu giá&gt; ô tô, xe máy&gt; xe máy&gt; Phụ kiện&gt; bìa</v>
      </c>
      <c r="F1717" t="str">
        <f t="shared" ca="1" si="26"/>
        <v>"2084012427" : "che",</v>
      </c>
    </row>
    <row r="1718" spans="1:6" ht="15.75" customHeight="1">
      <c r="A1718" s="18">
        <v>2084012428</v>
      </c>
      <c r="B1718" s="18" t="s">
        <v>14099</v>
      </c>
      <c r="C1718" s="18" t="s">
        <v>14301</v>
      </c>
      <c r="D1718" s="5" t="str">
        <f ca="1">IFERROR(__xludf.DUMMYFUNCTION("GOOGLETRANSLATE(B1718,""ja"",""vi"")"),"Carrier, lấy thanh")</f>
        <v>Carrier, lấy thanh</v>
      </c>
      <c r="E1718" s="5" t="str">
        <f ca="1">IFERROR(__xludf.DUMMYFUNCTION("GOOGLETRANSLATE(C1718,""ja"",""vi"")"),"Đấu giá&gt; ô tô, xe máy&gt; xe máy&gt; Phụ kiện&gt; vận chuyển, thanh lấy")</f>
        <v>Đấu giá&gt; ô tô, xe máy&gt; xe máy&gt; Phụ kiện&gt; vận chuyển, thanh lấy</v>
      </c>
      <c r="F1718" t="str">
        <f t="shared" ca="1" si="26"/>
        <v>"2084012428" : "Carrier, lấy thanh",</v>
      </c>
    </row>
    <row r="1719" spans="1:6" ht="15.75" customHeight="1">
      <c r="A1719" s="18">
        <v>2084235230</v>
      </c>
      <c r="B1719" s="18" t="s">
        <v>14303</v>
      </c>
      <c r="C1719" s="18" t="s">
        <v>14304</v>
      </c>
      <c r="D1719" s="5" t="str">
        <f ca="1">IFERROR(__xludf.DUMMYFUNCTION("GOOGLETRANSLATE(B1719,""ja"",""vi"")"),"túi yên, túi bên")</f>
        <v>túi yên, túi bên</v>
      </c>
      <c r="E1719" s="5" t="str">
        <f ca="1">IFERROR(__xludf.DUMMYFUNCTION("GOOGLETRANSLATE(C1719,""ja"",""vi"")"),"Đấu giá&gt; ô tô, xe máy&gt; xe máy&gt; Phụ kiện&gt; túi yên, túi bên")</f>
        <v>Đấu giá&gt; ô tô, xe máy&gt; xe máy&gt; Phụ kiện&gt; túi yên, túi bên</v>
      </c>
      <c r="F1719" t="str">
        <f t="shared" ca="1" si="26"/>
        <v>"2084235230" : "túi yên, túi bên",</v>
      </c>
    </row>
    <row r="1720" spans="1:6" ht="15.75" customHeight="1">
      <c r="A1720" s="18">
        <v>2084235240</v>
      </c>
      <c r="B1720" s="18" t="s">
        <v>14306</v>
      </c>
      <c r="C1720" s="18" t="s">
        <v>14307</v>
      </c>
      <c r="D1720" s="5" t="str">
        <f ca="1">IFERROR(__xludf.DUMMYFUNCTION("GOOGLETRANSLATE(B1720,""ja"",""vi"")"),"Seat Bag")</f>
        <v>Seat Bag</v>
      </c>
      <c r="E1720" s="5" t="str">
        <f ca="1">IFERROR(__xludf.DUMMYFUNCTION("GOOGLETRANSLATE(C1720,""ja"",""vi"")"),"Đấu giá&gt; ô tô, xe máy&gt; xe máy&gt; Phụ kiện&gt; Seat Bag")</f>
        <v>Đấu giá&gt; ô tô, xe máy&gt; xe máy&gt; Phụ kiện&gt; Seat Bag</v>
      </c>
      <c r="F1720" t="str">
        <f t="shared" ca="1" si="26"/>
        <v>"2084235240" : "Seat Bag",</v>
      </c>
    </row>
    <row r="1721" spans="1:6" ht="15.75" customHeight="1">
      <c r="A1721" s="18">
        <v>2084235229</v>
      </c>
      <c r="B1721" s="18" t="s">
        <v>14309</v>
      </c>
      <c r="C1721" s="18" t="s">
        <v>14310</v>
      </c>
      <c r="D1721" s="5" t="str">
        <f ca="1">IFERROR(__xludf.DUMMYFUNCTION("GOOGLETRANSLATE(B1721,""ja"",""vi"")"),"túi bể")</f>
        <v>túi bể</v>
      </c>
      <c r="E1721" s="5" t="str">
        <f ca="1">IFERROR(__xludf.DUMMYFUNCTION("GOOGLETRANSLATE(C1721,""ja"",""vi"")"),"Đấu giá&gt; ô tô, xe máy&gt; xe máy&gt; Phụ kiện&gt; túi bể")</f>
        <v>Đấu giá&gt; ô tô, xe máy&gt; xe máy&gt; Phụ kiện&gt; túi bể</v>
      </c>
      <c r="F1721" t="str">
        <f t="shared" ca="1" si="26"/>
        <v>"2084235229" : "túi bể",</v>
      </c>
    </row>
    <row r="1722" spans="1:6" ht="15.75" customHeight="1">
      <c r="A1722" s="18">
        <v>2084235237</v>
      </c>
      <c r="B1722" s="18" t="s">
        <v>14312</v>
      </c>
      <c r="C1722" s="18" t="s">
        <v>14313</v>
      </c>
      <c r="D1722" s="5" t="str">
        <f ca="1">IFERROR(__xludf.DUMMYFUNCTION("GOOGLETRANSLATE(B1722,""ja"",""vi"")"),"Trường hợp đầu")</f>
        <v>Trường hợp đầu</v>
      </c>
      <c r="E1722" s="5" t="str">
        <f ca="1">IFERROR(__xludf.DUMMYFUNCTION("GOOGLETRANSLATE(C1722,""ja"",""vi"")"),"Đấu giá&gt; ô tô, xe máy&gt; xe máy&gt; Phụ kiện&gt; trường hợp đầu")</f>
        <v>Đấu giá&gt; ô tô, xe máy&gt; xe máy&gt; Phụ kiện&gt; trường hợp đầu</v>
      </c>
      <c r="F1722" t="str">
        <f t="shared" ca="1" si="26"/>
        <v>"2084235237" : "Trường hợp đầu",</v>
      </c>
    </row>
    <row r="1723" spans="1:6" ht="15.75" customHeight="1">
      <c r="A1723" s="18">
        <v>2084235236</v>
      </c>
      <c r="B1723" s="18" t="s">
        <v>14317</v>
      </c>
      <c r="C1723" s="18" t="s">
        <v>14319</v>
      </c>
      <c r="D1723" s="5" t="str">
        <f ca="1">IFERROR(__xludf.DUMMYFUNCTION("GOOGLETRANSLATE(B1723,""ja"",""vi"")"),"trường hợp thúng")</f>
        <v>trường hợp thúng</v>
      </c>
      <c r="E1723" s="5" t="str">
        <f ca="1">IFERROR(__xludf.DUMMYFUNCTION("GOOGLETRANSLATE(C1723,""ja"",""vi"")"),"Đấu giá&gt; ô tô, xe máy&gt; xe máy&gt; Phụ kiện&gt; trường hợp Pannier")</f>
        <v>Đấu giá&gt; ô tô, xe máy&gt; xe máy&gt; Phụ kiện&gt; trường hợp Pannier</v>
      </c>
      <c r="F1723" t="str">
        <f t="shared" ca="1" si="26"/>
        <v>"2084235236" : "trường hợp thúng",</v>
      </c>
    </row>
    <row r="1724" spans="1:6" ht="15.75" customHeight="1">
      <c r="A1724" s="18">
        <v>2084235378</v>
      </c>
      <c r="B1724" s="18" t="s">
        <v>14323</v>
      </c>
      <c r="C1724" s="18" t="s">
        <v>14326</v>
      </c>
      <c r="D1724" s="5" t="str">
        <f ca="1">IFERROR(__xludf.DUMMYFUNCTION("GOOGLETRANSLATE(B1724,""ja"",""vi"")"),"giỏ trước")</f>
        <v>giỏ trước</v>
      </c>
      <c r="E1724" s="5" t="str">
        <f ca="1">IFERROR(__xludf.DUMMYFUNCTION("GOOGLETRANSLATE(C1724,""ja"",""vi"")"),"Đấu giá&gt; ô tô, xe máy&gt; xe máy&gt; Phụ kiện&gt; giỏ Mặt trận")</f>
        <v>Đấu giá&gt; ô tô, xe máy&gt; xe máy&gt; Phụ kiện&gt; giỏ Mặt trận</v>
      </c>
      <c r="F1724" t="str">
        <f t="shared" ca="1" si="26"/>
        <v>"2084235378" : "giỏ trước",</v>
      </c>
    </row>
    <row r="1725" spans="1:6" ht="15.75" customHeight="1">
      <c r="A1725" s="18">
        <v>2084235868</v>
      </c>
      <c r="B1725" s="18" t="s">
        <v>14332</v>
      </c>
      <c r="C1725" s="18" t="s">
        <v>14334</v>
      </c>
      <c r="D1725" s="5" t="str">
        <f ca="1">IFERROR(__xludf.DUMMYFUNCTION("GOOGLETRANSLATE(B1725,""ja"",""vi"")"),"Touring lưới, dây thừng")</f>
        <v>Touring lưới, dây thừng</v>
      </c>
      <c r="E1725" s="5" t="str">
        <f ca="1">IFERROR(__xludf.DUMMYFUNCTION("GOOGLETRANSLATE(C1725,""ja"",""vi"")"),"Đấu giá&gt; ô tô, xe máy&gt; xe máy&gt; Phụ kiện&gt; Touring Net, dây thừng")</f>
        <v>Đấu giá&gt; ô tô, xe máy&gt; xe máy&gt; Phụ kiện&gt; Touring Net, dây thừng</v>
      </c>
      <c r="F1725" t="str">
        <f t="shared" ca="1" si="26"/>
        <v>"2084235868" : "Touring lưới, dây thừng",</v>
      </c>
    </row>
    <row r="1726" spans="1:6" ht="15.75" customHeight="1">
      <c r="A1726" s="18">
        <v>2084208690</v>
      </c>
      <c r="B1726" s="18" t="s">
        <v>10698</v>
      </c>
      <c r="C1726" s="18" t="s">
        <v>14337</v>
      </c>
      <c r="D1726" s="5" t="str">
        <f ca="1">IFERROR(__xludf.DUMMYFUNCTION("GOOGLETRANSLATE(B1726,""ja"",""vi"")"),"Lều cho chuyến lưu diễn")</f>
        <v>Lều cho chuyến lưu diễn</v>
      </c>
      <c r="E1726" s="5" t="str">
        <f ca="1">IFERROR(__xludf.DUMMYFUNCTION("GOOGLETRANSLATE(C1726,""ja"",""vi"")"),"Đấu giá&gt; ô tô, xe máy&gt; xe máy&gt; Phụ kiện&gt; lều cho chuyến lưu diễn")</f>
        <v>Đấu giá&gt; ô tô, xe máy&gt; xe máy&gt; Phụ kiện&gt; lều cho chuyến lưu diễn</v>
      </c>
      <c r="F1726" t="str">
        <f t="shared" ca="1" si="26"/>
        <v>"2084208690" : "Lều cho chuyến lưu diễn",</v>
      </c>
    </row>
    <row r="1727" spans="1:6" ht="15.75" customHeight="1">
      <c r="A1727" s="18">
        <v>2084012429</v>
      </c>
      <c r="B1727" s="18" t="s">
        <v>14340</v>
      </c>
      <c r="C1727" s="18" t="s">
        <v>14341</v>
      </c>
      <c r="D1727" s="5" t="str">
        <f ca="1">IFERROR(__xludf.DUMMYFUNCTION("GOOGLETRANSLATE(B1727,""ja"",""vi"")"),"Sticker, decal")</f>
        <v>Sticker, decal</v>
      </c>
      <c r="E1727" s="5" t="str">
        <f ca="1">IFERROR(__xludf.DUMMYFUNCTION("GOOGLETRANSLATE(C1727,""ja"",""vi"")"),"Đấu giá&gt; ô tô, xe máy&gt; xe máy&gt; Phụ kiện&gt; dán, decal")</f>
        <v>Đấu giá&gt; ô tô, xe máy&gt; xe máy&gt; Phụ kiện&gt; dán, decal</v>
      </c>
      <c r="F1727" t="str">
        <f t="shared" ca="1" si="26"/>
        <v>"2084012429" : "Sticker, decal",</v>
      </c>
    </row>
    <row r="1728" spans="1:6" ht="15.75" customHeight="1">
      <c r="A1728" s="18">
        <v>2084255908</v>
      </c>
      <c r="B1728" s="18" t="s">
        <v>5027</v>
      </c>
      <c r="C1728" s="18" t="s">
        <v>14346</v>
      </c>
      <c r="D1728" s="5" t="str">
        <f ca="1">IFERROR(__xludf.DUMMYFUNCTION("GOOGLETRANSLATE(B1728,""ja"",""vi"")"),"âm thanh")</f>
        <v>âm thanh</v>
      </c>
      <c r="E1728" s="5" t="str">
        <f ca="1">IFERROR(__xludf.DUMMYFUNCTION("GOOGLETRANSLATE(C1728,""ja"",""vi"")"),"Đấu giá&gt; ô tô, xe máy&gt; xe máy&gt; Phụ kiện&gt; Audio")</f>
        <v>Đấu giá&gt; ô tô, xe máy&gt; xe máy&gt; Phụ kiện&gt; Audio</v>
      </c>
      <c r="F1728" t="str">
        <f t="shared" ca="1" si="26"/>
        <v>"2084255908" : "âm thanh",</v>
      </c>
    </row>
    <row r="1729" spans="1:6" ht="15.75" customHeight="1">
      <c r="A1729" s="18">
        <v>2084255907</v>
      </c>
      <c r="B1729" s="18" t="s">
        <v>14351</v>
      </c>
      <c r="C1729" s="18" t="s">
        <v>14352</v>
      </c>
      <c r="D1729" s="5" t="str">
        <f ca="1">IFERROR(__xludf.DUMMYFUNCTION("GOOGLETRANSLATE(B1729,""ja"",""vi"")"),"Navi")</f>
        <v>Navi</v>
      </c>
      <c r="E1729" s="5" t="str">
        <f ca="1">IFERROR(__xludf.DUMMYFUNCTION("GOOGLETRANSLATE(C1729,""ja"",""vi"")"),"Đấu giá&gt; ô tô, xe máy&gt; xe máy&gt; Phụ kiện&gt; Navigation")</f>
        <v>Đấu giá&gt; ô tô, xe máy&gt; xe máy&gt; Phụ kiện&gt; Navigation</v>
      </c>
      <c r="F1729" t="str">
        <f t="shared" ca="1" si="26"/>
        <v>"2084255907" : "Navi",</v>
      </c>
    </row>
    <row r="1730" spans="1:6" ht="15.75" customHeight="1">
      <c r="A1730" s="18">
        <v>2084012445</v>
      </c>
      <c r="B1730" s="18" t="s">
        <v>10590</v>
      </c>
      <c r="C1730" s="18" t="s">
        <v>14356</v>
      </c>
      <c r="D1730" s="5" t="str">
        <f ca="1">IFERROR(__xludf.DUMMYFUNCTION("GOOGLETRANSLATE(B1730,""ja"",""vi"")"),"Chìa khóa, khóa")</f>
        <v>Chìa khóa, khóa</v>
      </c>
      <c r="E1730" s="5" t="str">
        <f ca="1">IFERROR(__xludf.DUMMYFUNCTION("GOOGLETRANSLATE(C1730,""ja"",""vi"")"),"Đấu giá&gt; ô tô, xe máy&gt; xe máy&gt; Phụ kiện&gt; then chốt, khóa")</f>
        <v>Đấu giá&gt; ô tô, xe máy&gt; xe máy&gt; Phụ kiện&gt; then chốt, khóa</v>
      </c>
      <c r="F1730" t="str">
        <f t="shared" ref="F1730:F1793" ca="1" si="27">CONCATENATE(CHAR(34)&amp;"",A1730,""&amp;CHAR(34)," : ", CHAR(34)&amp;"",D1730,""&amp;CHAR(34),",")</f>
        <v>"2084012445" : "Chìa khóa, khóa",</v>
      </c>
    </row>
    <row r="1731" spans="1:6" ht="15.75" customHeight="1">
      <c r="A1731" s="18">
        <v>2084012442</v>
      </c>
      <c r="B1731" s="18" t="s">
        <v>14237</v>
      </c>
      <c r="C1731" s="18" t="s">
        <v>14359</v>
      </c>
      <c r="D1731" s="5" t="str">
        <f ca="1">IFERROR(__xludf.DUMMYFUNCTION("GOOGLETRANSLATE(B1731,""ja"",""vi"")"),"báo động")</f>
        <v>báo động</v>
      </c>
      <c r="E1731" s="5" t="str">
        <f ca="1">IFERROR(__xludf.DUMMYFUNCTION("GOOGLETRANSLATE(C1731,""ja"",""vi"")"),"Đấu giá&gt; ô tô, xe máy&gt; xe máy&gt; Phụ kiện&gt; báo động")</f>
        <v>Đấu giá&gt; ô tô, xe máy&gt; xe máy&gt; Phụ kiện&gt; báo động</v>
      </c>
      <c r="F1731" t="str">
        <f t="shared" ca="1" si="27"/>
        <v>"2084012442" : "báo động",</v>
      </c>
    </row>
    <row r="1732" spans="1:6" ht="15.75" customHeight="1">
      <c r="A1732" s="18">
        <v>2084019981</v>
      </c>
      <c r="B1732" s="18" t="s">
        <v>7699</v>
      </c>
      <c r="C1732" s="18" t="s">
        <v>14363</v>
      </c>
      <c r="D1732" s="5" t="str">
        <f ca="1">IFERROR(__xludf.DUMMYFUNCTION("GOOGLETRANSLATE(B1732,""ja"",""vi"")"),"key Chains")</f>
        <v>key Chains</v>
      </c>
      <c r="E1732" s="5" t="str">
        <f ca="1">IFERROR(__xludf.DUMMYFUNCTION("GOOGLETRANSLATE(C1732,""ja"",""vi"")"),"Đấu giá&gt; ô tô, xe máy&gt; xe máy&gt; Phụ kiện&gt; Keychain")</f>
        <v>Đấu giá&gt; ô tô, xe máy&gt; xe máy&gt; Phụ kiện&gt; Keychain</v>
      </c>
      <c r="F1732" t="str">
        <f t="shared" ca="1" si="27"/>
        <v>"2084019981" : "key Chains",</v>
      </c>
    </row>
    <row r="1733" spans="1:6" ht="15.75" customHeight="1">
      <c r="A1733" s="18">
        <v>2084012432</v>
      </c>
      <c r="B1733" s="18" t="s">
        <v>8345</v>
      </c>
      <c r="C1733" s="18" t="s">
        <v>14368</v>
      </c>
      <c r="D1733" s="5" t="str">
        <f ca="1">IFERROR(__xludf.DUMMYFUNCTION("GOOGLETRANSLATE(B1733,""ja"",""vi"")"),"găng tay")</f>
        <v>găng tay</v>
      </c>
      <c r="E1733" s="5" t="str">
        <f ca="1">IFERROR(__xludf.DUMMYFUNCTION("GOOGLETRANSLATE(C1733,""ja"",""vi"")"),"Đấu giá&gt; ô tô, xe máy&gt; xe máy&gt; Phụ kiện&gt; Găng tay")</f>
        <v>Đấu giá&gt; ô tô, xe máy&gt; xe máy&gt; Phụ kiện&gt; Găng tay</v>
      </c>
      <c r="F1733" t="str">
        <f t="shared" ca="1" si="27"/>
        <v>"2084012432" : "găng tay",</v>
      </c>
    </row>
    <row r="1734" spans="1:6" ht="15.75" customHeight="1">
      <c r="A1734" s="18">
        <v>2084012433</v>
      </c>
      <c r="B1734" s="18" t="s">
        <v>14284</v>
      </c>
      <c r="C1734" s="18" t="s">
        <v>14370</v>
      </c>
      <c r="D1734" s="5" t="str">
        <f ca="1">IFERROR(__xludf.DUMMYFUNCTION("GOOGLETRANSLATE(B1734,""ja"",""vi"")"),"Goggles")</f>
        <v>Goggles</v>
      </c>
      <c r="E1734" s="5" t="str">
        <f ca="1">IFERROR(__xludf.DUMMYFUNCTION("GOOGLETRANSLATE(C1734,""ja"",""vi"")"),"Đấu giá&gt; ô tô, xe máy&gt; xe máy&gt; Phụ kiện&gt; Goggles")</f>
        <v>Đấu giá&gt; ô tô, xe máy&gt; xe máy&gt; Phụ kiện&gt; Goggles</v>
      </c>
      <c r="F1734" t="str">
        <f t="shared" ca="1" si="27"/>
        <v>"2084012433" : "Goggles",</v>
      </c>
    </row>
    <row r="1735" spans="1:6" ht="15.75" customHeight="1">
      <c r="A1735" s="18">
        <v>2084235242</v>
      </c>
      <c r="B1735" s="18" t="s">
        <v>14372</v>
      </c>
      <c r="C1735" s="18" t="s">
        <v>14373</v>
      </c>
      <c r="D1735" s="5" t="str">
        <f ca="1">IFERROR(__xludf.DUMMYFUNCTION("GOOGLETRANSLATE(B1735,""ja"",""vi"")"),"Công cụ Bag")</f>
        <v>Công cụ Bag</v>
      </c>
      <c r="E1735" s="5" t="str">
        <f ca="1">IFERROR(__xludf.DUMMYFUNCTION("GOOGLETRANSLATE(C1735,""ja"",""vi"")"),"Đấu giá&gt; ô tô, xe máy&gt; xe máy&gt; Phụ kiện&gt; túi công cụ")</f>
        <v>Đấu giá&gt; ô tô, xe máy&gt; xe máy&gt; Phụ kiện&gt; túi công cụ</v>
      </c>
      <c r="F1735" t="str">
        <f t="shared" ca="1" si="27"/>
        <v>"2084235242" : "Công cụ Bag",</v>
      </c>
    </row>
    <row r="1736" spans="1:6" ht="15.75" customHeight="1">
      <c r="A1736" s="18">
        <v>2084012435</v>
      </c>
      <c r="B1736" s="18" t="s">
        <v>8599</v>
      </c>
      <c r="C1736" s="18" t="s">
        <v>14375</v>
      </c>
      <c r="D1736" s="5" t="str">
        <f ca="1">IFERROR(__xludf.DUMMYFUNCTION("GOOGLETRANSLATE(B1736,""ja"",""vi"")"),"túi")</f>
        <v>túi</v>
      </c>
      <c r="E1736" s="5" t="str">
        <f ca="1">IFERROR(__xludf.DUMMYFUNCTION("GOOGLETRANSLATE(C1736,""ja"",""vi"")"),"Đấu giá&gt; ô tô, xe máy&gt; xe máy&gt; Phụ kiện&gt; Túi xách")</f>
        <v>Đấu giá&gt; ô tô, xe máy&gt; xe máy&gt; Phụ kiện&gt; Túi xách</v>
      </c>
      <c r="F1736" t="str">
        <f t="shared" ca="1" si="27"/>
        <v>"2084012435" : "túi",</v>
      </c>
    </row>
    <row r="1737" spans="1:6" ht="15.75" customHeight="1">
      <c r="A1737" s="18">
        <v>2084012443</v>
      </c>
      <c r="B1737" s="18" t="s">
        <v>8353</v>
      </c>
      <c r="C1737" s="18" t="s">
        <v>14377</v>
      </c>
      <c r="D1737" s="5" t="str">
        <f ca="1">IFERROR(__xludf.DUMMYFUNCTION("GOOGLETRANSLATE(B1737,""ja"",""vi"")"),"người bảo vệ")</f>
        <v>người bảo vệ</v>
      </c>
      <c r="E1737" s="5" t="str">
        <f ca="1">IFERROR(__xludf.DUMMYFUNCTION("GOOGLETRANSLATE(C1737,""ja"",""vi"")"),"Đấu giá&gt; ô tô, xe máy&gt; xe máy&gt; Phụ kiện&gt; Protector")</f>
        <v>Đấu giá&gt; ô tô, xe máy&gt; xe máy&gt; Phụ kiện&gt; Protector</v>
      </c>
      <c r="F1737" t="str">
        <f t="shared" ca="1" si="27"/>
        <v>"2084012443" : "người bảo vệ",</v>
      </c>
    </row>
    <row r="1738" spans="1:6" ht="15.75" customHeight="1">
      <c r="A1738" s="18">
        <v>2084012438</v>
      </c>
      <c r="B1738" s="18" t="s">
        <v>14278</v>
      </c>
      <c r="C1738" s="18" t="s">
        <v>14381</v>
      </c>
      <c r="D1738" s="5" t="str">
        <f ca="1">IFERROR(__xludf.DUMMYFUNCTION("GOOGLETRANSLATE(B1738,""ja"",""vi"")"),"Quần áo đi mưa")</f>
        <v>Quần áo đi mưa</v>
      </c>
      <c r="E1738" s="5" t="str">
        <f ca="1">IFERROR(__xludf.DUMMYFUNCTION("GOOGLETRANSLATE(C1738,""ja"",""vi"")"),"Đấu giá&gt; ô tô, xe máy&gt; xe máy&gt; Phụ kiện&gt; áo mưa")</f>
        <v>Đấu giá&gt; ô tô, xe máy&gt; xe máy&gt; Phụ kiện&gt; áo mưa</v>
      </c>
      <c r="F1738" t="str">
        <f t="shared" ca="1" si="27"/>
        <v>"2084012438" : "Quần áo đi mưa",</v>
      </c>
    </row>
    <row r="1739" spans="1:6" ht="15.75" customHeight="1">
      <c r="A1739" s="18">
        <v>2084243153</v>
      </c>
      <c r="B1739" s="18" t="s">
        <v>14290</v>
      </c>
      <c r="C1739" s="18" t="s">
        <v>14385</v>
      </c>
      <c r="D1739" s="5" t="str">
        <f ca="1">IFERROR(__xludf.DUMMYFUNCTION("GOOGLETRANSLATE(B1739,""ja"",""vi"")"),"Túi xách, ví")</f>
        <v>Túi xách, ví</v>
      </c>
      <c r="E1739" s="5" t="str">
        <f ca="1">IFERROR(__xludf.DUMMYFUNCTION("GOOGLETRANSLATE(C1739,""ja"",""vi"")"),"Đấu giá&gt; ô tô, xe máy&gt; xe máy&gt; Phụ kiện&gt; túi xách, ví")</f>
        <v>Đấu giá&gt; ô tô, xe máy&gt; xe máy&gt; Phụ kiện&gt; túi xách, ví</v>
      </c>
      <c r="F1739" t="str">
        <f t="shared" ca="1" si="27"/>
        <v>"2084243153" : "Túi xách, ví",</v>
      </c>
    </row>
    <row r="1740" spans="1:6" ht="15.75" customHeight="1">
      <c r="A1740" s="18">
        <v>2084012430</v>
      </c>
      <c r="B1740" s="18" t="s">
        <v>46</v>
      </c>
      <c r="C1740" s="18" t="s">
        <v>14387</v>
      </c>
      <c r="D1740" s="5" t="str">
        <f ca="1">IFERROR(__xludf.DUMMYFUNCTION("GOOGLETRANSLATE(B1740,""ja"",""vi"")"),"nếu không thì")</f>
        <v>nếu không thì</v>
      </c>
      <c r="E1740" s="5" t="str">
        <f ca="1">IFERROR(__xludf.DUMMYFUNCTION("GOOGLETRANSLATE(C1740,""ja"",""vi"")"),"Đấu giá&gt; ô tô, xe máy&gt; xe máy&gt; Phụ kiện&gt; Khác")</f>
        <v>Đấu giá&gt; ô tô, xe máy&gt; xe máy&gt; Phụ kiện&gt; Khác</v>
      </c>
      <c r="F1740" t="str">
        <f t="shared" ca="1" si="27"/>
        <v>"2084012430" : "nếu không thì",</v>
      </c>
    </row>
    <row r="1741" spans="1:6" ht="15.75" customHeight="1">
      <c r="A1741" s="18">
        <v>2084241184</v>
      </c>
      <c r="B1741" s="18" t="s">
        <v>16547</v>
      </c>
      <c r="C1741" s="18" t="s">
        <v>16548</v>
      </c>
      <c r="D1741" s="5" t="str">
        <f ca="1">IFERROR(__xludf.DUMMYFUNCTION("GOOGLETRANSLATE(B1741,""ja"",""vi"")"),"màn")</f>
        <v>màn</v>
      </c>
      <c r="E1741" s="5" t="str">
        <f ca="1">IFERROR(__xludf.DUMMYFUNCTION("GOOGLETRANSLATE(C1741,""ja"",""vi"")"),"Đấu giá&gt; ô tô, xe máy&gt; xe tải, bãi, máy móc xây dựng&gt; Accessories&gt; rèm")</f>
        <v>Đấu giá&gt; ô tô, xe máy&gt; xe tải, bãi, máy móc xây dựng&gt; Accessories&gt; rèm</v>
      </c>
      <c r="F1741" t="str">
        <f t="shared" ca="1" si="27"/>
        <v>"2084241184" : "màn",</v>
      </c>
    </row>
    <row r="1742" spans="1:6" ht="15.75" customHeight="1">
      <c r="A1742" s="18">
        <v>2084290714</v>
      </c>
      <c r="B1742" s="18" t="s">
        <v>16553</v>
      </c>
      <c r="C1742" s="18" t="s">
        <v>16554</v>
      </c>
      <c r="D1742" s="5" t="str">
        <f ca="1">IFERROR(__xludf.DUMMYFUNCTION("GOOGLETRANSLATE(B1742,""ja"",""vi"")"),"Chuyển đổi (chỉ 24V)")</f>
        <v>Chuyển đổi (chỉ 24V)</v>
      </c>
      <c r="E1742" s="5" t="str">
        <f ca="1">IFERROR(__xludf.DUMMYFUNCTION("GOOGLETRANSLATE(C1742,""ja"",""vi"")"),"Đấu giá&gt; ô tô, xe máy&gt; xe tải, bãi, máy móc xây dựng&gt; Accessories&gt; Converters (24V chỉ)")</f>
        <v>Đấu giá&gt; ô tô, xe máy&gt; xe tải, bãi, máy móc xây dựng&gt; Accessories&gt; Converters (24V chỉ)</v>
      </c>
      <c r="F1742" t="str">
        <f t="shared" ca="1" si="27"/>
        <v>"2084290714" : "Chuyển đổi (chỉ 24V)",</v>
      </c>
    </row>
    <row r="1743" spans="1:6" ht="15.75" customHeight="1">
      <c r="A1743" s="18">
        <v>2084290717</v>
      </c>
      <c r="B1743" s="18" t="s">
        <v>15115</v>
      </c>
      <c r="C1743" s="18" t="s">
        <v>16556</v>
      </c>
      <c r="D1743" s="5" t="str">
        <f ca="1">IFERROR(__xludf.DUMMYFUNCTION("GOOGLETRANSLATE(B1743,""ja"",""vi"")"),"vỏ bọc ghế ngồi")</f>
        <v>vỏ bọc ghế ngồi</v>
      </c>
      <c r="E1743" s="5" t="str">
        <f ca="1">IFERROR(__xludf.DUMMYFUNCTION("GOOGLETRANSLATE(C1743,""ja"",""vi"")"),"Đấu giá&gt; ô tô, xe máy&gt; xe tải, bãi, máy móc xây dựng&gt; Accessories&gt; vỏ bọc ghế ngồi")</f>
        <v>Đấu giá&gt; ô tô, xe máy&gt; xe tải, bãi, máy móc xây dựng&gt; Accessories&gt; vỏ bọc ghế ngồi</v>
      </c>
      <c r="F1743" t="str">
        <f t="shared" ca="1" si="27"/>
        <v>"2084290717" : "vỏ bọc ghế ngồi",</v>
      </c>
    </row>
    <row r="1744" spans="1:6" ht="15.75" customHeight="1">
      <c r="A1744" s="18">
        <v>2084241185</v>
      </c>
      <c r="B1744" s="18" t="s">
        <v>16561</v>
      </c>
      <c r="C1744" s="18" t="s">
        <v>16563</v>
      </c>
      <c r="D1744" s="5" t="str">
        <f ca="1">IFERROR(__xludf.DUMMYFUNCTION("GOOGLETRANSLATE(B1744,""ja"",""vi"")"),"thay đổi núm")</f>
        <v>thay đổi núm</v>
      </c>
      <c r="E1744" s="5" t="str">
        <f ca="1">IFERROR(__xludf.DUMMYFUNCTION("GOOGLETRANSLATE(C1744,""ja"",""vi"")"),"Đấu giá&gt; ô tô, xe máy&gt; xe tải, bãi, máy móc xây dựng&gt; Accessories&gt; thay đổi núm")</f>
        <v>Đấu giá&gt; ô tô, xe máy&gt; xe tải, bãi, máy móc xây dựng&gt; Accessories&gt; thay đổi núm</v>
      </c>
      <c r="F1744" t="str">
        <f t="shared" ca="1" si="27"/>
        <v>"2084241185" : "thay đổi núm",</v>
      </c>
    </row>
    <row r="1745" spans="1:6" ht="15.75" customHeight="1">
      <c r="A1745" s="18">
        <v>2084291447</v>
      </c>
      <c r="B1745" s="18" t="s">
        <v>14340</v>
      </c>
      <c r="C1745" s="18" t="s">
        <v>16568</v>
      </c>
      <c r="D1745" s="5" t="str">
        <f ca="1">IFERROR(__xludf.DUMMYFUNCTION("GOOGLETRANSLATE(B1745,""ja"",""vi"")"),"Sticker, decal")</f>
        <v>Sticker, decal</v>
      </c>
      <c r="E1745" s="5" t="str">
        <f ca="1">IFERROR(__xludf.DUMMYFUNCTION("GOOGLETRANSLATE(C1745,""ja"",""vi"")"),"Đấu giá&gt; ô tô, xe máy&gt; xe tải, bãi, máy móc xây dựng&gt; Accessories&gt; dán, decal")</f>
        <v>Đấu giá&gt; ô tô, xe máy&gt; xe tải, bãi, máy móc xây dựng&gt; Accessories&gt; dán, decal</v>
      </c>
      <c r="F1745" t="str">
        <f t="shared" ca="1" si="27"/>
        <v>"2084291447" : "Sticker, decal",</v>
      </c>
    </row>
    <row r="1746" spans="1:6" ht="15.75" customHeight="1">
      <c r="A1746" s="18">
        <v>2084290715</v>
      </c>
      <c r="B1746" s="18" t="s">
        <v>16570</v>
      </c>
      <c r="C1746" s="18" t="s">
        <v>16571</v>
      </c>
      <c r="D1746" s="5" t="str">
        <f ca="1">IFERROR(__xludf.DUMMYFUNCTION("GOOGLETRANSLATE(B1746,""ja"",""vi"")"),"bìa Xử lý")</f>
        <v>bìa Xử lý</v>
      </c>
      <c r="E1746" s="5" t="str">
        <f ca="1">IFERROR(__xludf.DUMMYFUNCTION("GOOGLETRANSLATE(C1746,""ja"",""vi"")"),"Đấu giá&gt; ô tô, xe máy&gt; xe tải, bãi, máy móc xây dựng&gt; Accessories&gt; xử lý bao gồm")</f>
        <v>Đấu giá&gt; ô tô, xe máy&gt; xe tải, bãi, máy móc xây dựng&gt; Accessories&gt; xử lý bao gồm</v>
      </c>
      <c r="F1746" t="str">
        <f t="shared" ca="1" si="27"/>
        <v>"2084290715" : "bìa Xử lý",</v>
      </c>
    </row>
    <row r="1747" spans="1:6" ht="15.75" customHeight="1">
      <c r="A1747" s="18">
        <v>2084290716</v>
      </c>
      <c r="B1747" s="18" t="s">
        <v>16573</v>
      </c>
      <c r="C1747" s="18" t="s">
        <v>16574</v>
      </c>
      <c r="D1747" s="5" t="str">
        <f ca="1">IFERROR(__xludf.DUMMYFUNCTION("GOOGLETRANSLATE(B1747,""ja"",""vi"")"),"thảm sàn")</f>
        <v>thảm sàn</v>
      </c>
      <c r="E1747" s="5" t="str">
        <f ca="1">IFERROR(__xludf.DUMMYFUNCTION("GOOGLETRANSLATE(C1747,""ja"",""vi"")"),"Đấu giá&gt; ô tô, xe máy&gt; xe tải, bãi, máy móc xây dựng&gt; Accessories&gt; thảm sàn")</f>
        <v>Đấu giá&gt; ô tô, xe máy&gt; xe tải, bãi, máy móc xây dựng&gt; Accessories&gt; thảm sàn</v>
      </c>
      <c r="F1747" t="str">
        <f t="shared" ca="1" si="27"/>
        <v>"2084290716" : "thảm sàn",</v>
      </c>
    </row>
    <row r="1748" spans="1:6" ht="15.75" customHeight="1">
      <c r="A1748" s="18">
        <v>2084241186</v>
      </c>
      <c r="B1748" s="18" t="s">
        <v>15459</v>
      </c>
      <c r="C1748" s="18" t="s">
        <v>16576</v>
      </c>
      <c r="D1748" s="5" t="str">
        <f ca="1">IFERROR(__xludf.DUMMYFUNCTION("GOOGLETRANSLATE(B1748,""ja"",""vi"")"),"Horn (chỉ 24V)")</f>
        <v>Horn (chỉ 24V)</v>
      </c>
      <c r="E1748" s="5" t="str">
        <f ca="1">IFERROR(__xludf.DUMMYFUNCTION("GOOGLETRANSLATE(C1748,""ja"",""vi"")"),"Đấu giá&gt; ô tô, xe máy&gt; xe tải, bãi, máy móc xây dựng&gt; Accessories&gt; sừng (24V chỉ)")</f>
        <v>Đấu giá&gt; ô tô, xe máy&gt; xe tải, bãi, máy móc xây dựng&gt; Accessories&gt; sừng (24V chỉ)</v>
      </c>
      <c r="F1748" t="str">
        <f t="shared" ca="1" si="27"/>
        <v>"2084241186" : "Horn (chỉ 24V)",</v>
      </c>
    </row>
    <row r="1749" spans="1:6" ht="15.75" customHeight="1">
      <c r="A1749" s="18">
        <v>2084290718</v>
      </c>
      <c r="B1749" s="18" t="s">
        <v>16578</v>
      </c>
      <c r="C1749" s="18" t="s">
        <v>16579</v>
      </c>
      <c r="D1749" s="5" t="str">
        <f ca="1">IFERROR(__xludf.DUMMYFUNCTION("GOOGLETRANSLATE(B1749,""ja"",""vi"")"),"Bộ đồ giường")</f>
        <v>Bộ đồ giường</v>
      </c>
      <c r="E1749" s="5" t="str">
        <f ca="1">IFERROR(__xludf.DUMMYFUNCTION("GOOGLETRANSLATE(C1749,""ja"",""vi"")"),"Đấu giá&gt; ô tô, xe máy&gt; xe tải, bãi, máy móc xây dựng&gt; Accessories&gt; Bộ đồ giường")</f>
        <v>Đấu giá&gt; ô tô, xe máy&gt; xe tải, bãi, máy móc xây dựng&gt; Accessories&gt; Bộ đồ giường</v>
      </c>
      <c r="F1749" t="str">
        <f t="shared" ca="1" si="27"/>
        <v>"2084290718" : "Bộ đồ giường",</v>
      </c>
    </row>
    <row r="1750" spans="1:6" ht="15.75" customHeight="1">
      <c r="A1750" s="18">
        <v>2084241187</v>
      </c>
      <c r="B1750" s="18" t="s">
        <v>46</v>
      </c>
      <c r="C1750" s="18" t="s">
        <v>16581</v>
      </c>
      <c r="D1750" s="5" t="str">
        <f ca="1">IFERROR(__xludf.DUMMYFUNCTION("GOOGLETRANSLATE(B1750,""ja"",""vi"")"),"nếu không thì")</f>
        <v>nếu không thì</v>
      </c>
      <c r="E1750" s="5" t="str">
        <f ca="1">IFERROR(__xludf.DUMMYFUNCTION("GOOGLETRANSLATE(C1750,""ja"",""vi"")"),"Đấu giá&gt; ô tô, xe máy&gt; xe tải, bãi, máy móc xây dựng&gt; Accessories&gt; Khác")</f>
        <v>Đấu giá&gt; ô tô, xe máy&gt; xe tải, bãi, máy móc xây dựng&gt; Accessories&gt; Khác</v>
      </c>
      <c r="F1750" t="str">
        <f t="shared" ca="1" si="27"/>
        <v>"2084241187" : "nếu không thì",</v>
      </c>
    </row>
    <row r="1751" spans="1:6" ht="15.75" customHeight="1">
      <c r="A1751" s="18">
        <v>2084290688</v>
      </c>
      <c r="B1751" s="18" t="s">
        <v>16015</v>
      </c>
      <c r="C1751" s="18" t="s">
        <v>16016</v>
      </c>
      <c r="D1751" s="5" t="str">
        <f ca="1">IFERROR(__xludf.DUMMYFUNCTION("GOOGLETRANSLATE(B1751,""ja"",""vi"")"),"ăng-ten GPS")</f>
        <v>ăng-ten GPS</v>
      </c>
      <c r="E1751" s="5" t="str">
        <f ca="1">IFERROR(__xludf.DUMMYFUNCTION("GOOGLETRANSLATE(C1751,""ja"",""vi"")"),"Đấu giá&gt; ô tô, xe máy&gt; hệ thống định vị xe&gt; ăng ten&gt; GPS ăng ten")</f>
        <v>Đấu giá&gt; ô tô, xe máy&gt; hệ thống định vị xe&gt; ăng ten&gt; GPS ăng ten</v>
      </c>
      <c r="F1751" t="str">
        <f t="shared" ca="1" si="27"/>
        <v>"2084290688" : "ăng-ten GPS",</v>
      </c>
    </row>
    <row r="1752" spans="1:6" ht="15.75" customHeight="1">
      <c r="A1752" s="18">
        <v>2084290694</v>
      </c>
      <c r="B1752" s="18" t="s">
        <v>16019</v>
      </c>
      <c r="C1752" s="18" t="s">
        <v>16021</v>
      </c>
      <c r="D1752" s="5" t="str">
        <f ca="1">IFERROR(__xludf.DUMMYFUNCTION("GOOGLETRANSLATE(B1752,""ja"",""vi"")"),"VICS ăng ten")</f>
        <v>VICS ăng ten</v>
      </c>
      <c r="E1752" s="5" t="str">
        <f ca="1">IFERROR(__xludf.DUMMYFUNCTION("GOOGLETRANSLATE(C1752,""ja"",""vi"")"),"Đấu giá&gt; ô tô, xe máy&gt; hệ thống định vị xe&gt; ăng ten&gt; VICS ăng ten")</f>
        <v>Đấu giá&gt; ô tô, xe máy&gt; hệ thống định vị xe&gt; ăng ten&gt; VICS ăng ten</v>
      </c>
      <c r="F1752" t="str">
        <f t="shared" ca="1" si="27"/>
        <v>"2084290694" : "VICS ăng ten",</v>
      </c>
    </row>
    <row r="1753" spans="1:6" ht="15.75" customHeight="1">
      <c r="A1753" s="18">
        <v>2084230817</v>
      </c>
      <c r="B1753" s="18" t="s">
        <v>16024</v>
      </c>
      <c r="C1753" s="18" t="s">
        <v>16025</v>
      </c>
      <c r="D1753" s="5" t="str">
        <f ca="1">IFERROR(__xludf.DUMMYFUNCTION("GOOGLETRANSLATE(B1753,""ja"",""vi"")"),"Antenna tăng cường")</f>
        <v>Antenna tăng cường</v>
      </c>
      <c r="E1753" s="5" t="str">
        <f ca="1">IFERROR(__xludf.DUMMYFUNCTION("GOOGLETRANSLATE(C1753,""ja"",""vi"")"),"Đấu giá&gt; ô tô, xe máy&gt; hệ thống định vị xe&gt; ăng ten&gt; ăng-ten tăng cường")</f>
        <v>Đấu giá&gt; ô tô, xe máy&gt; hệ thống định vị xe&gt; ăng ten&gt; ăng-ten tăng cường</v>
      </c>
      <c r="F1753" t="str">
        <f t="shared" ca="1" si="27"/>
        <v>"2084230817" : "Antenna tăng cường",</v>
      </c>
    </row>
    <row r="1754" spans="1:6" ht="15.75" customHeight="1">
      <c r="A1754" s="18">
        <v>2084204092</v>
      </c>
      <c r="B1754" s="18" t="s">
        <v>16028</v>
      </c>
      <c r="C1754" s="18" t="s">
        <v>16031</v>
      </c>
      <c r="D1754" s="5" t="str">
        <f ca="1">IFERROR(__xludf.DUMMYFUNCTION("GOOGLETRANSLATE(B1754,""ja"",""vi"")"),"ăng ten đa dạng")</f>
        <v>ăng ten đa dạng</v>
      </c>
      <c r="E1754" s="5" t="str">
        <f ca="1">IFERROR(__xludf.DUMMYFUNCTION("GOOGLETRANSLATE(C1754,""ja"",""vi"")"),"Đấu giá&gt; ô tô, xe máy&gt; hệ thống định vị xe&gt; ăng ten&gt; đa dạng ăng ten")</f>
        <v>Đấu giá&gt; ô tô, xe máy&gt; hệ thống định vị xe&gt; ăng ten&gt; đa dạng ăng ten</v>
      </c>
      <c r="F1754" t="str">
        <f t="shared" ca="1" si="27"/>
        <v>"2084204092" : "ăng ten đa dạng",</v>
      </c>
    </row>
    <row r="1755" spans="1:6" ht="15.75" customHeight="1">
      <c r="A1755" s="18">
        <v>2084204091</v>
      </c>
      <c r="B1755" s="18" t="s">
        <v>16033</v>
      </c>
      <c r="C1755" s="18" t="s">
        <v>16035</v>
      </c>
      <c r="D1755" s="5" t="str">
        <f ca="1">IFERROR(__xludf.DUMMYFUNCTION("GOOGLETRANSLATE(B1755,""ja"",""vi"")"),"ăng ten phim")</f>
        <v>ăng ten phim</v>
      </c>
      <c r="E1755" s="5" t="str">
        <f ca="1">IFERROR(__xludf.DUMMYFUNCTION("GOOGLETRANSLATE(C1755,""ja"",""vi"")"),"Đấu giá&gt; ô tô, xe máy&gt; hệ thống định vị xe&gt; ăng ten&gt; phim ăng ten")</f>
        <v>Đấu giá&gt; ô tô, xe máy&gt; hệ thống định vị xe&gt; ăng ten&gt; phim ăng ten</v>
      </c>
      <c r="F1755" t="str">
        <f t="shared" ca="1" si="27"/>
        <v>"2084204091" : "ăng ten phim",</v>
      </c>
    </row>
    <row r="1756" spans="1:6" ht="15.75" customHeight="1">
      <c r="A1756" s="18">
        <v>2084230818</v>
      </c>
      <c r="B1756" s="18" t="s">
        <v>16039</v>
      </c>
      <c r="C1756" s="18" t="s">
        <v>16040</v>
      </c>
      <c r="D1756" s="5" t="str">
        <f ca="1">IFERROR(__xludf.DUMMYFUNCTION("GOOGLETRANSLATE(B1756,""ja"",""vi"")"),"Đài phát thanh ăng ten")</f>
        <v>Đài phát thanh ăng ten</v>
      </c>
      <c r="E1756" s="5" t="str">
        <f ca="1">IFERROR(__xludf.DUMMYFUNCTION("GOOGLETRANSLATE(C1756,""ja"",""vi"")"),"Đấu giá&gt; ô tô, xe máy&gt; hệ thống định vị xe&gt; ăng ten&gt; đài phát thanh ăng ten")</f>
        <v>Đấu giá&gt; ô tô, xe máy&gt; hệ thống định vị xe&gt; ăng ten&gt; đài phát thanh ăng ten</v>
      </c>
      <c r="F1756" t="str">
        <f t="shared" ca="1" si="27"/>
        <v>"2084230818" : "Đài phát thanh ăng ten",</v>
      </c>
    </row>
    <row r="1757" spans="1:6" ht="15.75" customHeight="1">
      <c r="A1757" s="18">
        <v>2084204093</v>
      </c>
      <c r="B1757" s="18" t="s">
        <v>46</v>
      </c>
      <c r="C1757" s="18" t="s">
        <v>16045</v>
      </c>
      <c r="D1757" s="5" t="str">
        <f ca="1">IFERROR(__xludf.DUMMYFUNCTION("GOOGLETRANSLATE(B1757,""ja"",""vi"")"),"nếu không thì")</f>
        <v>nếu không thì</v>
      </c>
      <c r="E1757" s="5" t="str">
        <f ca="1">IFERROR(__xludf.DUMMYFUNCTION("GOOGLETRANSLATE(C1757,""ja"",""vi"")"),"Đấu giá&gt; ô tô, xe máy&gt; xe chuyển hướng hệ thống&gt; ăng ten&gt; Khác")</f>
        <v>Đấu giá&gt; ô tô, xe máy&gt; xe chuyển hướng hệ thống&gt; ăng ten&gt; Khác</v>
      </c>
      <c r="F1757" t="str">
        <f t="shared" ca="1" si="27"/>
        <v>"2084204093" : "nếu không thì",</v>
      </c>
    </row>
    <row r="1758" spans="1:6" ht="15.75" customHeight="1">
      <c r="A1758" s="18">
        <v>2084210958</v>
      </c>
      <c r="B1758" s="18" t="s">
        <v>16589</v>
      </c>
      <c r="C1758" s="18" t="s">
        <v>16590</v>
      </c>
      <c r="D1758" s="5" t="str">
        <f ca="1">IFERROR(__xludf.DUMMYFUNCTION("GOOGLETRANSLATE(B1758,""ja"",""vi"")"),"Đối với 12V")</f>
        <v>Đối với 12V</v>
      </c>
      <c r="E1758" s="5" t="str">
        <f ca="1">IFERROR(__xludf.DUMMYFUNCTION("GOOGLETRANSLATE(C1758,""ja"",""vi"")"),"Đấu giá&gt; ô tô, xe máy&gt; Phụ kiện&gt; Inverter&gt; cho 12V")</f>
        <v>Đấu giá&gt; ô tô, xe máy&gt; Phụ kiện&gt; Inverter&gt; cho 12V</v>
      </c>
      <c r="F1758" t="str">
        <f t="shared" ca="1" si="27"/>
        <v>"2084210958" : "Đối với 12V",</v>
      </c>
    </row>
    <row r="1759" spans="1:6" ht="15.75" customHeight="1">
      <c r="A1759" s="18">
        <v>2084210959</v>
      </c>
      <c r="B1759" s="18" t="s">
        <v>16592</v>
      </c>
      <c r="C1759" s="18" t="s">
        <v>16593</v>
      </c>
      <c r="D1759" s="5" t="str">
        <f ca="1">IFERROR(__xludf.DUMMYFUNCTION("GOOGLETRANSLATE(B1759,""ja"",""vi"")"),"Đối với 24V")</f>
        <v>Đối với 24V</v>
      </c>
      <c r="E1759" s="5" t="str">
        <f ca="1">IFERROR(__xludf.DUMMYFUNCTION("GOOGLETRANSLATE(C1759,""ja"",""vi"")"),"Đấu giá&gt; ô tô, xe máy&gt; Phụ kiện&gt; Inverter&gt; cho 24V")</f>
        <v>Đấu giá&gt; ô tô, xe máy&gt; Phụ kiện&gt; Inverter&gt; cho 24V</v>
      </c>
      <c r="F1759" t="str">
        <f t="shared" ca="1" si="27"/>
        <v>"2084210959" : "Đối với 24V",</v>
      </c>
    </row>
    <row r="1760" spans="1:6" ht="15.75" customHeight="1">
      <c r="A1760" s="18">
        <v>2084203778</v>
      </c>
      <c r="B1760" s="18" t="s">
        <v>14628</v>
      </c>
      <c r="C1760" s="18" t="s">
        <v>16596</v>
      </c>
      <c r="D1760" s="5" t="str">
        <f ca="1">IFERROR(__xludf.DUMMYFUNCTION("GOOGLETRANSLATE(B1760,""ja"",""vi"")"),"Đối với BMW")</f>
        <v>Đối với BMW</v>
      </c>
      <c r="E1760" s="5" t="str">
        <f ca="1">IFERROR(__xludf.DUMMYFUNCTION("GOOGLETRANSLATE(C1760,""ja"",""vi"")"),"Đấu giá&gt; ô tô, xe máy&gt; phụ tùng&gt; hàng nội thất&gt; phim cửa sổ, xe phim&gt; cho BMW")</f>
        <v>Đấu giá&gt; ô tô, xe máy&gt; phụ tùng&gt; hàng nội thất&gt; phim cửa sổ, xe phim&gt; cho BMW</v>
      </c>
      <c r="F1760" t="str">
        <f t="shared" ca="1" si="27"/>
        <v>"2084203778" : "Đối với BMW",</v>
      </c>
    </row>
    <row r="1761" spans="1:6" ht="15.75" customHeight="1">
      <c r="A1761" s="18">
        <v>2084203779</v>
      </c>
      <c r="B1761" s="18" t="s">
        <v>14640</v>
      </c>
      <c r="C1761" s="18" t="s">
        <v>16599</v>
      </c>
      <c r="D1761" s="5" t="str">
        <f ca="1">IFERROR(__xludf.DUMMYFUNCTION("GOOGLETRANSLATE(B1761,""ja"",""vi"")"),"Đối với Audi")</f>
        <v>Đối với Audi</v>
      </c>
      <c r="E1761" s="5" t="str">
        <f ca="1">IFERROR(__xludf.DUMMYFUNCTION("GOOGLETRANSLATE(C1761,""ja"",""vi"")"),"Đấu giá&gt; ô tô, xe máy&gt; phụ tùng&gt; hàng nội thất&gt; phim cửa sổ, xe phim&gt; cho Audi")</f>
        <v>Đấu giá&gt; ô tô, xe máy&gt; phụ tùng&gt; hàng nội thất&gt; phim cửa sổ, xe phim&gt; cho Audi</v>
      </c>
      <c r="F1761" t="str">
        <f t="shared" ca="1" si="27"/>
        <v>"2084203779" : "Đối với Audi",</v>
      </c>
    </row>
    <row r="1762" spans="1:6" ht="15.75" customHeight="1">
      <c r="A1762" s="18">
        <v>2084203780</v>
      </c>
      <c r="B1762" s="18" t="s">
        <v>14671</v>
      </c>
      <c r="C1762" s="18" t="s">
        <v>16601</v>
      </c>
      <c r="D1762" s="5" t="str">
        <f ca="1">IFERROR(__xludf.DUMMYFUNCTION("GOOGLETRANSLATE(B1762,""ja"",""vi"")"),"Đối với Suzuki")</f>
        <v>Đối với Suzuki</v>
      </c>
      <c r="E1762" s="5" t="str">
        <f ca="1">IFERROR(__xludf.DUMMYFUNCTION("GOOGLETRANSLATE(C1762,""ja"",""vi"")"),"Đấu giá&gt; ô tô, xe máy&gt; phụ tùng&gt; hàng nội thất&gt; phim cửa sổ, xe phim&gt; cho Suzuki")</f>
        <v>Đấu giá&gt; ô tô, xe máy&gt; phụ tùng&gt; hàng nội thất&gt; phim cửa sổ, xe phim&gt; cho Suzuki</v>
      </c>
      <c r="F1762" t="str">
        <f t="shared" ca="1" si="27"/>
        <v>"2084203780" : "Đối với Suzuki",</v>
      </c>
    </row>
    <row r="1763" spans="1:6" ht="15.75" customHeight="1">
      <c r="A1763" s="18">
        <v>2084203781</v>
      </c>
      <c r="B1763" s="18" t="s">
        <v>14673</v>
      </c>
      <c r="C1763" s="18" t="s">
        <v>16604</v>
      </c>
      <c r="D1763" s="5" t="str">
        <f ca="1">IFERROR(__xludf.DUMMYFUNCTION("GOOGLETRANSLATE(B1763,""ja"",""vi"")"),"Đối với Subaru")</f>
        <v>Đối với Subaru</v>
      </c>
      <c r="E1763" s="5" t="str">
        <f ca="1">IFERROR(__xludf.DUMMYFUNCTION("GOOGLETRANSLATE(C1763,""ja"",""vi"")"),"Đấu giá&gt; ô tô, xe máy&gt; phụ tùng&gt; hàng nội thất&gt; phim cửa sổ, xe phim&gt; cho Subaru")</f>
        <v>Đấu giá&gt; ô tô, xe máy&gt; phụ tùng&gt; hàng nội thất&gt; phim cửa sổ, xe phim&gt; cho Subaru</v>
      </c>
      <c r="F1763" t="str">
        <f t="shared" ca="1" si="27"/>
        <v>"2084203781" : "Đối với Subaru",</v>
      </c>
    </row>
    <row r="1764" spans="1:6" ht="15.75" customHeight="1">
      <c r="A1764" s="18">
        <v>2084203782</v>
      </c>
      <c r="B1764" s="18" t="s">
        <v>14677</v>
      </c>
      <c r="C1764" s="18" t="s">
        <v>16607</v>
      </c>
      <c r="D1764" s="5" t="str">
        <f ca="1">IFERROR(__xludf.DUMMYFUNCTION("GOOGLETRANSLATE(B1764,""ja"",""vi"")"),"Đối với Daihatsu")</f>
        <v>Đối với Daihatsu</v>
      </c>
      <c r="E1764" s="5" t="str">
        <f ca="1">IFERROR(__xludf.DUMMYFUNCTION("GOOGLETRANSLATE(C1764,""ja"",""vi"")"),"Đấu giá&gt; ô tô, xe máy&gt; phụ tùng&gt; hàng nội thất&gt; phim cửa sổ, sử dụng phim xe&gt; Daihatsu")</f>
        <v>Đấu giá&gt; ô tô, xe máy&gt; phụ tùng&gt; hàng nội thất&gt; phim cửa sổ, sử dụng phim xe&gt; Daihatsu</v>
      </c>
      <c r="F1764" t="str">
        <f t="shared" ca="1" si="27"/>
        <v>"2084203782" : "Đối với Daihatsu",</v>
      </c>
    </row>
    <row r="1765" spans="1:6" ht="15.75" customHeight="1">
      <c r="A1765" s="18">
        <v>2084203783</v>
      </c>
      <c r="B1765" s="18" t="s">
        <v>14682</v>
      </c>
      <c r="C1765" s="18" t="s">
        <v>16611</v>
      </c>
      <c r="D1765" s="5" t="str">
        <f ca="1">IFERROR(__xludf.DUMMYFUNCTION("GOOGLETRANSLATE(B1765,""ja"",""vi"")"),"Đối với Toyota")</f>
        <v>Đối với Toyota</v>
      </c>
      <c r="E1765" s="5" t="str">
        <f ca="1">IFERROR(__xludf.DUMMYFUNCTION("GOOGLETRANSLATE(C1765,""ja"",""vi"")"),"Đấu giá&gt; ô tô, xe máy&gt; phụ tùng&gt; hàng nội thất&gt; phim cửa sổ, xe phim&gt; cho Toyota")</f>
        <v>Đấu giá&gt; ô tô, xe máy&gt; phụ tùng&gt; hàng nội thất&gt; phim cửa sổ, xe phim&gt; cho Toyota</v>
      </c>
      <c r="F1765" t="str">
        <f t="shared" ca="1" si="27"/>
        <v>"2084203783" : "Đối với Toyota",</v>
      </c>
    </row>
    <row r="1766" spans="1:6" ht="15.75" customHeight="1">
      <c r="A1766" s="18">
        <v>2084203784</v>
      </c>
      <c r="B1766" s="18" t="s">
        <v>14694</v>
      </c>
      <c r="C1766" s="18" t="s">
        <v>16614</v>
      </c>
      <c r="D1766" s="5" t="str">
        <f ca="1">IFERROR(__xludf.DUMMYFUNCTION("GOOGLETRANSLATE(B1766,""ja"",""vi"")"),"Đối với Volkswagen")</f>
        <v>Đối với Volkswagen</v>
      </c>
      <c r="E1766" s="5" t="str">
        <f ca="1">IFERROR(__xludf.DUMMYFUNCTION("GOOGLETRANSLATE(C1766,""ja"",""vi"")"),"Đấu giá&gt; ô tô, xe máy&gt; phụ tùng&gt; hàng nội thất&gt; phim cửa sổ, sử dụng phim xe&gt; Volkswagen")</f>
        <v>Đấu giá&gt; ô tô, xe máy&gt; phụ tùng&gt; hàng nội thất&gt; phim cửa sổ, sử dụng phim xe&gt; Volkswagen</v>
      </c>
      <c r="F1766" t="str">
        <f t="shared" ca="1" si="27"/>
        <v>"2084203784" : "Đối với Volkswagen",</v>
      </c>
    </row>
    <row r="1767" spans="1:6" ht="15.75" customHeight="1">
      <c r="A1767" s="18">
        <v>2084203785</v>
      </c>
      <c r="B1767" s="18" t="s">
        <v>14701</v>
      </c>
      <c r="C1767" s="18" t="s">
        <v>16616</v>
      </c>
      <c r="D1767" s="5" t="str">
        <f ca="1">IFERROR(__xludf.DUMMYFUNCTION("GOOGLETRANSLATE(B1767,""ja"",""vi"")"),"Đối với Honda")</f>
        <v>Đối với Honda</v>
      </c>
      <c r="E1767" s="5" t="str">
        <f ca="1">IFERROR(__xludf.DUMMYFUNCTION("GOOGLETRANSLATE(C1767,""ja"",""vi"")"),"Đấu giá&gt; ô tô, xe máy&gt; phụ tùng&gt; hàng nội thất&gt; phim cửa sổ, xe phim&gt; cho Honda")</f>
        <v>Đấu giá&gt; ô tô, xe máy&gt; phụ tùng&gt; hàng nội thất&gt; phim cửa sổ, xe phim&gt; cho Honda</v>
      </c>
      <c r="F1767" t="str">
        <f t="shared" ca="1" si="27"/>
        <v>"2084203785" : "Đối với Honda",</v>
      </c>
    </row>
    <row r="1768" spans="1:6" ht="15.75" customHeight="1">
      <c r="A1768" s="18">
        <v>2084203786</v>
      </c>
      <c r="B1768" s="18" t="s">
        <v>14713</v>
      </c>
      <c r="C1768" s="18" t="s">
        <v>16622</v>
      </c>
      <c r="D1768" s="5" t="str">
        <f ca="1">IFERROR(__xludf.DUMMYFUNCTION("GOOGLETRANSLATE(B1768,""ja"",""vi"")"),"Đối với Mazda")</f>
        <v>Đối với Mazda</v>
      </c>
      <c r="E1768" s="5" t="str">
        <f ca="1">IFERROR(__xludf.DUMMYFUNCTION("GOOGLETRANSLATE(C1768,""ja"",""vi"")"),"Đấu giá&gt; ô tô, xe máy&gt; phụ tùng&gt; hàng nội thất&gt; phim cửa sổ, xe phim&gt; cho Mazda")</f>
        <v>Đấu giá&gt; ô tô, xe máy&gt; phụ tùng&gt; hàng nội thất&gt; phim cửa sổ, xe phim&gt; cho Mazda</v>
      </c>
      <c r="F1768" t="str">
        <f t="shared" ca="1" si="27"/>
        <v>"2084203786" : "Đối với Mazda",</v>
      </c>
    </row>
    <row r="1769" spans="1:6" ht="15.75" customHeight="1">
      <c r="A1769" s="18">
        <v>2084203787</v>
      </c>
      <c r="B1769" s="18" t="s">
        <v>14720</v>
      </c>
      <c r="C1769" s="18" t="s">
        <v>16627</v>
      </c>
      <c r="D1769" s="5" t="str">
        <f ca="1">IFERROR(__xludf.DUMMYFUNCTION("GOOGLETRANSLATE(B1769,""ja"",""vi"")"),"Đối với Mercedes-Benz")</f>
        <v>Đối với Mercedes-Benz</v>
      </c>
      <c r="E1769" s="5" t="str">
        <f ca="1">IFERROR(__xludf.DUMMYFUNCTION("GOOGLETRANSLATE(C1769,""ja"",""vi"")"),"Đấu giá&gt; ô tô, xe máy&gt; phụ tùng&gt; hàng nội thất&gt; phim cửa sổ, sử dụng phim xe&gt; Mercedes-Benz")</f>
        <v>Đấu giá&gt; ô tô, xe máy&gt; phụ tùng&gt; hàng nội thất&gt; phim cửa sổ, sử dụng phim xe&gt; Mercedes-Benz</v>
      </c>
      <c r="F1769" t="str">
        <f t="shared" ca="1" si="27"/>
        <v>"2084203787" : "Đối với Mercedes-Benz",</v>
      </c>
    </row>
    <row r="1770" spans="1:6" ht="15.75" customHeight="1">
      <c r="A1770" s="18">
        <v>2084203788</v>
      </c>
      <c r="B1770" s="18" t="s">
        <v>14734</v>
      </c>
      <c r="C1770" s="18" t="s">
        <v>16630</v>
      </c>
      <c r="D1770" s="5" t="str">
        <f ca="1">IFERROR(__xludf.DUMMYFUNCTION("GOOGLETRANSLATE(B1770,""ja"",""vi"")"),"Đối với Mitsubishi")</f>
        <v>Đối với Mitsubishi</v>
      </c>
      <c r="E1770" s="5" t="str">
        <f ca="1">IFERROR(__xludf.DUMMYFUNCTION("GOOGLETRANSLATE(C1770,""ja"",""vi"")"),"Đấu giá&gt; ô tô, xe máy&gt; phụ tùng&gt; hàng nội thất&gt; phim cửa sổ, xe phim&gt; cho Mitsubishi")</f>
        <v>Đấu giá&gt; ô tô, xe máy&gt; phụ tùng&gt; hàng nội thất&gt; phim cửa sổ, xe phim&gt; cho Mitsubishi</v>
      </c>
      <c r="F1770" t="str">
        <f t="shared" ca="1" si="27"/>
        <v>"2084203788" : "Đối với Mitsubishi",</v>
      </c>
    </row>
    <row r="1771" spans="1:6" ht="15.75" customHeight="1">
      <c r="A1771" s="18">
        <v>2084203789</v>
      </c>
      <c r="B1771" s="18" t="s">
        <v>14737</v>
      </c>
      <c r="C1771" s="18" t="s">
        <v>16634</v>
      </c>
      <c r="D1771" s="5" t="str">
        <f ca="1">IFERROR(__xludf.DUMMYFUNCTION("GOOGLETRANSLATE(B1771,""ja"",""vi"")"),"Đối với Nissan")</f>
        <v>Đối với Nissan</v>
      </c>
      <c r="E1771" s="5" t="str">
        <f ca="1">IFERROR(__xludf.DUMMYFUNCTION("GOOGLETRANSLATE(C1771,""ja"",""vi"")"),"Đấu giá&gt; ô tô, xe máy&gt; phụ tùng&gt; hàng nội thất&gt; phim cửa sổ, xe phim&gt; cho Nissan")</f>
        <v>Đấu giá&gt; ô tô, xe máy&gt; phụ tùng&gt; hàng nội thất&gt; phim cửa sổ, xe phim&gt; cho Nissan</v>
      </c>
      <c r="F1771" t="str">
        <f t="shared" ca="1" si="27"/>
        <v>"2084203789" : "Đối với Nissan",</v>
      </c>
    </row>
    <row r="1772" spans="1:6" ht="15.75" customHeight="1">
      <c r="A1772" s="18">
        <v>2084203790</v>
      </c>
      <c r="B1772" s="18" t="s">
        <v>46</v>
      </c>
      <c r="C1772" s="18" t="s">
        <v>16640</v>
      </c>
      <c r="D1772" s="5" t="str">
        <f ca="1">IFERROR(__xludf.DUMMYFUNCTION("GOOGLETRANSLATE(B1772,""ja"",""vi"")"),"nếu không thì")</f>
        <v>nếu không thì</v>
      </c>
      <c r="E1772" s="5" t="str">
        <f ca="1">IFERROR(__xludf.DUMMYFUNCTION("GOOGLETRANSLATE(C1772,""ja"",""vi"")"),"Đấu giá&gt; ô tô, xe máy&gt; phụ tùng&gt; hàng nội thất&gt; phim cửa sổ, phim xe&gt; Khác")</f>
        <v>Đấu giá&gt; ô tô, xe máy&gt; phụ tùng&gt; hàng nội thất&gt; phim cửa sổ, phim xe&gt; Khác</v>
      </c>
      <c r="F1772" t="str">
        <f t="shared" ca="1" si="27"/>
        <v>"2084203790" : "nếu không thì",</v>
      </c>
    </row>
    <row r="1773" spans="1:6" ht="15.75" customHeight="1">
      <c r="A1773" s="18">
        <v>2084203140</v>
      </c>
      <c r="B1773" s="18" t="s">
        <v>13861</v>
      </c>
      <c r="C1773" s="18" t="s">
        <v>16644</v>
      </c>
      <c r="D1773" s="5" t="str">
        <f ca="1">IFERROR(__xludf.DUMMYFUNCTION("GOOGLETRANSLATE(B1773,""ja"",""vi"")"),"Toyota")</f>
        <v>Toyota</v>
      </c>
      <c r="E1773" s="5" t="str">
        <f ca="1">IFERROR(__xludf.DUMMYFUNCTION("GOOGLETRANSLATE(C1773,""ja"",""vi"")"),"Đấu giá&gt; ô tô, xe máy&gt; Phụ kiện&gt; biểu tượng&gt; Toyota")</f>
        <v>Đấu giá&gt; ô tô, xe máy&gt; Phụ kiện&gt; biểu tượng&gt; Toyota</v>
      </c>
      <c r="F1773" t="str">
        <f t="shared" ca="1" si="27"/>
        <v>"2084203140" : "Toyota",</v>
      </c>
    </row>
    <row r="1774" spans="1:6" ht="15.75" customHeight="1">
      <c r="A1774" s="18">
        <v>2084203139</v>
      </c>
      <c r="B1774" s="18" t="s">
        <v>16647</v>
      </c>
      <c r="C1774" s="18" t="s">
        <v>16649</v>
      </c>
      <c r="D1774" s="5" t="str">
        <f ca="1">IFERROR(__xludf.DUMMYFUNCTION("GOOGLETRANSLATE(B1774,""ja"",""vi"")"),"Lexus")</f>
        <v>Lexus</v>
      </c>
      <c r="E1774" s="5" t="str">
        <f ca="1">IFERROR(__xludf.DUMMYFUNCTION("GOOGLETRANSLATE(C1774,""ja"",""vi"")"),"Đấu giá&gt; ô tô, xe máy&gt; Phụ kiện&gt; biểu tượng&gt; Lexus")</f>
        <v>Đấu giá&gt; ô tô, xe máy&gt; Phụ kiện&gt; biểu tượng&gt; Lexus</v>
      </c>
      <c r="F1774" t="str">
        <f t="shared" ca="1" si="27"/>
        <v>"2084203139" : "Lexus",</v>
      </c>
    </row>
    <row r="1775" spans="1:6" ht="15.75" customHeight="1">
      <c r="A1775" s="18">
        <v>2084203141</v>
      </c>
      <c r="B1775" s="18" t="s">
        <v>16651</v>
      </c>
      <c r="C1775" s="18" t="s">
        <v>16653</v>
      </c>
      <c r="D1775" s="5" t="str">
        <f ca="1">IFERROR(__xludf.DUMMYFUNCTION("GOOGLETRANSLATE(B1775,""ja"",""vi"")"),"Nissan, Infiniti")</f>
        <v>Nissan, Infiniti</v>
      </c>
      <c r="E1775" s="5" t="str">
        <f ca="1">IFERROR(__xludf.DUMMYFUNCTION("GOOGLETRANSLATE(C1775,""ja"",""vi"")"),"Đấu giá&gt; ô tô, xe máy&gt; Phụ kiện&gt; biểu tượng&gt; Nissan, Infiniti")</f>
        <v>Đấu giá&gt; ô tô, xe máy&gt; Phụ kiện&gt; biểu tượng&gt; Nissan, Infiniti</v>
      </c>
      <c r="F1775" t="str">
        <f t="shared" ca="1" si="27"/>
        <v>"2084203141" : "Nissan, Infiniti",</v>
      </c>
    </row>
    <row r="1776" spans="1:6" ht="15.75" customHeight="1">
      <c r="A1776" s="18">
        <v>2084203142</v>
      </c>
      <c r="B1776" s="18" t="s">
        <v>16656</v>
      </c>
      <c r="C1776" s="18" t="s">
        <v>16657</v>
      </c>
      <c r="D1776" s="5" t="str">
        <f ca="1">IFERROR(__xludf.DUMMYFUNCTION("GOOGLETRANSLATE(B1776,""ja"",""vi"")"),"Honda, Acura")</f>
        <v>Honda, Acura</v>
      </c>
      <c r="E1776" s="5" t="str">
        <f ca="1">IFERROR(__xludf.DUMMYFUNCTION("GOOGLETRANSLATE(C1776,""ja"",""vi"")"),"Đấu giá&gt; ô tô, xe máy&gt; Phụ kiện&gt; biểu tượng&gt; Honda, Acura")</f>
        <v>Đấu giá&gt; ô tô, xe máy&gt; Phụ kiện&gt; biểu tượng&gt; Honda, Acura</v>
      </c>
      <c r="F1776" t="str">
        <f t="shared" ca="1" si="27"/>
        <v>"2084203142" : "Honda, Acura",</v>
      </c>
    </row>
    <row r="1777" spans="1:6" ht="15.75" customHeight="1">
      <c r="A1777" s="18">
        <v>2084258811</v>
      </c>
      <c r="B1777" s="18" t="s">
        <v>6923</v>
      </c>
      <c r="C1777" s="18" t="s">
        <v>16660</v>
      </c>
      <c r="D1777" s="5" t="str">
        <f ca="1">IFERROR(__xludf.DUMMYFUNCTION("GOOGLETRANSLATE(B1777,""ja"",""vi"")"),"Suzuki")</f>
        <v>Suzuki</v>
      </c>
      <c r="E1777" s="5" t="str">
        <f ca="1">IFERROR(__xludf.DUMMYFUNCTION("GOOGLETRANSLATE(C1777,""ja"",""vi"")"),"Đấu giá&gt; ô tô, xe máy&gt; Phụ kiện&gt; biểu tượng&gt; Suzuki")</f>
        <v>Đấu giá&gt; ô tô, xe máy&gt; Phụ kiện&gt; biểu tượng&gt; Suzuki</v>
      </c>
      <c r="F1777" t="str">
        <f t="shared" ca="1" si="27"/>
        <v>"2084258811" : "Suzuki",</v>
      </c>
    </row>
    <row r="1778" spans="1:6" ht="15.75" customHeight="1">
      <c r="A1778" s="18">
        <v>2084203143</v>
      </c>
      <c r="B1778" s="18" t="s">
        <v>13872</v>
      </c>
      <c r="C1778" s="18" t="s">
        <v>16664</v>
      </c>
      <c r="D1778" s="5" t="str">
        <f ca="1">IFERROR(__xludf.DUMMYFUNCTION("GOOGLETRANSLATE(B1778,""ja"",""vi"")"),"Subaru")</f>
        <v>Subaru</v>
      </c>
      <c r="E1778" s="5" t="str">
        <f ca="1">IFERROR(__xludf.DUMMYFUNCTION("GOOGLETRANSLATE(C1778,""ja"",""vi"")"),"Đấu giá&gt; ô tô, xe máy&gt; Phụ kiện&gt; biểu tượng&gt; Subaru")</f>
        <v>Đấu giá&gt; ô tô, xe máy&gt; Phụ kiện&gt; biểu tượng&gt; Subaru</v>
      </c>
      <c r="F1778" t="str">
        <f t="shared" ca="1" si="27"/>
        <v>"2084203143" : "Subaru",</v>
      </c>
    </row>
    <row r="1779" spans="1:6" ht="15.75" customHeight="1">
      <c r="A1779" s="18">
        <v>2084258812</v>
      </c>
      <c r="B1779" s="18" t="s">
        <v>13879</v>
      </c>
      <c r="C1779" s="18" t="s">
        <v>16666</v>
      </c>
      <c r="D1779" s="5" t="str">
        <f ca="1">IFERROR(__xludf.DUMMYFUNCTION("GOOGLETRANSLATE(B1779,""ja"",""vi"")"),"Daihatsu")</f>
        <v>Daihatsu</v>
      </c>
      <c r="E1779" s="5" t="str">
        <f ca="1">IFERROR(__xludf.DUMMYFUNCTION("GOOGLETRANSLATE(C1779,""ja"",""vi"")"),"Đấu giá&gt; ô tô, xe máy&gt; Phụ kiện&gt; biểu tượng&gt; Daihatsu")</f>
        <v>Đấu giá&gt; ô tô, xe máy&gt; Phụ kiện&gt; biểu tượng&gt; Daihatsu</v>
      </c>
      <c r="F1779" t="str">
        <f t="shared" ca="1" si="27"/>
        <v>"2084258812" : "Daihatsu",</v>
      </c>
    </row>
    <row r="1780" spans="1:6" ht="15.75" customHeight="1">
      <c r="A1780" s="18">
        <v>2084203145</v>
      </c>
      <c r="B1780" s="18" t="s">
        <v>13887</v>
      </c>
      <c r="C1780" s="18" t="s">
        <v>16669</v>
      </c>
      <c r="D1780" s="5" t="str">
        <f ca="1">IFERROR(__xludf.DUMMYFUNCTION("GOOGLETRANSLATE(B1780,""ja"",""vi"")"),"Mazda")</f>
        <v>Mazda</v>
      </c>
      <c r="E1780" s="5" t="str">
        <f ca="1">IFERROR(__xludf.DUMMYFUNCTION("GOOGLETRANSLATE(C1780,""ja"",""vi"")"),"Đấu giá&gt; ô tô, xe máy&gt; Phụ kiện&gt; biểu tượng&gt; Mazda")</f>
        <v>Đấu giá&gt; ô tô, xe máy&gt; Phụ kiện&gt; biểu tượng&gt; Mazda</v>
      </c>
      <c r="F1780" t="str">
        <f t="shared" ca="1" si="27"/>
        <v>"2084203145" : "Mazda",</v>
      </c>
    </row>
    <row r="1781" spans="1:6" ht="15.75" customHeight="1">
      <c r="A1781" s="18">
        <v>2084203144</v>
      </c>
      <c r="B1781" s="18" t="s">
        <v>13893</v>
      </c>
      <c r="C1781" s="18" t="s">
        <v>16673</v>
      </c>
      <c r="D1781" s="5" t="str">
        <f ca="1">IFERROR(__xludf.DUMMYFUNCTION("GOOGLETRANSLATE(B1781,""ja"",""vi"")"),"Mitsubishi")</f>
        <v>Mitsubishi</v>
      </c>
      <c r="E1781" s="5" t="str">
        <f ca="1">IFERROR(__xludf.DUMMYFUNCTION("GOOGLETRANSLATE(C1781,""ja"",""vi"")"),"Đấu giá&gt; ô tô, xe máy&gt; Phụ kiện&gt; biểu tượng&gt; Mitsubishi")</f>
        <v>Đấu giá&gt; ô tô, xe máy&gt; Phụ kiện&gt; biểu tượng&gt; Mitsubishi</v>
      </c>
      <c r="F1781" t="str">
        <f t="shared" ca="1" si="27"/>
        <v>"2084203144" : "Mitsubishi",</v>
      </c>
    </row>
    <row r="1782" spans="1:6" ht="15.75" customHeight="1">
      <c r="A1782" s="18">
        <v>2084203147</v>
      </c>
      <c r="B1782" s="18" t="s">
        <v>13906</v>
      </c>
      <c r="C1782" s="18" t="s">
        <v>16676</v>
      </c>
      <c r="D1782" s="5" t="str">
        <f ca="1">IFERROR(__xludf.DUMMYFUNCTION("GOOGLETRANSLATE(B1782,""ja"",""vi"")"),"BMW")</f>
        <v>BMW</v>
      </c>
      <c r="E1782" s="5" t="str">
        <f ca="1">IFERROR(__xludf.DUMMYFUNCTION("GOOGLETRANSLATE(C1782,""ja"",""vi"")"),"Đấu giá&gt; ô tô, xe máy&gt; Phụ kiện&gt; biểu tượng&gt; BMW")</f>
        <v>Đấu giá&gt; ô tô, xe máy&gt; Phụ kiện&gt; biểu tượng&gt; BMW</v>
      </c>
      <c r="F1782" t="str">
        <f t="shared" ca="1" si="27"/>
        <v>"2084203147" : "BMW",</v>
      </c>
    </row>
    <row r="1783" spans="1:6" ht="15.75" customHeight="1">
      <c r="A1783" s="18">
        <v>2084203146</v>
      </c>
      <c r="B1783" s="18" t="s">
        <v>13913</v>
      </c>
      <c r="C1783" s="18" t="s">
        <v>16682</v>
      </c>
      <c r="D1783" s="5" t="str">
        <f ca="1">IFERROR(__xludf.DUMMYFUNCTION("GOOGLETRANSLATE(B1783,""ja"",""vi"")"),"Mercedes-Benz")</f>
        <v>Mercedes-Benz</v>
      </c>
      <c r="E1783" s="5" t="str">
        <f ca="1">IFERROR(__xludf.DUMMYFUNCTION("GOOGLETRANSLATE(C1783,""ja"",""vi"")"),"Đấu giá&gt; ô tô, xe máy&gt; Phụ kiện&gt; biểu tượng&gt; Mercedes-Benz")</f>
        <v>Đấu giá&gt; ô tô, xe máy&gt; Phụ kiện&gt; biểu tượng&gt; Mercedes-Benz</v>
      </c>
      <c r="F1783" t="str">
        <f t="shared" ca="1" si="27"/>
        <v>"2084203146" : "Mercedes-Benz",</v>
      </c>
    </row>
    <row r="1784" spans="1:6" ht="15.75" customHeight="1">
      <c r="A1784" s="18">
        <v>2084203148</v>
      </c>
      <c r="B1784" s="18" t="s">
        <v>46</v>
      </c>
      <c r="C1784" s="18" t="s">
        <v>16687</v>
      </c>
      <c r="D1784" s="5" t="str">
        <f ca="1">IFERROR(__xludf.DUMMYFUNCTION("GOOGLETRANSLATE(B1784,""ja"",""vi"")"),"nếu không thì")</f>
        <v>nếu không thì</v>
      </c>
      <c r="E1784" s="5" t="str">
        <f ca="1">IFERROR(__xludf.DUMMYFUNCTION("GOOGLETRANSLATE(C1784,""ja"",""vi"")"),"Đấu giá&gt; ô tô, xe máy&gt; Phụ kiện&gt; biểu tượng&gt; Khác")</f>
        <v>Đấu giá&gt; ô tô, xe máy&gt; Phụ kiện&gt; biểu tượng&gt; Khác</v>
      </c>
      <c r="F1784" t="str">
        <f t="shared" ca="1" si="27"/>
        <v>"2084203148" : "nếu không thì",</v>
      </c>
    </row>
    <row r="1785" spans="1:6" ht="15.75" customHeight="1">
      <c r="A1785" s="18">
        <v>2084210630</v>
      </c>
      <c r="B1785" s="18" t="s">
        <v>14891</v>
      </c>
      <c r="C1785" s="18" t="s">
        <v>16690</v>
      </c>
      <c r="D1785" s="5" t="str">
        <f ca="1">IFERROR(__xludf.DUMMYFUNCTION("GOOGLETRANSLATE(B1785,""ja"",""vi"")"),"ô tô Brands")</f>
        <v>ô tô Brands</v>
      </c>
      <c r="E1785" s="5" t="str">
        <f ca="1">IFERROR(__xludf.DUMMYFUNCTION("GOOGLETRANSLATE(C1785,""ja"",""vi"")"),"Đấu giá&gt; ô tô, xe máy&gt; Phụ kiện&gt; móc chìa khóa&gt; Auto Brands")</f>
        <v>Đấu giá&gt; ô tô, xe máy&gt; Phụ kiện&gt; móc chìa khóa&gt; Auto Brands</v>
      </c>
      <c r="F1785" t="str">
        <f t="shared" ca="1" si="27"/>
        <v>"2084210630" : "ô tô Brands",</v>
      </c>
    </row>
    <row r="1786" spans="1:6" ht="15.75" customHeight="1">
      <c r="A1786" s="18">
        <v>2084210631</v>
      </c>
      <c r="B1786" s="18" t="s">
        <v>46</v>
      </c>
      <c r="C1786" s="18" t="s">
        <v>16695</v>
      </c>
      <c r="D1786" s="5" t="str">
        <f ca="1">IFERROR(__xludf.DUMMYFUNCTION("GOOGLETRANSLATE(B1786,""ja"",""vi"")"),"nếu không thì")</f>
        <v>nếu không thì</v>
      </c>
      <c r="E1786" s="5" t="str">
        <f ca="1">IFERROR(__xludf.DUMMYFUNCTION("GOOGLETRANSLATE(C1786,""ja"",""vi"")"),"Đấu giá&gt; ô tô, xe máy&gt; Phụ kiện&gt; Keychain&gt; Khác")</f>
        <v>Đấu giá&gt; ô tô, xe máy&gt; Phụ kiện&gt; Keychain&gt; Khác</v>
      </c>
      <c r="F1786" t="str">
        <f t="shared" ca="1" si="27"/>
        <v>"2084210631" : "nếu không thì",</v>
      </c>
    </row>
    <row r="1787" spans="1:6" ht="15.75" customHeight="1">
      <c r="A1787" s="18">
        <v>2084012428</v>
      </c>
      <c r="B1787" s="18" t="s">
        <v>16698</v>
      </c>
      <c r="C1787" s="18" t="s">
        <v>16699</v>
      </c>
      <c r="D1787" s="5" t="str">
        <f ca="1">IFERROR(__xludf.DUMMYFUNCTION("GOOGLETRANSLATE(B1787,""ja"",""vi"")"),"hãng xe máy")</f>
        <v>hãng xe máy</v>
      </c>
      <c r="E1787" s="5" t="str">
        <f ca="1">IFERROR(__xludf.DUMMYFUNCTION("GOOGLETRANSLATE(C1787,""ja"",""vi"")"),"Đấu giá&gt; ô tô, xe máy&gt; Phụ kiện&gt; hãng, giá&gt; hãng xe máy")</f>
        <v>Đấu giá&gt; ô tô, xe máy&gt; Phụ kiện&gt; hãng, giá&gt; hãng xe máy</v>
      </c>
      <c r="F1787" t="str">
        <f t="shared" ca="1" si="27"/>
        <v>"2084012428" : "hãng xe máy",</v>
      </c>
    </row>
    <row r="1788" spans="1:6" ht="15.75" customHeight="1">
      <c r="A1788" s="18">
        <v>2084007919</v>
      </c>
      <c r="B1788" s="18" t="s">
        <v>16703</v>
      </c>
      <c r="C1788" s="18" t="s">
        <v>16704</v>
      </c>
      <c r="D1788" s="5" t="str">
        <f ca="1">IFERROR(__xludf.DUMMYFUNCTION("GOOGLETRANSLATE(B1788,""ja"",""vi"")"),"Các cơ sở hãng")</f>
        <v>Các cơ sở hãng</v>
      </c>
      <c r="E1788" s="5" t="str">
        <f ca="1">IFERROR(__xludf.DUMMYFUNCTION("GOOGLETRANSLATE(C1788,""ja"",""vi"")"),"Đấu giá&gt; ô tô, xe máy&gt; Phụ kiện&gt; hãng, giá&gt; căn cứ tàu sân")</f>
        <v>Đấu giá&gt; ô tô, xe máy&gt; Phụ kiện&gt; hãng, giá&gt; căn cứ tàu sân</v>
      </c>
      <c r="F1788" t="str">
        <f t="shared" ca="1" si="27"/>
        <v>"2084007919" : "Các cơ sở hãng",</v>
      </c>
    </row>
    <row r="1789" spans="1:6" ht="15.75" customHeight="1">
      <c r="A1789" s="18">
        <v>2084007917</v>
      </c>
      <c r="B1789" s="18" t="s">
        <v>16708</v>
      </c>
      <c r="C1789" s="18" t="s">
        <v>16710</v>
      </c>
      <c r="D1789" s="5" t="str">
        <f ca="1">IFERROR(__xludf.DUMMYFUNCTION("GOOGLETRANSLATE(B1789,""ja"",""vi"")"),"tàu sân trượt tuyết, tàu sân trượt tuyết")</f>
        <v>tàu sân trượt tuyết, tàu sân trượt tuyết</v>
      </c>
      <c r="E1789" s="5" t="str">
        <f ca="1">IFERROR(__xludf.DUMMYFUNCTION("GOOGLETRANSLATE(C1789,""ja"",""vi"")"),"Đấu giá&gt; ô tô, xe máy&gt; Phụ kiện&gt; hãng, giá&gt; tàu sân trượt tuyết, tàu sân trượt tuyết")</f>
        <v>Đấu giá&gt; ô tô, xe máy&gt; Phụ kiện&gt; hãng, giá&gt; tàu sân trượt tuyết, tàu sân trượt tuyết</v>
      </c>
      <c r="F1789" t="str">
        <f t="shared" ca="1" si="27"/>
        <v>"2084007917" : "tàu sân trượt tuyết, tàu sân trượt tuyết",</v>
      </c>
    </row>
    <row r="1790" spans="1:6" ht="15.75" customHeight="1">
      <c r="A1790" s="18">
        <v>2084007920</v>
      </c>
      <c r="B1790" s="18" t="s">
        <v>16712</v>
      </c>
      <c r="C1790" s="18" t="s">
        <v>16714</v>
      </c>
      <c r="D1790" s="5" t="str">
        <f ca="1">IFERROR(__xludf.DUMMYFUNCTION("GOOGLETRANSLATE(B1790,""ja"",""vi"")"),"hãng Roof")</f>
        <v>hãng Roof</v>
      </c>
      <c r="E1790" s="5" t="str">
        <f ca="1">IFERROR(__xludf.DUMMYFUNCTION("GOOGLETRANSLATE(C1790,""ja"",""vi"")"),"Đấu giá&gt; ô tô, xe máy&gt; Phụ kiện&gt; hãng, giá&gt; hãng mái")</f>
        <v>Đấu giá&gt; ô tô, xe máy&gt; Phụ kiện&gt; hãng, giá&gt; hãng mái</v>
      </c>
      <c r="F1790" t="str">
        <f t="shared" ca="1" si="27"/>
        <v>"2084007920" : "hãng Roof",</v>
      </c>
    </row>
    <row r="1791" spans="1:6" ht="15.75" customHeight="1">
      <c r="A1791" s="18">
        <v>2084060190</v>
      </c>
      <c r="B1791" s="18" t="s">
        <v>16717</v>
      </c>
      <c r="C1791" s="18" t="s">
        <v>16718</v>
      </c>
      <c r="D1791" s="5" t="str">
        <f ca="1">IFERROR(__xludf.DUMMYFUNCTION("GOOGLETRANSLATE(B1791,""ja"",""vi"")"),"hãng xe đạp")</f>
        <v>hãng xe đạp</v>
      </c>
      <c r="E1791" s="5" t="str">
        <f ca="1">IFERROR(__xludf.DUMMYFUNCTION("GOOGLETRANSLATE(C1791,""ja"",""vi"")"),"Đấu giá&gt; ô tô, xe máy&gt; Phụ kiện&gt; hãng, giá&gt; hãng xe đạp")</f>
        <v>Đấu giá&gt; ô tô, xe máy&gt; Phụ kiện&gt; hãng, giá&gt; hãng xe đạp</v>
      </c>
      <c r="F1791" t="str">
        <f t="shared" ca="1" si="27"/>
        <v>"2084060190" : "hãng xe đạp",</v>
      </c>
    </row>
    <row r="1792" spans="1:6" ht="15.75" customHeight="1">
      <c r="A1792" s="18">
        <v>2084007921</v>
      </c>
      <c r="B1792" s="18" t="s">
        <v>46</v>
      </c>
      <c r="C1792" s="18" t="s">
        <v>16722</v>
      </c>
      <c r="D1792" s="5" t="str">
        <f ca="1">IFERROR(__xludf.DUMMYFUNCTION("GOOGLETRANSLATE(B1792,""ja"",""vi"")"),"nếu không thì")</f>
        <v>nếu không thì</v>
      </c>
      <c r="E1792" s="5" t="str">
        <f ca="1">IFERROR(__xludf.DUMMYFUNCTION("GOOGLETRANSLATE(C1792,""ja"",""vi"")"),"Đấu giá&gt; ô tô, xe máy&gt; Phụ kiện&gt; hãng, giá&gt; Khác")</f>
        <v>Đấu giá&gt; ô tô, xe máy&gt; Phụ kiện&gt; hãng, giá&gt; Khác</v>
      </c>
      <c r="F1792" t="str">
        <f t="shared" ca="1" si="27"/>
        <v>"2084007921" : "nếu không thì",</v>
      </c>
    </row>
    <row r="1793" spans="1:6" ht="15.75" customHeight="1">
      <c r="A1793" s="18">
        <v>2084290713</v>
      </c>
      <c r="B1793" s="18" t="s">
        <v>16589</v>
      </c>
      <c r="C1793" s="18" t="s">
        <v>16725</v>
      </c>
      <c r="D1793" s="5" t="str">
        <f ca="1">IFERROR(__xludf.DUMMYFUNCTION("GOOGLETRANSLATE(B1793,""ja"",""vi"")"),"Đối với 12V")</f>
        <v>Đối với 12V</v>
      </c>
      <c r="E1793" s="5" t="str">
        <f ca="1">IFERROR(__xludf.DUMMYFUNCTION("GOOGLETRANSLATE(C1793,""ja"",""vi"")"),"Đấu giá&gt; ô tô, xe máy&gt; Phụ kiện&gt; Converters&gt; cho 12V")</f>
        <v>Đấu giá&gt; ô tô, xe máy&gt; Phụ kiện&gt; Converters&gt; cho 12V</v>
      </c>
      <c r="F1793" t="str">
        <f t="shared" ca="1" si="27"/>
        <v>"2084290713" : "Đối với 12V",</v>
      </c>
    </row>
    <row r="1794" spans="1:6" ht="15.75" customHeight="1">
      <c r="A1794" s="18">
        <v>2084290714</v>
      </c>
      <c r="B1794" s="18" t="s">
        <v>16592</v>
      </c>
      <c r="C1794" s="18" t="s">
        <v>16727</v>
      </c>
      <c r="D1794" s="5" t="str">
        <f ca="1">IFERROR(__xludf.DUMMYFUNCTION("GOOGLETRANSLATE(B1794,""ja"",""vi"")"),"Đối với 24V")</f>
        <v>Đối với 24V</v>
      </c>
      <c r="E1794" s="5" t="str">
        <f ca="1">IFERROR(__xludf.DUMMYFUNCTION("GOOGLETRANSLATE(C1794,""ja"",""vi"")"),"Đấu giá&gt; ô tô, xe máy&gt; Phụ kiện&gt; Converters&gt; cho 24V")</f>
        <v>Đấu giá&gt; ô tô, xe máy&gt; Phụ kiện&gt; Converters&gt; cho 24V</v>
      </c>
      <c r="F1794" t="str">
        <f t="shared" ref="F1794:F1857" ca="1" si="28">CONCATENATE(CHAR(34)&amp;"",A1794,""&amp;CHAR(34)," : ", CHAR(34)&amp;"",D1794,""&amp;CHAR(34),",")</f>
        <v>"2084290714" : "Đối với 24V",</v>
      </c>
    </row>
    <row r="1795" spans="1:6" ht="15.75" customHeight="1">
      <c r="A1795" s="18">
        <v>2084286661</v>
      </c>
      <c r="B1795" s="18" t="s">
        <v>16731</v>
      </c>
      <c r="C1795" s="18" t="s">
        <v>16732</v>
      </c>
      <c r="D1795" s="5" t="str">
        <f ca="1">IFERROR(__xludf.DUMMYFUNCTION("GOOGLETRANSLATE(B1795,""ja"",""vi"")"),"tai nghe microphone")</f>
        <v>tai nghe microphone</v>
      </c>
      <c r="E1795" s="5" t="str">
        <f ca="1">IFERROR(__xludf.DUMMYFUNCTION("GOOGLETRANSLATE(C1795,""ja"",""vi"")"),"Đấu giá&gt; ô tô, xe máy&gt; Phụ kiện&gt; Điện thoại và điện thoại thông minh Điện thoại di động Đồ&gt; micro tai nghe")</f>
        <v>Đấu giá&gt; ô tô, xe máy&gt; Phụ kiện&gt; Điện thoại và điện thoại thông minh Điện thoại di động Đồ&gt; micro tai nghe</v>
      </c>
      <c r="F1795" t="str">
        <f t="shared" ca="1" si="28"/>
        <v>"2084286661" : "tai nghe microphone",</v>
      </c>
    </row>
    <row r="1796" spans="1:6" ht="15.75" customHeight="1">
      <c r="A1796" s="18">
        <v>2084286662</v>
      </c>
      <c r="B1796" s="18" t="s">
        <v>16736</v>
      </c>
      <c r="C1796" s="18" t="s">
        <v>16738</v>
      </c>
      <c r="D1796" s="5" t="str">
        <f ca="1">IFERROR(__xludf.DUMMYFUNCTION("GOOGLETRANSLATE(B1796,""ja"",""vi"")"),"Rảnh tay")</f>
        <v>Rảnh tay</v>
      </c>
      <c r="E1796" s="5" t="str">
        <f ca="1">IFERROR(__xludf.DUMMYFUNCTION("GOOGLETRANSLATE(C1796,""ja"",""vi"")"),"Đấu giá&gt; ô tô, xe máy&gt; Phụ kiện&gt; Điện thoại di động và nguồn cung cấp điện thoại thông minh&gt; rảnh tay")</f>
        <v>Đấu giá&gt; ô tô, xe máy&gt; Phụ kiện&gt; Điện thoại di động và nguồn cung cấp điện thoại thông minh&gt; rảnh tay</v>
      </c>
      <c r="F1796" t="str">
        <f t="shared" ca="1" si="28"/>
        <v>"2084286662" : "Rảnh tay",</v>
      </c>
    </row>
    <row r="1797" spans="1:6" ht="15.75" customHeight="1">
      <c r="A1797" s="18">
        <v>2084286659</v>
      </c>
      <c r="B1797" s="18" t="s">
        <v>16740</v>
      </c>
      <c r="C1797" s="18" t="s">
        <v>16741</v>
      </c>
      <c r="D1797" s="5" t="str">
        <f ca="1">IFERROR(__xludf.DUMMYFUNCTION("GOOGLETRANSLATE(B1797,""ja"",""vi"")"),"người nắm")</f>
        <v>người nắm</v>
      </c>
      <c r="E1797" s="5" t="str">
        <f ca="1">IFERROR(__xludf.DUMMYFUNCTION("GOOGLETRANSLATE(C1797,""ja"",""vi"")"),"Đấu giá&gt; ô tô, xe máy&gt; Phụ kiện&gt; Điện thoại và điện thoại thông minh Điện thoại di động Đồ&gt; giữ")</f>
        <v>Đấu giá&gt; ô tô, xe máy&gt; Phụ kiện&gt; Điện thoại và điện thoại thông minh Điện thoại di động Đồ&gt; giữ</v>
      </c>
      <c r="F1797" t="str">
        <f t="shared" ca="1" si="28"/>
        <v>"2084286659" : "người nắm",</v>
      </c>
    </row>
    <row r="1798" spans="1:6" ht="15.75" customHeight="1">
      <c r="A1798" s="18">
        <v>2084286660</v>
      </c>
      <c r="B1798" s="18" t="s">
        <v>4654</v>
      </c>
      <c r="C1798" s="18" t="s">
        <v>16743</v>
      </c>
      <c r="D1798" s="5" t="str">
        <f ca="1">IFERROR(__xludf.DUMMYFUNCTION("GOOGLETRANSLATE(B1798,""ja"",""vi"")"),"sạc")</f>
        <v>sạc</v>
      </c>
      <c r="E1798" s="5" t="str">
        <f ca="1">IFERROR(__xludf.DUMMYFUNCTION("GOOGLETRANSLATE(C1798,""ja"",""vi"")"),"Đấu giá&gt; ô tô, xe máy&gt; Phụ kiện&gt; Điện thoại và điện thoại thông minh Điện thoại di động Đồ&gt; sạc")</f>
        <v>Đấu giá&gt; ô tô, xe máy&gt; Phụ kiện&gt; Điện thoại và điện thoại thông minh Điện thoại di động Đồ&gt; sạc</v>
      </c>
      <c r="F1798" t="str">
        <f t="shared" ca="1" si="28"/>
        <v>"2084286660" : "sạc",</v>
      </c>
    </row>
    <row r="1799" spans="1:6" ht="15.75" customHeight="1">
      <c r="A1799" s="18">
        <v>2084286663</v>
      </c>
      <c r="B1799" s="18" t="s">
        <v>46</v>
      </c>
      <c r="C1799" s="18" t="s">
        <v>16745</v>
      </c>
      <c r="D1799" s="5" t="str">
        <f ca="1">IFERROR(__xludf.DUMMYFUNCTION("GOOGLETRANSLATE(B1799,""ja"",""vi"")"),"nếu không thì")</f>
        <v>nếu không thì</v>
      </c>
      <c r="E1799" s="5" t="str">
        <f ca="1">IFERROR(__xludf.DUMMYFUNCTION("GOOGLETRANSLATE(C1799,""ja"",""vi"")"),"Đấu giá&gt; ô tô, xe máy&gt; Phụ kiện&gt; Điện thoại di động và điện thoại thông minh Vật tư&gt; Khác")</f>
        <v>Đấu giá&gt; ô tô, xe máy&gt; Phụ kiện&gt; Điện thoại di động và điện thoại thông minh Vật tư&gt; Khác</v>
      </c>
      <c r="F1799" t="str">
        <f t="shared" ca="1" si="28"/>
        <v>"2084286663" : "nếu không thì",</v>
      </c>
    </row>
    <row r="1800" spans="1:6" ht="15.75" customHeight="1">
      <c r="A1800" s="18">
        <v>2084203772</v>
      </c>
      <c r="B1800" s="18" t="s">
        <v>14628</v>
      </c>
      <c r="C1800" s="18" t="s">
        <v>16747</v>
      </c>
      <c r="D1800" s="5" t="str">
        <f ca="1">IFERROR(__xludf.DUMMYFUNCTION("GOOGLETRANSLATE(B1800,""ja"",""vi"")"),"Đối với BMW")</f>
        <v>Đối với BMW</v>
      </c>
      <c r="E1800" s="5" t="str">
        <f ca="1">IFERROR(__xludf.DUMMYFUNCTION("GOOGLETRANSLATE(C1800,""ja"",""vi"")"),"Đấu giá&gt; ô tô, xe máy&gt; Phụ kiện&gt; bìa ghế&gt; cho BMW")</f>
        <v>Đấu giá&gt; ô tô, xe máy&gt; Phụ kiện&gt; bìa ghế&gt; cho BMW</v>
      </c>
      <c r="F1800" t="str">
        <f t="shared" ca="1" si="28"/>
        <v>"2084203772" : "Đối với BMW",</v>
      </c>
    </row>
    <row r="1801" spans="1:6" ht="15.75" customHeight="1">
      <c r="A1801" s="18">
        <v>2084203773</v>
      </c>
      <c r="B1801" s="18" t="s">
        <v>14640</v>
      </c>
      <c r="C1801" s="18" t="s">
        <v>16750</v>
      </c>
      <c r="D1801" s="5" t="str">
        <f ca="1">IFERROR(__xludf.DUMMYFUNCTION("GOOGLETRANSLATE(B1801,""ja"",""vi"")"),"Đối với Audi")</f>
        <v>Đối với Audi</v>
      </c>
      <c r="E1801" s="5" t="str">
        <f ca="1">IFERROR(__xludf.DUMMYFUNCTION("GOOGLETRANSLATE(C1801,""ja"",""vi"")"),"Đấu giá&gt; ô tô, xe máy&gt; Phụ kiện&gt; bìa ghế&gt; cho Audi")</f>
        <v>Đấu giá&gt; ô tô, xe máy&gt; Phụ kiện&gt; bìa ghế&gt; cho Audi</v>
      </c>
      <c r="F1801" t="str">
        <f t="shared" ca="1" si="28"/>
        <v>"2084203773" : "Đối với Audi",</v>
      </c>
    </row>
    <row r="1802" spans="1:6" ht="15.75" customHeight="1">
      <c r="A1802" s="18">
        <v>2084203764</v>
      </c>
      <c r="B1802" s="18" t="s">
        <v>14671</v>
      </c>
      <c r="C1802" s="18" t="s">
        <v>16753</v>
      </c>
      <c r="D1802" s="5" t="str">
        <f ca="1">IFERROR(__xludf.DUMMYFUNCTION("GOOGLETRANSLATE(B1802,""ja"",""vi"")"),"Đối với Suzuki")</f>
        <v>Đối với Suzuki</v>
      </c>
      <c r="E1802" s="5" t="str">
        <f ca="1">IFERROR(__xludf.DUMMYFUNCTION("GOOGLETRANSLATE(C1802,""ja"",""vi"")"),"Đấu giá&gt; ô tô, xe máy&gt; Phụ kiện&gt; bìa ghế&gt; cho Suzuki")</f>
        <v>Đấu giá&gt; ô tô, xe máy&gt; Phụ kiện&gt; bìa ghế&gt; cho Suzuki</v>
      </c>
      <c r="F1802" t="str">
        <f t="shared" ca="1" si="28"/>
        <v>"2084203764" : "Đối với Suzuki",</v>
      </c>
    </row>
    <row r="1803" spans="1:6" ht="15.75" customHeight="1">
      <c r="A1803" s="18">
        <v>2084203765</v>
      </c>
      <c r="B1803" s="18" t="s">
        <v>14673</v>
      </c>
      <c r="C1803" s="18" t="s">
        <v>16754</v>
      </c>
      <c r="D1803" s="5" t="str">
        <f ca="1">IFERROR(__xludf.DUMMYFUNCTION("GOOGLETRANSLATE(B1803,""ja"",""vi"")"),"Đối với Subaru")</f>
        <v>Đối với Subaru</v>
      </c>
      <c r="E1803" s="5" t="str">
        <f ca="1">IFERROR(__xludf.DUMMYFUNCTION("GOOGLETRANSLATE(C1803,""ja"",""vi"")"),"Đấu giá&gt; ô tô, xe máy&gt; Phụ kiện&gt; bìa ghế&gt; cho Subaru")</f>
        <v>Đấu giá&gt; ô tô, xe máy&gt; Phụ kiện&gt; bìa ghế&gt; cho Subaru</v>
      </c>
      <c r="F1803" t="str">
        <f t="shared" ca="1" si="28"/>
        <v>"2084203765" : "Đối với Subaru",</v>
      </c>
    </row>
    <row r="1804" spans="1:6" ht="15.75" customHeight="1">
      <c r="A1804" s="18">
        <v>2084203766</v>
      </c>
      <c r="B1804" s="18" t="s">
        <v>14677</v>
      </c>
      <c r="C1804" s="18" t="s">
        <v>16756</v>
      </c>
      <c r="D1804" s="5" t="str">
        <f ca="1">IFERROR(__xludf.DUMMYFUNCTION("GOOGLETRANSLATE(B1804,""ja"",""vi"")"),"Đối với Daihatsu")</f>
        <v>Đối với Daihatsu</v>
      </c>
      <c r="E1804" s="5" t="str">
        <f ca="1">IFERROR(__xludf.DUMMYFUNCTION("GOOGLETRANSLATE(C1804,""ja"",""vi"")"),"Đấu giá&gt; ô tô, xe máy&gt; Phụ kiện&gt; bìa ghế&gt; cho Daihatsu")</f>
        <v>Đấu giá&gt; ô tô, xe máy&gt; Phụ kiện&gt; bìa ghế&gt; cho Daihatsu</v>
      </c>
      <c r="F1804" t="str">
        <f t="shared" ca="1" si="28"/>
        <v>"2084203766" : "Đối với Daihatsu",</v>
      </c>
    </row>
    <row r="1805" spans="1:6" ht="15.75" customHeight="1">
      <c r="A1805" s="18">
        <v>2084203767</v>
      </c>
      <c r="B1805" s="18" t="s">
        <v>14682</v>
      </c>
      <c r="C1805" s="18" t="s">
        <v>16759</v>
      </c>
      <c r="D1805" s="5" t="str">
        <f ca="1">IFERROR(__xludf.DUMMYFUNCTION("GOOGLETRANSLATE(B1805,""ja"",""vi"")"),"Đối với Toyota")</f>
        <v>Đối với Toyota</v>
      </c>
      <c r="E1805" s="5" t="str">
        <f ca="1">IFERROR(__xludf.DUMMYFUNCTION("GOOGLETRANSLATE(C1805,""ja"",""vi"")"),"Đấu giá&gt; ô tô, xe máy&gt; Phụ kiện&gt; bìa ghế&gt; cho Toyota")</f>
        <v>Đấu giá&gt; ô tô, xe máy&gt; Phụ kiện&gt; bìa ghế&gt; cho Toyota</v>
      </c>
      <c r="F1805" t="str">
        <f t="shared" ca="1" si="28"/>
        <v>"2084203767" : "Đối với Toyota",</v>
      </c>
    </row>
    <row r="1806" spans="1:6" ht="15.75" customHeight="1">
      <c r="A1806" s="18">
        <v>2084203774</v>
      </c>
      <c r="B1806" s="18" t="s">
        <v>14694</v>
      </c>
      <c r="C1806" s="18" t="s">
        <v>16760</v>
      </c>
      <c r="D1806" s="5" t="str">
        <f ca="1">IFERROR(__xludf.DUMMYFUNCTION("GOOGLETRANSLATE(B1806,""ja"",""vi"")"),"Đối với Volkswagen")</f>
        <v>Đối với Volkswagen</v>
      </c>
      <c r="E1806" s="5" t="str">
        <f ca="1">IFERROR(__xludf.DUMMYFUNCTION("GOOGLETRANSLATE(C1806,""ja"",""vi"")"),"Đấu giá&gt; ô tô, xe máy&gt; Phụ kiện&gt; bìa ghế&gt; cho Volkswagen")</f>
        <v>Đấu giá&gt; ô tô, xe máy&gt; Phụ kiện&gt; bìa ghế&gt; cho Volkswagen</v>
      </c>
      <c r="F1806" t="str">
        <f t="shared" ca="1" si="28"/>
        <v>"2084203774" : "Đối với Volkswagen",</v>
      </c>
    </row>
    <row r="1807" spans="1:6" ht="15.75" customHeight="1">
      <c r="A1807" s="18">
        <v>2084203768</v>
      </c>
      <c r="B1807" s="18" t="s">
        <v>14701</v>
      </c>
      <c r="C1807" s="18" t="s">
        <v>16762</v>
      </c>
      <c r="D1807" s="5" t="str">
        <f ca="1">IFERROR(__xludf.DUMMYFUNCTION("GOOGLETRANSLATE(B1807,""ja"",""vi"")"),"Đối với Honda")</f>
        <v>Đối với Honda</v>
      </c>
      <c r="E1807" s="5" t="str">
        <f ca="1">IFERROR(__xludf.DUMMYFUNCTION("GOOGLETRANSLATE(C1807,""ja"",""vi"")"),"Đấu giá&gt; ô tô, xe máy&gt; Phụ kiện&gt; bìa ghế&gt; cho Honda")</f>
        <v>Đấu giá&gt; ô tô, xe máy&gt; Phụ kiện&gt; bìa ghế&gt; cho Honda</v>
      </c>
      <c r="F1807" t="str">
        <f t="shared" ca="1" si="28"/>
        <v>"2084203768" : "Đối với Honda",</v>
      </c>
    </row>
    <row r="1808" spans="1:6" ht="15.75" customHeight="1">
      <c r="A1808" s="18">
        <v>2084203769</v>
      </c>
      <c r="B1808" s="18" t="s">
        <v>14713</v>
      </c>
      <c r="C1808" s="18" t="s">
        <v>16763</v>
      </c>
      <c r="D1808" s="5" t="str">
        <f ca="1">IFERROR(__xludf.DUMMYFUNCTION("GOOGLETRANSLATE(B1808,""ja"",""vi"")"),"Đối với Mazda")</f>
        <v>Đối với Mazda</v>
      </c>
      <c r="E1808" s="5" t="str">
        <f ca="1">IFERROR(__xludf.DUMMYFUNCTION("GOOGLETRANSLATE(C1808,""ja"",""vi"")"),"Đấu giá&gt; ô tô, xe máy&gt; Phụ kiện&gt; bìa ghế&gt; cho Mazda")</f>
        <v>Đấu giá&gt; ô tô, xe máy&gt; Phụ kiện&gt; bìa ghế&gt; cho Mazda</v>
      </c>
      <c r="F1808" t="str">
        <f t="shared" ca="1" si="28"/>
        <v>"2084203769" : "Đối với Mazda",</v>
      </c>
    </row>
    <row r="1809" spans="1:6" ht="15.75" customHeight="1">
      <c r="A1809" s="18">
        <v>2084203775</v>
      </c>
      <c r="B1809" s="18" t="s">
        <v>14720</v>
      </c>
      <c r="C1809" s="18" t="s">
        <v>16765</v>
      </c>
      <c r="D1809" s="5" t="str">
        <f ca="1">IFERROR(__xludf.DUMMYFUNCTION("GOOGLETRANSLATE(B1809,""ja"",""vi"")"),"Đối với Mercedes-Benz")</f>
        <v>Đối với Mercedes-Benz</v>
      </c>
      <c r="E1809" s="5" t="str">
        <f ca="1">IFERROR(__xludf.DUMMYFUNCTION("GOOGLETRANSLATE(C1809,""ja"",""vi"")"),"Đấu giá&gt; ô tô, xe máy&gt; Phụ kiện&gt; bìa ghế&gt; cho Mercedes-Benz")</f>
        <v>Đấu giá&gt; ô tô, xe máy&gt; Phụ kiện&gt; bìa ghế&gt; cho Mercedes-Benz</v>
      </c>
      <c r="F1809" t="str">
        <f t="shared" ca="1" si="28"/>
        <v>"2084203775" : "Đối với Mercedes-Benz",</v>
      </c>
    </row>
    <row r="1810" spans="1:6" ht="15.75" customHeight="1">
      <c r="A1810" s="18">
        <v>2084203770</v>
      </c>
      <c r="B1810" s="18" t="s">
        <v>14734</v>
      </c>
      <c r="C1810" s="18" t="s">
        <v>16767</v>
      </c>
      <c r="D1810" s="5" t="str">
        <f ca="1">IFERROR(__xludf.DUMMYFUNCTION("GOOGLETRANSLATE(B1810,""ja"",""vi"")"),"Đối với Mitsubishi")</f>
        <v>Đối với Mitsubishi</v>
      </c>
      <c r="E1810" s="5" t="str">
        <f ca="1">IFERROR(__xludf.DUMMYFUNCTION("GOOGLETRANSLATE(C1810,""ja"",""vi"")"),"Đấu giá&gt; ô tô, xe máy&gt; Phụ kiện&gt; bìa ghế&gt; cho Mitsubishi")</f>
        <v>Đấu giá&gt; ô tô, xe máy&gt; Phụ kiện&gt; bìa ghế&gt; cho Mitsubishi</v>
      </c>
      <c r="F1810" t="str">
        <f t="shared" ca="1" si="28"/>
        <v>"2084203770" : "Đối với Mitsubishi",</v>
      </c>
    </row>
    <row r="1811" spans="1:6" ht="15.75" customHeight="1">
      <c r="A1811" s="18">
        <v>2084203771</v>
      </c>
      <c r="B1811" s="18" t="s">
        <v>14737</v>
      </c>
      <c r="C1811" s="18" t="s">
        <v>16768</v>
      </c>
      <c r="D1811" s="5" t="str">
        <f ca="1">IFERROR(__xludf.DUMMYFUNCTION("GOOGLETRANSLATE(B1811,""ja"",""vi"")"),"Đối với Nissan")</f>
        <v>Đối với Nissan</v>
      </c>
      <c r="E1811" s="5" t="str">
        <f ca="1">IFERROR(__xludf.DUMMYFUNCTION("GOOGLETRANSLATE(C1811,""ja"",""vi"")"),"Đấu giá&gt; ô tô, xe máy&gt; Phụ kiện&gt; bìa ghế&gt; cho Nissan")</f>
        <v>Đấu giá&gt; ô tô, xe máy&gt; Phụ kiện&gt; bìa ghế&gt; cho Nissan</v>
      </c>
      <c r="F1811" t="str">
        <f t="shared" ca="1" si="28"/>
        <v>"2084203771" : "Đối với Nissan",</v>
      </c>
    </row>
    <row r="1812" spans="1:6" ht="15.75" customHeight="1">
      <c r="A1812" s="18">
        <v>2084203776</v>
      </c>
      <c r="B1812" s="18" t="s">
        <v>46</v>
      </c>
      <c r="C1812" s="18" t="s">
        <v>16770</v>
      </c>
      <c r="D1812" s="5" t="str">
        <f ca="1">IFERROR(__xludf.DUMMYFUNCTION("GOOGLETRANSLATE(B1812,""ja"",""vi"")"),"nếu không thì")</f>
        <v>nếu không thì</v>
      </c>
      <c r="E1812" s="5" t="str">
        <f ca="1">IFERROR(__xludf.DUMMYFUNCTION("GOOGLETRANSLATE(C1812,""ja"",""vi"")"),"Đấu giá&gt; ô tô, xe máy&gt; Phụ kiện&gt; ghế bìa&gt; Khác")</f>
        <v>Đấu giá&gt; ô tô, xe máy&gt; Phụ kiện&gt; ghế bìa&gt; Khác</v>
      </c>
      <c r="F1812" t="str">
        <f t="shared" ca="1" si="28"/>
        <v>"2084203776" : "nếu không thì",</v>
      </c>
    </row>
    <row r="1813" spans="1:6" ht="15.75" customHeight="1">
      <c r="A1813" s="18">
        <v>2084210667</v>
      </c>
      <c r="B1813" s="18" t="s">
        <v>15451</v>
      </c>
      <c r="C1813" s="18" t="s">
        <v>16772</v>
      </c>
      <c r="D1813" s="5" t="str">
        <f ca="1">IFERROR(__xludf.DUMMYFUNCTION("GOOGLETRANSLATE(B1813,""ja"",""vi"")"),"Genuine")</f>
        <v>Genuine</v>
      </c>
      <c r="E1813" s="5" t="str">
        <f ca="1">IFERROR(__xludf.DUMMYFUNCTION("GOOGLETRANSLATE(C1813,""ja"",""vi"")"),"Đấu giá&gt; ô tô, xe máy&gt; Phụ kiện&gt; thay đổi núm&gt; chính hãng")</f>
        <v>Đấu giá&gt; ô tô, xe máy&gt; Phụ kiện&gt; thay đổi núm&gt; chính hãng</v>
      </c>
      <c r="F1813" t="str">
        <f t="shared" ca="1" si="28"/>
        <v>"2084210667" : "Genuine",</v>
      </c>
    </row>
    <row r="1814" spans="1:6" ht="15.75" customHeight="1">
      <c r="A1814" s="18">
        <v>2084210668</v>
      </c>
      <c r="B1814" s="18" t="s">
        <v>15455</v>
      </c>
      <c r="C1814" s="18" t="s">
        <v>16777</v>
      </c>
      <c r="D1814" s="5" t="str">
        <f ca="1">IFERROR(__xludf.DUMMYFUNCTION("GOOGLETRANSLATE(B1814,""ja"",""vi"")"),"hàng bên ngoài")</f>
        <v>hàng bên ngoài</v>
      </c>
      <c r="E1814" s="5" t="str">
        <f ca="1">IFERROR(__xludf.DUMMYFUNCTION("GOOGLETRANSLATE(C1814,""ja"",""vi"")"),"Đấu giá&gt; ô tô, xe máy&gt; Phụ kiện&gt; thay đổi núm&gt; bên ngoài hàng")</f>
        <v>Đấu giá&gt; ô tô, xe máy&gt; Phụ kiện&gt; thay đổi núm&gt; bên ngoài hàng</v>
      </c>
      <c r="F1814" t="str">
        <f t="shared" ca="1" si="28"/>
        <v>"2084210668" : "hàng bên ngoài",</v>
      </c>
    </row>
    <row r="1815" spans="1:6" ht="15.75" customHeight="1">
      <c r="A1815" s="18">
        <v>2084241185</v>
      </c>
      <c r="B1815" s="18" t="s">
        <v>16779</v>
      </c>
      <c r="C1815" s="18" t="s">
        <v>16783</v>
      </c>
      <c r="D1815" s="5" t="str">
        <f ca="1">IFERROR(__xludf.DUMMYFUNCTION("GOOGLETRANSLATE(B1815,""ja"",""vi"")"),"Xe tải, bãi chứa, máy móc thiết bị xây dựng chuyên dụng")</f>
        <v>Xe tải, bãi chứa, máy móc thiết bị xây dựng chuyên dụng</v>
      </c>
      <c r="E1815" s="5" t="str">
        <f ca="1">IFERROR(__xludf.DUMMYFUNCTION("GOOGLETRANSLATE(C1815,""ja"",""vi"")"),"Đấu giá&gt; ô tô, xe máy&gt; Phụ kiện&gt; thay đổi núm&gt; xe tải, bãi, máy móc thiết bị xây dựng chuyên dụng")</f>
        <v>Đấu giá&gt; ô tô, xe máy&gt; Phụ kiện&gt; thay đổi núm&gt; xe tải, bãi, máy móc thiết bị xây dựng chuyên dụng</v>
      </c>
      <c r="F1815" t="str">
        <f t="shared" ca="1" si="28"/>
        <v>"2084241185" : "Xe tải, bãi chứa, máy móc thiết bị xây dựng chuyên dụng",</v>
      </c>
    </row>
    <row r="1816" spans="1:6" ht="15.75" customHeight="1">
      <c r="A1816" s="18">
        <v>2084291448</v>
      </c>
      <c r="B1816" s="18" t="s">
        <v>16784</v>
      </c>
      <c r="C1816" s="18" t="s">
        <v>16786</v>
      </c>
      <c r="D1816" s="5" t="str">
        <f ca="1">IFERROR(__xludf.DUMMYFUNCTION("GOOGLETRANSLATE(B1816,""ja"",""vi"")"),"dấu hiệu ổ đĩa")</f>
        <v>dấu hiệu ổ đĩa</v>
      </c>
      <c r="E1816" s="5" t="str">
        <f ca="1">IFERROR(__xludf.DUMMYFUNCTION("GOOGLETRANSLATE(C1816,""ja"",""vi"")"),"Đấu giá&gt; ô tô, xe máy&gt; Phụ kiện&gt; dán, decal&gt; dấu hiệu ổ đĩa")</f>
        <v>Đấu giá&gt; ô tô, xe máy&gt; Phụ kiện&gt; dán, decal&gt; dấu hiệu ổ đĩa</v>
      </c>
      <c r="F1816" t="str">
        <f t="shared" ca="1" si="28"/>
        <v>"2084291448" : "dấu hiệu ổ đĩa",</v>
      </c>
    </row>
    <row r="1817" spans="1:6" ht="15.75" customHeight="1">
      <c r="A1817" s="18">
        <v>2084210669</v>
      </c>
      <c r="B1817" s="18" t="s">
        <v>14891</v>
      </c>
      <c r="C1817" s="18" t="s">
        <v>16789</v>
      </c>
      <c r="D1817" s="5" t="str">
        <f ca="1">IFERROR(__xludf.DUMMYFUNCTION("GOOGLETRANSLATE(B1817,""ja"",""vi"")"),"ô tô Brands")</f>
        <v>ô tô Brands</v>
      </c>
      <c r="E1817" s="5" t="str">
        <f ca="1">IFERROR(__xludf.DUMMYFUNCTION("GOOGLETRANSLATE(C1817,""ja"",""vi"")"),"Đấu giá&gt; ô tô, xe máy&gt; Phụ kiện&gt; dán, decal&gt; Ô tô Brands")</f>
        <v>Đấu giá&gt; ô tô, xe máy&gt; Phụ kiện&gt; dán, decal&gt; Ô tô Brands</v>
      </c>
      <c r="F1817" t="str">
        <f t="shared" ca="1" si="28"/>
        <v>"2084210669" : "ô tô Brands",</v>
      </c>
    </row>
    <row r="1818" spans="1:6" ht="15.75" customHeight="1">
      <c r="A1818" s="18">
        <v>2084291445</v>
      </c>
      <c r="B1818" s="18" t="s">
        <v>4452</v>
      </c>
      <c r="C1818" s="18" t="s">
        <v>16793</v>
      </c>
      <c r="D1818" s="5" t="str">
        <f ca="1">IFERROR(__xludf.DUMMYFUNCTION("GOOGLETRANSLATE(B1818,""ja"",""vi"")"),"nhân vật")</f>
        <v>nhân vật</v>
      </c>
      <c r="E1818" s="5" t="str">
        <f ca="1">IFERROR(__xludf.DUMMYFUNCTION("GOOGLETRANSLATE(C1818,""ja"",""vi"")"),"Đấu giá&gt; ô tô, xe máy&gt; Phụ kiện&gt; dán, decal&gt; Character")</f>
        <v>Đấu giá&gt; ô tô, xe máy&gt; Phụ kiện&gt; dán, decal&gt; Character</v>
      </c>
      <c r="F1818" t="str">
        <f t="shared" ca="1" si="28"/>
        <v>"2084291445" : "nhân vật",</v>
      </c>
    </row>
    <row r="1819" spans="1:6" ht="15.75" customHeight="1">
      <c r="A1819" s="18">
        <v>2084291444</v>
      </c>
      <c r="B1819" s="18" t="s">
        <v>15052</v>
      </c>
      <c r="C1819" s="18" t="s">
        <v>16798</v>
      </c>
      <c r="D1819" s="5" t="str">
        <f ca="1">IFERROR(__xludf.DUMMYFUNCTION("GOOGLETRANSLATE(B1819,""ja"",""vi"")"),"an ninh")</f>
        <v>an ninh</v>
      </c>
      <c r="E1819" s="5" t="str">
        <f ca="1">IFERROR(__xludf.DUMMYFUNCTION("GOOGLETRANSLATE(C1819,""ja"",""vi"")"),"Đấu giá&gt; ô tô, xe máy&gt; Phụ kiện&gt; dán, decal&gt; Bảo mật")</f>
        <v>Đấu giá&gt; ô tô, xe máy&gt; Phụ kiện&gt; dán, decal&gt; Bảo mật</v>
      </c>
      <c r="F1819" t="str">
        <f t="shared" ca="1" si="28"/>
        <v>"2084291444" : "an ninh",</v>
      </c>
    </row>
    <row r="1820" spans="1:6" ht="15.75" customHeight="1">
      <c r="A1820" s="18">
        <v>2084291446</v>
      </c>
      <c r="B1820" s="18" t="s">
        <v>16800</v>
      </c>
      <c r="C1820" s="18" t="s">
        <v>16802</v>
      </c>
      <c r="D1820" s="5" t="str">
        <f ca="1">IFERROR(__xludf.DUMMYFUNCTION("GOOGLETRANSLATE(B1820,""ja"",""vi"")"),"nhân vật")</f>
        <v>nhân vật</v>
      </c>
      <c r="E1820" s="5" t="str">
        <f ca="1">IFERROR(__xludf.DUMMYFUNCTION("GOOGLETRANSLATE(C1820,""ja"",""vi"")"),"Đấu giá&gt; ô tô, xe máy&gt; Phụ kiện&gt; dán, decal&gt; Nhân vật")</f>
        <v>Đấu giá&gt; ô tô, xe máy&gt; Phụ kiện&gt; dán, decal&gt; Nhân vật</v>
      </c>
      <c r="F1820" t="str">
        <f t="shared" ca="1" si="28"/>
        <v>"2084291446" : "nhân vật",</v>
      </c>
    </row>
    <row r="1821" spans="1:6" ht="15.75" customHeight="1">
      <c r="A1821" s="18">
        <v>2084291447</v>
      </c>
      <c r="B1821" s="18" t="s">
        <v>16806</v>
      </c>
      <c r="C1821" s="18" t="s">
        <v>16807</v>
      </c>
      <c r="D1821" s="5" t="str">
        <f ca="1">IFERROR(__xludf.DUMMYFUNCTION("GOOGLETRANSLATE(B1821,""ja"",""vi"")"),"Theo dõi, cho bãi")</f>
        <v>Theo dõi, cho bãi</v>
      </c>
      <c r="E1821" s="5" t="str">
        <f ca="1">IFERROR(__xludf.DUMMYFUNCTION("GOOGLETRANSLATE(C1821,""ja"",""vi"")"),"Đấu giá&gt; ô tô, xe máy&gt; Phụ kiện&gt; dán, decal&gt; theo dõi, cho bãi")</f>
        <v>Đấu giá&gt; ô tô, xe máy&gt; Phụ kiện&gt; dán, decal&gt; theo dõi, cho bãi</v>
      </c>
      <c r="F1821" t="str">
        <f t="shared" ca="1" si="28"/>
        <v>"2084291447" : "Theo dõi, cho bãi",</v>
      </c>
    </row>
    <row r="1822" spans="1:6" ht="15.75" customHeight="1">
      <c r="A1822" s="18">
        <v>2084210670</v>
      </c>
      <c r="B1822" s="18" t="s">
        <v>46</v>
      </c>
      <c r="C1822" s="18" t="s">
        <v>16812</v>
      </c>
      <c r="D1822" s="5" t="str">
        <f ca="1">IFERROR(__xludf.DUMMYFUNCTION("GOOGLETRANSLATE(B1822,""ja"",""vi"")"),"nếu không thì")</f>
        <v>nếu không thì</v>
      </c>
      <c r="E1822" s="5" t="str">
        <f ca="1">IFERROR(__xludf.DUMMYFUNCTION("GOOGLETRANSLATE(C1822,""ja"",""vi"")"),"Đấu giá&gt; ô tô, xe máy&gt; Phụ kiện&gt; dán, decal&gt; Khác")</f>
        <v>Đấu giá&gt; ô tô, xe máy&gt; Phụ kiện&gt; dán, decal&gt; Khác</v>
      </c>
      <c r="F1822" t="str">
        <f t="shared" ca="1" si="28"/>
        <v>"2084210670" : "nếu không thì",</v>
      </c>
    </row>
    <row r="1823" spans="1:6" ht="15.75" customHeight="1">
      <c r="A1823" s="18">
        <v>2084213751</v>
      </c>
      <c r="B1823" s="18" t="s">
        <v>16818</v>
      </c>
      <c r="C1823" s="18" t="s">
        <v>16819</v>
      </c>
      <c r="D1823" s="5" t="str">
        <f ca="1">IFERROR(__xludf.DUMMYFUNCTION("GOOGLETRANSLATE(B1823,""ja"",""vi"")"),"Bảng điều khiển hộp")</f>
        <v>Bảng điều khiển hộp</v>
      </c>
      <c r="E1823" s="5" t="str">
        <f ca="1">IFERROR(__xludf.DUMMYFUNCTION("GOOGLETRANSLATE(C1823,""ja"",""vi"")"),"Đấu giá&gt; ô tô, xe máy&gt; Phụ kiện&gt; lưu trữ nội thất, người giữ&gt; console hộp")</f>
        <v>Đấu giá&gt; ô tô, xe máy&gt; Phụ kiện&gt; lưu trữ nội thất, người giữ&gt; console hộp</v>
      </c>
      <c r="F1823" t="str">
        <f t="shared" ca="1" si="28"/>
        <v>"2084213751" : "Bảng điều khiển hộp",</v>
      </c>
    </row>
    <row r="1824" spans="1:6" ht="15.75" customHeight="1">
      <c r="A1824" s="18">
        <v>2084213750</v>
      </c>
      <c r="B1824" s="18" t="s">
        <v>16821</v>
      </c>
      <c r="C1824" s="18" t="s">
        <v>16823</v>
      </c>
      <c r="D1824" s="5" t="str">
        <f ca="1">IFERROR(__xludf.DUMMYFUNCTION("GOOGLETRANSLATE(B1824,""ja"",""vi"")"),"Chủ uống")</f>
        <v>Chủ uống</v>
      </c>
      <c r="E1824" s="5" t="str">
        <f ca="1">IFERROR(__xludf.DUMMYFUNCTION("GOOGLETRANSLATE(C1824,""ja"",""vi"")"),"Đấu giá&gt; ô tô, xe máy&gt; Phụ kiện&gt; lưu trữ nội thất, người giữ&gt; giữ uống")</f>
        <v>Đấu giá&gt; ô tô, xe máy&gt; Phụ kiện&gt; lưu trữ nội thất, người giữ&gt; giữ uống</v>
      </c>
      <c r="F1824" t="str">
        <f t="shared" ca="1" si="28"/>
        <v>"2084213750" : "Chủ uống",</v>
      </c>
    </row>
    <row r="1825" spans="1:6" ht="15.75" customHeight="1">
      <c r="A1825" s="18">
        <v>2084286659</v>
      </c>
      <c r="B1825" s="18" t="s">
        <v>16236</v>
      </c>
      <c r="C1825" s="18" t="s">
        <v>16827</v>
      </c>
      <c r="D1825" s="5" t="str">
        <f ca="1">IFERROR(__xludf.DUMMYFUNCTION("GOOGLETRANSLATE(B1825,""ja"",""vi"")"),"Điện thoại di động và giữ điện thoại thông minh")</f>
        <v>Điện thoại di động và giữ điện thoại thông minh</v>
      </c>
      <c r="E1825" s="5" t="str">
        <f ca="1">IFERROR(__xludf.DUMMYFUNCTION("GOOGLETRANSLATE(C1825,""ja"",""vi"")"),"Đấu giá&gt; ô tô, xe máy&gt; Phụ kiện&gt; lưu trữ nội thất, người giữ&gt; điện thoại di động và giữ điện thoại thông minh")</f>
        <v>Đấu giá&gt; ô tô, xe máy&gt; Phụ kiện&gt; lưu trữ nội thất, người giữ&gt; điện thoại di động và giữ điện thoại thông minh</v>
      </c>
      <c r="F1825" t="str">
        <f t="shared" ca="1" si="28"/>
        <v>"2084286659" : "Điện thoại di động và giữ điện thoại thông minh",</v>
      </c>
    </row>
    <row r="1826" spans="1:6" ht="15.75" customHeight="1">
      <c r="A1826" s="18">
        <v>2084213752</v>
      </c>
      <c r="B1826" s="18" t="s">
        <v>16830</v>
      </c>
      <c r="C1826" s="18" t="s">
        <v>16832</v>
      </c>
      <c r="D1826" s="5" t="str">
        <f ca="1">IFERROR(__xludf.DUMMYFUNCTION("GOOGLETRANSLATE(B1826,""ja"",""vi"")"),"lưu trữ xe, trường hợp")</f>
        <v>lưu trữ xe, trường hợp</v>
      </c>
      <c r="E1826" s="5" t="str">
        <f ca="1">IFERROR(__xludf.DUMMYFUNCTION("GOOGLETRANSLATE(C1826,""ja"",""vi"")"),"Đấu giá&gt; ô tô, xe máy&gt; Phụ kiện&gt; lưu trữ nội thất, người giữ&gt; lưu trữ nội thất, trường hợp")</f>
        <v>Đấu giá&gt; ô tô, xe máy&gt; Phụ kiện&gt; lưu trữ nội thất, người giữ&gt; lưu trữ nội thất, trường hợp</v>
      </c>
      <c r="F1826" t="str">
        <f t="shared" ca="1" si="28"/>
        <v>"2084213752" : "lưu trữ xe, trường hợp",</v>
      </c>
    </row>
    <row r="1827" spans="1:6" ht="15.75" customHeight="1">
      <c r="A1827" s="18">
        <v>2084213753</v>
      </c>
      <c r="B1827" s="18" t="s">
        <v>46</v>
      </c>
      <c r="C1827" s="18" t="s">
        <v>16836</v>
      </c>
      <c r="D1827" s="5" t="str">
        <f ca="1">IFERROR(__xludf.DUMMYFUNCTION("GOOGLETRANSLATE(B1827,""ja"",""vi"")"),"nếu không thì")</f>
        <v>nếu không thì</v>
      </c>
      <c r="E1827" s="5" t="str">
        <f ca="1">IFERROR(__xludf.DUMMYFUNCTION("GOOGLETRANSLATE(C1827,""ja"",""vi"")"),"Đấu giá&gt; ô tô, xe máy&gt; Phụ kiện&gt; lưu trữ nội thất, người giữ&gt; Khác")</f>
        <v>Đấu giá&gt; ô tô, xe máy&gt; Phụ kiện&gt; lưu trữ nội thất, người giữ&gt; Khác</v>
      </c>
      <c r="F1827" t="str">
        <f t="shared" ca="1" si="28"/>
        <v>"2084213753" : "nếu không thì",</v>
      </c>
    </row>
    <row r="1828" spans="1:6" ht="15.75" customHeight="1">
      <c r="A1828" s="18">
        <v>2084201582</v>
      </c>
      <c r="B1828" s="18" t="s">
        <v>1678</v>
      </c>
      <c r="C1828" s="18" t="s">
        <v>16840</v>
      </c>
      <c r="D1828" s="5" t="str">
        <f ca="1">IFERROR(__xludf.DUMMYFUNCTION("GOOGLETRANSLATE(B1828,""ja"",""vi"")"),"Một cơ thể")</f>
        <v>Một cơ thể</v>
      </c>
      <c r="E1828" s="5" t="str">
        <f ca="1">IFERROR(__xludf.DUMMYFUNCTION("GOOGLETRANSLATE(C1828,""ja"",""vi"")"),"Đấu giá&gt; ô tô, xe máy&gt; Phụ kiện&gt; tuabin timer&gt; cơ thể")</f>
        <v>Đấu giá&gt; ô tô, xe máy&gt; Phụ kiện&gt; tuabin timer&gt; cơ thể</v>
      </c>
      <c r="F1828" t="str">
        <f t="shared" ca="1" si="28"/>
        <v>"2084201582" : "Một cơ thể",</v>
      </c>
    </row>
    <row r="1829" spans="1:6" ht="15.75" customHeight="1">
      <c r="A1829" s="18">
        <v>2084201583</v>
      </c>
      <c r="B1829" s="18" t="s">
        <v>16844</v>
      </c>
      <c r="C1829" s="18" t="s">
        <v>16845</v>
      </c>
      <c r="D1829" s="5" t="str">
        <f ca="1">IFERROR(__xludf.DUMMYFUNCTION("GOOGLETRANSLATE(B1829,""ja"",""vi"")"),"yên cương")</f>
        <v>yên cương</v>
      </c>
      <c r="E1829" s="5" t="str">
        <f ca="1">IFERROR(__xludf.DUMMYFUNCTION("GOOGLETRANSLATE(C1829,""ja"",""vi"")"),"Đấu giá&gt; ô tô, xe máy&gt; Phụ kiện&gt; tuabin timer&gt; khai thác")</f>
        <v>Đấu giá&gt; ô tô, xe máy&gt; Phụ kiện&gt; tuabin timer&gt; khai thác</v>
      </c>
      <c r="F1829" t="str">
        <f t="shared" ca="1" si="28"/>
        <v>"2084201583" : "yên cương",</v>
      </c>
    </row>
    <row r="1830" spans="1:6" ht="15.75" customHeight="1">
      <c r="A1830" s="18">
        <v>2084210660</v>
      </c>
      <c r="B1830" s="18" t="s">
        <v>15767</v>
      </c>
      <c r="C1830" s="18" t="s">
        <v>15769</v>
      </c>
      <c r="D1830" s="5" t="str">
        <f ca="1">IFERROR(__xludf.DUMMYFUNCTION("GOOGLETRANSLATE(B1830,""ja"",""vi"")"),"chuỗi kim loại")</f>
        <v>chuỗi kim loại</v>
      </c>
      <c r="E1830" s="5" t="str">
        <f ca="1">IFERROR(__xludf.DUMMYFUNCTION("GOOGLETRANSLATE(C1830,""ja"",""vi"")"),"Đấu giá&gt; ô tô, xe máy&gt; lốp xe, bánh xe&gt; chuỗi, không trơn trượt&gt; chuỗi kim loại")</f>
        <v>Đấu giá&gt; ô tô, xe máy&gt; lốp xe, bánh xe&gt; chuỗi, không trơn trượt&gt; chuỗi kim loại</v>
      </c>
      <c r="F1830" t="str">
        <f t="shared" ca="1" si="28"/>
        <v>"2084210660" : "chuỗi kim loại",</v>
      </c>
    </row>
    <row r="1831" spans="1:6" ht="15.75" customHeight="1">
      <c r="A1831" s="18">
        <v>2084210661</v>
      </c>
      <c r="B1831" s="18" t="s">
        <v>15772</v>
      </c>
      <c r="C1831" s="18" t="s">
        <v>15773</v>
      </c>
      <c r="D1831" s="5" t="str">
        <f ca="1">IFERROR(__xludf.DUMMYFUNCTION("GOOGLETRANSLATE(B1831,""ja"",""vi"")"),"chuỗi phi kim loại")</f>
        <v>chuỗi phi kim loại</v>
      </c>
      <c r="E1831" s="5" t="str">
        <f ca="1">IFERROR(__xludf.DUMMYFUNCTION("GOOGLETRANSLATE(C1831,""ja"",""vi"")"),"Đấu giá&gt; ô tô, xe máy&gt; lốp xe, bánh xe&gt; chuỗi, không trơn trượt&gt; chuỗi phi kim loại")</f>
        <v>Đấu giá&gt; ô tô, xe máy&gt; lốp xe, bánh xe&gt; chuỗi, không trơn trượt&gt; chuỗi phi kim loại</v>
      </c>
      <c r="F1831" t="str">
        <f t="shared" ca="1" si="28"/>
        <v>"2084210661" : "chuỗi phi kim loại",</v>
      </c>
    </row>
    <row r="1832" spans="1:6" ht="15.75" customHeight="1">
      <c r="A1832" s="18">
        <v>2084210662</v>
      </c>
      <c r="B1832" s="18" t="s">
        <v>46</v>
      </c>
      <c r="C1832" s="18" t="s">
        <v>15776</v>
      </c>
      <c r="D1832" s="5" t="str">
        <f ca="1">IFERROR(__xludf.DUMMYFUNCTION("GOOGLETRANSLATE(B1832,""ja"",""vi"")"),"nếu không thì")</f>
        <v>nếu không thì</v>
      </c>
      <c r="E1832" s="5" t="str">
        <f ca="1">IFERROR(__xludf.DUMMYFUNCTION("GOOGLETRANSLATE(C1832,""ja"",""vi"")"),"Đấu giá&gt; ô tô, xe máy&gt; lốp xe, bánh xe&gt; chuỗi, không trơn trượt&gt; Khác")</f>
        <v>Đấu giá&gt; ô tô, xe máy&gt; lốp xe, bánh xe&gt; chuỗi, không trơn trượt&gt; Khác</v>
      </c>
      <c r="F1832" t="str">
        <f t="shared" ca="1" si="28"/>
        <v>"2084210662" : "nếu không thì",</v>
      </c>
    </row>
    <row r="1833" spans="1:6" ht="15.75" customHeight="1">
      <c r="A1833" s="18">
        <v>2084291432</v>
      </c>
      <c r="B1833" s="18" t="s">
        <v>15890</v>
      </c>
      <c r="C1833" s="18" t="s">
        <v>16854</v>
      </c>
      <c r="D1833" s="5" t="str">
        <f ca="1">IFERROR(__xludf.DUMMYFUNCTION("GOOGLETRANSLATE(B1833,""ja"",""vi"")"),"Eclipse")</f>
        <v>Eclipse</v>
      </c>
      <c r="E1833" s="5" t="str">
        <f ca="1">IFERROR(__xludf.DUMMYFUNCTION("GOOGLETRANSLATE(C1833,""ja"",""vi"")"),"Đấu giá&gt; ô tô, xe máy&gt; Phụ kiện&gt; ổ ghi&gt; Eclipse")</f>
        <v>Đấu giá&gt; ô tô, xe máy&gt; Phụ kiện&gt; ổ ghi&gt; Eclipse</v>
      </c>
      <c r="F1833" t="str">
        <f t="shared" ca="1" si="28"/>
        <v>"2084291432" : "Eclipse",</v>
      </c>
    </row>
    <row r="1834" spans="1:6" ht="15.75" customHeight="1">
      <c r="A1834" s="18">
        <v>2084291431</v>
      </c>
      <c r="B1834" s="18" t="s">
        <v>16858</v>
      </c>
      <c r="C1834" s="18" t="s">
        <v>16859</v>
      </c>
      <c r="D1834" s="5" t="str">
        <f ca="1">IFERROR(__xludf.DUMMYFUNCTION("GOOGLETRANSLATE(B1834,""ja"",""vi"")"),"Maruhama")</f>
        <v>Maruhama</v>
      </c>
      <c r="E1834" s="5" t="str">
        <f ca="1">IFERROR(__xludf.DUMMYFUNCTION("GOOGLETRANSLATE(C1834,""ja"",""vi"")"),"Đấu giá&gt; ô tô, xe máy&gt; Phụ kiện&gt; ổ ghi&gt; Maruhama")</f>
        <v>Đấu giá&gt; ô tô, xe máy&gt; Phụ kiện&gt; ổ ghi&gt; Maruhama</v>
      </c>
      <c r="F1834" t="str">
        <f t="shared" ca="1" si="28"/>
        <v>"2084291431" : "Maruhama",</v>
      </c>
    </row>
    <row r="1835" spans="1:6" ht="15.75" customHeight="1">
      <c r="A1835" s="18">
        <v>2084291433</v>
      </c>
      <c r="B1835" s="18" t="s">
        <v>15913</v>
      </c>
      <c r="C1835" s="18" t="s">
        <v>16860</v>
      </c>
      <c r="D1835" s="5" t="str">
        <f ca="1">IFERROR(__xludf.DUMMYFUNCTION("GOOGLETRANSLATE(B1835,""ja"",""vi"")"),"sao Mộc")</f>
        <v>sao Mộc</v>
      </c>
      <c r="E1835" s="5" t="str">
        <f ca="1">IFERROR(__xludf.DUMMYFUNCTION("GOOGLETRANSLATE(C1835,""ja"",""vi"")"),"Đấu giá&gt; ô tô, xe máy&gt; Phụ kiện&gt; ổ ghi&gt; Jupiter")</f>
        <v>Đấu giá&gt; ô tô, xe máy&gt; Phụ kiện&gt; ổ ghi&gt; Jupiter</v>
      </c>
      <c r="F1835" t="str">
        <f t="shared" ca="1" si="28"/>
        <v>"2084291433" : "sao Mộc",</v>
      </c>
    </row>
    <row r="1836" spans="1:6" ht="15.75" customHeight="1">
      <c r="A1836" s="18">
        <v>2084291434</v>
      </c>
      <c r="B1836" s="18" t="s">
        <v>16863</v>
      </c>
      <c r="C1836" s="18" t="s">
        <v>16864</v>
      </c>
      <c r="D1836" s="5" t="str">
        <f ca="1">IFERROR(__xludf.DUMMYFUNCTION("GOOGLETRANSLATE(B1836,""ja"",""vi"")"),"Logitech")</f>
        <v>Logitech</v>
      </c>
      <c r="E1836" s="5" t="str">
        <f ca="1">IFERROR(__xludf.DUMMYFUNCTION("GOOGLETRANSLATE(C1836,""ja"",""vi"")"),"Đấu giá&gt; ô tô, xe máy&gt; Phụ kiện&gt; ổ ghi&gt; Logitech")</f>
        <v>Đấu giá&gt; ô tô, xe máy&gt; Phụ kiện&gt; ổ ghi&gt; Logitech</v>
      </c>
      <c r="F1836" t="str">
        <f t="shared" ca="1" si="28"/>
        <v>"2084291434" : "Logitech",</v>
      </c>
    </row>
    <row r="1837" spans="1:6" ht="15.75" customHeight="1">
      <c r="A1837" s="18">
        <v>2084291435</v>
      </c>
      <c r="B1837" s="18" t="s">
        <v>46</v>
      </c>
      <c r="C1837" s="18" t="s">
        <v>16865</v>
      </c>
      <c r="D1837" s="5" t="str">
        <f ca="1">IFERROR(__xludf.DUMMYFUNCTION("GOOGLETRANSLATE(B1837,""ja"",""vi"")"),"nếu không thì")</f>
        <v>nếu không thì</v>
      </c>
      <c r="E1837" s="5" t="str">
        <f ca="1">IFERROR(__xludf.DUMMYFUNCTION("GOOGLETRANSLATE(C1837,""ja"",""vi"")"),"Đấu giá&gt; ô tô, xe máy&gt; Phụ kiện&gt; ổ ghi&gt; Khác")</f>
        <v>Đấu giá&gt; ô tô, xe máy&gt; Phụ kiện&gt; ổ ghi&gt; Khác</v>
      </c>
      <c r="F1837" t="str">
        <f t="shared" ca="1" si="28"/>
        <v>"2084291435" : "nếu không thì",</v>
      </c>
    </row>
    <row r="1838" spans="1:6" ht="15.75" customHeight="1">
      <c r="A1838" s="18">
        <v>2084213745</v>
      </c>
      <c r="B1838" s="18" t="s">
        <v>15455</v>
      </c>
      <c r="C1838" s="18" t="s">
        <v>16869</v>
      </c>
      <c r="D1838" s="5" t="str">
        <f ca="1">IFERROR(__xludf.DUMMYFUNCTION("GOOGLETRANSLATE(B1838,""ja"",""vi"")"),"hàng bên ngoài")</f>
        <v>hàng bên ngoài</v>
      </c>
      <c r="E1838" s="5" t="str">
        <f ca="1">IFERROR(__xludf.DUMMYFUNCTION("GOOGLETRANSLATE(C1838,""ja"",""vi"")"),"Đấu giá&gt; ô tô, xe máy&gt; Phụ kiện&gt; khung number&gt; bên ngoài hàng")</f>
        <v>Đấu giá&gt; ô tô, xe máy&gt; Phụ kiện&gt; khung number&gt; bên ngoài hàng</v>
      </c>
      <c r="F1838" t="str">
        <f t="shared" ca="1" si="28"/>
        <v>"2084213745" : "hàng bên ngoài",</v>
      </c>
    </row>
    <row r="1839" spans="1:6" ht="15.75" customHeight="1">
      <c r="A1839" s="18">
        <v>2084213744</v>
      </c>
      <c r="B1839" s="18" t="s">
        <v>15451</v>
      </c>
      <c r="C1839" s="18" t="s">
        <v>16872</v>
      </c>
      <c r="D1839" s="5" t="str">
        <f ca="1">IFERROR(__xludf.DUMMYFUNCTION("GOOGLETRANSLATE(B1839,""ja"",""vi"")"),"Genuine")</f>
        <v>Genuine</v>
      </c>
      <c r="E1839" s="5" t="str">
        <f ca="1">IFERROR(__xludf.DUMMYFUNCTION("GOOGLETRANSLATE(C1839,""ja"",""vi"")"),"Đấu giá&gt; ô tô, xe máy&gt; Phụ kiện&gt; khung number&gt; chính hãng")</f>
        <v>Đấu giá&gt; ô tô, xe máy&gt; Phụ kiện&gt; khung number&gt; chính hãng</v>
      </c>
      <c r="F1839" t="str">
        <f t="shared" ca="1" si="28"/>
        <v>"2084213744" : "Genuine",</v>
      </c>
    </row>
    <row r="1840" spans="1:6" ht="15.75" customHeight="1">
      <c r="A1840" s="18">
        <v>2084213746</v>
      </c>
      <c r="B1840" s="18" t="s">
        <v>46</v>
      </c>
      <c r="C1840" s="18" t="s">
        <v>16873</v>
      </c>
      <c r="D1840" s="5" t="str">
        <f ca="1">IFERROR(__xludf.DUMMYFUNCTION("GOOGLETRANSLATE(B1840,""ja"",""vi"")"),"nếu không thì")</f>
        <v>nếu không thì</v>
      </c>
      <c r="E1840" s="5" t="str">
        <f ca="1">IFERROR(__xludf.DUMMYFUNCTION("GOOGLETRANSLATE(C1840,""ja"",""vi"")"),"Đấu giá&gt; ô tô, xe máy&gt; Phụ kiện&gt; khung số&gt; Khác")</f>
        <v>Đấu giá&gt; ô tô, xe máy&gt; Phụ kiện&gt; khung số&gt; Khác</v>
      </c>
      <c r="F1840" t="str">
        <f t="shared" ca="1" si="28"/>
        <v>"2084213746" : "nếu không thì",</v>
      </c>
    </row>
    <row r="1841" spans="1:6" ht="15.75" customHeight="1">
      <c r="A1841" s="18">
        <v>2084203791</v>
      </c>
      <c r="B1841" s="18" t="s">
        <v>14628</v>
      </c>
      <c r="C1841" s="18" t="s">
        <v>16876</v>
      </c>
      <c r="D1841" s="5" t="str">
        <f ca="1">IFERROR(__xludf.DUMMYFUNCTION("GOOGLETRANSLATE(B1841,""ja"",""vi"")"),"Đối với BMW")</f>
        <v>Đối với BMW</v>
      </c>
      <c r="E1841" s="5" t="str">
        <f ca="1">IFERROR(__xludf.DUMMYFUNCTION("GOOGLETRANSLATE(C1841,""ja"",""vi"")"),"Đấu giá&gt; ô tô, xe máy&gt; Phụ kiện&gt; thảm sàn&gt; cho BMW")</f>
        <v>Đấu giá&gt; ô tô, xe máy&gt; Phụ kiện&gt; thảm sàn&gt; cho BMW</v>
      </c>
      <c r="F1841" t="str">
        <f t="shared" ca="1" si="28"/>
        <v>"2084203791" : "Đối với BMW",</v>
      </c>
    </row>
    <row r="1842" spans="1:6" ht="15.75" customHeight="1">
      <c r="A1842" s="18">
        <v>2084203792</v>
      </c>
      <c r="B1842" s="18" t="s">
        <v>14633</v>
      </c>
      <c r="C1842" s="18" t="s">
        <v>16880</v>
      </c>
      <c r="D1842" s="5" t="str">
        <f ca="1">IFERROR(__xludf.DUMMYFUNCTION("GOOGLETRANSLATE(B1842,""ja"",""vi"")"),"Đối với Isuzu")</f>
        <v>Đối với Isuzu</v>
      </c>
      <c r="E1842" s="5" t="str">
        <f ca="1">IFERROR(__xludf.DUMMYFUNCTION("GOOGLETRANSLATE(C1842,""ja"",""vi"")"),"Đấu giá&gt; ô tô, xe máy&gt; Phụ kiện&gt; thảm sàn&gt; cho Isuzu")</f>
        <v>Đấu giá&gt; ô tô, xe máy&gt; Phụ kiện&gt; thảm sàn&gt; cho Isuzu</v>
      </c>
      <c r="F1842" t="str">
        <f t="shared" ca="1" si="28"/>
        <v>"2084203792" : "Đối với Isuzu",</v>
      </c>
    </row>
    <row r="1843" spans="1:6" ht="15.75" customHeight="1">
      <c r="A1843" s="18">
        <v>2084203793</v>
      </c>
      <c r="B1843" s="18" t="s">
        <v>14640</v>
      </c>
      <c r="C1843" s="18" t="s">
        <v>16881</v>
      </c>
      <c r="D1843" s="5" t="str">
        <f ca="1">IFERROR(__xludf.DUMMYFUNCTION("GOOGLETRANSLATE(B1843,""ja"",""vi"")"),"Đối với Audi")</f>
        <v>Đối với Audi</v>
      </c>
      <c r="E1843" s="5" t="str">
        <f ca="1">IFERROR(__xludf.DUMMYFUNCTION("GOOGLETRANSLATE(C1843,""ja"",""vi"")"),"Đấu giá&gt; ô tô, xe máy&gt; Phụ kiện&gt; thảm sàn&gt; cho Audi")</f>
        <v>Đấu giá&gt; ô tô, xe máy&gt; Phụ kiện&gt; thảm sàn&gt; cho Audi</v>
      </c>
      <c r="F1843" t="str">
        <f t="shared" ca="1" si="28"/>
        <v>"2084203793" : "Đối với Audi",</v>
      </c>
    </row>
    <row r="1844" spans="1:6" ht="15.75" customHeight="1">
      <c r="A1844" s="18">
        <v>2084203794</v>
      </c>
      <c r="B1844" s="18" t="s">
        <v>14644</v>
      </c>
      <c r="C1844" s="18" t="s">
        <v>16884</v>
      </c>
      <c r="D1844" s="5" t="str">
        <f ca="1">IFERROR(__xludf.DUMMYFUNCTION("GOOGLETRANSLATE(B1844,""ja"",""vi"")"),"Đối với Alfa Romeo")</f>
        <v>Đối với Alfa Romeo</v>
      </c>
      <c r="E1844" s="5" t="str">
        <f ca="1">IFERROR(__xludf.DUMMYFUNCTION("GOOGLETRANSLATE(C1844,""ja"",""vi"")"),"Đấu giá&gt; ô tô, xe máy&gt; Phụ kiện&gt; thảm sàn&gt; alpha cho Romeo")</f>
        <v>Đấu giá&gt; ô tô, xe máy&gt; Phụ kiện&gt; thảm sàn&gt; alpha cho Romeo</v>
      </c>
      <c r="F1844" t="str">
        <f t="shared" ca="1" si="28"/>
        <v>"2084203794" : "Đối với Alfa Romeo",</v>
      </c>
    </row>
    <row r="1845" spans="1:6" ht="15.75" customHeight="1">
      <c r="A1845" s="18">
        <v>2084203795</v>
      </c>
      <c r="B1845" s="18" t="s">
        <v>14649</v>
      </c>
      <c r="C1845" s="18" t="s">
        <v>16888</v>
      </c>
      <c r="D1845" s="5" t="str">
        <f ca="1">IFERROR(__xludf.DUMMYFUNCTION("GOOGLETRANSLATE(B1845,""ja"",""vi"")"),"cho Opel")</f>
        <v>cho Opel</v>
      </c>
      <c r="E1845" s="5" t="str">
        <f ca="1">IFERROR(__xludf.DUMMYFUNCTION("GOOGLETRANSLATE(C1845,""ja"",""vi"")"),"Đấu giá&gt; ô tô, xe máy&gt; Phụ kiện&gt; thảm sàn&gt; cho Opel")</f>
        <v>Đấu giá&gt; ô tô, xe máy&gt; Phụ kiện&gt; thảm sàn&gt; cho Opel</v>
      </c>
      <c r="F1845" t="str">
        <f t="shared" ca="1" si="28"/>
        <v>"2084203795" : "cho Opel",</v>
      </c>
    </row>
    <row r="1846" spans="1:6" ht="15.75" customHeight="1">
      <c r="A1846" s="18">
        <v>2084203817</v>
      </c>
      <c r="B1846" s="18" t="s">
        <v>14654</v>
      </c>
      <c r="C1846" s="18" t="s">
        <v>16891</v>
      </c>
      <c r="D1846" s="5" t="str">
        <f ca="1">IFERROR(__xludf.DUMMYFUNCTION("GOOGLETRANSLATE(B1846,""ja"",""vi"")"),"Đối với Chrysler")</f>
        <v>Đối với Chrysler</v>
      </c>
      <c r="E1846" s="5" t="str">
        <f ca="1">IFERROR(__xludf.DUMMYFUNCTION("GOOGLETRANSLATE(C1846,""ja"",""vi"")"),"Đấu giá&gt; ô tô, xe máy&gt; Phụ kiện&gt; thảm sàn&gt; cho Chrysler")</f>
        <v>Đấu giá&gt; ô tô, xe máy&gt; Phụ kiện&gt; thảm sàn&gt; cho Chrysler</v>
      </c>
      <c r="F1846" t="str">
        <f t="shared" ca="1" si="28"/>
        <v>"2084203817" : "Đối với Chrysler",</v>
      </c>
    </row>
    <row r="1847" spans="1:6" ht="15.75" customHeight="1">
      <c r="A1847" s="18">
        <v>2084203796</v>
      </c>
      <c r="B1847" s="18" t="s">
        <v>14657</v>
      </c>
      <c r="C1847" s="18" t="s">
        <v>16893</v>
      </c>
      <c r="D1847" s="5" t="str">
        <f ca="1">IFERROR(__xludf.DUMMYFUNCTION("GOOGLETRANSLATE(B1847,""ja"",""vi"")"),"Đối với Citroen")</f>
        <v>Đối với Citroen</v>
      </c>
      <c r="E1847" s="5" t="str">
        <f ca="1">IFERROR(__xludf.DUMMYFUNCTION("GOOGLETRANSLATE(C1847,""ja"",""vi"")"),"Đấu giá&gt; ô tô, xe máy&gt; Phụ kiện&gt; thảm sàn&gt; cho Citroen")</f>
        <v>Đấu giá&gt; ô tô, xe máy&gt; Phụ kiện&gt; thảm sàn&gt; cho Citroen</v>
      </c>
      <c r="F1847" t="str">
        <f t="shared" ca="1" si="28"/>
        <v>"2084203796" : "Đối với Citroen",</v>
      </c>
    </row>
    <row r="1848" spans="1:6" ht="15.75" customHeight="1">
      <c r="A1848" s="18">
        <v>2084203797</v>
      </c>
      <c r="B1848" s="18" t="s">
        <v>14663</v>
      </c>
      <c r="C1848" s="18" t="s">
        <v>16896</v>
      </c>
      <c r="D1848" s="5" t="str">
        <f ca="1">IFERROR(__xludf.DUMMYFUNCTION("GOOGLETRANSLATE(B1848,""ja"",""vi"")"),"Đối với Chevrolet")</f>
        <v>Đối với Chevrolet</v>
      </c>
      <c r="E1848" s="5" t="str">
        <f ca="1">IFERROR(__xludf.DUMMYFUNCTION("GOOGLETRANSLATE(C1848,""ja"",""vi"")"),"Đấu giá&gt; ô tô, xe máy&gt; Phụ kiện&gt; thảm sàn&gt; cho Chevrolet")</f>
        <v>Đấu giá&gt; ô tô, xe máy&gt; Phụ kiện&gt; thảm sàn&gt; cho Chevrolet</v>
      </c>
      <c r="F1848" t="str">
        <f t="shared" ca="1" si="28"/>
        <v>"2084203797" : "Đối với Chevrolet",</v>
      </c>
    </row>
    <row r="1849" spans="1:6" ht="15.75" customHeight="1">
      <c r="A1849" s="18">
        <v>2084203815</v>
      </c>
      <c r="B1849" s="18" t="s">
        <v>14667</v>
      </c>
      <c r="C1849" s="18" t="s">
        <v>16897</v>
      </c>
      <c r="D1849" s="5" t="str">
        <f ca="1">IFERROR(__xludf.DUMMYFUNCTION("GOOGLETRANSLATE(B1849,""ja"",""vi"")"),"Đối với Jaguar")</f>
        <v>Đối với Jaguar</v>
      </c>
      <c r="E1849" s="5" t="str">
        <f ca="1">IFERROR(__xludf.DUMMYFUNCTION("GOOGLETRANSLATE(C1849,""ja"",""vi"")"),"Đấu giá&gt; ô tô, xe máy&gt; Phụ kiện&gt; thảm sàn&gt; cho Jaguar")</f>
        <v>Đấu giá&gt; ô tô, xe máy&gt; Phụ kiện&gt; thảm sàn&gt; cho Jaguar</v>
      </c>
      <c r="F1849" t="str">
        <f t="shared" ca="1" si="28"/>
        <v>"2084203815" : "Đối với Jaguar",</v>
      </c>
    </row>
    <row r="1850" spans="1:6" ht="15.75" customHeight="1">
      <c r="A1850" s="18">
        <v>2084203798</v>
      </c>
      <c r="B1850" s="18" t="s">
        <v>14671</v>
      </c>
      <c r="C1850" s="18" t="s">
        <v>16898</v>
      </c>
      <c r="D1850" s="5" t="str">
        <f ca="1">IFERROR(__xludf.DUMMYFUNCTION("GOOGLETRANSLATE(B1850,""ja"",""vi"")"),"Đối với Suzuki")</f>
        <v>Đối với Suzuki</v>
      </c>
      <c r="E1850" s="5" t="str">
        <f ca="1">IFERROR(__xludf.DUMMYFUNCTION("GOOGLETRANSLATE(C1850,""ja"",""vi"")"),"Đấu giá&gt; ô tô, xe máy&gt; Phụ kiện&gt; thảm sàn&gt; cho Suzuki")</f>
        <v>Đấu giá&gt; ô tô, xe máy&gt; Phụ kiện&gt; thảm sàn&gt; cho Suzuki</v>
      </c>
      <c r="F1850" t="str">
        <f t="shared" ca="1" si="28"/>
        <v>"2084203798" : "Đối với Suzuki",</v>
      </c>
    </row>
    <row r="1851" spans="1:6" ht="15.75" customHeight="1">
      <c r="A1851" s="18">
        <v>2084203799</v>
      </c>
      <c r="B1851" s="18" t="s">
        <v>14673</v>
      </c>
      <c r="C1851" s="18" t="s">
        <v>16899</v>
      </c>
      <c r="D1851" s="5" t="str">
        <f ca="1">IFERROR(__xludf.DUMMYFUNCTION("GOOGLETRANSLATE(B1851,""ja"",""vi"")"),"Đối với Subaru")</f>
        <v>Đối với Subaru</v>
      </c>
      <c r="E1851" s="5" t="str">
        <f ca="1">IFERROR(__xludf.DUMMYFUNCTION("GOOGLETRANSLATE(C1851,""ja"",""vi"")"),"Đấu giá&gt; ô tô, xe máy&gt; Phụ kiện&gt; thảm sàn&gt; cho Subaru")</f>
        <v>Đấu giá&gt; ô tô, xe máy&gt; Phụ kiện&gt; thảm sàn&gt; cho Subaru</v>
      </c>
      <c r="F1851" t="str">
        <f t="shared" ca="1" si="28"/>
        <v>"2084203799" : "Đối với Subaru",</v>
      </c>
    </row>
    <row r="1852" spans="1:6" ht="15.75" customHeight="1">
      <c r="A1852" s="18">
        <v>2084203800</v>
      </c>
      <c r="B1852" s="18" t="s">
        <v>14677</v>
      </c>
      <c r="C1852" s="18" t="s">
        <v>16900</v>
      </c>
      <c r="D1852" s="5" t="str">
        <f ca="1">IFERROR(__xludf.DUMMYFUNCTION("GOOGLETRANSLATE(B1852,""ja"",""vi"")"),"Đối với Daihatsu")</f>
        <v>Đối với Daihatsu</v>
      </c>
      <c r="E1852" s="5" t="str">
        <f ca="1">IFERROR(__xludf.DUMMYFUNCTION("GOOGLETRANSLATE(C1852,""ja"",""vi"")"),"Đấu giá&gt; ô tô, xe máy&gt; Phụ kiện&gt; thảm sàn&gt; cho Daihatsu")</f>
        <v>Đấu giá&gt; ô tô, xe máy&gt; Phụ kiện&gt; thảm sàn&gt; cho Daihatsu</v>
      </c>
      <c r="F1852" t="str">
        <f t="shared" ca="1" si="28"/>
        <v>"2084203800" : "Đối với Daihatsu",</v>
      </c>
    </row>
    <row r="1853" spans="1:6" ht="15.75" customHeight="1">
      <c r="A1853" s="18">
        <v>2084203801</v>
      </c>
      <c r="B1853" s="18" t="s">
        <v>14682</v>
      </c>
      <c r="C1853" s="18" t="s">
        <v>16901</v>
      </c>
      <c r="D1853" s="5" t="str">
        <f ca="1">IFERROR(__xludf.DUMMYFUNCTION("GOOGLETRANSLATE(B1853,""ja"",""vi"")"),"Đối với Toyota")</f>
        <v>Đối với Toyota</v>
      </c>
      <c r="E1853" s="5" t="str">
        <f ca="1">IFERROR(__xludf.DUMMYFUNCTION("GOOGLETRANSLATE(C1853,""ja"",""vi"")"),"Đấu giá&gt; ô tô, xe máy&gt; Phụ kiện&gt; thảm sàn&gt; cho Toyota")</f>
        <v>Đấu giá&gt; ô tô, xe máy&gt; Phụ kiện&gt; thảm sàn&gt; cho Toyota</v>
      </c>
      <c r="F1853" t="str">
        <f t="shared" ca="1" si="28"/>
        <v>"2084203801" : "Đối với Toyota",</v>
      </c>
    </row>
    <row r="1854" spans="1:6" ht="15.75" customHeight="1">
      <c r="A1854" s="18">
        <v>2084203802</v>
      </c>
      <c r="B1854" s="18" t="s">
        <v>14685</v>
      </c>
      <c r="C1854" s="18" t="s">
        <v>16902</v>
      </c>
      <c r="D1854" s="5" t="str">
        <f ca="1">IFERROR(__xludf.DUMMYFUNCTION("GOOGLETRANSLATE(B1854,""ja"",""vi"")"),"Đối với Fiat")</f>
        <v>Đối với Fiat</v>
      </c>
      <c r="E1854" s="5" t="str">
        <f ca="1">IFERROR(__xludf.DUMMYFUNCTION("GOOGLETRANSLATE(C1854,""ja"",""vi"")"),"Đấu giá&gt; ô tô, xe máy&gt; Phụ kiện&gt; thảm sàn&gt; cho Fiat")</f>
        <v>Đấu giá&gt; ô tô, xe máy&gt; Phụ kiện&gt; thảm sàn&gt; cho Fiat</v>
      </c>
      <c r="F1854" t="str">
        <f t="shared" ca="1" si="28"/>
        <v>"2084203802" : "Đối với Fiat",</v>
      </c>
    </row>
    <row r="1855" spans="1:6" ht="15.75" customHeight="1">
      <c r="A1855" s="18">
        <v>2084203803</v>
      </c>
      <c r="B1855" s="18" t="s">
        <v>14690</v>
      </c>
      <c r="C1855" s="18" t="s">
        <v>16903</v>
      </c>
      <c r="D1855" s="5" t="str">
        <f ca="1">IFERROR(__xludf.DUMMYFUNCTION("GOOGLETRANSLATE(B1855,""ja"",""vi"")"),"Đối với Ford")</f>
        <v>Đối với Ford</v>
      </c>
      <c r="E1855" s="5" t="str">
        <f ca="1">IFERROR(__xludf.DUMMYFUNCTION("GOOGLETRANSLATE(C1855,""ja"",""vi"")"),"Đấu giá&gt; ô tô, xe máy&gt; Phụ kiện&gt; thảm sàn&gt; cho Ford")</f>
        <v>Đấu giá&gt; ô tô, xe máy&gt; Phụ kiện&gt; thảm sàn&gt; cho Ford</v>
      </c>
      <c r="F1855" t="str">
        <f t="shared" ca="1" si="28"/>
        <v>"2084203803" : "Đối với Ford",</v>
      </c>
    </row>
    <row r="1856" spans="1:6" ht="15.75" customHeight="1">
      <c r="A1856" s="18">
        <v>2084203804</v>
      </c>
      <c r="B1856" s="18" t="s">
        <v>14694</v>
      </c>
      <c r="C1856" s="18" t="s">
        <v>16904</v>
      </c>
      <c r="D1856" s="5" t="str">
        <f ca="1">IFERROR(__xludf.DUMMYFUNCTION("GOOGLETRANSLATE(B1856,""ja"",""vi"")"),"Đối với Volkswagen")</f>
        <v>Đối với Volkswagen</v>
      </c>
      <c r="E1856" s="5" t="str">
        <f ca="1">IFERROR(__xludf.DUMMYFUNCTION("GOOGLETRANSLATE(C1856,""ja"",""vi"")"),"Đấu giá&gt; ô tô, xe máy&gt; Phụ kiện&gt; thảm sàn&gt; cho Volkswagen")</f>
        <v>Đấu giá&gt; ô tô, xe máy&gt; Phụ kiện&gt; thảm sàn&gt; cho Volkswagen</v>
      </c>
      <c r="F1856" t="str">
        <f t="shared" ca="1" si="28"/>
        <v>"2084203804" : "Đối với Volkswagen",</v>
      </c>
    </row>
    <row r="1857" spans="1:6" ht="15.75" customHeight="1">
      <c r="A1857" s="18">
        <v>2084203805</v>
      </c>
      <c r="B1857" s="18" t="s">
        <v>14698</v>
      </c>
      <c r="C1857" s="18" t="s">
        <v>16906</v>
      </c>
      <c r="D1857" s="5" t="str">
        <f ca="1">IFERROR(__xludf.DUMMYFUNCTION("GOOGLETRANSLATE(B1857,""ja"",""vi"")"),"Đối với Peugeot")</f>
        <v>Đối với Peugeot</v>
      </c>
      <c r="E1857" s="5" t="str">
        <f ca="1">IFERROR(__xludf.DUMMYFUNCTION("GOOGLETRANSLATE(C1857,""ja"",""vi"")"),"Đấu giá&gt; ô tô, xe máy&gt; Phụ kiện&gt; thảm sàn&gt; cho Peugeot")</f>
        <v>Đấu giá&gt; ô tô, xe máy&gt; Phụ kiện&gt; thảm sàn&gt; cho Peugeot</v>
      </c>
      <c r="F1857" t="str">
        <f t="shared" ca="1" si="28"/>
        <v>"2084203805" : "Đối với Peugeot",</v>
      </c>
    </row>
    <row r="1858" spans="1:6" ht="15.75" customHeight="1">
      <c r="A1858" s="18">
        <v>2084203806</v>
      </c>
      <c r="B1858" s="18" t="s">
        <v>14701</v>
      </c>
      <c r="C1858" s="18" t="s">
        <v>16908</v>
      </c>
      <c r="D1858" s="5" t="str">
        <f ca="1">IFERROR(__xludf.DUMMYFUNCTION("GOOGLETRANSLATE(B1858,""ja"",""vi"")"),"Đối với Honda")</f>
        <v>Đối với Honda</v>
      </c>
      <c r="E1858" s="5" t="str">
        <f ca="1">IFERROR(__xludf.DUMMYFUNCTION("GOOGLETRANSLATE(C1858,""ja"",""vi"")"),"Đấu giá&gt; ô tô, xe máy&gt; Phụ kiện&gt; thảm sàn&gt; cho Honda")</f>
        <v>Đấu giá&gt; ô tô, xe máy&gt; Phụ kiện&gt; thảm sàn&gt; cho Honda</v>
      </c>
      <c r="F1858" t="str">
        <f t="shared" ref="F1858:F1921" ca="1" si="29">CONCATENATE(CHAR(34)&amp;"",A1858,""&amp;CHAR(34)," : ", CHAR(34)&amp;"",D1858,""&amp;CHAR(34),",")</f>
        <v>"2084203806" : "Đối với Honda",</v>
      </c>
    </row>
    <row r="1859" spans="1:6" ht="15.75" customHeight="1">
      <c r="A1859" s="18">
        <v>2084203807</v>
      </c>
      <c r="B1859" s="18" t="s">
        <v>14705</v>
      </c>
      <c r="C1859" s="18" t="s">
        <v>16912</v>
      </c>
      <c r="D1859" s="5" t="str">
        <f ca="1">IFERROR(__xludf.DUMMYFUNCTION("GOOGLETRANSLATE(B1859,""ja"",""vi"")"),"Đối với Volvo")</f>
        <v>Đối với Volvo</v>
      </c>
      <c r="E1859" s="5" t="str">
        <f ca="1">IFERROR(__xludf.DUMMYFUNCTION("GOOGLETRANSLATE(C1859,""ja"",""vi"")"),"Đấu giá&gt; ô tô, xe máy&gt; Phụ kiện&gt; thảm sàn&gt; cho Volvo")</f>
        <v>Đấu giá&gt; ô tô, xe máy&gt; Phụ kiện&gt; thảm sàn&gt; cho Volvo</v>
      </c>
      <c r="F1859" t="str">
        <f t="shared" ca="1" si="29"/>
        <v>"2084203807" : "Đối với Volvo",</v>
      </c>
    </row>
    <row r="1860" spans="1:6" ht="15.75" customHeight="1">
      <c r="A1860" s="18">
        <v>2084203808</v>
      </c>
      <c r="B1860" s="18" t="s">
        <v>14709</v>
      </c>
      <c r="C1860" s="18" t="s">
        <v>16916</v>
      </c>
      <c r="D1860" s="5" t="str">
        <f ca="1">IFERROR(__xludf.DUMMYFUNCTION("GOOGLETRANSLATE(B1860,""ja"",""vi"")"),"Đối với Porsche")</f>
        <v>Đối với Porsche</v>
      </c>
      <c r="E1860" s="5" t="str">
        <f ca="1">IFERROR(__xludf.DUMMYFUNCTION("GOOGLETRANSLATE(C1860,""ja"",""vi"")"),"Đấu giá&gt; ô tô, xe máy&gt; Phụ kiện&gt; thảm sàn&gt; cho Porsche")</f>
        <v>Đấu giá&gt; ô tô, xe máy&gt; Phụ kiện&gt; thảm sàn&gt; cho Porsche</v>
      </c>
      <c r="F1860" t="str">
        <f t="shared" ca="1" si="29"/>
        <v>"2084203808" : "Đối với Porsche",</v>
      </c>
    </row>
    <row r="1861" spans="1:6" ht="15.75" customHeight="1">
      <c r="A1861" s="18">
        <v>2084203809</v>
      </c>
      <c r="B1861" s="18" t="s">
        <v>14713</v>
      </c>
      <c r="C1861" s="18" t="s">
        <v>16920</v>
      </c>
      <c r="D1861" s="5" t="str">
        <f ca="1">IFERROR(__xludf.DUMMYFUNCTION("GOOGLETRANSLATE(B1861,""ja"",""vi"")"),"Đối với Mazda")</f>
        <v>Đối với Mazda</v>
      </c>
      <c r="E1861" s="5" t="str">
        <f ca="1">IFERROR(__xludf.DUMMYFUNCTION("GOOGLETRANSLATE(C1861,""ja"",""vi"")"),"Đấu giá&gt; ô tô, xe máy&gt; Phụ kiện&gt; thảm sàn&gt; cho Mazda")</f>
        <v>Đấu giá&gt; ô tô, xe máy&gt; Phụ kiện&gt; thảm sàn&gt; cho Mazda</v>
      </c>
      <c r="F1861" t="str">
        <f t="shared" ca="1" si="29"/>
        <v>"2084203809" : "Đối với Mazda",</v>
      </c>
    </row>
    <row r="1862" spans="1:6" ht="15.75" customHeight="1">
      <c r="A1862" s="18">
        <v>2084203810</v>
      </c>
      <c r="B1862" s="18" t="s">
        <v>14717</v>
      </c>
      <c r="C1862" s="18" t="s">
        <v>16921</v>
      </c>
      <c r="D1862" s="5" t="str">
        <f ca="1">IFERROR(__xludf.DUMMYFUNCTION("GOOGLETRANSLATE(B1862,""ja"",""vi"")"),"Mini")</f>
        <v>Mini</v>
      </c>
      <c r="E1862" s="5" t="str">
        <f ca="1">IFERROR(__xludf.DUMMYFUNCTION("GOOGLETRANSLATE(C1862,""ja"",""vi"")"),"Đấu giá&gt; ô tô, xe máy&gt; Phụ kiện&gt; thảm sàn&gt; mini")</f>
        <v>Đấu giá&gt; ô tô, xe máy&gt; Phụ kiện&gt; thảm sàn&gt; mini</v>
      </c>
      <c r="F1862" t="str">
        <f t="shared" ca="1" si="29"/>
        <v>"2084203810" : "Mini",</v>
      </c>
    </row>
    <row r="1863" spans="1:6" ht="15.75" customHeight="1">
      <c r="A1863" s="18">
        <v>2084203811</v>
      </c>
      <c r="B1863" s="18" t="s">
        <v>14720</v>
      </c>
      <c r="C1863" s="18" t="s">
        <v>16923</v>
      </c>
      <c r="D1863" s="5" t="str">
        <f ca="1">IFERROR(__xludf.DUMMYFUNCTION("GOOGLETRANSLATE(B1863,""ja"",""vi"")"),"Đối với Mercedes-Benz")</f>
        <v>Đối với Mercedes-Benz</v>
      </c>
      <c r="E1863" s="5" t="str">
        <f ca="1">IFERROR(__xludf.DUMMYFUNCTION("GOOGLETRANSLATE(C1863,""ja"",""vi"")"),"Đấu giá&gt; ô tô, xe máy&gt; Phụ kiện&gt; thảm sàn&gt; cho Mercedes-Benz")</f>
        <v>Đấu giá&gt; ô tô, xe máy&gt; Phụ kiện&gt; thảm sàn&gt; cho Mercedes-Benz</v>
      </c>
      <c r="F1863" t="str">
        <f t="shared" ca="1" si="29"/>
        <v>"2084203811" : "Đối với Mercedes-Benz",</v>
      </c>
    </row>
    <row r="1864" spans="1:6" ht="15.75" customHeight="1">
      <c r="A1864" s="18">
        <v>2084203816</v>
      </c>
      <c r="B1864" s="18" t="s">
        <v>14870</v>
      </c>
      <c r="C1864" s="18" t="s">
        <v>16925</v>
      </c>
      <c r="D1864" s="5" t="str">
        <f ca="1">IFERROR(__xludf.DUMMYFUNCTION("GOOGLETRANSLATE(B1864,""ja"",""vi"")"),"Đối với Lancia")</f>
        <v>Đối với Lancia</v>
      </c>
      <c r="E1864" s="5" t="str">
        <f ca="1">IFERROR(__xludf.DUMMYFUNCTION("GOOGLETRANSLATE(C1864,""ja"",""vi"")"),"Đấu giá&gt; ô tô, xe máy&gt; Phụ kiện&gt; thảm sàn&gt; Lancia")</f>
        <v>Đấu giá&gt; ô tô, xe máy&gt; Phụ kiện&gt; thảm sàn&gt; Lancia</v>
      </c>
      <c r="F1864" t="str">
        <f t="shared" ca="1" si="29"/>
        <v>"2084203816" : "Đối với Lancia",</v>
      </c>
    </row>
    <row r="1865" spans="1:6" ht="15.75" customHeight="1">
      <c r="A1865" s="18">
        <v>2084203812</v>
      </c>
      <c r="B1865" s="18" t="s">
        <v>14724</v>
      </c>
      <c r="C1865" s="18" t="s">
        <v>16926</v>
      </c>
      <c r="D1865" s="5" t="str">
        <f ca="1">IFERROR(__xludf.DUMMYFUNCTION("GOOGLETRANSLATE(B1865,""ja"",""vi"")"),"Đối với Renault")</f>
        <v>Đối với Renault</v>
      </c>
      <c r="E1865" s="5" t="str">
        <f ca="1">IFERROR(__xludf.DUMMYFUNCTION("GOOGLETRANSLATE(C1865,""ja"",""vi"")"),"Đấu giá&gt; ô tô, xe máy&gt; Phụ kiện&gt; thảm sàn&gt; cho Renault")</f>
        <v>Đấu giá&gt; ô tô, xe máy&gt; Phụ kiện&gt; thảm sàn&gt; cho Renault</v>
      </c>
      <c r="F1865" t="str">
        <f t="shared" ca="1" si="29"/>
        <v>"2084203812" : "Đối với Renault",</v>
      </c>
    </row>
    <row r="1866" spans="1:6" ht="15.75" customHeight="1">
      <c r="A1866" s="18">
        <v>2084230500</v>
      </c>
      <c r="B1866" s="18" t="s">
        <v>14729</v>
      </c>
      <c r="C1866" s="18" t="s">
        <v>16928</v>
      </c>
      <c r="D1866" s="5" t="str">
        <f ca="1">IFERROR(__xludf.DUMMYFUNCTION("GOOGLETRANSLATE(B1866,""ja"",""vi"")"),"Đối với Lexus")</f>
        <v>Đối với Lexus</v>
      </c>
      <c r="E1866" s="5" t="str">
        <f ca="1">IFERROR(__xludf.DUMMYFUNCTION("GOOGLETRANSLATE(C1866,""ja"",""vi"")"),"Đấu giá&gt; ô tô, xe máy&gt; Phụ kiện&gt; thảm sàn&gt; cho Lexus")</f>
        <v>Đấu giá&gt; ô tô, xe máy&gt; Phụ kiện&gt; thảm sàn&gt; cho Lexus</v>
      </c>
      <c r="F1866" t="str">
        <f t="shared" ca="1" si="29"/>
        <v>"2084230500" : "Đối với Lexus",</v>
      </c>
    </row>
    <row r="1867" spans="1:6" ht="15.75" customHeight="1">
      <c r="A1867" s="18">
        <v>2084203813</v>
      </c>
      <c r="B1867" s="18" t="s">
        <v>14734</v>
      </c>
      <c r="C1867" s="18" t="s">
        <v>16930</v>
      </c>
      <c r="D1867" s="5" t="str">
        <f ca="1">IFERROR(__xludf.DUMMYFUNCTION("GOOGLETRANSLATE(B1867,""ja"",""vi"")"),"Đối với Mitsubishi")</f>
        <v>Đối với Mitsubishi</v>
      </c>
      <c r="E1867" s="5" t="str">
        <f ca="1">IFERROR(__xludf.DUMMYFUNCTION("GOOGLETRANSLATE(C1867,""ja"",""vi"")"),"Đấu giá&gt; ô tô, xe máy&gt; Phụ kiện&gt; thảm sàn&gt; cho Mitsubishi")</f>
        <v>Đấu giá&gt; ô tô, xe máy&gt; Phụ kiện&gt; thảm sàn&gt; cho Mitsubishi</v>
      </c>
      <c r="F1867" t="str">
        <f t="shared" ca="1" si="29"/>
        <v>"2084203813" : "Đối với Mitsubishi",</v>
      </c>
    </row>
    <row r="1868" spans="1:6" ht="15.75" customHeight="1">
      <c r="A1868" s="18">
        <v>2084203814</v>
      </c>
      <c r="B1868" s="18" t="s">
        <v>14737</v>
      </c>
      <c r="C1868" s="18" t="s">
        <v>16932</v>
      </c>
      <c r="D1868" s="5" t="str">
        <f ca="1">IFERROR(__xludf.DUMMYFUNCTION("GOOGLETRANSLATE(B1868,""ja"",""vi"")"),"Đối với Nissan")</f>
        <v>Đối với Nissan</v>
      </c>
      <c r="E1868" s="5" t="str">
        <f ca="1">IFERROR(__xludf.DUMMYFUNCTION("GOOGLETRANSLATE(C1868,""ja"",""vi"")"),"Đấu giá&gt; ô tô, xe máy&gt; Phụ kiện&gt; thảm sàn&gt; cho Nissan")</f>
        <v>Đấu giá&gt; ô tô, xe máy&gt; Phụ kiện&gt; thảm sàn&gt; cho Nissan</v>
      </c>
      <c r="F1868" t="str">
        <f t="shared" ca="1" si="29"/>
        <v>"2084203814" : "Đối với Nissan",</v>
      </c>
    </row>
    <row r="1869" spans="1:6" ht="15.75" customHeight="1">
      <c r="A1869" s="18">
        <v>2084203818</v>
      </c>
      <c r="B1869" s="18" t="s">
        <v>46</v>
      </c>
      <c r="C1869" s="18" t="s">
        <v>16934</v>
      </c>
      <c r="D1869" s="5" t="str">
        <f ca="1">IFERROR(__xludf.DUMMYFUNCTION("GOOGLETRANSLATE(B1869,""ja"",""vi"")"),"nếu không thì")</f>
        <v>nếu không thì</v>
      </c>
      <c r="E1869" s="5" t="str">
        <f ca="1">IFERROR(__xludf.DUMMYFUNCTION("GOOGLETRANSLATE(C1869,""ja"",""vi"")"),"Đấu giá&gt; ô tô, xe máy&gt; Phụ kiện&gt; thảm sàn&gt; Khác")</f>
        <v>Đấu giá&gt; ô tô, xe máy&gt; Phụ kiện&gt; thảm sàn&gt; Khác</v>
      </c>
      <c r="F1869" t="str">
        <f t="shared" ca="1" si="29"/>
        <v>"2084203818" : "nếu không thì",</v>
      </c>
    </row>
    <row r="1870" spans="1:6" ht="15.75" customHeight="1">
      <c r="A1870" s="18">
        <v>2084213110</v>
      </c>
      <c r="B1870" s="18" t="s">
        <v>16935</v>
      </c>
      <c r="C1870" s="18" t="s">
        <v>16936</v>
      </c>
      <c r="D1870" s="5" t="str">
        <f ca="1">IFERROR(__xludf.DUMMYFUNCTION("GOOGLETRANSLATE(B1870,""ja"",""vi"")"),"khoang chở hành lý")</f>
        <v>khoang chở hành lý</v>
      </c>
      <c r="E1870" s="5" t="str">
        <f ca="1">IFERROR(__xludf.DUMMYFUNCTION("GOOGLETRANSLATE(C1870,""ja"",""vi"")"),"Đấu giá&gt; ô tô, xe máy&gt; Phụ kiện&gt; cơ thể bìa&gt; station wagon")</f>
        <v>Đấu giá&gt; ô tô, xe máy&gt; Phụ kiện&gt; cơ thể bìa&gt; station wagon</v>
      </c>
      <c r="F1870" t="str">
        <f t="shared" ca="1" si="29"/>
        <v>"2084213110" : "khoang chở hành lý",</v>
      </c>
    </row>
    <row r="1871" spans="1:6" ht="15.75" customHeight="1">
      <c r="A1871" s="18">
        <v>2084213111</v>
      </c>
      <c r="B1871" s="18" t="s">
        <v>16939</v>
      </c>
      <c r="C1871" s="18" t="s">
        <v>16940</v>
      </c>
      <c r="D1871" s="5" t="str">
        <f ca="1">IFERROR(__xludf.DUMMYFUNCTION("GOOGLETRANSLATE(B1871,""ja"",""vi"")"),"Sedan, cho coupe")</f>
        <v>Sedan, cho coupe</v>
      </c>
      <c r="E1871" s="5" t="str">
        <f ca="1">IFERROR(__xludf.DUMMYFUNCTION("GOOGLETRANSLATE(C1871,""ja"",""vi"")"),"Đấu giá&gt; ô tô, xe máy&gt; Phụ kiện&gt; cơ thể bìa&gt; sedan, coupe cho")</f>
        <v>Đấu giá&gt; ô tô, xe máy&gt; Phụ kiện&gt; cơ thể bìa&gt; sedan, coupe cho</v>
      </c>
      <c r="F1871" t="str">
        <f t="shared" ca="1" si="29"/>
        <v>"2084213111" : "Sedan, cho coupe",</v>
      </c>
    </row>
    <row r="1872" spans="1:6" ht="15.75" customHeight="1">
      <c r="A1872" s="18">
        <v>2084213112</v>
      </c>
      <c r="B1872" s="18" t="s">
        <v>16941</v>
      </c>
      <c r="C1872" s="18" t="s">
        <v>16942</v>
      </c>
      <c r="D1872" s="5" t="str">
        <f ca="1">IFERROR(__xludf.DUMMYFUNCTION("GOOGLETRANSLATE(B1872,""ja"",""vi"")"),"Hatchback, đối với toa xe cao")</f>
        <v>Hatchback, đối với toa xe cao</v>
      </c>
      <c r="E1872" s="5" t="str">
        <f ca="1">IFERROR(__xludf.DUMMYFUNCTION("GOOGLETRANSLATE(C1872,""ja"",""vi"")"),"Đấu giá&gt; ô tô, xe máy&gt; Phụ kiện&gt; nắp body&gt; hatchback, cho toa xe cao")</f>
        <v>Đấu giá&gt; ô tô, xe máy&gt; Phụ kiện&gt; nắp body&gt; hatchback, cho toa xe cao</v>
      </c>
      <c r="F1872" t="str">
        <f t="shared" ca="1" si="29"/>
        <v>"2084213112" : "Hatchback, đối với toa xe cao",</v>
      </c>
    </row>
    <row r="1873" spans="1:6" ht="15.75" customHeight="1">
      <c r="A1873" s="18">
        <v>2084213109</v>
      </c>
      <c r="B1873" s="18" t="s">
        <v>16944</v>
      </c>
      <c r="C1873" s="18" t="s">
        <v>16945</v>
      </c>
      <c r="D1873" s="5" t="str">
        <f ca="1">IFERROR(__xludf.DUMMYFUNCTION("GOOGLETRANSLATE(B1873,""ja"",""vi"")"),"Minivan, một hộp")</f>
        <v>Minivan, một hộp</v>
      </c>
      <c r="E1873" s="5" t="str">
        <f ca="1">IFERROR(__xludf.DUMMYFUNCTION("GOOGLETRANSLATE(C1873,""ja"",""vi"")"),"Đấu giá&gt; ô tô, xe máy&gt; Phụ kiện&gt; cơ thể bìa&gt; minivan, một hộp")</f>
        <v>Đấu giá&gt; ô tô, xe máy&gt; Phụ kiện&gt; cơ thể bìa&gt; minivan, một hộp</v>
      </c>
      <c r="F1873" t="str">
        <f t="shared" ca="1" si="29"/>
        <v>"2084213109" : "Minivan, một hộp",</v>
      </c>
    </row>
    <row r="1874" spans="1:6" ht="15.75" customHeight="1">
      <c r="A1874" s="18">
        <v>2084213113</v>
      </c>
      <c r="B1874" s="18" t="s">
        <v>16947</v>
      </c>
      <c r="C1874" s="18" t="s">
        <v>16948</v>
      </c>
      <c r="D1874" s="5" t="str">
        <f ca="1">IFERROR(__xludf.DUMMYFUNCTION("GOOGLETRANSLATE(B1874,""ja"",""vi"")"),"Đối với xe ánh sáng")</f>
        <v>Đối với xe ánh sáng</v>
      </c>
      <c r="E1874" s="5" t="str">
        <f ca="1">IFERROR(__xludf.DUMMYFUNCTION("GOOGLETRANSLATE(C1874,""ja"",""vi"")"),"Đấu giá&gt; ô tô, xe máy&gt; Phụ kiện&gt; nắp body&gt; cho xe ánh sáng")</f>
        <v>Đấu giá&gt; ô tô, xe máy&gt; Phụ kiện&gt; nắp body&gt; cho xe ánh sáng</v>
      </c>
      <c r="F1874" t="str">
        <f t="shared" ca="1" si="29"/>
        <v>"2084213113" : "Đối với xe ánh sáng",</v>
      </c>
    </row>
    <row r="1875" spans="1:6" ht="15.75" customHeight="1">
      <c r="A1875" s="18">
        <v>2084213115</v>
      </c>
      <c r="B1875" s="18" t="s">
        <v>16950</v>
      </c>
      <c r="C1875" s="18" t="s">
        <v>16951</v>
      </c>
      <c r="D1875" s="5" t="str">
        <f ca="1">IFERROR(__xludf.DUMMYFUNCTION("GOOGLETRANSLATE(B1875,""ja"",""vi"")"),"chất khử mùi")</f>
        <v>chất khử mùi</v>
      </c>
      <c r="E1875" s="5" t="str">
        <f ca="1">IFERROR(__xludf.DUMMYFUNCTION("GOOGLETRANSLATE(C1875,""ja"",""vi"")"),"Đấu giá&gt; ô tô, xe máy&gt; Phụ kiện&gt; nước hoa, chất khử mùi&gt; khử mùi")</f>
        <v>Đấu giá&gt; ô tô, xe máy&gt; Phụ kiện&gt; nước hoa, chất khử mùi&gt; khử mùi</v>
      </c>
      <c r="F1875" t="str">
        <f t="shared" ca="1" si="29"/>
        <v>"2084213115" : "chất khử mùi",</v>
      </c>
    </row>
    <row r="1876" spans="1:6" ht="15.75" customHeight="1">
      <c r="A1876" s="18">
        <v>2084213114</v>
      </c>
      <c r="B1876" s="18" t="s">
        <v>16953</v>
      </c>
      <c r="C1876" s="18" t="s">
        <v>16954</v>
      </c>
      <c r="D1876" s="5" t="str">
        <f ca="1">IFERROR(__xludf.DUMMYFUNCTION("GOOGLETRANSLATE(B1876,""ja"",""vi"")"),"Hương Thơm")</f>
        <v>Hương Thơm</v>
      </c>
      <c r="E1876" s="5" t="str">
        <f ca="1">IFERROR(__xludf.DUMMYFUNCTION("GOOGLETRANSLATE(C1876,""ja"",""vi"")"),"Đấu giá&gt; ô tô, xe máy&gt; Phụ kiện&gt; hương thơm, chất khử mùi&gt; nước hoa")</f>
        <v>Đấu giá&gt; ô tô, xe máy&gt; Phụ kiện&gt; hương thơm, chất khử mùi&gt; nước hoa</v>
      </c>
      <c r="F1876" t="str">
        <f t="shared" ca="1" si="29"/>
        <v>"2084213114" : "Hương Thơm",</v>
      </c>
    </row>
    <row r="1877" spans="1:6" ht="15.75" customHeight="1">
      <c r="A1877" s="18">
        <v>2084213132</v>
      </c>
      <c r="B1877" s="18" t="s">
        <v>46</v>
      </c>
      <c r="C1877" s="18" t="s">
        <v>16956</v>
      </c>
      <c r="D1877" s="5" t="str">
        <f ca="1">IFERROR(__xludf.DUMMYFUNCTION("GOOGLETRANSLATE(B1877,""ja"",""vi"")"),"nếu không thì")</f>
        <v>nếu không thì</v>
      </c>
      <c r="E1877" s="5" t="str">
        <f ca="1">IFERROR(__xludf.DUMMYFUNCTION("GOOGLETRANSLATE(C1877,""ja"",""vi"")"),"Đấu giá&gt; ô tô, xe máy&gt; Phụ kiện&gt; nước hoa, chất khử mùi&gt; Khác")</f>
        <v>Đấu giá&gt; ô tô, xe máy&gt; Phụ kiện&gt; nước hoa, chất khử mùi&gt; Khác</v>
      </c>
      <c r="F1877" t="str">
        <f t="shared" ca="1" si="29"/>
        <v>"2084213132" : "nếu không thì",</v>
      </c>
    </row>
    <row r="1878" spans="1:6" ht="15.75" customHeight="1">
      <c r="A1878" s="18">
        <v>2084213742</v>
      </c>
      <c r="B1878" s="18" t="s">
        <v>16844</v>
      </c>
      <c r="C1878" s="18" t="s">
        <v>16958</v>
      </c>
      <c r="D1878" s="5" t="str">
        <f ca="1">IFERROR(__xludf.DUMMYFUNCTION("GOOGLETRANSLATE(B1878,""ja"",""vi"")"),"yên cương")</f>
        <v>yên cương</v>
      </c>
      <c r="E1878" s="5" t="str">
        <f ca="1">IFERROR(__xludf.DUMMYFUNCTION("GOOGLETRANSLATE(C1878,""ja"",""vi"")"),"Đấu giá&gt; ô tô, xe máy&gt; Phụ kiện&gt; điều khiển từ xa khởi động&gt; khai thác")</f>
        <v>Đấu giá&gt; ô tô, xe máy&gt; Phụ kiện&gt; điều khiển từ xa khởi động&gt; khai thác</v>
      </c>
      <c r="F1878" t="str">
        <f t="shared" ca="1" si="29"/>
        <v>"2084213742" : "yên cương",</v>
      </c>
    </row>
    <row r="1879" spans="1:6" ht="15.75" customHeight="1">
      <c r="A1879" s="18">
        <v>2084213741</v>
      </c>
      <c r="B1879" s="18" t="s">
        <v>16960</v>
      </c>
      <c r="C1879" s="18" t="s">
        <v>16961</v>
      </c>
      <c r="D1879" s="5" t="str">
        <f ca="1">IFERROR(__xludf.DUMMYFUNCTION("GOOGLETRANSLATE(B1879,""ja"",""vi"")"),"Bên ngoài cơ thể")</f>
        <v>Bên ngoài cơ thể</v>
      </c>
      <c r="E1879" s="5" t="str">
        <f ca="1">IFERROR(__xludf.DUMMYFUNCTION("GOOGLETRANSLATE(C1879,""ja"",""vi"")"),"Đấu giá&gt; ô tô, xe máy&gt; Phụ kiện&gt; khởi động điều khiển từ xa&gt; bên ngoài cơ thể")</f>
        <v>Đấu giá&gt; ô tô, xe máy&gt; Phụ kiện&gt; khởi động điều khiển từ xa&gt; bên ngoài cơ thể</v>
      </c>
      <c r="F1879" t="str">
        <f t="shared" ca="1" si="29"/>
        <v>"2084213741" : "Bên ngoài cơ thể",</v>
      </c>
    </row>
    <row r="1880" spans="1:6" ht="15.75" customHeight="1">
      <c r="A1880" s="18">
        <v>2084213740</v>
      </c>
      <c r="B1880" s="18" t="s">
        <v>16963</v>
      </c>
      <c r="C1880" s="18" t="s">
        <v>16964</v>
      </c>
      <c r="D1880" s="5" t="str">
        <f ca="1">IFERROR(__xludf.DUMMYFUNCTION("GOOGLETRANSLATE(B1880,""ja"",""vi"")"),"cơ thể chính hãng")</f>
        <v>cơ thể chính hãng</v>
      </c>
      <c r="E1880" s="5" t="str">
        <f ca="1">IFERROR(__xludf.DUMMYFUNCTION("GOOGLETRANSLATE(C1880,""ja"",""vi"")"),"Đấu giá&gt; ô tô, xe máy&gt; Phụ kiện&gt; điều khiển từ xa khởi động&gt; cơ thể chính hãng")</f>
        <v>Đấu giá&gt; ô tô, xe máy&gt; Phụ kiện&gt; điều khiển từ xa khởi động&gt; cơ thể chính hãng</v>
      </c>
      <c r="F1880" t="str">
        <f t="shared" ca="1" si="29"/>
        <v>"2084213740" : "cơ thể chính hãng",</v>
      </c>
    </row>
    <row r="1881" spans="1:6" ht="15.75" customHeight="1">
      <c r="A1881" s="18">
        <v>2084213743</v>
      </c>
      <c r="B1881" s="18" t="s">
        <v>46</v>
      </c>
      <c r="C1881" s="18" t="s">
        <v>16966</v>
      </c>
      <c r="D1881" s="5" t="str">
        <f ca="1">IFERROR(__xludf.DUMMYFUNCTION("GOOGLETRANSLATE(B1881,""ja"",""vi"")"),"nếu không thì")</f>
        <v>nếu không thì</v>
      </c>
      <c r="E1881" s="5" t="str">
        <f ca="1">IFERROR(__xludf.DUMMYFUNCTION("GOOGLETRANSLATE(C1881,""ja"",""vi"")"),"Đấu giá&gt; ô tô, xe máy&gt; Phụ kiện&gt; điều khiển từ xa khởi động&gt; Khác")</f>
        <v>Đấu giá&gt; ô tô, xe máy&gt; Phụ kiện&gt; điều khiển từ xa khởi động&gt; Khác</v>
      </c>
      <c r="F1881" t="str">
        <f t="shared" ca="1" si="29"/>
        <v>"2084213743" : "nếu không thì",</v>
      </c>
    </row>
    <row r="1882" spans="1:6" ht="15.75" customHeight="1">
      <c r="A1882" s="18">
        <v>2084213748</v>
      </c>
      <c r="B1882" s="18" t="s">
        <v>16968</v>
      </c>
      <c r="C1882" s="18" t="s">
        <v>16969</v>
      </c>
      <c r="D1882" s="5" t="str">
        <f ca="1">IFERROR(__xludf.DUMMYFUNCTION("GOOGLETRANSLATE(B1882,""ja"",""vi"")"),"gương trang bìa")</f>
        <v>gương trang bìa</v>
      </c>
      <c r="E1882" s="5" t="str">
        <f ca="1">IFERROR(__xludf.DUMMYFUNCTION("GOOGLETRANSLATE(C1882,""ja"",""vi"")"),"Đấu giá&gt; ô tô, xe máy&gt; Phụ kiện&gt; phòng gương&gt; bìa gương")</f>
        <v>Đấu giá&gt; ô tô, xe máy&gt; Phụ kiện&gt; phòng gương&gt; bìa gương</v>
      </c>
      <c r="F1882" t="str">
        <f t="shared" ca="1" si="29"/>
        <v>"2084213748" : "gương trang bìa",</v>
      </c>
    </row>
    <row r="1883" spans="1:6" ht="15.75" customHeight="1">
      <c r="A1883" s="18">
        <v>2084213747</v>
      </c>
      <c r="B1883" s="18" t="s">
        <v>16972</v>
      </c>
      <c r="C1883" s="18" t="s">
        <v>16973</v>
      </c>
      <c r="D1883" s="5" t="str">
        <f ca="1">IFERROR(__xludf.DUMMYFUNCTION("GOOGLETRANSLATE(B1883,""ja"",""vi"")"),"Thân gương")</f>
        <v>Thân gương</v>
      </c>
      <c r="E1883" s="5" t="str">
        <f ca="1">IFERROR(__xludf.DUMMYFUNCTION("GOOGLETRANSLATE(C1883,""ja"",""vi"")"),"Đấu giá&gt; ô tô, xe máy&gt; Phụ kiện&gt; phòng gương&gt; body gương")</f>
        <v>Đấu giá&gt; ô tô, xe máy&gt; Phụ kiện&gt; phòng gương&gt; body gương</v>
      </c>
      <c r="F1883" t="str">
        <f t="shared" ca="1" si="29"/>
        <v>"2084213747" : "Thân gương",</v>
      </c>
    </row>
    <row r="1884" spans="1:6" ht="15.75" customHeight="1">
      <c r="A1884" s="18">
        <v>2084213749</v>
      </c>
      <c r="B1884" s="18" t="s">
        <v>46</v>
      </c>
      <c r="C1884" s="18" t="s">
        <v>16977</v>
      </c>
      <c r="D1884" s="5" t="str">
        <f ca="1">IFERROR(__xludf.DUMMYFUNCTION("GOOGLETRANSLATE(B1884,""ja"",""vi"")"),"nếu không thì")</f>
        <v>nếu không thì</v>
      </c>
      <c r="E1884" s="5" t="str">
        <f ca="1">IFERROR(__xludf.DUMMYFUNCTION("GOOGLETRANSLATE(C1884,""ja"",""vi"")"),"Đấu giá&gt; ô tô, xe máy&gt; Phụ kiện&gt; gương phòng&gt; Khác")</f>
        <v>Đấu giá&gt; ô tô, xe máy&gt; Phụ kiện&gt; gương phòng&gt; Khác</v>
      </c>
      <c r="F1884" t="str">
        <f t="shared" ca="1" si="29"/>
        <v>"2084213749" : "nếu không thì",</v>
      </c>
    </row>
    <row r="1885" spans="1:6" ht="15.75" customHeight="1">
      <c r="A1885" s="18">
        <v>2084210960</v>
      </c>
      <c r="B1885" s="18" t="s">
        <v>16981</v>
      </c>
      <c r="C1885" s="18" t="s">
        <v>16982</v>
      </c>
      <c r="D1885" s="5" t="str">
        <f ca="1">IFERROR(__xludf.DUMMYFUNCTION("GOOGLETRANSLATE(B1885,""ja"",""vi"")"),"Body (GPS được cài đặt)")</f>
        <v>Body (GPS được cài đặt)</v>
      </c>
      <c r="E1885" s="5" t="str">
        <f ca="1">IFERROR(__xludf.DUMMYFUNCTION("GOOGLETRANSLATE(C1885,""ja"",""vi"")"),"Đấu giá&gt; ô tô, xe máy&gt; Phụ kiện&gt; máy dò radar&gt; cơ thể (GPS được cài đặt)")</f>
        <v>Đấu giá&gt; ô tô, xe máy&gt; Phụ kiện&gt; máy dò radar&gt; cơ thể (GPS được cài đặt)</v>
      </c>
      <c r="F1885" t="str">
        <f t="shared" ca="1" si="29"/>
        <v>"2084210960" : "Body (GPS được cài đặt)",</v>
      </c>
    </row>
    <row r="1886" spans="1:6" ht="15.75" customHeight="1">
      <c r="A1886" s="18">
        <v>2084210961</v>
      </c>
      <c r="B1886" s="18" t="s">
        <v>16985</v>
      </c>
      <c r="C1886" s="18" t="s">
        <v>16987</v>
      </c>
      <c r="D1886" s="5" t="str">
        <f ca="1">IFERROR(__xludf.DUMMYFUNCTION("GOOGLETRANSLATE(B1886,""ja"",""vi"")"),"Body (GPS không được trang bị)")</f>
        <v>Body (GPS không được trang bị)</v>
      </c>
      <c r="E1886" s="5" t="str">
        <f ca="1">IFERROR(__xludf.DUMMYFUNCTION("GOOGLETRANSLATE(C1886,""ja"",""vi"")"),"Đấu giá&gt; ô tô, xe máy&gt; Phụ kiện&gt; máy dò radar&gt; cơ thể (GPS không được trang bị)")</f>
        <v>Đấu giá&gt; ô tô, xe máy&gt; Phụ kiện&gt; máy dò radar&gt; cơ thể (GPS không được trang bị)</v>
      </c>
      <c r="F1886" t="str">
        <f t="shared" ca="1" si="29"/>
        <v>"2084210961" : "Body (GPS không được trang bị)",</v>
      </c>
    </row>
    <row r="1887" spans="1:6" ht="15.75" customHeight="1">
      <c r="A1887" s="18">
        <v>2084210962</v>
      </c>
      <c r="B1887" s="18" t="s">
        <v>46</v>
      </c>
      <c r="C1887" s="18" t="s">
        <v>16989</v>
      </c>
      <c r="D1887" s="5" t="str">
        <f ca="1">IFERROR(__xludf.DUMMYFUNCTION("GOOGLETRANSLATE(B1887,""ja"",""vi"")"),"nếu không thì")</f>
        <v>nếu không thì</v>
      </c>
      <c r="E1887" s="5" t="str">
        <f ca="1">IFERROR(__xludf.DUMMYFUNCTION("GOOGLETRANSLATE(C1887,""ja"",""vi"")"),"Đấu giá&gt; ô tô, xe máy&gt; Phụ kiện&gt; Radar Detectors&gt; Khác")</f>
        <v>Đấu giá&gt; ô tô, xe máy&gt; Phụ kiện&gt; Radar Detectors&gt; Khác</v>
      </c>
      <c r="F1887" t="str">
        <f t="shared" ca="1" si="29"/>
        <v>"2084210962" : "nếu không thì",</v>
      </c>
    </row>
    <row r="1888" spans="1:6" ht="15.75" customHeight="1">
      <c r="A1888" s="18">
        <v>2084242663</v>
      </c>
      <c r="B1888" s="18" t="s">
        <v>13446</v>
      </c>
      <c r="C1888" s="18" t="s">
        <v>13447</v>
      </c>
      <c r="D1888" s="5" t="str">
        <f ca="1">IFERROR(__xludf.DUMMYFUNCTION("GOOGLETRANSLATE(B1888,""ja"",""vi"")"),"Aprica")</f>
        <v>Aprica</v>
      </c>
      <c r="E1888" s="5" t="str">
        <f ca="1">IFERROR(__xludf.DUMMYFUNCTION("GOOGLETRANSLATE(C1888,""ja"",""vi"")"),"Đấu giá&gt; ô tô, xe máy&gt; An toàn&gt; ghế trẻ em&gt; Aprica")</f>
        <v>Đấu giá&gt; ô tô, xe máy&gt; An toàn&gt; ghế trẻ em&gt; Aprica</v>
      </c>
      <c r="F1888" t="str">
        <f t="shared" ca="1" si="29"/>
        <v>"2084242663" : "Aprica",</v>
      </c>
    </row>
    <row r="1889" spans="1:6" ht="15.75" customHeight="1">
      <c r="A1889" s="18">
        <v>2084242664</v>
      </c>
      <c r="B1889" s="18" t="s">
        <v>13452</v>
      </c>
      <c r="C1889" s="18" t="s">
        <v>13453</v>
      </c>
      <c r="D1889" s="5" t="str">
        <f ca="1">IFERROR(__xludf.DUMMYFUNCTION("GOOGLETRANSLATE(B1889,""ja"",""vi"")"),"phối hợp")</f>
        <v>phối hợp</v>
      </c>
      <c r="E1889" s="5" t="str">
        <f ca="1">IFERROR(__xludf.DUMMYFUNCTION("GOOGLETRANSLATE(C1889,""ja"",""vi"")"),"Đấu giá&gt; ô tô, xe máy&gt; An toàn&gt; ghế trẻ em&gt; kết hợp")</f>
        <v>Đấu giá&gt; ô tô, xe máy&gt; An toàn&gt; ghế trẻ em&gt; kết hợp</v>
      </c>
      <c r="F1889" t="str">
        <f t="shared" ca="1" si="29"/>
        <v>"2084242664" : "phối hợp",</v>
      </c>
    </row>
    <row r="1890" spans="1:6" ht="15.75" customHeight="1">
      <c r="A1890" s="18">
        <v>2084242665</v>
      </c>
      <c r="B1890" s="18" t="s">
        <v>13457</v>
      </c>
      <c r="C1890" s="18" t="s">
        <v>13459</v>
      </c>
      <c r="D1890" s="5" t="str">
        <f ca="1">IFERROR(__xludf.DUMMYFUNCTION("GOOGLETRANSLATE(B1890,""ja"",""vi"")"),"Recaro")</f>
        <v>Recaro</v>
      </c>
      <c r="E1890" s="5" t="str">
        <f ca="1">IFERROR(__xludf.DUMMYFUNCTION("GOOGLETRANSLATE(C1890,""ja"",""vi"")"),"Đấu giá&gt; ô tô, xe máy&gt; An toàn&gt; ghế trẻ em&gt; Recaro")</f>
        <v>Đấu giá&gt; ô tô, xe máy&gt; An toàn&gt; ghế trẻ em&gt; Recaro</v>
      </c>
      <c r="F1890" t="str">
        <f t="shared" ca="1" si="29"/>
        <v>"2084242665" : "Recaro",</v>
      </c>
    </row>
    <row r="1891" spans="1:6" ht="15.75" customHeight="1">
      <c r="A1891" s="18">
        <v>2084242666</v>
      </c>
      <c r="B1891" s="18" t="s">
        <v>46</v>
      </c>
      <c r="C1891" s="18" t="s">
        <v>13465</v>
      </c>
      <c r="D1891" s="5" t="str">
        <f ca="1">IFERROR(__xludf.DUMMYFUNCTION("GOOGLETRANSLATE(B1891,""ja"",""vi"")"),"nếu không thì")</f>
        <v>nếu không thì</v>
      </c>
      <c r="E1891" s="5" t="str">
        <f ca="1">IFERROR(__xludf.DUMMYFUNCTION("GOOGLETRANSLATE(C1891,""ja"",""vi"")"),"Đấu giá&gt; ô tô, xe máy&gt; An toàn&gt; ghế trẻ em&gt; Khác")</f>
        <v>Đấu giá&gt; ô tô, xe máy&gt; An toàn&gt; ghế trẻ em&gt; Khác</v>
      </c>
      <c r="F1891" t="str">
        <f t="shared" ca="1" si="29"/>
        <v>"2084242666" : "nếu không thì",</v>
      </c>
    </row>
    <row r="1892" spans="1:6" ht="15.75" customHeight="1">
      <c r="A1892" s="18">
        <v>2084242667</v>
      </c>
      <c r="B1892" s="18" t="s">
        <v>17001</v>
      </c>
      <c r="C1892" s="18" t="s">
        <v>17002</v>
      </c>
      <c r="D1892" s="5" t="str">
        <f ca="1">IFERROR(__xludf.DUMMYFUNCTION("GOOGLETRANSLATE(B1892,""ja"",""vi"")"),"Belt cơ thể")</f>
        <v>Belt cơ thể</v>
      </c>
      <c r="E1892" s="5" t="str">
        <f ca="1">IFERROR(__xludf.DUMMYFUNCTION("GOOGLETRANSLATE(C1892,""ja"",""vi"")"),"Đấu giá&gt; ô tô, xe máy&gt; An toàn&gt; dây an toàn&gt; cơ thể vành đai")</f>
        <v>Đấu giá&gt; ô tô, xe máy&gt; An toàn&gt; dây an toàn&gt; cơ thể vành đai</v>
      </c>
      <c r="F1892" t="str">
        <f t="shared" ca="1" si="29"/>
        <v>"2084242667" : "Belt cơ thể",</v>
      </c>
    </row>
    <row r="1893" spans="1:6" ht="15.75" customHeight="1">
      <c r="A1893" s="18">
        <v>2084242668</v>
      </c>
      <c r="B1893" s="18" t="s">
        <v>15117</v>
      </c>
      <c r="C1893" s="18" t="s">
        <v>17004</v>
      </c>
      <c r="D1893" s="5" t="str">
        <f ca="1">IFERROR(__xludf.DUMMYFUNCTION("GOOGLETRANSLATE(B1893,""ja"",""vi"")"),"tập giấy")</f>
        <v>tập giấy</v>
      </c>
      <c r="E1893" s="5" t="str">
        <f ca="1">IFERROR(__xludf.DUMMYFUNCTION("GOOGLETRANSLATE(C1893,""ja"",""vi"")"),"Đấu giá&gt; ô tô, xe máy&gt; An toàn&gt; dây an toàn&gt; pad")</f>
        <v>Đấu giá&gt; ô tô, xe máy&gt; An toàn&gt; dây an toàn&gt; pad</v>
      </c>
      <c r="F1893" t="str">
        <f t="shared" ca="1" si="29"/>
        <v>"2084242668" : "tập giấy",</v>
      </c>
    </row>
    <row r="1894" spans="1:6" ht="15.75" customHeight="1">
      <c r="A1894" s="18">
        <v>2084242669</v>
      </c>
      <c r="B1894" s="18" t="s">
        <v>46</v>
      </c>
      <c r="C1894" s="18" t="s">
        <v>17007</v>
      </c>
      <c r="D1894" s="5" t="str">
        <f ca="1">IFERROR(__xludf.DUMMYFUNCTION("GOOGLETRANSLATE(B1894,""ja"",""vi"")"),"nếu không thì")</f>
        <v>nếu không thì</v>
      </c>
      <c r="E1894" s="5" t="str">
        <f ca="1">IFERROR(__xludf.DUMMYFUNCTION("GOOGLETRANSLATE(C1894,""ja"",""vi"")"),"Đấu giá&gt; ô tô, xe máy&gt; An toàn&gt; dây an toàn&gt; Khác")</f>
        <v>Đấu giá&gt; ô tô, xe máy&gt; An toàn&gt; dây an toàn&gt; Khác</v>
      </c>
      <c r="F1894" t="str">
        <f t="shared" ca="1" si="29"/>
        <v>"2084242669" : "nếu không thì",</v>
      </c>
    </row>
    <row r="1895" spans="1:6" ht="15.75" customHeight="1">
      <c r="A1895" s="18">
        <v>2084291449</v>
      </c>
      <c r="B1895" s="18" t="s">
        <v>17010</v>
      </c>
      <c r="C1895" s="18" t="s">
        <v>17011</v>
      </c>
      <c r="D1895" s="5" t="str">
        <f ca="1">IFERROR(__xludf.DUMMYFUNCTION("GOOGLETRANSLATE(B1895,""ja"",""vi"")"),"đứa bé")</f>
        <v>đứa bé</v>
      </c>
      <c r="E1895" s="5" t="str">
        <f ca="1">IFERROR(__xludf.DUMMYFUNCTION("GOOGLETRANSLATE(C1895,""ja"",""vi"")"),"Đấu giá&gt; ô tô, xe máy&gt; Phụ kiện&gt; dán, decal&gt; dấu hiệu ổ đĩa&gt; Baby")</f>
        <v>Đấu giá&gt; ô tô, xe máy&gt; Phụ kiện&gt; dán, decal&gt; dấu hiệu ổ đĩa&gt; Baby</v>
      </c>
      <c r="F1895" t="str">
        <f t="shared" ca="1" si="29"/>
        <v>"2084291449" : "đứa bé",</v>
      </c>
    </row>
    <row r="1896" spans="1:6" ht="15.75" customHeight="1">
      <c r="A1896" s="18">
        <v>2084291451</v>
      </c>
      <c r="B1896" s="18" t="s">
        <v>17014</v>
      </c>
      <c r="C1896" s="18" t="s">
        <v>17015</v>
      </c>
      <c r="D1896" s="5" t="str">
        <f ca="1">IFERROR(__xludf.DUMMYFUNCTION("GOOGLETRANSLATE(B1896,""ja"",""vi"")"),"Đối với người già")</f>
        <v>Đối với người già</v>
      </c>
      <c r="E1896" s="5" t="str">
        <f ca="1">IFERROR(__xludf.DUMMYFUNCTION("GOOGLETRANSLATE(C1896,""ja"",""vi"")"),"Đấu giá&gt; ô tô, xe máy&gt; Phụ kiện&gt; dán, decal&gt; dấu hiệu ổ đĩa&gt; cho người già")</f>
        <v>Đấu giá&gt; ô tô, xe máy&gt; Phụ kiện&gt; dán, decal&gt; dấu hiệu ổ đĩa&gt; cho người già</v>
      </c>
      <c r="F1896" t="str">
        <f t="shared" ca="1" si="29"/>
        <v>"2084291451" : "Đối với người già",</v>
      </c>
    </row>
    <row r="1897" spans="1:6" ht="15.75" customHeight="1">
      <c r="A1897" s="18">
        <v>2084291450</v>
      </c>
      <c r="B1897" s="18" t="s">
        <v>17018</v>
      </c>
      <c r="C1897" s="18" t="s">
        <v>17020</v>
      </c>
      <c r="D1897" s="5" t="str">
        <f ca="1">IFERROR(__xludf.DUMMYFUNCTION("GOOGLETRANSLATE(B1897,""ja"",""vi"")"),"Đối với người mới bắt đầu")</f>
        <v>Đối với người mới bắt đầu</v>
      </c>
      <c r="E1897" s="5" t="str">
        <f ca="1">IFERROR(__xludf.DUMMYFUNCTION("GOOGLETRANSLATE(C1897,""ja"",""vi"")"),"Đấu giá&gt; ô tô, xe máy&gt; Phụ kiện&gt; dán, decal&gt; dấu hiệu ổ đĩa&gt; cho người mới bắt đầu")</f>
        <v>Đấu giá&gt; ô tô, xe máy&gt; Phụ kiện&gt; dán, decal&gt; dấu hiệu ổ đĩa&gt; cho người mới bắt đầu</v>
      </c>
      <c r="F1897" t="str">
        <f t="shared" ca="1" si="29"/>
        <v>"2084291450" : "Đối với người mới bắt đầu",</v>
      </c>
    </row>
    <row r="1898" spans="1:6" ht="15.75" customHeight="1">
      <c r="A1898" s="18">
        <v>2084291452</v>
      </c>
      <c r="B1898" s="18" t="s">
        <v>17022</v>
      </c>
      <c r="C1898" s="18" t="s">
        <v>17023</v>
      </c>
      <c r="D1898" s="5" t="str">
        <f ca="1">IFERROR(__xludf.DUMMYFUNCTION("GOOGLETRANSLATE(B1898,""ja"",""vi"")"),"cho người khuyết tật")</f>
        <v>cho người khuyết tật</v>
      </c>
      <c r="E1898" s="5" t="str">
        <f ca="1">IFERROR(__xludf.DUMMYFUNCTION("GOOGLETRANSLATE(C1898,""ja"",""vi"")"),"Đấu giá&gt; ô tô, xe máy&gt; Phụ kiện&gt; dán, decal&gt; dấu hiệu ổ đĩa&gt; cho người khuyết tật")</f>
        <v>Đấu giá&gt; ô tô, xe máy&gt; Phụ kiện&gt; dán, decal&gt; dấu hiệu ổ đĩa&gt; cho người khuyết tật</v>
      </c>
      <c r="F1898" t="str">
        <f t="shared" ca="1" si="29"/>
        <v>"2084291452" : "cho người khuyết tật",</v>
      </c>
    </row>
    <row r="1899" spans="1:6" ht="15.75" customHeight="1">
      <c r="A1899" s="18">
        <v>2084291717</v>
      </c>
      <c r="B1899" s="18" t="s">
        <v>46</v>
      </c>
      <c r="C1899" s="18" t="s">
        <v>17025</v>
      </c>
      <c r="D1899" s="5" t="str">
        <f ca="1">IFERROR(__xludf.DUMMYFUNCTION("GOOGLETRANSLATE(B1899,""ja"",""vi"")"),"nếu không thì")</f>
        <v>nếu không thì</v>
      </c>
      <c r="E1899" s="5" t="str">
        <f ca="1">IFERROR(__xludf.DUMMYFUNCTION("GOOGLETRANSLATE(C1899,""ja"",""vi"")"),"Đấu giá&gt; ô tô, xe máy&gt; Phụ kiện&gt; dán, decal&gt; dấu hiệu ổ đĩa&gt; Khác")</f>
        <v>Đấu giá&gt; ô tô, xe máy&gt; Phụ kiện&gt; dán, decal&gt; dấu hiệu ổ đĩa&gt; Khác</v>
      </c>
      <c r="F1899" t="str">
        <f t="shared" ca="1" si="29"/>
        <v>"2084291717" : "nếu không thì",</v>
      </c>
    </row>
    <row r="1900" spans="1:6" ht="15.75" customHeight="1">
      <c r="A1900" s="18">
        <v>2084291432</v>
      </c>
      <c r="B1900" s="18" t="s">
        <v>15890</v>
      </c>
      <c r="C1900" s="18" t="s">
        <v>16854</v>
      </c>
      <c r="D1900" s="5" t="str">
        <f ca="1">IFERROR(__xludf.DUMMYFUNCTION("GOOGLETRANSLATE(B1900,""ja"",""vi"")"),"Eclipse")</f>
        <v>Eclipse</v>
      </c>
      <c r="E1900" s="5" t="str">
        <f ca="1">IFERROR(__xludf.DUMMYFUNCTION("GOOGLETRANSLATE(C1900,""ja"",""vi"")"),"Đấu giá&gt; ô tô, xe máy&gt; Phụ kiện&gt; ổ ghi&gt; Eclipse")</f>
        <v>Đấu giá&gt; ô tô, xe máy&gt; Phụ kiện&gt; ổ ghi&gt; Eclipse</v>
      </c>
      <c r="F1900" t="str">
        <f t="shared" ca="1" si="29"/>
        <v>"2084291432" : "Eclipse",</v>
      </c>
    </row>
    <row r="1901" spans="1:6" ht="15.75" customHeight="1">
      <c r="A1901" s="18">
        <v>2084291431</v>
      </c>
      <c r="B1901" s="18" t="s">
        <v>16858</v>
      </c>
      <c r="C1901" s="18" t="s">
        <v>16859</v>
      </c>
      <c r="D1901" s="5" t="str">
        <f ca="1">IFERROR(__xludf.DUMMYFUNCTION("GOOGLETRANSLATE(B1901,""ja"",""vi"")"),"Maruhama")</f>
        <v>Maruhama</v>
      </c>
      <c r="E1901" s="5" t="str">
        <f ca="1">IFERROR(__xludf.DUMMYFUNCTION("GOOGLETRANSLATE(C1901,""ja"",""vi"")"),"Đấu giá&gt; ô tô, xe máy&gt; Phụ kiện&gt; ổ ghi&gt; Maruhama")</f>
        <v>Đấu giá&gt; ô tô, xe máy&gt; Phụ kiện&gt; ổ ghi&gt; Maruhama</v>
      </c>
      <c r="F1901" t="str">
        <f t="shared" ca="1" si="29"/>
        <v>"2084291431" : "Maruhama",</v>
      </c>
    </row>
    <row r="1902" spans="1:6" ht="15.75" customHeight="1">
      <c r="A1902" s="18">
        <v>2084291433</v>
      </c>
      <c r="B1902" s="18" t="s">
        <v>15913</v>
      </c>
      <c r="C1902" s="18" t="s">
        <v>16860</v>
      </c>
      <c r="D1902" s="5" t="str">
        <f ca="1">IFERROR(__xludf.DUMMYFUNCTION("GOOGLETRANSLATE(B1902,""ja"",""vi"")"),"sao Mộc")</f>
        <v>sao Mộc</v>
      </c>
      <c r="E1902" s="5" t="str">
        <f ca="1">IFERROR(__xludf.DUMMYFUNCTION("GOOGLETRANSLATE(C1902,""ja"",""vi"")"),"Đấu giá&gt; ô tô, xe máy&gt; Phụ kiện&gt; ổ ghi&gt; Jupiter")</f>
        <v>Đấu giá&gt; ô tô, xe máy&gt; Phụ kiện&gt; ổ ghi&gt; Jupiter</v>
      </c>
      <c r="F1902" t="str">
        <f t="shared" ca="1" si="29"/>
        <v>"2084291433" : "sao Mộc",</v>
      </c>
    </row>
    <row r="1903" spans="1:6" ht="15.75" customHeight="1">
      <c r="A1903" s="18">
        <v>2084291434</v>
      </c>
      <c r="B1903" s="18" t="s">
        <v>16863</v>
      </c>
      <c r="C1903" s="18" t="s">
        <v>16864</v>
      </c>
      <c r="D1903" s="5" t="str">
        <f ca="1">IFERROR(__xludf.DUMMYFUNCTION("GOOGLETRANSLATE(B1903,""ja"",""vi"")"),"Logitech")</f>
        <v>Logitech</v>
      </c>
      <c r="E1903" s="5" t="str">
        <f ca="1">IFERROR(__xludf.DUMMYFUNCTION("GOOGLETRANSLATE(C1903,""ja"",""vi"")"),"Đấu giá&gt; ô tô, xe máy&gt; Phụ kiện&gt; ổ ghi&gt; Logitech")</f>
        <v>Đấu giá&gt; ô tô, xe máy&gt; Phụ kiện&gt; ổ ghi&gt; Logitech</v>
      </c>
      <c r="F1903" t="str">
        <f t="shared" ca="1" si="29"/>
        <v>"2084291434" : "Logitech",</v>
      </c>
    </row>
    <row r="1904" spans="1:6" ht="15.75" customHeight="1">
      <c r="A1904" s="18">
        <v>2084291435</v>
      </c>
      <c r="B1904" s="18" t="s">
        <v>46</v>
      </c>
      <c r="C1904" s="18" t="s">
        <v>16865</v>
      </c>
      <c r="D1904" s="5" t="str">
        <f ca="1">IFERROR(__xludf.DUMMYFUNCTION("GOOGLETRANSLATE(B1904,""ja"",""vi"")"),"nếu không thì")</f>
        <v>nếu không thì</v>
      </c>
      <c r="E1904" s="5" t="str">
        <f ca="1">IFERROR(__xludf.DUMMYFUNCTION("GOOGLETRANSLATE(C1904,""ja"",""vi"")"),"Đấu giá&gt; ô tô, xe máy&gt; Phụ kiện&gt; ổ ghi&gt; Khác")</f>
        <v>Đấu giá&gt; ô tô, xe máy&gt; Phụ kiện&gt; ổ ghi&gt; Khác</v>
      </c>
      <c r="F1904" t="str">
        <f t="shared" ca="1" si="29"/>
        <v>"2084291435" : "nếu không thì",</v>
      </c>
    </row>
    <row r="1905" spans="1:6" ht="15.75" customHeight="1">
      <c r="A1905" s="18">
        <v>2084012444</v>
      </c>
      <c r="B1905" s="18" t="s">
        <v>14230</v>
      </c>
      <c r="C1905" s="18" t="s">
        <v>14231</v>
      </c>
      <c r="D1905" s="5" t="str">
        <f ca="1">IFERROR(__xludf.DUMMYFUNCTION("GOOGLETRANSLATE(B1905,""ja"",""vi"")"),"Mũ bảo hiểm, khiên")</f>
        <v>Mũ bảo hiểm, khiên</v>
      </c>
      <c r="E1905" s="5" t="str">
        <f ca="1">IFERROR(__xludf.DUMMYFUNCTION("GOOGLETRANSLATE(C1905,""ja"",""vi"")"),"Đấu giá&gt; ô tô, xe máy&gt; xe máy&gt; an ninh, an toàn&gt; mũ bảo hiểm, khiên")</f>
        <v>Đấu giá&gt; ô tô, xe máy&gt; xe máy&gt; an ninh, an toàn&gt; mũ bảo hiểm, khiên</v>
      </c>
      <c r="F1905" t="str">
        <f t="shared" ca="1" si="29"/>
        <v>"2084012444" : "Mũ bảo hiểm, khiên",</v>
      </c>
    </row>
    <row r="1906" spans="1:6" ht="15.75" customHeight="1">
      <c r="A1906" s="18">
        <v>2084012443</v>
      </c>
      <c r="B1906" s="18" t="s">
        <v>8353</v>
      </c>
      <c r="C1906" s="18" t="s">
        <v>14233</v>
      </c>
      <c r="D1906" s="5" t="str">
        <f ca="1">IFERROR(__xludf.DUMMYFUNCTION("GOOGLETRANSLATE(B1906,""ja"",""vi"")"),"người bảo vệ")</f>
        <v>người bảo vệ</v>
      </c>
      <c r="E1906" s="5" t="str">
        <f ca="1">IFERROR(__xludf.DUMMYFUNCTION("GOOGLETRANSLATE(C1906,""ja"",""vi"")"),"Đấu giá&gt; ô tô, xe máy&gt; xe máy&gt; an ninh, an toàn&gt; bảo vệ")</f>
        <v>Đấu giá&gt; ô tô, xe máy&gt; xe máy&gt; an ninh, an toàn&gt; bảo vệ</v>
      </c>
      <c r="F1906" t="str">
        <f t="shared" ca="1" si="29"/>
        <v>"2084012443" : "người bảo vệ",</v>
      </c>
    </row>
    <row r="1907" spans="1:6" ht="15.75" customHeight="1">
      <c r="A1907" s="18">
        <v>2084012445</v>
      </c>
      <c r="B1907" s="18" t="s">
        <v>10590</v>
      </c>
      <c r="C1907" s="18" t="s">
        <v>14235</v>
      </c>
      <c r="D1907" s="5" t="str">
        <f ca="1">IFERROR(__xludf.DUMMYFUNCTION("GOOGLETRANSLATE(B1907,""ja"",""vi"")"),"Chìa khóa, khóa")</f>
        <v>Chìa khóa, khóa</v>
      </c>
      <c r="E1907" s="5" t="str">
        <f ca="1">IFERROR(__xludf.DUMMYFUNCTION("GOOGLETRANSLATE(C1907,""ja"",""vi"")"),"Đấu giá&gt; ô tô, xe máy&gt; xe máy&gt; an ninh, an toàn&gt; Phím, khóa")</f>
        <v>Đấu giá&gt; ô tô, xe máy&gt; xe máy&gt; an ninh, an toàn&gt; Phím, khóa</v>
      </c>
      <c r="F1907" t="str">
        <f t="shared" ca="1" si="29"/>
        <v>"2084012445" : "Chìa khóa, khóa",</v>
      </c>
    </row>
    <row r="1908" spans="1:6" ht="15.75" customHeight="1">
      <c r="A1908" s="18">
        <v>2084012442</v>
      </c>
      <c r="B1908" s="18" t="s">
        <v>14237</v>
      </c>
      <c r="C1908" s="18" t="s">
        <v>14238</v>
      </c>
      <c r="D1908" s="5" t="str">
        <f ca="1">IFERROR(__xludf.DUMMYFUNCTION("GOOGLETRANSLATE(B1908,""ja"",""vi"")"),"báo động")</f>
        <v>báo động</v>
      </c>
      <c r="E1908" s="5" t="str">
        <f ca="1">IFERROR(__xludf.DUMMYFUNCTION("GOOGLETRANSLATE(C1908,""ja"",""vi"")"),"Đấu giá&gt; ô tô, xe máy&gt; xe máy&gt; an ninh, an toàn&gt; báo động")</f>
        <v>Đấu giá&gt; ô tô, xe máy&gt; xe máy&gt; an ninh, an toàn&gt; báo động</v>
      </c>
      <c r="F1908" t="str">
        <f t="shared" ca="1" si="29"/>
        <v>"2084012442" : "báo động",</v>
      </c>
    </row>
    <row r="1909" spans="1:6" ht="15.75" customHeight="1">
      <c r="A1909" s="18">
        <v>2084243570</v>
      </c>
      <c r="B1909" s="18" t="s">
        <v>14241</v>
      </c>
      <c r="C1909" s="18" t="s">
        <v>14242</v>
      </c>
      <c r="D1909" s="5" t="str">
        <f ca="1">IFERROR(__xludf.DUMMYFUNCTION("GOOGLETRANSLATE(B1909,""ja"",""vi"")"),"túi khí")</f>
        <v>túi khí</v>
      </c>
      <c r="E1909" s="5" t="str">
        <f ca="1">IFERROR(__xludf.DUMMYFUNCTION("GOOGLETRANSLATE(C1909,""ja"",""vi"")"),"Đấu giá&gt; ô tô, xe máy&gt; xe máy&gt; an ninh, an toàn&gt; túi khí")</f>
        <v>Đấu giá&gt; ô tô, xe máy&gt; xe máy&gt; an ninh, an toàn&gt; túi khí</v>
      </c>
      <c r="F1909" t="str">
        <f t="shared" ca="1" si="29"/>
        <v>"2084243570" : "túi khí",</v>
      </c>
    </row>
    <row r="1910" spans="1:6" ht="15.75" customHeight="1">
      <c r="A1910" s="18">
        <v>2084012446</v>
      </c>
      <c r="B1910" s="18" t="s">
        <v>46</v>
      </c>
      <c r="C1910" s="18" t="s">
        <v>14245</v>
      </c>
      <c r="D1910" s="5" t="str">
        <f ca="1">IFERROR(__xludf.DUMMYFUNCTION("GOOGLETRANSLATE(B1910,""ja"",""vi"")"),"nếu không thì")</f>
        <v>nếu không thì</v>
      </c>
      <c r="E1910" s="5" t="str">
        <f ca="1">IFERROR(__xludf.DUMMYFUNCTION("GOOGLETRANSLATE(C1910,""ja"",""vi"")"),"Đấu giá&gt; ô tô, xe máy&gt; xe máy&gt; an ninh, an toàn&gt; Khác")</f>
        <v>Đấu giá&gt; ô tô, xe máy&gt; xe máy&gt; an ninh, an toàn&gt; Khác</v>
      </c>
      <c r="F1910" t="str">
        <f t="shared" ca="1" si="29"/>
        <v>"2084012446" : "nếu không thì",</v>
      </c>
    </row>
    <row r="1911" spans="1:6" ht="15.75" customHeight="1">
      <c r="A1911" s="18">
        <v>2084291407</v>
      </c>
      <c r="B1911" s="18" t="s">
        <v>14673</v>
      </c>
      <c r="C1911" s="18" t="s">
        <v>17041</v>
      </c>
      <c r="D1911" s="5" t="str">
        <f ca="1">IFERROR(__xludf.DUMMYFUNCTION("GOOGLETRANSLATE(B1911,""ja"",""vi"")"),"Đối với Subaru")</f>
        <v>Đối với Subaru</v>
      </c>
      <c r="E1911" s="5" t="str">
        <f ca="1">IFERROR(__xludf.DUMMYFUNCTION("GOOGLETRANSLATE(C1911,""ja"",""vi"")"),"Đấu giá&gt; ô tô, xe máy&gt; an ninh&gt; keyless entry&gt; cho Subaru")</f>
        <v>Đấu giá&gt; ô tô, xe máy&gt; an ninh&gt; keyless entry&gt; cho Subaru</v>
      </c>
      <c r="F1911" t="str">
        <f t="shared" ca="1" si="29"/>
        <v>"2084291407" : "Đối với Subaru",</v>
      </c>
    </row>
    <row r="1912" spans="1:6" ht="15.75" customHeight="1">
      <c r="A1912" s="18">
        <v>2084291404</v>
      </c>
      <c r="B1912" s="18" t="s">
        <v>14677</v>
      </c>
      <c r="C1912" s="18" t="s">
        <v>17043</v>
      </c>
      <c r="D1912" s="5" t="str">
        <f ca="1">IFERROR(__xludf.DUMMYFUNCTION("GOOGLETRANSLATE(B1912,""ja"",""vi"")"),"Đối với Daihatsu")</f>
        <v>Đối với Daihatsu</v>
      </c>
      <c r="E1912" s="5" t="str">
        <f ca="1">IFERROR(__xludf.DUMMYFUNCTION("GOOGLETRANSLATE(C1912,""ja"",""vi"")"),"Đấu giá&gt; ô tô, xe máy&gt; an ninh&gt; keyless entry&gt; cho Daihatsu")</f>
        <v>Đấu giá&gt; ô tô, xe máy&gt; an ninh&gt; keyless entry&gt; cho Daihatsu</v>
      </c>
      <c r="F1912" t="str">
        <f t="shared" ca="1" si="29"/>
        <v>"2084291404" : "Đối với Daihatsu",</v>
      </c>
    </row>
    <row r="1913" spans="1:6" ht="15.75" customHeight="1">
      <c r="A1913" s="18">
        <v>2084291401</v>
      </c>
      <c r="B1913" s="18" t="s">
        <v>14682</v>
      </c>
      <c r="C1913" s="18" t="s">
        <v>17046</v>
      </c>
      <c r="D1913" s="5" t="str">
        <f ca="1">IFERROR(__xludf.DUMMYFUNCTION("GOOGLETRANSLATE(B1913,""ja"",""vi"")"),"Đối với Toyota")</f>
        <v>Đối với Toyota</v>
      </c>
      <c r="E1913" s="5" t="str">
        <f ca="1">IFERROR(__xludf.DUMMYFUNCTION("GOOGLETRANSLATE(C1913,""ja"",""vi"")"),"Đấu giá&gt; xe hơi, xe máy&gt; an ninh&gt; keyless entry&gt; cho Toyota")</f>
        <v>Đấu giá&gt; xe hơi, xe máy&gt; an ninh&gt; keyless entry&gt; cho Toyota</v>
      </c>
      <c r="F1913" t="str">
        <f t="shared" ca="1" si="29"/>
        <v>"2084291401" : "Đối với Toyota",</v>
      </c>
    </row>
    <row r="1914" spans="1:6" ht="15.75" customHeight="1">
      <c r="A1914" s="18">
        <v>2084291403</v>
      </c>
      <c r="B1914" s="18" t="s">
        <v>14701</v>
      </c>
      <c r="C1914" s="18" t="s">
        <v>17048</v>
      </c>
      <c r="D1914" s="5" t="str">
        <f ca="1">IFERROR(__xludf.DUMMYFUNCTION("GOOGLETRANSLATE(B1914,""ja"",""vi"")"),"Đối với Honda")</f>
        <v>Đối với Honda</v>
      </c>
      <c r="E1914" s="5" t="str">
        <f ca="1">IFERROR(__xludf.DUMMYFUNCTION("GOOGLETRANSLATE(C1914,""ja"",""vi"")"),"Đấu giá&gt; ô tô, xe máy&gt; an ninh&gt; keyless entry&gt; cho Honda")</f>
        <v>Đấu giá&gt; ô tô, xe máy&gt; an ninh&gt; keyless entry&gt; cho Honda</v>
      </c>
      <c r="F1914" t="str">
        <f t="shared" ca="1" si="29"/>
        <v>"2084291403" : "Đối với Honda",</v>
      </c>
    </row>
    <row r="1915" spans="1:6" ht="15.75" customHeight="1">
      <c r="A1915" s="18">
        <v>2084291406</v>
      </c>
      <c r="B1915" s="18" t="s">
        <v>14713</v>
      </c>
      <c r="C1915" s="18" t="s">
        <v>17051</v>
      </c>
      <c r="D1915" s="5" t="str">
        <f ca="1">IFERROR(__xludf.DUMMYFUNCTION("GOOGLETRANSLATE(B1915,""ja"",""vi"")"),"Đối với Mazda")</f>
        <v>Đối với Mazda</v>
      </c>
      <c r="E1915" s="5" t="str">
        <f ca="1">IFERROR(__xludf.DUMMYFUNCTION("GOOGLETRANSLATE(C1915,""ja"",""vi"")"),"Đấu giá&gt; ô tô, xe máy&gt; an ninh&gt; keyless entry&gt; cho Mazda")</f>
        <v>Đấu giá&gt; ô tô, xe máy&gt; an ninh&gt; keyless entry&gt; cho Mazda</v>
      </c>
      <c r="F1915" t="str">
        <f t="shared" ca="1" si="29"/>
        <v>"2084291406" : "Đối với Mazda",</v>
      </c>
    </row>
    <row r="1916" spans="1:6" ht="15.75" customHeight="1">
      <c r="A1916" s="18">
        <v>2084291405</v>
      </c>
      <c r="B1916" s="18" t="s">
        <v>14734</v>
      </c>
      <c r="C1916" s="18" t="s">
        <v>17054</v>
      </c>
      <c r="D1916" s="5" t="str">
        <f ca="1">IFERROR(__xludf.DUMMYFUNCTION("GOOGLETRANSLATE(B1916,""ja"",""vi"")"),"Đối với Mitsubishi")</f>
        <v>Đối với Mitsubishi</v>
      </c>
      <c r="E1916" s="5" t="str">
        <f ca="1">IFERROR(__xludf.DUMMYFUNCTION("GOOGLETRANSLATE(C1916,""ja"",""vi"")"),"Đấu giá&gt; ô tô, xe máy&gt; an ninh&gt; keyless entry&gt; cho Mitsubishi")</f>
        <v>Đấu giá&gt; ô tô, xe máy&gt; an ninh&gt; keyless entry&gt; cho Mitsubishi</v>
      </c>
      <c r="F1916" t="str">
        <f t="shared" ca="1" si="29"/>
        <v>"2084291405" : "Đối với Mitsubishi",</v>
      </c>
    </row>
    <row r="1917" spans="1:6" ht="15.75" customHeight="1">
      <c r="A1917" s="18">
        <v>2084291402</v>
      </c>
      <c r="B1917" s="18" t="s">
        <v>14737</v>
      </c>
      <c r="C1917" s="18" t="s">
        <v>17056</v>
      </c>
      <c r="D1917" s="5" t="str">
        <f ca="1">IFERROR(__xludf.DUMMYFUNCTION("GOOGLETRANSLATE(B1917,""ja"",""vi"")"),"Đối với Nissan")</f>
        <v>Đối với Nissan</v>
      </c>
      <c r="E1917" s="5" t="str">
        <f ca="1">IFERROR(__xludf.DUMMYFUNCTION("GOOGLETRANSLATE(C1917,""ja"",""vi"")"),"Đấu giá&gt; ô tô, xe máy&gt; an ninh&gt; keyless entry&gt; cho Nissan")</f>
        <v>Đấu giá&gt; ô tô, xe máy&gt; an ninh&gt; keyless entry&gt; cho Nissan</v>
      </c>
      <c r="F1917" t="str">
        <f t="shared" ca="1" si="29"/>
        <v>"2084291402" : "Đối với Nissan",</v>
      </c>
    </row>
    <row r="1918" spans="1:6" ht="15.75" customHeight="1">
      <c r="A1918" s="18">
        <v>2084291408</v>
      </c>
      <c r="B1918" s="18" t="s">
        <v>46</v>
      </c>
      <c r="C1918" s="18" t="s">
        <v>17059</v>
      </c>
      <c r="D1918" s="5" t="str">
        <f ca="1">IFERROR(__xludf.DUMMYFUNCTION("GOOGLETRANSLATE(B1918,""ja"",""vi"")"),"nếu không thì")</f>
        <v>nếu không thì</v>
      </c>
      <c r="E1918" s="5" t="str">
        <f ca="1">IFERROR(__xludf.DUMMYFUNCTION("GOOGLETRANSLATE(C1918,""ja"",""vi"")"),"Đấu giá&gt; ô tô, xe máy&gt; an ninh&gt; keyless entry&gt; Khác")</f>
        <v>Đấu giá&gt; ô tô, xe máy&gt; an ninh&gt; keyless entry&gt; Khác</v>
      </c>
      <c r="F1918" t="str">
        <f t="shared" ca="1" si="29"/>
        <v>"2084291408" : "nếu không thì",</v>
      </c>
    </row>
    <row r="1919" spans="1:6" ht="15.75" customHeight="1">
      <c r="A1919" s="18">
        <v>2084012444</v>
      </c>
      <c r="B1919" s="18" t="s">
        <v>14230</v>
      </c>
      <c r="C1919" s="18" t="s">
        <v>14231</v>
      </c>
      <c r="D1919" s="5" t="str">
        <f ca="1">IFERROR(__xludf.DUMMYFUNCTION("GOOGLETRANSLATE(B1919,""ja"",""vi"")"),"Mũ bảo hiểm, khiên")</f>
        <v>Mũ bảo hiểm, khiên</v>
      </c>
      <c r="E1919" s="5" t="str">
        <f ca="1">IFERROR(__xludf.DUMMYFUNCTION("GOOGLETRANSLATE(C1919,""ja"",""vi"")"),"Đấu giá&gt; ô tô, xe máy&gt; xe máy&gt; an ninh, an toàn&gt; mũ bảo hiểm, khiên")</f>
        <v>Đấu giá&gt; ô tô, xe máy&gt; xe máy&gt; an ninh, an toàn&gt; mũ bảo hiểm, khiên</v>
      </c>
      <c r="F1919" t="str">
        <f t="shared" ca="1" si="29"/>
        <v>"2084012444" : "Mũ bảo hiểm, khiên",</v>
      </c>
    </row>
    <row r="1920" spans="1:6" ht="15.75" customHeight="1">
      <c r="A1920" s="18">
        <v>2084012443</v>
      </c>
      <c r="B1920" s="18" t="s">
        <v>8353</v>
      </c>
      <c r="C1920" s="18" t="s">
        <v>14233</v>
      </c>
      <c r="D1920" s="5" t="str">
        <f ca="1">IFERROR(__xludf.DUMMYFUNCTION("GOOGLETRANSLATE(B1920,""ja"",""vi"")"),"người bảo vệ")</f>
        <v>người bảo vệ</v>
      </c>
      <c r="E1920" s="5" t="str">
        <f ca="1">IFERROR(__xludf.DUMMYFUNCTION("GOOGLETRANSLATE(C1920,""ja"",""vi"")"),"Đấu giá&gt; ô tô, xe máy&gt; xe máy&gt; an ninh, an toàn&gt; bảo vệ")</f>
        <v>Đấu giá&gt; ô tô, xe máy&gt; xe máy&gt; an ninh, an toàn&gt; bảo vệ</v>
      </c>
      <c r="F1920" t="str">
        <f t="shared" ca="1" si="29"/>
        <v>"2084012443" : "người bảo vệ",</v>
      </c>
    </row>
    <row r="1921" spans="1:6" ht="15.75" customHeight="1">
      <c r="A1921" s="18">
        <v>2084012445</v>
      </c>
      <c r="B1921" s="18" t="s">
        <v>10590</v>
      </c>
      <c r="C1921" s="18" t="s">
        <v>14235</v>
      </c>
      <c r="D1921" s="5" t="str">
        <f ca="1">IFERROR(__xludf.DUMMYFUNCTION("GOOGLETRANSLATE(B1921,""ja"",""vi"")"),"Chìa khóa, khóa")</f>
        <v>Chìa khóa, khóa</v>
      </c>
      <c r="E1921" s="5" t="str">
        <f ca="1">IFERROR(__xludf.DUMMYFUNCTION("GOOGLETRANSLATE(C1921,""ja"",""vi"")"),"Đấu giá&gt; ô tô, xe máy&gt; xe máy&gt; an ninh, an toàn&gt; Phím, khóa")</f>
        <v>Đấu giá&gt; ô tô, xe máy&gt; xe máy&gt; an ninh, an toàn&gt; Phím, khóa</v>
      </c>
      <c r="F1921" t="str">
        <f t="shared" ca="1" si="29"/>
        <v>"2084012445" : "Chìa khóa, khóa",</v>
      </c>
    </row>
    <row r="1922" spans="1:6" ht="15.75" customHeight="1">
      <c r="A1922" s="18">
        <v>2084012442</v>
      </c>
      <c r="B1922" s="18" t="s">
        <v>14237</v>
      </c>
      <c r="C1922" s="18" t="s">
        <v>14238</v>
      </c>
      <c r="D1922" s="5" t="str">
        <f ca="1">IFERROR(__xludf.DUMMYFUNCTION("GOOGLETRANSLATE(B1922,""ja"",""vi"")"),"báo động")</f>
        <v>báo động</v>
      </c>
      <c r="E1922" s="5" t="str">
        <f ca="1">IFERROR(__xludf.DUMMYFUNCTION("GOOGLETRANSLATE(C1922,""ja"",""vi"")"),"Đấu giá&gt; ô tô, xe máy&gt; xe máy&gt; an ninh, an toàn&gt; báo động")</f>
        <v>Đấu giá&gt; ô tô, xe máy&gt; xe máy&gt; an ninh, an toàn&gt; báo động</v>
      </c>
      <c r="F1922" t="str">
        <f t="shared" ref="F1922:F1985" ca="1" si="30">CONCATENATE(CHAR(34)&amp;"",A1922,""&amp;CHAR(34)," : ", CHAR(34)&amp;"",D1922,""&amp;CHAR(34),",")</f>
        <v>"2084012442" : "báo động",</v>
      </c>
    </row>
    <row r="1923" spans="1:6" ht="15.75" customHeight="1">
      <c r="A1923" s="18">
        <v>2084243570</v>
      </c>
      <c r="B1923" s="18" t="s">
        <v>14241</v>
      </c>
      <c r="C1923" s="18" t="s">
        <v>14242</v>
      </c>
      <c r="D1923" s="5" t="str">
        <f ca="1">IFERROR(__xludf.DUMMYFUNCTION("GOOGLETRANSLATE(B1923,""ja"",""vi"")"),"túi khí")</f>
        <v>túi khí</v>
      </c>
      <c r="E1923" s="5" t="str">
        <f ca="1">IFERROR(__xludf.DUMMYFUNCTION("GOOGLETRANSLATE(C1923,""ja"",""vi"")"),"Đấu giá&gt; ô tô, xe máy&gt; xe máy&gt; an ninh, an toàn&gt; túi khí")</f>
        <v>Đấu giá&gt; ô tô, xe máy&gt; xe máy&gt; an ninh, an toàn&gt; túi khí</v>
      </c>
      <c r="F1923" t="str">
        <f t="shared" ca="1" si="30"/>
        <v>"2084243570" : "túi khí",</v>
      </c>
    </row>
    <row r="1924" spans="1:6" ht="15.75" customHeight="1">
      <c r="A1924" s="18">
        <v>2084012446</v>
      </c>
      <c r="B1924" s="18" t="s">
        <v>46</v>
      </c>
      <c r="C1924" s="18" t="s">
        <v>14245</v>
      </c>
      <c r="D1924" s="5" t="str">
        <f ca="1">IFERROR(__xludf.DUMMYFUNCTION("GOOGLETRANSLATE(B1924,""ja"",""vi"")"),"nếu không thì")</f>
        <v>nếu không thì</v>
      </c>
      <c r="E1924" s="5" t="str">
        <f ca="1">IFERROR(__xludf.DUMMYFUNCTION("GOOGLETRANSLATE(C1924,""ja"",""vi"")"),"Đấu giá&gt; ô tô, xe máy&gt; xe máy&gt; an ninh, an toàn&gt; Khác")</f>
        <v>Đấu giá&gt; ô tô, xe máy&gt; xe máy&gt; an ninh, an toàn&gt; Khác</v>
      </c>
      <c r="F1924" t="str">
        <f t="shared" ca="1" si="30"/>
        <v>"2084012446" : "nếu không thì",</v>
      </c>
    </row>
    <row r="1925" spans="1:6" ht="15.75" customHeight="1">
      <c r="A1925" s="18">
        <v>2084223554</v>
      </c>
      <c r="B1925" s="18" t="s">
        <v>15205</v>
      </c>
      <c r="C1925" s="18" t="s">
        <v>17082</v>
      </c>
      <c r="D1925" s="5" t="str">
        <f ca="1">IFERROR(__xludf.DUMMYFUNCTION("GOOGLETRANSLATE(B1925,""ja"",""vi"")"),"dầu động cơ")</f>
        <v>dầu động cơ</v>
      </c>
      <c r="E1925" s="5" t="str">
        <f ca="1">IFERROR(__xludf.DUMMYFUNCTION("GOOGLETRANSLATE(C1925,""ja"",""vi"")"),"Đấu giá&gt; ô tô, xe máy&gt; bảo dưỡng&gt; dầu&gt; dầu động cơ")</f>
        <v>Đấu giá&gt; ô tô, xe máy&gt; bảo dưỡng&gt; dầu&gt; dầu động cơ</v>
      </c>
      <c r="F1925" t="str">
        <f t="shared" ca="1" si="30"/>
        <v>"2084223554" : "dầu động cơ",</v>
      </c>
    </row>
    <row r="1926" spans="1:6" ht="15.75" customHeight="1">
      <c r="A1926" s="18">
        <v>2084223555</v>
      </c>
      <c r="B1926" s="18" t="s">
        <v>17086</v>
      </c>
      <c r="C1926" s="18" t="s">
        <v>17087</v>
      </c>
      <c r="D1926" s="5" t="str">
        <f ca="1">IFERROR(__xludf.DUMMYFUNCTION("GOOGLETRANSLATE(B1926,""ja"",""vi"")"),"dầu hộp số tự động")</f>
        <v>dầu hộp số tự động</v>
      </c>
      <c r="E1926" s="5" t="str">
        <f ca="1">IFERROR(__xludf.DUMMYFUNCTION("GOOGLETRANSLATE(C1926,""ja"",""vi"")"),"Đấu giá&gt; ô tô, xe máy&gt; bảo dưỡng&gt; dầu&gt; dầu tự động")</f>
        <v>Đấu giá&gt; ô tô, xe máy&gt; bảo dưỡng&gt; dầu&gt; dầu tự động</v>
      </c>
      <c r="F1926" t="str">
        <f t="shared" ca="1" si="30"/>
        <v>"2084223555" : "dầu hộp số tự động",</v>
      </c>
    </row>
    <row r="1927" spans="1:6" ht="15.75" customHeight="1">
      <c r="A1927" s="18">
        <v>2084223557</v>
      </c>
      <c r="B1927" s="18" t="s">
        <v>17092</v>
      </c>
      <c r="C1927" s="18" t="s">
        <v>17094</v>
      </c>
      <c r="D1927" s="5" t="str">
        <f ca="1">IFERROR(__xludf.DUMMYFUNCTION("GOOGLETRANSLATE(B1927,""ja"",""vi"")"),"chất lỏng tay lái trợ lực")</f>
        <v>chất lỏng tay lái trợ lực</v>
      </c>
      <c r="E1927" s="5" t="str">
        <f ca="1">IFERROR(__xludf.DUMMYFUNCTION("GOOGLETRANSLATE(C1927,""ja"",""vi"")"),"Đấu giá&gt; ô tô, xe máy&gt; bảo dưỡng&gt; dầu&gt; chất lỏng tay lái trợ lực")</f>
        <v>Đấu giá&gt; ô tô, xe máy&gt; bảo dưỡng&gt; dầu&gt; chất lỏng tay lái trợ lực</v>
      </c>
      <c r="F1927" t="str">
        <f t="shared" ca="1" si="30"/>
        <v>"2084223557" : "chất lỏng tay lái trợ lực",</v>
      </c>
    </row>
    <row r="1928" spans="1:6" ht="15.75" customHeight="1">
      <c r="A1928" s="18">
        <v>2084223558</v>
      </c>
      <c r="B1928" s="18" t="s">
        <v>17098</v>
      </c>
      <c r="C1928" s="18" t="s">
        <v>17099</v>
      </c>
      <c r="D1928" s="5" t="str">
        <f ca="1">IFERROR(__xludf.DUMMYFUNCTION("GOOGLETRANSLATE(B1928,""ja"",""vi"")"),"dầu phanh")</f>
        <v>dầu phanh</v>
      </c>
      <c r="E1928" s="5" t="str">
        <f ca="1">IFERROR(__xludf.DUMMYFUNCTION("GOOGLETRANSLATE(C1928,""ja"",""vi"")"),"Đấu giá&gt; ô tô, xe máy&gt; bảo dưỡng&gt; dầu&gt; dầu phanh")</f>
        <v>Đấu giá&gt; ô tô, xe máy&gt; bảo dưỡng&gt; dầu&gt; dầu phanh</v>
      </c>
      <c r="F1928" t="str">
        <f t="shared" ca="1" si="30"/>
        <v>"2084223558" : "dầu phanh",</v>
      </c>
    </row>
    <row r="1929" spans="1:6" ht="15.75" customHeight="1">
      <c r="A1929" s="18">
        <v>2084223556</v>
      </c>
      <c r="B1929" s="18" t="s">
        <v>17105</v>
      </c>
      <c r="C1929" s="18" t="s">
        <v>17106</v>
      </c>
      <c r="D1929" s="5" t="str">
        <f ca="1">IFERROR(__xludf.DUMMYFUNCTION("GOOGLETRANSLATE(B1929,""ja"",""vi"")"),"dầu Mission, dầu hộp số")</f>
        <v>dầu Mission, dầu hộp số</v>
      </c>
      <c r="E1929" s="5" t="str">
        <f ca="1">IFERROR(__xludf.DUMMYFUNCTION("GOOGLETRANSLATE(C1929,""ja"",""vi"")"),"Đấu giá&gt; ô tô, xe máy&gt; bảo dưỡng&gt; dầu&gt; dầu sứ mệnh, dầu hộp số")</f>
        <v>Đấu giá&gt; ô tô, xe máy&gt; bảo dưỡng&gt; dầu&gt; dầu sứ mệnh, dầu hộp số</v>
      </c>
      <c r="F1929" t="str">
        <f t="shared" ca="1" si="30"/>
        <v>"2084223556" : "dầu Mission, dầu hộp số",</v>
      </c>
    </row>
    <row r="1930" spans="1:6" ht="15.75" customHeight="1">
      <c r="A1930" s="18">
        <v>2084223559</v>
      </c>
      <c r="B1930" s="18" t="s">
        <v>17110</v>
      </c>
      <c r="C1930" s="18" t="s">
        <v>17112</v>
      </c>
      <c r="D1930" s="5" t="str">
        <f ca="1">IFERROR(__xludf.DUMMYFUNCTION("GOOGLETRANSLATE(B1930,""ja"",""vi"")"),"phụ gia")</f>
        <v>phụ gia</v>
      </c>
      <c r="E1930" s="5" t="str">
        <f ca="1">IFERROR(__xludf.DUMMYFUNCTION("GOOGLETRANSLATE(C1930,""ja"",""vi"")"),"Đấu giá&gt; ô tô, xe máy&gt; bảo dưỡng&gt; dầu&gt; phụ gia")</f>
        <v>Đấu giá&gt; ô tô, xe máy&gt; bảo dưỡng&gt; dầu&gt; phụ gia</v>
      </c>
      <c r="F1930" t="str">
        <f t="shared" ca="1" si="30"/>
        <v>"2084223559" : "phụ gia",</v>
      </c>
    </row>
    <row r="1931" spans="1:6" ht="15.75" customHeight="1">
      <c r="A1931" s="18">
        <v>2084223560</v>
      </c>
      <c r="B1931" s="18" t="s">
        <v>17114</v>
      </c>
      <c r="C1931" s="18" t="s">
        <v>17115</v>
      </c>
      <c r="D1931" s="5" t="str">
        <f ca="1">IFERROR(__xludf.DUMMYFUNCTION("GOOGLETRANSLATE(B1931,""ja"",""vi"")"),"đại lý leakproof")</f>
        <v>đại lý leakproof</v>
      </c>
      <c r="E1931" s="5" t="str">
        <f ca="1">IFERROR(__xludf.DUMMYFUNCTION("GOOGLETRANSLATE(C1931,""ja"",""vi"")"),"Đấu giá&gt; ô tô, xe máy&gt; bảo dưỡng&gt; dầu&gt; đại lý không bị rò rỉ")</f>
        <v>Đấu giá&gt; ô tô, xe máy&gt; bảo dưỡng&gt; dầu&gt; đại lý không bị rò rỉ</v>
      </c>
      <c r="F1931" t="str">
        <f t="shared" ca="1" si="30"/>
        <v>"2084223560" : "đại lý leakproof",</v>
      </c>
    </row>
    <row r="1932" spans="1:6" ht="15.75" customHeight="1">
      <c r="A1932" s="18">
        <v>2084047110</v>
      </c>
      <c r="B1932" s="18" t="s">
        <v>15186</v>
      </c>
      <c r="C1932" s="18" t="s">
        <v>17117</v>
      </c>
      <c r="D1932" s="5" t="str">
        <f ca="1">IFERROR(__xludf.DUMMYFUNCTION("GOOGLETRANSLATE(B1932,""ja"",""vi"")"),"lọc dầu")</f>
        <v>lọc dầu</v>
      </c>
      <c r="E1932" s="5" t="str">
        <f ca="1">IFERROR(__xludf.DUMMYFUNCTION("GOOGLETRANSLATE(C1932,""ja"",""vi"")"),"Đấu giá&gt; ô tô, xe máy&gt; bảo dưỡng&gt; dầu&gt; lọc dầu")</f>
        <v>Đấu giá&gt; ô tô, xe máy&gt; bảo dưỡng&gt; dầu&gt; lọc dầu</v>
      </c>
      <c r="F1932" t="str">
        <f t="shared" ca="1" si="30"/>
        <v>"2084047110" : "lọc dầu",</v>
      </c>
    </row>
    <row r="1933" spans="1:6" ht="15.75" customHeight="1">
      <c r="A1933" s="18">
        <v>2084042060</v>
      </c>
      <c r="B1933" s="18" t="s">
        <v>17119</v>
      </c>
      <c r="C1933" s="18" t="s">
        <v>17120</v>
      </c>
      <c r="D1933" s="5" t="str">
        <f ca="1">IFERROR(__xludf.DUMMYFUNCTION("GOOGLETRANSLATE(B1933,""ja"",""vi"")"),"lọc dầu cờ lê")</f>
        <v>lọc dầu cờ lê</v>
      </c>
      <c r="E1933" s="5" t="str">
        <f ca="1">IFERROR(__xludf.DUMMYFUNCTION("GOOGLETRANSLATE(C1933,""ja"",""vi"")"),"Đấu giá&gt; ô tô, xe máy&gt; bảo dưỡng&gt; dầu&gt; lọc dầu cờ lê")</f>
        <v>Đấu giá&gt; ô tô, xe máy&gt; bảo dưỡng&gt; dầu&gt; lọc dầu cờ lê</v>
      </c>
      <c r="F1933" t="str">
        <f t="shared" ca="1" si="30"/>
        <v>"2084042060" : "lọc dầu cờ lê",</v>
      </c>
    </row>
    <row r="1934" spans="1:6" ht="15.75" customHeight="1">
      <c r="A1934" s="18">
        <v>2084012449</v>
      </c>
      <c r="B1934" s="18" t="s">
        <v>14624</v>
      </c>
      <c r="C1934" s="18" t="s">
        <v>17122</v>
      </c>
      <c r="D1934" s="5" t="str">
        <f ca="1">IFERROR(__xludf.DUMMYFUNCTION("GOOGLETRANSLATE(B1934,""ja"",""vi"")"),"Đối với xe máy")</f>
        <v>Đối với xe máy</v>
      </c>
      <c r="E1934" s="5" t="str">
        <f ca="1">IFERROR(__xludf.DUMMYFUNCTION("GOOGLETRANSLATE(C1934,""ja"",""vi"")"),"Đấu giá&gt; ô tô, xe máy&gt; bảo dưỡng&gt; dầu&gt; cho xe gắn máy")</f>
        <v>Đấu giá&gt; ô tô, xe máy&gt; bảo dưỡng&gt; dầu&gt; cho xe gắn máy</v>
      </c>
      <c r="F1934" t="str">
        <f t="shared" ca="1" si="30"/>
        <v>"2084012449" : "Đối với xe máy",</v>
      </c>
    </row>
    <row r="1935" spans="1:6" ht="15.75" customHeight="1">
      <c r="A1935" s="18">
        <v>2084223561</v>
      </c>
      <c r="B1935" s="18" t="s">
        <v>46</v>
      </c>
      <c r="C1935" s="18" t="s">
        <v>17124</v>
      </c>
      <c r="D1935" s="5" t="str">
        <f ca="1">IFERROR(__xludf.DUMMYFUNCTION("GOOGLETRANSLATE(B1935,""ja"",""vi"")"),"nếu không thì")</f>
        <v>nếu không thì</v>
      </c>
      <c r="E1935" s="5" t="str">
        <f ca="1">IFERROR(__xludf.DUMMYFUNCTION("GOOGLETRANSLATE(C1935,""ja"",""vi"")"),"Đấu giá&gt; ô tô, xe máy&gt; bảo dưỡng&gt; dầu&gt; Khác")</f>
        <v>Đấu giá&gt; ô tô, xe máy&gt; bảo dưỡng&gt; dầu&gt; Khác</v>
      </c>
      <c r="F1935" t="str">
        <f t="shared" ca="1" si="30"/>
        <v>"2084223561" : "nếu không thì",</v>
      </c>
    </row>
    <row r="1936" spans="1:6" ht="15.75" customHeight="1">
      <c r="A1936" s="18">
        <v>2084047115</v>
      </c>
      <c r="B1936" s="18" t="s">
        <v>17127</v>
      </c>
      <c r="C1936" s="18" t="s">
        <v>17128</v>
      </c>
      <c r="D1936" s="5" t="str">
        <f ca="1">IFERROR(__xludf.DUMMYFUNCTION("GOOGLETRANSLATE(B1936,""ja"",""vi"")"),"bọt biển")</f>
        <v>bọt biển</v>
      </c>
      <c r="E1936" s="5" t="str">
        <f ca="1">IFERROR(__xludf.DUMMYFUNCTION("GOOGLETRANSLATE(C1936,""ja"",""vi"")"),"Đấu giá&gt; ô tô, xe máy&gt; bảo trì&gt; rửa xe&gt; xốp")</f>
        <v>Đấu giá&gt; ô tô, xe máy&gt; bảo trì&gt; rửa xe&gt; xốp</v>
      </c>
      <c r="F1936" t="str">
        <f t="shared" ca="1" si="30"/>
        <v>"2084047115" : "bọt biển",</v>
      </c>
    </row>
    <row r="1937" spans="1:6" ht="15.75" customHeight="1">
      <c r="A1937" s="18">
        <v>2084047114</v>
      </c>
      <c r="B1937" s="18" t="s">
        <v>17131</v>
      </c>
      <c r="C1937" s="18" t="s">
        <v>17132</v>
      </c>
      <c r="D1937" s="5" t="str">
        <f ca="1">IFERROR(__xludf.DUMMYFUNCTION("GOOGLETRANSLATE(B1937,""ja"",""vi"")"),"sáp")</f>
        <v>sáp</v>
      </c>
      <c r="E1937" s="5" t="str">
        <f ca="1">IFERROR(__xludf.DUMMYFUNCTION("GOOGLETRANSLATE(C1937,""ja"",""vi"")"),"Đấu giá&gt; ô tô, xe máy&gt; bảo trì&gt; rửa xe&gt; sáp")</f>
        <v>Đấu giá&gt; ô tô, xe máy&gt; bảo trì&gt; rửa xe&gt; sáp</v>
      </c>
      <c r="F1937" t="str">
        <f t="shared" ca="1" si="30"/>
        <v>"2084047114" : "sáp",</v>
      </c>
    </row>
    <row r="1938" spans="1:6" ht="15.75" customHeight="1">
      <c r="A1938" s="18">
        <v>2084047113</v>
      </c>
      <c r="B1938" s="18" t="s">
        <v>17134</v>
      </c>
      <c r="C1938" s="18" t="s">
        <v>17135</v>
      </c>
      <c r="D1938" s="5" t="str">
        <f ca="1">IFERROR(__xludf.DUMMYFUNCTION("GOOGLETRANSLATE(B1938,""ja"",""vi"")"),"chất tẩy rửa")</f>
        <v>chất tẩy rửa</v>
      </c>
      <c r="E1938" s="5" t="str">
        <f ca="1">IFERROR(__xludf.DUMMYFUNCTION("GOOGLETRANSLATE(C1938,""ja"",""vi"")"),"Đấu giá&gt; ô tô, xe máy&gt; bảo trì&gt; rửa xe&gt; chất tẩy rửa")</f>
        <v>Đấu giá&gt; ô tô, xe máy&gt; bảo trì&gt; rửa xe&gt; chất tẩy rửa</v>
      </c>
      <c r="F1938" t="str">
        <f t="shared" ca="1" si="30"/>
        <v>"2084047113" : "chất tẩy rửa",</v>
      </c>
    </row>
    <row r="1939" spans="1:6" ht="15.75" customHeight="1">
      <c r="A1939" s="18">
        <v>2084047116</v>
      </c>
      <c r="B1939" s="18" t="s">
        <v>46</v>
      </c>
      <c r="C1939" s="18" t="s">
        <v>17138</v>
      </c>
      <c r="D1939" s="5" t="str">
        <f ca="1">IFERROR(__xludf.DUMMYFUNCTION("GOOGLETRANSLATE(B1939,""ja"",""vi"")"),"nếu không thì")</f>
        <v>nếu không thì</v>
      </c>
      <c r="E1939" s="5" t="str">
        <f ca="1">IFERROR(__xludf.DUMMYFUNCTION("GOOGLETRANSLATE(C1939,""ja"",""vi"")"),"Đấu giá&gt; ô tô, xe máy&gt; bảo trì&gt; rửa xe&gt; Khác")</f>
        <v>Đấu giá&gt; ô tô, xe máy&gt; bảo trì&gt; rửa xe&gt; Khác</v>
      </c>
      <c r="F1939" t="str">
        <f t="shared" ca="1" si="30"/>
        <v>"2084047116" : "nếu không thì",</v>
      </c>
    </row>
    <row r="1940" spans="1:6" ht="15.75" customHeight="1">
      <c r="A1940" s="18">
        <v>2084228216</v>
      </c>
      <c r="B1940" s="18" t="s">
        <v>17140</v>
      </c>
      <c r="C1940" s="18" t="s">
        <v>17141</v>
      </c>
      <c r="D1940" s="5" t="str">
        <f ca="1">IFERROR(__xludf.DUMMYFUNCTION("GOOGLETRANSLATE(B1940,""ja"",""vi"")"),"Tiêu chuẩn Nhật Bản")</f>
        <v>Tiêu chuẩn Nhật Bản</v>
      </c>
      <c r="E1940" s="5" t="str">
        <f ca="1">IFERROR(__xludf.DUMMYFUNCTION("GOOGLETRANSLATE(C1940,""ja"",""vi"")"),"Đấu giá&gt; ô tô, xe máy&gt; bảo trì&gt; pin&gt; Tiêu chuẩn Nhật Bản")</f>
        <v>Đấu giá&gt; ô tô, xe máy&gt; bảo trì&gt; pin&gt; Tiêu chuẩn Nhật Bản</v>
      </c>
      <c r="F1940" t="str">
        <f t="shared" ca="1" si="30"/>
        <v>"2084228216" : "Tiêu chuẩn Nhật Bản",</v>
      </c>
    </row>
    <row r="1941" spans="1:6" ht="15.75" customHeight="1">
      <c r="A1941" s="18">
        <v>2084228239</v>
      </c>
      <c r="B1941" s="18" t="s">
        <v>17143</v>
      </c>
      <c r="C1941" s="18" t="s">
        <v>17144</v>
      </c>
      <c r="D1941" s="5" t="str">
        <f ca="1">IFERROR(__xludf.DUMMYFUNCTION("GOOGLETRANSLATE(B1941,""ja"",""vi"")"),"tiêu chuẩn châu Âu")</f>
        <v>tiêu chuẩn châu Âu</v>
      </c>
      <c r="E1941" s="5" t="str">
        <f ca="1">IFERROR(__xludf.DUMMYFUNCTION("GOOGLETRANSLATE(C1941,""ja"",""vi"")"),"Đấu giá&gt; ô tô, xe máy&gt; bảo trì&gt; pin&gt; tiêu chuẩn châu Âu")</f>
        <v>Đấu giá&gt; ô tô, xe máy&gt; bảo trì&gt; pin&gt; tiêu chuẩn châu Âu</v>
      </c>
      <c r="F1941" t="str">
        <f t="shared" ca="1" si="30"/>
        <v>"2084228239" : "tiêu chuẩn châu Âu",</v>
      </c>
    </row>
    <row r="1942" spans="1:6" ht="15.75" customHeight="1">
      <c r="A1942" s="18">
        <v>2084228240</v>
      </c>
      <c r="B1942" s="18" t="s">
        <v>17146</v>
      </c>
      <c r="C1942" s="18" t="s">
        <v>17147</v>
      </c>
      <c r="D1942" s="5" t="str">
        <f ca="1">IFERROR(__xludf.DUMMYFUNCTION("GOOGLETRANSLATE(B1942,""ja"",""vi"")"),"Tiêu chuẩn Quốc gia Hoa Kỳ")</f>
        <v>Tiêu chuẩn Quốc gia Hoa Kỳ</v>
      </c>
      <c r="E1942" s="5" t="str">
        <f ca="1">IFERROR(__xludf.DUMMYFUNCTION("GOOGLETRANSLATE(C1942,""ja"",""vi"")"),"Đấu giá&gt; ô tô, xe máy&gt; bảo trì&gt; pin&gt; Tiêu chuẩn Quốc gia Hoa Kỳ")</f>
        <v>Đấu giá&gt; ô tô, xe máy&gt; bảo trì&gt; pin&gt; Tiêu chuẩn Quốc gia Hoa Kỳ</v>
      </c>
      <c r="F1942" t="str">
        <f t="shared" ca="1" si="30"/>
        <v>"2084228240" : "Tiêu chuẩn Quốc gia Hoa Kỳ",</v>
      </c>
    </row>
    <row r="1943" spans="1:6" ht="15.75" customHeight="1">
      <c r="A1943" s="18">
        <v>2084228241</v>
      </c>
      <c r="B1943" s="18" t="s">
        <v>4654</v>
      </c>
      <c r="C1943" s="18" t="s">
        <v>17150</v>
      </c>
      <c r="D1943" s="5" t="str">
        <f ca="1">IFERROR(__xludf.DUMMYFUNCTION("GOOGLETRANSLATE(B1943,""ja"",""vi"")"),"sạc")</f>
        <v>sạc</v>
      </c>
      <c r="E1943" s="5" t="str">
        <f ca="1">IFERROR(__xludf.DUMMYFUNCTION("GOOGLETRANSLATE(C1943,""ja"",""vi"")"),"Đấu giá&gt; ô tô, xe máy&gt; bảo trì&gt; pin&gt; sạc")</f>
        <v>Đấu giá&gt; ô tô, xe máy&gt; bảo trì&gt; pin&gt; sạc</v>
      </c>
      <c r="F1943" t="str">
        <f t="shared" ca="1" si="30"/>
        <v>"2084228241" : "sạc",</v>
      </c>
    </row>
    <row r="1944" spans="1:6" ht="15.75" customHeight="1">
      <c r="A1944" s="18">
        <v>2084005528</v>
      </c>
      <c r="B1944" s="18" t="s">
        <v>14624</v>
      </c>
      <c r="C1944" s="18" t="s">
        <v>17152</v>
      </c>
      <c r="D1944" s="5" t="str">
        <f ca="1">IFERROR(__xludf.DUMMYFUNCTION("GOOGLETRANSLATE(B1944,""ja"",""vi"")"),"Đối với xe máy")</f>
        <v>Đối với xe máy</v>
      </c>
      <c r="E1944" s="5" t="str">
        <f ca="1">IFERROR(__xludf.DUMMYFUNCTION("GOOGLETRANSLATE(C1944,""ja"",""vi"")"),"Đấu giá&gt; ô tô, xe máy&gt; bảo trì&gt; pin&gt; cho xe gắn máy")</f>
        <v>Đấu giá&gt; ô tô, xe máy&gt; bảo trì&gt; pin&gt; cho xe gắn máy</v>
      </c>
      <c r="F1944" t="str">
        <f t="shared" ca="1" si="30"/>
        <v>"2084005528" : "Đối với xe máy",</v>
      </c>
    </row>
    <row r="1945" spans="1:6" ht="15.75" customHeight="1">
      <c r="A1945" s="18">
        <v>2084291764</v>
      </c>
      <c r="B1945" s="18" t="s">
        <v>16806</v>
      </c>
      <c r="C1945" s="18" t="s">
        <v>17155</v>
      </c>
      <c r="D1945" s="5" t="str">
        <f ca="1">IFERROR(__xludf.DUMMYFUNCTION("GOOGLETRANSLATE(B1945,""ja"",""vi"")"),"Theo dõi, cho bãi")</f>
        <v>Theo dõi, cho bãi</v>
      </c>
      <c r="E1945" s="5" t="str">
        <f ca="1">IFERROR(__xludf.DUMMYFUNCTION("GOOGLETRANSLATE(C1945,""ja"",""vi"")"),"Đấu giá&gt; ô tô, xe máy&gt; bảo trì&gt; pin&gt; theo dõi, cho bãi")</f>
        <v>Đấu giá&gt; ô tô, xe máy&gt; bảo trì&gt; pin&gt; theo dõi, cho bãi</v>
      </c>
      <c r="F1945" t="str">
        <f t="shared" ca="1" si="30"/>
        <v>"2084291764" : "Theo dõi, cho bãi",</v>
      </c>
    </row>
    <row r="1946" spans="1:6" ht="15.75" customHeight="1">
      <c r="A1946" s="18">
        <v>2084228242</v>
      </c>
      <c r="B1946" s="18" t="s">
        <v>46</v>
      </c>
      <c r="C1946" s="18" t="s">
        <v>17157</v>
      </c>
      <c r="D1946" s="5" t="str">
        <f ca="1">IFERROR(__xludf.DUMMYFUNCTION("GOOGLETRANSLATE(B1946,""ja"",""vi"")"),"nếu không thì")</f>
        <v>nếu không thì</v>
      </c>
      <c r="E1946" s="5" t="str">
        <f ca="1">IFERROR(__xludf.DUMMYFUNCTION("GOOGLETRANSLATE(C1946,""ja"",""vi"")"),"Đấu giá&gt; ô tô, xe máy&gt; bảo trì&gt; pin&gt; Khác")</f>
        <v>Đấu giá&gt; ô tô, xe máy&gt; bảo trì&gt; pin&gt; Khác</v>
      </c>
      <c r="F1946" t="str">
        <f t="shared" ca="1" si="30"/>
        <v>"2084228242" : "nếu không thì",</v>
      </c>
    </row>
    <row r="1947" spans="1:6" ht="15.75" customHeight="1">
      <c r="A1947" s="18">
        <v>2084201587</v>
      </c>
      <c r="B1947" s="18" t="s">
        <v>14083</v>
      </c>
      <c r="C1947" s="18" t="s">
        <v>17159</v>
      </c>
      <c r="D1947" s="5" t="str">
        <f ca="1">IFERROR(__xludf.DUMMYFUNCTION("GOOGLETRANSLATE(B1947,""ja"",""vi"")"),"bộ lọc không khí, không khí sạch hơn")</f>
        <v>bộ lọc không khí, không khí sạch hơn</v>
      </c>
      <c r="E1947" s="5" t="str">
        <f ca="1">IFERROR(__xludf.DUMMYFUNCTION("GOOGLETRANSLATE(C1947,""ja"",""vi"")"),"Đấu giá&gt; ô tô, xe máy&gt; bảo trì&gt; filter&gt; lọc không khí, không khí sạch hơn")</f>
        <v>Đấu giá&gt; ô tô, xe máy&gt; bảo trì&gt; filter&gt; lọc không khí, không khí sạch hơn</v>
      </c>
      <c r="F1947" t="str">
        <f t="shared" ca="1" si="30"/>
        <v>"2084201587" : "bộ lọc không khí, không khí sạch hơn",</v>
      </c>
    </row>
    <row r="1948" spans="1:6" ht="15.75" customHeight="1">
      <c r="A1948" s="18">
        <v>2084047110</v>
      </c>
      <c r="B1948" s="18" t="s">
        <v>15186</v>
      </c>
      <c r="C1948" s="18" t="s">
        <v>17164</v>
      </c>
      <c r="D1948" s="5" t="str">
        <f ca="1">IFERROR(__xludf.DUMMYFUNCTION("GOOGLETRANSLATE(B1948,""ja"",""vi"")"),"lọc dầu")</f>
        <v>lọc dầu</v>
      </c>
      <c r="E1948" s="5" t="str">
        <f ca="1">IFERROR(__xludf.DUMMYFUNCTION("GOOGLETRANSLATE(C1948,""ja"",""vi"")"),"Đấu giá&gt; ô tô, xe máy&gt; bảo trì&gt; filter&gt; lọc dầu")</f>
        <v>Đấu giá&gt; ô tô, xe máy&gt; bảo trì&gt; filter&gt; lọc dầu</v>
      </c>
      <c r="F1948" t="str">
        <f t="shared" ca="1" si="30"/>
        <v>"2084047110" : "lọc dầu",</v>
      </c>
    </row>
    <row r="1949" spans="1:6" ht="15.75" customHeight="1">
      <c r="A1949" s="18">
        <v>2084047111</v>
      </c>
      <c r="B1949" s="18" t="s">
        <v>46</v>
      </c>
      <c r="C1949" s="18" t="s">
        <v>17166</v>
      </c>
      <c r="D1949" s="5" t="str">
        <f ca="1">IFERROR(__xludf.DUMMYFUNCTION("GOOGLETRANSLATE(B1949,""ja"",""vi"")"),"nếu không thì")</f>
        <v>nếu không thì</v>
      </c>
      <c r="E1949" s="5" t="str">
        <f ca="1">IFERROR(__xludf.DUMMYFUNCTION("GOOGLETRANSLATE(C1949,""ja"",""vi"")"),"Đấu giá&gt; ô tô, xe máy&gt; bảo trì&gt; filter&gt; Khác")</f>
        <v>Đấu giá&gt; ô tô, xe máy&gt; bảo trì&gt; filter&gt; Khác</v>
      </c>
      <c r="F1949" t="str">
        <f t="shared" ca="1" si="30"/>
        <v>"2084047111" : "nếu không thì",</v>
      </c>
    </row>
    <row r="1950" spans="1:6" ht="15.75" customHeight="1">
      <c r="A1950" s="18">
        <v>2084198414</v>
      </c>
      <c r="B1950" s="18" t="s">
        <v>17171</v>
      </c>
      <c r="C1950" s="18" t="s">
        <v>17173</v>
      </c>
      <c r="D1950" s="5" t="str">
        <f ca="1">IFERROR(__xludf.DUMMYFUNCTION("GOOGLETRANSLATE(B1950,""ja"",""vi"")"),"HID")</f>
        <v>HID</v>
      </c>
      <c r="E1950" s="5" t="str">
        <f ca="1">IFERROR(__xludf.DUMMYFUNCTION("GOOGLETRANSLATE(C1950,""ja"",""vi"")"),"Đấu giá&gt; ô tô, xe máy&gt; phụ tùng&gt; đèn&gt; van&gt; HID")</f>
        <v>Đấu giá&gt; ô tô, xe máy&gt; phụ tùng&gt; đèn&gt; van&gt; HID</v>
      </c>
      <c r="F1950" t="str">
        <f t="shared" ca="1" si="30"/>
        <v>"2084198414" : "HID",</v>
      </c>
    </row>
    <row r="1951" spans="1:6" ht="15.75" customHeight="1">
      <c r="A1951" s="18">
        <v>2084198415</v>
      </c>
      <c r="B1951" s="18" t="s">
        <v>2895</v>
      </c>
      <c r="C1951" s="18" t="s">
        <v>17178</v>
      </c>
      <c r="D1951" s="5" t="str">
        <f ca="1">IFERROR(__xludf.DUMMYFUNCTION("GOOGLETRANSLATE(B1951,""ja"",""vi"")"),"LED")</f>
        <v>LED</v>
      </c>
      <c r="E1951" s="5" t="str">
        <f ca="1">IFERROR(__xludf.DUMMYFUNCTION("GOOGLETRANSLATE(C1951,""ja"",""vi"")"),"Đấu giá&gt; ô tô, xe máy&gt; phụ tùng&gt; đèn&gt; van&gt; LED")</f>
        <v>Đấu giá&gt; ô tô, xe máy&gt; phụ tùng&gt; đèn&gt; van&gt; LED</v>
      </c>
      <c r="F1951" t="str">
        <f t="shared" ca="1" si="30"/>
        <v>"2084198415" : "LED",</v>
      </c>
    </row>
    <row r="1952" spans="1:6" ht="15.75" customHeight="1">
      <c r="A1952" s="18">
        <v>2084198416</v>
      </c>
      <c r="B1952" s="18" t="s">
        <v>17181</v>
      </c>
      <c r="C1952" s="18" t="s">
        <v>17183</v>
      </c>
      <c r="D1952" s="5" t="str">
        <f ca="1">IFERROR(__xludf.DUMMYFUNCTION("GOOGLETRANSLATE(B1952,""ja"",""vi"")"),"halogen")</f>
        <v>halogen</v>
      </c>
      <c r="E1952" s="5" t="str">
        <f ca="1">IFERROR(__xludf.DUMMYFUNCTION("GOOGLETRANSLATE(C1952,""ja"",""vi"")"),"Đấu giá&gt; ô tô, xe máy&gt; phụ tùng&gt; đèn&gt; van&gt; halogen")</f>
        <v>Đấu giá&gt; ô tô, xe máy&gt; phụ tùng&gt; đèn&gt; van&gt; halogen</v>
      </c>
      <c r="F1952" t="str">
        <f t="shared" ca="1" si="30"/>
        <v>"2084198416" : "halogen",</v>
      </c>
    </row>
    <row r="1953" spans="1:6" ht="15.75" customHeight="1">
      <c r="A1953" s="18">
        <v>2084261397</v>
      </c>
      <c r="B1953" s="18" t="s">
        <v>17186</v>
      </c>
      <c r="C1953" s="18" t="s">
        <v>17187</v>
      </c>
      <c r="D1953" s="5" t="str">
        <f ca="1">IFERROR(__xludf.DUMMYFUNCTION("GOOGLETRANSLATE(B1953,""ja"",""vi"")"),"CCFL (vòng mực)")</f>
        <v>CCFL (vòng mực)</v>
      </c>
      <c r="E1953" s="5" t="str">
        <f ca="1">IFERROR(__xludf.DUMMYFUNCTION("GOOGLETRANSLATE(C1953,""ja"",""vi"")"),"Đấu giá&gt; ô tô, xe máy&gt; phụ tùng&gt; đèn&gt; van&gt; CCFL (vòng mực)")</f>
        <v>Đấu giá&gt; ô tô, xe máy&gt; phụ tùng&gt; đèn&gt; van&gt; CCFL (vòng mực)</v>
      </c>
      <c r="F1953" t="str">
        <f t="shared" ca="1" si="30"/>
        <v>"2084261397" : "CCFL (vòng mực)",</v>
      </c>
    </row>
    <row r="1954" spans="1:6" ht="15.75" customHeight="1">
      <c r="A1954" s="18">
        <v>2084198427</v>
      </c>
      <c r="B1954" s="18" t="s">
        <v>14919</v>
      </c>
      <c r="C1954" s="18" t="s">
        <v>17190</v>
      </c>
      <c r="D1954" s="5" t="str">
        <f ca="1">IFERROR(__xludf.DUMMYFUNCTION("GOOGLETRANSLATE(B1954,""ja"",""vi"")"),"HID kit")</f>
        <v>HID kit</v>
      </c>
      <c r="E1954" s="5" t="str">
        <f ca="1">IFERROR(__xludf.DUMMYFUNCTION("GOOGLETRANSLATE(C1954,""ja"",""vi"")"),"Đấu giá&gt; ô tô, xe máy&gt; phụ tùng&gt; đèn&gt; van&gt; HID kit")</f>
        <v>Đấu giá&gt; ô tô, xe máy&gt; phụ tùng&gt; đèn&gt; van&gt; HID kit</v>
      </c>
      <c r="F1954" t="str">
        <f t="shared" ca="1" si="30"/>
        <v>"2084198427" : "HID kit",</v>
      </c>
    </row>
    <row r="1955" spans="1:6" ht="15.75" customHeight="1">
      <c r="A1955" s="18">
        <v>2084241166</v>
      </c>
      <c r="B1955" s="18" t="s">
        <v>17193</v>
      </c>
      <c r="C1955" s="18" t="s">
        <v>17195</v>
      </c>
      <c r="D1955" s="5" t="str">
        <f ca="1">IFERROR(__xludf.DUMMYFUNCTION("GOOGLETRANSLATE(B1955,""ja"",""vi"")"),"Van (chỉ 24V)")</f>
        <v>Van (chỉ 24V)</v>
      </c>
      <c r="E1955" s="5" t="str">
        <f ca="1">IFERROR(__xludf.DUMMYFUNCTION("GOOGLETRANSLATE(C1955,""ja"",""vi"")"),"Đấu giá&gt; ô tô, xe máy&gt; phụ tùng&gt; đèn&gt; van&gt; van (24V chỉ)")</f>
        <v>Đấu giá&gt; ô tô, xe máy&gt; phụ tùng&gt; đèn&gt; van&gt; van (24V chỉ)</v>
      </c>
      <c r="F1955" t="str">
        <f t="shared" ca="1" si="30"/>
        <v>"2084241166" : "Van (chỉ 24V)",</v>
      </c>
    </row>
    <row r="1956" spans="1:6" ht="15.75" customHeight="1">
      <c r="A1956" s="18">
        <v>2084198417</v>
      </c>
      <c r="B1956" s="18" t="s">
        <v>46</v>
      </c>
      <c r="C1956" s="18" t="s">
        <v>17198</v>
      </c>
      <c r="D1956" s="5" t="str">
        <f ca="1">IFERROR(__xludf.DUMMYFUNCTION("GOOGLETRANSLATE(B1956,""ja"",""vi"")"),"nếu không thì")</f>
        <v>nếu không thì</v>
      </c>
      <c r="E1956" s="5" t="str">
        <f ca="1">IFERROR(__xludf.DUMMYFUNCTION("GOOGLETRANSLATE(C1956,""ja"",""vi"")"),"Đấu giá&gt; ô tô, xe máy&gt; phụ tùng&gt; đèn&gt; van&gt; Khác")</f>
        <v>Đấu giá&gt; ô tô, xe máy&gt; phụ tùng&gt; đèn&gt; van&gt; Khác</v>
      </c>
      <c r="F1956" t="str">
        <f t="shared" ca="1" si="30"/>
        <v>"2084198417" : "nếu không thì",</v>
      </c>
    </row>
    <row r="1957" spans="1:6" ht="15.75" customHeight="1">
      <c r="A1957" s="18">
        <v>2084242671</v>
      </c>
      <c r="B1957" s="18" t="s">
        <v>17202</v>
      </c>
      <c r="C1957" s="18" t="s">
        <v>17203</v>
      </c>
      <c r="D1957" s="5" t="str">
        <f ca="1">IFERROR(__xludf.DUMMYFUNCTION("GOOGLETRANSLATE(B1957,""ja"",""vi"")"),"gươm")</f>
        <v>gươm</v>
      </c>
      <c r="E1957" s="5" t="str">
        <f ca="1">IFERROR(__xludf.DUMMYFUNCTION("GOOGLETRANSLATE(C1957,""ja"",""vi"")"),"Đấu giá&gt; ô tô, xe máy&gt; bảo trì&gt; gạt nước&gt; lưỡi")</f>
        <v>Đấu giá&gt; ô tô, xe máy&gt; bảo trì&gt; gạt nước&gt; lưỡi</v>
      </c>
      <c r="F1957" t="str">
        <f t="shared" ca="1" si="30"/>
        <v>"2084242671" : "gươm",</v>
      </c>
    </row>
    <row r="1958" spans="1:6" ht="15.75" customHeight="1">
      <c r="A1958" s="18">
        <v>2084242670</v>
      </c>
      <c r="B1958" s="18" t="s">
        <v>17205</v>
      </c>
      <c r="C1958" s="18" t="s">
        <v>17207</v>
      </c>
      <c r="D1958" s="5" t="str">
        <f ca="1">IFERROR(__xludf.DUMMYFUNCTION("GOOGLETRANSLATE(B1958,""ja"",""vi"")"),"Cao su thay")</f>
        <v>Cao su thay</v>
      </c>
      <c r="E1958" s="5" t="str">
        <f ca="1">IFERROR(__xludf.DUMMYFUNCTION("GOOGLETRANSLATE(C1958,""ja"",""vi"")"),"Đấu giá&gt; ô tô, xe máy&gt; bảo trì&gt; gạt nước&gt; cao su thay thế")</f>
        <v>Đấu giá&gt; ô tô, xe máy&gt; bảo trì&gt; gạt nước&gt; cao su thay thế</v>
      </c>
      <c r="F1958" t="str">
        <f t="shared" ca="1" si="30"/>
        <v>"2084242670" : "Cao su thay",</v>
      </c>
    </row>
    <row r="1959" spans="1:6" ht="15.75" customHeight="1">
      <c r="A1959" s="18">
        <v>2084242672</v>
      </c>
      <c r="B1959" s="18" t="s">
        <v>46</v>
      </c>
      <c r="C1959" s="18" t="s">
        <v>17211</v>
      </c>
      <c r="D1959" s="5" t="str">
        <f ca="1">IFERROR(__xludf.DUMMYFUNCTION("GOOGLETRANSLATE(B1959,""ja"",""vi"")"),"nếu không thì")</f>
        <v>nếu không thì</v>
      </c>
      <c r="E1959" s="5" t="str">
        <f ca="1">IFERROR(__xludf.DUMMYFUNCTION("GOOGLETRANSLATE(C1959,""ja"",""vi"")"),"Đấu giá&gt; ô tô, xe máy&gt; bảo trì&gt; gạt nước&gt; Khác")</f>
        <v>Đấu giá&gt; ô tô, xe máy&gt; bảo trì&gt; gạt nước&gt; Khác</v>
      </c>
      <c r="F1959" t="str">
        <f t="shared" ca="1" si="30"/>
        <v>"2084242672" : "nếu không thì",</v>
      </c>
    </row>
    <row r="1960" spans="1:6" ht="15.75" customHeight="1">
      <c r="A1960" s="18">
        <v>2084042022</v>
      </c>
      <c r="B1960" s="18" t="s">
        <v>14624</v>
      </c>
      <c r="C1960" s="18" t="s">
        <v>17214</v>
      </c>
      <c r="D1960" s="5" t="str">
        <f ca="1">IFERROR(__xludf.DUMMYFUNCTION("GOOGLETRANSLATE(B1960,""ja"",""vi"")"),"Đối với xe máy")</f>
        <v>Đối với xe máy</v>
      </c>
      <c r="E1960" s="5" t="str">
        <f ca="1">IFERROR(__xludf.DUMMYFUNCTION("GOOGLETRANSLATE(C1960,""ja"",""vi"")"),"Đấu giá&gt; ô tô, xe máy&gt; Công cụ&gt; cho xe gắn máy")</f>
        <v>Đấu giá&gt; ô tô, xe máy&gt; Công cụ&gt; cho xe gắn máy</v>
      </c>
      <c r="F1960" t="str">
        <f t="shared" ca="1" si="30"/>
        <v>"2084042022" : "Đối với xe máy",</v>
      </c>
    </row>
    <row r="1961" spans="1:6" ht="15.75" customHeight="1">
      <c r="A1961" s="18">
        <v>2084042060</v>
      </c>
      <c r="B1961" s="18" t="s">
        <v>17119</v>
      </c>
      <c r="C1961" s="18" t="s">
        <v>17218</v>
      </c>
      <c r="D1961" s="5" t="str">
        <f ca="1">IFERROR(__xludf.DUMMYFUNCTION("GOOGLETRANSLATE(B1961,""ja"",""vi"")"),"lọc dầu cờ lê")</f>
        <v>lọc dầu cờ lê</v>
      </c>
      <c r="E1961" s="5" t="str">
        <f ca="1">IFERROR(__xludf.DUMMYFUNCTION("GOOGLETRANSLATE(C1961,""ja"",""vi"")"),"Đấu giá&gt; ô tô, xe máy&gt; Công cụ&gt; lọc dầu cờ lê")</f>
        <v>Đấu giá&gt; ô tô, xe máy&gt; Công cụ&gt; lọc dầu cờ lê</v>
      </c>
      <c r="F1961" t="str">
        <f t="shared" ca="1" si="30"/>
        <v>"2084042060" : "lọc dầu cờ lê",</v>
      </c>
    </row>
    <row r="1962" spans="1:6" ht="15.75" customHeight="1">
      <c r="A1962" s="18">
        <v>2084042052</v>
      </c>
      <c r="B1962" s="18" t="s">
        <v>14422</v>
      </c>
      <c r="C1962" s="18" t="s">
        <v>17225</v>
      </c>
      <c r="D1962" s="5" t="str">
        <f ca="1">IFERROR(__xludf.DUMMYFUNCTION("GOOGLETRANSLATE(B1962,""ja"",""vi"")"),"gauge nén")</f>
        <v>gauge nén</v>
      </c>
      <c r="E1962" s="5" t="str">
        <f ca="1">IFERROR(__xludf.DUMMYFUNCTION("GOOGLETRANSLATE(C1962,""ja"",""vi"")"),"Đấu giá&gt; ô tô, xe máy&gt; Công cụ&gt; gauge nén")</f>
        <v>Đấu giá&gt; ô tô, xe máy&gt; Công cụ&gt; gauge nén</v>
      </c>
      <c r="F1962" t="str">
        <f t="shared" ca="1" si="30"/>
        <v>"2084042052" : "gauge nén",</v>
      </c>
    </row>
    <row r="1963" spans="1:6" ht="15.75" customHeight="1">
      <c r="A1963" s="18">
        <v>2084042053</v>
      </c>
      <c r="B1963" s="18" t="s">
        <v>17227</v>
      </c>
      <c r="C1963" s="18" t="s">
        <v>17229</v>
      </c>
      <c r="D1963" s="5" t="str">
        <f ca="1">IFERROR(__xludf.DUMMYFUNCTION("GOOGLETRANSLATE(B1963,""ja"",""vi"")"),"Jack")</f>
        <v>Jack</v>
      </c>
      <c r="E1963" s="5" t="str">
        <f ca="1">IFERROR(__xludf.DUMMYFUNCTION("GOOGLETRANSLATE(C1963,""ja"",""vi"")"),"Đấu giá&gt; ô tô, xe máy&gt; Công cụ&gt; jack")</f>
        <v>Đấu giá&gt; ô tô, xe máy&gt; Công cụ&gt; jack</v>
      </c>
      <c r="F1963" t="str">
        <f t="shared" ca="1" si="30"/>
        <v>"2084042053" : "Jack",</v>
      </c>
    </row>
    <row r="1964" spans="1:6" ht="15.75" customHeight="1">
      <c r="A1964" s="18">
        <v>2084261043</v>
      </c>
      <c r="B1964" s="18" t="s">
        <v>17233</v>
      </c>
      <c r="C1964" s="18" t="s">
        <v>17234</v>
      </c>
      <c r="D1964" s="5" t="str">
        <f ca="1">IFERROR(__xludf.DUMMYFUNCTION("GOOGLETRANSLATE(B1964,""ja"",""vi"")"),"lốp đổi")</f>
        <v>lốp đổi</v>
      </c>
      <c r="E1964" s="5" t="str">
        <f ca="1">IFERROR(__xludf.DUMMYFUNCTION("GOOGLETRANSLATE(C1964,""ja"",""vi"")"),"Đấu giá&gt; ô tô, xe máy&gt; Công cụ&gt; đổi lốp")</f>
        <v>Đấu giá&gt; ô tô, xe máy&gt; Công cụ&gt; đổi lốp</v>
      </c>
      <c r="F1964" t="str">
        <f t="shared" ca="1" si="30"/>
        <v>"2084261043" : "lốp đổi",</v>
      </c>
    </row>
    <row r="1965" spans="1:6" ht="15.75" customHeight="1">
      <c r="A1965" s="18">
        <v>2084042020</v>
      </c>
      <c r="B1965" s="18" t="s">
        <v>14417</v>
      </c>
      <c r="C1965" s="18" t="s">
        <v>17240</v>
      </c>
      <c r="D1965" s="5" t="str">
        <f ca="1">IFERROR(__xludf.DUMMYFUNCTION("GOOGLETRANSLATE(B1965,""ja"",""vi"")"),"Air Tools")</f>
        <v>Air Tools</v>
      </c>
      <c r="E1965" s="5" t="str">
        <f ca="1">IFERROR(__xludf.DUMMYFUNCTION("GOOGLETRANSLATE(C1965,""ja"",""vi"")"),"Đấu giá&gt; ô tô, xe máy&gt; Công cụ&gt; Air Tools")</f>
        <v>Đấu giá&gt; ô tô, xe máy&gt; Công cụ&gt; Air Tools</v>
      </c>
      <c r="F1965" t="str">
        <f t="shared" ca="1" si="30"/>
        <v>"2084042020" : "Air Tools",</v>
      </c>
    </row>
    <row r="1966" spans="1:6" ht="15.75" customHeight="1">
      <c r="A1966" s="18">
        <v>2084042058</v>
      </c>
      <c r="B1966" s="18" t="s">
        <v>14427</v>
      </c>
      <c r="C1966" s="18" t="s">
        <v>17244</v>
      </c>
      <c r="D1966" s="5" t="str">
        <f ca="1">IFERROR(__xludf.DUMMYFUNCTION("GOOGLETRANSLATE(B1966,""ja"",""vi"")"),"lốp đo")</f>
        <v>lốp đo</v>
      </c>
      <c r="E1966" s="5" t="str">
        <f ca="1">IFERROR(__xludf.DUMMYFUNCTION("GOOGLETRANSLATE(C1966,""ja"",""vi"")"),"Đấu giá&gt; ô tô, xe máy&gt; Công cụ&gt; gauge lốp")</f>
        <v>Đấu giá&gt; ô tô, xe máy&gt; Công cụ&gt; gauge lốp</v>
      </c>
      <c r="F1966" t="str">
        <f t="shared" ca="1" si="30"/>
        <v>"2084042058" : "lốp đo",</v>
      </c>
    </row>
    <row r="1967" spans="1:6" ht="15.75" customHeight="1">
      <c r="A1967" s="18">
        <v>24654</v>
      </c>
      <c r="B1967" s="18" t="s">
        <v>14434</v>
      </c>
      <c r="C1967" s="18" t="s">
        <v>17248</v>
      </c>
      <c r="D1967" s="5" t="str">
        <f ca="1">IFERROR(__xludf.DUMMYFUNCTION("GOOGLETRANSLATE(B1967,""ja"",""vi"")"),"Dụng cụ cầm tay")</f>
        <v>Dụng cụ cầm tay</v>
      </c>
      <c r="E1967" s="5" t="str">
        <f ca="1">IFERROR(__xludf.DUMMYFUNCTION("GOOGLETRANSLATE(C1967,""ja"",""vi"")"),"Đấu giá&gt; ô tô, xe máy&gt; Công cụ&gt; Dụng cụ cầm tay")</f>
        <v>Đấu giá&gt; ô tô, xe máy&gt; Công cụ&gt; Dụng cụ cầm tay</v>
      </c>
      <c r="F1967" t="str">
        <f t="shared" ca="1" si="30"/>
        <v>"24654" : "Dụng cụ cầm tay",</v>
      </c>
    </row>
    <row r="1968" spans="1:6" ht="15.75" customHeight="1">
      <c r="A1968" s="18">
        <v>2084042024</v>
      </c>
      <c r="B1968" s="18" t="s">
        <v>14446</v>
      </c>
      <c r="C1968" s="18" t="s">
        <v>17252</v>
      </c>
      <c r="D1968" s="5" t="str">
        <f ca="1">IFERROR(__xludf.DUMMYFUNCTION("GOOGLETRANSLATE(B1968,""ja"",""vi"")"),"ống trong máy hút bụi")</f>
        <v>ống trong máy hút bụi</v>
      </c>
      <c r="E1968" s="5" t="str">
        <f ca="1">IFERROR(__xludf.DUMMYFUNCTION("GOOGLETRANSLATE(C1968,""ja"",""vi"")"),"Đấu giá&gt; ô tô, xe máy&gt; Công cụ&gt; đo chân không")</f>
        <v>Đấu giá&gt; ô tô, xe máy&gt; Công cụ&gt; đo chân không</v>
      </c>
      <c r="F1968" t="str">
        <f t="shared" ca="1" si="30"/>
        <v>"2084042024" : "ống trong máy hút bụi",</v>
      </c>
    </row>
    <row r="1969" spans="1:6" ht="15.75" customHeight="1">
      <c r="A1969" s="18">
        <v>2084042059</v>
      </c>
      <c r="B1969" s="18" t="s">
        <v>17253</v>
      </c>
      <c r="C1969" s="18" t="s">
        <v>17255</v>
      </c>
      <c r="D1969" s="5" t="str">
        <f ca="1">IFERROR(__xludf.DUMMYFUNCTION("GOOGLETRANSLATE(B1969,""ja"",""vi"")"),"cờ lê bánh xe")</f>
        <v>cờ lê bánh xe</v>
      </c>
      <c r="E1969" s="5" t="str">
        <f ca="1">IFERROR(__xludf.DUMMYFUNCTION("GOOGLETRANSLATE(C1969,""ja"",""vi"")"),"Đấu giá&gt; ô tô, xe máy&gt; Công cụ&gt; cờ lê bánh xe")</f>
        <v>Đấu giá&gt; ô tô, xe máy&gt; Công cụ&gt; cờ lê bánh xe</v>
      </c>
      <c r="F1969" t="str">
        <f t="shared" ca="1" si="30"/>
        <v>"2084042059" : "cờ lê bánh xe",</v>
      </c>
    </row>
    <row r="1970" spans="1:6" ht="15.75" customHeight="1">
      <c r="A1970" s="18">
        <v>2084042061</v>
      </c>
      <c r="B1970" s="18" t="s">
        <v>14450</v>
      </c>
      <c r="C1970" s="18" t="s">
        <v>17258</v>
      </c>
      <c r="D1970" s="5" t="str">
        <f ca="1">IFERROR(__xludf.DUMMYFUNCTION("GOOGLETRANSLATE(B1970,""ja"",""vi"")"),"On-board công cụ")</f>
        <v>On-board công cụ</v>
      </c>
      <c r="E1970" s="5" t="str">
        <f ca="1">IFERROR(__xludf.DUMMYFUNCTION("GOOGLETRANSLATE(C1970,""ja"",""vi"")"),"Đấu giá&gt; ô tô, xe máy&gt; Công cụ&gt; Tools Automotive")</f>
        <v>Đấu giá&gt; ô tô, xe máy&gt; Công cụ&gt; Tools Automotive</v>
      </c>
      <c r="F1970" t="str">
        <f t="shared" ca="1" si="30"/>
        <v>"2084042061" : "On-board công cụ",</v>
      </c>
    </row>
    <row r="1971" spans="1:6" ht="15.75" customHeight="1">
      <c r="A1971" s="18">
        <v>2084042064</v>
      </c>
      <c r="B1971" s="18" t="s">
        <v>12697</v>
      </c>
      <c r="C1971" s="18" t="s">
        <v>17262</v>
      </c>
      <c r="D1971" s="5" t="str">
        <f ca="1">IFERROR(__xludf.DUMMYFUNCTION("GOOGLETRANSLATE(B1971,""ja"",""vi"")"),"chiếu sáng")</f>
        <v>chiếu sáng</v>
      </c>
      <c r="E1971" s="5" t="str">
        <f ca="1">IFERROR(__xludf.DUMMYFUNCTION("GOOGLETRANSLATE(C1971,""ja"",""vi"")"),"Đấu giá&gt; ô tô, xe máy&gt; Công cụ&gt; Ánh sáng")</f>
        <v>Đấu giá&gt; ô tô, xe máy&gt; Công cụ&gt; Ánh sáng</v>
      </c>
      <c r="F1971" t="str">
        <f t="shared" ca="1" si="30"/>
        <v>"2084042064" : "chiếu sáng",</v>
      </c>
    </row>
    <row r="1972" spans="1:6" ht="15.75" customHeight="1">
      <c r="A1972" s="18">
        <v>24666</v>
      </c>
      <c r="B1972" s="18" t="s">
        <v>14458</v>
      </c>
      <c r="C1972" s="18" t="s">
        <v>17266</v>
      </c>
      <c r="D1972" s="5" t="str">
        <f ca="1">IFERROR(__xludf.DUMMYFUNCTION("GOOGLETRANSLATE(B1972,""ja"",""vi"")"),"công cụ quyền lực")</f>
        <v>công cụ quyền lực</v>
      </c>
      <c r="E1972" s="5" t="str">
        <f ca="1">IFERROR(__xludf.DUMMYFUNCTION("GOOGLETRANSLATE(C1972,""ja"",""vi"")"),"Đấu giá&gt; ô tô, xe máy&gt; công cụ&gt; công cụ quyền lực")</f>
        <v>Đấu giá&gt; ô tô, xe máy&gt; công cụ&gt; công cụ quyền lực</v>
      </c>
      <c r="F1972" t="str">
        <f t="shared" ca="1" si="30"/>
        <v>"24666" : "công cụ quyền lực",</v>
      </c>
    </row>
    <row r="1973" spans="1:6" ht="15.75" customHeight="1">
      <c r="A1973" s="18">
        <v>2084042066</v>
      </c>
      <c r="B1973" s="18" t="s">
        <v>17270</v>
      </c>
      <c r="C1973" s="18" t="s">
        <v>17271</v>
      </c>
      <c r="D1973" s="5" t="str">
        <f ca="1">IFERROR(__xludf.DUMMYFUNCTION("GOOGLETRANSLATE(B1973,""ja"",""vi"")"),"Hộp công cụ")</f>
        <v>Hộp công cụ</v>
      </c>
      <c r="E1973" s="5" t="str">
        <f ca="1">IFERROR(__xludf.DUMMYFUNCTION("GOOGLETRANSLATE(C1973,""ja"",""vi"")"),"Đấu giá&gt; ô tô, xe máy&gt; Công cụ&gt; Hộp công cụ")</f>
        <v>Đấu giá&gt; ô tô, xe máy&gt; Công cụ&gt; Hộp công cụ</v>
      </c>
      <c r="F1973" t="str">
        <f t="shared" ca="1" si="30"/>
        <v>"2084042066" : "Hộp công cụ",</v>
      </c>
    </row>
    <row r="1974" spans="1:6" ht="15.75" customHeight="1">
      <c r="A1974" s="18">
        <v>2084042062</v>
      </c>
      <c r="B1974" s="18" t="s">
        <v>46</v>
      </c>
      <c r="C1974" s="18" t="s">
        <v>17274</v>
      </c>
      <c r="D1974" s="5" t="str">
        <f ca="1">IFERROR(__xludf.DUMMYFUNCTION("GOOGLETRANSLATE(B1974,""ja"",""vi"")"),"nếu không thì")</f>
        <v>nếu không thì</v>
      </c>
      <c r="E1974" s="5" t="str">
        <f ca="1">IFERROR(__xludf.DUMMYFUNCTION("GOOGLETRANSLATE(C1974,""ja"",""vi"")"),"Đấu giá&gt; ô tô, xe máy&gt; Công cụ&gt; Khác")</f>
        <v>Đấu giá&gt; ô tô, xe máy&gt; Công cụ&gt; Khác</v>
      </c>
      <c r="F1974" t="str">
        <f t="shared" ca="1" si="30"/>
        <v>"2084042062" : "nếu không thì",</v>
      </c>
    </row>
    <row r="1975" spans="1:6" ht="15.75" customHeight="1">
      <c r="A1975" s="18">
        <v>2084213115</v>
      </c>
      <c r="B1975" s="18" t="s">
        <v>16950</v>
      </c>
      <c r="C1975" s="18" t="s">
        <v>16951</v>
      </c>
      <c r="D1975" s="5" t="str">
        <f ca="1">IFERROR(__xludf.DUMMYFUNCTION("GOOGLETRANSLATE(B1975,""ja"",""vi"")"),"chất khử mùi")</f>
        <v>chất khử mùi</v>
      </c>
      <c r="E1975" s="5" t="str">
        <f ca="1">IFERROR(__xludf.DUMMYFUNCTION("GOOGLETRANSLATE(C1975,""ja"",""vi"")"),"Đấu giá&gt; ô tô, xe máy&gt; Phụ kiện&gt; nước hoa, chất khử mùi&gt; khử mùi")</f>
        <v>Đấu giá&gt; ô tô, xe máy&gt; Phụ kiện&gt; nước hoa, chất khử mùi&gt; khử mùi</v>
      </c>
      <c r="F1975" t="str">
        <f t="shared" ca="1" si="30"/>
        <v>"2084213115" : "chất khử mùi",</v>
      </c>
    </row>
    <row r="1976" spans="1:6" ht="15.75" customHeight="1">
      <c r="A1976" s="18">
        <v>2084213114</v>
      </c>
      <c r="B1976" s="18" t="s">
        <v>16953</v>
      </c>
      <c r="C1976" s="18" t="s">
        <v>16954</v>
      </c>
      <c r="D1976" s="5" t="str">
        <f ca="1">IFERROR(__xludf.DUMMYFUNCTION("GOOGLETRANSLATE(B1976,""ja"",""vi"")"),"Hương Thơm")</f>
        <v>Hương Thơm</v>
      </c>
      <c r="E1976" s="5" t="str">
        <f ca="1">IFERROR(__xludf.DUMMYFUNCTION("GOOGLETRANSLATE(C1976,""ja"",""vi"")"),"Đấu giá&gt; ô tô, xe máy&gt; Phụ kiện&gt; hương thơm, chất khử mùi&gt; nước hoa")</f>
        <v>Đấu giá&gt; ô tô, xe máy&gt; Phụ kiện&gt; hương thơm, chất khử mùi&gt; nước hoa</v>
      </c>
      <c r="F1976" t="str">
        <f t="shared" ca="1" si="30"/>
        <v>"2084213114" : "Hương Thơm",</v>
      </c>
    </row>
    <row r="1977" spans="1:6" ht="15.75" customHeight="1">
      <c r="A1977" s="18">
        <v>2084213132</v>
      </c>
      <c r="B1977" s="18" t="s">
        <v>46</v>
      </c>
      <c r="C1977" s="18" t="s">
        <v>16956</v>
      </c>
      <c r="D1977" s="5" t="str">
        <f ca="1">IFERROR(__xludf.DUMMYFUNCTION("GOOGLETRANSLATE(B1977,""ja"",""vi"")"),"nếu không thì")</f>
        <v>nếu không thì</v>
      </c>
      <c r="E1977" s="5" t="str">
        <f ca="1">IFERROR(__xludf.DUMMYFUNCTION("GOOGLETRANSLATE(C1977,""ja"",""vi"")"),"Đấu giá&gt; ô tô, xe máy&gt; Phụ kiện&gt; nước hoa, chất khử mùi&gt; Khác")</f>
        <v>Đấu giá&gt; ô tô, xe máy&gt; Phụ kiện&gt; nước hoa, chất khử mùi&gt; Khác</v>
      </c>
      <c r="F1977" t="str">
        <f t="shared" ca="1" si="30"/>
        <v>"2084213132" : "nếu không thì",</v>
      </c>
    </row>
    <row r="1978" spans="1:6" ht="15.75" customHeight="1">
      <c r="A1978" s="18">
        <v>2084241152</v>
      </c>
      <c r="B1978" s="18" t="s">
        <v>13924</v>
      </c>
      <c r="C1978" s="18" t="s">
        <v>13926</v>
      </c>
      <c r="D1978" s="5" t="str">
        <f ca="1">IFERROR(__xludf.DUMMYFUNCTION("GOOGLETRANSLATE(B1978,""ja"",""vi"")"),"Dump")</f>
        <v>Dump</v>
      </c>
      <c r="E1978" s="5" t="str">
        <f ca="1">IFERROR(__xludf.DUMMYFUNCTION("GOOGLETRANSLATE(C1978,""ja"",""vi"")"),"Đấu giá&gt; ô tô, xe máy&gt; xe tải, bãi, máy móc xây dựng&gt; xe body&gt; bãi")</f>
        <v>Đấu giá&gt; ô tô, xe máy&gt; xe tải, bãi, máy móc xây dựng&gt; xe body&gt; bãi</v>
      </c>
      <c r="F1978" t="str">
        <f t="shared" ca="1" si="30"/>
        <v>"2084241152" : "Dump",</v>
      </c>
    </row>
    <row r="1979" spans="1:6" ht="15.75" customHeight="1">
      <c r="A1979" s="18">
        <v>2084241151</v>
      </c>
      <c r="B1979" s="18" t="s">
        <v>8581</v>
      </c>
      <c r="C1979" s="18" t="s">
        <v>13929</v>
      </c>
      <c r="D1979" s="5" t="str">
        <f ca="1">IFERROR(__xludf.DUMMYFUNCTION("GOOGLETRANSLATE(B1979,""ja"",""vi"")"),"đường ray")</f>
        <v>đường ray</v>
      </c>
      <c r="E1979" s="5" t="str">
        <f ca="1">IFERROR(__xludf.DUMMYFUNCTION("GOOGLETRANSLATE(C1979,""ja"",""vi"")"),"Đấu giá&gt; ô tô, xe máy&gt; xe tải, bãi, máy móc xây dựng&gt; xe body&gt; xe tải")</f>
        <v>Đấu giá&gt; ô tô, xe máy&gt; xe tải, bãi, máy móc xây dựng&gt; xe body&gt; xe tải</v>
      </c>
      <c r="F1979" t="str">
        <f t="shared" ca="1" si="30"/>
        <v>"2084241151" : "đường ray",</v>
      </c>
    </row>
    <row r="1980" spans="1:6" ht="15.75" customHeight="1">
      <c r="A1980" s="18">
        <v>2084241153</v>
      </c>
      <c r="B1980" s="18" t="s">
        <v>13933</v>
      </c>
      <c r="C1980" s="18" t="s">
        <v>13935</v>
      </c>
      <c r="D1980" s="5" t="str">
        <f ca="1">IFERROR(__xludf.DUMMYFUNCTION("GOOGLETRANSLATE(B1980,""ja"",""vi"")"),"máy móc thiết bị xây dựng, thiết bị nặng")</f>
        <v>máy móc thiết bị xây dựng, thiết bị nặng</v>
      </c>
      <c r="E1980" s="5" t="str">
        <f ca="1">IFERROR(__xludf.DUMMYFUNCTION("GOOGLETRANSLATE(C1980,""ja"",""vi"")"),"Đấu giá&gt; ô tô, xe máy&gt; xe tải, bãi, máy móc xây dựng&gt; xe body&gt; máy móc xây dựng, thiết bị nặng")</f>
        <v>Đấu giá&gt; ô tô, xe máy&gt; xe tải, bãi, máy móc xây dựng&gt; xe body&gt; máy móc xây dựng, thiết bị nặng</v>
      </c>
      <c r="F1980" t="str">
        <f t="shared" ca="1" si="30"/>
        <v>"2084241153" : "máy móc thiết bị xây dựng, thiết bị nặng",</v>
      </c>
    </row>
    <row r="1981" spans="1:6" ht="15.75" customHeight="1">
      <c r="A1981" s="18">
        <v>2084241155</v>
      </c>
      <c r="B1981" s="18" t="s">
        <v>14583</v>
      </c>
      <c r="C1981" s="18" t="s">
        <v>14585</v>
      </c>
      <c r="D1981" s="5" t="str">
        <f ca="1">IFERROR(__xludf.DUMMYFUNCTION("GOOGLETRANSLATE(B1981,""ja"",""vi"")"),"Xe tải, bãi")</f>
        <v>Xe tải, bãi</v>
      </c>
      <c r="E1981" s="5" t="str">
        <f ca="1">IFERROR(__xludf.DUMMYFUNCTION("GOOGLETRANSLATE(C1981,""ja"",""vi"")"),"Đấu giá&gt; ô tô, xe máy&gt; xe tải, bãi, máy móc xây dựng&gt; phụ tùng&gt; xe tải, bãi")</f>
        <v>Đấu giá&gt; ô tô, xe máy&gt; xe tải, bãi, máy móc xây dựng&gt; phụ tùng&gt; xe tải, bãi</v>
      </c>
      <c r="F1981" t="str">
        <f t="shared" ca="1" si="30"/>
        <v>"2084241155" : "Xe tải, bãi",</v>
      </c>
    </row>
    <row r="1982" spans="1:6" ht="15.75" customHeight="1">
      <c r="A1982" s="18">
        <v>2084241154</v>
      </c>
      <c r="B1982" s="18" t="s">
        <v>13933</v>
      </c>
      <c r="C1982" s="18" t="s">
        <v>14588</v>
      </c>
      <c r="D1982" s="5" t="str">
        <f ca="1">IFERROR(__xludf.DUMMYFUNCTION("GOOGLETRANSLATE(B1982,""ja"",""vi"")"),"máy móc thiết bị xây dựng, thiết bị nặng")</f>
        <v>máy móc thiết bị xây dựng, thiết bị nặng</v>
      </c>
      <c r="E1982" s="5" t="str">
        <f ca="1">IFERROR(__xludf.DUMMYFUNCTION("GOOGLETRANSLATE(C1982,""ja"",""vi"")"),"Đấu giá&gt; ô tô, xe máy&gt; xe tải, bãi, máy móc xây dựng&gt; phụ tùng&gt; máy móc xây dựng, thiết bị nặng")</f>
        <v>Đấu giá&gt; ô tô, xe máy&gt; xe tải, bãi, máy móc xây dựng&gt; phụ tùng&gt; máy móc xây dựng, thiết bị nặng</v>
      </c>
      <c r="F1982" t="str">
        <f t="shared" ca="1" si="30"/>
        <v>"2084241154" : "máy móc thiết bị xây dựng, thiết bị nặng",</v>
      </c>
    </row>
    <row r="1983" spans="1:6" ht="15.75" customHeight="1">
      <c r="A1983" s="18">
        <v>2084241184</v>
      </c>
      <c r="B1983" s="18" t="s">
        <v>16547</v>
      </c>
      <c r="C1983" s="18" t="s">
        <v>16548</v>
      </c>
      <c r="D1983" s="5" t="str">
        <f ca="1">IFERROR(__xludf.DUMMYFUNCTION("GOOGLETRANSLATE(B1983,""ja"",""vi"")"),"màn")</f>
        <v>màn</v>
      </c>
      <c r="E1983" s="5" t="str">
        <f ca="1">IFERROR(__xludf.DUMMYFUNCTION("GOOGLETRANSLATE(C1983,""ja"",""vi"")"),"Đấu giá&gt; ô tô, xe máy&gt; xe tải, bãi, máy móc xây dựng&gt; Accessories&gt; rèm")</f>
        <v>Đấu giá&gt; ô tô, xe máy&gt; xe tải, bãi, máy móc xây dựng&gt; Accessories&gt; rèm</v>
      </c>
      <c r="F1983" t="str">
        <f t="shared" ca="1" si="30"/>
        <v>"2084241184" : "màn",</v>
      </c>
    </row>
    <row r="1984" spans="1:6" ht="15.75" customHeight="1">
      <c r="A1984" s="18">
        <v>2084290714</v>
      </c>
      <c r="B1984" s="18" t="s">
        <v>16553</v>
      </c>
      <c r="C1984" s="18" t="s">
        <v>16554</v>
      </c>
      <c r="D1984" s="5" t="str">
        <f ca="1">IFERROR(__xludf.DUMMYFUNCTION("GOOGLETRANSLATE(B1984,""ja"",""vi"")"),"Chuyển đổi (chỉ 24V)")</f>
        <v>Chuyển đổi (chỉ 24V)</v>
      </c>
      <c r="E1984" s="5" t="str">
        <f ca="1">IFERROR(__xludf.DUMMYFUNCTION("GOOGLETRANSLATE(C1984,""ja"",""vi"")"),"Đấu giá&gt; ô tô, xe máy&gt; xe tải, bãi, máy móc xây dựng&gt; Accessories&gt; Converters (24V chỉ)")</f>
        <v>Đấu giá&gt; ô tô, xe máy&gt; xe tải, bãi, máy móc xây dựng&gt; Accessories&gt; Converters (24V chỉ)</v>
      </c>
      <c r="F1984" t="str">
        <f t="shared" ca="1" si="30"/>
        <v>"2084290714" : "Chuyển đổi (chỉ 24V)",</v>
      </c>
    </row>
    <row r="1985" spans="1:6" ht="15.75" customHeight="1">
      <c r="A1985" s="18">
        <v>2084290717</v>
      </c>
      <c r="B1985" s="18" t="s">
        <v>15115</v>
      </c>
      <c r="C1985" s="18" t="s">
        <v>16556</v>
      </c>
      <c r="D1985" s="5" t="str">
        <f ca="1">IFERROR(__xludf.DUMMYFUNCTION("GOOGLETRANSLATE(B1985,""ja"",""vi"")"),"vỏ bọc ghế ngồi")</f>
        <v>vỏ bọc ghế ngồi</v>
      </c>
      <c r="E1985" s="5" t="str">
        <f ca="1">IFERROR(__xludf.DUMMYFUNCTION("GOOGLETRANSLATE(C1985,""ja"",""vi"")"),"Đấu giá&gt; ô tô, xe máy&gt; xe tải, bãi, máy móc xây dựng&gt; Accessories&gt; vỏ bọc ghế ngồi")</f>
        <v>Đấu giá&gt; ô tô, xe máy&gt; xe tải, bãi, máy móc xây dựng&gt; Accessories&gt; vỏ bọc ghế ngồi</v>
      </c>
      <c r="F1985" t="str">
        <f t="shared" ca="1" si="30"/>
        <v>"2084290717" : "vỏ bọc ghế ngồi",</v>
      </c>
    </row>
    <row r="1986" spans="1:6" ht="15.75" customHeight="1">
      <c r="A1986" s="18">
        <v>2084241185</v>
      </c>
      <c r="B1986" s="18" t="s">
        <v>16561</v>
      </c>
      <c r="C1986" s="18" t="s">
        <v>16563</v>
      </c>
      <c r="D1986" s="5" t="str">
        <f ca="1">IFERROR(__xludf.DUMMYFUNCTION("GOOGLETRANSLATE(B1986,""ja"",""vi"")"),"thay đổi núm")</f>
        <v>thay đổi núm</v>
      </c>
      <c r="E1986" s="5" t="str">
        <f ca="1">IFERROR(__xludf.DUMMYFUNCTION("GOOGLETRANSLATE(C1986,""ja"",""vi"")"),"Đấu giá&gt; ô tô, xe máy&gt; xe tải, bãi, máy móc xây dựng&gt; Accessories&gt; thay đổi núm")</f>
        <v>Đấu giá&gt; ô tô, xe máy&gt; xe tải, bãi, máy móc xây dựng&gt; Accessories&gt; thay đổi núm</v>
      </c>
      <c r="F1986" t="str">
        <f t="shared" ref="F1986:F2049" ca="1" si="31">CONCATENATE(CHAR(34)&amp;"",A1986,""&amp;CHAR(34)," : ", CHAR(34)&amp;"",D1986,""&amp;CHAR(34),",")</f>
        <v>"2084241185" : "thay đổi núm",</v>
      </c>
    </row>
    <row r="1987" spans="1:6" ht="15.75" customHeight="1">
      <c r="A1987" s="18">
        <v>2084291447</v>
      </c>
      <c r="B1987" s="18" t="s">
        <v>14340</v>
      </c>
      <c r="C1987" s="18" t="s">
        <v>16568</v>
      </c>
      <c r="D1987" s="5" t="str">
        <f ca="1">IFERROR(__xludf.DUMMYFUNCTION("GOOGLETRANSLATE(B1987,""ja"",""vi"")"),"Sticker, decal")</f>
        <v>Sticker, decal</v>
      </c>
      <c r="E1987" s="5" t="str">
        <f ca="1">IFERROR(__xludf.DUMMYFUNCTION("GOOGLETRANSLATE(C1987,""ja"",""vi"")"),"Đấu giá&gt; ô tô, xe máy&gt; xe tải, bãi, máy móc xây dựng&gt; Accessories&gt; dán, decal")</f>
        <v>Đấu giá&gt; ô tô, xe máy&gt; xe tải, bãi, máy móc xây dựng&gt; Accessories&gt; dán, decal</v>
      </c>
      <c r="F1987" t="str">
        <f t="shared" ca="1" si="31"/>
        <v>"2084291447" : "Sticker, decal",</v>
      </c>
    </row>
    <row r="1988" spans="1:6" ht="15.75" customHeight="1">
      <c r="A1988" s="18">
        <v>2084290715</v>
      </c>
      <c r="B1988" s="18" t="s">
        <v>16570</v>
      </c>
      <c r="C1988" s="18" t="s">
        <v>16571</v>
      </c>
      <c r="D1988" s="5" t="str">
        <f ca="1">IFERROR(__xludf.DUMMYFUNCTION("GOOGLETRANSLATE(B1988,""ja"",""vi"")"),"bìa Xử lý")</f>
        <v>bìa Xử lý</v>
      </c>
      <c r="E1988" s="5" t="str">
        <f ca="1">IFERROR(__xludf.DUMMYFUNCTION("GOOGLETRANSLATE(C1988,""ja"",""vi"")"),"Đấu giá&gt; ô tô, xe máy&gt; xe tải, bãi, máy móc xây dựng&gt; Accessories&gt; xử lý bao gồm")</f>
        <v>Đấu giá&gt; ô tô, xe máy&gt; xe tải, bãi, máy móc xây dựng&gt; Accessories&gt; xử lý bao gồm</v>
      </c>
      <c r="F1988" t="str">
        <f t="shared" ca="1" si="31"/>
        <v>"2084290715" : "bìa Xử lý",</v>
      </c>
    </row>
    <row r="1989" spans="1:6" ht="15.75" customHeight="1">
      <c r="A1989" s="18">
        <v>2084290716</v>
      </c>
      <c r="B1989" s="18" t="s">
        <v>16573</v>
      </c>
      <c r="C1989" s="18" t="s">
        <v>16574</v>
      </c>
      <c r="D1989" s="5" t="str">
        <f ca="1">IFERROR(__xludf.DUMMYFUNCTION("GOOGLETRANSLATE(B1989,""ja"",""vi"")"),"thảm sàn")</f>
        <v>thảm sàn</v>
      </c>
      <c r="E1989" s="5" t="str">
        <f ca="1">IFERROR(__xludf.DUMMYFUNCTION("GOOGLETRANSLATE(C1989,""ja"",""vi"")"),"Đấu giá&gt; ô tô, xe máy&gt; xe tải, bãi, máy móc xây dựng&gt; Accessories&gt; thảm sàn")</f>
        <v>Đấu giá&gt; ô tô, xe máy&gt; xe tải, bãi, máy móc xây dựng&gt; Accessories&gt; thảm sàn</v>
      </c>
      <c r="F1989" t="str">
        <f t="shared" ca="1" si="31"/>
        <v>"2084290716" : "thảm sàn",</v>
      </c>
    </row>
    <row r="1990" spans="1:6" ht="15.75" customHeight="1">
      <c r="A1990" s="18">
        <v>2084241186</v>
      </c>
      <c r="B1990" s="18" t="s">
        <v>15459</v>
      </c>
      <c r="C1990" s="18" t="s">
        <v>16576</v>
      </c>
      <c r="D1990" s="5" t="str">
        <f ca="1">IFERROR(__xludf.DUMMYFUNCTION("GOOGLETRANSLATE(B1990,""ja"",""vi"")"),"Horn (chỉ 24V)")</f>
        <v>Horn (chỉ 24V)</v>
      </c>
      <c r="E1990" s="5" t="str">
        <f ca="1">IFERROR(__xludf.DUMMYFUNCTION("GOOGLETRANSLATE(C1990,""ja"",""vi"")"),"Đấu giá&gt; ô tô, xe máy&gt; xe tải, bãi, máy móc xây dựng&gt; Accessories&gt; sừng (24V chỉ)")</f>
        <v>Đấu giá&gt; ô tô, xe máy&gt; xe tải, bãi, máy móc xây dựng&gt; Accessories&gt; sừng (24V chỉ)</v>
      </c>
      <c r="F1990" t="str">
        <f t="shared" ca="1" si="31"/>
        <v>"2084241186" : "Horn (chỉ 24V)",</v>
      </c>
    </row>
    <row r="1991" spans="1:6" ht="15.75" customHeight="1">
      <c r="A1991" s="18">
        <v>2084290718</v>
      </c>
      <c r="B1991" s="18" t="s">
        <v>16578</v>
      </c>
      <c r="C1991" s="18" t="s">
        <v>16579</v>
      </c>
      <c r="D1991" s="5" t="str">
        <f ca="1">IFERROR(__xludf.DUMMYFUNCTION("GOOGLETRANSLATE(B1991,""ja"",""vi"")"),"Bộ đồ giường")</f>
        <v>Bộ đồ giường</v>
      </c>
      <c r="E1991" s="5" t="str">
        <f ca="1">IFERROR(__xludf.DUMMYFUNCTION("GOOGLETRANSLATE(C1991,""ja"",""vi"")"),"Đấu giá&gt; ô tô, xe máy&gt; xe tải, bãi, máy móc xây dựng&gt; Accessories&gt; Bộ đồ giường")</f>
        <v>Đấu giá&gt; ô tô, xe máy&gt; xe tải, bãi, máy móc xây dựng&gt; Accessories&gt; Bộ đồ giường</v>
      </c>
      <c r="F1991" t="str">
        <f t="shared" ca="1" si="31"/>
        <v>"2084290718" : "Bộ đồ giường",</v>
      </c>
    </row>
    <row r="1992" spans="1:6" ht="15.75" customHeight="1">
      <c r="A1992" s="18">
        <v>2084241187</v>
      </c>
      <c r="B1992" s="18" t="s">
        <v>46</v>
      </c>
      <c r="C1992" s="18" t="s">
        <v>16581</v>
      </c>
      <c r="D1992" s="5" t="str">
        <f ca="1">IFERROR(__xludf.DUMMYFUNCTION("GOOGLETRANSLATE(B1992,""ja"",""vi"")"),"nếu không thì")</f>
        <v>nếu không thì</v>
      </c>
      <c r="E1992" s="5" t="str">
        <f ca="1">IFERROR(__xludf.DUMMYFUNCTION("GOOGLETRANSLATE(C1992,""ja"",""vi"")"),"Đấu giá&gt; ô tô, xe máy&gt; xe tải, bãi, máy móc xây dựng&gt; Accessories&gt; Khác")</f>
        <v>Đấu giá&gt; ô tô, xe máy&gt; xe tải, bãi, máy móc xây dựng&gt; Accessories&gt; Khác</v>
      </c>
      <c r="F1992" t="str">
        <f t="shared" ca="1" si="31"/>
        <v>"2084241187" : "nếu không thì",</v>
      </c>
    </row>
    <row r="1993" spans="1:6" ht="15.75" customHeight="1">
      <c r="A1993" s="18">
        <v>2084291771</v>
      </c>
      <c r="B1993" s="18" t="s">
        <v>15205</v>
      </c>
      <c r="C1993" s="18" t="s">
        <v>17304</v>
      </c>
      <c r="D1993" s="5" t="str">
        <f ca="1">IFERROR(__xludf.DUMMYFUNCTION("GOOGLETRANSLATE(B1993,""ja"",""vi"")"),"dầu động cơ")</f>
        <v>dầu động cơ</v>
      </c>
      <c r="E1993" s="5" t="str">
        <f ca="1">IFERROR(__xludf.DUMMYFUNCTION("GOOGLETRANSLATE(C1993,""ja"",""vi"")"),"Đấu giá&gt; ô tô, xe máy&gt; xe tải, bãi, máy móc xây dựng&gt; bảo dưỡng&gt; dầu động cơ")</f>
        <v>Đấu giá&gt; ô tô, xe máy&gt; xe tải, bãi, máy móc xây dựng&gt; bảo dưỡng&gt; dầu động cơ</v>
      </c>
      <c r="F1993" t="str">
        <f t="shared" ca="1" si="31"/>
        <v>"2084291771" : "dầu động cơ",</v>
      </c>
    </row>
    <row r="1994" spans="1:6" ht="15.75" customHeight="1">
      <c r="A1994" s="18">
        <v>2084291764</v>
      </c>
      <c r="B1994" s="18" t="s">
        <v>14186</v>
      </c>
      <c r="C1994" s="18" t="s">
        <v>17307</v>
      </c>
      <c r="D1994" s="5" t="str">
        <f ca="1">IFERROR(__xludf.DUMMYFUNCTION("GOOGLETRANSLATE(B1994,""ja"",""vi"")"),"ắc quy")</f>
        <v>ắc quy</v>
      </c>
      <c r="E1994" s="5" t="str">
        <f ca="1">IFERROR(__xludf.DUMMYFUNCTION("GOOGLETRANSLATE(C1994,""ja"",""vi"")"),"Đấu giá&gt; ô tô, xe máy&gt; xe tải, bãi, máy móc xây dựng&gt; bảo trì&gt; pin")</f>
        <v>Đấu giá&gt; ô tô, xe máy&gt; xe tải, bãi, máy móc xây dựng&gt; bảo trì&gt; pin</v>
      </c>
      <c r="F1994" t="str">
        <f t="shared" ca="1" si="31"/>
        <v>"2084291764" : "ắc quy",</v>
      </c>
    </row>
    <row r="1995" spans="1:6" ht="15.75" customHeight="1">
      <c r="A1995" s="18">
        <v>2084291772</v>
      </c>
      <c r="B1995" s="18" t="s">
        <v>46</v>
      </c>
      <c r="C1995" s="18" t="s">
        <v>17310</v>
      </c>
      <c r="D1995" s="5" t="str">
        <f ca="1">IFERROR(__xludf.DUMMYFUNCTION("GOOGLETRANSLATE(B1995,""ja"",""vi"")"),"nếu không thì")</f>
        <v>nếu không thì</v>
      </c>
      <c r="E1995" s="5" t="str">
        <f ca="1">IFERROR(__xludf.DUMMYFUNCTION("GOOGLETRANSLATE(C1995,""ja"",""vi"")"),"Đấu giá&gt; ô tô, xe máy&gt; xe tải, bãi, máy móc xây dựng&gt; bảo trì&gt; Khác")</f>
        <v>Đấu giá&gt; ô tô, xe máy&gt; xe tải, bãi, máy móc xây dựng&gt; bảo trì&gt; Khác</v>
      </c>
      <c r="F1995" t="str">
        <f t="shared" ca="1" si="31"/>
        <v>"2084291772" : "nếu không thì",</v>
      </c>
    </row>
    <row r="1996" spans="1:6" ht="15.75" customHeight="1">
      <c r="A1996" s="18">
        <v>2084042020</v>
      </c>
      <c r="B1996" s="18" t="s">
        <v>14417</v>
      </c>
      <c r="C1996" s="18" t="s">
        <v>14419</v>
      </c>
      <c r="D1996" s="5" t="str">
        <f ca="1">IFERROR(__xludf.DUMMYFUNCTION("GOOGLETRANSLATE(B1996,""ja"",""vi"")"),"Air Tools")</f>
        <v>Air Tools</v>
      </c>
      <c r="E1996" s="5" t="str">
        <f ca="1">IFERROR(__xludf.DUMMYFUNCTION("GOOGLETRANSLATE(C1996,""ja"",""vi"")"),"Đấu giá&gt; ô tô, xe máy&gt; xe máy&gt; Tools&gt; Air Tools")</f>
        <v>Đấu giá&gt; ô tô, xe máy&gt; xe máy&gt; Tools&gt; Air Tools</v>
      </c>
      <c r="F1996" t="str">
        <f t="shared" ca="1" si="31"/>
        <v>"2084042020" : "Air Tools",</v>
      </c>
    </row>
    <row r="1997" spans="1:6" ht="15.75" customHeight="1">
      <c r="A1997" s="18">
        <v>2084042052</v>
      </c>
      <c r="B1997" s="18" t="s">
        <v>14422</v>
      </c>
      <c r="C1997" s="18" t="s">
        <v>14423</v>
      </c>
      <c r="D1997" s="5" t="str">
        <f ca="1">IFERROR(__xludf.DUMMYFUNCTION("GOOGLETRANSLATE(B1997,""ja"",""vi"")"),"gauge nén")</f>
        <v>gauge nén</v>
      </c>
      <c r="E1997" s="5" t="str">
        <f ca="1">IFERROR(__xludf.DUMMYFUNCTION("GOOGLETRANSLATE(C1997,""ja"",""vi"")"),"Đấu giá&gt; ô tô, xe máy&gt; xe máy&gt; công cụ&gt; gauge nén")</f>
        <v>Đấu giá&gt; ô tô, xe máy&gt; xe máy&gt; công cụ&gt; gauge nén</v>
      </c>
      <c r="F1997" t="str">
        <f t="shared" ca="1" si="31"/>
        <v>"2084042052" : "gauge nén",</v>
      </c>
    </row>
    <row r="1998" spans="1:6" ht="15.75" customHeight="1">
      <c r="A1998" s="18">
        <v>2084042058</v>
      </c>
      <c r="B1998" s="18" t="s">
        <v>14427</v>
      </c>
      <c r="C1998" s="18" t="s">
        <v>14428</v>
      </c>
      <c r="D1998" s="5" t="str">
        <f ca="1">IFERROR(__xludf.DUMMYFUNCTION("GOOGLETRANSLATE(B1998,""ja"",""vi"")"),"lốp đo")</f>
        <v>lốp đo</v>
      </c>
      <c r="E1998" s="5" t="str">
        <f ca="1">IFERROR(__xludf.DUMMYFUNCTION("GOOGLETRANSLATE(C1998,""ja"",""vi"")"),"Đấu giá&gt; ô tô, xe máy&gt; xe máy&gt; Công cụ&gt; gauge lốp")</f>
        <v>Đấu giá&gt; ô tô, xe máy&gt; xe máy&gt; Công cụ&gt; gauge lốp</v>
      </c>
      <c r="F1998" t="str">
        <f t="shared" ca="1" si="31"/>
        <v>"2084042058" : "lốp đo",</v>
      </c>
    </row>
    <row r="1999" spans="1:6" ht="15.75" customHeight="1">
      <c r="A1999" s="18">
        <v>2084235242</v>
      </c>
      <c r="B1999" s="18" t="s">
        <v>14372</v>
      </c>
      <c r="C1999" s="18" t="s">
        <v>14432</v>
      </c>
      <c r="D1999" s="5" t="str">
        <f ca="1">IFERROR(__xludf.DUMMYFUNCTION("GOOGLETRANSLATE(B1999,""ja"",""vi"")"),"Công cụ Bag")</f>
        <v>Công cụ Bag</v>
      </c>
      <c r="E1999" s="5" t="str">
        <f ca="1">IFERROR(__xludf.DUMMYFUNCTION("GOOGLETRANSLATE(C1999,""ja"",""vi"")"),"Đấu giá&gt; ô tô, xe máy&gt; xe máy&gt; công cụ&gt; túi công cụ")</f>
        <v>Đấu giá&gt; ô tô, xe máy&gt; xe máy&gt; công cụ&gt; túi công cụ</v>
      </c>
      <c r="F1999" t="str">
        <f t="shared" ca="1" si="31"/>
        <v>"2084235242" : "Công cụ Bag",</v>
      </c>
    </row>
    <row r="2000" spans="1:6" ht="15.75" customHeight="1">
      <c r="A2000" s="18">
        <v>24654</v>
      </c>
      <c r="B2000" s="18" t="s">
        <v>14434</v>
      </c>
      <c r="C2000" s="18" t="s">
        <v>14436</v>
      </c>
      <c r="D2000" s="5" t="str">
        <f ca="1">IFERROR(__xludf.DUMMYFUNCTION("GOOGLETRANSLATE(B2000,""ja"",""vi"")"),"Dụng cụ cầm tay")</f>
        <v>Dụng cụ cầm tay</v>
      </c>
      <c r="E2000" s="5" t="str">
        <f ca="1">IFERROR(__xludf.DUMMYFUNCTION("GOOGLETRANSLATE(C2000,""ja"",""vi"")"),"Đấu giá&gt; ô tô, xe máy&gt; xe máy&gt; Công cụ&gt; Dụng cụ cầm tay")</f>
        <v>Đấu giá&gt; ô tô, xe máy&gt; xe máy&gt; Công cụ&gt; Dụng cụ cầm tay</v>
      </c>
      <c r="F2000" t="str">
        <f t="shared" ca="1" si="31"/>
        <v>"24654" : "Dụng cụ cầm tay",</v>
      </c>
    </row>
    <row r="2001" spans="1:6" ht="15.75" customHeight="1">
      <c r="A2001" s="18">
        <v>2084042023</v>
      </c>
      <c r="B2001" s="18" t="s">
        <v>14440</v>
      </c>
      <c r="C2001" s="18" t="s">
        <v>14441</v>
      </c>
      <c r="D2001" s="5" t="str">
        <f ca="1">IFERROR(__xludf.DUMMYFUNCTION("GOOGLETRANSLATE(B2001,""ja"",""vi"")"),"Bike lift")</f>
        <v>Bike lift</v>
      </c>
      <c r="E2001" s="5" t="str">
        <f ca="1">IFERROR(__xludf.DUMMYFUNCTION("GOOGLETRANSLATE(C2001,""ja"",""vi"")"),"Đấu giá&gt; ô tô, xe máy&gt; xe máy&gt; Công cụ&gt; xe đạp lift")</f>
        <v>Đấu giá&gt; ô tô, xe máy&gt; xe máy&gt; Công cụ&gt; xe đạp lift</v>
      </c>
      <c r="F2001" t="str">
        <f t="shared" ca="1" si="31"/>
        <v>"2084042023" : "Bike lift",</v>
      </c>
    </row>
    <row r="2002" spans="1:6" ht="15.75" customHeight="1">
      <c r="A2002" s="18">
        <v>2084042024</v>
      </c>
      <c r="B2002" s="18" t="s">
        <v>14446</v>
      </c>
      <c r="C2002" s="18" t="s">
        <v>14447</v>
      </c>
      <c r="D2002" s="5" t="str">
        <f ca="1">IFERROR(__xludf.DUMMYFUNCTION("GOOGLETRANSLATE(B2002,""ja"",""vi"")"),"ống trong máy hút bụi")</f>
        <v>ống trong máy hút bụi</v>
      </c>
      <c r="E2002" s="5" t="str">
        <f ca="1">IFERROR(__xludf.DUMMYFUNCTION("GOOGLETRANSLATE(C2002,""ja"",""vi"")"),"Đấu giá&gt; ô tô, xe máy&gt; xe máy&gt; Công cụ&gt; đo chân không")</f>
        <v>Đấu giá&gt; ô tô, xe máy&gt; xe máy&gt; Công cụ&gt; đo chân không</v>
      </c>
      <c r="F2002" t="str">
        <f t="shared" ca="1" si="31"/>
        <v>"2084042024" : "ống trong máy hút bụi",</v>
      </c>
    </row>
    <row r="2003" spans="1:6" ht="15.75" customHeight="1">
      <c r="A2003" s="18">
        <v>2084042025</v>
      </c>
      <c r="B2003" s="18" t="s">
        <v>14450</v>
      </c>
      <c r="C2003" s="18" t="s">
        <v>14452</v>
      </c>
      <c r="D2003" s="5" t="str">
        <f ca="1">IFERROR(__xludf.DUMMYFUNCTION("GOOGLETRANSLATE(B2003,""ja"",""vi"")"),"On-board công cụ")</f>
        <v>On-board công cụ</v>
      </c>
      <c r="E2003" s="5" t="str">
        <f ca="1">IFERROR(__xludf.DUMMYFUNCTION("GOOGLETRANSLATE(C2003,""ja"",""vi"")"),"Đấu giá&gt; ô tô, xe máy&gt; xe máy&gt; Công cụ&gt; Công cụ Ô tô")</f>
        <v>Đấu giá&gt; ô tô, xe máy&gt; xe máy&gt; Công cụ&gt; Công cụ Ô tô</v>
      </c>
      <c r="F2003" t="str">
        <f t="shared" ca="1" si="31"/>
        <v>"2084042025" : "On-board công cụ",</v>
      </c>
    </row>
    <row r="2004" spans="1:6" ht="15.75" customHeight="1">
      <c r="A2004" s="18">
        <v>2084042064</v>
      </c>
      <c r="B2004" s="18" t="s">
        <v>12697</v>
      </c>
      <c r="C2004" s="18" t="s">
        <v>14455</v>
      </c>
      <c r="D2004" s="5" t="str">
        <f ca="1">IFERROR(__xludf.DUMMYFUNCTION("GOOGLETRANSLATE(B2004,""ja"",""vi"")"),"chiếu sáng")</f>
        <v>chiếu sáng</v>
      </c>
      <c r="E2004" s="5" t="str">
        <f ca="1">IFERROR(__xludf.DUMMYFUNCTION("GOOGLETRANSLATE(C2004,""ja"",""vi"")"),"Đấu giá&gt; ô tô, xe máy&gt; xe máy&gt; Công cụ&gt; Ánh sáng")</f>
        <v>Đấu giá&gt; ô tô, xe máy&gt; xe máy&gt; Công cụ&gt; Ánh sáng</v>
      </c>
      <c r="F2004" t="str">
        <f t="shared" ca="1" si="31"/>
        <v>"2084042064" : "chiếu sáng",</v>
      </c>
    </row>
    <row r="2005" spans="1:6" ht="15.75" customHeight="1">
      <c r="A2005" s="18">
        <v>24666</v>
      </c>
      <c r="B2005" s="18" t="s">
        <v>14458</v>
      </c>
      <c r="C2005" s="18" t="s">
        <v>14459</v>
      </c>
      <c r="D2005" s="5" t="str">
        <f ca="1">IFERROR(__xludf.DUMMYFUNCTION("GOOGLETRANSLATE(B2005,""ja"",""vi"")"),"công cụ quyền lực")</f>
        <v>công cụ quyền lực</v>
      </c>
      <c r="E2005" s="5" t="str">
        <f ca="1">IFERROR(__xludf.DUMMYFUNCTION("GOOGLETRANSLATE(C2005,""ja"",""vi"")"),"Đấu giá&gt; ô tô, xe máy&gt; xe máy&gt; công cụ&gt; công cụ quyền lực")</f>
        <v>Đấu giá&gt; ô tô, xe máy&gt; xe máy&gt; công cụ&gt; công cụ quyền lực</v>
      </c>
      <c r="F2005" t="str">
        <f t="shared" ca="1" si="31"/>
        <v>"24666" : "công cụ quyền lực",</v>
      </c>
    </row>
    <row r="2006" spans="1:6" ht="15.75" customHeight="1">
      <c r="A2006" s="18">
        <v>2084042026</v>
      </c>
      <c r="B2006" s="18" t="s">
        <v>46</v>
      </c>
      <c r="C2006" s="18" t="s">
        <v>14462</v>
      </c>
      <c r="D2006" s="5" t="str">
        <f ca="1">IFERROR(__xludf.DUMMYFUNCTION("GOOGLETRANSLATE(B2006,""ja"",""vi"")"),"nếu không thì")</f>
        <v>nếu không thì</v>
      </c>
      <c r="E2006" s="5" t="str">
        <f ca="1">IFERROR(__xludf.DUMMYFUNCTION("GOOGLETRANSLATE(C2006,""ja"",""vi"")"),"Đấu giá&gt; ô tô, xe máy&gt; xe máy&gt; Công cụ&gt; Khác")</f>
        <v>Đấu giá&gt; ô tô, xe máy&gt; xe máy&gt; Công cụ&gt; Khác</v>
      </c>
      <c r="F2006" t="str">
        <f t="shared" ca="1" si="31"/>
        <v>"2084042026" : "nếu không thì",</v>
      </c>
    </row>
    <row r="2007" spans="1:6" ht="15.75" customHeight="1">
      <c r="A2007" s="18">
        <v>2084042054</v>
      </c>
      <c r="B2007" s="18" t="s">
        <v>17336</v>
      </c>
      <c r="C2007" s="18" t="s">
        <v>17338</v>
      </c>
      <c r="D2007" s="5" t="str">
        <f ca="1">IFERROR(__xludf.DUMMYFUNCTION("GOOGLETRANSLATE(B2007,""ja"",""vi"")"),"Jack đứng")</f>
        <v>Jack đứng</v>
      </c>
      <c r="E2007" s="5" t="str">
        <f ca="1">IFERROR(__xludf.DUMMYFUNCTION("GOOGLETRANSLATE(C2007,""ja"",""vi"")"),"Đấu giá&gt; ô tô, xe máy&gt; Công cụ&gt; jack&gt; jack đứng")</f>
        <v>Đấu giá&gt; ô tô, xe máy&gt; Công cụ&gt; jack&gt; jack đứng</v>
      </c>
      <c r="F2007" t="str">
        <f t="shared" ca="1" si="31"/>
        <v>"2084042054" : "Jack đứng",</v>
      </c>
    </row>
    <row r="2008" spans="1:6" ht="15.75" customHeight="1">
      <c r="A2008" s="18">
        <v>2084042056</v>
      </c>
      <c r="B2008" s="18" t="s">
        <v>17341</v>
      </c>
      <c r="C2008" s="18" t="s">
        <v>17342</v>
      </c>
      <c r="D2008" s="5" t="str">
        <f ca="1">IFERROR(__xludf.DUMMYFUNCTION("GOOGLETRANSLATE(B2008,""ja"",""vi"")"),"jack thước sao đồ")</f>
        <v>jack thước sao đồ</v>
      </c>
      <c r="E2008" s="5" t="str">
        <f ca="1">IFERROR(__xludf.DUMMYFUNCTION("GOOGLETRANSLATE(C2008,""ja"",""vi"")"),"Đấu giá&gt; ô tô, xe máy&gt; Công cụ&gt; jack&gt; jack thước sao đồ")</f>
        <v>Đấu giá&gt; ô tô, xe máy&gt; Công cụ&gt; jack&gt; jack thước sao đồ</v>
      </c>
      <c r="F2008" t="str">
        <f t="shared" ca="1" si="31"/>
        <v>"2084042056" : "jack thước sao đồ",</v>
      </c>
    </row>
    <row r="2009" spans="1:6" ht="15.75" customHeight="1">
      <c r="A2009" s="18">
        <v>2084042055</v>
      </c>
      <c r="B2009" s="18" t="s">
        <v>17347</v>
      </c>
      <c r="C2009" s="18" t="s">
        <v>17349</v>
      </c>
      <c r="D2009" s="5" t="str">
        <f ca="1">IFERROR(__xludf.DUMMYFUNCTION("GOOGLETRANSLATE(B2009,""ja"",""vi"")"),"jack sàn")</f>
        <v>jack sàn</v>
      </c>
      <c r="E2009" s="5" t="str">
        <f ca="1">IFERROR(__xludf.DUMMYFUNCTION("GOOGLETRANSLATE(C2009,""ja"",""vi"")"),"Đấu giá&gt; ô tô, xe máy&gt; Công cụ&gt; jack&gt; jack sàn")</f>
        <v>Đấu giá&gt; ô tô, xe máy&gt; Công cụ&gt; jack&gt; jack sàn</v>
      </c>
      <c r="F2009" t="str">
        <f t="shared" ca="1" si="31"/>
        <v>"2084042055" : "jack sàn",</v>
      </c>
    </row>
    <row r="2010" spans="1:6" ht="15.75" customHeight="1">
      <c r="A2010" s="18">
        <v>2084042057</v>
      </c>
      <c r="B2010" s="18" t="s">
        <v>46</v>
      </c>
      <c r="C2010" s="18" t="s">
        <v>17352</v>
      </c>
      <c r="D2010" s="5" t="str">
        <f ca="1">IFERROR(__xludf.DUMMYFUNCTION("GOOGLETRANSLATE(B2010,""ja"",""vi"")"),"nếu không thì")</f>
        <v>nếu không thì</v>
      </c>
      <c r="E2010" s="5" t="str">
        <f ca="1">IFERROR(__xludf.DUMMYFUNCTION("GOOGLETRANSLATE(C2010,""ja"",""vi"")"),"Đấu giá&gt; ô tô, xe máy&gt; Công cụ&gt; jack&gt; Khác")</f>
        <v>Đấu giá&gt; ô tô, xe máy&gt; Công cụ&gt; jack&gt; Khác</v>
      </c>
      <c r="F2010" t="str">
        <f t="shared" ca="1" si="31"/>
        <v>"2084042057" : "nếu không thì",</v>
      </c>
    </row>
    <row r="2011" spans="1:6" ht="15.75" customHeight="1">
      <c r="A2011" s="18">
        <v>2084063593</v>
      </c>
      <c r="B2011" s="18" t="s">
        <v>3138</v>
      </c>
      <c r="C2011" s="18" t="s">
        <v>17360</v>
      </c>
      <c r="D2011" s="5" t="str">
        <f ca="1">IFERROR(__xludf.DUMMYFUNCTION("GOOGLETRANSLATE(B2011,""ja"",""vi"")"),"bộ")</f>
        <v>bộ</v>
      </c>
      <c r="E2011" s="5" t="str">
        <f ca="1">IFERROR(__xludf.DUMMYFUNCTION("GOOGLETRANSLATE(C2011,""ja"",""vi"")"),"Đấu giá&gt; nhà, nội thất&gt; công cụ, DIY nguồn cung cấp&gt; Công cụ không khí&gt; bộ")</f>
        <v>Đấu giá&gt; nhà, nội thất&gt; công cụ, DIY nguồn cung cấp&gt; Công cụ không khí&gt; bộ</v>
      </c>
      <c r="F2011" t="str">
        <f t="shared" ca="1" si="31"/>
        <v>"2084063593" : "bộ",</v>
      </c>
    </row>
    <row r="2012" spans="1:6" ht="15.75" customHeight="1">
      <c r="A2012" s="18">
        <v>2084063594</v>
      </c>
      <c r="B2012" s="18" t="s">
        <v>4919</v>
      </c>
      <c r="C2012" s="18" t="s">
        <v>17363</v>
      </c>
      <c r="D2012" s="5" t="str">
        <f ca="1">IFERROR(__xludf.DUMMYFUNCTION("GOOGLETRANSLATE(B2012,""ja"",""vi"")"),"máy ép")</f>
        <v>máy ép</v>
      </c>
      <c r="E2012" s="5" t="str">
        <f ca="1">IFERROR(__xludf.DUMMYFUNCTION("GOOGLETRANSLATE(C2012,""ja"",""vi"")"),"Đấu giá&gt; nhà, nội thất&gt; công cụ, DIY nguồn cung cấp&gt; Công cụ không khí&gt; máy nén")</f>
        <v>Đấu giá&gt; nhà, nội thất&gt; công cụ, DIY nguồn cung cấp&gt; Công cụ không khí&gt; máy nén</v>
      </c>
      <c r="F2012" t="str">
        <f t="shared" ca="1" si="31"/>
        <v>"2084063594" : "máy ép",</v>
      </c>
    </row>
    <row r="2013" spans="1:6" ht="15.75" customHeight="1">
      <c r="A2013" s="18">
        <v>2084063598</v>
      </c>
      <c r="B2013" s="18" t="s">
        <v>17366</v>
      </c>
      <c r="C2013" s="18" t="s">
        <v>17367</v>
      </c>
      <c r="D2013" s="5" t="str">
        <f ca="1">IFERROR(__xludf.DUMMYFUNCTION("GOOGLETRANSLATE(B2013,""ja"",""vi"")"),"D kẻ tấn công")</f>
        <v>D kẻ tấn công</v>
      </c>
      <c r="E2013" s="5" t="str">
        <f ca="1">IFERROR(__xludf.DUMMYFUNCTION("GOOGLETRANSLATE(C2013,""ja"",""vi"")"),"Đấu giá&gt; nhà, nội thất&gt; công cụ, DIY nguồn cung cấp&gt; Công cụ không khí&gt; d kẻ tấn công")</f>
        <v>Đấu giá&gt; nhà, nội thất&gt; công cụ, DIY nguồn cung cấp&gt; Công cụ không khí&gt; d kẻ tấn công</v>
      </c>
      <c r="F2013" t="str">
        <f t="shared" ca="1" si="31"/>
        <v>"2084063598" : "D kẻ tấn công",</v>
      </c>
    </row>
    <row r="2014" spans="1:6" ht="15.75" customHeight="1">
      <c r="A2014" s="18">
        <v>2084063596</v>
      </c>
      <c r="B2014" s="18" t="s">
        <v>17370</v>
      </c>
      <c r="C2014" s="18" t="s">
        <v>17372</v>
      </c>
      <c r="D2014" s="5" t="str">
        <f ca="1">IFERROR(__xludf.DUMMYFUNCTION("GOOGLETRANSLATE(B2014,""ja"",""vi"")"),"thợ làm đinh Air")</f>
        <v>thợ làm đinh Air</v>
      </c>
      <c r="E2014" s="5" t="str">
        <f ca="1">IFERROR(__xludf.DUMMYFUNCTION("GOOGLETRANSLATE(C2014,""ja"",""vi"")"),"Đấu giá&gt; nhà, nội thất&gt; công cụ, DIY nguồn cung cấp&gt; Công cụ không khí&gt; thợ làm đinh khí")</f>
        <v>Đấu giá&gt; nhà, nội thất&gt; công cụ, DIY nguồn cung cấp&gt; Công cụ không khí&gt; thợ làm đinh khí</v>
      </c>
      <c r="F2014" t="str">
        <f t="shared" ca="1" si="31"/>
        <v>"2084063596" : "thợ làm đinh Air",</v>
      </c>
    </row>
    <row r="2015" spans="1:6" ht="15.75" customHeight="1">
      <c r="A2015" s="18">
        <v>2084303414</v>
      </c>
      <c r="B2015" s="18" t="s">
        <v>17375</v>
      </c>
      <c r="C2015" s="18" t="s">
        <v>17376</v>
      </c>
      <c r="D2015" s="5" t="str">
        <f ca="1">IFERROR(__xludf.DUMMYFUNCTION("GOOGLETRANSLATE(B2015,""ja"",""vi"")"),"Air tác động cờ lê")</f>
        <v>Air tác động cờ lê</v>
      </c>
      <c r="E2015" s="5" t="str">
        <f ca="1">IFERROR(__xludf.DUMMYFUNCTION("GOOGLETRANSLATE(C2015,""ja"",""vi"")"),"Đấu giá&gt; nhà, nội thất&gt; công cụ, DIY nguồn cung cấp&gt; Air Tools&gt; Air Impact Wrench")</f>
        <v>Đấu giá&gt; nhà, nội thất&gt; công cụ, DIY nguồn cung cấp&gt; Air Tools&gt; Air Impact Wrench</v>
      </c>
      <c r="F2015" t="str">
        <f t="shared" ca="1" si="31"/>
        <v>"2084303414" : "Air tác động cờ lê",</v>
      </c>
    </row>
    <row r="2016" spans="1:6" ht="15.75" customHeight="1">
      <c r="A2016" s="18">
        <v>2084303415</v>
      </c>
      <c r="B2016" s="18" t="s">
        <v>17379</v>
      </c>
      <c r="C2016" s="18" t="s">
        <v>17382</v>
      </c>
      <c r="D2016" s="5" t="str">
        <f ca="1">IFERROR(__xludf.DUMMYFUNCTION("GOOGLETRANSLATE(B2016,""ja"",""vi"")"),"súng hơi")</f>
        <v>súng hơi</v>
      </c>
      <c r="E2016" s="5" t="str">
        <f ca="1">IFERROR(__xludf.DUMMYFUNCTION("GOOGLETRANSLATE(C2016,""ja"",""vi"")"),"Đấu giá&gt; nhà, nội thất&gt; công cụ, DIY nguồn cung cấp&gt; Công cụ không khí&gt; súng hơi")</f>
        <v>Đấu giá&gt; nhà, nội thất&gt; công cụ, DIY nguồn cung cấp&gt; Công cụ không khí&gt; súng hơi</v>
      </c>
      <c r="F2016" t="str">
        <f t="shared" ca="1" si="31"/>
        <v>"2084303415" : "súng hơi",</v>
      </c>
    </row>
    <row r="2017" spans="1:6" ht="15.75" customHeight="1">
      <c r="A2017" s="18">
        <v>2084303416</v>
      </c>
      <c r="B2017" s="18" t="s">
        <v>17384</v>
      </c>
      <c r="C2017" s="18" t="s">
        <v>17385</v>
      </c>
      <c r="D2017" s="5" t="str">
        <f ca="1">IFERROR(__xludf.DUMMYFUNCTION("GOOGLETRANSLATE(B2017,""ja"",""vi"")"),"búa bằng hơi")</f>
        <v>búa bằng hơi</v>
      </c>
      <c r="E2017" s="5" t="str">
        <f ca="1">IFERROR(__xludf.DUMMYFUNCTION("GOOGLETRANSLATE(C2017,""ja"",""vi"")"),"Đấu giá&gt; nhà, nội thất&gt; công cụ, DIY nguồn cung cấp&gt; Công cụ không khí&gt; búa không khí")</f>
        <v>Đấu giá&gt; nhà, nội thất&gt; công cụ, DIY nguồn cung cấp&gt; Công cụ không khí&gt; búa không khí</v>
      </c>
      <c r="F2017" t="str">
        <f t="shared" ca="1" si="31"/>
        <v>"2084303416" : "búa bằng hơi",</v>
      </c>
    </row>
    <row r="2018" spans="1:6" ht="15.75" customHeight="1">
      <c r="A2018" s="18">
        <v>2084303417</v>
      </c>
      <c r="B2018" s="18" t="s">
        <v>17388</v>
      </c>
      <c r="C2018" s="18" t="s">
        <v>17389</v>
      </c>
      <c r="D2018" s="5" t="str">
        <f ca="1">IFERROR(__xludf.DUMMYFUNCTION("GOOGLETRANSLATE(B2018,""ja"",""vi"")"),"Air Sấm")</f>
        <v>Air Sấm</v>
      </c>
      <c r="E2018" s="5" t="str">
        <f ca="1">IFERROR(__xludf.DUMMYFUNCTION("GOOGLETRANSLATE(C2018,""ja"",""vi"")"),"Đấu giá&gt; nhà, nội thất&gt; công cụ, DIY nguồn cung cấp&gt; Air Tools&gt; Air Sander")</f>
        <v>Đấu giá&gt; nhà, nội thất&gt; công cụ, DIY nguồn cung cấp&gt; Air Tools&gt; Air Sander</v>
      </c>
      <c r="F2018" t="str">
        <f t="shared" ca="1" si="31"/>
        <v>"2084303417" : "Air Sấm",</v>
      </c>
    </row>
    <row r="2019" spans="1:6" ht="15.75" customHeight="1">
      <c r="A2019" s="18">
        <v>2084303418</v>
      </c>
      <c r="B2019" s="18" t="s">
        <v>17392</v>
      </c>
      <c r="C2019" s="18" t="s">
        <v>17393</v>
      </c>
      <c r="D2019" s="5" t="str">
        <f ca="1">IFERROR(__xludf.DUMMYFUNCTION("GOOGLETRANSLATE(B2019,""ja"",""vi"")"),"máy xay Air")</f>
        <v>máy xay Air</v>
      </c>
      <c r="E2019" s="5" t="str">
        <f ca="1">IFERROR(__xludf.DUMMYFUNCTION("GOOGLETRANSLATE(C2019,""ja"",""vi"")"),"Đấu giá&gt; nhà, nội thất&gt; công cụ, DIY nguồn cung cấp&gt; Công cụ không khí&gt; Air Grinder")</f>
        <v>Đấu giá&gt; nhà, nội thất&gt; công cụ, DIY nguồn cung cấp&gt; Công cụ không khí&gt; Air Grinder</v>
      </c>
      <c r="F2019" t="str">
        <f t="shared" ca="1" si="31"/>
        <v>"2084303418" : "máy xay Air",</v>
      </c>
    </row>
    <row r="2020" spans="1:6" ht="15.75" customHeight="1">
      <c r="A2020" s="18">
        <v>2084063600</v>
      </c>
      <c r="B2020" s="18" t="s">
        <v>17395</v>
      </c>
      <c r="C2020" s="18" t="s">
        <v>17396</v>
      </c>
      <c r="D2020" s="5" t="str">
        <f ca="1">IFERROR(__xludf.DUMMYFUNCTION("GOOGLETRANSLATE(B2020,""ja"",""vi"")"),"ống khí, reel")</f>
        <v>ống khí, reel</v>
      </c>
      <c r="E2020" s="5" t="str">
        <f ca="1">IFERROR(__xludf.DUMMYFUNCTION("GOOGLETRANSLATE(C2020,""ja"",""vi"")"),"Đấu giá&gt; nhà, nội thất&gt; công cụ, DIY nguồn cung cấp&gt; Công cụ không khí&gt; ống khí, reel")</f>
        <v>Đấu giá&gt; nhà, nội thất&gt; công cụ, DIY nguồn cung cấp&gt; Công cụ không khí&gt; ống khí, reel</v>
      </c>
      <c r="F2020" t="str">
        <f t="shared" ca="1" si="31"/>
        <v>"2084063600" : "ống khí, reel",</v>
      </c>
    </row>
    <row r="2021" spans="1:6" ht="15.75" customHeight="1">
      <c r="A2021" s="18">
        <v>2084063599</v>
      </c>
      <c r="B2021" s="18" t="s">
        <v>17399</v>
      </c>
      <c r="C2021" s="18" t="s">
        <v>17400</v>
      </c>
      <c r="D2021" s="5" t="str">
        <f ca="1">IFERROR(__xludf.DUMMYFUNCTION("GOOGLETRANSLATE(B2021,""ja"",""vi"")"),"Phụ trợ, bể tùng")</f>
        <v>Phụ trợ, bể tùng</v>
      </c>
      <c r="E2021" s="5" t="str">
        <f ca="1">IFERROR(__xludf.DUMMYFUNCTION("GOOGLETRANSLATE(C2021,""ja"",""vi"")"),"Đấu giá&gt; nhà, nội thất&gt; công cụ, DIY nguồn cung cấp&gt; Công cụ không khí&gt; phụ trợ, bể tùng")</f>
        <v>Đấu giá&gt; nhà, nội thất&gt; công cụ, DIY nguồn cung cấp&gt; Công cụ không khí&gt; phụ trợ, bể tùng</v>
      </c>
      <c r="F2021" t="str">
        <f t="shared" ca="1" si="31"/>
        <v>"2084063599" : "Phụ trợ, bể tùng",</v>
      </c>
    </row>
    <row r="2022" spans="1:6" ht="15.75" customHeight="1">
      <c r="A2022" s="18">
        <v>2084303420</v>
      </c>
      <c r="B2022" s="18" t="s">
        <v>17403</v>
      </c>
      <c r="C2022" s="18" t="s">
        <v>17404</v>
      </c>
      <c r="D2022" s="5" t="str">
        <f ca="1">IFERROR(__xludf.DUMMYFUNCTION("GOOGLETRANSLATE(B2022,""ja"",""vi"")"),"Một xi lanh khí")</f>
        <v>Một xi lanh khí</v>
      </c>
      <c r="E2022" s="5" t="str">
        <f ca="1">IFERROR(__xludf.DUMMYFUNCTION("GOOGLETRANSLATE(C2022,""ja"",""vi"")"),"Đấu giá&gt; nhà, nội thất&gt; công cụ, DIY nguồn cung cấp&gt; Công cụ không khí&gt; xi lanh khí")</f>
        <v>Đấu giá&gt; nhà, nội thất&gt; công cụ, DIY nguồn cung cấp&gt; Công cụ không khí&gt; xi lanh khí</v>
      </c>
      <c r="F2022" t="str">
        <f t="shared" ca="1" si="31"/>
        <v>"2084303420" : "Một xi lanh khí",</v>
      </c>
    </row>
    <row r="2023" spans="1:6" ht="15.75" customHeight="1">
      <c r="A2023" s="18">
        <v>2084063597</v>
      </c>
      <c r="B2023" s="18" t="s">
        <v>17407</v>
      </c>
      <c r="C2023" s="18" t="s">
        <v>17408</v>
      </c>
      <c r="D2023" s="5" t="str">
        <f ca="1">IFERROR(__xludf.DUMMYFUNCTION("GOOGLETRANSLATE(B2023,""ja"",""vi"")"),"lái xe Air")</f>
        <v>lái xe Air</v>
      </c>
      <c r="E2023" s="5" t="str">
        <f ca="1">IFERROR(__xludf.DUMMYFUNCTION("GOOGLETRANSLATE(C2023,""ja"",""vi"")"),"Đấu giá&gt; nhà, nội thất&gt; công cụ, DIY nguồn cung cấp&gt; Công cụ không khí&gt; lái xe không khí")</f>
        <v>Đấu giá&gt; nhà, nội thất&gt; công cụ, DIY nguồn cung cấp&gt; Công cụ không khí&gt; lái xe không khí</v>
      </c>
      <c r="F2023" t="str">
        <f t="shared" ca="1" si="31"/>
        <v>"2084063597" : "lái xe Air",</v>
      </c>
    </row>
    <row r="2024" spans="1:6" ht="15.75" customHeight="1">
      <c r="A2024" s="18">
        <v>2084063601</v>
      </c>
      <c r="B2024" s="18" t="s">
        <v>46</v>
      </c>
      <c r="C2024" s="18" t="s">
        <v>17411</v>
      </c>
      <c r="D2024" s="5" t="str">
        <f ca="1">IFERROR(__xludf.DUMMYFUNCTION("GOOGLETRANSLATE(B2024,""ja"",""vi"")"),"nếu không thì")</f>
        <v>nếu không thì</v>
      </c>
      <c r="E2024" s="5" t="str">
        <f ca="1">IFERROR(__xludf.DUMMYFUNCTION("GOOGLETRANSLATE(C2024,""ja"",""vi"")"),"Đấu giá&gt; nhà, nội thất&gt; công cụ, vật tư DIY&gt; công cụ không khí&gt; Khác")</f>
        <v>Đấu giá&gt; nhà, nội thất&gt; công cụ, vật tư DIY&gt; công cụ không khí&gt; Khác</v>
      </c>
      <c r="F2024" t="str">
        <f t="shared" ca="1" si="31"/>
        <v>"2084063601" : "nếu không thì",</v>
      </c>
    </row>
    <row r="2025" spans="1:6" ht="15.75" customHeight="1">
      <c r="A2025" s="18">
        <v>2084303396</v>
      </c>
      <c r="B2025" s="18" t="s">
        <v>17414</v>
      </c>
      <c r="C2025" s="18" t="s">
        <v>17415</v>
      </c>
      <c r="D2025" s="5" t="str">
        <f ca="1">IFERROR(__xludf.DUMMYFUNCTION("GOOGLETRANSLATE(B2025,""ja"",""vi"")"),"công cụ thiết lập")</f>
        <v>công cụ thiết lập</v>
      </c>
      <c r="E2025" s="5" t="str">
        <f ca="1">IFERROR(__xludf.DUMMYFUNCTION("GOOGLETRANSLATE(C2025,""ja"",""vi"")"),"Đấu giá&gt; nhà, nội thất&gt; công cụ, DIY nguồn cung cấp&gt; dụng cụ cầm tay, dụng cụ nghề mộc&gt; bộ công cụ")</f>
        <v>Đấu giá&gt; nhà, nội thất&gt; công cụ, DIY nguồn cung cấp&gt; dụng cụ cầm tay, dụng cụ nghề mộc&gt; bộ công cụ</v>
      </c>
      <c r="F2025" t="str">
        <f t="shared" ca="1" si="31"/>
        <v>"2084303396" : "công cụ thiết lập",</v>
      </c>
    </row>
    <row r="2026" spans="1:6" ht="15.75" customHeight="1">
      <c r="A2026" s="18">
        <v>2084303408</v>
      </c>
      <c r="B2026" s="18" t="s">
        <v>17419</v>
      </c>
      <c r="C2026" s="18" t="s">
        <v>17421</v>
      </c>
      <c r="D2026" s="5" t="str">
        <f ca="1">IFERROR(__xludf.DUMMYFUNCTION("GOOGLETRANSLATE(B2026,""ja"",""vi"")"),"Vải, vải giấy")</f>
        <v>Vải, vải giấy</v>
      </c>
      <c r="E2026" s="5" t="str">
        <f ca="1">IFERROR(__xludf.DUMMYFUNCTION("GOOGLETRANSLATE(C2026,""ja"",""vi"")"),"Đấu giá&gt; nhà, nội thất&gt; công cụ, DIY nguồn cung cấp&gt; dụng cụ cầm tay, dụng cụ nghề mộc&gt; vải, giẻ giấy")</f>
        <v>Đấu giá&gt; nhà, nội thất&gt; công cụ, DIY nguồn cung cấp&gt; dụng cụ cầm tay, dụng cụ nghề mộc&gt; vải, giẻ giấy</v>
      </c>
      <c r="F2026" t="str">
        <f t="shared" ca="1" si="31"/>
        <v>"2084303408" : "Vải, vải giấy",</v>
      </c>
    </row>
    <row r="2027" spans="1:6" ht="15.75" customHeight="1">
      <c r="A2027" s="18">
        <v>2084303406</v>
      </c>
      <c r="B2027" s="18" t="s">
        <v>17422</v>
      </c>
      <c r="C2027" s="18" t="s">
        <v>17425</v>
      </c>
      <c r="D2027" s="5" t="str">
        <f ca="1">IFERROR(__xludf.DUMMYFUNCTION("GOOGLETRANSLATE(B2027,""ja"",""vi"")"),"công cụ Crimping, nhấn tay")</f>
        <v>công cụ Crimping, nhấn tay</v>
      </c>
      <c r="E2027" s="5" t="str">
        <f ca="1">IFERROR(__xludf.DUMMYFUNCTION("GOOGLETRANSLATE(C2027,""ja"",""vi"")"),"Đấu giá&gt; nhà, nội thất&gt; công cụ, DIY nguồn cung cấp&gt; dụng cụ cầm tay, dụng cụ nghề mộc&gt; uốn tóc bồng công cụ, nhấn tay")</f>
        <v>Đấu giá&gt; nhà, nội thất&gt; công cụ, DIY nguồn cung cấp&gt; dụng cụ cầm tay, dụng cụ nghề mộc&gt; uốn tóc bồng công cụ, nhấn tay</v>
      </c>
      <c r="F2027" t="str">
        <f t="shared" ca="1" si="31"/>
        <v>"2084303406" : "công cụ Crimping, nhấn tay",</v>
      </c>
    </row>
    <row r="2028" spans="1:6" ht="15.75" customHeight="1">
      <c r="A2028" s="18">
        <v>2084211480</v>
      </c>
      <c r="B2028" s="18" t="s">
        <v>17426</v>
      </c>
      <c r="C2028" s="18" t="s">
        <v>17428</v>
      </c>
      <c r="D2028" s="5" t="str">
        <f ca="1">IFERROR(__xludf.DUMMYFUNCTION("GOOGLETRANSLATE(B2028,""ja"",""vi"")"),"cây cà na ở ấn độ")</f>
        <v>cây cà na ở ấn độ</v>
      </c>
      <c r="E2028" s="5" t="str">
        <f ca="1">IFERROR(__xludf.DUMMYFUNCTION("GOOGLETRANSLATE(C2028,""ja"",""vi"")"),"Đấu giá&gt; nhà, nội thất&gt; công cụ, DIY nguồn cung cấp&gt; dụng cụ cầm tay, dụng cụ nghề mộc&gt; Canna")</f>
        <v>Đấu giá&gt; nhà, nội thất&gt; công cụ, DIY nguồn cung cấp&gt; dụng cụ cầm tay, dụng cụ nghề mộc&gt; Canna</v>
      </c>
      <c r="F2028" t="str">
        <f t="shared" ca="1" si="31"/>
        <v>"2084211480" : "cây cà na ở ấn độ",</v>
      </c>
    </row>
    <row r="2029" spans="1:6" ht="15.75" customHeight="1">
      <c r="A2029" s="18">
        <v>2084048023</v>
      </c>
      <c r="B2029" s="18" t="s">
        <v>17430</v>
      </c>
      <c r="C2029" s="18" t="s">
        <v>17432</v>
      </c>
      <c r="D2029" s="5" t="str">
        <f ca="1">IFERROR(__xludf.DUMMYFUNCTION("GOOGLETRANSLATE(B2029,""ja"",""vi"")"),"Cutter")</f>
        <v>Cutter</v>
      </c>
      <c r="E2029" s="5" t="str">
        <f ca="1">IFERROR(__xludf.DUMMYFUNCTION("GOOGLETRANSLATE(C2029,""ja"",""vi"")"),"Đấu giá&gt; nhà, nội thất&gt; công cụ, DIY nguồn cung cấp&gt; dụng cụ cầm tay, dụng cụ nghề mộc&gt; Cutter")</f>
        <v>Đấu giá&gt; nhà, nội thất&gt; công cụ, DIY nguồn cung cấp&gt; dụng cụ cầm tay, dụng cụ nghề mộc&gt; Cutter</v>
      </c>
      <c r="F2029" t="str">
        <f t="shared" ca="1" si="31"/>
        <v>"2084048023" : "Cutter",</v>
      </c>
    </row>
    <row r="2030" spans="1:6" ht="15.75" customHeight="1">
      <c r="A2030" s="18">
        <v>2084303411</v>
      </c>
      <c r="B2030" s="18" t="s">
        <v>17434</v>
      </c>
      <c r="C2030" s="18" t="s">
        <v>17436</v>
      </c>
      <c r="D2030" s="5" t="str">
        <f ca="1">IFERROR(__xludf.DUMMYFUNCTION("GOOGLETRANSLATE(B2030,""ja"",""vi"")"),"Ung thư Tucker, tay Tucker")</f>
        <v>Ung thư Tucker, tay Tucker</v>
      </c>
      <c r="E2030" s="5" t="str">
        <f ca="1">IFERROR(__xludf.DUMMYFUNCTION("GOOGLETRANSLATE(C2030,""ja"",""vi"")"),"Đấu giá&gt; nhà, nội thất&gt; công cụ, DIY nguồn cung cấp&gt; dụng cụ cầm tay, dụng cụ nghề mộc&gt; ung thư Tucker, tay Tucker")</f>
        <v>Đấu giá&gt; nhà, nội thất&gt; công cụ, DIY nguồn cung cấp&gt; dụng cụ cầm tay, dụng cụ nghề mộc&gt; ung thư Tucker, tay Tucker</v>
      </c>
      <c r="F2030" t="str">
        <f t="shared" ca="1" si="31"/>
        <v>"2084303411" : "Ung thư Tucker, tay Tucker",</v>
      </c>
    </row>
    <row r="2031" spans="1:6" ht="15.75" customHeight="1">
      <c r="A2031" s="18">
        <v>2084303407</v>
      </c>
      <c r="B2031" s="18" t="s">
        <v>17438</v>
      </c>
      <c r="C2031" s="18" t="s">
        <v>17439</v>
      </c>
      <c r="D2031" s="5" t="str">
        <f ca="1">IFERROR(__xludf.DUMMYFUNCTION("GOOGLETRANSLATE(B2031,""ja"",""vi"")"),"Cone (Kiri)")</f>
        <v>Cone (Kiri)</v>
      </c>
      <c r="E2031" s="5" t="str">
        <f ca="1">IFERROR(__xludf.DUMMYFUNCTION("GOOGLETRANSLATE(C2031,""ja"",""vi"")"),"Đấu giá&gt; nhà, nội thất&gt; công cụ, DIY nguồn cung cấp&gt; dụng cụ cầm tay, dụng cụ nghề mộc&gt; nón (Kiri)")</f>
        <v>Đấu giá&gt; nhà, nội thất&gt; công cụ, DIY nguồn cung cấp&gt; dụng cụ cầm tay, dụng cụ nghề mộc&gt; nón (Kiri)</v>
      </c>
      <c r="F2031" t="str">
        <f t="shared" ca="1" si="31"/>
        <v>"2084303407" : "Cone (Kiri)",</v>
      </c>
    </row>
    <row r="2032" spans="1:6" ht="15.75" customHeight="1">
      <c r="A2032" s="18">
        <v>2084042029</v>
      </c>
      <c r="B2032" s="18" t="s">
        <v>17444</v>
      </c>
      <c r="C2032" s="18" t="s">
        <v>17445</v>
      </c>
      <c r="D2032" s="5" t="str">
        <f ca="1">IFERROR(__xludf.DUMMYFUNCTION("GOOGLETRANSLATE(B2032,""ja"",""vi"")"),"Spanner, cờ lê")</f>
        <v>Spanner, cờ lê</v>
      </c>
      <c r="E2032" s="5" t="str">
        <f ca="1">IFERROR(__xludf.DUMMYFUNCTION("GOOGLETRANSLATE(C2032,""ja"",""vi"")"),"Đấu giá&gt; nhà, nội thất&gt; công cụ, DIY nguồn cung cấp&gt; dụng cụ cầm tay, dụng cụ nghề mộc&gt; cờ lê, cờ lê")</f>
        <v>Đấu giá&gt; nhà, nội thất&gt; công cụ, DIY nguồn cung cấp&gt; dụng cụ cầm tay, dụng cụ nghề mộc&gt; cờ lê, cờ lê</v>
      </c>
      <c r="F2032" t="str">
        <f t="shared" ca="1" si="31"/>
        <v>"2084042029" : "Spanner, cờ lê",</v>
      </c>
    </row>
    <row r="2033" spans="1:6" ht="15.75" customHeight="1">
      <c r="A2033" s="18">
        <v>2084303412</v>
      </c>
      <c r="B2033" s="18" t="s">
        <v>17448</v>
      </c>
      <c r="C2033" s="18" t="s">
        <v>17449</v>
      </c>
      <c r="D2033" s="5" t="str">
        <f ca="1">IFERROR(__xludf.DUMMYFUNCTION("GOOGLETRANSLATE(B2033,""ja"",""vi"")"),"công cụ trát vữa")</f>
        <v>công cụ trát vữa</v>
      </c>
      <c r="E2033" s="5" t="str">
        <f ca="1">IFERROR(__xludf.DUMMYFUNCTION("GOOGLETRANSLATE(C2033,""ja"",""vi"")"),"Đấu giá&gt; nhà, nội thất&gt; công cụ, DIY nguồn cung cấp&gt; dụng cụ cầm tay, dụng cụ nghề mộc&gt; công cụ trát")</f>
        <v>Đấu giá&gt; nhà, nội thất&gt; công cụ, DIY nguồn cung cấp&gt; dụng cụ cầm tay, dụng cụ nghề mộc&gt; công cụ trát</v>
      </c>
      <c r="F2033" t="str">
        <f t="shared" ca="1" si="31"/>
        <v>"2084303412" : "công cụ trát vữa",</v>
      </c>
    </row>
    <row r="2034" spans="1:6" ht="15.75" customHeight="1">
      <c r="A2034" s="18">
        <v>2084211483</v>
      </c>
      <c r="B2034" s="18" t="s">
        <v>17452</v>
      </c>
      <c r="C2034" s="18" t="s">
        <v>17453</v>
      </c>
      <c r="D2034" s="5" t="str">
        <f ca="1">IFERROR(__xludf.DUMMYFUNCTION("GOOGLETRANSLATE(B2034,""ja"",""vi"")"),"công cụ mộc chung")</f>
        <v>công cụ mộc chung</v>
      </c>
      <c r="E2034" s="5" t="str">
        <f ca="1">IFERROR(__xludf.DUMMYFUNCTION("GOOGLETRANSLATE(C2034,""ja"",""vi"")"),"Đấu giá&gt; nhà, nội thất&gt; công cụ, DIY nguồn cung cấp&gt; dụng cụ cầm tay, dụng cụ nghề mộc&gt; công cụ mộc chung")</f>
        <v>Đấu giá&gt; nhà, nội thất&gt; công cụ, DIY nguồn cung cấp&gt; dụng cụ cầm tay, dụng cụ nghề mộc&gt; công cụ mộc chung</v>
      </c>
      <c r="F2034" t="str">
        <f t="shared" ca="1" si="31"/>
        <v>"2084211483" : "công cụ mộc chung",</v>
      </c>
    </row>
    <row r="2035" spans="1:6" ht="15.75" customHeight="1">
      <c r="A2035" s="18">
        <v>2084211484</v>
      </c>
      <c r="B2035" s="18" t="s">
        <v>17455</v>
      </c>
      <c r="C2035" s="18" t="s">
        <v>17457</v>
      </c>
      <c r="D2035" s="5" t="str">
        <f ca="1">IFERROR(__xludf.DUMMYFUNCTION("GOOGLETRANSLATE(B2035,""ja"",""vi"")"),"đá mài")</f>
        <v>đá mài</v>
      </c>
      <c r="E2035" s="5" t="str">
        <f ca="1">IFERROR(__xludf.DUMMYFUNCTION("GOOGLETRANSLATE(C2035,""ja"",""vi"")"),"Đấu giá&gt; nhà, nội thất&gt; công cụ, DIY nguồn cung cấp&gt; dụng cụ cầm tay, dụng cụ nghề mộc&gt; Bánh xe")</f>
        <v>Đấu giá&gt; nhà, nội thất&gt; công cụ, DIY nguồn cung cấp&gt; dụng cụ cầm tay, dụng cụ nghề mộc&gt; Bánh xe</v>
      </c>
      <c r="F2035" t="str">
        <f t="shared" ca="1" si="31"/>
        <v>"2084211484" : "đá mài",</v>
      </c>
    </row>
    <row r="2036" spans="1:6" ht="15.75" customHeight="1">
      <c r="A2036" s="18">
        <v>2084042042</v>
      </c>
      <c r="B2036" s="18" t="s">
        <v>17459</v>
      </c>
      <c r="C2036" s="18" t="s">
        <v>17460</v>
      </c>
      <c r="D2036" s="5" t="str">
        <f ca="1">IFERROR(__xludf.DUMMYFUNCTION("GOOGLETRANSLATE(B2036,""ja"",""vi"")"),"tài xế")</f>
        <v>tài xế</v>
      </c>
      <c r="E2036" s="5" t="str">
        <f ca="1">IFERROR(__xludf.DUMMYFUNCTION("GOOGLETRANSLATE(C2036,""ja"",""vi"")"),"Đấu giá&gt; nhà, nội thất&gt; công cụ, DIY nguồn cung cấp&gt; dụng cụ cầm tay, dụng cụ nghề mộc&gt; Driver")</f>
        <v>Đấu giá&gt; nhà, nội thất&gt; công cụ, DIY nguồn cung cấp&gt; dụng cụ cầm tay, dụng cụ nghề mộc&gt; Driver</v>
      </c>
      <c r="F2036" t="str">
        <f t="shared" ca="1" si="31"/>
        <v>"2084042042" : "tài xế",</v>
      </c>
    </row>
    <row r="2037" spans="1:6" ht="15.75" customHeight="1">
      <c r="A2037" s="18">
        <v>2084062482</v>
      </c>
      <c r="B2037" s="18" t="s">
        <v>17462</v>
      </c>
      <c r="C2037" s="18" t="s">
        <v>17464</v>
      </c>
      <c r="D2037" s="5" t="str">
        <f ca="1">IFERROR(__xludf.DUMMYFUNCTION("GOOGLETRANSLATE(B2037,""ja"",""vi"")"),"Chính xác Screwdriver")</f>
        <v>Chính xác Screwdriver</v>
      </c>
      <c r="E2037" s="5" t="str">
        <f ca="1">IFERROR(__xludf.DUMMYFUNCTION("GOOGLETRANSLATE(C2037,""ja"",""vi"")"),"Đấu giá&gt; nhà, nội thất&gt; công cụ, DIY nguồn cung cấp&gt; dụng cụ cầm tay, dụng cụ nghề mộc&gt; lái xe chính xác")</f>
        <v>Đấu giá&gt; nhà, nội thất&gt; công cụ, DIY nguồn cung cấp&gt; dụng cụ cầm tay, dụng cụ nghề mộc&gt; lái xe chính xác</v>
      </c>
      <c r="F2037" t="str">
        <f t="shared" ca="1" si="31"/>
        <v>"2084062482" : "Chính xác Screwdriver",</v>
      </c>
    </row>
    <row r="2038" spans="1:6" ht="15.75" customHeight="1">
      <c r="A2038" s="18">
        <v>2084211478</v>
      </c>
      <c r="B2038" s="18" t="s">
        <v>17466</v>
      </c>
      <c r="C2038" s="18" t="s">
        <v>17468</v>
      </c>
      <c r="D2038" s="5" t="str">
        <f ca="1">IFERROR(__xludf.DUMMYFUNCTION("GOOGLETRANSLATE(B2038,""ja"",""vi"")"),"sawtooth")</f>
        <v>sawtooth</v>
      </c>
      <c r="E2038" s="5" t="str">
        <f ca="1">IFERROR(__xludf.DUMMYFUNCTION("GOOGLETRANSLATE(C2038,""ja"",""vi"")"),"Đấu giá&gt; nhà, nội thất&gt; công cụ, DIY nguồn cung cấp&gt; dụng cụ cầm tay, dụng cụ nghề mộc&gt; cưa")</f>
        <v>Đấu giá&gt; nhà, nội thất&gt; công cụ, DIY nguồn cung cấp&gt; dụng cụ cầm tay, dụng cụ nghề mộc&gt; cưa</v>
      </c>
      <c r="F2038" t="str">
        <f t="shared" ca="1" si="31"/>
        <v>"2084211478" : "sawtooth",</v>
      </c>
    </row>
    <row r="2039" spans="1:6" ht="15.75" customHeight="1">
      <c r="A2039" s="18">
        <v>2084211479</v>
      </c>
      <c r="B2039" s="18" t="s">
        <v>17470</v>
      </c>
      <c r="C2039" s="18" t="s">
        <v>17472</v>
      </c>
      <c r="D2039" s="5" t="str">
        <f ca="1">IFERROR(__xludf.DUMMYFUNCTION("GOOGLETRANSLATE(B2039,""ja"",""vi"")"),"chỉ")</f>
        <v>chỉ</v>
      </c>
      <c r="E2039" s="5" t="str">
        <f ca="1">IFERROR(__xludf.DUMMYFUNCTION("GOOGLETRANSLATE(C2039,""ja"",""vi"")"),"Đấu giá&gt; nhà, nội thất&gt; công cụ, DIY nguồn cung cấp&gt; dụng cụ cầm tay, dụng cụ nghề mộc&gt; chỉ")</f>
        <v>Đấu giá&gt; nhà, nội thất&gt; công cụ, DIY nguồn cung cấp&gt; dụng cụ cầm tay, dụng cụ nghề mộc&gt; chỉ</v>
      </c>
      <c r="F2039" t="str">
        <f t="shared" ca="1" si="31"/>
        <v>"2084211479" : "chỉ",</v>
      </c>
    </row>
    <row r="2040" spans="1:6" ht="15.75" customHeight="1">
      <c r="A2040" s="18">
        <v>2084042041</v>
      </c>
      <c r="B2040" s="18" t="s">
        <v>17475</v>
      </c>
      <c r="C2040" s="18" t="s">
        <v>17476</v>
      </c>
      <c r="D2040" s="5" t="str">
        <f ca="1">IFERROR(__xludf.DUMMYFUNCTION("GOOGLETRANSLATE(B2040,""ja"",""vi"")"),"thằng bé")</f>
        <v>thằng bé</v>
      </c>
      <c r="E2040" s="5" t="str">
        <f ca="1">IFERROR(__xludf.DUMMYFUNCTION("GOOGLETRANSLATE(C2040,""ja"",""vi"")"),"Đấu giá&gt; nhà, nội thất&gt; công cụ, DIY nguồn cung cấp&gt; dụng cụ cầm tay, dụng cụ nghề mộc&gt; Kềm")</f>
        <v>Đấu giá&gt; nhà, nội thất&gt; công cụ, DIY nguồn cung cấp&gt; dụng cụ cầm tay, dụng cụ nghề mộc&gt; Kềm</v>
      </c>
      <c r="F2040" t="str">
        <f t="shared" ca="1" si="31"/>
        <v>"2084042041" : "thằng bé",</v>
      </c>
    </row>
    <row r="2041" spans="1:6" ht="15.75" customHeight="1">
      <c r="A2041" s="18">
        <v>2084303576</v>
      </c>
      <c r="B2041" s="18" t="s">
        <v>17478</v>
      </c>
      <c r="C2041" s="18" t="s">
        <v>17480</v>
      </c>
      <c r="D2041" s="5" t="str">
        <f ca="1">IFERROR(__xludf.DUMMYFUNCTION("GOOGLETRANSLATE(B2041,""ja"",""vi"")"),"Thiết bị hàn")</f>
        <v>Thiết bị hàn</v>
      </c>
      <c r="E2041" s="5" t="str">
        <f ca="1">IFERROR(__xludf.DUMMYFUNCTION("GOOGLETRANSLATE(C2041,""ja"",""vi"")"),"Đấu giá&gt; nhà, nội thất&gt; công cụ, DIY nguồn cung cấp&gt; dụng cụ cầm tay, dụng cụ nghề mộc&gt; Thiết bị hàn")</f>
        <v>Đấu giá&gt; nhà, nội thất&gt; công cụ, DIY nguồn cung cấp&gt; dụng cụ cầm tay, dụng cụ nghề mộc&gt; Thiết bị hàn</v>
      </c>
      <c r="F2041" t="str">
        <f t="shared" ca="1" si="31"/>
        <v>"2084303576" : "Thiết bị hàn",</v>
      </c>
    </row>
    <row r="2042" spans="1:6" ht="15.75" customHeight="1">
      <c r="A2042" s="18">
        <v>2084042043</v>
      </c>
      <c r="B2042" s="18" t="s">
        <v>17482</v>
      </c>
      <c r="C2042" s="18" t="s">
        <v>17483</v>
      </c>
      <c r="D2042" s="5" t="str">
        <f ca="1">IFERROR(__xludf.DUMMYFUNCTION("GOOGLETRANSLATE(B2042,""ja"",""vi"")"),"Búa, búa")</f>
        <v>Búa, búa</v>
      </c>
      <c r="E2042" s="5" t="str">
        <f ca="1">IFERROR(__xludf.DUMMYFUNCTION("GOOGLETRANSLATE(C2042,""ja"",""vi"")"),"Đấu giá&gt; nhà, nội thất&gt; công cụ, DIY nguồn cung cấp&gt; dụng cụ cầm tay, dụng cụ nghề mộc&gt; búa, búa")</f>
        <v>Đấu giá&gt; nhà, nội thất&gt; công cụ, DIY nguồn cung cấp&gt; dụng cụ cầm tay, dụng cụ nghề mộc&gt; búa, búa</v>
      </c>
      <c r="F2042" t="str">
        <f t="shared" ca="1" si="31"/>
        <v>"2084042043" : "Búa, búa",</v>
      </c>
    </row>
    <row r="2043" spans="1:6" ht="15.75" customHeight="1">
      <c r="A2043" s="18">
        <v>2084211482</v>
      </c>
      <c r="B2043" s="18" t="s">
        <v>17485</v>
      </c>
      <c r="C2043" s="18" t="s">
        <v>17487</v>
      </c>
      <c r="D2043" s="5" t="str">
        <f ca="1">IFERROR(__xludf.DUMMYFUNCTION("GOOGLETRANSLATE(B2043,""ja"",""vi"")"),"Bar, đòn bẩy")</f>
        <v>Bar, đòn bẩy</v>
      </c>
      <c r="E2043" s="5" t="str">
        <f ca="1">IFERROR(__xludf.DUMMYFUNCTION("GOOGLETRANSLATE(C2043,""ja"",""vi"")"),"Đấu giá&gt; nhà, nội thất&gt; công cụ, DIY nguồn cung cấp&gt; dụng cụ cầm tay, dụng cụ nghề mộc&gt; quầy bar, các đòn bẩy")</f>
        <v>Đấu giá&gt; nhà, nội thất&gt; công cụ, DIY nguồn cung cấp&gt; dụng cụ cầm tay, dụng cụ nghề mộc&gt; quầy bar, các đòn bẩy</v>
      </c>
      <c r="F2043" t="str">
        <f t="shared" ca="1" si="31"/>
        <v>"2084211482" : "Bar, đòn bẩy",</v>
      </c>
    </row>
    <row r="2044" spans="1:6" ht="15.75" customHeight="1">
      <c r="A2044" s="18">
        <v>2084303405</v>
      </c>
      <c r="B2044" s="18" t="s">
        <v>17489</v>
      </c>
      <c r="C2044" s="18" t="s">
        <v>17491</v>
      </c>
      <c r="D2044" s="5" t="str">
        <f ca="1">IFERROR(__xludf.DUMMYFUNCTION("GOOGLETRANSLATE(B2044,""ja"",""vi"")"),"Phó, kẹp")</f>
        <v>Phó, kẹp</v>
      </c>
      <c r="E2044" s="5" t="str">
        <f ca="1">IFERROR(__xludf.DUMMYFUNCTION("GOOGLETRANSLATE(C2044,""ja"",""vi"")"),"Đấu giá&gt; nhà, nội thất&gt; công cụ, DIY nguồn cung cấp&gt; dụng cụ cầm tay, dụng cụ nghề mộc&gt; phó, kẹp")</f>
        <v>Đấu giá&gt; nhà, nội thất&gt; công cụ, DIY nguồn cung cấp&gt; dụng cụ cầm tay, dụng cụ nghề mộc&gt; phó, kẹp</v>
      </c>
      <c r="F2044" t="str">
        <f t="shared" ca="1" si="31"/>
        <v>"2084303405" : "Phó, kẹp",</v>
      </c>
    </row>
    <row r="2045" spans="1:6" ht="15.75" customHeight="1">
      <c r="A2045" s="18">
        <v>2084303409</v>
      </c>
      <c r="B2045" s="18" t="s">
        <v>17493</v>
      </c>
      <c r="C2045" s="18" t="s">
        <v>17495</v>
      </c>
      <c r="D2045" s="5" t="str">
        <f ca="1">IFERROR(__xludf.DUMMYFUNCTION("GOOGLETRANSLATE(B2045,""ja"",""vi"")"),"Pooler")</f>
        <v>Pooler</v>
      </c>
      <c r="E2045" s="5" t="str">
        <f ca="1">IFERROR(__xludf.DUMMYFUNCTION("GOOGLETRANSLATE(C2045,""ja"",""vi"")"),"Đấu giá&gt; nhà, nội thất&gt; công cụ, DIY nguồn cung cấp&gt; dụng cụ cầm tay, dụng cụ nghề mộc&gt; Pooler")</f>
        <v>Đấu giá&gt; nhà, nội thất&gt; công cụ, DIY nguồn cung cấp&gt; dụng cụ cầm tay, dụng cụ nghề mộc&gt; Pooler</v>
      </c>
      <c r="F2045" t="str">
        <f t="shared" ca="1" si="31"/>
        <v>"2084303409" : "Pooler",</v>
      </c>
    </row>
    <row r="2046" spans="1:6" ht="15.75" customHeight="1">
      <c r="A2046" s="18">
        <v>2084042044</v>
      </c>
      <c r="B2046" s="18" t="s">
        <v>17497</v>
      </c>
      <c r="C2046" s="18" t="s">
        <v>17499</v>
      </c>
      <c r="D2046" s="5" t="str">
        <f ca="1">IFERROR(__xludf.DUMMYFUNCTION("GOOGLETRANSLATE(B2046,""ja"",""vi"")"),"cái kìm")</f>
        <v>cái kìm</v>
      </c>
      <c r="E2046" s="5" t="str">
        <f ca="1">IFERROR(__xludf.DUMMYFUNCTION("GOOGLETRANSLATE(C2046,""ja"",""vi"")"),"Đấu giá&gt; nhà, nội thất&gt; công cụ, DIY nguồn cung cấp&gt; dụng cụ cầm tay, dụng cụ nghề mộc&gt; kìm")</f>
        <v>Đấu giá&gt; nhà, nội thất&gt; công cụ, DIY nguồn cung cấp&gt; dụng cụ cầm tay, dụng cụ nghề mộc&gt; kìm</v>
      </c>
      <c r="F2046" t="str">
        <f t="shared" ca="1" si="31"/>
        <v>"2084042044" : "cái kìm",</v>
      </c>
    </row>
    <row r="2047" spans="1:6" ht="15.75" customHeight="1">
      <c r="A2047" s="18">
        <v>2084303413</v>
      </c>
      <c r="B2047" s="18" t="s">
        <v>17501</v>
      </c>
      <c r="C2047" s="18" t="s">
        <v>17503</v>
      </c>
      <c r="D2047" s="5" t="str">
        <f ca="1">IFERROR(__xludf.DUMMYFUNCTION("GOOGLETRANSLATE(B2047,""ja"",""vi"")"),"spatula")</f>
        <v>spatula</v>
      </c>
      <c r="E2047" s="5" t="str">
        <f ca="1">IFERROR(__xludf.DUMMYFUNCTION("GOOGLETRANSLATE(C2047,""ja"",""vi"")"),"Đấu giá&gt; nhà, nội thất&gt; công cụ, DIY nguồn cung cấp&gt; dụng cụ cầm tay, dụng cụ nghề mộc&gt; spatula")</f>
        <v>Đấu giá&gt; nhà, nội thất&gt; công cụ, DIY nguồn cung cấp&gt; dụng cụ cầm tay, dụng cụ nghề mộc&gt; spatula</v>
      </c>
      <c r="F2047" t="str">
        <f t="shared" ca="1" si="31"/>
        <v>"2084303413" : "spatula",</v>
      </c>
    </row>
    <row r="2048" spans="1:6" ht="15.75" customHeight="1">
      <c r="A2048" s="18">
        <v>2084042045</v>
      </c>
      <c r="B2048" s="18" t="s">
        <v>17506</v>
      </c>
      <c r="C2048" s="18" t="s">
        <v>17507</v>
      </c>
      <c r="D2048" s="5" t="str">
        <f ca="1">IFERROR(__xludf.DUMMYFUNCTION("GOOGLETRANSLATE(B2048,""ja"",""vi"")"),"cái kìm")</f>
        <v>cái kìm</v>
      </c>
      <c r="E2048" s="5" t="str">
        <f ca="1">IFERROR(__xludf.DUMMYFUNCTION("GOOGLETRANSLATE(C2048,""ja"",""vi"")"),"Đấu giá&gt; nhà, nội thất&gt; công cụ, DIY nguồn cung cấp&gt; dụng cụ cầm tay, dụng cụ nghề mộc&gt; kìm")</f>
        <v>Đấu giá&gt; nhà, nội thất&gt; công cụ, DIY nguồn cung cấp&gt; dụng cụ cầm tay, dụng cụ nghề mộc&gt; kìm</v>
      </c>
      <c r="F2048" t="str">
        <f t="shared" ca="1" si="31"/>
        <v>"2084042045" : "cái kìm",</v>
      </c>
    </row>
    <row r="2049" spans="1:6" ht="15.75" customHeight="1">
      <c r="A2049" s="18">
        <v>2084303398</v>
      </c>
      <c r="B2049" s="18" t="s">
        <v>17509</v>
      </c>
      <c r="C2049" s="18" t="s">
        <v>17511</v>
      </c>
      <c r="D2049" s="5" t="str">
        <f ca="1">IFERROR(__xludf.DUMMYFUNCTION("GOOGLETRANSLATE(B2049,""ja"",""vi"")"),"Punch, khắc")</f>
        <v>Punch, khắc</v>
      </c>
      <c r="E2049" s="5" t="str">
        <f ca="1">IFERROR(__xludf.DUMMYFUNCTION("GOOGLETRANSLATE(C2049,""ja"",""vi"")"),"Đấu giá&gt; nhà, nội thất&gt; công cụ, DIY nguồn cung cấp&gt; dụng cụ cầm tay, dụng cụ nghề mộc&gt; cú đấm, khắc")</f>
        <v>Đấu giá&gt; nhà, nội thất&gt; công cụ, DIY nguồn cung cấp&gt; dụng cụ cầm tay, dụng cụ nghề mộc&gt; cú đấm, khắc</v>
      </c>
      <c r="F2049" t="str">
        <f t="shared" ca="1" si="31"/>
        <v>"2084303398" : "Punch, khắc",</v>
      </c>
    </row>
    <row r="2050" spans="1:6" ht="15.75" customHeight="1">
      <c r="A2050" s="18">
        <v>2084211481</v>
      </c>
      <c r="B2050" s="18" t="s">
        <v>17513</v>
      </c>
      <c r="C2050" s="18" t="s">
        <v>17514</v>
      </c>
      <c r="D2050" s="5" t="str">
        <f ca="1">IFERROR(__xludf.DUMMYFUNCTION("GOOGLETRANSLATE(B2050,""ja"",""vi"")"),"làm mích lòng")</f>
        <v>làm mích lòng</v>
      </c>
      <c r="E2050" s="5" t="str">
        <f ca="1">IFERROR(__xludf.DUMMYFUNCTION("GOOGLETRANSLATE(C2050,""ja"",""vi"")"),"Đấu giá&gt; nhà, nội thất&gt; công cụ, DIY nguồn cung cấp&gt; dụng cụ cầm tay, dụng cụ nghề mộc&gt; giấy nhám")</f>
        <v>Đấu giá&gt; nhà, nội thất&gt; công cụ, DIY nguồn cung cấp&gt; dụng cụ cầm tay, dụng cụ nghề mộc&gt; giấy nhám</v>
      </c>
      <c r="F2050" t="str">
        <f t="shared" ref="F2050:F2113" ca="1" si="32">CONCATENATE(CHAR(34)&amp;"",A2050,""&amp;CHAR(34)," : ", CHAR(34)&amp;"",D2050,""&amp;CHAR(34),",")</f>
        <v>"2084211481" : "làm mích lòng",</v>
      </c>
    </row>
    <row r="2051" spans="1:6" ht="15.75" customHeight="1">
      <c r="A2051" s="18">
        <v>2084303404</v>
      </c>
      <c r="B2051" s="18" t="s">
        <v>17516</v>
      </c>
      <c r="C2051" s="18" t="s">
        <v>17518</v>
      </c>
      <c r="D2051" s="5" t="str">
        <f ca="1">IFERROR(__xludf.DUMMYFUNCTION("GOOGLETRANSLATE(B2051,""ja"",""vi"")"),"kẹp")</f>
        <v>kẹp</v>
      </c>
      <c r="E2051" s="5" t="str">
        <f ca="1">IFERROR(__xludf.DUMMYFUNCTION("GOOGLETRANSLATE(C2051,""ja"",""vi"")"),"Đấu giá&gt; nhà, nội thất&gt; công cụ, DIY nguồn cung cấp&gt; dụng cụ cầm tay, dụng cụ nghề mộc&gt; kẹp gắp")</f>
        <v>Đấu giá&gt; nhà, nội thất&gt; công cụ, DIY nguồn cung cấp&gt; dụng cụ cầm tay, dụng cụ nghề mộc&gt; kẹp gắp</v>
      </c>
      <c r="F2051" t="str">
        <f t="shared" ca="1" si="32"/>
        <v>"2084303404" : "kẹp",</v>
      </c>
    </row>
    <row r="2052" spans="1:6" ht="15.75" customHeight="1">
      <c r="A2052" s="18">
        <v>2084303397</v>
      </c>
      <c r="B2052" s="18" t="s">
        <v>17520</v>
      </c>
      <c r="C2052" s="18" t="s">
        <v>17521</v>
      </c>
      <c r="D2052" s="5" t="str">
        <f ca="1">IFERROR(__xludf.DUMMYFUNCTION("GOOGLETRANSLATE(B2052,""ja"",""vi"")"),"ratchet bộ")</f>
        <v>ratchet bộ</v>
      </c>
      <c r="E2052" s="5" t="str">
        <f ca="1">IFERROR(__xludf.DUMMYFUNCTION("GOOGLETRANSLATE(C2052,""ja"",""vi"")"),"Đấu giá&gt; nhà, nội thất&gt; công cụ, DIY nguồn cung cấp&gt; dụng cụ cầm tay, dụng cụ nghề mộc&gt; bộ ratchet")</f>
        <v>Đấu giá&gt; nhà, nội thất&gt; công cụ, DIY nguồn cung cấp&gt; dụng cụ cầm tay, dụng cụ nghề mộc&gt; bộ ratchet</v>
      </c>
      <c r="F2052" t="str">
        <f t="shared" ca="1" si="32"/>
        <v>"2084303397" : "ratchet bộ",</v>
      </c>
    </row>
    <row r="2053" spans="1:6" ht="15.75" customHeight="1">
      <c r="A2053" s="18">
        <v>2084303410</v>
      </c>
      <c r="B2053" s="18" t="s">
        <v>17523</v>
      </c>
      <c r="C2053" s="18" t="s">
        <v>17524</v>
      </c>
      <c r="D2053" s="5" t="str">
        <f ca="1">IFERROR(__xludf.DUMMYFUNCTION("GOOGLETRANSLATE(B2053,""ja"",""vi"")"),"Riveter, Nutter")</f>
        <v>Riveter, Nutter</v>
      </c>
      <c r="E2053" s="5" t="str">
        <f ca="1">IFERROR(__xludf.DUMMYFUNCTION("GOOGLETRANSLATE(C2053,""ja"",""vi"")"),"Đấu giá&gt; nhà, nội thất&gt; công cụ, DIY nguồn cung cấp&gt; dụng cụ cầm tay, dụng cụ nghề mộc&gt; Riveter, Nutter")</f>
        <v>Đấu giá&gt; nhà, nội thất&gt; công cụ, DIY nguồn cung cấp&gt; dụng cụ cầm tay, dụng cụ nghề mộc&gt; Riveter, Nutter</v>
      </c>
      <c r="F2053" t="str">
        <f t="shared" ca="1" si="32"/>
        <v>"2084303410" : "Riveter, Nutter",</v>
      </c>
    </row>
    <row r="2054" spans="1:6" ht="15.75" customHeight="1">
      <c r="A2054" s="18">
        <v>2084303403</v>
      </c>
      <c r="B2054" s="18" t="s">
        <v>17526</v>
      </c>
      <c r="C2054" s="18" t="s">
        <v>17527</v>
      </c>
      <c r="D2054" s="5" t="str">
        <f ca="1">IFERROR(__xludf.DUMMYFUNCTION("GOOGLETRANSLATE(B2054,""ja"",""vi"")"),"dây vũ nữ thoát y")</f>
        <v>dây vũ nữ thoát y</v>
      </c>
      <c r="E2054" s="5" t="str">
        <f ca="1">IFERROR(__xludf.DUMMYFUNCTION("GOOGLETRANSLATE(C2054,""ja"",""vi"")"),"Đấu giá&gt; nhà, nội thất&gt; công cụ, DIY nguồn cung cấp&gt; dụng cụ cầm tay, dụng cụ nghề mộc&gt; Wire Stripper")</f>
        <v>Đấu giá&gt; nhà, nội thất&gt; công cụ, DIY nguồn cung cấp&gt; dụng cụ cầm tay, dụng cụ nghề mộc&gt; Wire Stripper</v>
      </c>
      <c r="F2054" t="str">
        <f t="shared" ca="1" si="32"/>
        <v>"2084303403" : "dây vũ nữ thoát y",</v>
      </c>
    </row>
    <row r="2055" spans="1:6" ht="15.75" customHeight="1">
      <c r="A2055" s="18">
        <v>2084006717</v>
      </c>
      <c r="B2055" s="18" t="s">
        <v>17529</v>
      </c>
      <c r="C2055" s="18" t="s">
        <v>17530</v>
      </c>
      <c r="D2055" s="5" t="str">
        <f ca="1">IFERROR(__xludf.DUMMYFUNCTION("GOOGLETRANSLATE(B2055,""ja"",""vi"")"),"Làm vườn kéo, cưa")</f>
        <v>Làm vườn kéo, cưa</v>
      </c>
      <c r="E2055" s="5" t="str">
        <f ca="1">IFERROR(__xludf.DUMMYFUNCTION("GOOGLETRANSLATE(C2055,""ja"",""vi"")"),"Đấu giá&gt; nhà, nội thất&gt; công cụ, DIY nguồn cung cấp&gt; dụng cụ cầm tay, dụng cụ nghề mộc&gt; vườn kéo, cưa")</f>
        <v>Đấu giá&gt; nhà, nội thất&gt; công cụ, DIY nguồn cung cấp&gt; dụng cụ cầm tay, dụng cụ nghề mộc&gt; vườn kéo, cưa</v>
      </c>
      <c r="F2055" t="str">
        <f t="shared" ca="1" si="32"/>
        <v>"2084006717" : "Làm vườn kéo, cưa",</v>
      </c>
    </row>
    <row r="2056" spans="1:6" ht="15.75" customHeight="1">
      <c r="A2056" s="18">
        <v>2084042046</v>
      </c>
      <c r="B2056" s="18" t="s">
        <v>46</v>
      </c>
      <c r="C2056" s="18" t="s">
        <v>17532</v>
      </c>
      <c r="D2056" s="5" t="str">
        <f ca="1">IFERROR(__xludf.DUMMYFUNCTION("GOOGLETRANSLATE(B2056,""ja"",""vi"")"),"nếu không thì")</f>
        <v>nếu không thì</v>
      </c>
      <c r="E2056" s="5" t="str">
        <f ca="1">IFERROR(__xludf.DUMMYFUNCTION("GOOGLETRANSLATE(C2056,""ja"",""vi"")"),"Đấu giá&gt; nhà, nội thất&gt; công cụ, DIY nguồn cung cấp&gt; dụng cụ cầm tay, dụng cụ nghề mộc&gt; Khác")</f>
        <v>Đấu giá&gt; nhà, nội thất&gt; công cụ, DIY nguồn cung cấp&gt; dụng cụ cầm tay, dụng cụ nghề mộc&gt; Khác</v>
      </c>
      <c r="F2056" t="str">
        <f t="shared" ca="1" si="32"/>
        <v>"2084042046" : "nếu không thì",</v>
      </c>
    </row>
    <row r="2057" spans="1:6" ht="15.75" customHeight="1">
      <c r="A2057" s="18">
        <v>24906</v>
      </c>
      <c r="B2057" s="18" t="s">
        <v>8832</v>
      </c>
      <c r="C2057" s="18" t="s">
        <v>17535</v>
      </c>
      <c r="D2057" s="5" t="str">
        <f ca="1">IFERROR(__xludf.DUMMYFUNCTION("GOOGLETRANSLATE(B2057,""ja"",""vi"")"),"Handy Light, đèn pin")</f>
        <v>Handy Light, đèn pin</v>
      </c>
      <c r="E2057" s="5" t="str">
        <f ca="1">IFERROR(__xludf.DUMMYFUNCTION("GOOGLETRANSLATE(C2057,""ja"",""vi"")"),"Đấu giá&gt; nhà, nội thất&gt; công cụ, DIY nguồn cung cấp&gt; đèn&gt; ánh sáng tiện dụng, đèn pin")</f>
        <v>Đấu giá&gt; nhà, nội thất&gt; công cụ, DIY nguồn cung cấp&gt; đèn&gt; ánh sáng tiện dụng, đèn pin</v>
      </c>
      <c r="F2057" t="str">
        <f t="shared" ca="1" si="32"/>
        <v>"24906" : "Handy Light, đèn pin",</v>
      </c>
    </row>
    <row r="2058" spans="1:6" ht="15.75" customHeight="1">
      <c r="A2058" s="18">
        <v>24910</v>
      </c>
      <c r="B2058" s="18" t="s">
        <v>9616</v>
      </c>
      <c r="C2058" s="18" t="s">
        <v>17538</v>
      </c>
      <c r="D2058" s="5" t="str">
        <f ca="1">IFERROR(__xludf.DUMMYFUNCTION("GOOGLETRANSLATE(B2058,""ja"",""vi"")"),"đèn Head")</f>
        <v>đèn Head</v>
      </c>
      <c r="E2058" s="5" t="str">
        <f ca="1">IFERROR(__xludf.DUMMYFUNCTION("GOOGLETRANSLATE(C2058,""ja"",""vi"")"),"Đấu giá&gt; nhà, nội thất&gt; công cụ, DIY nguồn cung cấp&gt; đèn&gt; đèn đầu")</f>
        <v>Đấu giá&gt; nhà, nội thất&gt; công cụ, DIY nguồn cung cấp&gt; đèn&gt; đèn đầu</v>
      </c>
      <c r="F2058" t="str">
        <f t="shared" ca="1" si="32"/>
        <v>"24910" : "đèn Head",</v>
      </c>
    </row>
    <row r="2059" spans="1:6" ht="15.75" customHeight="1">
      <c r="A2059" s="18">
        <v>2084210051</v>
      </c>
      <c r="B2059" s="18" t="s">
        <v>17540</v>
      </c>
      <c r="C2059" s="18" t="s">
        <v>17541</v>
      </c>
      <c r="D2059" s="5" t="str">
        <f ca="1">IFERROR(__xludf.DUMMYFUNCTION("GOOGLETRANSLATE(B2059,""ja"",""vi"")"),"Làm việc cho chiếu sáng chung")</f>
        <v>Làm việc cho chiếu sáng chung</v>
      </c>
      <c r="E2059" s="5" t="str">
        <f ca="1">IFERROR(__xludf.DUMMYFUNCTION("GOOGLETRANSLATE(C2059,""ja"",""vi"")"),"Đấu giá&gt; nhà, nội thất&gt; công cụ, ánh sáng chung đối với vật tư DIY&gt; đèn&gt; công việc")</f>
        <v>Đấu giá&gt; nhà, nội thất&gt; công cụ, ánh sáng chung đối với vật tư DIY&gt; đèn&gt; công việc</v>
      </c>
      <c r="F2059" t="str">
        <f t="shared" ca="1" si="32"/>
        <v>"2084210051" : "Làm việc cho chiếu sáng chung",</v>
      </c>
    </row>
    <row r="2060" spans="1:6" ht="15.75" customHeight="1">
      <c r="A2060" s="18">
        <v>2084210052</v>
      </c>
      <c r="B2060" s="18" t="s">
        <v>17545</v>
      </c>
      <c r="C2060" s="18" t="s">
        <v>17546</v>
      </c>
      <c r="D2060" s="5" t="str">
        <f ca="1">IFERROR(__xludf.DUMMYFUNCTION("GOOGLETRANSLATE(B2060,""ja"",""vi"")"),"rọi sáng")</f>
        <v>rọi sáng</v>
      </c>
      <c r="E2060" s="5" t="str">
        <f ca="1">IFERROR(__xludf.DUMMYFUNCTION("GOOGLETRANSLATE(C2060,""ja"",""vi"")"),"Đấu giá&gt; nhà, nội thất&gt; công cụ, DIY nguồn cung cấp&gt; đèn&gt; đèn pha")</f>
        <v>Đấu giá&gt; nhà, nội thất&gt; công cụ, DIY nguồn cung cấp&gt; đèn&gt; đèn pha</v>
      </c>
      <c r="F2060" t="str">
        <f t="shared" ca="1" si="32"/>
        <v>"2084210052" : "rọi sáng",</v>
      </c>
    </row>
    <row r="2061" spans="1:6" ht="15.75" customHeight="1">
      <c r="A2061" s="18">
        <v>2084210055</v>
      </c>
      <c r="B2061" s="18" t="s">
        <v>46</v>
      </c>
      <c r="C2061" s="18" t="s">
        <v>17550</v>
      </c>
      <c r="D2061" s="5" t="str">
        <f ca="1">IFERROR(__xludf.DUMMYFUNCTION("GOOGLETRANSLATE(B2061,""ja"",""vi"")"),"nếu không thì")</f>
        <v>nếu không thì</v>
      </c>
      <c r="E2061" s="5" t="str">
        <f ca="1">IFERROR(__xludf.DUMMYFUNCTION("GOOGLETRANSLATE(C2061,""ja"",""vi"")"),"Đấu giá&gt; nhà, nội thất&gt; công cụ, DIY nguồn cung cấp&gt; Ánh sáng&gt; Khác")</f>
        <v>Đấu giá&gt; nhà, nội thất&gt; công cụ, DIY nguồn cung cấp&gt; Ánh sáng&gt; Khác</v>
      </c>
      <c r="F2061" t="str">
        <f t="shared" ca="1" si="32"/>
        <v>"2084210055" : "nếu không thì",</v>
      </c>
    </row>
    <row r="2062" spans="1:6" ht="15.75" customHeight="1">
      <c r="A2062" s="18">
        <v>2084303566</v>
      </c>
      <c r="B2062" s="18" t="s">
        <v>17553</v>
      </c>
      <c r="C2062" s="18" t="s">
        <v>17554</v>
      </c>
      <c r="D2062" s="5" t="str">
        <f ca="1">IFERROR(__xludf.DUMMYFUNCTION("GOOGLETRANSLATE(B2062,""ja"",""vi"")"),"bộ công cụ điện")</f>
        <v>bộ công cụ điện</v>
      </c>
      <c r="E2062" s="5" t="str">
        <f ca="1">IFERROR(__xludf.DUMMYFUNCTION("GOOGLETRANSLATE(C2062,""ja"",""vi"")"),"Đấu giá&gt; nhà, nội thất&gt; công cụ, DIY nguồn cung cấp&gt; cụ điện&gt; công cụ quyền lực bộ")</f>
        <v>Đấu giá&gt; nhà, nội thất&gt; công cụ, DIY nguồn cung cấp&gt; cụ điện&gt; công cụ quyền lực bộ</v>
      </c>
      <c r="F2062" t="str">
        <f t="shared" ca="1" si="32"/>
        <v>"2084303566" : "bộ công cụ điện",</v>
      </c>
    </row>
    <row r="2063" spans="1:6" ht="15.75" customHeight="1">
      <c r="A2063" s="18">
        <v>2084042048</v>
      </c>
      <c r="B2063" s="18" t="s">
        <v>17557</v>
      </c>
      <c r="C2063" s="18" t="s">
        <v>17559</v>
      </c>
      <c r="D2063" s="5" t="str">
        <f ca="1">IFERROR(__xludf.DUMMYFUNCTION("GOOGLETRANSLATE(B2063,""ja"",""vi"")"),"Khoan, tuốc nơ vít, cờ lê")</f>
        <v>Khoan, tuốc nơ vít, cờ lê</v>
      </c>
      <c r="E2063" s="5" t="str">
        <f ca="1">IFERROR(__xludf.DUMMYFUNCTION("GOOGLETRANSLATE(C2063,""ja"",""vi"")"),"Đấu giá&gt; nhà, nội thất&gt; công cụ, DIY nguồn cung cấp&gt; cụ điện&gt; khoan, tuốc nơ vít, cờ lê")</f>
        <v>Đấu giá&gt; nhà, nội thất&gt; công cụ, DIY nguồn cung cấp&gt; cụ điện&gt; khoan, tuốc nơ vít, cờ lê</v>
      </c>
      <c r="F2063" t="str">
        <f t="shared" ca="1" si="32"/>
        <v>"2084042048" : "Khoan, tuốc nơ vít, cờ lê",</v>
      </c>
    </row>
    <row r="2064" spans="1:6" ht="15.75" customHeight="1">
      <c r="A2064" s="18">
        <v>2084304061</v>
      </c>
      <c r="B2064" s="18" t="s">
        <v>17562</v>
      </c>
      <c r="C2064" s="18" t="s">
        <v>17564</v>
      </c>
      <c r="D2064" s="5" t="str">
        <f ca="1">IFERROR(__xludf.DUMMYFUNCTION("GOOGLETRANSLATE(B2064,""ja"",""vi"")"),"khoan chuck")</f>
        <v>khoan chuck</v>
      </c>
      <c r="E2064" s="5" t="str">
        <f ca="1">IFERROR(__xludf.DUMMYFUNCTION("GOOGLETRANSLATE(C2064,""ja"",""vi"")"),"Đấu giá&gt; nhà, nội thất&gt; công cụ, DIY nguồn cung cấp&gt; cụ điện&gt; khoan chuck")</f>
        <v>Đấu giá&gt; nhà, nội thất&gt; công cụ, DIY nguồn cung cấp&gt; cụ điện&gt; khoan chuck</v>
      </c>
      <c r="F2064" t="str">
        <f t="shared" ca="1" si="32"/>
        <v>"2084304061" : "khoan chuck",</v>
      </c>
    </row>
    <row r="2065" spans="1:6" ht="15.75" customHeight="1">
      <c r="A2065" s="18">
        <v>2084042047</v>
      </c>
      <c r="B2065" s="18" t="s">
        <v>17566</v>
      </c>
      <c r="C2065" s="18" t="s">
        <v>17568</v>
      </c>
      <c r="D2065" s="5" t="str">
        <f ca="1">IFERROR(__xludf.DUMMYFUNCTION("GOOGLETRANSLATE(B2065,""ja"",""vi"")"),"Mài, máy đánh bóng")</f>
        <v>Mài, máy đánh bóng</v>
      </c>
      <c r="E2065" s="5" t="str">
        <f ca="1">IFERROR(__xludf.DUMMYFUNCTION("GOOGLETRANSLATE(C2065,""ja"",""vi"")"),"Đấu giá&gt; nhà, nội thất&gt; công cụ, DIY nguồn cung cấp&gt; cụ điện&gt; mài, máy đánh bóng")</f>
        <v>Đấu giá&gt; nhà, nội thất&gt; công cụ, DIY nguồn cung cấp&gt; cụ điện&gt; mài, máy đánh bóng</v>
      </c>
      <c r="F2065" t="str">
        <f t="shared" ca="1" si="32"/>
        <v>"2084042047" : "Mài, máy đánh bóng",</v>
      </c>
    </row>
    <row r="2066" spans="1:6" ht="15.75" customHeight="1">
      <c r="A2066" s="18">
        <v>2084042050</v>
      </c>
      <c r="B2066" s="18" t="s">
        <v>17571</v>
      </c>
      <c r="C2066" s="18" t="s">
        <v>17572</v>
      </c>
      <c r="D2066" s="5" t="str">
        <f ca="1">IFERROR(__xludf.DUMMYFUNCTION("GOOGLETRANSLATE(B2066,""ja"",""vi"")"),"máy cắt")</f>
        <v>máy cắt</v>
      </c>
      <c r="E2066" s="5" t="str">
        <f ca="1">IFERROR(__xludf.DUMMYFUNCTION("GOOGLETRANSLATE(C2066,""ja"",""vi"")"),"Đấu giá&gt; nhà, nội thất&gt; công cụ, DIY nguồn cung cấp&gt; cụ điện&gt; Máy cắt")</f>
        <v>Đấu giá&gt; nhà, nội thất&gt; công cụ, DIY nguồn cung cấp&gt; cụ điện&gt; Máy cắt</v>
      </c>
      <c r="F2066" t="str">
        <f t="shared" ca="1" si="32"/>
        <v>"2084042050" : "máy cắt",</v>
      </c>
    </row>
    <row r="2067" spans="1:6" ht="15.75" customHeight="1">
      <c r="A2067" s="18">
        <v>2084042049</v>
      </c>
      <c r="B2067" s="18" t="s">
        <v>17574</v>
      </c>
      <c r="C2067" s="18" t="s">
        <v>17575</v>
      </c>
      <c r="D2067" s="5" t="str">
        <f ca="1">IFERROR(__xludf.DUMMYFUNCTION("GOOGLETRANSLATE(B2067,""ja"",""vi"")"),"máy hàn")</f>
        <v>máy hàn</v>
      </c>
      <c r="E2067" s="5" t="str">
        <f ca="1">IFERROR(__xludf.DUMMYFUNCTION("GOOGLETRANSLATE(C2067,""ja"",""vi"")"),"Đấu giá&gt; nhà, nội thất&gt; công cụ, DIY nguồn cung cấp&gt; công cụ quyền lực&gt; máy hàn")</f>
        <v>Đấu giá&gt; nhà, nội thất&gt; công cụ, DIY nguồn cung cấp&gt; công cụ quyền lực&gt; máy hàn</v>
      </c>
      <c r="F2067" t="str">
        <f t="shared" ca="1" si="32"/>
        <v>"2084042049" : "máy hàn",</v>
      </c>
    </row>
    <row r="2068" spans="1:6" ht="15.75" customHeight="1">
      <c r="A2068" s="18">
        <v>2084204598</v>
      </c>
      <c r="B2068" s="18" t="s">
        <v>2519</v>
      </c>
      <c r="C2068" s="18" t="s">
        <v>17578</v>
      </c>
      <c r="D2068" s="5" t="str">
        <f ca="1">IFERROR(__xludf.DUMMYFUNCTION("GOOGLETRANSLATE(B2068,""ja"",""vi"")"),"Router")</f>
        <v>Router</v>
      </c>
      <c r="E2068" s="5" t="str">
        <f ca="1">IFERROR(__xludf.DUMMYFUNCTION("GOOGLETRANSLATE(C2068,""ja"",""vi"")"),"Đấu giá&gt; nhà, nội thất&gt; công cụ, DIY nguồn cung cấp&gt; cụ điện&gt; router")</f>
        <v>Đấu giá&gt; nhà, nội thất&gt; công cụ, DIY nguồn cung cấp&gt; cụ điện&gt; router</v>
      </c>
      <c r="F2068" t="str">
        <f t="shared" ca="1" si="32"/>
        <v>"2084204598" : "Router",</v>
      </c>
    </row>
    <row r="2069" spans="1:6" ht="15.75" customHeight="1">
      <c r="A2069" s="18">
        <v>2084207592</v>
      </c>
      <c r="B2069" s="18" t="s">
        <v>17581</v>
      </c>
      <c r="C2069" s="18" t="s">
        <v>17582</v>
      </c>
      <c r="D2069" s="5" t="str">
        <f ca="1">IFERROR(__xludf.DUMMYFUNCTION("GOOGLETRANSLATE(B2069,""ja"",""vi"")"),"bơm")</f>
        <v>bơm</v>
      </c>
      <c r="E2069" s="5" t="str">
        <f ca="1">IFERROR(__xludf.DUMMYFUNCTION("GOOGLETRANSLATE(C2069,""ja"",""vi"")"),"Đấu giá&gt; nhà, nội thất&gt; công cụ, DIY nguồn cung cấp&gt; cụ điện&gt; bơm")</f>
        <v>Đấu giá&gt; nhà, nội thất&gt; công cụ, DIY nguồn cung cấp&gt; cụ điện&gt; bơm</v>
      </c>
      <c r="F2069" t="str">
        <f t="shared" ca="1" si="32"/>
        <v>"2084207592" : "bơm",</v>
      </c>
    </row>
    <row r="2070" spans="1:6" ht="15.75" customHeight="1">
      <c r="A2070" s="18">
        <v>2084207591</v>
      </c>
      <c r="B2070" s="18" t="s">
        <v>12977</v>
      </c>
      <c r="C2070" s="18" t="s">
        <v>17586</v>
      </c>
      <c r="D2070" s="5" t="str">
        <f ca="1">IFERROR(__xludf.DUMMYFUNCTION("GOOGLETRANSLATE(B2070,""ja"",""vi"")"),"máy rửa cao áp")</f>
        <v>máy rửa cao áp</v>
      </c>
      <c r="E2070" s="5" t="str">
        <f ca="1">IFERROR(__xludf.DUMMYFUNCTION("GOOGLETRANSLATE(C2070,""ja"",""vi"")"),"Đấu giá&gt; nhà, nội thất&gt; công cụ, DIY nguồn cung cấp&gt; cụ điện&gt; áp lực cao máy giặt")</f>
        <v>Đấu giá&gt; nhà, nội thất&gt; công cụ, DIY nguồn cung cấp&gt; cụ điện&gt; áp lực cao máy giặt</v>
      </c>
      <c r="F2070" t="str">
        <f t="shared" ca="1" si="32"/>
        <v>"2084207591" : "máy rửa cao áp",</v>
      </c>
    </row>
    <row r="2071" spans="1:6" ht="15.75" customHeight="1">
      <c r="A2071" s="18">
        <v>2084303568</v>
      </c>
      <c r="B2071" s="18" t="s">
        <v>17588</v>
      </c>
      <c r="C2071" s="18" t="s">
        <v>17590</v>
      </c>
      <c r="D2071" s="5" t="str">
        <f ca="1">IFERROR(__xludf.DUMMYFUNCTION("GOOGLETRANSLATE(B2071,""ja"",""vi"")"),"máy khoan")</f>
        <v>máy khoan</v>
      </c>
      <c r="E2071" s="5" t="str">
        <f ca="1">IFERROR(__xludf.DUMMYFUNCTION("GOOGLETRANSLATE(C2071,""ja"",""vi"")"),"Đấu giá&gt; nhà, nội thất&gt; công cụ, DIY nguồn cung cấp&gt; cụ điện&gt; Khoan")</f>
        <v>Đấu giá&gt; nhà, nội thất&gt; công cụ, DIY nguồn cung cấp&gt; cụ điện&gt; Khoan</v>
      </c>
      <c r="F2071" t="str">
        <f t="shared" ca="1" si="32"/>
        <v>"2084303568" : "máy khoan",</v>
      </c>
    </row>
    <row r="2072" spans="1:6" ht="15.75" customHeight="1">
      <c r="A2072" s="18">
        <v>2084303571</v>
      </c>
      <c r="B2072" s="18" t="s">
        <v>17591</v>
      </c>
      <c r="C2072" s="18" t="s">
        <v>17594</v>
      </c>
      <c r="D2072" s="5" t="str">
        <f ca="1">IFERROR(__xludf.DUMMYFUNCTION("GOOGLETRANSLATE(B2072,""ja"",""vi"")"),"Kích động (khuấy) máy, máy trộn")</f>
        <v>Kích động (khuấy) máy, máy trộn</v>
      </c>
      <c r="E2072" s="5" t="str">
        <f ca="1">IFERROR(__xludf.DUMMYFUNCTION("GOOGLETRANSLATE(C2072,""ja"",""vi"")"),"Đấu giá&gt; nhà, nội thất&gt; công cụ, DIY nguồn cung cấp&gt; cụ điện&gt; kích động (khuấy) máy, máy trộn")</f>
        <v>Đấu giá&gt; nhà, nội thất&gt; công cụ, DIY nguồn cung cấp&gt; cụ điện&gt; kích động (khuấy) máy, máy trộn</v>
      </c>
      <c r="F2072" t="str">
        <f t="shared" ca="1" si="32"/>
        <v>"2084303571" : "Kích động (khuấy) máy, máy trộn",</v>
      </c>
    </row>
    <row r="2073" spans="1:6" ht="15.75" customHeight="1">
      <c r="A2073" s="18">
        <v>2084303567</v>
      </c>
      <c r="B2073" s="18" t="s">
        <v>17596</v>
      </c>
      <c r="C2073" s="18" t="s">
        <v>17598</v>
      </c>
      <c r="D2073" s="5" t="str">
        <f ca="1">IFERROR(__xludf.DUMMYFUNCTION("GOOGLETRANSLATE(B2073,""ja"",""vi"")"),"búa điện")</f>
        <v>búa điện</v>
      </c>
      <c r="E2073" s="5" t="str">
        <f ca="1">IFERROR(__xludf.DUMMYFUNCTION("GOOGLETRANSLATE(C2073,""ja"",""vi"")"),"Đấu giá&gt; nhà, nội thất&gt; công cụ, DIY nguồn cung cấp&gt; cụ điện&gt; búa điện")</f>
        <v>Đấu giá&gt; nhà, nội thất&gt; công cụ, DIY nguồn cung cấp&gt; cụ điện&gt; búa điện</v>
      </c>
      <c r="F2073" t="str">
        <f t="shared" ca="1" si="32"/>
        <v>"2084303567" : "búa điện",</v>
      </c>
    </row>
    <row r="2074" spans="1:6" ht="15.75" customHeight="1">
      <c r="A2074" s="18">
        <v>2084263013</v>
      </c>
      <c r="B2074" s="18" t="s">
        <v>17599</v>
      </c>
      <c r="C2074" s="18" t="s">
        <v>17602</v>
      </c>
      <c r="D2074" s="5" t="str">
        <f ca="1">IFERROR(__xludf.DUMMYFUNCTION("GOOGLETRANSLATE(B2074,""ja"",""vi"")"),"Bụi bộ sưu tập (tù nhân) máy")</f>
        <v>Bụi bộ sưu tập (tù nhân) máy</v>
      </c>
      <c r="E2074" s="5" t="str">
        <f ca="1">IFERROR(__xludf.DUMMYFUNCTION("GOOGLETRANSLATE(C2074,""ja"",""vi"")"),"Đấu giá&gt; nhà, nội thất&gt; công cụ, DIY nguồn cung cấp&gt; cụ điện&gt; Bộ sưu tập bụi (tù nhân) máy")</f>
        <v>Đấu giá&gt; nhà, nội thất&gt; công cụ, DIY nguồn cung cấp&gt; cụ điện&gt; Bộ sưu tập bụi (tù nhân) máy</v>
      </c>
      <c r="F2074" t="str">
        <f t="shared" ca="1" si="32"/>
        <v>"2084263013" : "Bụi bộ sưu tập (tù nhân) máy",</v>
      </c>
    </row>
    <row r="2075" spans="1:6" ht="15.75" customHeight="1">
      <c r="A2075" s="18">
        <v>2084303572</v>
      </c>
      <c r="B2075" s="18" t="s">
        <v>17604</v>
      </c>
      <c r="C2075" s="18" t="s">
        <v>17605</v>
      </c>
      <c r="D2075" s="5" t="str">
        <f ca="1">IFERROR(__xludf.DUMMYFUNCTION("GOOGLETRANSLATE(B2075,""ja"",""vi"")"),"Dây cuộn, dây nối")</f>
        <v>Dây cuộn, dây nối</v>
      </c>
      <c r="E2075" s="5" t="str">
        <f ca="1">IFERROR(__xludf.DUMMYFUNCTION("GOOGLETRANSLATE(C2075,""ja"",""vi"")"),"Đấu giá&gt; nhà, nội thất&gt; công cụ, DIY nguồn cung cấp&gt; cụ điện&gt; dây cuộn, dây nối")</f>
        <v>Đấu giá&gt; nhà, nội thất&gt; công cụ, DIY nguồn cung cấp&gt; cụ điện&gt; dây cuộn, dây nối</v>
      </c>
      <c r="F2075" t="str">
        <f t="shared" ca="1" si="32"/>
        <v>"2084303572" : "Dây cuộn, dây nối",</v>
      </c>
    </row>
    <row r="2076" spans="1:6" ht="15.75" customHeight="1">
      <c r="A2076" s="18">
        <v>2084042051</v>
      </c>
      <c r="B2076" s="18" t="s">
        <v>46</v>
      </c>
      <c r="C2076" s="18" t="s">
        <v>17609</v>
      </c>
      <c r="D2076" s="5" t="str">
        <f ca="1">IFERROR(__xludf.DUMMYFUNCTION("GOOGLETRANSLATE(B2076,""ja"",""vi"")"),"nếu không thì")</f>
        <v>nếu không thì</v>
      </c>
      <c r="E2076" s="5" t="str">
        <f ca="1">IFERROR(__xludf.DUMMYFUNCTION("GOOGLETRANSLATE(C2076,""ja"",""vi"")"),"Đấu giá&gt; nhà, nội thất&gt; công cụ, DIY nguồn cung cấp&gt; cụ điện&gt; Khác")</f>
        <v>Đấu giá&gt; nhà, nội thất&gt; công cụ, DIY nguồn cung cấp&gt; cụ điện&gt; Khác</v>
      </c>
      <c r="F2076" t="str">
        <f t="shared" ca="1" si="32"/>
        <v>"2084042051" : "nếu không thì",</v>
      </c>
    </row>
    <row r="2077" spans="1:6" ht="15.75" customHeight="1">
      <c r="A2077" s="18">
        <v>2084210056</v>
      </c>
      <c r="B2077" s="18" t="s">
        <v>17610</v>
      </c>
      <c r="C2077" s="18" t="s">
        <v>17612</v>
      </c>
      <c r="D2077" s="5" t="str">
        <f ca="1">IFERROR(__xludf.DUMMYFUNCTION("GOOGLETRANSLATE(B2077,""ja"",""vi"")"),"lưu động")</f>
        <v>lưu động</v>
      </c>
      <c r="E2077" s="5" t="str">
        <f ca="1">IFERROR(__xludf.DUMMYFUNCTION("GOOGLETRANSLATE(C2077,""ja"",""vi"")"),"Đấu giá&gt; nhà, nội thất&gt; công cụ, DIY nguồn cung cấp&gt; hộp công cụ&gt; mang loại")</f>
        <v>Đấu giá&gt; nhà, nội thất&gt; công cụ, DIY nguồn cung cấp&gt; hộp công cụ&gt; mang loại</v>
      </c>
      <c r="F2077" t="str">
        <f t="shared" ca="1" si="32"/>
        <v>"2084210056" : "lưu động",</v>
      </c>
    </row>
    <row r="2078" spans="1:6" ht="15.75" customHeight="1">
      <c r="A2078" s="18">
        <v>2084210057</v>
      </c>
      <c r="B2078" s="18" t="s">
        <v>17614</v>
      </c>
      <c r="C2078" s="18" t="s">
        <v>17615</v>
      </c>
      <c r="D2078" s="5" t="str">
        <f ca="1">IFERROR(__xludf.DUMMYFUNCTION("GOOGLETRANSLATE(B2078,""ja"",""vi"")"),"kiểu cài đặt")</f>
        <v>kiểu cài đặt</v>
      </c>
      <c r="E2078" s="5" t="str">
        <f ca="1">IFERROR(__xludf.DUMMYFUNCTION("GOOGLETRANSLATE(C2078,""ja"",""vi"")"),"Đấu giá&gt; nhà, nội thất&gt; công cụ, DIY nguồn cung cấp&gt; hộp công cụ&gt; kiểu cài đặt")</f>
        <v>Đấu giá&gt; nhà, nội thất&gt; công cụ, DIY nguồn cung cấp&gt; hộp công cụ&gt; kiểu cài đặt</v>
      </c>
      <c r="F2078" t="str">
        <f t="shared" ca="1" si="32"/>
        <v>"2084210057" : "kiểu cài đặt",</v>
      </c>
    </row>
    <row r="2079" spans="1:6" ht="15.75" customHeight="1">
      <c r="A2079" s="18">
        <v>2084210058</v>
      </c>
      <c r="B2079" s="18" t="s">
        <v>46</v>
      </c>
      <c r="C2079" s="18" t="s">
        <v>17618</v>
      </c>
      <c r="D2079" s="5" t="str">
        <f ca="1">IFERROR(__xludf.DUMMYFUNCTION("GOOGLETRANSLATE(B2079,""ja"",""vi"")"),"nếu không thì")</f>
        <v>nếu không thì</v>
      </c>
      <c r="E2079" s="5" t="str">
        <f ca="1">IFERROR(__xludf.DUMMYFUNCTION("GOOGLETRANSLATE(C2079,""ja"",""vi"")"),"Đấu giá&gt; nhà, nội thất&gt; công cụ, DIY nguồn cung cấp&gt; hộp công cụ&gt; Khác")</f>
        <v>Đấu giá&gt; nhà, nội thất&gt; công cụ, DIY nguồn cung cấp&gt; hộp công cụ&gt; Khác</v>
      </c>
      <c r="F2079" t="str">
        <f t="shared" ca="1" si="32"/>
        <v>"2084210058" : "nếu không thì",</v>
      </c>
    </row>
    <row r="2080" spans="1:6" ht="15.75" customHeight="1">
      <c r="A2080" s="18">
        <v>2084008702</v>
      </c>
      <c r="B2080" s="18" t="s">
        <v>13906</v>
      </c>
      <c r="C2080" s="18" t="s">
        <v>14465</v>
      </c>
      <c r="D2080" s="5" t="str">
        <f ca="1">IFERROR(__xludf.DUMMYFUNCTION("GOOGLETRANSLATE(B2080,""ja"",""vi"")"),"BMW")</f>
        <v>BMW</v>
      </c>
      <c r="E2080" s="5" t="str">
        <f ca="1">IFERROR(__xludf.DUMMYFUNCTION("GOOGLETRANSLATE(C2080,""ja"",""vi"")"),"Đấu giá&gt; ô tô, xe máy&gt; xe máy&gt; Catalogue, danh sách phần, cuốn sách dịch vụ&gt; BMW")</f>
        <v>Đấu giá&gt; ô tô, xe máy&gt; xe máy&gt; Catalogue, danh sách phần, cuốn sách dịch vụ&gt; BMW</v>
      </c>
      <c r="F2080" t="str">
        <f t="shared" ca="1" si="32"/>
        <v>"2084008702" : "BMW",</v>
      </c>
    </row>
    <row r="2081" spans="1:6" ht="15.75" customHeight="1">
      <c r="A2081" s="18">
        <v>2084008703</v>
      </c>
      <c r="B2081" s="18" t="s">
        <v>13977</v>
      </c>
      <c r="C2081" s="18" t="s">
        <v>14467</v>
      </c>
      <c r="D2081" s="5" t="str">
        <f ca="1">IFERROR(__xludf.DUMMYFUNCTION("GOOGLETRANSLATE(B2081,""ja"",""vi"")"),"Aprilia")</f>
        <v>Aprilia</v>
      </c>
      <c r="E2081" s="5" t="str">
        <f ca="1">IFERROR(__xludf.DUMMYFUNCTION("GOOGLETRANSLATE(C2081,""ja"",""vi"")"),"Đấu giá&gt; ô tô, xe máy&gt; xe máy&gt; Catalogue, danh sách phần, cuốn sách dịch vụ&gt; Aprilia")</f>
        <v>Đấu giá&gt; ô tô, xe máy&gt; xe máy&gt; Catalogue, danh sách phần, cuốn sách dịch vụ&gt; Aprilia</v>
      </c>
      <c r="F2081" t="str">
        <f t="shared" ca="1" si="32"/>
        <v>"2084008703" : "Aprilia",</v>
      </c>
    </row>
    <row r="2082" spans="1:6" ht="15.75" customHeight="1">
      <c r="A2082" s="18">
        <v>2084008704</v>
      </c>
      <c r="B2082" s="18" t="s">
        <v>6920</v>
      </c>
      <c r="C2082" s="18" t="s">
        <v>14470</v>
      </c>
      <c r="D2082" s="5" t="str">
        <f ca="1">IFERROR(__xludf.DUMMYFUNCTION("GOOGLETRANSLATE(B2082,""ja"",""vi"")"),"Kawasaki")</f>
        <v>Kawasaki</v>
      </c>
      <c r="E2082" s="5" t="str">
        <f ca="1">IFERROR(__xludf.DUMMYFUNCTION("GOOGLETRANSLATE(C2082,""ja"",""vi"")"),"Đấu giá&gt; ô tô, xe máy&gt; xe máy&gt; Catalogue, danh sách phần, cuốn sách dịch vụ&gt; Kawasaki")</f>
        <v>Đấu giá&gt; ô tô, xe máy&gt; xe máy&gt; Catalogue, danh sách phần, cuốn sách dịch vụ&gt; Kawasaki</v>
      </c>
      <c r="F2082" t="str">
        <f t="shared" ca="1" si="32"/>
        <v>"2084008704" : "Kawasaki",</v>
      </c>
    </row>
    <row r="2083" spans="1:6" ht="15.75" customHeight="1">
      <c r="A2083" s="18">
        <v>2084008705</v>
      </c>
      <c r="B2083" s="18" t="s">
        <v>6923</v>
      </c>
      <c r="C2083" s="18" t="s">
        <v>14473</v>
      </c>
      <c r="D2083" s="5" t="str">
        <f ca="1">IFERROR(__xludf.DUMMYFUNCTION("GOOGLETRANSLATE(B2083,""ja"",""vi"")"),"Suzuki")</f>
        <v>Suzuki</v>
      </c>
      <c r="E2083" s="5" t="str">
        <f ca="1">IFERROR(__xludf.DUMMYFUNCTION("GOOGLETRANSLATE(C2083,""ja"",""vi"")"),"Đấu giá&gt; ô tô, xe máy&gt; xe máy&gt; Catalogue, danh sách phần, cuốn sách dịch vụ&gt; Suzuki")</f>
        <v>Đấu giá&gt; ô tô, xe máy&gt; xe máy&gt; Catalogue, danh sách phần, cuốn sách dịch vụ&gt; Suzuki</v>
      </c>
      <c r="F2083" t="str">
        <f t="shared" ca="1" si="32"/>
        <v>"2084008705" : "Suzuki",</v>
      </c>
    </row>
    <row r="2084" spans="1:6" ht="15.75" customHeight="1">
      <c r="A2084" s="18">
        <v>2084008707</v>
      </c>
      <c r="B2084" s="18" t="s">
        <v>14005</v>
      </c>
      <c r="C2084" s="18" t="s">
        <v>14475</v>
      </c>
      <c r="D2084" s="5" t="str">
        <f ca="1">IFERROR(__xludf.DUMMYFUNCTION("GOOGLETRANSLATE(B2084,""ja"",""vi"")"),"chiến thắng")</f>
        <v>chiến thắng</v>
      </c>
      <c r="E2084" s="5" t="str">
        <f ca="1">IFERROR(__xludf.DUMMYFUNCTION("GOOGLETRANSLATE(C2084,""ja"",""vi"")"),"Đấu giá&gt; ô tô, xe máy&gt; xe máy&gt; Catalogue, danh sách phần, cuốn sách dịch vụ&gt; Triumph")</f>
        <v>Đấu giá&gt; ô tô, xe máy&gt; xe máy&gt; Catalogue, danh sách phần, cuốn sách dịch vụ&gt; Triumph</v>
      </c>
      <c r="F2084" t="str">
        <f t="shared" ca="1" si="32"/>
        <v>"2084008707" : "chiến thắng",</v>
      </c>
    </row>
    <row r="2085" spans="1:6" ht="15.75" customHeight="1">
      <c r="A2085" s="18">
        <v>2084008706</v>
      </c>
      <c r="B2085" s="18" t="s">
        <v>13969</v>
      </c>
      <c r="C2085" s="18" t="s">
        <v>14478</v>
      </c>
      <c r="D2085" s="5" t="str">
        <f ca="1">IFERROR(__xludf.DUMMYFUNCTION("GOOGLETRANSLATE(B2085,""ja"",""vi"")"),"Ducati")</f>
        <v>Ducati</v>
      </c>
      <c r="E2085" s="5" t="str">
        <f ca="1">IFERROR(__xludf.DUMMYFUNCTION("GOOGLETRANSLATE(C2085,""ja"",""vi"")"),"Đấu giá&gt; ô tô, xe máy&gt; xe máy&gt; Catalogue, danh sách phần, cuốn sách dịch vụ&gt; Ducati")</f>
        <v>Đấu giá&gt; ô tô, xe máy&gt; xe máy&gt; Catalogue, danh sách phần, cuốn sách dịch vụ&gt; Ducati</v>
      </c>
      <c r="F2085" t="str">
        <f t="shared" ca="1" si="32"/>
        <v>"2084008706" : "Ducati",</v>
      </c>
    </row>
    <row r="2086" spans="1:6" ht="15.75" customHeight="1">
      <c r="A2086" s="18">
        <v>2084008708</v>
      </c>
      <c r="B2086" s="18" t="s">
        <v>6934</v>
      </c>
      <c r="C2086" s="18" t="s">
        <v>14481</v>
      </c>
      <c r="D2086" s="5" t="str">
        <f ca="1">IFERROR(__xludf.DUMMYFUNCTION("GOOGLETRANSLATE(B2086,""ja"",""vi"")"),"Harley davidson")</f>
        <v>Harley davidson</v>
      </c>
      <c r="E2086" s="5" t="str">
        <f ca="1">IFERROR(__xludf.DUMMYFUNCTION("GOOGLETRANSLATE(C2086,""ja"",""vi"")"),"Đấu giá&gt; ô tô, xe máy&gt; xe máy&gt; Catalogue, danh sách phần, cuốn sách dịch vụ&gt; Harley-Davidson")</f>
        <v>Đấu giá&gt; ô tô, xe máy&gt; xe máy&gt; Catalogue, danh sách phần, cuốn sách dịch vụ&gt; Harley-Davidson</v>
      </c>
      <c r="F2086" t="str">
        <f t="shared" ca="1" si="32"/>
        <v>"2084008708" : "Harley davidson",</v>
      </c>
    </row>
    <row r="2087" spans="1:6" ht="15.75" customHeight="1">
      <c r="A2087" s="18">
        <v>2084008710</v>
      </c>
      <c r="B2087" s="18" t="s">
        <v>13996</v>
      </c>
      <c r="C2087" s="18" t="s">
        <v>14483</v>
      </c>
      <c r="D2087" s="5" t="str">
        <f ca="1">IFERROR(__xludf.DUMMYFUNCTION("GOOGLETRANSLATE(B2087,""ja"",""vi"")"),"Bimota")</f>
        <v>Bimota</v>
      </c>
      <c r="E2087" s="5" t="str">
        <f ca="1">IFERROR(__xludf.DUMMYFUNCTION("GOOGLETRANSLATE(C2087,""ja"",""vi"")"),"Đấu giá&gt; ô tô, xe máy&gt; xe máy&gt; Catalogue, danh sách phần, cuốn sách dịch vụ&gt; Bimota")</f>
        <v>Đấu giá&gt; ô tô, xe máy&gt; xe máy&gt; Catalogue, danh sách phần, cuốn sách dịch vụ&gt; Bimota</v>
      </c>
      <c r="F2087" t="str">
        <f t="shared" ca="1" si="32"/>
        <v>"2084008710" : "Bimota",</v>
      </c>
    </row>
    <row r="2088" spans="1:6" ht="15.75" customHeight="1">
      <c r="A2088" s="18">
        <v>2084008711</v>
      </c>
      <c r="B2088" s="18" t="s">
        <v>13960</v>
      </c>
      <c r="C2088" s="18" t="s">
        <v>14485</v>
      </c>
      <c r="D2088" s="5" t="str">
        <f ca="1">IFERROR(__xludf.DUMMYFUNCTION("GOOGLETRANSLATE(B2088,""ja"",""vi"")"),"Buell")</f>
        <v>Buell</v>
      </c>
      <c r="E2088" s="5" t="str">
        <f ca="1">IFERROR(__xludf.DUMMYFUNCTION("GOOGLETRANSLATE(C2088,""ja"",""vi"")"),"Đấu giá&gt; ô tô, xe máy&gt; xe máy&gt; Catalogue, danh sách phần, cuốn sách dịch vụ&gt; Buell")</f>
        <v>Đấu giá&gt; ô tô, xe máy&gt; xe máy&gt; Catalogue, danh sách phần, cuốn sách dịch vụ&gt; Buell</v>
      </c>
      <c r="F2088" t="str">
        <f t="shared" ca="1" si="32"/>
        <v>"2084008711" : "Buell",</v>
      </c>
    </row>
    <row r="2089" spans="1:6" ht="15.75" customHeight="1">
      <c r="A2089" s="18">
        <v>2084008709</v>
      </c>
      <c r="B2089" s="18" t="s">
        <v>14487</v>
      </c>
      <c r="C2089" s="18" t="s">
        <v>14488</v>
      </c>
      <c r="D2089" s="5" t="str">
        <f ca="1">IFERROR(__xludf.DUMMYFUNCTION("GOOGLETRANSLATE(B2089,""ja"",""vi"")"),"Piaggio")</f>
        <v>Piaggio</v>
      </c>
      <c r="E2089" s="5" t="str">
        <f ca="1">IFERROR(__xludf.DUMMYFUNCTION("GOOGLETRANSLATE(C2089,""ja"",""vi"")"),"Đấu giá&gt; ô tô, xe máy&gt; xe máy&gt; Catalogue, danh sách phần, cuốn sách dịch vụ&gt; Piaggio")</f>
        <v>Đấu giá&gt; ô tô, xe máy&gt; xe máy&gt; Catalogue, danh sách phần, cuốn sách dịch vụ&gt; Piaggio</v>
      </c>
      <c r="F2089" t="str">
        <f t="shared" ca="1" si="32"/>
        <v>"2084008709" : "Piaggio",</v>
      </c>
    </row>
    <row r="2090" spans="1:6" ht="15.75" customHeight="1">
      <c r="A2090" s="18">
        <v>2084008712</v>
      </c>
      <c r="B2090" s="18" t="s">
        <v>6927</v>
      </c>
      <c r="C2090" s="18" t="s">
        <v>14489</v>
      </c>
      <c r="D2090" s="5" t="str">
        <f ca="1">IFERROR(__xludf.DUMMYFUNCTION("GOOGLETRANSLATE(B2090,""ja"",""vi"")"),"Honda")</f>
        <v>Honda</v>
      </c>
      <c r="E2090" s="5" t="str">
        <f ca="1">IFERROR(__xludf.DUMMYFUNCTION("GOOGLETRANSLATE(C2090,""ja"",""vi"")"),"Đấu giá&gt; ô tô, xe máy&gt; xe máy&gt; Catalogue, danh sách phần, cuốn sách dịch vụ&gt; Honda")</f>
        <v>Đấu giá&gt; ô tô, xe máy&gt; xe máy&gt; Catalogue, danh sách phần, cuốn sách dịch vụ&gt; Honda</v>
      </c>
      <c r="F2090" t="str">
        <f t="shared" ca="1" si="32"/>
        <v>"2084008712" : "Honda",</v>
      </c>
    </row>
    <row r="2091" spans="1:6" ht="15.75" customHeight="1">
      <c r="A2091" s="18">
        <v>2084008713</v>
      </c>
      <c r="B2091" s="18" t="s">
        <v>14491</v>
      </c>
      <c r="C2091" s="18" t="s">
        <v>14492</v>
      </c>
      <c r="D2091" s="5" t="str">
        <f ca="1">IFERROR(__xludf.DUMMYFUNCTION("GOOGLETRANSLATE(B2091,""ja"",""vi"")"),"Moto Guzzi")</f>
        <v>Moto Guzzi</v>
      </c>
      <c r="E2091" s="5" t="str">
        <f ca="1">IFERROR(__xludf.DUMMYFUNCTION("GOOGLETRANSLATE(C2091,""ja"",""vi"")"),"Đấu giá&gt; ô tô, xe máy&gt; xe máy&gt; Catalogue, danh sách phần, cuốn sách dịch vụ&gt; Moto Guzzi")</f>
        <v>Đấu giá&gt; ô tô, xe máy&gt; xe máy&gt; Catalogue, danh sách phần, cuốn sách dịch vụ&gt; Moto Guzzi</v>
      </c>
      <c r="F2091" t="str">
        <f t="shared" ca="1" si="32"/>
        <v>"2084008713" : "Moto Guzzi",</v>
      </c>
    </row>
    <row r="2092" spans="1:6" ht="15.75" customHeight="1">
      <c r="A2092" s="18">
        <v>2084008714</v>
      </c>
      <c r="B2092" s="18" t="s">
        <v>2522</v>
      </c>
      <c r="C2092" s="18" t="s">
        <v>14493</v>
      </c>
      <c r="D2092" s="5" t="str">
        <f ca="1">IFERROR(__xludf.DUMMYFUNCTION("GOOGLETRANSLATE(B2092,""ja"",""vi"")"),"Yamaha")</f>
        <v>Yamaha</v>
      </c>
      <c r="E2092" s="5" t="str">
        <f ca="1">IFERROR(__xludf.DUMMYFUNCTION("GOOGLETRANSLATE(C2092,""ja"",""vi"")"),"Đấu giá&gt; ô tô, xe máy&gt; xe máy&gt; Catalogue, danh sách phần, cuốn sách dịch vụ&gt; Yamaha")</f>
        <v>Đấu giá&gt; ô tô, xe máy&gt; xe máy&gt; Catalogue, danh sách phần, cuốn sách dịch vụ&gt; Yamaha</v>
      </c>
      <c r="F2092" t="str">
        <f t="shared" ca="1" si="32"/>
        <v>"2084008714" : "Yamaha",</v>
      </c>
    </row>
    <row r="2093" spans="1:6" ht="15.75" customHeight="1">
      <c r="A2093" s="18">
        <v>2084008715</v>
      </c>
      <c r="B2093" s="18" t="s">
        <v>46</v>
      </c>
      <c r="C2093" s="18" t="s">
        <v>14495</v>
      </c>
      <c r="D2093" s="5" t="str">
        <f ca="1">IFERROR(__xludf.DUMMYFUNCTION("GOOGLETRANSLATE(B2093,""ja"",""vi"")"),"nếu không thì")</f>
        <v>nếu không thì</v>
      </c>
      <c r="E2093" s="5" t="str">
        <f ca="1">IFERROR(__xludf.DUMMYFUNCTION("GOOGLETRANSLATE(C2093,""ja"",""vi"")"),"Đấu giá&gt; ô tô, xe máy&gt; xe máy&gt; Catalogue, danh sách phần, cuốn sách dịch vụ&gt; Khác")</f>
        <v>Đấu giá&gt; ô tô, xe máy&gt; xe máy&gt; Catalogue, danh sách phần, cuốn sách dịch vụ&gt; Khác</v>
      </c>
      <c r="F2093" t="str">
        <f t="shared" ca="1" si="32"/>
        <v>"2084008715" : "nếu không thì",</v>
      </c>
    </row>
    <row r="2094" spans="1:6" ht="15.75" customHeight="1">
      <c r="A2094" s="18">
        <v>2084016558</v>
      </c>
      <c r="B2094" s="18" t="s">
        <v>8634</v>
      </c>
      <c r="C2094" s="18" t="s">
        <v>17638</v>
      </c>
      <c r="D2094" s="5" t="str">
        <f ca="1">IFERROR(__xludf.DUMMYFUNCTION("GOOGLETRANSLATE(B2094,""ja"",""vi"")"),"2000GT")</f>
        <v>2000GT</v>
      </c>
      <c r="E2094" s="5" t="str">
        <f ca="1">IFERROR(__xludf.DUMMYFUNCTION("GOOGLETRANSLATE(C2094,""ja"",""vi"")"),"Đấu giá&gt; ô tô, xe máy&gt; Catalogue, danh sách phần, cuốn sách dịch vụ&gt; Toyota&gt; 2000GT")</f>
        <v>Đấu giá&gt; ô tô, xe máy&gt; Catalogue, danh sách phần, cuốn sách dịch vụ&gt; Toyota&gt; 2000GT</v>
      </c>
      <c r="F2094" t="str">
        <f t="shared" ca="1" si="32"/>
        <v>"2084016558" : "2000GT",</v>
      </c>
    </row>
    <row r="2095" spans="1:6" ht="15.75" customHeight="1">
      <c r="A2095" s="18">
        <v>2084016561</v>
      </c>
      <c r="B2095" s="18" t="s">
        <v>8643</v>
      </c>
      <c r="C2095" s="18" t="s">
        <v>17640</v>
      </c>
      <c r="D2095" s="5" t="str">
        <f ca="1">IFERROR(__xludf.DUMMYFUNCTION("GOOGLETRANSLATE(B2095,""ja"",""vi"")"),"MR-S")</f>
        <v>MR-S</v>
      </c>
      <c r="E2095" s="5" t="str">
        <f ca="1">IFERROR(__xludf.DUMMYFUNCTION("GOOGLETRANSLATE(C2095,""ja"",""vi"")"),"Đấu giá&gt; ô tô, xe máy&gt; Catalogue, danh sách phần, cuốn sách dịch vụ&gt; Toyota&gt; MR-S")</f>
        <v>Đấu giá&gt; ô tô, xe máy&gt; Catalogue, danh sách phần, cuốn sách dịch vụ&gt; Toyota&gt; MR-S</v>
      </c>
      <c r="F2095" t="str">
        <f t="shared" ca="1" si="32"/>
        <v>"2084016561" : "MR-S",</v>
      </c>
    </row>
    <row r="2096" spans="1:6" ht="15.75" customHeight="1">
      <c r="A2096" s="18">
        <v>2084016560</v>
      </c>
      <c r="B2096" s="18" t="s">
        <v>8647</v>
      </c>
      <c r="C2096" s="18" t="s">
        <v>17643</v>
      </c>
      <c r="D2096" s="5" t="str">
        <f ca="1">IFERROR(__xludf.DUMMYFUNCTION("GOOGLETRANSLATE(B2096,""ja"",""vi"")"),"MR2")</f>
        <v>MR2</v>
      </c>
      <c r="E2096" s="5" t="str">
        <f ca="1">IFERROR(__xludf.DUMMYFUNCTION("GOOGLETRANSLATE(C2096,""ja"",""vi"")"),"Đấu giá&gt; ô tô, xe máy&gt; Catalogue, danh sách phần, cuốn sách dịch vụ&gt; Toyota&gt; MR2")</f>
        <v>Đấu giá&gt; ô tô, xe máy&gt; Catalogue, danh sách phần, cuốn sách dịch vụ&gt; Toyota&gt; MR2</v>
      </c>
      <c r="F2096" t="str">
        <f t="shared" ca="1" si="32"/>
        <v>"2084016560" : "MR2",</v>
      </c>
    </row>
    <row r="2097" spans="1:6" ht="15.75" customHeight="1">
      <c r="A2097" s="18">
        <v>2084016564</v>
      </c>
      <c r="B2097" s="18" t="s">
        <v>8651</v>
      </c>
      <c r="C2097" s="18" t="s">
        <v>17645</v>
      </c>
      <c r="D2097" s="5" t="str">
        <f ca="1">IFERROR(__xludf.DUMMYFUNCTION("GOOGLETRANSLATE(B2097,""ja"",""vi"")"),"RAV4")</f>
        <v>RAV4</v>
      </c>
      <c r="E2097" s="5" t="str">
        <f ca="1">IFERROR(__xludf.DUMMYFUNCTION("GOOGLETRANSLATE(C2097,""ja"",""vi"")"),"Đấu giá&gt; ô tô, xe máy&gt; Catalogue, danh sách phần, cuốn sách dịch vụ&gt; Toyota&gt; RAV4")</f>
        <v>Đấu giá&gt; ô tô, xe máy&gt; Catalogue, danh sách phần, cuốn sách dịch vụ&gt; Toyota&gt; RAV4</v>
      </c>
      <c r="F2097" t="str">
        <f t="shared" ca="1" si="32"/>
        <v>"2084016564" : "RAV4",</v>
      </c>
    </row>
    <row r="2098" spans="1:6" ht="15.75" customHeight="1">
      <c r="A2098" s="18">
        <v>2084016565</v>
      </c>
      <c r="B2098" s="18" t="s">
        <v>17646</v>
      </c>
      <c r="C2098" s="18" t="s">
        <v>17648</v>
      </c>
      <c r="D2098" s="5" t="str">
        <f ca="1">IFERROR(__xludf.DUMMYFUNCTION("GOOGLETRANSLATE(B2098,""ja"",""vi"")"),"Will Vi")</f>
        <v>Will Vi</v>
      </c>
      <c r="E2098" s="5" t="str">
        <f ca="1">IFERROR(__xludf.DUMMYFUNCTION("GOOGLETRANSLATE(C2098,""ja"",""vi"")"),"Đấu giá&gt; ô tô, xe máy&gt; Catalogue, danh sách phần, cuốn sách dịch vụ&gt; Toyota&gt; Will Vi")</f>
        <v>Đấu giá&gt; ô tô, xe máy&gt; Catalogue, danh sách phần, cuốn sách dịch vụ&gt; Toyota&gt; Will Vi</v>
      </c>
      <c r="F2098" t="str">
        <f t="shared" ca="1" si="32"/>
        <v>"2084016565" : "Will Vi",</v>
      </c>
    </row>
    <row r="2099" spans="1:6" ht="15.75" customHeight="1">
      <c r="A2099" s="18">
        <v>2084016559</v>
      </c>
      <c r="B2099" s="18" t="s">
        <v>8668</v>
      </c>
      <c r="C2099" s="18" t="s">
        <v>17650</v>
      </c>
      <c r="D2099" s="5" t="str">
        <f ca="1">IFERROR(__xludf.DUMMYFUNCTION("GOOGLETRANSLATE(B2099,""ja"",""vi"")"),"bB")</f>
        <v>bB</v>
      </c>
      <c r="E2099" s="5" t="str">
        <f ca="1">IFERROR(__xludf.DUMMYFUNCTION("GOOGLETRANSLATE(C2099,""ja"",""vi"")"),"Đấu giá&gt; ô tô, xe máy&gt; Catalogue, danh sách phần, cuốn sách dịch vụ&gt; Toyota&gt; bB")</f>
        <v>Đấu giá&gt; ô tô, xe máy&gt; Catalogue, danh sách phần, cuốn sách dịch vụ&gt; Toyota&gt; bB</v>
      </c>
      <c r="F2099" t="str">
        <f t="shared" ca="1" si="32"/>
        <v>"2084016559" : "bB",</v>
      </c>
    </row>
    <row r="2100" spans="1:6" ht="15.75" customHeight="1">
      <c r="A2100" s="18">
        <v>2084016566</v>
      </c>
      <c r="B2100" s="18" t="s">
        <v>8708</v>
      </c>
      <c r="C2100" s="18" t="s">
        <v>17652</v>
      </c>
      <c r="D2100" s="5" t="str">
        <f ca="1">IFERROR(__xludf.DUMMYFUNCTION("GOOGLETRANSLATE(B2100,""ja"",""vi"")"),"Aristo")</f>
        <v>Aristo</v>
      </c>
      <c r="E2100" s="5" t="str">
        <f ca="1">IFERROR(__xludf.DUMMYFUNCTION("GOOGLETRANSLATE(C2100,""ja"",""vi"")"),"Đấu giá&gt; ô tô, xe máy&gt; Catalogue, danh sách phần, cuốn sách dịch vụ&gt; Toyota&gt; Aristo")</f>
        <v>Đấu giá&gt; ô tô, xe máy&gt; Catalogue, danh sách phần, cuốn sách dịch vụ&gt; Toyota&gt; Aristo</v>
      </c>
      <c r="F2100" t="str">
        <f t="shared" ca="1" si="32"/>
        <v>"2084016566" : "Aristo",</v>
      </c>
    </row>
    <row r="2101" spans="1:6" ht="15.75" customHeight="1">
      <c r="A2101" s="18">
        <v>2084016567</v>
      </c>
      <c r="B2101" s="18" t="s">
        <v>17653</v>
      </c>
      <c r="C2101" s="18" t="s">
        <v>17655</v>
      </c>
      <c r="D2101" s="5" t="str">
        <f ca="1">IFERROR(__xludf.DUMMYFUNCTION("GOOGLETRANSLATE(B2101,""ja"",""vi"")"),"Arutettsua")</f>
        <v>Arutettsua</v>
      </c>
      <c r="E2101" s="5" t="str">
        <f ca="1">IFERROR(__xludf.DUMMYFUNCTION("GOOGLETRANSLATE(C2101,""ja"",""vi"")"),"Đấu giá&gt; ô tô, xe máy&gt; Catalogue, danh sách phần, cuốn sách dịch vụ&gt; Toyota&gt; Arutettsua")</f>
        <v>Đấu giá&gt; ô tô, xe máy&gt; Catalogue, danh sách phần, cuốn sách dịch vụ&gt; Toyota&gt; Arutettsua</v>
      </c>
      <c r="F2101" t="str">
        <f t="shared" ca="1" si="32"/>
        <v>"2084016567" : "Arutettsua",</v>
      </c>
    </row>
    <row r="2102" spans="1:6" ht="15.75" customHeight="1">
      <c r="A2102" s="18">
        <v>2084016568</v>
      </c>
      <c r="B2102" s="18" t="s">
        <v>8740</v>
      </c>
      <c r="C2102" s="18" t="s">
        <v>17656</v>
      </c>
      <c r="D2102" s="5" t="str">
        <f ca="1">IFERROR(__xludf.DUMMYFUNCTION("GOOGLETRANSLATE(B2102,""ja"",""vi"")"),"Ipsum")</f>
        <v>Ipsum</v>
      </c>
      <c r="E2102" s="5" t="str">
        <f ca="1">IFERROR(__xludf.DUMMYFUNCTION("GOOGLETRANSLATE(C2102,""ja"",""vi"")"),"Đấu giá&gt; ô tô, xe máy&gt; Catalogue, danh sách phần, cuốn sách dịch vụ&gt; Toyota&gt; Ipsum")</f>
        <v>Đấu giá&gt; ô tô, xe máy&gt; Catalogue, danh sách phần, cuốn sách dịch vụ&gt; Toyota&gt; Ipsum</v>
      </c>
      <c r="F2102" t="str">
        <f t="shared" ca="1" si="32"/>
        <v>"2084016568" : "Ipsum",</v>
      </c>
    </row>
    <row r="2103" spans="1:6" ht="15.75" customHeight="1">
      <c r="A2103" s="18">
        <v>2084016570</v>
      </c>
      <c r="B2103" s="18" t="s">
        <v>8751</v>
      </c>
      <c r="C2103" s="18" t="s">
        <v>17658</v>
      </c>
      <c r="D2103" s="5" t="str">
        <f ca="1">IFERROR(__xludf.DUMMYFUNCTION("GOOGLETRANSLATE(B2103,""ja"",""vi"")"),"Wyndham")</f>
        <v>Wyndham</v>
      </c>
      <c r="E2103" s="5" t="str">
        <f ca="1">IFERROR(__xludf.DUMMYFUNCTION("GOOGLETRANSLATE(C2103,""ja"",""vi"")"),"Đấu giá&gt; ô tô, xe máy&gt; Catalogue, danh sách phần, cuốn sách dịch vụ&gt; Toyota&gt; Wyndham")</f>
        <v>Đấu giá&gt; ô tô, xe máy&gt; Catalogue, danh sách phần, cuốn sách dịch vụ&gt; Toyota&gt; Wyndham</v>
      </c>
      <c r="F2103" t="str">
        <f t="shared" ca="1" si="32"/>
        <v>"2084016570" : "Wyndham",</v>
      </c>
    </row>
    <row r="2104" spans="1:6" ht="15.75" customHeight="1">
      <c r="A2104" s="18">
        <v>2084016571</v>
      </c>
      <c r="B2104" s="18" t="s">
        <v>8768</v>
      </c>
      <c r="C2104" s="18" t="s">
        <v>17660</v>
      </c>
      <c r="D2104" s="5" t="str">
        <f ca="1">IFERROR(__xludf.DUMMYFUNCTION("GOOGLETRANSLATE(B2104,""ja"",""vi"")"),"Estima")</f>
        <v>Estima</v>
      </c>
      <c r="E2104" s="5" t="str">
        <f ca="1">IFERROR(__xludf.DUMMYFUNCTION("GOOGLETRANSLATE(C2104,""ja"",""vi"")"),"Đấu giá&gt; ô tô, xe máy&gt; Catalogue, danh sách phần, cuốn sách dịch vụ&gt; Toyota&gt; Estima")</f>
        <v>Đấu giá&gt; ô tô, xe máy&gt; Catalogue, danh sách phần, cuốn sách dịch vụ&gt; Toyota&gt; Estima</v>
      </c>
      <c r="F2104" t="str">
        <f t="shared" ca="1" si="32"/>
        <v>"2084016571" : "Estima",</v>
      </c>
    </row>
    <row r="2105" spans="1:6" ht="15.75" customHeight="1">
      <c r="A2105" s="18">
        <v>2084016563</v>
      </c>
      <c r="B2105" s="18" t="s">
        <v>8793</v>
      </c>
      <c r="C2105" s="18" t="s">
        <v>17661</v>
      </c>
      <c r="D2105" s="5" t="str">
        <f ca="1">IFERROR(__xludf.DUMMYFUNCTION("GOOGLETRANSLATE(B2105,""ja"",""vi"")"),"Opa")</f>
        <v>Opa</v>
      </c>
      <c r="E2105" s="5" t="str">
        <f ca="1">IFERROR(__xludf.DUMMYFUNCTION("GOOGLETRANSLATE(C2105,""ja"",""vi"")"),"Đấu giá&gt; ô tô, xe máy&gt; Catalogue, danh sách phần, cuốn sách dịch vụ&gt; Toyota&gt; Opa")</f>
        <v>Đấu giá&gt; ô tô, xe máy&gt; Catalogue, danh sách phần, cuốn sách dịch vụ&gt; Toyota&gt; Opa</v>
      </c>
      <c r="F2105" t="str">
        <f t="shared" ca="1" si="32"/>
        <v>"2084016563" : "Opa",</v>
      </c>
    </row>
    <row r="2106" spans="1:6" ht="15.75" customHeight="1">
      <c r="A2106" s="18">
        <v>2084016573</v>
      </c>
      <c r="B2106" s="18" t="s">
        <v>8804</v>
      </c>
      <c r="C2106" s="18" t="s">
        <v>17663</v>
      </c>
      <c r="D2106" s="5" t="str">
        <f ca="1">IFERROR(__xludf.DUMMYFUNCTION("GOOGLETRANSLATE(B2106,""ja"",""vi"")"),"Camry")</f>
        <v>Camry</v>
      </c>
      <c r="E2106" s="5" t="str">
        <f ca="1">IFERROR(__xludf.DUMMYFUNCTION("GOOGLETRANSLATE(C2106,""ja"",""vi"")"),"Đấu giá&gt; ô tô, xe máy&gt; Catalogue, danh sách phần, cuốn sách dịch vụ&gt; Toyota&gt; Camry")</f>
        <v>Đấu giá&gt; ô tô, xe máy&gt; Catalogue, danh sách phần, cuốn sách dịch vụ&gt; Toyota&gt; Camry</v>
      </c>
      <c r="F2106" t="str">
        <f t="shared" ca="1" si="32"/>
        <v>"2084016573" : "Camry",</v>
      </c>
    </row>
    <row r="2107" spans="1:6" ht="15.75" customHeight="1">
      <c r="A2107" s="18">
        <v>2084016574</v>
      </c>
      <c r="B2107" s="18" t="s">
        <v>8811</v>
      </c>
      <c r="C2107" s="18" t="s">
        <v>17665</v>
      </c>
      <c r="D2107" s="5" t="str">
        <f ca="1">IFERROR(__xludf.DUMMYFUNCTION("GOOGLETRANSLATE(B2107,""ja"",""vi"")"),"Camry Gracia")</f>
        <v>Camry Gracia</v>
      </c>
      <c r="E2107" s="5" t="str">
        <f ca="1">IFERROR(__xludf.DUMMYFUNCTION("GOOGLETRANSLATE(C2107,""ja"",""vi"")"),"Đấu giá&gt; ô tô, xe máy&gt; Catalogue, danh sách phần, cuốn sách dịch vụ&gt; Toyota&gt; Camry Gracia")</f>
        <v>Đấu giá&gt; ô tô, xe máy&gt; Catalogue, danh sách phần, cuốn sách dịch vụ&gt; Toyota&gt; Camry Gracia</v>
      </c>
      <c r="F2107" t="str">
        <f t="shared" ca="1" si="32"/>
        <v>"2084016574" : "Camry Gracia",</v>
      </c>
    </row>
    <row r="2108" spans="1:6" ht="15.75" customHeight="1">
      <c r="A2108" s="18">
        <v>2084016575</v>
      </c>
      <c r="B2108" s="18" t="s">
        <v>8817</v>
      </c>
      <c r="C2108" s="18" t="s">
        <v>17666</v>
      </c>
      <c r="D2108" s="5" t="str">
        <f ca="1">IFERROR(__xludf.DUMMYFUNCTION("GOOGLETRANSLATE(B2108,""ja"",""vi"")"),"Carina")</f>
        <v>Carina</v>
      </c>
      <c r="E2108" s="5" t="str">
        <f ca="1">IFERROR(__xludf.DUMMYFUNCTION("GOOGLETRANSLATE(C2108,""ja"",""vi"")"),"Đấu giá&gt; ô tô, xe máy&gt; Catalogue, danh sách phần, cuốn sách dịch vụ&gt; Toyota&gt; Carina")</f>
        <v>Đấu giá&gt; ô tô, xe máy&gt; Catalogue, danh sách phần, cuốn sách dịch vụ&gt; Toyota&gt; Carina</v>
      </c>
      <c r="F2108" t="str">
        <f t="shared" ca="1" si="32"/>
        <v>"2084016575" : "Carina",</v>
      </c>
    </row>
    <row r="2109" spans="1:6" ht="15.75" customHeight="1">
      <c r="A2109" s="18">
        <v>2084016576</v>
      </c>
      <c r="B2109" s="18" t="s">
        <v>8822</v>
      </c>
      <c r="C2109" s="18" t="s">
        <v>17668</v>
      </c>
      <c r="D2109" s="5" t="str">
        <f ca="1">IFERROR(__xludf.DUMMYFUNCTION("GOOGLETRANSLATE(B2109,""ja"",""vi"")"),"Carina ED")</f>
        <v>Carina ED</v>
      </c>
      <c r="E2109" s="5" t="str">
        <f ca="1">IFERROR(__xludf.DUMMYFUNCTION("GOOGLETRANSLATE(C2109,""ja"",""vi"")"),"Đấu giá&gt; ô tô, xe máy&gt; Catalogue, danh sách phần, cuốn sách dịch vụ&gt; Toyota&gt; Carina ED")</f>
        <v>Đấu giá&gt; ô tô, xe máy&gt; Catalogue, danh sách phần, cuốn sách dịch vụ&gt; Toyota&gt; Carina ED</v>
      </c>
      <c r="F2109" t="str">
        <f t="shared" ca="1" si="32"/>
        <v>"2084016576" : "Carina ED",</v>
      </c>
    </row>
    <row r="2110" spans="1:6" ht="15.75" customHeight="1">
      <c r="A2110" s="18">
        <v>2084016577</v>
      </c>
      <c r="B2110" s="18" t="s">
        <v>8828</v>
      </c>
      <c r="C2110" s="18" t="s">
        <v>17670</v>
      </c>
      <c r="D2110" s="5" t="str">
        <f ca="1">IFERROR(__xludf.DUMMYFUNCTION("GOOGLETRANSLATE(B2110,""ja"",""vi"")"),"chủ yếu")</f>
        <v>chủ yếu</v>
      </c>
      <c r="E2110" s="5" t="str">
        <f ca="1">IFERROR(__xludf.DUMMYFUNCTION("GOOGLETRANSLATE(C2110,""ja"",""vi"")"),"Đấu giá&gt; ô tô, xe máy&gt; Catalogue, danh sách phần, cuốn sách dịch vụ&gt; Toyota&gt; Đức Hồng Y")</f>
        <v>Đấu giá&gt; ô tô, xe máy&gt; Catalogue, danh sách phần, cuốn sách dịch vụ&gt; Toyota&gt; Đức Hồng Y</v>
      </c>
      <c r="F2110" t="str">
        <f t="shared" ca="1" si="32"/>
        <v>"2084016577" : "chủ yếu",</v>
      </c>
    </row>
    <row r="2111" spans="1:6" ht="15.75" customHeight="1">
      <c r="A2111" s="18">
        <v>2084016578</v>
      </c>
      <c r="B2111" s="18" t="s">
        <v>8833</v>
      </c>
      <c r="C2111" s="18" t="s">
        <v>17672</v>
      </c>
      <c r="D2111" s="5" t="str">
        <f ca="1">IFERROR(__xludf.DUMMYFUNCTION("GOOGLETRANSLATE(B2111,""ja"",""vi"")"),"Karen")</f>
        <v>Karen</v>
      </c>
      <c r="E2111" s="5" t="str">
        <f ca="1">IFERROR(__xludf.DUMMYFUNCTION("GOOGLETRANSLATE(C2111,""ja"",""vi"")"),"Đấu giá&gt; ô tô, xe máy&gt; Catalogue, danh sách phần, cuốn sách dịch vụ&gt; Toyota&gt; Karen")</f>
        <v>Đấu giá&gt; ô tô, xe máy&gt; Catalogue, danh sách phần, cuốn sách dịch vụ&gt; Toyota&gt; Karen</v>
      </c>
      <c r="F2111" t="str">
        <f t="shared" ca="1" si="32"/>
        <v>"2084016578" : "Karen",</v>
      </c>
    </row>
    <row r="2112" spans="1:6" ht="15.75" customHeight="1">
      <c r="A2112" s="18">
        <v>2084016579</v>
      </c>
      <c r="B2112" s="18" t="s">
        <v>8838</v>
      </c>
      <c r="C2112" s="18" t="s">
        <v>17674</v>
      </c>
      <c r="D2112" s="5" t="str">
        <f ca="1">IFERROR(__xludf.DUMMYFUNCTION("GOOGLETRANSLATE(B2112,""ja"",""vi"")"),"vành hoa")</f>
        <v>vành hoa</v>
      </c>
      <c r="E2112" s="5" t="str">
        <f ca="1">IFERROR(__xludf.DUMMYFUNCTION("GOOGLETRANSLATE(C2112,""ja"",""vi"")"),"Đấu giá&gt; ô tô, xe máy&gt; Catalogue, danh sách phần, cuốn sách dịch vụ&gt; Toyota&gt; Corolla")</f>
        <v>Đấu giá&gt; ô tô, xe máy&gt; Catalogue, danh sách phần, cuốn sách dịch vụ&gt; Toyota&gt; Corolla</v>
      </c>
      <c r="F2112" t="str">
        <f t="shared" ca="1" si="32"/>
        <v>"2084016579" : "vành hoa",</v>
      </c>
    </row>
    <row r="2113" spans="1:6" ht="15.75" customHeight="1">
      <c r="A2113" s="18">
        <v>2084016580</v>
      </c>
      <c r="B2113" s="18" t="s">
        <v>8844</v>
      </c>
      <c r="C2113" s="18" t="s">
        <v>17676</v>
      </c>
      <c r="D2113" s="5" t="str">
        <f ca="1">IFERROR(__xludf.DUMMYFUNCTION("GOOGLETRANSLATE(B2113,""ja"",""vi"")"),"Corolla FX")</f>
        <v>Corolla FX</v>
      </c>
      <c r="E2113" s="5" t="str">
        <f ca="1">IFERROR(__xludf.DUMMYFUNCTION("GOOGLETRANSLATE(C2113,""ja"",""vi"")"),"Đấu giá&gt; ô tô, xe máy&gt; Catalogue, danh sách phần, cuốn sách dịch vụ&gt; Toyota&gt; Corolla FX")</f>
        <v>Đấu giá&gt; ô tô, xe máy&gt; Catalogue, danh sách phần, cuốn sách dịch vụ&gt; Toyota&gt; Corolla FX</v>
      </c>
      <c r="F2113" t="str">
        <f t="shared" ca="1" si="32"/>
        <v>"2084016580" : "Corolla FX",</v>
      </c>
    </row>
    <row r="2114" spans="1:6" ht="15.75" customHeight="1">
      <c r="A2114" s="18">
        <v>2084016581</v>
      </c>
      <c r="B2114" s="18" t="s">
        <v>8850</v>
      </c>
      <c r="C2114" s="18" t="s">
        <v>17678</v>
      </c>
      <c r="D2114" s="5" t="str">
        <f ca="1">IFERROR(__xludf.DUMMYFUNCTION("GOOGLETRANSLATE(B2114,""ja"",""vi"")"),"Corolla II")</f>
        <v>Corolla II</v>
      </c>
      <c r="E2114" s="5" t="str">
        <f ca="1">IFERROR(__xludf.DUMMYFUNCTION("GOOGLETRANSLATE(C2114,""ja"",""vi"")"),"Đấu giá&gt; ô tô, xe máy&gt; Catalogue, danh sách phần, cuốn sách dịch vụ&gt; Toyota&gt; Corolla II")</f>
        <v>Đấu giá&gt; ô tô, xe máy&gt; Catalogue, danh sách phần, cuốn sách dịch vụ&gt; Toyota&gt; Corolla II</v>
      </c>
      <c r="F2114" t="str">
        <f t="shared" ref="F2114:F2177" ca="1" si="33">CONCATENATE(CHAR(34)&amp;"",A2114,""&amp;CHAR(34)," : ", CHAR(34)&amp;"",D2114,""&amp;CHAR(34),",")</f>
        <v>"2084016581" : "Corolla II",</v>
      </c>
    </row>
    <row r="2115" spans="1:6" ht="15.75" customHeight="1">
      <c r="A2115" s="18">
        <v>2084016582</v>
      </c>
      <c r="B2115" s="18" t="s">
        <v>8863</v>
      </c>
      <c r="C2115" s="18" t="s">
        <v>17679</v>
      </c>
      <c r="D2115" s="5" t="str">
        <f ca="1">IFERROR(__xludf.DUMMYFUNCTION("GOOGLETRANSLATE(B2115,""ja"",""vi"")"),"Corolla Spacio")</f>
        <v>Corolla Spacio</v>
      </c>
      <c r="E2115" s="5" t="str">
        <f ca="1">IFERROR(__xludf.DUMMYFUNCTION("GOOGLETRANSLATE(C2115,""ja"",""vi"")"),"Đấu giá&gt; ô tô, xe máy&gt; Catalogue, danh sách phần, cuốn sách dịch vụ&gt; Toyota&gt; Corolla Spacio")</f>
        <v>Đấu giá&gt; ô tô, xe máy&gt; Catalogue, danh sách phần, cuốn sách dịch vụ&gt; Toyota&gt; Corolla Spacio</v>
      </c>
      <c r="F2115" t="str">
        <f t="shared" ca="1" si="33"/>
        <v>"2084016582" : "Corolla Spacio",</v>
      </c>
    </row>
    <row r="2116" spans="1:6" ht="15.75" customHeight="1">
      <c r="A2116" s="18">
        <v>2084016583</v>
      </c>
      <c r="B2116" s="18" t="s">
        <v>8868</v>
      </c>
      <c r="C2116" s="18" t="s">
        <v>17681</v>
      </c>
      <c r="D2116" s="5" t="str">
        <f ca="1">IFERROR(__xludf.DUMMYFUNCTION("GOOGLETRANSLATE(B2116,""ja"",""vi"")"),"Corolla Ceres")</f>
        <v>Corolla Ceres</v>
      </c>
      <c r="E2116" s="5" t="str">
        <f ca="1">IFERROR(__xludf.DUMMYFUNCTION("GOOGLETRANSLATE(C2116,""ja"",""vi"")"),"Đấu giá&gt; ô tô, xe máy&gt; Catalogue, danh sách phần, cuốn sách dịch vụ&gt; Toyota&gt; Corolla Ceres")</f>
        <v>Đấu giá&gt; ô tô, xe máy&gt; Catalogue, danh sách phần, cuốn sách dịch vụ&gt; Toyota&gt; Corolla Ceres</v>
      </c>
      <c r="F2116" t="str">
        <f t="shared" ca="1" si="33"/>
        <v>"2084016583" : "Corolla Ceres",</v>
      </c>
    </row>
    <row r="2117" spans="1:6" ht="15.75" customHeight="1">
      <c r="A2117" s="18">
        <v>2084016586</v>
      </c>
      <c r="B2117" s="18" t="s">
        <v>8875</v>
      </c>
      <c r="C2117" s="18" t="s">
        <v>17683</v>
      </c>
      <c r="D2117" s="5" t="str">
        <f ca="1">IFERROR(__xludf.DUMMYFUNCTION("GOOGLETRANSLATE(B2117,""ja"",""vi"")"),"Corolla Touring Wagon")</f>
        <v>Corolla Touring Wagon</v>
      </c>
      <c r="E2117" s="5" t="str">
        <f ca="1">IFERROR(__xludf.DUMMYFUNCTION("GOOGLETRANSLATE(C2117,""ja"",""vi"")"),"Đấu giá&gt; ô tô, xe máy&gt; Catalogue, danh sách phần, cuốn sách dịch vụ&gt; Toyota&gt; Corolla Touring Wagon")</f>
        <v>Đấu giá&gt; ô tô, xe máy&gt; Catalogue, danh sách phần, cuốn sách dịch vụ&gt; Toyota&gt; Corolla Touring Wagon</v>
      </c>
      <c r="F2117" t="str">
        <f t="shared" ca="1" si="33"/>
        <v>"2084016586" : "Corolla Touring Wagon",</v>
      </c>
    </row>
    <row r="2118" spans="1:6" ht="15.75" customHeight="1">
      <c r="A2118" s="18">
        <v>2084016584</v>
      </c>
      <c r="B2118" s="18" t="s">
        <v>8891</v>
      </c>
      <c r="C2118" s="18" t="s">
        <v>17686</v>
      </c>
      <c r="D2118" s="5" t="str">
        <f ca="1">IFERROR(__xludf.DUMMYFUNCTION("GOOGLETRANSLATE(B2118,""ja"",""vi"")"),"Corolla Fielder")</f>
        <v>Corolla Fielder</v>
      </c>
      <c r="E2118" s="5" t="str">
        <f ca="1">IFERROR(__xludf.DUMMYFUNCTION("GOOGLETRANSLATE(C2118,""ja"",""vi"")"),"Đấu giá&gt; ô tô, xe máy&gt; Catalogue, danh sách phần, cuốn sách dịch vụ&gt; Toyota&gt; Corolla Fielder")</f>
        <v>Đấu giá&gt; ô tô, xe máy&gt; Catalogue, danh sách phần, cuốn sách dịch vụ&gt; Toyota&gt; Corolla Fielder</v>
      </c>
      <c r="F2118" t="str">
        <f t="shared" ca="1" si="33"/>
        <v>"2084016584" : "Corolla Fielder",</v>
      </c>
    </row>
    <row r="2119" spans="1:6" ht="15.75" customHeight="1">
      <c r="A2119" s="18">
        <v>2084016585</v>
      </c>
      <c r="B2119" s="18" t="s">
        <v>8911</v>
      </c>
      <c r="C2119" s="18" t="s">
        <v>17688</v>
      </c>
      <c r="D2119" s="5" t="str">
        <f ca="1">IFERROR(__xludf.DUMMYFUNCTION("GOOGLETRANSLATE(B2119,""ja"",""vi"")"),"Corolla Levin")</f>
        <v>Corolla Levin</v>
      </c>
      <c r="E2119" s="5" t="str">
        <f ca="1">IFERROR(__xludf.DUMMYFUNCTION("GOOGLETRANSLATE(C2119,""ja"",""vi"")"),"Đấu giá&gt; ô tô, xe máy&gt; Catalogue, danh sách phần, cuốn sách dịch vụ&gt; Toyota&gt; Corolla Levin")</f>
        <v>Đấu giá&gt; ô tô, xe máy&gt; Catalogue, danh sách phần, cuốn sách dịch vụ&gt; Toyota&gt; Corolla Levin</v>
      </c>
      <c r="F2119" t="str">
        <f t="shared" ca="1" si="33"/>
        <v>"2084016585" : "Corolla Levin",</v>
      </c>
    </row>
    <row r="2120" spans="1:6" ht="15.75" customHeight="1">
      <c r="A2120" s="18">
        <v>2084016572</v>
      </c>
      <c r="B2120" s="18" t="s">
        <v>8919</v>
      </c>
      <c r="C2120" s="18" t="s">
        <v>17690</v>
      </c>
      <c r="D2120" s="5" t="str">
        <f ca="1">IFERROR(__xludf.DUMMYFUNCTION("GOOGLETRANSLATE(B2120,""ja"",""vi"")"),"Gaia")</f>
        <v>Gaia</v>
      </c>
      <c r="E2120" s="5" t="str">
        <f ca="1">IFERROR(__xludf.DUMMYFUNCTION("GOOGLETRANSLATE(C2120,""ja"",""vi"")"),"Đấu giá&gt; ô tô, xe máy&gt; Catalogue, danh sách phần, cuốn sách dịch vụ&gt; Toyota&gt; Gaia")</f>
        <v>Đấu giá&gt; ô tô, xe máy&gt; Catalogue, danh sách phần, cuốn sách dịch vụ&gt; Toyota&gt; Gaia</v>
      </c>
      <c r="F2120" t="str">
        <f t="shared" ca="1" si="33"/>
        <v>"2084016572" : "Gaia",</v>
      </c>
    </row>
    <row r="2121" spans="1:6" ht="15.75" customHeight="1">
      <c r="A2121" s="18">
        <v>2084016587</v>
      </c>
      <c r="B2121" s="18" t="s">
        <v>8924</v>
      </c>
      <c r="C2121" s="18" t="s">
        <v>17693</v>
      </c>
      <c r="D2121" s="5" t="str">
        <f ca="1">IFERROR(__xludf.DUMMYFUNCTION("GOOGLETRANSLATE(B2121,""ja"",""vi"")"),"ung dung")</f>
        <v>ung dung</v>
      </c>
      <c r="E2121" s="5" t="str">
        <f ca="1">IFERROR(__xludf.DUMMYFUNCTION("GOOGLETRANSLATE(C2121,""ja"",""vi"")"),"Đấu giá&gt; ô tô, xe máy&gt; Catalogue, danh sách phần, cuốn sách dịch vụ&gt; Toyota&gt; Cavalier")</f>
        <v>Đấu giá&gt; ô tô, xe máy&gt; Catalogue, danh sách phần, cuốn sách dịch vụ&gt; Toyota&gt; Cavalier</v>
      </c>
      <c r="F2121" t="str">
        <f t="shared" ca="1" si="33"/>
        <v>"2084016587" : "ung dung",</v>
      </c>
    </row>
    <row r="2122" spans="1:6" ht="15.75" customHeight="1">
      <c r="A2122" s="18">
        <v>2084016588</v>
      </c>
      <c r="B2122" s="18" t="s">
        <v>8932</v>
      </c>
      <c r="C2122" s="18" t="s">
        <v>17695</v>
      </c>
      <c r="D2122" s="5" t="str">
        <f ca="1">IFERROR(__xludf.DUMMYFUNCTION("GOOGLETRANSLATE(B2122,""ja"",""vi"")"),"Cami")</f>
        <v>Cami</v>
      </c>
      <c r="E2122" s="5" t="str">
        <f ca="1">IFERROR(__xludf.DUMMYFUNCTION("GOOGLETRANSLATE(C2122,""ja"",""vi"")"),"Đấu giá&gt; ô tô, xe máy&gt; Catalogue, danh sách phần, cuốn sách dịch vụ&gt; Toyota&gt; Cami")</f>
        <v>Đấu giá&gt; ô tô, xe máy&gt; Catalogue, danh sách phần, cuốn sách dịch vụ&gt; Toyota&gt; Cami</v>
      </c>
      <c r="F2122" t="str">
        <f t="shared" ca="1" si="33"/>
        <v>"2084016588" : "Cami",</v>
      </c>
    </row>
    <row r="2123" spans="1:6" ht="15.75" customHeight="1">
      <c r="A2123" s="18">
        <v>2084016589</v>
      </c>
      <c r="B2123" s="18" t="s">
        <v>8945</v>
      </c>
      <c r="C2123" s="18" t="s">
        <v>17697</v>
      </c>
      <c r="D2123" s="5" t="str">
        <f ca="1">IFERROR(__xludf.DUMMYFUNCTION("GOOGLETRANSLATE(B2123,""ja"",""vi"")"),"tôn lên")</f>
        <v>tôn lên</v>
      </c>
      <c r="E2123" s="5" t="str">
        <f ca="1">IFERROR(__xludf.DUMMYFUNCTION("GOOGLETRANSLATE(C2123,""ja"",""vi"")"),"Đấu giá&gt; ô tô, xe máy&gt; Catalogue, danh sách phần, cuốn sách dịch vụ&gt; Toyota&gt; Crown")</f>
        <v>Đấu giá&gt; ô tô, xe máy&gt; Catalogue, danh sách phần, cuốn sách dịch vụ&gt; Toyota&gt; Crown</v>
      </c>
      <c r="F2123" t="str">
        <f t="shared" ca="1" si="33"/>
        <v>"2084016589" : "tôn lên",</v>
      </c>
    </row>
    <row r="2124" spans="1:6" ht="15.75" customHeight="1">
      <c r="A2124" s="18">
        <v>2084016592</v>
      </c>
      <c r="B2124" s="18" t="s">
        <v>9001</v>
      </c>
      <c r="C2124" s="18" t="s">
        <v>17699</v>
      </c>
      <c r="D2124" s="5" t="str">
        <f ca="1">IFERROR(__xludf.DUMMYFUNCTION("GOOGLETRANSLATE(B2124,""ja"",""vi"")"),"Cresta")</f>
        <v>Cresta</v>
      </c>
      <c r="E2124" s="5" t="str">
        <f ca="1">IFERROR(__xludf.DUMMYFUNCTION("GOOGLETRANSLATE(C2124,""ja"",""vi"")"),"Đấu giá&gt; ô tô, xe máy&gt; Catalogue, danh sách phần, cuốn sách dịch vụ&gt; Toyota&gt; Cresta")</f>
        <v>Đấu giá&gt; ô tô, xe máy&gt; Catalogue, danh sách phần, cuốn sách dịch vụ&gt; Toyota&gt; Cresta</v>
      </c>
      <c r="F2124" t="str">
        <f t="shared" ca="1" si="33"/>
        <v>"2084016592" : "Cresta",</v>
      </c>
    </row>
    <row r="2125" spans="1:6" ht="15.75" customHeight="1">
      <c r="A2125" s="18">
        <v>2084016590</v>
      </c>
      <c r="B2125" s="18" t="s">
        <v>9005</v>
      </c>
      <c r="C2125" s="18" t="s">
        <v>17701</v>
      </c>
      <c r="D2125" s="5" t="str">
        <f ca="1">IFERROR(__xludf.DUMMYFUNCTION("GOOGLETRANSLATE(B2125,""ja"",""vi"")"),"Đại Hiace")</f>
        <v>Đại Hiace</v>
      </c>
      <c r="E2125" s="5" t="str">
        <f ca="1">IFERROR(__xludf.DUMMYFUNCTION("GOOGLETRANSLATE(C2125,""ja"",""vi"")"),"Đấu giá&gt; ô tô, xe máy&gt; Catalogue, danh sách phần, cuốn sách dịch vụ&gt; Toyota&gt; Grand Hiace")</f>
        <v>Đấu giá&gt; ô tô, xe máy&gt; Catalogue, danh sách phần, cuốn sách dịch vụ&gt; Toyota&gt; Grand Hiace</v>
      </c>
      <c r="F2125" t="str">
        <f t="shared" ca="1" si="33"/>
        <v>"2084016590" : "Đại Hiace",</v>
      </c>
    </row>
    <row r="2126" spans="1:6" ht="15.75" customHeight="1">
      <c r="A2126" s="18">
        <v>2084016591</v>
      </c>
      <c r="B2126" s="18" t="s">
        <v>9009</v>
      </c>
      <c r="C2126" s="18" t="s">
        <v>17703</v>
      </c>
      <c r="D2126" s="5" t="str">
        <f ca="1">IFERROR(__xludf.DUMMYFUNCTION("GOOGLETRANSLATE(B2126,""ja"",""vi"")"),"Gran Via")</f>
        <v>Gran Via</v>
      </c>
      <c r="E2126" s="5" t="str">
        <f ca="1">IFERROR(__xludf.DUMMYFUNCTION("GOOGLETRANSLATE(C2126,""ja"",""vi"")"),"Đấu giá&gt; ô tô, xe máy&gt; Catalogue, danh sách phần, cuốn sách dịch vụ&gt; Toyota&gt; Gran Via")</f>
        <v>Đấu giá&gt; ô tô, xe máy&gt; Catalogue, danh sách phần, cuốn sách dịch vụ&gt; Toyota&gt; Gran Via</v>
      </c>
      <c r="F2126" t="str">
        <f t="shared" ca="1" si="33"/>
        <v>"2084016591" : "Gran Via",</v>
      </c>
    </row>
    <row r="2127" spans="1:6" ht="15.75" customHeight="1">
      <c r="A2127" s="18">
        <v>2084016593</v>
      </c>
      <c r="B2127" s="18" t="s">
        <v>9019</v>
      </c>
      <c r="C2127" s="18" t="s">
        <v>17705</v>
      </c>
      <c r="D2127" s="5" t="str">
        <f ca="1">IFERROR(__xludf.DUMMYFUNCTION("GOOGLETRANSLATE(B2127,""ja"",""vi"")"),"Corsa")</f>
        <v>Corsa</v>
      </c>
      <c r="E2127" s="5" t="str">
        <f ca="1">IFERROR(__xludf.DUMMYFUNCTION("GOOGLETRANSLATE(C2127,""ja"",""vi"")"),"Đấu giá&gt; ô tô, xe máy&gt; Catalogue, danh sách phần, cuốn sách dịch vụ&gt; Toyota&gt; Corsa")</f>
        <v>Đấu giá&gt; ô tô, xe máy&gt; Catalogue, danh sách phần, cuốn sách dịch vụ&gt; Toyota&gt; Corsa</v>
      </c>
      <c r="F2127" t="str">
        <f t="shared" ca="1" si="33"/>
        <v>"2084016593" : "Corsa",</v>
      </c>
    </row>
    <row r="2128" spans="1:6" ht="15.75" customHeight="1">
      <c r="A2128" s="18">
        <v>2084016594</v>
      </c>
      <c r="B2128" s="18" t="s">
        <v>9024</v>
      </c>
      <c r="C2128" s="18" t="s">
        <v>17706</v>
      </c>
      <c r="D2128" s="5" t="str">
        <f ca="1">IFERROR(__xludf.DUMMYFUNCTION("GOOGLETRANSLATE(B2128,""ja"",""vi"")"),"nhật hoa")</f>
        <v>nhật hoa</v>
      </c>
      <c r="E2128" s="5" t="str">
        <f ca="1">IFERROR(__xludf.DUMMYFUNCTION("GOOGLETRANSLATE(C2128,""ja"",""vi"")"),"Đấu giá&gt; ô tô, xe máy&gt; Catalogue, danh sách phần, cuốn sách dịch vụ&gt; Toyota&gt; Corona")</f>
        <v>Đấu giá&gt; ô tô, xe máy&gt; Catalogue, danh sách phần, cuốn sách dịch vụ&gt; Toyota&gt; Corona</v>
      </c>
      <c r="F2128" t="str">
        <f t="shared" ca="1" si="33"/>
        <v>"2084016594" : "nhật hoa",</v>
      </c>
    </row>
    <row r="2129" spans="1:6" ht="15.75" customHeight="1">
      <c r="A2129" s="18">
        <v>2084016595</v>
      </c>
      <c r="B2129" s="18" t="s">
        <v>17708</v>
      </c>
      <c r="C2129" s="18" t="s">
        <v>17710</v>
      </c>
      <c r="D2129" s="5" t="str">
        <f ca="1">IFERROR(__xludf.DUMMYFUNCTION("GOOGLETRANSLATE(B2129,""ja"",""vi"")"),"Corona XIV")</f>
        <v>Corona XIV</v>
      </c>
      <c r="E2129" s="5" t="str">
        <f ca="1">IFERROR(__xludf.DUMMYFUNCTION("GOOGLETRANSLATE(C2129,""ja"",""vi"")"),"Đấu giá&gt; ô tô, xe máy&gt; Catalogue, danh sách phần, cuốn sách dịch vụ&gt; Toyota&gt; Corona XIV")</f>
        <v>Đấu giá&gt; ô tô, xe máy&gt; Catalogue, danh sách phần, cuốn sách dịch vụ&gt; Toyota&gt; Corona XIV</v>
      </c>
      <c r="F2129" t="str">
        <f t="shared" ca="1" si="33"/>
        <v>"2084016595" : "Corona XIV",</v>
      </c>
    </row>
    <row r="2130" spans="1:6" ht="15.75" customHeight="1">
      <c r="A2130" s="18">
        <v>2084016596</v>
      </c>
      <c r="B2130" s="18" t="s">
        <v>9036</v>
      </c>
      <c r="C2130" s="18" t="s">
        <v>17712</v>
      </c>
      <c r="D2130" s="5" t="str">
        <f ca="1">IFERROR(__xludf.DUMMYFUNCTION("GOOGLETRANSLATE(B2130,""ja"",""vi"")"),"Corona Premio")</f>
        <v>Corona Premio</v>
      </c>
      <c r="E2130" s="5" t="str">
        <f ca="1">IFERROR(__xludf.DUMMYFUNCTION("GOOGLETRANSLATE(C2130,""ja"",""vi"")"),"Đấu giá&gt; ô tô, xe máy&gt; Catalogue, danh sách phần, cuốn sách dịch vụ&gt; Toyota&gt; Corona Premio")</f>
        <v>Đấu giá&gt; ô tô, xe máy&gt; Catalogue, danh sách phần, cuốn sách dịch vụ&gt; Toyota&gt; Corona Premio</v>
      </c>
      <c r="F2130" t="str">
        <f t="shared" ca="1" si="33"/>
        <v>"2084016596" : "Corona Premio",</v>
      </c>
    </row>
    <row r="2131" spans="1:6" ht="15.75" customHeight="1">
      <c r="A2131" s="18">
        <v>2084016597</v>
      </c>
      <c r="B2131" s="18" t="s">
        <v>9042</v>
      </c>
      <c r="C2131" s="18" t="s">
        <v>17714</v>
      </c>
      <c r="D2131" s="5" t="str">
        <f ca="1">IFERROR(__xludf.DUMMYFUNCTION("GOOGLETRANSLATE(B2131,""ja"",""vi"")"),"Sainosu")</f>
        <v>Sainosu</v>
      </c>
      <c r="E2131" s="5" t="str">
        <f ca="1">IFERROR(__xludf.DUMMYFUNCTION("GOOGLETRANSLATE(C2131,""ja"",""vi"")"),"Đấu giá&gt; ô tô, xe máy&gt; Catalogue, danh sách phần, cuốn sách dịch vụ&gt; Toyota&gt; Sainosu")</f>
        <v>Đấu giá&gt; ô tô, xe máy&gt; Catalogue, danh sách phần, cuốn sách dịch vụ&gt; Toyota&gt; Sainosu</v>
      </c>
      <c r="F2131" t="str">
        <f t="shared" ca="1" si="33"/>
        <v>"2084016597" : "Sainosu",</v>
      </c>
    </row>
    <row r="2132" spans="1:6" ht="15.75" customHeight="1">
      <c r="A2132" s="18">
        <v>2084016598</v>
      </c>
      <c r="B2132" s="18" t="s">
        <v>9057</v>
      </c>
      <c r="C2132" s="18" t="s">
        <v>17716</v>
      </c>
      <c r="D2132" s="5" t="str">
        <f ca="1">IFERROR(__xludf.DUMMYFUNCTION("GOOGLETRANSLATE(B2132,""ja"",""vi"")"),"ở trên")</f>
        <v>ở trên</v>
      </c>
      <c r="E2132" s="5" t="str">
        <f ca="1">IFERROR(__xludf.DUMMYFUNCTION("GOOGLETRANSLATE(C2132,""ja"",""vi"")"),"Đấu giá&gt; ô tô, xe máy&gt; Catalogue, danh sách phần, cuốn sách dịch vụ&gt; Toyota&gt; Supra")</f>
        <v>Đấu giá&gt; ô tô, xe máy&gt; Catalogue, danh sách phần, cuốn sách dịch vụ&gt; Toyota&gt; Supra</v>
      </c>
      <c r="F2132" t="str">
        <f t="shared" ca="1" si="33"/>
        <v>"2084016598" : "ở trên",</v>
      </c>
    </row>
    <row r="2133" spans="1:6" ht="15.75" customHeight="1">
      <c r="A2133" s="18">
        <v>2084016599</v>
      </c>
      <c r="B2133" s="18" t="s">
        <v>9063</v>
      </c>
      <c r="C2133" s="18" t="s">
        <v>17718</v>
      </c>
      <c r="D2133" s="5" t="str">
        <f ca="1">IFERROR(__xludf.DUMMYFUNCTION("GOOGLETRANSLATE(B2133,""ja"",""vi"")"),"Starlet")</f>
        <v>Starlet</v>
      </c>
      <c r="E2133" s="5" t="str">
        <f ca="1">IFERROR(__xludf.DUMMYFUNCTION("GOOGLETRANSLATE(C2133,""ja"",""vi"")"),"Đấu giá&gt; ô tô, xe máy&gt; Catalogue, danh sách phần, cuốn sách dịch vụ&gt; Toyota&gt; Starlet")</f>
        <v>Đấu giá&gt; ô tô, xe máy&gt; Catalogue, danh sách phần, cuốn sách dịch vụ&gt; Toyota&gt; Starlet</v>
      </c>
      <c r="F2133" t="str">
        <f t="shared" ca="1" si="33"/>
        <v>"2084016599" : "Starlet",</v>
      </c>
    </row>
    <row r="2134" spans="1:6" ht="15.75" customHeight="1">
      <c r="A2134" s="18">
        <v>2084016600</v>
      </c>
      <c r="B2134" s="18" t="s">
        <v>9073</v>
      </c>
      <c r="C2134" s="18" t="s">
        <v>17722</v>
      </c>
      <c r="D2134" s="5" t="str">
        <f ca="1">IFERROR(__xludf.DUMMYFUNCTION("GOOGLETRANSLATE(B2134,""ja"",""vi"")"),"người chạy nước rút")</f>
        <v>người chạy nước rút</v>
      </c>
      <c r="E2134" s="5" t="str">
        <f ca="1">IFERROR(__xludf.DUMMYFUNCTION("GOOGLETRANSLATE(C2134,""ja"",""vi"")"),"Đấu giá&gt; ô tô, xe máy&gt; Catalogue, danh sách phần, cuốn sách dịch vụ&gt; Toyota&gt; Sprinter")</f>
        <v>Đấu giá&gt; ô tô, xe máy&gt; Catalogue, danh sách phần, cuốn sách dịch vụ&gt; Toyota&gt; Sprinter</v>
      </c>
      <c r="F2134" t="str">
        <f t="shared" ca="1" si="33"/>
        <v>"2084016600" : "người chạy nước rút",</v>
      </c>
    </row>
    <row r="2135" spans="1:6" ht="15.75" customHeight="1">
      <c r="A2135" s="18">
        <v>2084016601</v>
      </c>
      <c r="B2135" s="18" t="s">
        <v>9078</v>
      </c>
      <c r="C2135" s="18" t="s">
        <v>17725</v>
      </c>
      <c r="D2135" s="5" t="str">
        <f ca="1">IFERROR(__xludf.DUMMYFUNCTION("GOOGLETRANSLATE(B2135,""ja"",""vi"")"),"Sprinter Caribbean")</f>
        <v>Sprinter Caribbean</v>
      </c>
      <c r="E2135" s="5" t="str">
        <f ca="1">IFERROR(__xludf.DUMMYFUNCTION("GOOGLETRANSLATE(C2135,""ja"",""vi"")"),"Đấu giá&gt; ô tô, xe máy&gt; Catalogue, danh sách phần, cuốn sách dịch vụ&gt; Toyota&gt; Sprinter Caribbean")</f>
        <v>Đấu giá&gt; ô tô, xe máy&gt; Catalogue, danh sách phần, cuốn sách dịch vụ&gt; Toyota&gt; Sprinter Caribbean</v>
      </c>
      <c r="F2135" t="str">
        <f t="shared" ca="1" si="33"/>
        <v>"2084016601" : "Sprinter Caribbean",</v>
      </c>
    </row>
    <row r="2136" spans="1:6" ht="15.75" customHeight="1">
      <c r="A2136" s="18">
        <v>2084016602</v>
      </c>
      <c r="B2136" s="18" t="s">
        <v>9083</v>
      </c>
      <c r="C2136" s="18" t="s">
        <v>17728</v>
      </c>
      <c r="D2136" s="5" t="str">
        <f ca="1">IFERROR(__xludf.DUMMYFUNCTION("GOOGLETRANSLATE(B2136,""ja"",""vi"")"),"Sprinter Trueno")</f>
        <v>Sprinter Trueno</v>
      </c>
      <c r="E2136" s="5" t="str">
        <f ca="1">IFERROR(__xludf.DUMMYFUNCTION("GOOGLETRANSLATE(C2136,""ja"",""vi"")"),"Đấu giá&gt; ô tô, xe máy&gt; Catalogue, danh sách phần, cuốn sách dịch vụ&gt; Toyota&gt; Sprinter Trueno")</f>
        <v>Đấu giá&gt; ô tô, xe máy&gt; Catalogue, danh sách phần, cuốn sách dịch vụ&gt; Toyota&gt; Sprinter Trueno</v>
      </c>
      <c r="F2136" t="str">
        <f t="shared" ca="1" si="33"/>
        <v>"2084016602" : "Sprinter Trueno",</v>
      </c>
    </row>
    <row r="2137" spans="1:6" ht="15.75" customHeight="1">
      <c r="A2137" s="18">
        <v>2084016603</v>
      </c>
      <c r="B2137" s="18" t="s">
        <v>9087</v>
      </c>
      <c r="C2137" s="18" t="s">
        <v>17732</v>
      </c>
      <c r="D2137" s="5" t="str">
        <f ca="1">IFERROR(__xludf.DUMMYFUNCTION("GOOGLETRANSLATE(B2137,""ja"",""vi"")"),"Sprinter Marino")</f>
        <v>Sprinter Marino</v>
      </c>
      <c r="E2137" s="5" t="str">
        <f ca="1">IFERROR(__xludf.DUMMYFUNCTION("GOOGLETRANSLATE(C2137,""ja"",""vi"")"),"Đấu giá&gt; ô tô, xe máy&gt; Catalogue, danh sách phần, cuốn sách dịch vụ&gt; Toyota&gt; Sprinter Marino")</f>
        <v>Đấu giá&gt; ô tô, xe máy&gt; Catalogue, danh sách phần, cuốn sách dịch vụ&gt; Toyota&gt; Sprinter Marino</v>
      </c>
      <c r="F2137" t="str">
        <f t="shared" ca="1" si="33"/>
        <v>"2084016603" : "Sprinter Marino",</v>
      </c>
    </row>
    <row r="2138" spans="1:6" ht="15.75" customHeight="1">
      <c r="A2138" s="18">
        <v>2084016604</v>
      </c>
      <c r="B2138" s="18" t="s">
        <v>9099</v>
      </c>
      <c r="C2138" s="18" t="s">
        <v>17735</v>
      </c>
      <c r="D2138" s="5" t="str">
        <f ca="1">IFERROR(__xludf.DUMMYFUNCTION("GOOGLETRANSLATE(B2138,""ja"",""vi"")"),"chó đánh hơi")</f>
        <v>chó đánh hơi</v>
      </c>
      <c r="E2138" s="5" t="str">
        <f ca="1">IFERROR(__xludf.DUMMYFUNCTION("GOOGLETRANSLATE(C2138,""ja"",""vi"")"),"Đấu giá&gt; ô tô, xe máy&gt; Catalogue, danh sách phần, cuốn sách dịch vụ&gt; Toyota&gt; vương trượng")</f>
        <v>Đấu giá&gt; ô tô, xe máy&gt; Catalogue, danh sách phần, cuốn sách dịch vụ&gt; Toyota&gt; vương trượng</v>
      </c>
      <c r="F2138" t="str">
        <f t="shared" ca="1" si="33"/>
        <v>"2084016604" : "chó đánh hơi",</v>
      </c>
    </row>
    <row r="2139" spans="1:6" ht="15.75" customHeight="1">
      <c r="A2139" s="18">
        <v>2084016605</v>
      </c>
      <c r="B2139" s="18" t="s">
        <v>9104</v>
      </c>
      <c r="C2139" s="18" t="s">
        <v>17737</v>
      </c>
      <c r="D2139" s="5" t="str">
        <f ca="1">IFERROR(__xludf.DUMMYFUNCTION("GOOGLETRANSLATE(B2139,""ja"",""vi"")"),"Sera")</f>
        <v>Sera</v>
      </c>
      <c r="E2139" s="5" t="str">
        <f ca="1">IFERROR(__xludf.DUMMYFUNCTION("GOOGLETRANSLATE(C2139,""ja"",""vi"")"),"Đấu giá&gt; ô tô, xe máy&gt; Catalogue, danh sách phần, cuốn sách dịch vụ&gt; Toyota&gt; Sera")</f>
        <v>Đấu giá&gt; ô tô, xe máy&gt; Catalogue, danh sách phần, cuốn sách dịch vụ&gt; Toyota&gt; Sera</v>
      </c>
      <c r="F2139" t="str">
        <f t="shared" ca="1" si="33"/>
        <v>"2084016605" : "Sera",</v>
      </c>
    </row>
    <row r="2140" spans="1:6" ht="15.75" customHeight="1">
      <c r="A2140" s="18">
        <v>2084016606</v>
      </c>
      <c r="B2140" s="18" t="s">
        <v>9109</v>
      </c>
      <c r="C2140" s="18" t="s">
        <v>17741</v>
      </c>
      <c r="D2140" s="5" t="str">
        <f ca="1">IFERROR(__xludf.DUMMYFUNCTION("GOOGLETRANSLATE(B2140,""ja"",""vi"")"),"Celica")</f>
        <v>Celica</v>
      </c>
      <c r="E2140" s="5" t="str">
        <f ca="1">IFERROR(__xludf.DUMMYFUNCTION("GOOGLETRANSLATE(C2140,""ja"",""vi"")"),"Đấu giá&gt; ô tô, xe máy&gt; Catalogue, danh sách phần, cuốn sách dịch vụ&gt; Toyota&gt; Celica")</f>
        <v>Đấu giá&gt; ô tô, xe máy&gt; Catalogue, danh sách phần, cuốn sách dịch vụ&gt; Toyota&gt; Celica</v>
      </c>
      <c r="F2140" t="str">
        <f t="shared" ca="1" si="33"/>
        <v>"2084016606" : "Celica",</v>
      </c>
    </row>
    <row r="2141" spans="1:6" ht="15.75" customHeight="1">
      <c r="A2141" s="18">
        <v>2084016607</v>
      </c>
      <c r="B2141" s="18" t="s">
        <v>9114</v>
      </c>
      <c r="C2141" s="18" t="s">
        <v>17745</v>
      </c>
      <c r="D2141" s="5" t="str">
        <f ca="1">IFERROR(__xludf.DUMMYFUNCTION("GOOGLETRANSLATE(B2141,""ja"",""vi"")"),"Celsior")</f>
        <v>Celsior</v>
      </c>
      <c r="E2141" s="5" t="str">
        <f ca="1">IFERROR(__xludf.DUMMYFUNCTION("GOOGLETRANSLATE(C2141,""ja"",""vi"")"),"Đấu giá&gt; ô tô, xe máy&gt; Catalogue, danh sách phần, cuốn sách dịch vụ&gt; Toyota&gt; Celsior")</f>
        <v>Đấu giá&gt; ô tô, xe máy&gt; Catalogue, danh sách phần, cuốn sách dịch vụ&gt; Toyota&gt; Celsior</v>
      </c>
      <c r="F2141" t="str">
        <f t="shared" ca="1" si="33"/>
        <v>"2084016607" : "Celsior",</v>
      </c>
    </row>
    <row r="2142" spans="1:6" ht="15.75" customHeight="1">
      <c r="A2142" s="18">
        <v>2084016608</v>
      </c>
      <c r="B2142" s="18" t="s">
        <v>9119</v>
      </c>
      <c r="C2142" s="18" t="s">
        <v>17747</v>
      </c>
      <c r="D2142" s="5" t="str">
        <f ca="1">IFERROR(__xludf.DUMMYFUNCTION("GOOGLETRANSLATE(B2142,""ja"",""vi"")"),"thế kỷ")</f>
        <v>thế kỷ</v>
      </c>
      <c r="E2142" s="5" t="str">
        <f ca="1">IFERROR(__xludf.DUMMYFUNCTION("GOOGLETRANSLATE(C2142,""ja"",""vi"")"),"Đấu giá&gt; ô tô, xe máy&gt; Catalogue, danh sách phần, cuốn sách dịch vụ&gt; Toyota&gt; Century")</f>
        <v>Đấu giá&gt; ô tô, xe máy&gt; Catalogue, danh sách phần, cuốn sách dịch vụ&gt; Toyota&gt; Century</v>
      </c>
      <c r="F2142" t="str">
        <f t="shared" ca="1" si="33"/>
        <v>"2084016608" : "thế kỷ",</v>
      </c>
    </row>
    <row r="2143" spans="1:6" ht="15.75" customHeight="1">
      <c r="A2143" s="18">
        <v>2084016609</v>
      </c>
      <c r="B2143" s="18" t="s">
        <v>9122</v>
      </c>
      <c r="C2143" s="18" t="s">
        <v>17750</v>
      </c>
      <c r="D2143" s="5" t="str">
        <f ca="1">IFERROR(__xludf.DUMMYFUNCTION("GOOGLETRANSLATE(B2143,""ja"",""vi"")"),"Soarer")</f>
        <v>Soarer</v>
      </c>
      <c r="E2143" s="5" t="str">
        <f ca="1">IFERROR(__xludf.DUMMYFUNCTION("GOOGLETRANSLATE(C2143,""ja"",""vi"")"),"Đấu giá&gt; ô tô, xe máy&gt; Catalogue, danh sách phần, cuốn sách dịch vụ&gt; Toyota&gt; Soarer")</f>
        <v>Đấu giá&gt; ô tô, xe máy&gt; Catalogue, danh sách phần, cuốn sách dịch vụ&gt; Toyota&gt; Soarer</v>
      </c>
      <c r="F2143" t="str">
        <f t="shared" ca="1" si="33"/>
        <v>"2084016609" : "Soarer",</v>
      </c>
    </row>
    <row r="2144" spans="1:6" ht="15.75" customHeight="1">
      <c r="A2144" s="18">
        <v>2084016611</v>
      </c>
      <c r="B2144" s="18" t="s">
        <v>9128</v>
      </c>
      <c r="C2144" s="18" t="s">
        <v>17752</v>
      </c>
      <c r="D2144" s="5" t="str">
        <f ca="1">IFERROR(__xludf.DUMMYFUNCTION("GOOGLETRANSLATE(B2144,""ja"",""vi"")"),"chim ưng trống")</f>
        <v>chim ưng trống</v>
      </c>
      <c r="E2144" s="5" t="str">
        <f ca="1">IFERROR(__xludf.DUMMYFUNCTION("GOOGLETRANSLATE(C2144,""ja"",""vi"")"),"Đấu giá&gt; ô tô, xe máy&gt; Catalogue, danh sách phần, cuốn sách dịch vụ&gt; Toyota&gt; Tercel")</f>
        <v>Đấu giá&gt; ô tô, xe máy&gt; Catalogue, danh sách phần, cuốn sách dịch vụ&gt; Toyota&gt; Tercel</v>
      </c>
      <c r="F2144" t="str">
        <f t="shared" ca="1" si="33"/>
        <v>"2084016611" : "chim ưng trống",</v>
      </c>
    </row>
    <row r="2145" spans="1:6" ht="15.75" customHeight="1">
      <c r="A2145" s="18">
        <v>2084016612</v>
      </c>
      <c r="B2145" s="18" t="s">
        <v>9158</v>
      </c>
      <c r="C2145" s="18" t="s">
        <v>17756</v>
      </c>
      <c r="D2145" s="5" t="str">
        <f ca="1">IFERROR(__xludf.DUMMYFUNCTION("GOOGLETRANSLATE(B2145,""ja"",""vi"")"),"khu trục cơ")</f>
        <v>khu trục cơ</v>
      </c>
      <c r="E2145" s="5" t="str">
        <f ca="1">IFERROR(__xludf.DUMMYFUNCTION("GOOGLETRANSLATE(C2145,""ja"",""vi"")"),"Đấu giá&gt; ô tô, xe máy&gt; Catalogue, danh sách phần, cuốn sách dịch vụ&gt; Toyota&gt; Chaser")</f>
        <v>Đấu giá&gt; ô tô, xe máy&gt; Catalogue, danh sách phần, cuốn sách dịch vụ&gt; Toyota&gt; Chaser</v>
      </c>
      <c r="F2145" t="str">
        <f t="shared" ca="1" si="33"/>
        <v>"2084016612" : "khu trục cơ",</v>
      </c>
    </row>
    <row r="2146" spans="1:6" ht="15.75" customHeight="1">
      <c r="A2146" s="18">
        <v>2084016613</v>
      </c>
      <c r="B2146" s="18" t="s">
        <v>9171</v>
      </c>
      <c r="C2146" s="18" t="s">
        <v>17759</v>
      </c>
      <c r="D2146" s="5" t="str">
        <f ca="1">IFERROR(__xludf.DUMMYFUNCTION("GOOGLETRANSLATE(B2146,""ja"",""vi"")"),"Duet")</f>
        <v>Duet</v>
      </c>
      <c r="E2146" s="5" t="str">
        <f ca="1">IFERROR(__xludf.DUMMYFUNCTION("GOOGLETRANSLATE(C2146,""ja"",""vi"")"),"Đấu giá&gt; ô tô, xe máy&gt; Catalogue, danh sách phần, cuốn sách dịch vụ&gt; Toyota&gt; Duet")</f>
        <v>Đấu giá&gt; ô tô, xe máy&gt; Catalogue, danh sách phần, cuốn sách dịch vụ&gt; Toyota&gt; Duet</v>
      </c>
      <c r="F2146" t="str">
        <f t="shared" ca="1" si="33"/>
        <v>"2084016613" : "Duet",</v>
      </c>
    </row>
    <row r="2147" spans="1:6" ht="15.75" customHeight="1">
      <c r="A2147" s="18">
        <v>2084016614</v>
      </c>
      <c r="B2147" s="18" t="s">
        <v>17761</v>
      </c>
      <c r="C2147" s="18" t="s">
        <v>17762</v>
      </c>
      <c r="D2147" s="5" t="str">
        <f ca="1">IFERROR(__xludf.DUMMYFUNCTION("GOOGLETRANSLATE(B2147,""ja"",""vi"")"),"Toyota thể thao 800")</f>
        <v>Toyota thể thao 800</v>
      </c>
      <c r="E2147" s="5" t="str">
        <f ca="1">IFERROR(__xludf.DUMMYFUNCTION("GOOGLETRANSLATE(C2147,""ja"",""vi"")"),"Đấu giá&gt; ô tô, xe máy danh sách&gt; Catalogue, phụ tùng, cuốn sách dịch vụ&gt; Toyota&gt; Toyota thể thao 800")</f>
        <v>Đấu giá&gt; ô tô, xe máy danh sách&gt; Catalogue, phụ tùng, cuốn sách dịch vụ&gt; Toyota&gt; Toyota thể thao 800</v>
      </c>
      <c r="F2147" t="str">
        <f t="shared" ca="1" si="33"/>
        <v>"2084016614" : "Toyota thể thao 800",</v>
      </c>
    </row>
    <row r="2148" spans="1:6" ht="15.75" customHeight="1">
      <c r="A2148" s="18">
        <v>2084016615</v>
      </c>
      <c r="B2148" s="18" t="s">
        <v>9193</v>
      </c>
      <c r="C2148" s="18" t="s">
        <v>17766</v>
      </c>
      <c r="D2148" s="5" t="str">
        <f ca="1">IFERROR(__xludf.DUMMYFUNCTION("GOOGLETRANSLATE(B2148,""ja"",""vi"")"),"Nadia")</f>
        <v>Nadia</v>
      </c>
      <c r="E2148" s="5" t="str">
        <f ca="1">IFERROR(__xludf.DUMMYFUNCTION("GOOGLETRANSLATE(C2148,""ja"",""vi"")"),"Đấu giá&gt; ô tô, xe máy&gt; Catalogue, danh sách phần, cuốn sách dịch vụ&gt; Toyota&gt; Nadia")</f>
        <v>Đấu giá&gt; ô tô, xe máy&gt; Catalogue, danh sách phần, cuốn sách dịch vụ&gt; Toyota&gt; Nadia</v>
      </c>
      <c r="F2148" t="str">
        <f t="shared" ca="1" si="33"/>
        <v>"2084016615" : "Nadia",</v>
      </c>
    </row>
    <row r="2149" spans="1:6" ht="15.75" customHeight="1">
      <c r="A2149" s="18">
        <v>2084016616</v>
      </c>
      <c r="B2149" s="18" t="s">
        <v>9199</v>
      </c>
      <c r="C2149" s="18" t="s">
        <v>17769</v>
      </c>
      <c r="D2149" s="5" t="str">
        <f ca="1">IFERROR(__xludf.DUMMYFUNCTION("GOOGLETRANSLATE(B2149,""ja"",""vi"")"),"Noah")</f>
        <v>Noah</v>
      </c>
      <c r="E2149" s="5" t="str">
        <f ca="1">IFERROR(__xludf.DUMMYFUNCTION("GOOGLETRANSLATE(C2149,""ja"",""vi"")"),"Đấu giá&gt; ô tô, xe máy&gt; Catalogue, danh sách phần, cuốn sách dịch vụ&gt; Toyota&gt; Noah")</f>
        <v>Đấu giá&gt; ô tô, xe máy&gt; Catalogue, danh sách phần, cuốn sách dịch vụ&gt; Toyota&gt; Noah</v>
      </c>
      <c r="F2149" t="str">
        <f t="shared" ca="1" si="33"/>
        <v>"2084016616" : "Noah",</v>
      </c>
    </row>
    <row r="2150" spans="1:6" ht="15.75" customHeight="1">
      <c r="A2150" s="18">
        <v>2084016617</v>
      </c>
      <c r="B2150" s="18" t="s">
        <v>17772</v>
      </c>
      <c r="C2150" s="18" t="s">
        <v>17773</v>
      </c>
      <c r="D2150" s="5" t="str">
        <f ca="1">IFERROR(__xludf.DUMMYFUNCTION("GOOGLETRANSLATE(B2150,""ja"",""vi"")"),"Hiace")</f>
        <v>Hiace</v>
      </c>
      <c r="E2150" s="5" t="str">
        <f ca="1">IFERROR(__xludf.DUMMYFUNCTION("GOOGLETRANSLATE(C2150,""ja"",""vi"")"),"Đấu giá&gt; ô tô, xe máy&gt; Catalogue, danh sách phần, cuốn sách dịch vụ&gt; Toyota&gt; Hiace")</f>
        <v>Đấu giá&gt; ô tô, xe máy&gt; Catalogue, danh sách phần, cuốn sách dịch vụ&gt; Toyota&gt; Hiace</v>
      </c>
      <c r="F2150" t="str">
        <f t="shared" ca="1" si="33"/>
        <v>"2084016617" : "Hiace",</v>
      </c>
    </row>
    <row r="2151" spans="1:6" ht="15.75" customHeight="1">
      <c r="A2151" s="18">
        <v>2084016618</v>
      </c>
      <c r="B2151" s="18" t="s">
        <v>9212</v>
      </c>
      <c r="C2151" s="18" t="s">
        <v>17777</v>
      </c>
      <c r="D2151" s="5" t="str">
        <f ca="1">IFERROR(__xludf.DUMMYFUNCTION("GOOGLETRANSLATE(B2151,""ja"",""vi"")"),"Hiace Regius")</f>
        <v>Hiace Regius</v>
      </c>
      <c r="E2151" s="5" t="str">
        <f ca="1">IFERROR(__xludf.DUMMYFUNCTION("GOOGLETRANSLATE(C2151,""ja"",""vi"")"),"Đấu giá&gt; ô tô, xe máy&gt; Catalogue, danh sách phần, cuốn sách dịch vụ&gt; Toyota&gt; Hiace Regius")</f>
        <v>Đấu giá&gt; ô tô, xe máy&gt; Catalogue, danh sách phần, cuốn sách dịch vụ&gt; Toyota&gt; Hiace Regius</v>
      </c>
      <c r="F2151" t="str">
        <f t="shared" ca="1" si="33"/>
        <v>"2084016618" : "Hiace Regius",</v>
      </c>
    </row>
    <row r="2152" spans="1:6" ht="15.75" customHeight="1">
      <c r="A2152" s="18">
        <v>2084016619</v>
      </c>
      <c r="B2152" s="18" t="s">
        <v>9223</v>
      </c>
      <c r="C2152" s="18" t="s">
        <v>17780</v>
      </c>
      <c r="D2152" s="5" t="str">
        <f ca="1">IFERROR(__xludf.DUMMYFUNCTION("GOOGLETRANSLATE(B2152,""ja"",""vi"")"),"Hilux")</f>
        <v>Hilux</v>
      </c>
      <c r="E2152" s="5" t="str">
        <f ca="1">IFERROR(__xludf.DUMMYFUNCTION("GOOGLETRANSLATE(C2152,""ja"",""vi"")"),"Đấu giá&gt; ô tô, xe máy&gt; Catalogue, danh sách phần, cuốn sách dịch vụ&gt; Toyota&gt; Hilux")</f>
        <v>Đấu giá&gt; ô tô, xe máy&gt; Catalogue, danh sách phần, cuốn sách dịch vụ&gt; Toyota&gt; Hilux</v>
      </c>
      <c r="F2152" t="str">
        <f t="shared" ca="1" si="33"/>
        <v>"2084016619" : "Hilux",</v>
      </c>
    </row>
    <row r="2153" spans="1:6" ht="15.75" customHeight="1">
      <c r="A2153" s="18">
        <v>2084016620</v>
      </c>
      <c r="B2153" s="18" t="s">
        <v>9228</v>
      </c>
      <c r="C2153" s="18" t="s">
        <v>17784</v>
      </c>
      <c r="D2153" s="5" t="str">
        <f ca="1">IFERROR(__xludf.DUMMYFUNCTION("GOOGLETRANSLATE(B2153,""ja"",""vi"")"),"Hilux Surf")</f>
        <v>Hilux Surf</v>
      </c>
      <c r="E2153" s="5" t="str">
        <f ca="1">IFERROR(__xludf.DUMMYFUNCTION("GOOGLETRANSLATE(C2153,""ja"",""vi"")"),"Đấu giá&gt; ô tô, xe máy&gt; Catalogue, danh sách phần, cuốn sách dịch vụ&gt; Toyota&gt; Hilux Surf")</f>
        <v>Đấu giá&gt; ô tô, xe máy&gt; Catalogue, danh sách phần, cuốn sách dịch vụ&gt; Toyota&gt; Hilux Surf</v>
      </c>
      <c r="F2153" t="str">
        <f t="shared" ca="1" si="33"/>
        <v>"2084016620" : "Hilux Surf",</v>
      </c>
    </row>
    <row r="2154" spans="1:6" ht="15.75" customHeight="1">
      <c r="A2154" s="18">
        <v>2084016621</v>
      </c>
      <c r="B2154" s="18" t="s">
        <v>9233</v>
      </c>
      <c r="C2154" s="18" t="s">
        <v>17786</v>
      </c>
      <c r="D2154" s="5" t="str">
        <f ca="1">IFERROR(__xludf.DUMMYFUNCTION("GOOGLETRANSLATE(B2154,""ja"",""vi"")"),"chim ưng")</f>
        <v>chim ưng</v>
      </c>
      <c r="E2154" s="5" t="str">
        <f ca="1">IFERROR(__xludf.DUMMYFUNCTION("GOOGLETRANSLATE(C2154,""ja"",""vi"")"),"Đấu giá&gt; ô tô, xe máy&gt; Catalogue, danh sách phần, cuốn sách dịch vụ&gt; Toyota&gt; Harrier")</f>
        <v>Đấu giá&gt; ô tô, xe máy&gt; Catalogue, danh sách phần, cuốn sách dịch vụ&gt; Toyota&gt; Harrier</v>
      </c>
      <c r="F2154" t="str">
        <f t="shared" ca="1" si="33"/>
        <v>"2084016621" : "chim ưng",</v>
      </c>
    </row>
    <row r="2155" spans="1:6" ht="15.75" customHeight="1">
      <c r="A2155" s="18">
        <v>2084016622</v>
      </c>
      <c r="B2155" s="18" t="s">
        <v>9254</v>
      </c>
      <c r="C2155" s="18" t="s">
        <v>17788</v>
      </c>
      <c r="D2155" s="5" t="str">
        <f ca="1">IFERROR(__xludf.DUMMYFUNCTION("GOOGLETRANSLATE(B2155,""ja"",""vi"")"),"Vista")</f>
        <v>Vista</v>
      </c>
      <c r="E2155" s="5" t="str">
        <f ca="1">IFERROR(__xludf.DUMMYFUNCTION("GOOGLETRANSLATE(C2155,""ja"",""vi"")"),"Đấu giá&gt; ô tô, xe máy&gt; Catalogue, danh sách phần, cuốn sách dịch vụ&gt; Toyota&gt; Vista")</f>
        <v>Đấu giá&gt; ô tô, xe máy&gt; Catalogue, danh sách phần, cuốn sách dịch vụ&gt; Toyota&gt; Vista</v>
      </c>
      <c r="F2155" t="str">
        <f t="shared" ca="1" si="33"/>
        <v>"2084016622" : "Vista",</v>
      </c>
    </row>
    <row r="2156" spans="1:6" ht="15.75" customHeight="1">
      <c r="A2156" s="18">
        <v>2084016623</v>
      </c>
      <c r="B2156" s="18" t="s">
        <v>9260</v>
      </c>
      <c r="C2156" s="18" t="s">
        <v>17791</v>
      </c>
      <c r="D2156" s="5" t="str">
        <f ca="1">IFERROR(__xludf.DUMMYFUNCTION("GOOGLETRANSLATE(B2156,""ja"",""vi"")"),"Vista Arudeo")</f>
        <v>Vista Arudeo</v>
      </c>
      <c r="E2156" s="5" t="str">
        <f ca="1">IFERROR(__xludf.DUMMYFUNCTION("GOOGLETRANSLATE(C2156,""ja"",""vi"")"),"Đấu giá&gt; ô tô, xe máy&gt; Catalogue, danh sách phần, cuốn sách dịch vụ&gt; Toyota&gt; Vista Arudeo")</f>
        <v>Đấu giá&gt; ô tô, xe máy&gt; Catalogue, danh sách phần, cuốn sách dịch vụ&gt; Toyota&gt; Vista Arudeo</v>
      </c>
      <c r="F2156" t="str">
        <f t="shared" ca="1" si="33"/>
        <v>"2084016623" : "Vista Arudeo",</v>
      </c>
    </row>
    <row r="2157" spans="1:6" ht="15.75" customHeight="1">
      <c r="A2157" s="18">
        <v>2084016547</v>
      </c>
      <c r="B2157" s="18" t="s">
        <v>9271</v>
      </c>
      <c r="C2157" s="18" t="s">
        <v>17796</v>
      </c>
      <c r="D2157" s="5" t="str">
        <f ca="1">IFERROR(__xludf.DUMMYFUNCTION("GOOGLETRANSLATE(B2157,""ja"",""vi"")"),"FunCargo")</f>
        <v>FunCargo</v>
      </c>
      <c r="E2157" s="5" t="str">
        <f ca="1">IFERROR(__xludf.DUMMYFUNCTION("GOOGLETRANSLATE(C2157,""ja"",""vi"")"),"Đấu giá&gt; ô tô, xe máy&gt; Catalogue, danh sách phần, cuốn sách dịch vụ&gt; Toyota&gt; FunCargo")</f>
        <v>Đấu giá&gt; ô tô, xe máy&gt; Catalogue, danh sách phần, cuốn sách dịch vụ&gt; Toyota&gt; FunCargo</v>
      </c>
      <c r="F2157" t="str">
        <f t="shared" ca="1" si="33"/>
        <v>"2084016547" : "FunCargo",</v>
      </c>
    </row>
    <row r="2158" spans="1:6" ht="15.75" customHeight="1">
      <c r="A2158" s="18">
        <v>2084016548</v>
      </c>
      <c r="B2158" s="18" t="s">
        <v>9289</v>
      </c>
      <c r="C2158" s="18" t="s">
        <v>17799</v>
      </c>
      <c r="D2158" s="5" t="str">
        <f ca="1">IFERROR(__xludf.DUMMYFUNCTION("GOOGLETRANSLATE(B2158,""ja"",""vi"")"),"Platts")</f>
        <v>Platts</v>
      </c>
      <c r="E2158" s="5" t="str">
        <f ca="1">IFERROR(__xludf.DUMMYFUNCTION("GOOGLETRANSLATE(C2158,""ja"",""vi"")"),"Đấu giá&gt; ô tô, xe máy&gt; Catalogue, danh sách phần, cuốn sách dịch vụ&gt; Toyota&gt; Platz")</f>
        <v>Đấu giá&gt; ô tô, xe máy&gt; Catalogue, danh sách phần, cuốn sách dịch vụ&gt; Toyota&gt; Platz</v>
      </c>
      <c r="F2158" t="str">
        <f t="shared" ca="1" si="33"/>
        <v>"2084016548" : "Platts",</v>
      </c>
    </row>
    <row r="2159" spans="1:6" ht="15.75" customHeight="1">
      <c r="A2159" s="18">
        <v>2084016549</v>
      </c>
      <c r="B2159" s="18" t="s">
        <v>9295</v>
      </c>
      <c r="C2159" s="18" t="s">
        <v>17801</v>
      </c>
      <c r="D2159" s="5" t="str">
        <f ca="1">IFERROR(__xludf.DUMMYFUNCTION("GOOGLETRANSLATE(B2159,""ja"",""vi"")"),"Prius")</f>
        <v>Prius</v>
      </c>
      <c r="E2159" s="5" t="str">
        <f ca="1">IFERROR(__xludf.DUMMYFUNCTION("GOOGLETRANSLATE(C2159,""ja"",""vi"")"),"Đấu giá&gt; ô tô, xe máy&gt; Catalogue, danh sách phần, cuốn sách dịch vụ&gt; Toyota&gt; Prius")</f>
        <v>Đấu giá&gt; ô tô, xe máy&gt; Catalogue, danh sách phần, cuốn sách dịch vụ&gt; Toyota&gt; Prius</v>
      </c>
      <c r="F2159" t="str">
        <f t="shared" ca="1" si="33"/>
        <v>"2084016549" : "Prius",</v>
      </c>
    </row>
    <row r="2160" spans="1:6" ht="15.75" customHeight="1">
      <c r="A2160" s="18">
        <v>2084016550</v>
      </c>
      <c r="B2160" s="18" t="s">
        <v>9311</v>
      </c>
      <c r="C2160" s="18" t="s">
        <v>17803</v>
      </c>
      <c r="D2160" s="5" t="str">
        <f ca="1">IFERROR(__xludf.DUMMYFUNCTION("GOOGLETRANSLATE(B2160,""ja"",""vi"")"),"cấp tiến")</f>
        <v>cấp tiến</v>
      </c>
      <c r="E2160" s="5" t="str">
        <f ca="1">IFERROR(__xludf.DUMMYFUNCTION("GOOGLETRANSLATE(C2160,""ja"",""vi"")"),"Đấu giá&gt; ô tô, xe máy&gt; Catalogue, danh sách phần, cuốn sách dịch vụ&gt; Toyota&gt; Prog")</f>
        <v>Đấu giá&gt; ô tô, xe máy&gt; Catalogue, danh sách phần, cuốn sách dịch vụ&gt; Toyota&gt; Prog</v>
      </c>
      <c r="F2160" t="str">
        <f t="shared" ca="1" si="33"/>
        <v>"2084016550" : "cấp tiến",</v>
      </c>
    </row>
    <row r="2161" spans="1:6" ht="15.75" customHeight="1">
      <c r="A2161" s="18">
        <v>2084016551</v>
      </c>
      <c r="B2161" s="18" t="s">
        <v>9337</v>
      </c>
      <c r="C2161" s="18" t="s">
        <v>17804</v>
      </c>
      <c r="D2161" s="5" t="str">
        <f ca="1">IFERROR(__xludf.DUMMYFUNCTION("GOOGLETRANSLATE(B2161,""ja"",""vi"")"),"Mark II")</f>
        <v>Mark II</v>
      </c>
      <c r="E2161" s="5" t="str">
        <f ca="1">IFERROR(__xludf.DUMMYFUNCTION("GOOGLETRANSLATE(C2161,""ja"",""vi"")"),"Đấu giá&gt; ô tô, xe máy&gt; Catalogue, danh sách phần, cuốn sách dịch vụ&gt; Toyota&gt; Mark II")</f>
        <v>Đấu giá&gt; ô tô, xe máy&gt; Catalogue, danh sách phần, cuốn sách dịch vụ&gt; Toyota&gt; Mark II</v>
      </c>
      <c r="F2161" t="str">
        <f t="shared" ca="1" si="33"/>
        <v>"2084016551" : "Mark II",</v>
      </c>
    </row>
    <row r="2162" spans="1:6" ht="15.75" customHeight="1">
      <c r="A2162" s="18">
        <v>2084016552</v>
      </c>
      <c r="B2162" s="18" t="s">
        <v>9341</v>
      </c>
      <c r="C2162" s="18" t="s">
        <v>17806</v>
      </c>
      <c r="D2162" s="5" t="str">
        <f ca="1">IFERROR(__xludf.DUMMYFUNCTION("GOOGLETRANSLATE(B2162,""ja"",""vi"")"),"Mark II Qualis")</f>
        <v>Mark II Qualis</v>
      </c>
      <c r="E2162" s="5" t="str">
        <f ca="1">IFERROR(__xludf.DUMMYFUNCTION("GOOGLETRANSLATE(C2162,""ja"",""vi"")"),"Đấu giá&gt; ô tô, xe máy&gt; Catalogue, danh sách phần, cuốn sách dịch vụ&gt; Toyota&gt; Mark II Qualis")</f>
        <v>Đấu giá&gt; ô tô, xe máy&gt; Catalogue, danh sách phần, cuốn sách dịch vụ&gt; Toyota&gt; Mark II Qualis</v>
      </c>
      <c r="F2162" t="str">
        <f t="shared" ca="1" si="33"/>
        <v>"2084016552" : "Mark II Qualis",</v>
      </c>
    </row>
    <row r="2163" spans="1:6" ht="15.75" customHeight="1">
      <c r="A2163" s="18">
        <v>2084016553</v>
      </c>
      <c r="B2163" s="18" t="s">
        <v>17808</v>
      </c>
      <c r="C2163" s="18" t="s">
        <v>17809</v>
      </c>
      <c r="D2163" s="5" t="str">
        <f ca="1">IFERROR(__xludf.DUMMYFUNCTION("GOOGLETRANSLATE(B2163,""ja"",""vi"")"),"Mega Cruiser")</f>
        <v>Mega Cruiser</v>
      </c>
      <c r="E2163" s="5" t="str">
        <f ca="1">IFERROR(__xludf.DUMMYFUNCTION("GOOGLETRANSLATE(C2163,""ja"",""vi"")"),"Đấu giá&gt; ô tô, xe máy&gt; Catalogue, danh sách phần, cuốn sách dịch vụ&gt; Toyota&gt; Mega Cruiser")</f>
        <v>Đấu giá&gt; ô tô, xe máy&gt; Catalogue, danh sách phần, cuốn sách dịch vụ&gt; Toyota&gt; Mega Cruiser</v>
      </c>
      <c r="F2163" t="str">
        <f t="shared" ca="1" si="33"/>
        <v>"2084016553" : "Mega Cruiser",</v>
      </c>
    </row>
    <row r="2164" spans="1:6" ht="15.75" customHeight="1">
      <c r="A2164" s="18">
        <v>2084016554</v>
      </c>
      <c r="B2164" s="18" t="s">
        <v>9386</v>
      </c>
      <c r="C2164" s="18" t="s">
        <v>17810</v>
      </c>
      <c r="D2164" s="5" t="str">
        <f ca="1">IFERROR(__xludf.DUMMYFUNCTION("GOOGLETRANSLATE(B2164,""ja"",""vi"")"),"Raum")</f>
        <v>Raum</v>
      </c>
      <c r="E2164" s="5" t="str">
        <f ca="1">IFERROR(__xludf.DUMMYFUNCTION("GOOGLETRANSLATE(C2164,""ja"",""vi"")"),"Đấu giá&gt; ô tô, xe máy&gt; Catalogue, danh sách phần, cuốn sách dịch vụ&gt; Toyota&gt; Raum")</f>
        <v>Đấu giá&gt; ô tô, xe máy&gt; Catalogue, danh sách phần, cuốn sách dịch vụ&gt; Toyota&gt; Raum</v>
      </c>
      <c r="F2164" t="str">
        <f t="shared" ca="1" si="33"/>
        <v>"2084016554" : "Raum",</v>
      </c>
    </row>
    <row r="2165" spans="1:6" ht="15.75" customHeight="1">
      <c r="A2165" s="18">
        <v>2084016555</v>
      </c>
      <c r="B2165" s="18" t="s">
        <v>9402</v>
      </c>
      <c r="C2165" s="18" t="s">
        <v>17811</v>
      </c>
      <c r="D2165" s="5" t="str">
        <f ca="1">IFERROR(__xludf.DUMMYFUNCTION("GOOGLETRANSLATE(B2165,""ja"",""vi"")"),"Land Cruiser")</f>
        <v>Land Cruiser</v>
      </c>
      <c r="E2165" s="5" t="str">
        <f ca="1">IFERROR(__xludf.DUMMYFUNCTION("GOOGLETRANSLATE(C2165,""ja"",""vi"")"),"Đấu giá&gt; ô tô, xe máy&gt; Catalogue, danh sách phần, cuốn sách dịch vụ&gt; Toyota&gt; Land Cruiser")</f>
        <v>Đấu giá&gt; ô tô, xe máy&gt; Catalogue, danh sách phần, cuốn sách dịch vụ&gt; Toyota&gt; Land Cruiser</v>
      </c>
      <c r="F2165" t="str">
        <f t="shared" ca="1" si="33"/>
        <v>"2084016555" : "Land Cruiser",</v>
      </c>
    </row>
    <row r="2166" spans="1:6" ht="15.75" customHeight="1">
      <c r="A2166" s="18">
        <v>2084016556</v>
      </c>
      <c r="B2166" s="18" t="s">
        <v>9413</v>
      </c>
      <c r="C2166" s="18" t="s">
        <v>17812</v>
      </c>
      <c r="D2166" s="5" t="str">
        <f ca="1">IFERROR(__xludf.DUMMYFUNCTION("GOOGLETRANSLATE(B2166,""ja"",""vi"")"),"Land Cruiser Prado")</f>
        <v>Land Cruiser Prado</v>
      </c>
      <c r="E2166" s="5" t="str">
        <f ca="1">IFERROR(__xludf.DUMMYFUNCTION("GOOGLETRANSLATE(C2166,""ja"",""vi"")"),"Đấu giá&gt; ô tô, xe máy&gt; Catalogue, danh sách phần, cuốn sách dịch vụ&gt; Toyota&gt; Land Cruiser Prado")</f>
        <v>Đấu giá&gt; ô tô, xe máy&gt; Catalogue, danh sách phần, cuốn sách dịch vụ&gt; Toyota&gt; Land Cruiser Prado</v>
      </c>
      <c r="F2166" t="str">
        <f t="shared" ca="1" si="33"/>
        <v>"2084016556" : "Land Cruiser Prado",</v>
      </c>
    </row>
    <row r="2167" spans="1:6" ht="15.75" customHeight="1">
      <c r="A2167" s="18">
        <v>2084016557</v>
      </c>
      <c r="B2167" s="18" t="s">
        <v>16647</v>
      </c>
      <c r="C2167" s="18" t="s">
        <v>17814</v>
      </c>
      <c r="D2167" s="5" t="str">
        <f ca="1">IFERROR(__xludf.DUMMYFUNCTION("GOOGLETRANSLATE(B2167,""ja"",""vi"")"),"Lexus")</f>
        <v>Lexus</v>
      </c>
      <c r="E2167" s="5" t="str">
        <f ca="1">IFERROR(__xludf.DUMMYFUNCTION("GOOGLETRANSLATE(C2167,""ja"",""vi"")"),"Đấu giá&gt; ô tô, xe máy&gt; Catalogue, danh sách phần, cuốn sách dịch vụ&gt; Toyota&gt; Lexus")</f>
        <v>Đấu giá&gt; ô tô, xe máy&gt; Catalogue, danh sách phần, cuốn sách dịch vụ&gt; Toyota&gt; Lexus</v>
      </c>
      <c r="F2167" t="str">
        <f t="shared" ca="1" si="33"/>
        <v>"2084016557" : "Lexus",</v>
      </c>
    </row>
    <row r="2168" spans="1:6" ht="15.75" customHeight="1">
      <c r="A2168" s="18">
        <v>2084016569</v>
      </c>
      <c r="B2168" s="18" t="s">
        <v>9441</v>
      </c>
      <c r="C2168" s="18" t="s">
        <v>17816</v>
      </c>
      <c r="D2168" s="5" t="str">
        <f ca="1">IFERROR(__xludf.DUMMYFUNCTION("GOOGLETRANSLATE(B2168,""ja"",""vi"")"),"Vitz")</f>
        <v>Vitz</v>
      </c>
      <c r="E2168" s="5" t="str">
        <f ca="1">IFERROR(__xludf.DUMMYFUNCTION("GOOGLETRANSLATE(C2168,""ja"",""vi"")"),"Đấu giá&gt; ô tô, xe máy&gt; Catalogue, danh sách phần, cuốn sách dịch vụ&gt; Toyota&gt; Vitz")</f>
        <v>Đấu giá&gt; ô tô, xe máy&gt; Catalogue, danh sách phần, cuốn sách dịch vụ&gt; Toyota&gt; Vitz</v>
      </c>
      <c r="F2168" t="str">
        <f t="shared" ca="1" si="33"/>
        <v>"2084016569" : "Vitz",</v>
      </c>
    </row>
    <row r="2169" spans="1:6" ht="15.75" customHeight="1">
      <c r="A2169" s="18">
        <v>2084016610</v>
      </c>
      <c r="B2169" s="18" t="s">
        <v>46</v>
      </c>
      <c r="C2169" s="18" t="s">
        <v>17818</v>
      </c>
      <c r="D2169" s="5" t="str">
        <f ca="1">IFERROR(__xludf.DUMMYFUNCTION("GOOGLETRANSLATE(B2169,""ja"",""vi"")"),"nếu không thì")</f>
        <v>nếu không thì</v>
      </c>
      <c r="E2169" s="5" t="str">
        <f ca="1">IFERROR(__xludf.DUMMYFUNCTION("GOOGLETRANSLATE(C2169,""ja"",""vi"")"),"Đấu giá&gt; ô tô, xe máy&gt; Catalogue, danh sách phần, cuốn sách dịch vụ&gt; Toyota&gt; Khác")</f>
        <v>Đấu giá&gt; ô tô, xe máy&gt; Catalogue, danh sách phần, cuốn sách dịch vụ&gt; Toyota&gt; Khác</v>
      </c>
      <c r="F2169" t="str">
        <f t="shared" ca="1" si="33"/>
        <v>"2084016610" : "nếu không thì",</v>
      </c>
    </row>
    <row r="2170" spans="1:6" ht="15.75" customHeight="1">
      <c r="A2170" s="18">
        <v>2084016752</v>
      </c>
      <c r="B2170" s="18">
        <v>1300</v>
      </c>
      <c r="C2170" s="18" t="s">
        <v>17820</v>
      </c>
      <c r="D2170" s="5" t="str">
        <f ca="1">IFERROR(__xludf.DUMMYFUNCTION("GOOGLETRANSLATE(B2170,""ja"",""vi"")"),"1300")</f>
        <v>1300</v>
      </c>
      <c r="E2170" s="5" t="str">
        <f ca="1">IFERROR(__xludf.DUMMYFUNCTION("GOOGLETRANSLATE(C2170,""ja"",""vi"")"),"Đấu giá&gt; ô tô, xe máy&gt; Catalogue, danh sách phần, cuốn sách dịch vụ&gt; Honda&gt; 1300")</f>
        <v>Đấu giá&gt; ô tô, xe máy&gt; Catalogue, danh sách phần, cuốn sách dịch vụ&gt; Honda&gt; 1300</v>
      </c>
      <c r="F2170" t="str">
        <f t="shared" ca="1" si="33"/>
        <v>"2084016752" : "1300",</v>
      </c>
    </row>
    <row r="2171" spans="1:6" ht="15.75" customHeight="1">
      <c r="A2171" s="18">
        <v>2084016753</v>
      </c>
      <c r="B2171" s="18" t="s">
        <v>10227</v>
      </c>
      <c r="C2171" s="18" t="s">
        <v>17822</v>
      </c>
      <c r="D2171" s="5" t="str">
        <f ca="1">IFERROR(__xludf.DUMMYFUNCTION("GOOGLETRANSLATE(B2171,""ja"",""vi"")"),"CR-V")</f>
        <v>CR-V</v>
      </c>
      <c r="E2171" s="5" t="str">
        <f ca="1">IFERROR(__xludf.DUMMYFUNCTION("GOOGLETRANSLATE(C2171,""ja"",""vi"")"),"Đấu giá&gt; ô tô, xe máy&gt; Catalogue, danh sách phần, cuốn sách dịch vụ&gt; Honda&gt; CR-V")</f>
        <v>Đấu giá&gt; ô tô, xe máy&gt; Catalogue, danh sách phần, cuốn sách dịch vụ&gt; Honda&gt; CR-V</v>
      </c>
      <c r="F2171" t="str">
        <f t="shared" ca="1" si="33"/>
        <v>"2084016753" : "CR-V",</v>
      </c>
    </row>
    <row r="2172" spans="1:6" ht="15.75" customHeight="1">
      <c r="A2172" s="18">
        <v>2084016754</v>
      </c>
      <c r="B2172" s="18" t="s">
        <v>10231</v>
      </c>
      <c r="C2172" s="18" t="s">
        <v>17824</v>
      </c>
      <c r="D2172" s="5" t="str">
        <f ca="1">IFERROR(__xludf.DUMMYFUNCTION("GOOGLETRANSLATE(B2172,""ja"",""vi"")"),"CR-X")</f>
        <v>CR-X</v>
      </c>
      <c r="E2172" s="5" t="str">
        <f ca="1">IFERROR(__xludf.DUMMYFUNCTION("GOOGLETRANSLATE(C2172,""ja"",""vi"")"),"Đấu giá&gt; ô tô, xe máy&gt; Catalogue, danh sách phần, cuốn sách dịch vụ&gt; Honda&gt; CR-X")</f>
        <v>Đấu giá&gt; ô tô, xe máy&gt; Catalogue, danh sách phần, cuốn sách dịch vụ&gt; Honda&gt; CR-X</v>
      </c>
      <c r="F2172" t="str">
        <f t="shared" ca="1" si="33"/>
        <v>"2084016754" : "CR-X",</v>
      </c>
    </row>
    <row r="2173" spans="1:6" ht="15.75" customHeight="1">
      <c r="A2173" s="18">
        <v>2084016755</v>
      </c>
      <c r="B2173" s="18" t="s">
        <v>10245</v>
      </c>
      <c r="C2173" s="18" t="s">
        <v>17827</v>
      </c>
      <c r="D2173" s="5" t="str">
        <f ca="1">IFERROR(__xludf.DUMMYFUNCTION("GOOGLETRANSLATE(B2173,""ja"",""vi"")"),"HR-V")</f>
        <v>HR-V</v>
      </c>
      <c r="E2173" s="5" t="str">
        <f ca="1">IFERROR(__xludf.DUMMYFUNCTION("GOOGLETRANSLATE(C2173,""ja"",""vi"")"),"Đấu giá&gt; ô tô, xe máy&gt; Catalogue, danh sách phần, cuốn sách dịch vụ&gt; Honda&gt; HR-V")</f>
        <v>Đấu giá&gt; ô tô, xe máy&gt; Catalogue, danh sách phần, cuốn sách dịch vụ&gt; Honda&gt; HR-V</v>
      </c>
      <c r="F2173" t="str">
        <f t="shared" ca="1" si="33"/>
        <v>"2084016755" : "HR-V",</v>
      </c>
    </row>
    <row r="2174" spans="1:6" ht="15.75" customHeight="1">
      <c r="A2174" s="18">
        <v>2084016756</v>
      </c>
      <c r="B2174" s="18" t="s">
        <v>10284</v>
      </c>
      <c r="C2174" s="18" t="s">
        <v>17832</v>
      </c>
      <c r="D2174" s="5" t="str">
        <f ca="1">IFERROR(__xludf.DUMMYFUNCTION("GOOGLETRANSLATE(B2174,""ja"",""vi"")"),"N360")</f>
        <v>N360</v>
      </c>
      <c r="E2174" s="5" t="str">
        <f ca="1">IFERROR(__xludf.DUMMYFUNCTION("GOOGLETRANSLATE(C2174,""ja"",""vi"")"),"Đấu giá&gt; ô tô, xe máy&gt; Catalogue, danh sách phần, cuốn sách dịch vụ&gt; Honda&gt; N360")</f>
        <v>Đấu giá&gt; ô tô, xe máy&gt; Catalogue, danh sách phần, cuốn sách dịch vụ&gt; Honda&gt; N360</v>
      </c>
      <c r="F2174" t="str">
        <f t="shared" ca="1" si="33"/>
        <v>"2084016756" : "N360",</v>
      </c>
    </row>
    <row r="2175" spans="1:6" ht="15.75" customHeight="1">
      <c r="A2175" s="18">
        <v>2084016757</v>
      </c>
      <c r="B2175" s="18" t="s">
        <v>10292</v>
      </c>
      <c r="C2175" s="18" t="s">
        <v>17835</v>
      </c>
      <c r="D2175" s="5" t="str">
        <f ca="1">IFERROR(__xludf.DUMMYFUNCTION("GOOGLETRANSLATE(B2175,""ja"",""vi"")"),"NSX")</f>
        <v>NSX</v>
      </c>
      <c r="E2175" s="5" t="str">
        <f ca="1">IFERROR(__xludf.DUMMYFUNCTION("GOOGLETRANSLATE(C2175,""ja"",""vi"")"),"Đấu giá&gt; ô tô, xe máy&gt; Catalogue, danh sách phần, cuốn sách dịch vụ&gt; Honda&gt; NSX")</f>
        <v>Đấu giá&gt; ô tô, xe máy&gt; Catalogue, danh sách phần, cuốn sách dịch vụ&gt; Honda&gt; NSX</v>
      </c>
      <c r="F2175" t="str">
        <f t="shared" ca="1" si="33"/>
        <v>"2084016757" : "NSX",</v>
      </c>
    </row>
    <row r="2176" spans="1:6" ht="15.75" customHeight="1">
      <c r="A2176" s="18">
        <v>2084016761</v>
      </c>
      <c r="B2176" s="18" t="s">
        <v>10300</v>
      </c>
      <c r="C2176" s="18" t="s">
        <v>17838</v>
      </c>
      <c r="D2176" s="5" t="str">
        <f ca="1">IFERROR(__xludf.DUMMYFUNCTION("GOOGLETRANSLATE(B2176,""ja"",""vi"")"),"S-MX")</f>
        <v>S-MX</v>
      </c>
      <c r="E2176" s="5" t="str">
        <f ca="1">IFERROR(__xludf.DUMMYFUNCTION("GOOGLETRANSLATE(C2176,""ja"",""vi"")"),"Đấu giá&gt; ô tô, xe máy&gt; Catalogue, danh sách phần, cuốn sách dịch vụ&gt; Honda&gt; S-MX")</f>
        <v>Đấu giá&gt; ô tô, xe máy&gt; Catalogue, danh sách phần, cuốn sách dịch vụ&gt; Honda&gt; S-MX</v>
      </c>
      <c r="F2176" t="str">
        <f t="shared" ca="1" si="33"/>
        <v>"2084016761" : "S-MX",</v>
      </c>
    </row>
    <row r="2177" spans="1:6" ht="15.75" customHeight="1">
      <c r="A2177" s="18">
        <v>2084016758</v>
      </c>
      <c r="B2177" s="18" t="s">
        <v>10307</v>
      </c>
      <c r="C2177" s="18" t="s">
        <v>17841</v>
      </c>
      <c r="D2177" s="5" t="str">
        <f ca="1">IFERROR(__xludf.DUMMYFUNCTION("GOOGLETRANSLATE(B2177,""ja"",""vi"")"),"S2000")</f>
        <v>S2000</v>
      </c>
      <c r="E2177" s="5" t="str">
        <f ca="1">IFERROR(__xludf.DUMMYFUNCTION("GOOGLETRANSLATE(C2177,""ja"",""vi"")"),"Đấu giá&gt; ô tô, xe máy&gt; Catalogue, danh sách phần, cuốn sách dịch vụ&gt; Honda&gt; S2000")</f>
        <v>Đấu giá&gt; ô tô, xe máy&gt; Catalogue, danh sách phần, cuốn sách dịch vụ&gt; Honda&gt; S2000</v>
      </c>
      <c r="F2177" t="str">
        <f t="shared" ca="1" si="33"/>
        <v>"2084016758" : "S2000",</v>
      </c>
    </row>
    <row r="2178" spans="1:6" ht="15.75" customHeight="1">
      <c r="A2178" s="18">
        <v>2084016759</v>
      </c>
      <c r="B2178" s="18" t="s">
        <v>17844</v>
      </c>
      <c r="C2178" s="18" t="s">
        <v>17845</v>
      </c>
      <c r="D2178" s="5" t="str">
        <f ca="1">IFERROR(__xludf.DUMMYFUNCTION("GOOGLETRANSLATE(B2178,""ja"",""vi"")"),"S600")</f>
        <v>S600</v>
      </c>
      <c r="E2178" s="5" t="str">
        <f ca="1">IFERROR(__xludf.DUMMYFUNCTION("GOOGLETRANSLATE(C2178,""ja"",""vi"")"),"Đấu giá&gt; ô tô, xe máy&gt; Catalogue, danh sách phần, cuốn sách dịch vụ&gt; Honda&gt; S600")</f>
        <v>Đấu giá&gt; ô tô, xe máy&gt; Catalogue, danh sách phần, cuốn sách dịch vụ&gt; Honda&gt; S600</v>
      </c>
      <c r="F2178" t="str">
        <f t="shared" ref="F2178:F2241" ca="1" si="34">CONCATENATE(CHAR(34)&amp;"",A2178,""&amp;CHAR(34)," : ", CHAR(34)&amp;"",D2178,""&amp;CHAR(34),",")</f>
        <v>"2084016759" : "S600",</v>
      </c>
    </row>
    <row r="2179" spans="1:6" ht="15.75" customHeight="1">
      <c r="A2179" s="18">
        <v>2084016760</v>
      </c>
      <c r="B2179" s="18" t="s">
        <v>17847</v>
      </c>
      <c r="C2179" s="18" t="s">
        <v>17848</v>
      </c>
      <c r="D2179" s="5" t="str">
        <f ca="1">IFERROR(__xludf.DUMMYFUNCTION("GOOGLETRANSLATE(B2179,""ja"",""vi"")"),"S800")</f>
        <v>S800</v>
      </c>
      <c r="E2179" s="5" t="str">
        <f ca="1">IFERROR(__xludf.DUMMYFUNCTION("GOOGLETRANSLATE(C2179,""ja"",""vi"")"),"Đấu giá&gt; ô tô, xe máy&gt; Catalogue, danh sách phần, cuốn sách dịch vụ&gt; Honda&gt; S800")</f>
        <v>Đấu giá&gt; ô tô, xe máy&gt; Catalogue, danh sách phần, cuốn sách dịch vụ&gt; Honda&gt; S800</v>
      </c>
      <c r="F2179" t="str">
        <f t="shared" ca="1" si="34"/>
        <v>"2084016760" : "S800",</v>
      </c>
    </row>
    <row r="2180" spans="1:6" ht="15.75" customHeight="1">
      <c r="A2180" s="18">
        <v>2084016762</v>
      </c>
      <c r="B2180" s="18" t="s">
        <v>10321</v>
      </c>
      <c r="C2180" s="18" t="s">
        <v>17851</v>
      </c>
      <c r="D2180" s="5" t="str">
        <f ca="1">IFERROR(__xludf.DUMMYFUNCTION("GOOGLETRANSLATE(B2180,""ja"",""vi"")"),"Z")</f>
        <v>Z</v>
      </c>
      <c r="E2180" s="5" t="str">
        <f ca="1">IFERROR(__xludf.DUMMYFUNCTION("GOOGLETRANSLATE(C2180,""ja"",""vi"")"),"Đấu giá&gt; ô tô, xe máy&gt; Catalogue, danh sách phần, cuốn sách dịch vụ&gt; Honda&gt; Z")</f>
        <v>Đấu giá&gt; ô tô, xe máy&gt; Catalogue, danh sách phần, cuốn sách dịch vụ&gt; Honda&gt; Z</v>
      </c>
      <c r="F2180" t="str">
        <f t="shared" ca="1" si="34"/>
        <v>"2084016762" : "Z",</v>
      </c>
    </row>
    <row r="2181" spans="1:6" ht="15.75" customHeight="1">
      <c r="A2181" s="18">
        <v>2084016763</v>
      </c>
      <c r="B2181" s="18" t="s">
        <v>10333</v>
      </c>
      <c r="C2181" s="18" t="s">
        <v>17856</v>
      </c>
      <c r="D2181" s="5" t="str">
        <f ca="1">IFERROR(__xludf.DUMMYFUNCTION("GOOGLETRANSLATE(B2181,""ja"",""vi"")"),"Activision")</f>
        <v>Activision</v>
      </c>
      <c r="E2181" s="5" t="str">
        <f ca="1">IFERROR(__xludf.DUMMYFUNCTION("GOOGLETRANSLATE(C2181,""ja"",""vi"")"),"Đấu giá&gt; ô tô, xe máy&gt; Catalogue, danh sách phần, cuốn sách dịch vụ&gt; Honda&gt; Activision")</f>
        <v>Đấu giá&gt; ô tô, xe máy&gt; Catalogue, danh sách phần, cuốn sách dịch vụ&gt; Honda&gt; Activision</v>
      </c>
      <c r="F2181" t="str">
        <f t="shared" ca="1" si="34"/>
        <v>"2084016763" : "Activision",</v>
      </c>
    </row>
    <row r="2182" spans="1:6" ht="15.75" customHeight="1">
      <c r="A2182" s="18">
        <v>2084016764</v>
      </c>
      <c r="B2182" s="18" t="s">
        <v>10345</v>
      </c>
      <c r="C2182" s="18" t="s">
        <v>17858</v>
      </c>
      <c r="D2182" s="5" t="str">
        <f ca="1">IFERROR(__xludf.DUMMYFUNCTION("GOOGLETRANSLATE(B2182,""ja"",""vi"")"),"phù hợp")</f>
        <v>phù hợp</v>
      </c>
      <c r="E2182" s="5" t="str">
        <f ca="1">IFERROR(__xludf.DUMMYFUNCTION("GOOGLETRANSLATE(C2182,""ja"",""vi"")"),"Đấu giá&gt; ô tô, xe máy&gt; Catalogue, danh sách phần, cuốn sách dịch vụ&gt; Honda&gt; Accord")</f>
        <v>Đấu giá&gt; ô tô, xe máy&gt; Catalogue, danh sách phần, cuốn sách dịch vụ&gt; Honda&gt; Accord</v>
      </c>
      <c r="F2182" t="str">
        <f t="shared" ca="1" si="34"/>
        <v>"2084016764" : "phù hợp",</v>
      </c>
    </row>
    <row r="2183" spans="1:6" ht="15.75" customHeight="1">
      <c r="A2183" s="18">
        <v>2084016765</v>
      </c>
      <c r="B2183" s="18" t="s">
        <v>10354</v>
      </c>
      <c r="C2183" s="18" t="s">
        <v>17861</v>
      </c>
      <c r="D2183" s="5" t="str">
        <f ca="1">IFERROR(__xludf.DUMMYFUNCTION("GOOGLETRANSLATE(B2183,""ja"",""vi"")"),"Accord Coupe")</f>
        <v>Accord Coupe</v>
      </c>
      <c r="E2183" s="5" t="str">
        <f ca="1">IFERROR(__xludf.DUMMYFUNCTION("GOOGLETRANSLATE(C2183,""ja"",""vi"")"),"Đấu giá&gt; ô tô, xe máy&gt; Catalogue, danh sách phần, cuốn sách dịch vụ&gt; Honda&gt; Accord Coupe")</f>
        <v>Đấu giá&gt; ô tô, xe máy&gt; Catalogue, danh sách phần, cuốn sách dịch vụ&gt; Honda&gt; Accord Coupe</v>
      </c>
      <c r="F2183" t="str">
        <f t="shared" ca="1" si="34"/>
        <v>"2084016765" : "Accord Coupe",</v>
      </c>
    </row>
    <row r="2184" spans="1:6" ht="15.75" customHeight="1">
      <c r="A2184" s="18">
        <v>2084016766</v>
      </c>
      <c r="B2184" s="18" t="s">
        <v>10363</v>
      </c>
      <c r="C2184" s="18" t="s">
        <v>17865</v>
      </c>
      <c r="D2184" s="5" t="str">
        <f ca="1">IFERROR(__xludf.DUMMYFUNCTION("GOOGLETRANSLATE(B2184,""ja"",""vi"")"),"Accord Wagon")</f>
        <v>Accord Wagon</v>
      </c>
      <c r="E2184" s="5" t="str">
        <f ca="1">IFERROR(__xludf.DUMMYFUNCTION("GOOGLETRANSLATE(C2184,""ja"",""vi"")"),"Đấu giá&gt; ô tô, xe máy&gt; Catalogue, danh sách phần, cuốn sách dịch vụ&gt; Honda&gt; Accord Wagon")</f>
        <v>Đấu giá&gt; ô tô, xe máy&gt; Catalogue, danh sách phần, cuốn sách dịch vụ&gt; Honda&gt; Accord Wagon</v>
      </c>
      <c r="F2184" t="str">
        <f t="shared" ca="1" si="34"/>
        <v>"2084016766" : "Accord Wagon",</v>
      </c>
    </row>
    <row r="2185" spans="1:6" ht="15.75" customHeight="1">
      <c r="A2185" s="18">
        <v>2084016767</v>
      </c>
      <c r="B2185" s="18" t="s">
        <v>17867</v>
      </c>
      <c r="C2185" s="18" t="s">
        <v>17868</v>
      </c>
      <c r="D2185" s="5" t="str">
        <f ca="1">IFERROR(__xludf.DUMMYFUNCTION("GOOGLETRANSLATE(B2185,""ja"",""vi"")"),"Ascot Innova")</f>
        <v>Ascot Innova</v>
      </c>
      <c r="E2185" s="5" t="str">
        <f ca="1">IFERROR(__xludf.DUMMYFUNCTION("GOOGLETRANSLATE(C2185,""ja"",""vi"")"),"Đấu giá&gt; ô tô, xe máy&gt; Catalogue, danh sách phần, cuốn sách dịch vụ&gt; Honda&gt; Ascot Innova")</f>
        <v>Đấu giá&gt; ô tô, xe máy&gt; Catalogue, danh sách phần, cuốn sách dịch vụ&gt; Honda&gt; Ascot Innova</v>
      </c>
      <c r="F2185" t="str">
        <f t="shared" ca="1" si="34"/>
        <v>"2084016767" : "Ascot Innova",</v>
      </c>
    </row>
    <row r="2186" spans="1:6" ht="15.75" customHeight="1">
      <c r="A2186" s="18">
        <v>2084016768</v>
      </c>
      <c r="B2186" s="18" t="s">
        <v>10374</v>
      </c>
      <c r="C2186" s="18" t="s">
        <v>17873</v>
      </c>
      <c r="D2186" s="5" t="str">
        <f ca="1">IFERROR(__xludf.DUMMYFUNCTION("GOOGLETRANSLATE(B2186,""ja"",""vi"")"),"Avanshia")</f>
        <v>Avanshia</v>
      </c>
      <c r="E2186" s="5" t="str">
        <f ca="1">IFERROR(__xludf.DUMMYFUNCTION("GOOGLETRANSLATE(C2186,""ja"",""vi"")"),"Đấu giá&gt; ô tô, xe máy&gt; Catalogue, danh sách phần, cuốn sách dịch vụ&gt; Honda&gt; Avanshia")</f>
        <v>Đấu giá&gt; ô tô, xe máy&gt; Catalogue, danh sách phần, cuốn sách dịch vụ&gt; Honda&gt; Avanshia</v>
      </c>
      <c r="F2186" t="str">
        <f t="shared" ca="1" si="34"/>
        <v>"2084016768" : "Avanshia",</v>
      </c>
    </row>
    <row r="2187" spans="1:6" ht="15.75" customHeight="1">
      <c r="A2187" s="18">
        <v>2084016769</v>
      </c>
      <c r="B2187" s="18" t="s">
        <v>10380</v>
      </c>
      <c r="C2187" s="18" t="s">
        <v>17879</v>
      </c>
      <c r="D2187" s="5" t="str">
        <f ca="1">IFERROR(__xludf.DUMMYFUNCTION("GOOGLETRANSLATE(B2187,""ja"",""vi"")"),"sáng suốt")</f>
        <v>sáng suốt</v>
      </c>
      <c r="E2187" s="5" t="str">
        <f ca="1">IFERROR(__xludf.DUMMYFUNCTION("GOOGLETRANSLATE(C2187,""ja"",""vi"")"),"Đấu giá&gt; ô tô, xe máy&gt; Catalogue, danh sách phần, cuốn sách dịch vụ&gt; Honda&gt; Cái nhìn sâu sắc")</f>
        <v>Đấu giá&gt; ô tô, xe máy&gt; Catalogue, danh sách phần, cuốn sách dịch vụ&gt; Honda&gt; Cái nhìn sâu sắc</v>
      </c>
      <c r="F2187" t="str">
        <f t="shared" ca="1" si="34"/>
        <v>"2084016769" : "sáng suốt",</v>
      </c>
    </row>
    <row r="2188" spans="1:6" ht="15.75" customHeight="1">
      <c r="A2188" s="18">
        <v>2084016770</v>
      </c>
      <c r="B2188" s="18" t="s">
        <v>10387</v>
      </c>
      <c r="C2188" s="18" t="s">
        <v>17883</v>
      </c>
      <c r="D2188" s="5" t="str">
        <f ca="1">IFERROR(__xludf.DUMMYFUNCTION("GOOGLETRANSLATE(B2188,""ja"",""vi"")"),"Lấy cảm hứng từ")</f>
        <v>Lấy cảm hứng từ</v>
      </c>
      <c r="E2188" s="5" t="str">
        <f ca="1">IFERROR(__xludf.DUMMYFUNCTION("GOOGLETRANSLATE(C2188,""ja"",""vi"")"),"Đấu giá&gt; ô tô, xe máy&gt; Catalogue, danh sách phần, cuốn sách dịch vụ&gt; Honda&gt; Inspire")</f>
        <v>Đấu giá&gt; ô tô, xe máy&gt; Catalogue, danh sách phần, cuốn sách dịch vụ&gt; Honda&gt; Inspire</v>
      </c>
      <c r="F2188" t="str">
        <f t="shared" ca="1" si="34"/>
        <v>"2084016770" : "Lấy cảm hứng từ",</v>
      </c>
    </row>
    <row r="2189" spans="1:6" ht="15.75" customHeight="1">
      <c r="A2189" s="18">
        <v>2084016771</v>
      </c>
      <c r="B2189" s="18" t="s">
        <v>10395</v>
      </c>
      <c r="C2189" s="18" t="s">
        <v>17885</v>
      </c>
      <c r="D2189" s="5" t="str">
        <f ca="1">IFERROR(__xludf.DUMMYFUNCTION("GOOGLETRANSLATE(B2189,""ja"",""vi"")"),"Integra")</f>
        <v>Integra</v>
      </c>
      <c r="E2189" s="5" t="str">
        <f ca="1">IFERROR(__xludf.DUMMYFUNCTION("GOOGLETRANSLATE(C2189,""ja"",""vi"")"),"Đấu giá&gt; ô tô, xe máy&gt; Catalogue, danh sách phần, cuốn sách dịch vụ&gt; Honda&gt; Integra")</f>
        <v>Đấu giá&gt; ô tô, xe máy&gt; Catalogue, danh sách phần, cuốn sách dịch vụ&gt; Honda&gt; Integra</v>
      </c>
      <c r="F2189" t="str">
        <f t="shared" ca="1" si="34"/>
        <v>"2084016771" : "Integra",</v>
      </c>
    </row>
    <row r="2190" spans="1:6" ht="15.75" customHeight="1">
      <c r="A2190" s="18">
        <v>2084016772</v>
      </c>
      <c r="B2190" s="18" t="s">
        <v>10433</v>
      </c>
      <c r="C2190" s="18" t="s">
        <v>17890</v>
      </c>
      <c r="D2190" s="5" t="str">
        <f ca="1">IFERROR(__xludf.DUMMYFUNCTION("GOOGLETRANSLATE(B2190,""ja"",""vi"")"),"Odyssey")</f>
        <v>Odyssey</v>
      </c>
      <c r="E2190" s="5" t="str">
        <f ca="1">IFERROR(__xludf.DUMMYFUNCTION("GOOGLETRANSLATE(C2190,""ja"",""vi"")"),"Đấu giá&gt; ô tô, xe máy&gt; Catalogue, danh sách phần, cuốn sách dịch vụ&gt; Honda&gt; Odyssey")</f>
        <v>Đấu giá&gt; ô tô, xe máy&gt; Catalogue, danh sách phần, cuốn sách dịch vụ&gt; Honda&gt; Odyssey</v>
      </c>
      <c r="F2190" t="str">
        <f t="shared" ca="1" si="34"/>
        <v>"2084016772" : "Odyssey",</v>
      </c>
    </row>
    <row r="2191" spans="1:6" ht="15.75" customHeight="1">
      <c r="A2191" s="18">
        <v>2084016773</v>
      </c>
      <c r="B2191" s="18" t="s">
        <v>10439</v>
      </c>
      <c r="C2191" s="18" t="s">
        <v>17894</v>
      </c>
      <c r="D2191" s="5" t="str">
        <f ca="1">IFERROR(__xludf.DUMMYFUNCTION("GOOGLETRANSLATE(B2191,""ja"",""vi"")"),"Orutia")</f>
        <v>Orutia</v>
      </c>
      <c r="E2191" s="5" t="str">
        <f ca="1">IFERROR(__xludf.DUMMYFUNCTION("GOOGLETRANSLATE(C2191,""ja"",""vi"")"),"Đấu giá&gt; ô tô, xe máy&gt; Catalogue, danh sách phần, cuốn sách dịch vụ&gt; Honda&gt; Orutia")</f>
        <v>Đấu giá&gt; ô tô, xe máy&gt; Catalogue, danh sách phần, cuốn sách dịch vụ&gt; Honda&gt; Orutia</v>
      </c>
      <c r="F2191" t="str">
        <f t="shared" ca="1" si="34"/>
        <v>"2084016773" : "Orutia",</v>
      </c>
    </row>
    <row r="2192" spans="1:6" ht="15.75" customHeight="1">
      <c r="A2192" s="18">
        <v>2084016774</v>
      </c>
      <c r="B2192" s="18" t="s">
        <v>10444</v>
      </c>
      <c r="C2192" s="18" t="s">
        <v>17899</v>
      </c>
      <c r="D2192" s="5" t="str">
        <f ca="1">IFERROR(__xludf.DUMMYFUNCTION("GOOGLETRANSLATE(B2192,""ja"",""vi"")"),"khả năng")</f>
        <v>khả năng</v>
      </c>
      <c r="E2192" s="5" t="str">
        <f ca="1">IFERROR(__xludf.DUMMYFUNCTION("GOOGLETRANSLATE(C2192,""ja"",""vi"")"),"Đấu giá&gt; ô tô, xe máy&gt; Catalogue, danh sách phần, cuốn sách dịch vụ&gt; Honda&gt; Công suất")</f>
        <v>Đấu giá&gt; ô tô, xe máy&gt; Catalogue, danh sách phần, cuốn sách dịch vụ&gt; Honda&gt; Công suất</v>
      </c>
      <c r="F2192" t="str">
        <f t="shared" ca="1" si="34"/>
        <v>"2084016774" : "khả năng",</v>
      </c>
    </row>
    <row r="2193" spans="1:6" ht="15.75" customHeight="1">
      <c r="A2193" s="18">
        <v>2084016775</v>
      </c>
      <c r="B2193" s="18" t="s">
        <v>10464</v>
      </c>
      <c r="C2193" s="18" t="s">
        <v>17902</v>
      </c>
      <c r="D2193" s="5" t="str">
        <f ca="1">IFERROR(__xludf.DUMMYFUNCTION("GOOGLETRANSLATE(B2193,""ja"",""vi"")"),"thành phố")</f>
        <v>thành phố</v>
      </c>
      <c r="E2193" s="5" t="str">
        <f ca="1">IFERROR(__xludf.DUMMYFUNCTION("GOOGLETRANSLATE(C2193,""ja"",""vi"")"),"Đấu giá&gt; ô tô, xe máy&gt; Catalogue, danh sách phần, cuốn sách dịch vụ&gt; Honda&gt; Thành phố")</f>
        <v>Đấu giá&gt; ô tô, xe máy&gt; Catalogue, danh sách phần, cuốn sách dịch vụ&gt; Honda&gt; Thành phố</v>
      </c>
      <c r="F2193" t="str">
        <f t="shared" ca="1" si="34"/>
        <v>"2084016775" : "thành phố",</v>
      </c>
    </row>
    <row r="2194" spans="1:6" ht="15.75" customHeight="1">
      <c r="A2194" s="18">
        <v>2084016776</v>
      </c>
      <c r="B2194" s="18" t="s">
        <v>10469</v>
      </c>
      <c r="C2194" s="18" t="s">
        <v>17906</v>
      </c>
      <c r="D2194" s="5" t="str">
        <f ca="1">IFERROR(__xludf.DUMMYFUNCTION("GOOGLETRANSLATE(B2194,""ja"",""vi"")"),"Civic")</f>
        <v>Civic</v>
      </c>
      <c r="E2194" s="5" t="str">
        <f ca="1">IFERROR(__xludf.DUMMYFUNCTION("GOOGLETRANSLATE(C2194,""ja"",""vi"")"),"Đấu giá&gt; ô tô, xe máy&gt; Catalogue, danh sách phần, cuốn sách dịch vụ&gt; Honda&gt; Civic")</f>
        <v>Đấu giá&gt; ô tô, xe máy&gt; Catalogue, danh sách phần, cuốn sách dịch vụ&gt; Honda&gt; Civic</v>
      </c>
      <c r="F2194" t="str">
        <f t="shared" ca="1" si="34"/>
        <v>"2084016776" : "Civic",</v>
      </c>
    </row>
    <row r="2195" spans="1:6" ht="15.75" customHeight="1">
      <c r="A2195" s="18">
        <v>2084016777</v>
      </c>
      <c r="B2195" s="18" t="s">
        <v>10512</v>
      </c>
      <c r="C2195" s="18" t="s">
        <v>17910</v>
      </c>
      <c r="D2195" s="5" t="str">
        <f ca="1">IFERROR(__xludf.DUMMYFUNCTION("GOOGLETRANSLATE(B2195,""ja"",""vi"")"),"bước Wagon")</f>
        <v>bước Wagon</v>
      </c>
      <c r="E2195" s="5" t="str">
        <f ca="1">IFERROR(__xludf.DUMMYFUNCTION("GOOGLETRANSLATE(C2195,""ja"",""vi"")"),"Đấu giá&gt; ô tô, xe máy&gt; Catalogue, danh sách phần, cuốn sách dịch vụ&gt; Honda&gt; Bước WGN")</f>
        <v>Đấu giá&gt; ô tô, xe máy&gt; Catalogue, danh sách phần, cuốn sách dịch vụ&gt; Honda&gt; Bước WGN</v>
      </c>
      <c r="F2195" t="str">
        <f t="shared" ca="1" si="34"/>
        <v>"2084016777" : "bước Wagon",</v>
      </c>
    </row>
    <row r="2196" spans="1:6" ht="15.75" customHeight="1">
      <c r="A2196" s="18">
        <v>2084016778</v>
      </c>
      <c r="B2196" s="18" t="s">
        <v>10522</v>
      </c>
      <c r="C2196" s="18" t="s">
        <v>17913</v>
      </c>
      <c r="D2196" s="5" t="str">
        <f ca="1">IFERROR(__xludf.DUMMYFUNCTION("GOOGLETRANSLATE(B2196,""ja"",""vi"")"),"suối")</f>
        <v>suối</v>
      </c>
      <c r="E2196" s="5" t="str">
        <f ca="1">IFERROR(__xludf.DUMMYFUNCTION("GOOGLETRANSLATE(C2196,""ja"",""vi"")"),"Đấu giá&gt; ô tô, xe máy&gt; Catalogue, danh sách phần, cuốn sách dịch vụ&gt; Honda&gt; Suối")</f>
        <v>Đấu giá&gt; ô tô, xe máy&gt; Catalogue, danh sách phần, cuốn sách dịch vụ&gt; Honda&gt; Suối</v>
      </c>
      <c r="F2196" t="str">
        <f t="shared" ca="1" si="34"/>
        <v>"2084016778" : "suối",</v>
      </c>
    </row>
    <row r="2197" spans="1:6" ht="15.75" customHeight="1">
      <c r="A2197" s="18">
        <v>2084016779</v>
      </c>
      <c r="B2197" s="18" t="s">
        <v>10528</v>
      </c>
      <c r="C2197" s="18" t="s">
        <v>17916</v>
      </c>
      <c r="D2197" s="5" t="str">
        <f ca="1">IFERROR(__xludf.DUMMYFUNCTION("GOOGLETRANSLATE(B2197,""ja"",""vi"")"),"Saber")</f>
        <v>Saber</v>
      </c>
      <c r="E2197" s="5" t="str">
        <f ca="1">IFERROR(__xludf.DUMMYFUNCTION("GOOGLETRANSLATE(C2197,""ja"",""vi"")"),"Đấu giá&gt; ô tô, xe máy&gt; Catalogue, danh sách phần, cuốn sách dịch vụ&gt; Honda&gt; Saber")</f>
        <v>Đấu giá&gt; ô tô, xe máy&gt; Catalogue, danh sách phần, cuốn sách dịch vụ&gt; Honda&gt; Saber</v>
      </c>
      <c r="F2197" t="str">
        <f t="shared" ca="1" si="34"/>
        <v>"2084016779" : "Saber",</v>
      </c>
    </row>
    <row r="2198" spans="1:6" ht="15.75" customHeight="1">
      <c r="A2198" s="18">
        <v>2084016781</v>
      </c>
      <c r="B2198" s="18" t="s">
        <v>10543</v>
      </c>
      <c r="C2198" s="18" t="s">
        <v>17918</v>
      </c>
      <c r="D2198" s="5" t="str">
        <f ca="1">IFERROR(__xludf.DUMMYFUNCTION("GOOGLETRANSLATE(B2198,""ja"",""vi"")"),"ngày nay")</f>
        <v>ngày nay</v>
      </c>
      <c r="E2198" s="5" t="str">
        <f ca="1">IFERROR(__xludf.DUMMYFUNCTION("GOOGLETRANSLATE(C2198,""ja"",""vi"")"),"Đấu giá&gt; ô tô, xe máy&gt; Catalogue, danh sách phần, cuốn sách dịch vụ&gt; Honda&gt; Hôm nay")</f>
        <v>Đấu giá&gt; ô tô, xe máy&gt; Catalogue, danh sách phần, cuốn sách dịch vụ&gt; Honda&gt; Hôm nay</v>
      </c>
      <c r="F2198" t="str">
        <f t="shared" ca="1" si="34"/>
        <v>"2084016781" : "ngày nay",</v>
      </c>
    </row>
    <row r="2199" spans="1:6" ht="15.75" customHeight="1">
      <c r="A2199" s="18">
        <v>2084016783</v>
      </c>
      <c r="B2199" s="18" t="s">
        <v>10548</v>
      </c>
      <c r="C2199" s="18" t="s">
        <v>17925</v>
      </c>
      <c r="D2199" s="5" t="str">
        <f ca="1">IFERROR(__xludf.DUMMYFUNCTION("GOOGLETRANSLATE(B2199,""ja"",""vi"")"),"Torneo")</f>
        <v>Torneo</v>
      </c>
      <c r="E2199" s="5" t="str">
        <f ca="1">IFERROR(__xludf.DUMMYFUNCTION("GOOGLETRANSLATE(C2199,""ja"",""vi"")"),"Đấu giá&gt; ô tô, xe máy&gt; Catalogue, danh sách phần, cuốn sách dịch vụ&gt; Honda&gt; Torneo")</f>
        <v>Đấu giá&gt; ô tô, xe máy&gt; Catalogue, danh sách phần, cuốn sách dịch vụ&gt; Honda&gt; Torneo</v>
      </c>
      <c r="F2199" t="str">
        <f t="shared" ca="1" si="34"/>
        <v>"2084016783" : "Torneo",</v>
      </c>
    </row>
    <row r="2200" spans="1:6" ht="15.75" customHeight="1">
      <c r="A2200" s="18">
        <v>2084016782</v>
      </c>
      <c r="B2200" s="18" t="s">
        <v>10553</v>
      </c>
      <c r="C2200" s="18" t="s">
        <v>17928</v>
      </c>
      <c r="D2200" s="5" t="str">
        <f ca="1">IFERROR(__xludf.DUMMYFUNCTION("GOOGLETRANSLATE(B2200,""ja"",""vi"")"),"Domani")</f>
        <v>Domani</v>
      </c>
      <c r="E2200" s="5" t="str">
        <f ca="1">IFERROR(__xludf.DUMMYFUNCTION("GOOGLETRANSLATE(C2200,""ja"",""vi"")"),"Đấu giá&gt; ô tô, xe máy&gt; Catalogue, danh sách phần, cuốn sách dịch vụ&gt; Honda&gt; Domani")</f>
        <v>Đấu giá&gt; ô tô, xe máy&gt; Catalogue, danh sách phần, cuốn sách dịch vụ&gt; Honda&gt; Domani</v>
      </c>
      <c r="F2200" t="str">
        <f t="shared" ca="1" si="34"/>
        <v>"2084016782" : "Domani",</v>
      </c>
    </row>
    <row r="2201" spans="1:6" ht="15.75" customHeight="1">
      <c r="A2201" s="18">
        <v>2084016785</v>
      </c>
      <c r="B2201" s="18" t="s">
        <v>10559</v>
      </c>
      <c r="C2201" s="18" t="s">
        <v>17934</v>
      </c>
      <c r="D2201" s="5" t="str">
        <f ca="1">IFERROR(__xludf.DUMMYFUNCTION("GOOGLETRANSLATE(B2201,""ja"",""vi"")"),"Vamos")</f>
        <v>Vamos</v>
      </c>
      <c r="E2201" s="5" t="str">
        <f ca="1">IFERROR(__xludf.DUMMYFUNCTION("GOOGLETRANSLATE(C2201,""ja"",""vi"")"),"Đấu giá&gt; ô tô, xe máy&gt; Catalogue, danh sách phần, cuốn sách dịch vụ&gt; Honda&gt; Vamos")</f>
        <v>Đấu giá&gt; ô tô, xe máy&gt; Catalogue, danh sách phần, cuốn sách dịch vụ&gt; Honda&gt; Vamos</v>
      </c>
      <c r="F2201" t="str">
        <f t="shared" ca="1" si="34"/>
        <v>"2084016785" : "Vamos",</v>
      </c>
    </row>
    <row r="2202" spans="1:6" ht="15.75" customHeight="1">
      <c r="A2202" s="18">
        <v>2084016784</v>
      </c>
      <c r="B2202" s="18" t="s">
        <v>10569</v>
      </c>
      <c r="C2202" s="18" t="s">
        <v>17939</v>
      </c>
      <c r="D2202" s="5" t="str">
        <f ca="1">IFERROR(__xludf.DUMMYFUNCTION("GOOGLETRANSLATE(B2202,""ja"",""vi"")"),"Đối tác")</f>
        <v>Đối tác</v>
      </c>
      <c r="E2202" s="5" t="str">
        <f ca="1">IFERROR(__xludf.DUMMYFUNCTION("GOOGLETRANSLATE(C2202,""ja"",""vi"")"),"Đấu giá&gt; ô tô, xe máy&gt; Catalogue, danh sách phần, cuốn sách dịch vụ&gt; Honda&gt; Đối tác")</f>
        <v>Đấu giá&gt; ô tô, xe máy&gt; Catalogue, danh sách phần, cuốn sách dịch vụ&gt; Honda&gt; Đối tác</v>
      </c>
      <c r="F2202" t="str">
        <f t="shared" ca="1" si="34"/>
        <v>"2084016784" : "Đối tác",</v>
      </c>
    </row>
    <row r="2203" spans="1:6" ht="15.75" customHeight="1">
      <c r="A2203" s="18">
        <v>2084016786</v>
      </c>
      <c r="B2203" s="18" t="s">
        <v>10574</v>
      </c>
      <c r="C2203" s="18" t="s">
        <v>17942</v>
      </c>
      <c r="D2203" s="5" t="str">
        <f ca="1">IFERROR(__xludf.DUMMYFUNCTION("GOOGLETRANSLATE(B2203,""ja"",""vi"")"),"beat")</f>
        <v>beat</v>
      </c>
      <c r="E2203" s="5" t="str">
        <f ca="1">IFERROR(__xludf.DUMMYFUNCTION("GOOGLETRANSLATE(C2203,""ja"",""vi"")"),"Đấu giá&gt; ô tô, xe máy&gt; Catalogue, danh sách phần, cuốn sách dịch vụ&gt; Honda&gt; beat")</f>
        <v>Đấu giá&gt; ô tô, xe máy&gt; Catalogue, danh sách phần, cuốn sách dịch vụ&gt; Honda&gt; beat</v>
      </c>
      <c r="F2203" t="str">
        <f t="shared" ca="1" si="34"/>
        <v>"2084016786" : "beat",</v>
      </c>
    </row>
    <row r="2204" spans="1:6" ht="15.75" customHeight="1">
      <c r="A2204" s="18">
        <v>2084016787</v>
      </c>
      <c r="B2204" s="18" t="s">
        <v>10579</v>
      </c>
      <c r="C2204" s="18" t="s">
        <v>17946</v>
      </c>
      <c r="D2204" s="5" t="str">
        <f ca="1">IFERROR(__xludf.DUMMYFUNCTION("GOOGLETRANSLATE(B2204,""ja"",""vi"")"),"Biggar")</f>
        <v>Biggar</v>
      </c>
      <c r="E2204" s="5" t="str">
        <f ca="1">IFERROR(__xludf.DUMMYFUNCTION("GOOGLETRANSLATE(C2204,""ja"",""vi"")"),"Đấu giá&gt; ô tô, xe máy&gt; Catalogue, danh sách phần, cuốn sách dịch vụ&gt; Honda&gt; Biggar")</f>
        <v>Đấu giá&gt; ô tô, xe máy&gt; Catalogue, danh sách phần, cuốn sách dịch vụ&gt; Honda&gt; Biggar</v>
      </c>
      <c r="F2204" t="str">
        <f t="shared" ca="1" si="34"/>
        <v>"2084016787" : "Biggar",</v>
      </c>
    </row>
    <row r="2205" spans="1:6" ht="15.75" customHeight="1">
      <c r="A2205" s="18">
        <v>2084016788</v>
      </c>
      <c r="B2205" s="18" t="s">
        <v>10622</v>
      </c>
      <c r="C2205" s="18" t="s">
        <v>17949</v>
      </c>
      <c r="D2205" s="5" t="str">
        <f ca="1">IFERROR(__xludf.DUMMYFUNCTION("GOOGLETRANSLATE(B2205,""ja"",""vi"")"),"khúc dạo đầu")</f>
        <v>khúc dạo đầu</v>
      </c>
      <c r="E2205" s="5" t="str">
        <f ca="1">IFERROR(__xludf.DUMMYFUNCTION("GOOGLETRANSLATE(C2205,""ja"",""vi"")"),"Đấu giá&gt; ô tô, xe máy&gt; Catalogue, danh sách phần, cuốn sách dịch vụ&gt; Honda&gt; Prelude")</f>
        <v>Đấu giá&gt; ô tô, xe máy&gt; Catalogue, danh sách phần, cuốn sách dịch vụ&gt; Honda&gt; Prelude</v>
      </c>
      <c r="F2205" t="str">
        <f t="shared" ca="1" si="34"/>
        <v>"2084016788" : "khúc dạo đầu",</v>
      </c>
    </row>
    <row r="2206" spans="1:6" ht="15.75" customHeight="1">
      <c r="A2206" s="18">
        <v>2084049688</v>
      </c>
      <c r="B2206" s="18" t="s">
        <v>10639</v>
      </c>
      <c r="C2206" s="18" t="s">
        <v>17952</v>
      </c>
      <c r="D2206" s="5" t="str">
        <f ca="1">IFERROR(__xludf.DUMMYFUNCTION("GOOGLETRANSLATE(B2206,""ja"",""vi"")"),"Mobilio")</f>
        <v>Mobilio</v>
      </c>
      <c r="E2206" s="5" t="str">
        <f ca="1">IFERROR(__xludf.DUMMYFUNCTION("GOOGLETRANSLATE(C2206,""ja"",""vi"")"),"Đấu giá&gt; ô tô, xe máy&gt; Catalogue, danh sách phần, cuốn sách dịch vụ&gt; Honda&gt; Mobilio")</f>
        <v>Đấu giá&gt; ô tô, xe máy&gt; Catalogue, danh sách phần, cuốn sách dịch vụ&gt; Honda&gt; Mobilio</v>
      </c>
      <c r="F2206" t="str">
        <f t="shared" ca="1" si="34"/>
        <v>"2084049688" : "Mobilio",</v>
      </c>
    </row>
    <row r="2207" spans="1:6" ht="15.75" customHeight="1">
      <c r="A2207" s="18">
        <v>2084016789</v>
      </c>
      <c r="B2207" s="18" t="s">
        <v>10648</v>
      </c>
      <c r="C2207" s="18" t="s">
        <v>17954</v>
      </c>
      <c r="D2207" s="5" t="str">
        <f ca="1">IFERROR(__xludf.DUMMYFUNCTION("GOOGLETRANSLATE(B2207,""ja"",""vi"")"),"đời sống")</f>
        <v>đời sống</v>
      </c>
      <c r="E2207" s="5" t="str">
        <f ca="1">IFERROR(__xludf.DUMMYFUNCTION("GOOGLETRANSLATE(C2207,""ja"",""vi"")"),"Đấu giá&gt; ô tô, xe máy&gt; Catalogue, danh sách phần, cuốn sách dịch vụ&gt; Honda&gt; Cuộc sống")</f>
        <v>Đấu giá&gt; ô tô, xe máy&gt; Catalogue, danh sách phần, cuốn sách dịch vụ&gt; Honda&gt; Cuộc sống</v>
      </c>
      <c r="F2207" t="str">
        <f t="shared" ca="1" si="34"/>
        <v>"2084016789" : "đời sống",</v>
      </c>
    </row>
    <row r="2208" spans="1:6" ht="15.75" customHeight="1">
      <c r="A2208" s="18">
        <v>2084016790</v>
      </c>
      <c r="B2208" s="18" t="s">
        <v>17957</v>
      </c>
      <c r="C2208" s="18" t="s">
        <v>17958</v>
      </c>
      <c r="D2208" s="5" t="str">
        <f ca="1">IFERROR(__xludf.DUMMYFUNCTION("GOOGLETRANSLATE(B2208,""ja"",""vi"")"),"Cuộc sống Bước Văn")</f>
        <v>Cuộc sống Bước Văn</v>
      </c>
      <c r="E2208" s="5" t="str">
        <f ca="1">IFERROR(__xludf.DUMMYFUNCTION("GOOGLETRANSLATE(C2208,""ja"",""vi"")"),"Đấu giá&gt; ô tô, xe máy&gt; Catalogue, danh sách phần, cuốn sách dịch vụ&gt; Honda&gt; Cuộc sống xe bước")</f>
        <v>Đấu giá&gt; ô tô, xe máy&gt; Catalogue, danh sách phần, cuốn sách dịch vụ&gt; Honda&gt; Cuộc sống xe bước</v>
      </c>
      <c r="F2208" t="str">
        <f t="shared" ca="1" si="34"/>
        <v>"2084016790" : "Cuộc sống Bước Văn",</v>
      </c>
    </row>
    <row r="2209" spans="1:6" ht="15.75" customHeight="1">
      <c r="A2209" s="18">
        <v>2084016791</v>
      </c>
      <c r="B2209" s="18" t="s">
        <v>10665</v>
      </c>
      <c r="C2209" s="18" t="s">
        <v>17962</v>
      </c>
      <c r="D2209" s="5" t="str">
        <f ca="1">IFERROR(__xludf.DUMMYFUNCTION("GOOGLETRANSLATE(B2209,""ja"",""vi"")"),"Ragureito")</f>
        <v>Ragureito</v>
      </c>
      <c r="E2209" s="5" t="str">
        <f ca="1">IFERROR(__xludf.DUMMYFUNCTION("GOOGLETRANSLATE(C2209,""ja"",""vi"")"),"Đấu giá&gt; ô tô, xe máy&gt; Catalogue, danh sách phần, cuốn sách dịch vụ&gt; Honda&gt; Ragureito")</f>
        <v>Đấu giá&gt; ô tô, xe máy&gt; Catalogue, danh sách phần, cuốn sách dịch vụ&gt; Honda&gt; Ragureito</v>
      </c>
      <c r="F2209" t="str">
        <f t="shared" ca="1" si="34"/>
        <v>"2084016791" : "Ragureito",</v>
      </c>
    </row>
    <row r="2210" spans="1:6" ht="15.75" customHeight="1">
      <c r="A2210" s="18">
        <v>2084016792</v>
      </c>
      <c r="B2210" s="18" t="s">
        <v>10670</v>
      </c>
      <c r="C2210" s="18" t="s">
        <v>17965</v>
      </c>
      <c r="D2210" s="5" t="str">
        <f ca="1">IFERROR(__xludf.DUMMYFUNCTION("GOOGLETRANSLATE(B2210,""ja"",""vi"")"),"huyền thoại")</f>
        <v>huyền thoại</v>
      </c>
      <c r="E2210" s="5" t="str">
        <f ca="1">IFERROR(__xludf.DUMMYFUNCTION("GOOGLETRANSLATE(C2210,""ja"",""vi"")"),"Đấu giá&gt; ô tô, xe máy&gt; Catalogue, danh sách phần, cuốn sách dịch vụ&gt; Honda&gt; Truyền thuyết")</f>
        <v>Đấu giá&gt; ô tô, xe máy&gt; Catalogue, danh sách phần, cuốn sách dịch vụ&gt; Honda&gt; Truyền thuyết</v>
      </c>
      <c r="F2210" t="str">
        <f t="shared" ca="1" si="34"/>
        <v>"2084016792" : "huyền thoại",</v>
      </c>
    </row>
    <row r="2211" spans="1:6" ht="15.75" customHeight="1">
      <c r="A2211" s="18">
        <v>2084016793</v>
      </c>
      <c r="B2211" s="18" t="s">
        <v>10676</v>
      </c>
      <c r="C2211" s="18" t="s">
        <v>17968</v>
      </c>
      <c r="D2211" s="5" t="str">
        <f ca="1">IFERROR(__xludf.DUMMYFUNCTION("GOOGLETRANSLATE(B2211,""ja"",""vi"")"),"Logo")</f>
        <v>Logo</v>
      </c>
      <c r="E2211" s="5" t="str">
        <f ca="1">IFERROR(__xludf.DUMMYFUNCTION("GOOGLETRANSLATE(C2211,""ja"",""vi"")"),"Đấu giá&gt; ô tô, xe máy&gt; Catalogue, danh sách phần, cuốn sách dịch vụ&gt; Honda&gt; Logo")</f>
        <v>Đấu giá&gt; ô tô, xe máy&gt; Catalogue, danh sách phần, cuốn sách dịch vụ&gt; Honda&gt; Logo</v>
      </c>
      <c r="F2211" t="str">
        <f t="shared" ca="1" si="34"/>
        <v>"2084016793" : "Logo",</v>
      </c>
    </row>
    <row r="2212" spans="1:6" ht="15.75" customHeight="1">
      <c r="A2212" s="18">
        <v>2084016780</v>
      </c>
      <c r="B2212" s="18" t="s">
        <v>46</v>
      </c>
      <c r="C2212" s="18" t="s">
        <v>17972</v>
      </c>
      <c r="D2212" s="5" t="str">
        <f ca="1">IFERROR(__xludf.DUMMYFUNCTION("GOOGLETRANSLATE(B2212,""ja"",""vi"")"),"nếu không thì")</f>
        <v>nếu không thì</v>
      </c>
      <c r="E2212" s="5" t="str">
        <f ca="1">IFERROR(__xludf.DUMMYFUNCTION("GOOGLETRANSLATE(C2212,""ja"",""vi"")"),"Đấu giá&gt; ô tô, xe máy&gt; Catalogue, danh sách phần, cuốn sách dịch vụ&gt; Honda&gt; Khác")</f>
        <v>Đấu giá&gt; ô tô, xe máy&gt; Catalogue, danh sách phần, cuốn sách dịch vụ&gt; Honda&gt; Khác</v>
      </c>
      <c r="F2212" t="str">
        <f t="shared" ca="1" si="34"/>
        <v>"2084016780" : "nếu không thì",</v>
      </c>
    </row>
    <row r="2213" spans="1:6" ht="15.75" customHeight="1">
      <c r="A2213" s="18">
        <v>2084023110</v>
      </c>
      <c r="B2213" s="18" t="s">
        <v>11041</v>
      </c>
      <c r="C2213" s="18" t="s">
        <v>17976</v>
      </c>
      <c r="D2213" s="5" t="str">
        <f ca="1">IFERROR(__xludf.DUMMYFUNCTION("GOOGLETRANSLATE(B2213,""ja"",""vi"")"),"FTO")</f>
        <v>FTO</v>
      </c>
      <c r="E2213" s="5" t="str">
        <f ca="1">IFERROR(__xludf.DUMMYFUNCTION("GOOGLETRANSLATE(C2213,""ja"",""vi"")"),"Đấu giá&gt; ô tô, xe máy&gt; Catalogue, danh sách phần, cuốn sách dịch vụ&gt; Mitsubishi&gt; FTO")</f>
        <v>Đấu giá&gt; ô tô, xe máy&gt; Catalogue, danh sách phần, cuốn sách dịch vụ&gt; Mitsubishi&gt; FTO</v>
      </c>
      <c r="F2213" t="str">
        <f t="shared" ca="1" si="34"/>
        <v>"2084023110" : "FTO",</v>
      </c>
    </row>
    <row r="2214" spans="1:6" ht="15.75" customHeight="1">
      <c r="A2214" s="18">
        <v>2084023111</v>
      </c>
      <c r="B2214" s="18" t="s">
        <v>11046</v>
      </c>
      <c r="C2214" s="18" t="s">
        <v>17980</v>
      </c>
      <c r="D2214" s="5" t="str">
        <f ca="1">IFERROR(__xludf.DUMMYFUNCTION("GOOGLETRANSLATE(B2214,""ja"",""vi"")"),"GTO")</f>
        <v>GTO</v>
      </c>
      <c r="E2214" s="5" t="str">
        <f ca="1">IFERROR(__xludf.DUMMYFUNCTION("GOOGLETRANSLATE(C2214,""ja"",""vi"")"),"Đấu giá&gt; ô tô, xe máy&gt; Catalogue, danh sách phần, cuốn sách dịch vụ&gt; Mitsubishi&gt; GTO")</f>
        <v>Đấu giá&gt; ô tô, xe máy&gt; Catalogue, danh sách phần, cuốn sách dịch vụ&gt; Mitsubishi&gt; GTO</v>
      </c>
      <c r="F2214" t="str">
        <f t="shared" ca="1" si="34"/>
        <v>"2084023111" : "GTO",</v>
      </c>
    </row>
    <row r="2215" spans="1:6" ht="15.75" customHeight="1">
      <c r="A2215" s="18">
        <v>2084023112</v>
      </c>
      <c r="B2215" s="18" t="s">
        <v>11050</v>
      </c>
      <c r="C2215" s="18" t="s">
        <v>17982</v>
      </c>
      <c r="D2215" s="5" t="str">
        <f ca="1">IFERROR(__xludf.DUMMYFUNCTION("GOOGLETRANSLATE(B2215,""ja"",""vi"")"),"RVR")</f>
        <v>RVR</v>
      </c>
      <c r="E2215" s="5" t="str">
        <f ca="1">IFERROR(__xludf.DUMMYFUNCTION("GOOGLETRANSLATE(C2215,""ja"",""vi"")"),"Đấu giá&gt; ô tô, xe máy&gt; Catalogue, danh sách phần, cuốn sách dịch vụ&gt; Mitsubishi&gt; RVR")</f>
        <v>Đấu giá&gt; ô tô, xe máy&gt; Catalogue, danh sách phần, cuốn sách dịch vụ&gt; Mitsubishi&gt; RVR</v>
      </c>
      <c r="F2215" t="str">
        <f t="shared" ca="1" si="34"/>
        <v>"2084023112" : "RVR",</v>
      </c>
    </row>
    <row r="2216" spans="1:6" ht="15.75" customHeight="1">
      <c r="A2216" s="18">
        <v>2084023113</v>
      </c>
      <c r="B2216" s="18" t="s">
        <v>17987</v>
      </c>
      <c r="C2216" s="18" t="s">
        <v>17988</v>
      </c>
      <c r="D2216" s="5" t="str">
        <f ca="1">IFERROR(__xludf.DUMMYFUNCTION("GOOGLETRANSLATE(B2216,""ja"",""vi"")"),"khao khát")</f>
        <v>khao khát</v>
      </c>
      <c r="E2216" s="5" t="str">
        <f ca="1">IFERROR(__xludf.DUMMYFUNCTION("GOOGLETRANSLATE(C2216,""ja"",""vi"")"),"Đấu giá&gt; ô tô, xe máy&gt; Catalogue, danh sách phần, cuốn sách dịch vụ&gt; Mitsubishi&gt; Aspire")</f>
        <v>Đấu giá&gt; ô tô, xe máy&gt; Catalogue, danh sách phần, cuốn sách dịch vụ&gt; Mitsubishi&gt; Aspire</v>
      </c>
      <c r="F2216" t="str">
        <f t="shared" ca="1" si="34"/>
        <v>"2084023113" : "khao khát",</v>
      </c>
    </row>
    <row r="2217" spans="1:6" ht="15.75" customHeight="1">
      <c r="A2217" s="18">
        <v>2084023114</v>
      </c>
      <c r="B2217" s="18" t="s">
        <v>11103</v>
      </c>
      <c r="C2217" s="18" t="s">
        <v>17993</v>
      </c>
      <c r="D2217" s="5" t="str">
        <f ca="1">IFERROR(__xludf.DUMMYFUNCTION("GOOGLETRANSLATE(B2217,""ja"",""vi"")"),"Eclipse")</f>
        <v>Eclipse</v>
      </c>
      <c r="E2217" s="5" t="str">
        <f ca="1">IFERROR(__xludf.DUMMYFUNCTION("GOOGLETRANSLATE(C2217,""ja"",""vi"")"),"Đấu giá&gt; ô tô, xe máy&gt; Catalogue, danh sách phần, cuốn sách dịch vụ&gt; Mitsubishi&gt; Eclipse")</f>
        <v>Đấu giá&gt; ô tô, xe máy&gt; Catalogue, danh sách phần, cuốn sách dịch vụ&gt; Mitsubishi&gt; Eclipse</v>
      </c>
      <c r="F2217" t="str">
        <f t="shared" ca="1" si="34"/>
        <v>"2084023114" : "Eclipse",</v>
      </c>
    </row>
    <row r="2218" spans="1:6" ht="15.75" customHeight="1">
      <c r="A2218" s="18">
        <v>2084023115</v>
      </c>
      <c r="B2218" s="18" t="s">
        <v>17994</v>
      </c>
      <c r="C2218" s="18" t="s">
        <v>17996</v>
      </c>
      <c r="D2218" s="5" t="str">
        <f ca="1">IFERROR(__xludf.DUMMYFUNCTION("GOOGLETRANSLATE(B2218,""ja"",""vi"")"),"uy tín")</f>
        <v>uy tín</v>
      </c>
      <c r="E2218" s="5" t="str">
        <f ca="1">IFERROR(__xludf.DUMMYFUNCTION("GOOGLETRANSLATE(C2218,""ja"",""vi"")"),"Đấu giá&gt; ô tô, xe máy&gt; Catalogue, danh sách phần, cuốn sách dịch vụ&gt; Mitsubishi&gt; uy tín")</f>
        <v>Đấu giá&gt; ô tô, xe máy&gt; Catalogue, danh sách phần, cuốn sách dịch vụ&gt; Mitsubishi&gt; uy tín</v>
      </c>
      <c r="F2218" t="str">
        <f t="shared" ca="1" si="34"/>
        <v>"2084023115" : "uy tín",</v>
      </c>
    </row>
    <row r="2219" spans="1:6" ht="15.75" customHeight="1">
      <c r="A2219" s="18">
        <v>2084023116</v>
      </c>
      <c r="B2219" s="18" t="s">
        <v>11114</v>
      </c>
      <c r="C2219" s="18" t="s">
        <v>17999</v>
      </c>
      <c r="D2219" s="5" t="str">
        <f ca="1">IFERROR(__xludf.DUMMYFUNCTION("GOOGLETRANSLATE(B2219,""ja"",""vi"")"),"Galant")</f>
        <v>Galant</v>
      </c>
      <c r="E2219" s="5" t="str">
        <f ca="1">IFERROR(__xludf.DUMMYFUNCTION("GOOGLETRANSLATE(C2219,""ja"",""vi"")"),"Đấu giá&gt; ô tô, xe máy&gt; Catalogue, danh sách phần, cuốn sách dịch vụ&gt; Mitsubishi&gt; Galant")</f>
        <v>Đấu giá&gt; ô tô, xe máy&gt; Catalogue, danh sách phần, cuốn sách dịch vụ&gt; Mitsubishi&gt; Galant</v>
      </c>
      <c r="F2219" t="str">
        <f t="shared" ca="1" si="34"/>
        <v>"2084023116" : "Galant",</v>
      </c>
    </row>
    <row r="2220" spans="1:6" ht="15.75" customHeight="1">
      <c r="A2220" s="18">
        <v>2084023118</v>
      </c>
      <c r="B2220" s="18" t="s">
        <v>11152</v>
      </c>
      <c r="C2220" s="18" t="s">
        <v>18002</v>
      </c>
      <c r="D2220" s="5" t="str">
        <f ca="1">IFERROR(__xludf.DUMMYFUNCTION("GOOGLETRANSLATE(B2220,""ja"",""vi"")"),"Chariot")</f>
        <v>Chariot</v>
      </c>
      <c r="E2220" s="5" t="str">
        <f ca="1">IFERROR(__xludf.DUMMYFUNCTION("GOOGLETRANSLATE(C2220,""ja"",""vi"")"),"Đấu giá&gt; ô tô, xe máy&gt; Catalogue, danh sách phần, cuốn sách dịch vụ&gt; Mitsubishi&gt; Chariot")</f>
        <v>Đấu giá&gt; ô tô, xe máy&gt; Catalogue, danh sách phần, cuốn sách dịch vụ&gt; Mitsubishi&gt; Chariot</v>
      </c>
      <c r="F2220" t="str">
        <f t="shared" ca="1" si="34"/>
        <v>"2084023118" : "Chariot",</v>
      </c>
    </row>
    <row r="2221" spans="1:6" ht="15.75" customHeight="1">
      <c r="A2221" s="18">
        <v>2084023117</v>
      </c>
      <c r="B2221" s="18" t="s">
        <v>11167</v>
      </c>
      <c r="C2221" s="18" t="s">
        <v>18008</v>
      </c>
      <c r="D2221" s="5" t="str">
        <f ca="1">IFERROR(__xludf.DUMMYFUNCTION("GOOGLETRANSLATE(B2221,""ja"",""vi"")"),"xe jíp")</f>
        <v>xe jíp</v>
      </c>
      <c r="E2221" s="5" t="str">
        <f ca="1">IFERROR(__xludf.DUMMYFUNCTION("GOOGLETRANSLATE(C2221,""ja"",""vi"")"),"Đấu giá&gt; ô tô, xe máy&gt; Catalogue, danh sách phần, cuốn sách dịch vụ&gt; Mitsubishi&gt; Jeep")</f>
        <v>Đấu giá&gt; ô tô, xe máy&gt; Catalogue, danh sách phần, cuốn sách dịch vụ&gt; Mitsubishi&gt; Jeep</v>
      </c>
      <c r="F2221" t="str">
        <f t="shared" ca="1" si="34"/>
        <v>"2084023117" : "xe jíp",</v>
      </c>
    </row>
    <row r="2222" spans="1:6" ht="15.75" customHeight="1">
      <c r="A2222" s="18">
        <v>2084023119</v>
      </c>
      <c r="B2222" s="18" t="s">
        <v>11171</v>
      </c>
      <c r="C2222" s="18" t="s">
        <v>18012</v>
      </c>
      <c r="D2222" s="5" t="str">
        <f ca="1">IFERROR(__xludf.DUMMYFUNCTION("GOOGLETRANSLATE(B2222,""ja"",""vi"")"),"ngựa giống")</f>
        <v>ngựa giống</v>
      </c>
      <c r="E2222" s="5" t="str">
        <f ca="1">IFERROR(__xludf.DUMMYFUNCTION("GOOGLETRANSLATE(C2222,""ja"",""vi"")"),"Đấu giá&gt; ô tô, xe máy&gt; Catalogue, danh sách phần, cuốn sách dịch vụ&gt; Mitsubishi&gt; Stallion")</f>
        <v>Đấu giá&gt; ô tô, xe máy&gt; Catalogue, danh sách phần, cuốn sách dịch vụ&gt; Mitsubishi&gt; Stallion</v>
      </c>
      <c r="F2222" t="str">
        <f t="shared" ca="1" si="34"/>
        <v>"2084023119" : "ngựa giống",</v>
      </c>
    </row>
    <row r="2223" spans="1:6" ht="15.75" customHeight="1">
      <c r="A2223" s="18">
        <v>2084023120</v>
      </c>
      <c r="B2223" s="18" t="s">
        <v>18014</v>
      </c>
      <c r="C2223" s="18" t="s">
        <v>18016</v>
      </c>
      <c r="D2223" s="5" t="str">
        <f ca="1">IFERROR(__xludf.DUMMYFUNCTION("GOOGLETRANSLATE(B2223,""ja"",""vi"")"),"Strada")</f>
        <v>Strada</v>
      </c>
      <c r="E2223" s="5" t="str">
        <f ca="1">IFERROR(__xludf.DUMMYFUNCTION("GOOGLETRANSLATE(C2223,""ja"",""vi"")"),"Đấu giá&gt; ô tô, xe máy&gt; Catalogue, danh sách phần, cuốn sách dịch vụ&gt; Mitsubishi&gt; Strada")</f>
        <v>Đấu giá&gt; ô tô, xe máy&gt; Catalogue, danh sách phần, cuốn sách dịch vụ&gt; Mitsubishi&gt; Strada</v>
      </c>
      <c r="F2223" t="str">
        <f t="shared" ca="1" si="34"/>
        <v>"2084023120" : "Strada",</v>
      </c>
    </row>
    <row r="2224" spans="1:6" ht="15.75" customHeight="1">
      <c r="A2224" s="18">
        <v>2084023122</v>
      </c>
      <c r="B2224" s="18" t="s">
        <v>11177</v>
      </c>
      <c r="C2224" s="18" t="s">
        <v>18021</v>
      </c>
      <c r="D2224" s="5" t="str">
        <f ca="1">IFERROR(__xludf.DUMMYFUNCTION("GOOGLETRANSLATE(B2224,""ja"",""vi"")"),"hộp Town")</f>
        <v>hộp Town</v>
      </c>
      <c r="E2224" s="5" t="str">
        <f ca="1">IFERROR(__xludf.DUMMYFUNCTION("GOOGLETRANSLATE(C2224,""ja"",""vi"")"),"Đấu giá&gt; ô tô, xe máy&gt; Catalogue, danh sách phần, cuốn sách dịch vụ&gt; Mitsubishi&gt; Town Box")</f>
        <v>Đấu giá&gt; ô tô, xe máy&gt; Catalogue, danh sách phần, cuốn sách dịch vụ&gt; Mitsubishi&gt; Town Box</v>
      </c>
      <c r="F2224" t="str">
        <f t="shared" ca="1" si="34"/>
        <v>"2084023122" : "hộp Town",</v>
      </c>
    </row>
    <row r="2225" spans="1:6" ht="15.75" customHeight="1">
      <c r="A2225" s="18">
        <v>2084023123</v>
      </c>
      <c r="B2225" s="18" t="s">
        <v>11190</v>
      </c>
      <c r="C2225" s="18" t="s">
        <v>18024</v>
      </c>
      <c r="D2225" s="5" t="str">
        <f ca="1">IFERROR(__xludf.DUMMYFUNCTION("GOOGLETRANSLATE(B2225,""ja"",""vi"")"),"người thách đấu")</f>
        <v>người thách đấu</v>
      </c>
      <c r="E2225" s="5" t="str">
        <f ca="1">IFERROR(__xludf.DUMMYFUNCTION("GOOGLETRANSLATE(C2225,""ja"",""vi"")"),"Đấu giá&gt; ô tô, xe máy&gt; Catalogue, danh sách phần, cuốn sách dịch vụ&gt; Mitsubishi&gt; Challenger")</f>
        <v>Đấu giá&gt; ô tô, xe máy&gt; Catalogue, danh sách phần, cuốn sách dịch vụ&gt; Mitsubishi&gt; Challenger</v>
      </c>
      <c r="F2225" t="str">
        <f t="shared" ca="1" si="34"/>
        <v>"2084023123" : "người thách đấu",</v>
      </c>
    </row>
    <row r="2226" spans="1:6" ht="15.75" customHeight="1">
      <c r="A2226" s="18">
        <v>2084023124</v>
      </c>
      <c r="B2226" s="18" t="s">
        <v>11195</v>
      </c>
      <c r="C2226" s="18" t="s">
        <v>18028</v>
      </c>
      <c r="D2226" s="5" t="str">
        <f ca="1">IFERROR(__xludf.DUMMYFUNCTION("GOOGLETRANSLATE(B2226,""ja"",""vi"")"),"Diamante")</f>
        <v>Diamante</v>
      </c>
      <c r="E2226" s="5" t="str">
        <f ca="1">IFERROR(__xludf.DUMMYFUNCTION("GOOGLETRANSLATE(C2226,""ja"",""vi"")"),"Đấu giá&gt; ô tô, xe máy&gt; Catalogue, danh sách phần, cuốn sách dịch vụ&gt; Mitsubishi&gt; Diamante")</f>
        <v>Đấu giá&gt; ô tô, xe máy&gt; Catalogue, danh sách phần, cuốn sách dịch vụ&gt; Mitsubishi&gt; Diamante</v>
      </c>
      <c r="F2226" t="str">
        <f t="shared" ca="1" si="34"/>
        <v>"2084023124" : "Diamante",</v>
      </c>
    </row>
    <row r="2227" spans="1:6" ht="15.75" customHeight="1">
      <c r="A2227" s="18">
        <v>2084023125</v>
      </c>
      <c r="B2227" s="18" t="s">
        <v>11201</v>
      </c>
      <c r="C2227" s="18" t="s">
        <v>18033</v>
      </c>
      <c r="D2227" s="5" t="str">
        <f ca="1">IFERROR(__xludf.DUMMYFUNCTION("GOOGLETRANSLATE(B2227,""ja"",""vi"")"),"Dion")</f>
        <v>Dion</v>
      </c>
      <c r="E2227" s="5" t="str">
        <f ca="1">IFERROR(__xludf.DUMMYFUNCTION("GOOGLETRANSLATE(C2227,""ja"",""vi"")"),"Đấu giá&gt; ô tô, xe máy&gt; Catalogue, danh sách phần, cuốn sách dịch vụ&gt; Mitsubishi&gt; Dion")</f>
        <v>Đấu giá&gt; ô tô, xe máy&gt; Catalogue, danh sách phần, cuốn sách dịch vụ&gt; Mitsubishi&gt; Dion</v>
      </c>
      <c r="F2227" t="str">
        <f t="shared" ca="1" si="34"/>
        <v>"2084023125" : "Dion",</v>
      </c>
    </row>
    <row r="2228" spans="1:6" ht="15.75" customHeight="1">
      <c r="A2228" s="18">
        <v>2084023126</v>
      </c>
      <c r="B2228" s="18" t="s">
        <v>18035</v>
      </c>
      <c r="C2228" s="18" t="s">
        <v>18036</v>
      </c>
      <c r="D2228" s="5" t="str">
        <f ca="1">IFERROR(__xludf.DUMMYFUNCTION("GOOGLETRANSLATE(B2228,""ja"",""vi"")"),"Dignity")</f>
        <v>Dignity</v>
      </c>
      <c r="E2228" s="5" t="str">
        <f ca="1">IFERROR(__xludf.DUMMYFUNCTION("GOOGLETRANSLATE(C2228,""ja"",""vi"")"),"Đấu giá&gt; ô tô, xe máy&gt; Catalogue, danh sách phần, cuốn sách dịch vụ&gt; Mitsubishi&gt; Dignity")</f>
        <v>Đấu giá&gt; ô tô, xe máy&gt; Catalogue, danh sách phần, cuốn sách dịch vụ&gt; Mitsubishi&gt; Dignity</v>
      </c>
      <c r="F2228" t="str">
        <f t="shared" ca="1" si="34"/>
        <v>"2084023126" : "Dignity",</v>
      </c>
    </row>
    <row r="2229" spans="1:6" ht="15.75" customHeight="1">
      <c r="A2229" s="18">
        <v>2084023127</v>
      </c>
      <c r="B2229" s="18" t="s">
        <v>11205</v>
      </c>
      <c r="C2229" s="18" t="s">
        <v>18040</v>
      </c>
      <c r="D2229" s="5" t="str">
        <f ca="1">IFERROR(__xludf.DUMMYFUNCTION("GOOGLETRANSLATE(B2229,""ja"",""vi"")"),"Debonair")</f>
        <v>Debonair</v>
      </c>
      <c r="E2229" s="5" t="str">
        <f ca="1">IFERROR(__xludf.DUMMYFUNCTION("GOOGLETRANSLATE(C2229,""ja"",""vi"")"),"Đấu giá&gt; ô tô, xe máy&gt; Catalogue, danh sách phần, cuốn sách dịch vụ&gt; Mitsubishi&gt; Debonair")</f>
        <v>Đấu giá&gt; ô tô, xe máy&gt; Catalogue, danh sách phần, cuốn sách dịch vụ&gt; Mitsubishi&gt; Debonair</v>
      </c>
      <c r="F2229" t="str">
        <f t="shared" ca="1" si="34"/>
        <v>"2084023127" : "Debonair",</v>
      </c>
    </row>
    <row r="2230" spans="1:6" ht="15.75" customHeight="1">
      <c r="A2230" s="18">
        <v>2084023128</v>
      </c>
      <c r="B2230" s="18" t="s">
        <v>18044</v>
      </c>
      <c r="C2230" s="18" t="s">
        <v>18045</v>
      </c>
      <c r="D2230" s="5" t="str">
        <f ca="1">IFERROR(__xludf.DUMMYFUNCTION("GOOGLETRANSLATE(B2230,""ja"",""vi"")"),"Delica")</f>
        <v>Delica</v>
      </c>
      <c r="E2230" s="5" t="str">
        <f ca="1">IFERROR(__xludf.DUMMYFUNCTION("GOOGLETRANSLATE(C2230,""ja"",""vi"")"),"Đấu giá&gt; ô tô, xe máy&gt; Catalogue, danh sách phần, cuốn sách dịch vụ&gt; Mitsubishi&gt; Delica")</f>
        <v>Đấu giá&gt; ô tô, xe máy&gt; Catalogue, danh sách phần, cuốn sách dịch vụ&gt; Mitsubishi&gt; Delica</v>
      </c>
      <c r="F2230" t="str">
        <f t="shared" ca="1" si="34"/>
        <v>"2084023128" : "Delica",</v>
      </c>
    </row>
    <row r="2231" spans="1:6" ht="15.75" customHeight="1">
      <c r="A2231" s="18">
        <v>2084023129</v>
      </c>
      <c r="B2231" s="18" t="s">
        <v>11251</v>
      </c>
      <c r="C2231" s="18" t="s">
        <v>18047</v>
      </c>
      <c r="D2231" s="5" t="str">
        <f ca="1">IFERROR(__xludf.DUMMYFUNCTION("GOOGLETRANSLATE(B2231,""ja"",""vi"")"),"Toppo BJ")</f>
        <v>Toppo BJ</v>
      </c>
      <c r="E2231" s="5" t="str">
        <f ca="1">IFERROR(__xludf.DUMMYFUNCTION("GOOGLETRANSLATE(C2231,""ja"",""vi"")"),"Đấu giá&gt; ô tô, xe máy&gt; Catalogue, danh sách phần, cuốn sách dịch vụ&gt; Mitsubishi&gt; Toppo BJ")</f>
        <v>Đấu giá&gt; ô tô, xe máy&gt; Catalogue, danh sách phần, cuốn sách dịch vụ&gt; Mitsubishi&gt; Toppo BJ</v>
      </c>
      <c r="F2231" t="str">
        <f t="shared" ca="1" si="34"/>
        <v>"2084023129" : "Toppo BJ",</v>
      </c>
    </row>
    <row r="2232" spans="1:6" ht="15.75" customHeight="1">
      <c r="A2232" s="18">
        <v>2084023130</v>
      </c>
      <c r="B2232" s="18" t="s">
        <v>11262</v>
      </c>
      <c r="C2232" s="18" t="s">
        <v>18052</v>
      </c>
      <c r="D2232" s="5" t="str">
        <f ca="1">IFERROR(__xludf.DUMMYFUNCTION("GOOGLETRANSLATE(B2232,""ja"",""vi"")"),"Pajero")</f>
        <v>Pajero</v>
      </c>
      <c r="E2232" s="5" t="str">
        <f ca="1">IFERROR(__xludf.DUMMYFUNCTION("GOOGLETRANSLATE(C2232,""ja"",""vi"")"),"Đấu giá&gt; ô tô, xe máy&gt; Catalogue, danh sách phần, cuốn sách dịch vụ&gt; Mitsubishi&gt; Pajero")</f>
        <v>Đấu giá&gt; ô tô, xe máy&gt; Catalogue, danh sách phần, cuốn sách dịch vụ&gt; Mitsubishi&gt; Pajero</v>
      </c>
      <c r="F2232" t="str">
        <f t="shared" ca="1" si="34"/>
        <v>"2084023130" : "Pajero",</v>
      </c>
    </row>
    <row r="2233" spans="1:6" ht="15.75" customHeight="1">
      <c r="A2233" s="18">
        <v>2084023131</v>
      </c>
      <c r="B2233" s="18" t="s">
        <v>11268</v>
      </c>
      <c r="C2233" s="18" t="s">
        <v>18056</v>
      </c>
      <c r="D2233" s="5" t="str">
        <f ca="1">IFERROR(__xludf.DUMMYFUNCTION("GOOGLETRANSLATE(B2233,""ja"",""vi"")"),"Pajeroio")</f>
        <v>Pajeroio</v>
      </c>
      <c r="E2233" s="5" t="str">
        <f ca="1">IFERROR(__xludf.DUMMYFUNCTION("GOOGLETRANSLATE(C2233,""ja"",""vi"")"),"Đấu giá&gt; ô tô, xe máy&gt; Catalogue, danh sách phần, cuốn sách dịch vụ&gt; Mitsubishi&gt; Pajeroio")</f>
        <v>Đấu giá&gt; ô tô, xe máy&gt; Catalogue, danh sách phần, cuốn sách dịch vụ&gt; Mitsubishi&gt; Pajeroio</v>
      </c>
      <c r="F2233" t="str">
        <f t="shared" ca="1" si="34"/>
        <v>"2084023131" : "Pajeroio",</v>
      </c>
    </row>
    <row r="2234" spans="1:6" ht="15.75" customHeight="1">
      <c r="A2234" s="18">
        <v>2084023100</v>
      </c>
      <c r="B2234" s="18" t="s">
        <v>11272</v>
      </c>
      <c r="C2234" s="18" t="s">
        <v>18061</v>
      </c>
      <c r="D2234" s="5" t="str">
        <f ca="1">IFERROR(__xludf.DUMMYFUNCTION("GOOGLETRANSLATE(B2234,""ja"",""vi"")"),"Pajero Junior")</f>
        <v>Pajero Junior</v>
      </c>
      <c r="E2234" s="5" t="str">
        <f ca="1">IFERROR(__xludf.DUMMYFUNCTION("GOOGLETRANSLATE(C2234,""ja"",""vi"")"),"Đấu giá&gt; ô tô, xe máy&gt; Catalogue, danh sách phần, cuốn sách dịch vụ&gt; Mitsubishi&gt; Pajero Junior")</f>
        <v>Đấu giá&gt; ô tô, xe máy&gt; Catalogue, danh sách phần, cuốn sách dịch vụ&gt; Mitsubishi&gt; Pajero Junior</v>
      </c>
      <c r="F2234" t="str">
        <f t="shared" ca="1" si="34"/>
        <v>"2084023100" : "Pajero Junior",</v>
      </c>
    </row>
    <row r="2235" spans="1:6" ht="15.75" customHeight="1">
      <c r="A2235" s="18">
        <v>2084023101</v>
      </c>
      <c r="B2235" s="18" t="s">
        <v>11277</v>
      </c>
      <c r="C2235" s="18" t="s">
        <v>18066</v>
      </c>
      <c r="D2235" s="5" t="str">
        <f ca="1">IFERROR(__xludf.DUMMYFUNCTION("GOOGLETRANSLATE(B2235,""ja"",""vi"")"),"Pajero Mini")</f>
        <v>Pajero Mini</v>
      </c>
      <c r="E2235" s="5" t="str">
        <f ca="1">IFERROR(__xludf.DUMMYFUNCTION("GOOGLETRANSLATE(C2235,""ja"",""vi"")"),"Đấu giá&gt; ô tô, xe máy&gt; Catalogue, danh sách phần, cuốn sách dịch vụ&gt; Mitsubishi&gt; Pajero Mini")</f>
        <v>Đấu giá&gt; ô tô, xe máy&gt; Catalogue, danh sách phần, cuốn sách dịch vụ&gt; Mitsubishi&gt; Pajero Mini</v>
      </c>
      <c r="F2235" t="str">
        <f t="shared" ca="1" si="34"/>
        <v>"2084023101" : "Pajero Mini",</v>
      </c>
    </row>
    <row r="2236" spans="1:6" ht="15.75" customHeight="1">
      <c r="A2236" s="18">
        <v>2084023103</v>
      </c>
      <c r="B2236" s="18" t="s">
        <v>11288</v>
      </c>
      <c r="C2236" s="18" t="s">
        <v>18070</v>
      </c>
      <c r="D2236" s="5" t="str">
        <f ca="1">IFERROR(__xludf.DUMMYFUNCTION("GOOGLETRANSLATE(B2236,""ja"",""vi"")"),"người đi ám sát")</f>
        <v>người đi ám sát</v>
      </c>
      <c r="E2236" s="5" t="str">
        <f ca="1">IFERROR(__xludf.DUMMYFUNCTION("GOOGLETRANSLATE(C2236,""ja"",""vi"")"),"Đấu giá&gt; ô tô, xe máy&gt; Catalogue, danh sách phần, cuốn sách dịch vụ&gt; Mitsubishi&gt; Bravo")</f>
        <v>Đấu giá&gt; ô tô, xe máy&gt; Catalogue, danh sách phần, cuốn sách dịch vụ&gt; Mitsubishi&gt; Bravo</v>
      </c>
      <c r="F2236" t="str">
        <f t="shared" ca="1" si="34"/>
        <v>"2084023103" : "người đi ám sát",</v>
      </c>
    </row>
    <row r="2237" spans="1:6" ht="15.75" customHeight="1">
      <c r="A2237" s="18">
        <v>2084023102</v>
      </c>
      <c r="B2237" s="18" t="s">
        <v>11294</v>
      </c>
      <c r="C2237" s="18" t="s">
        <v>18076</v>
      </c>
      <c r="D2237" s="5" t="str">
        <f ca="1">IFERROR(__xludf.DUMMYFUNCTION("GOOGLETRANSLATE(B2237,""ja"",""vi"")"),"Puraudia")</f>
        <v>Puraudia</v>
      </c>
      <c r="E2237" s="5" t="str">
        <f ca="1">IFERROR(__xludf.DUMMYFUNCTION("GOOGLETRANSLATE(C2237,""ja"",""vi"")"),"Đấu giá&gt; ô tô, xe máy&gt; Catalogue, danh sách phần, cuốn sách dịch vụ&gt; Mitsubishi&gt; Puraudia")</f>
        <v>Đấu giá&gt; ô tô, xe máy&gt; Catalogue, danh sách phần, cuốn sách dịch vụ&gt; Mitsubishi&gt; Puraudia</v>
      </c>
      <c r="F2237" t="str">
        <f t="shared" ca="1" si="34"/>
        <v>"2084023102" : "Puraudia",</v>
      </c>
    </row>
    <row r="2238" spans="1:6" ht="15.75" customHeight="1">
      <c r="A2238" s="18">
        <v>2084023104</v>
      </c>
      <c r="B2238" s="18" t="s">
        <v>11299</v>
      </c>
      <c r="C2238" s="18" t="s">
        <v>18082</v>
      </c>
      <c r="D2238" s="5" t="str">
        <f ca="1">IFERROR(__xludf.DUMMYFUNCTION("GOOGLETRANSLATE(B2238,""ja"",""vi"")"),"Minica")</f>
        <v>Minica</v>
      </c>
      <c r="E2238" s="5" t="str">
        <f ca="1">IFERROR(__xludf.DUMMYFUNCTION("GOOGLETRANSLATE(C2238,""ja"",""vi"")"),"Đấu giá&gt; ô tô, xe máy&gt; Catalogue, danh sách phần, cuốn sách dịch vụ&gt; Mitsubishi&gt; Minica")</f>
        <v>Đấu giá&gt; ô tô, xe máy&gt; Catalogue, danh sách phần, cuốn sách dịch vụ&gt; Mitsubishi&gt; Minica</v>
      </c>
      <c r="F2238" t="str">
        <f t="shared" ca="1" si="34"/>
        <v>"2084023104" : "Minica",</v>
      </c>
    </row>
    <row r="2239" spans="1:6" ht="15.75" customHeight="1">
      <c r="A2239" s="18">
        <v>2084023105</v>
      </c>
      <c r="B2239" s="18" t="s">
        <v>11324</v>
      </c>
      <c r="C2239" s="18" t="s">
        <v>18087</v>
      </c>
      <c r="D2239" s="5" t="str">
        <f ca="1">IFERROR(__xludf.DUMMYFUNCTION("GOOGLETRANSLATE(B2239,""ja"",""vi"")"),"ảo ảnh")</f>
        <v>ảo ảnh</v>
      </c>
      <c r="E2239" s="5" t="str">
        <f ca="1">IFERROR(__xludf.DUMMYFUNCTION("GOOGLETRANSLATE(C2239,""ja"",""vi"")"),"Đấu giá&gt; ô tô, xe máy&gt; Catalogue, danh sách phần, cuốn sách dịch vụ&gt; Mitsubishi&gt; Mirage")</f>
        <v>Đấu giá&gt; ô tô, xe máy&gt; Catalogue, danh sách phần, cuốn sách dịch vụ&gt; Mitsubishi&gt; Mirage</v>
      </c>
      <c r="F2239" t="str">
        <f t="shared" ca="1" si="34"/>
        <v>"2084023105" : "ảo ảnh",</v>
      </c>
    </row>
    <row r="2240" spans="1:6" ht="15.75" customHeight="1">
      <c r="A2240" s="18">
        <v>2084023106</v>
      </c>
      <c r="B2240" s="18" t="s">
        <v>11328</v>
      </c>
      <c r="C2240" s="18" t="s">
        <v>18092</v>
      </c>
      <c r="D2240" s="5" t="str">
        <f ca="1">IFERROR(__xludf.DUMMYFUNCTION("GOOGLETRANSLATE(B2240,""ja"",""vi"")"),"Mirage Dingo")</f>
        <v>Mirage Dingo</v>
      </c>
      <c r="E2240" s="5" t="str">
        <f ca="1">IFERROR(__xludf.DUMMYFUNCTION("GOOGLETRANSLATE(C2240,""ja"",""vi"")"),"Đấu giá&gt; ô tô, xe máy&gt; Catalogue, danh sách phần, cuốn sách dịch vụ&gt; Mitsubishi&gt; Mirage Dingo")</f>
        <v>Đấu giá&gt; ô tô, xe máy&gt; Catalogue, danh sách phần, cuốn sách dịch vụ&gt; Mitsubishi&gt; Mirage Dingo</v>
      </c>
      <c r="F2240" t="str">
        <f t="shared" ca="1" si="34"/>
        <v>"2084023106" : "Mirage Dingo",</v>
      </c>
    </row>
    <row r="2241" spans="1:6" ht="15.75" customHeight="1">
      <c r="A2241" s="18">
        <v>2084023107</v>
      </c>
      <c r="B2241" s="18" t="s">
        <v>11333</v>
      </c>
      <c r="C2241" s="18" t="s">
        <v>18098</v>
      </c>
      <c r="D2241" s="5" t="str">
        <f ca="1">IFERROR(__xludf.DUMMYFUNCTION("GOOGLETRANSLATE(B2241,""ja"",""vi"")"),"kỵ binh cầm thương")</f>
        <v>kỵ binh cầm thương</v>
      </c>
      <c r="E2241" s="5" t="str">
        <f ca="1">IFERROR(__xludf.DUMMYFUNCTION("GOOGLETRANSLATE(C2241,""ja"",""vi"")"),"Đấu giá&gt; ô tô, xe máy&gt; Catalogue, danh sách phần, cuốn sách dịch vụ&gt; Mitsubishi&gt; Lancer")</f>
        <v>Đấu giá&gt; ô tô, xe máy&gt; Catalogue, danh sách phần, cuốn sách dịch vụ&gt; Mitsubishi&gt; Lancer</v>
      </c>
      <c r="F2241" t="str">
        <f t="shared" ca="1" si="34"/>
        <v>"2084023107" : "kỵ binh cầm thương",</v>
      </c>
    </row>
    <row r="2242" spans="1:6" ht="15.75" customHeight="1">
      <c r="A2242" s="18">
        <v>2084023108</v>
      </c>
      <c r="B2242" s="18" t="s">
        <v>11354</v>
      </c>
      <c r="C2242" s="18" t="s">
        <v>18102</v>
      </c>
      <c r="D2242" s="5" t="str">
        <f ca="1">IFERROR(__xludf.DUMMYFUNCTION("GOOGLETRANSLATE(B2242,""ja"",""vi"")"),"Libero")</f>
        <v>Libero</v>
      </c>
      <c r="E2242" s="5" t="str">
        <f ca="1">IFERROR(__xludf.DUMMYFUNCTION("GOOGLETRANSLATE(C2242,""ja"",""vi"")"),"Đấu giá&gt; ô tô, xe máy&gt; Catalogue, danh sách phần, cuốn sách dịch vụ&gt; Mitsubishi&gt; Libero")</f>
        <v>Đấu giá&gt; ô tô, xe máy&gt; Catalogue, danh sách phần, cuốn sách dịch vụ&gt; Mitsubishi&gt; Libero</v>
      </c>
      <c r="F2242" t="str">
        <f t="shared" ref="F2242:F2305" ca="1" si="35">CONCATENATE(CHAR(34)&amp;"",A2242,""&amp;CHAR(34)," : ", CHAR(34)&amp;"",D2242,""&amp;CHAR(34),",")</f>
        <v>"2084023108" : "Libero",</v>
      </c>
    </row>
    <row r="2243" spans="1:6" ht="15.75" customHeight="1">
      <c r="A2243" s="18">
        <v>2084023109</v>
      </c>
      <c r="B2243" s="18" t="s">
        <v>11361</v>
      </c>
      <c r="C2243" s="18" t="s">
        <v>18107</v>
      </c>
      <c r="D2243" s="5" t="str">
        <f ca="1">IFERROR(__xludf.DUMMYFUNCTION("GOOGLETRANSLATE(B2243,""ja"",""vi"")"),"Regnum")</f>
        <v>Regnum</v>
      </c>
      <c r="E2243" s="5" t="str">
        <f ca="1">IFERROR(__xludf.DUMMYFUNCTION("GOOGLETRANSLATE(C2243,""ja"",""vi"")"),"Đấu giá&gt; ô tô, xe máy&gt; Catalogue, danh sách phần, cuốn sách dịch vụ&gt; Mitsubishi&gt; Regnum")</f>
        <v>Đấu giá&gt; ô tô, xe máy&gt; Catalogue, danh sách phần, cuốn sách dịch vụ&gt; Mitsubishi&gt; Regnum</v>
      </c>
      <c r="F2243" t="str">
        <f t="shared" ca="1" si="35"/>
        <v>"2084023109" : "Regnum",</v>
      </c>
    </row>
    <row r="2244" spans="1:6" ht="15.75" customHeight="1">
      <c r="A2244" s="18">
        <v>2084023121</v>
      </c>
      <c r="B2244" s="18" t="s">
        <v>46</v>
      </c>
      <c r="C2244" s="18" t="s">
        <v>18112</v>
      </c>
      <c r="D2244" s="5" t="str">
        <f ca="1">IFERROR(__xludf.DUMMYFUNCTION("GOOGLETRANSLATE(B2244,""ja"",""vi"")"),"nếu không thì")</f>
        <v>nếu không thì</v>
      </c>
      <c r="E2244" s="5" t="str">
        <f ca="1">IFERROR(__xludf.DUMMYFUNCTION("GOOGLETRANSLATE(C2244,""ja"",""vi"")"),"Đấu giá&gt; ô tô, xe máy&gt; Catalogue, danh sách phần, cuốn sách dịch vụ&gt; Mitsubishi&gt; Khác")</f>
        <v>Đấu giá&gt; ô tô, xe máy&gt; Catalogue, danh sách phần, cuốn sách dịch vụ&gt; Mitsubishi&gt; Khác</v>
      </c>
      <c r="F2244" t="str">
        <f t="shared" ca="1" si="35"/>
        <v>"2084023121" : "nếu không thì",</v>
      </c>
    </row>
    <row r="2245" spans="1:6" ht="15.75" customHeight="1">
      <c r="A2245" s="18">
        <v>2084016717</v>
      </c>
      <c r="B2245" s="18" t="s">
        <v>18115</v>
      </c>
      <c r="C2245" s="18" t="s">
        <v>18116</v>
      </c>
      <c r="D2245" s="5" t="str">
        <f ca="1">IFERROR(__xludf.DUMMYFUNCTION("GOOGLETRANSLATE(B2245,""ja"",""vi"")"),"180SX")</f>
        <v>180SX</v>
      </c>
      <c r="E2245" s="5" t="str">
        <f ca="1">IFERROR(__xludf.DUMMYFUNCTION("GOOGLETRANSLATE(C2245,""ja"",""vi"")"),"Đấu giá&gt; ô tô, xe máy&gt; Catalogue, danh sách phần, cuốn sách dịch vụ&gt; Nissan&gt; 180SX")</f>
        <v>Đấu giá&gt; ô tô, xe máy&gt; Catalogue, danh sách phần, cuốn sách dịch vụ&gt; Nissan&gt; 180SX</v>
      </c>
      <c r="F2245" t="str">
        <f t="shared" ca="1" si="35"/>
        <v>"2084016717" : "180SX",</v>
      </c>
    </row>
    <row r="2246" spans="1:6" ht="15.75" customHeight="1">
      <c r="A2246" s="18">
        <v>2084016718</v>
      </c>
      <c r="B2246" s="18" t="s">
        <v>18121</v>
      </c>
      <c r="C2246" s="18" t="s">
        <v>18122</v>
      </c>
      <c r="D2246" s="5" t="str">
        <f ca="1">IFERROR(__xludf.DUMMYFUNCTION("GOOGLETRANSLATE(B2246,""ja"",""vi"")"),"240SX")</f>
        <v>240SX</v>
      </c>
      <c r="E2246" s="5" t="str">
        <f ca="1">IFERROR(__xludf.DUMMYFUNCTION("GOOGLETRANSLATE(C2246,""ja"",""vi"")"),"Đấu giá&gt; ô tô, xe máy&gt; Catalogue, danh sách phần, cuốn sách dịch vụ&gt; Nissan&gt; 240SX")</f>
        <v>Đấu giá&gt; ô tô, xe máy&gt; Catalogue, danh sách phần, cuốn sách dịch vụ&gt; Nissan&gt; 240SX</v>
      </c>
      <c r="F2246" t="str">
        <f t="shared" ca="1" si="35"/>
        <v>"2084016718" : "240SX",</v>
      </c>
    </row>
    <row r="2247" spans="1:6" ht="15.75" customHeight="1">
      <c r="A2247" s="18">
        <v>2084016719</v>
      </c>
      <c r="B2247" s="18" t="s">
        <v>11387</v>
      </c>
      <c r="C2247" s="18" t="s">
        <v>18127</v>
      </c>
      <c r="D2247" s="5" t="str">
        <f ca="1">IFERROR(__xludf.DUMMYFUNCTION("GOOGLETRANSLATE(B2247,""ja"",""vi"")"),"Be-1")</f>
        <v>Be-1</v>
      </c>
      <c r="E2247" s="5" t="str">
        <f ca="1">IFERROR(__xludf.DUMMYFUNCTION("GOOGLETRANSLATE(C2247,""ja"",""vi"")"),"Đấu giá&gt; ô tô, xe máy&gt; Catalogue, danh sách phần, cuốn sách dịch vụ&gt; Nissan&gt; Be-1")</f>
        <v>Đấu giá&gt; ô tô, xe máy&gt; Catalogue, danh sách phần, cuốn sách dịch vụ&gt; Nissan&gt; Be-1</v>
      </c>
      <c r="F2247" t="str">
        <f t="shared" ca="1" si="35"/>
        <v>"2084016719" : "Be-1",</v>
      </c>
    </row>
    <row r="2248" spans="1:6" ht="15.75" customHeight="1">
      <c r="A2248" s="18">
        <v>2084016720</v>
      </c>
      <c r="B2248" s="18" t="s">
        <v>18129</v>
      </c>
      <c r="C2248" s="18" t="s">
        <v>18130</v>
      </c>
      <c r="D2248" s="5" t="str">
        <f ca="1">IFERROR(__xludf.DUMMYFUNCTION("GOOGLETRANSLATE(B2248,""ja"",""vi"")"),"EXA")</f>
        <v>EXA</v>
      </c>
      <c r="E2248" s="5" t="str">
        <f ca="1">IFERROR(__xludf.DUMMYFUNCTION("GOOGLETRANSLATE(C2248,""ja"",""vi"")"),"Đấu giá&gt; ô tô, xe máy&gt; Catalogue, danh sách phần, cuốn sách dịch vụ&gt; Nissan&gt; EXA")</f>
        <v>Đấu giá&gt; ô tô, xe máy&gt; Catalogue, danh sách phần, cuốn sách dịch vụ&gt; Nissan&gt; EXA</v>
      </c>
      <c r="F2248" t="str">
        <f t="shared" ca="1" si="35"/>
        <v>"2084016720" : "EXA",</v>
      </c>
    </row>
    <row r="2249" spans="1:6" ht="15.75" customHeight="1">
      <c r="A2249" s="18">
        <v>2084016721</v>
      </c>
      <c r="B2249" s="18" t="s">
        <v>11413</v>
      </c>
      <c r="C2249" s="18" t="s">
        <v>18132</v>
      </c>
      <c r="D2249" s="5" t="str">
        <f ca="1">IFERROR(__xludf.DUMMYFUNCTION("GOOGLETRANSLATE(B2249,""ja"",""vi"")"),"NX coupe")</f>
        <v>NX coupe</v>
      </c>
      <c r="E2249" s="5" t="str">
        <f ca="1">IFERROR(__xludf.DUMMYFUNCTION("GOOGLETRANSLATE(C2249,""ja"",""vi"")"),"Đấu giá&gt; ô tô, xe máy&gt; Catalogue, danh sách phần, cuốn sách dịch vụ&gt; Nissan&gt; NX coupe")</f>
        <v>Đấu giá&gt; ô tô, xe máy&gt; Catalogue, danh sách phần, cuốn sách dịch vụ&gt; Nissan&gt; NX coupe</v>
      </c>
      <c r="F2249" t="str">
        <f t="shared" ca="1" si="35"/>
        <v>"2084016721" : "NX coupe",</v>
      </c>
    </row>
    <row r="2250" spans="1:6" ht="15.75" customHeight="1">
      <c r="A2250" s="18">
        <v>2084016722</v>
      </c>
      <c r="B2250" s="18" t="s">
        <v>11423</v>
      </c>
      <c r="C2250" s="18" t="s">
        <v>18137</v>
      </c>
      <c r="D2250" s="5" t="str">
        <f ca="1">IFERROR(__xludf.DUMMYFUNCTION("GOOGLETRANSLATE(B2250,""ja"",""vi"")"),"Avenir")</f>
        <v>Avenir</v>
      </c>
      <c r="E2250" s="5" t="str">
        <f ca="1">IFERROR(__xludf.DUMMYFUNCTION("GOOGLETRANSLATE(C2250,""ja"",""vi"")"),"Đấu giá&gt; ô tô, xe máy&gt; Catalogue, danh sách phần, cuốn sách dịch vụ&gt; Nissan&gt; Avenir")</f>
        <v>Đấu giá&gt; ô tô, xe máy&gt; Catalogue, danh sách phần, cuốn sách dịch vụ&gt; Nissan&gt; Avenir</v>
      </c>
      <c r="F2250" t="str">
        <f t="shared" ca="1" si="35"/>
        <v>"2084016722" : "Avenir",</v>
      </c>
    </row>
    <row r="2251" spans="1:6" ht="15.75" customHeight="1">
      <c r="A2251" s="18">
        <v>2084016723</v>
      </c>
      <c r="B2251" s="18" t="s">
        <v>18140</v>
      </c>
      <c r="C2251" s="18" t="s">
        <v>18142</v>
      </c>
      <c r="D2251" s="5" t="str">
        <f ca="1">IFERROR(__xludf.DUMMYFUNCTION("GOOGLETRANSLATE(B2251,""ja"",""vi"")"),"Wing đường")</f>
        <v>Wing đường</v>
      </c>
      <c r="E2251" s="5" t="str">
        <f ca="1">IFERROR(__xludf.DUMMYFUNCTION("GOOGLETRANSLATE(C2251,""ja"",""vi"")"),"Đấu giá&gt; ô tô, xe máy&gt; Catalogue, danh sách phần, cuốn sách dịch vụ&gt; Nissan&gt; Wingroad")</f>
        <v>Đấu giá&gt; ô tô, xe máy&gt; Catalogue, danh sách phần, cuốn sách dịch vụ&gt; Nissan&gt; Wingroad</v>
      </c>
      <c r="F2251" t="str">
        <f t="shared" ca="1" si="35"/>
        <v>"2084016723" : "Wing đường",</v>
      </c>
    </row>
    <row r="2252" spans="1:6" ht="15.75" customHeight="1">
      <c r="A2252" s="18">
        <v>2084016724</v>
      </c>
      <c r="B2252" s="18" t="s">
        <v>11460</v>
      </c>
      <c r="C2252" s="18" t="s">
        <v>18146</v>
      </c>
      <c r="D2252" s="5" t="str">
        <f ca="1">IFERROR(__xludf.DUMMYFUNCTION("GOOGLETRANSLATE(B2252,""ja"",""vi"")"),"X-TRAIL")</f>
        <v>X-TRAIL</v>
      </c>
      <c r="E2252" s="5" t="str">
        <f ca="1">IFERROR(__xludf.DUMMYFUNCTION("GOOGLETRANSLATE(C2252,""ja"",""vi"")"),"Đấu giá&gt; ô tô, xe máy&gt; Catalogue, danh sách phần, cuốn sách dịch vụ&gt; Nissan&gt; X-TRAIL")</f>
        <v>Đấu giá&gt; ô tô, xe máy&gt; Catalogue, danh sách phần, cuốn sách dịch vụ&gt; Nissan&gt; X-TRAIL</v>
      </c>
      <c r="F2252" t="str">
        <f t="shared" ca="1" si="35"/>
        <v>"2084016724" : "X-TRAIL",</v>
      </c>
    </row>
    <row r="2253" spans="1:6" ht="15.75" customHeight="1">
      <c r="A2253" s="18">
        <v>2084016725</v>
      </c>
      <c r="B2253" s="18" t="s">
        <v>11467</v>
      </c>
      <c r="C2253" s="18" t="s">
        <v>18149</v>
      </c>
      <c r="D2253" s="5" t="str">
        <f ca="1">IFERROR(__xludf.DUMMYFUNCTION("GOOGLETRANSLATE(B2253,""ja"",""vi"")"),"Escargot")</f>
        <v>Escargot</v>
      </c>
      <c r="E2253" s="5" t="str">
        <f ca="1">IFERROR(__xludf.DUMMYFUNCTION("GOOGLETRANSLATE(C2253,""ja"",""vi"")"),"Đấu giá&gt; ô tô, xe máy&gt; Catalogue, danh sách phần, cuốn sách dịch vụ&gt; Nissan&gt; escargot")</f>
        <v>Đấu giá&gt; ô tô, xe máy&gt; Catalogue, danh sách phần, cuốn sách dịch vụ&gt; Nissan&gt; escargot</v>
      </c>
      <c r="F2253" t="str">
        <f t="shared" ca="1" si="35"/>
        <v>"2084016725" : "Escargot",</v>
      </c>
    </row>
    <row r="2254" spans="1:6" ht="15.75" customHeight="1">
      <c r="A2254" s="18">
        <v>2084016726</v>
      </c>
      <c r="B2254" s="18" t="s">
        <v>11474</v>
      </c>
      <c r="C2254" s="18" t="s">
        <v>18150</v>
      </c>
      <c r="D2254" s="5" t="str">
        <f ca="1">IFERROR(__xludf.DUMMYFUNCTION("GOOGLETRANSLATE(B2254,""ja"",""vi"")"),"Elgrand")</f>
        <v>Elgrand</v>
      </c>
      <c r="E2254" s="5" t="str">
        <f ca="1">IFERROR(__xludf.DUMMYFUNCTION("GOOGLETRANSLATE(C2254,""ja"",""vi"")"),"Đấu giá&gt; ô tô, xe máy&gt; Catalogue, danh sách phần, cuốn sách dịch vụ&gt; Nissan&gt; Elgrand")</f>
        <v>Đấu giá&gt; ô tô, xe máy&gt; Catalogue, danh sách phần, cuốn sách dịch vụ&gt; Nissan&gt; Elgrand</v>
      </c>
      <c r="F2254" t="str">
        <f t="shared" ca="1" si="35"/>
        <v>"2084016726" : "Elgrand",</v>
      </c>
    </row>
    <row r="2255" spans="1:6" ht="15.75" customHeight="1">
      <c r="A2255" s="18">
        <v>2084016711</v>
      </c>
      <c r="B2255" s="18" t="s">
        <v>18156</v>
      </c>
      <c r="C2255" s="18" t="s">
        <v>18157</v>
      </c>
      <c r="D2255" s="5" t="str">
        <f ca="1">IFERROR(__xludf.DUMMYFUNCTION("GOOGLETRANSLATE(B2255,""ja"",""vi"")"),"Gazeru")</f>
        <v>Gazeru</v>
      </c>
      <c r="E2255" s="5" t="str">
        <f ca="1">IFERROR(__xludf.DUMMYFUNCTION("GOOGLETRANSLATE(C2255,""ja"",""vi"")"),"Đấu giá&gt; ô tô, xe máy&gt; Catalogue, danh sách phần, cuốn sách dịch vụ&gt; Nissan&gt; Gazeru")</f>
        <v>Đấu giá&gt; ô tô, xe máy&gt; Catalogue, danh sách phần, cuốn sách dịch vụ&gt; Nissan&gt; Gazeru</v>
      </c>
      <c r="F2255" t="str">
        <f t="shared" ca="1" si="35"/>
        <v>"2084016711" : "Gazeru",</v>
      </c>
    </row>
    <row r="2256" spans="1:6" ht="15.75" customHeight="1">
      <c r="A2256" s="18">
        <v>2084016712</v>
      </c>
      <c r="B2256" s="18" t="s">
        <v>18161</v>
      </c>
      <c r="C2256" s="18" t="s">
        <v>18163</v>
      </c>
      <c r="D2256" s="5" t="str">
        <f ca="1">IFERROR(__xludf.DUMMYFUNCTION("GOOGLETRANSLATE(B2256,""ja"",""vi"")"),"đoàn bộ hành")</f>
        <v>đoàn bộ hành</v>
      </c>
      <c r="E2256" s="5" t="str">
        <f ca="1">IFERROR(__xludf.DUMMYFUNCTION("GOOGLETRANSLATE(C2256,""ja"",""vi"")"),"Đấu giá&gt; ô tô, xe máy&gt; Catalogue, danh sách phần, cuốn sách dịch vụ&gt; Nissan&gt; Caravan")</f>
        <v>Đấu giá&gt; ô tô, xe máy&gt; Catalogue, danh sách phần, cuốn sách dịch vụ&gt; Nissan&gt; Caravan</v>
      </c>
      <c r="F2256" t="str">
        <f t="shared" ca="1" si="35"/>
        <v>"2084016712" : "đoàn bộ hành",</v>
      </c>
    </row>
    <row r="2257" spans="1:6" ht="15.75" customHeight="1">
      <c r="A2257" s="18">
        <v>2084016713</v>
      </c>
      <c r="B2257" s="18" t="s">
        <v>11507</v>
      </c>
      <c r="C2257" s="18" t="s">
        <v>18167</v>
      </c>
      <c r="D2257" s="5" t="str">
        <f ca="1">IFERROR(__xludf.DUMMYFUNCTION("GOOGLETRANSLATE(B2257,""ja"",""vi"")"),"hình lập phương")</f>
        <v>hình lập phương</v>
      </c>
      <c r="E2257" s="5" t="str">
        <f ca="1">IFERROR(__xludf.DUMMYFUNCTION("GOOGLETRANSLATE(C2257,""ja"",""vi"")"),"Đấu giá&gt; ô tô, xe máy&gt; Catalogue, danh sách phần, cuốn sách dịch vụ&gt; Nissan&gt; Cube")</f>
        <v>Đấu giá&gt; ô tô, xe máy&gt; Catalogue, danh sách phần, cuốn sách dịch vụ&gt; Nissan&gt; Cube</v>
      </c>
      <c r="F2257" t="str">
        <f t="shared" ca="1" si="35"/>
        <v>"2084016713" : "hình lập phương",</v>
      </c>
    </row>
    <row r="2258" spans="1:6" ht="15.75" customHeight="1">
      <c r="A2258" s="18">
        <v>2084016714</v>
      </c>
      <c r="B2258" s="18" t="s">
        <v>11525</v>
      </c>
      <c r="C2258" s="18" t="s">
        <v>18175</v>
      </c>
      <c r="D2258" s="5" t="str">
        <f ca="1">IFERROR(__xludf.DUMMYFUNCTION("GOOGLETRANSLATE(B2258,""ja"",""vi"")"),"đội")</f>
        <v>đội</v>
      </c>
      <c r="E2258" s="5" t="str">
        <f ca="1">IFERROR(__xludf.DUMMYFUNCTION("GOOGLETRANSLATE(C2258,""ja"",""vi"")"),"Đấu giá&gt; ô tô, xe máy&gt; Catalogue, danh sách phần, cuốn sách dịch vụ&gt; Nissan&gt; Crew")</f>
        <v>Đấu giá&gt; ô tô, xe máy&gt; Catalogue, danh sách phần, cuốn sách dịch vụ&gt; Nissan&gt; Crew</v>
      </c>
      <c r="F2258" t="str">
        <f t="shared" ca="1" si="35"/>
        <v>"2084016714" : "đội",</v>
      </c>
    </row>
    <row r="2259" spans="1:6" ht="15.75" customHeight="1">
      <c r="A2259" s="18">
        <v>2084016715</v>
      </c>
      <c r="B2259" s="18" t="s">
        <v>11528</v>
      </c>
      <c r="C2259" s="18" t="s">
        <v>18179</v>
      </c>
      <c r="D2259" s="5" t="str">
        <f ca="1">IFERROR(__xludf.DUMMYFUNCTION("GOOGLETRANSLATE(B2259,""ja"",""vi"")"),"Gloria")</f>
        <v>Gloria</v>
      </c>
      <c r="E2259" s="5" t="str">
        <f ca="1">IFERROR(__xludf.DUMMYFUNCTION("GOOGLETRANSLATE(C2259,""ja"",""vi"")"),"Đấu giá&gt; ô tô, xe máy&gt; Catalogue, danh sách phần, cuốn sách dịch vụ&gt; Nissan&gt; Gloria")</f>
        <v>Đấu giá&gt; ô tô, xe máy&gt; Catalogue, danh sách phần, cuốn sách dịch vụ&gt; Nissan&gt; Gloria</v>
      </c>
      <c r="F2259" t="str">
        <f t="shared" ca="1" si="35"/>
        <v>"2084016715" : "Gloria",</v>
      </c>
    </row>
    <row r="2260" spans="1:6" ht="15.75" customHeight="1">
      <c r="A2260" s="18">
        <v>2084016716</v>
      </c>
      <c r="B2260" s="18" t="s">
        <v>11553</v>
      </c>
      <c r="C2260" s="18" t="s">
        <v>18185</v>
      </c>
      <c r="D2260" s="5" t="str">
        <f ca="1">IFERROR(__xludf.DUMMYFUNCTION("GOOGLETRANSLATE(B2260,""ja"",""vi"")"),"nắng")</f>
        <v>nắng</v>
      </c>
      <c r="E2260" s="5" t="str">
        <f ca="1">IFERROR(__xludf.DUMMYFUNCTION("GOOGLETRANSLATE(C2260,""ja"",""vi"")"),"Đấu giá&gt; ô tô, xe máy&gt; Catalogue, danh sách phần, cuốn sách dịch vụ&gt; Nissan&gt; Sunny")</f>
        <v>Đấu giá&gt; ô tô, xe máy&gt; Catalogue, danh sách phần, cuốn sách dịch vụ&gt; Nissan&gt; Sunny</v>
      </c>
      <c r="F2260" t="str">
        <f t="shared" ca="1" si="35"/>
        <v>"2084016716" : "nắng",</v>
      </c>
    </row>
    <row r="2261" spans="1:6" ht="15.75" customHeight="1">
      <c r="A2261" s="18">
        <v>2084016701</v>
      </c>
      <c r="B2261" s="18" t="s">
        <v>11566</v>
      </c>
      <c r="C2261" s="18" t="s">
        <v>18188</v>
      </c>
      <c r="D2261" s="5" t="str">
        <f ca="1">IFERROR(__xludf.DUMMYFUNCTION("GOOGLETRANSLATE(B2261,""ja"",""vi"")"),"Safari")</f>
        <v>Safari</v>
      </c>
      <c r="E2261" s="5" t="str">
        <f ca="1">IFERROR(__xludf.DUMMYFUNCTION("GOOGLETRANSLATE(C2261,""ja"",""vi"")"),"Đấu giá&gt; ô tô, xe máy&gt; Catalogue, danh sách phần, cuốn sách dịch vụ&gt; Nissan&gt; Safari")</f>
        <v>Đấu giá&gt; ô tô, xe máy&gt; Catalogue, danh sách phần, cuốn sách dịch vụ&gt; Nissan&gt; Safari</v>
      </c>
      <c r="F2261" t="str">
        <f t="shared" ca="1" si="35"/>
        <v>"2084016701" : "Safari",</v>
      </c>
    </row>
    <row r="2262" spans="1:6" ht="15.75" customHeight="1">
      <c r="A2262" s="18">
        <v>2084016702</v>
      </c>
      <c r="B2262" s="18" t="s">
        <v>11572</v>
      </c>
      <c r="C2262" s="18" t="s">
        <v>18192</v>
      </c>
      <c r="D2262" s="5" t="str">
        <f ca="1">IFERROR(__xludf.DUMMYFUNCTION("GOOGLETRANSLATE(B2262,""ja"",""vi"")"),"Cima")</f>
        <v>Cima</v>
      </c>
      <c r="E2262" s="5" t="str">
        <f ca="1">IFERROR(__xludf.DUMMYFUNCTION("GOOGLETRANSLATE(C2262,""ja"",""vi"")"),"Đấu giá&gt; ô tô, xe máy&gt; Catalogue, danh sách phần, cuốn sách dịch vụ&gt; Nissan&gt; Cima")</f>
        <v>Đấu giá&gt; ô tô, xe máy&gt; Catalogue, danh sách phần, cuốn sách dịch vụ&gt; Nissan&gt; Cima</v>
      </c>
      <c r="F2262" t="str">
        <f t="shared" ca="1" si="35"/>
        <v>"2084016702" : "Cima",</v>
      </c>
    </row>
    <row r="2263" spans="1:6" ht="15.75" customHeight="1">
      <c r="A2263" s="18">
        <v>2084016703</v>
      </c>
      <c r="B2263" s="18" t="s">
        <v>11578</v>
      </c>
      <c r="C2263" s="18" t="s">
        <v>18197</v>
      </c>
      <c r="D2263" s="5" t="str">
        <f ca="1">IFERROR(__xludf.DUMMYFUNCTION("GOOGLETRANSLATE(B2263,""ja"",""vi"")"),"thường dân")</f>
        <v>thường dân</v>
      </c>
      <c r="E2263" s="5" t="str">
        <f ca="1">IFERROR(__xludf.DUMMYFUNCTION("GOOGLETRANSLATE(C2263,""ja"",""vi"")"),"Đấu giá&gt; ô tô, xe máy&gt; Catalogue, danh sách phần, cuốn sách dịch vụ&gt; Nissan&gt; Dân")</f>
        <v>Đấu giá&gt; ô tô, xe máy&gt; Catalogue, danh sách phần, cuốn sách dịch vụ&gt; Nissan&gt; Dân</v>
      </c>
      <c r="F2263" t="str">
        <f t="shared" ca="1" si="35"/>
        <v>"2084016703" : "thường dân",</v>
      </c>
    </row>
    <row r="2264" spans="1:6" ht="15.75" customHeight="1">
      <c r="A2264" s="18">
        <v>2084016704</v>
      </c>
      <c r="B2264" s="18" t="s">
        <v>11584</v>
      </c>
      <c r="C2264" s="18" t="s">
        <v>18199</v>
      </c>
      <c r="D2264" s="5" t="str">
        <f ca="1">IFERROR(__xludf.DUMMYFUNCTION("GOOGLETRANSLATE(B2264,""ja"",""vi"")"),"Silvia")</f>
        <v>Silvia</v>
      </c>
      <c r="E2264" s="5" t="str">
        <f ca="1">IFERROR(__xludf.DUMMYFUNCTION("GOOGLETRANSLATE(C2264,""ja"",""vi"")"),"Đấu giá&gt; ô tô, xe máy&gt; Catalogue, danh sách phần, cuốn sách dịch vụ&gt; Nissan&gt; Silvia")</f>
        <v>Đấu giá&gt; ô tô, xe máy&gt; Catalogue, danh sách phần, cuốn sách dịch vụ&gt; Nissan&gt; Silvia</v>
      </c>
      <c r="F2264" t="str">
        <f t="shared" ca="1" si="35"/>
        <v>"2084016704" : "Silvia",</v>
      </c>
    </row>
    <row r="2265" spans="1:6" ht="15.75" customHeight="1">
      <c r="A2265" s="18">
        <v>2084016705</v>
      </c>
      <c r="B2265" s="18" t="s">
        <v>11595</v>
      </c>
      <c r="C2265" s="18" t="s">
        <v>18203</v>
      </c>
      <c r="D2265" s="5" t="str">
        <f ca="1">IFERROR(__xludf.DUMMYFUNCTION("GOOGLETRANSLATE(B2265,""ja"",""vi"")"),"chân trời")</f>
        <v>chân trời</v>
      </c>
      <c r="E2265" s="5" t="str">
        <f ca="1">IFERROR(__xludf.DUMMYFUNCTION("GOOGLETRANSLATE(C2265,""ja"",""vi"")"),"Đấu giá&gt; ô tô, xe máy&gt; Catalogue, danh sách phần, cuốn sách dịch vụ&gt; Nissan&gt; Skyline")</f>
        <v>Đấu giá&gt; ô tô, xe máy&gt; Catalogue, danh sách phần, cuốn sách dịch vụ&gt; Nissan&gt; Skyline</v>
      </c>
      <c r="F2265" t="str">
        <f t="shared" ca="1" si="35"/>
        <v>"2084016705" : "chân trời",</v>
      </c>
    </row>
    <row r="2266" spans="1:6" ht="15.75" customHeight="1">
      <c r="A2266" s="18">
        <v>2084016706</v>
      </c>
      <c r="B2266" s="18" t="s">
        <v>11617</v>
      </c>
      <c r="C2266" s="18" t="s">
        <v>18205</v>
      </c>
      <c r="D2266" s="5" t="str">
        <f ca="1">IFERROR(__xludf.DUMMYFUNCTION("GOOGLETRANSLATE(B2266,""ja"",""vi"")"),"Stagea")</f>
        <v>Stagea</v>
      </c>
      <c r="E2266" s="5" t="str">
        <f ca="1">IFERROR(__xludf.DUMMYFUNCTION("GOOGLETRANSLATE(C2266,""ja"",""vi"")"),"Đấu giá&gt; ô tô, xe máy&gt; Catalogue, danh sách phần, cuốn sách dịch vụ&gt; Nissan&gt; Stagea")</f>
        <v>Đấu giá&gt; ô tô, xe máy&gt; Catalogue, danh sách phần, cuốn sách dịch vụ&gt; Nissan&gt; Stagea</v>
      </c>
      <c r="F2266" t="str">
        <f t="shared" ca="1" si="35"/>
        <v>"2084016706" : "Stagea",</v>
      </c>
    </row>
    <row r="2267" spans="1:6" ht="15.75" customHeight="1">
      <c r="A2267" s="18">
        <v>2084016707</v>
      </c>
      <c r="B2267" s="18" t="s">
        <v>11623</v>
      </c>
      <c r="C2267" s="18" t="s">
        <v>18208</v>
      </c>
      <c r="D2267" s="5" t="str">
        <f ca="1">IFERROR(__xludf.DUMMYFUNCTION("GOOGLETRANSLATE(B2267,""ja"",""vi"")"),"Cedric")</f>
        <v>Cedric</v>
      </c>
      <c r="E2267" s="5" t="str">
        <f ca="1">IFERROR(__xludf.DUMMYFUNCTION("GOOGLETRANSLATE(C2267,""ja"",""vi"")"),"Đấu giá&gt; ô tô, xe máy&gt; Catalogue, danh sách phần, cuốn sách dịch vụ&gt; Nissan&gt; Cedric")</f>
        <v>Đấu giá&gt; ô tô, xe máy&gt; Catalogue, danh sách phần, cuốn sách dịch vụ&gt; Nissan&gt; Cedric</v>
      </c>
      <c r="F2267" t="str">
        <f t="shared" ca="1" si="35"/>
        <v>"2084016707" : "Cedric",</v>
      </c>
    </row>
    <row r="2268" spans="1:6" ht="15.75" customHeight="1">
      <c r="A2268" s="18">
        <v>2084016708</v>
      </c>
      <c r="B2268" s="18" t="s">
        <v>11634</v>
      </c>
      <c r="C2268" s="18" t="s">
        <v>18211</v>
      </c>
      <c r="D2268" s="5" t="str">
        <f ca="1">IFERROR(__xludf.DUMMYFUNCTION("GOOGLETRANSLATE(B2268,""ja"",""vi"")"),"cefiro")</f>
        <v>cefiro</v>
      </c>
      <c r="E2268" s="5" t="str">
        <f ca="1">IFERROR(__xludf.DUMMYFUNCTION("GOOGLETRANSLATE(C2268,""ja"",""vi"")"),"Đấu giá&gt; ô tô, xe máy&gt; Catalogue, danh sách phần, cuốn sách dịch vụ&gt; Nissan&gt; Cefiro")</f>
        <v>Đấu giá&gt; ô tô, xe máy&gt; Catalogue, danh sách phần, cuốn sách dịch vụ&gt; Nissan&gt; Cefiro</v>
      </c>
      <c r="F2268" t="str">
        <f t="shared" ca="1" si="35"/>
        <v>"2084016708" : "cefiro",</v>
      </c>
    </row>
    <row r="2269" spans="1:6" ht="15.75" customHeight="1">
      <c r="A2269" s="18">
        <v>2084016709</v>
      </c>
      <c r="B2269" s="18" t="s">
        <v>11640</v>
      </c>
      <c r="C2269" s="18" t="s">
        <v>18214</v>
      </c>
      <c r="D2269" s="5" t="str">
        <f ca="1">IFERROR(__xludf.DUMMYFUNCTION("GOOGLETRANSLATE(B2269,""ja"",""vi"")"),"Selena")</f>
        <v>Selena</v>
      </c>
      <c r="E2269" s="5" t="str">
        <f ca="1">IFERROR(__xludf.DUMMYFUNCTION("GOOGLETRANSLATE(C2269,""ja"",""vi"")"),"Đấu giá&gt; ô tô, xe máy&gt; Catalogue, danh sách phần, cuốn sách dịch vụ&gt; Nissan&gt; Serena")</f>
        <v>Đấu giá&gt; ô tô, xe máy&gt; Catalogue, danh sách phần, cuốn sách dịch vụ&gt; Nissan&gt; Serena</v>
      </c>
      <c r="F2269" t="str">
        <f t="shared" ca="1" si="35"/>
        <v>"2084016709" : "Selena",</v>
      </c>
    </row>
    <row r="2270" spans="1:6" ht="15.75" customHeight="1">
      <c r="A2270" s="18">
        <v>2084016710</v>
      </c>
      <c r="B2270" s="18" t="s">
        <v>11647</v>
      </c>
      <c r="C2270" s="18" t="s">
        <v>18218</v>
      </c>
      <c r="D2270" s="5" t="str">
        <f ca="1">IFERROR(__xludf.DUMMYFUNCTION("GOOGLETRANSLATE(B2270,""ja"",""vi"")"),"Datsun")</f>
        <v>Datsun</v>
      </c>
      <c r="E2270" s="5" t="str">
        <f ca="1">IFERROR(__xludf.DUMMYFUNCTION("GOOGLETRANSLATE(C2270,""ja"",""vi"")"),"Đấu giá&gt; ô tô, xe máy&gt; Catalogue, danh sách phần, cuốn sách dịch vụ&gt; Nissan&gt; Datsun")</f>
        <v>Đấu giá&gt; ô tô, xe máy&gt; Catalogue, danh sách phần, cuốn sách dịch vụ&gt; Nissan&gt; Datsun</v>
      </c>
      <c r="F2270" t="str">
        <f t="shared" ca="1" si="35"/>
        <v>"2084016710" : "Datsun",</v>
      </c>
    </row>
    <row r="2271" spans="1:6" ht="15.75" customHeight="1">
      <c r="A2271" s="18">
        <v>2084016728</v>
      </c>
      <c r="B2271" s="18" t="s">
        <v>11669</v>
      </c>
      <c r="C2271" s="18" t="s">
        <v>18220</v>
      </c>
      <c r="D2271" s="5" t="str">
        <f ca="1">IFERROR(__xludf.DUMMYFUNCTION("GOOGLETRANSLATE(B2271,""ja"",""vi"")"),"Martino")</f>
        <v>Martino</v>
      </c>
      <c r="E2271" s="5" t="str">
        <f ca="1">IFERROR(__xludf.DUMMYFUNCTION("GOOGLETRANSLATE(C2271,""ja"",""vi"")"),"Đấu giá&gt; ô tô, xe máy&gt; Catalogue, danh sách phần, cuốn sách dịch vụ&gt; Nissan&gt; Tino")</f>
        <v>Đấu giá&gt; ô tô, xe máy&gt; Catalogue, danh sách phần, cuốn sách dịch vụ&gt; Nissan&gt; Tino</v>
      </c>
      <c r="F2271" t="str">
        <f t="shared" ca="1" si="35"/>
        <v>"2084016728" : "Martino",</v>
      </c>
    </row>
    <row r="2272" spans="1:6" ht="15.75" customHeight="1">
      <c r="A2272" s="18">
        <v>2084016729</v>
      </c>
      <c r="B2272" s="18" t="s">
        <v>11682</v>
      </c>
      <c r="C2272" s="18" t="s">
        <v>18226</v>
      </c>
      <c r="D2272" s="5" t="str">
        <f ca="1">IFERROR(__xludf.DUMMYFUNCTION("GOOGLETRANSLATE(B2272,""ja"",""vi"")"),"Terrano")</f>
        <v>Terrano</v>
      </c>
      <c r="E2272" s="5" t="str">
        <f ca="1">IFERROR(__xludf.DUMMYFUNCTION("GOOGLETRANSLATE(C2272,""ja"",""vi"")"),"Đấu giá&gt; ô tô, xe máy&gt; Catalogue, danh sách phần, cuốn sách dịch vụ&gt; Nissan&gt; Terrano")</f>
        <v>Đấu giá&gt; ô tô, xe máy&gt; Catalogue, danh sách phần, cuốn sách dịch vụ&gt; Nissan&gt; Terrano</v>
      </c>
      <c r="F2272" t="str">
        <f t="shared" ca="1" si="35"/>
        <v>"2084016729" : "Terrano",</v>
      </c>
    </row>
    <row r="2273" spans="1:6" ht="15.75" customHeight="1">
      <c r="A2273" s="18">
        <v>2084016732</v>
      </c>
      <c r="B2273" s="18" t="s">
        <v>11715</v>
      </c>
      <c r="C2273" s="18" t="s">
        <v>18231</v>
      </c>
      <c r="D2273" s="5" t="str">
        <f ca="1">IFERROR(__xludf.DUMMYFUNCTION("GOOGLETRANSLATE(B2273,""ja"",""vi"")"),"Basara")</f>
        <v>Basara</v>
      </c>
      <c r="E2273" s="5" t="str">
        <f ca="1">IFERROR(__xludf.DUMMYFUNCTION("GOOGLETRANSLATE(C2273,""ja"",""vi"")"),"Đấu giá&gt; ô tô, xe máy&gt; Catalogue, danh sách phần, cuốn sách dịch vụ&gt; Nissan&gt; Basara")</f>
        <v>Đấu giá&gt; ô tô, xe máy&gt; Catalogue, danh sách phần, cuốn sách dịch vụ&gt; Nissan&gt; Basara</v>
      </c>
      <c r="F2273" t="str">
        <f t="shared" ca="1" si="35"/>
        <v>"2084016732" : "Basara",</v>
      </c>
    </row>
    <row r="2274" spans="1:6" ht="15.75" customHeight="1">
      <c r="A2274" s="18">
        <v>2084016734</v>
      </c>
      <c r="B2274" s="18" t="s">
        <v>11727</v>
      </c>
      <c r="C2274" s="18" t="s">
        <v>18233</v>
      </c>
      <c r="D2274" s="5" t="str">
        <f ca="1">IFERROR(__xludf.DUMMYFUNCTION("GOOGLETRANSLATE(B2274,""ja"",""vi"")"),"Vanette van")</f>
        <v>Vanette van</v>
      </c>
      <c r="E2274" s="5" t="str">
        <f ca="1">IFERROR(__xludf.DUMMYFUNCTION("GOOGLETRANSLATE(C2274,""ja"",""vi"")"),"Đấu giá&gt; ô tô, xe máy&gt; Catalogue, danh sách phần, cuốn sách dịch vụ&gt; Nissan&gt; Vanette van")</f>
        <v>Đấu giá&gt; ô tô, xe máy&gt; Catalogue, danh sách phần, cuốn sách dịch vụ&gt; Nissan&gt; Vanette van</v>
      </c>
      <c r="F2274" t="str">
        <f t="shared" ca="1" si="35"/>
        <v>"2084016734" : "Vanette van",</v>
      </c>
    </row>
    <row r="2275" spans="1:6" ht="15.75" customHeight="1">
      <c r="A2275" s="18">
        <v>2084016731</v>
      </c>
      <c r="B2275" s="18" t="s">
        <v>11733</v>
      </c>
      <c r="C2275" s="18" t="s">
        <v>18236</v>
      </c>
      <c r="D2275" s="5" t="str">
        <f ca="1">IFERROR(__xludf.DUMMYFUNCTION("GOOGLETRANSLATE(B2275,""ja"",""vi"")"),"Pao")</f>
        <v>Pao</v>
      </c>
      <c r="E2275" s="5" t="str">
        <f ca="1">IFERROR(__xludf.DUMMYFUNCTION("GOOGLETRANSLATE(C2275,""ja"",""vi"")"),"Đấu giá&gt; ô tô, xe máy&gt; Catalogue, danh sách phần, cuốn sách dịch vụ&gt; Nissan&gt; Pao")</f>
        <v>Đấu giá&gt; ô tô, xe máy&gt; Catalogue, danh sách phần, cuốn sách dịch vụ&gt; Nissan&gt; Pao</v>
      </c>
      <c r="F2275" t="str">
        <f t="shared" ca="1" si="35"/>
        <v>"2084016731" : "Pao",</v>
      </c>
    </row>
    <row r="2276" spans="1:6" ht="15.75" customHeight="1">
      <c r="A2276" s="18">
        <v>2084016733</v>
      </c>
      <c r="B2276" s="18" t="s">
        <v>18239</v>
      </c>
      <c r="C2276" s="18" t="s">
        <v>18240</v>
      </c>
      <c r="D2276" s="5" t="str">
        <f ca="1">IFERROR(__xludf.DUMMYFUNCTION("GOOGLETRANSLATE(B2276,""ja"",""vi"")"),"đi tuần")</f>
        <v>đi tuần</v>
      </c>
      <c r="E2276" s="5" t="str">
        <f ca="1">IFERROR(__xludf.DUMMYFUNCTION("GOOGLETRANSLATE(C2276,""ja"",""vi"")"),"Đấu giá&gt; ô tô, xe máy&gt; Catalogue, danh sách phần, cuốn sách dịch vụ&gt; Nissan&gt; Patrol")</f>
        <v>Đấu giá&gt; ô tô, xe máy&gt; Catalogue, danh sách phần, cuốn sách dịch vụ&gt; Nissan&gt; Patrol</v>
      </c>
      <c r="F2276" t="str">
        <f t="shared" ca="1" si="35"/>
        <v>"2084016733" : "đi tuần",</v>
      </c>
    </row>
    <row r="2277" spans="1:6" ht="15.75" customHeight="1">
      <c r="A2277" s="18">
        <v>2084016735</v>
      </c>
      <c r="B2277" s="18" t="s">
        <v>11739</v>
      </c>
      <c r="C2277" s="18" t="s">
        <v>18243</v>
      </c>
      <c r="D2277" s="5" t="str">
        <f ca="1">IFERROR(__xludf.DUMMYFUNCTION("GOOGLETRANSLATE(B2277,""ja"",""vi"")"),"Pulsar")</f>
        <v>Pulsar</v>
      </c>
      <c r="E2277" s="5" t="str">
        <f ca="1">IFERROR(__xludf.DUMMYFUNCTION("GOOGLETRANSLATE(C2277,""ja"",""vi"")"),"Đấu giá&gt; ô tô, xe máy&gt; Catalogue, danh sách phần, cuốn sách dịch vụ&gt; Nissan&gt; Pulsar")</f>
        <v>Đấu giá&gt; ô tô, xe máy&gt; Catalogue, danh sách phần, cuốn sách dịch vụ&gt; Nissan&gt; Pulsar</v>
      </c>
      <c r="F2277" t="str">
        <f t="shared" ca="1" si="35"/>
        <v>"2084016735" : "Pulsar",</v>
      </c>
    </row>
    <row r="2278" spans="1:6" ht="15.75" customHeight="1">
      <c r="A2278" s="18">
        <v>2084016736</v>
      </c>
      <c r="B2278" s="18" t="s">
        <v>18247</v>
      </c>
      <c r="C2278" s="18" t="s">
        <v>18248</v>
      </c>
      <c r="D2278" s="5" t="str">
        <f ca="1">IFERROR(__xludf.DUMMYFUNCTION("GOOGLETRANSLATE(B2278,""ja"",""vi"")"),"Fairlady")</f>
        <v>Fairlady</v>
      </c>
      <c r="E2278" s="5" t="str">
        <f ca="1">IFERROR(__xludf.DUMMYFUNCTION("GOOGLETRANSLATE(C2278,""ja"",""vi"")"),"Đấu giá&gt; ô tô, xe máy&gt; Catalogue, danh sách phần, cuốn sách dịch vụ&gt; Nissan&gt; Fairlady")</f>
        <v>Đấu giá&gt; ô tô, xe máy&gt; Catalogue, danh sách phần, cuốn sách dịch vụ&gt; Nissan&gt; Fairlady</v>
      </c>
      <c r="F2278" t="str">
        <f t="shared" ca="1" si="35"/>
        <v>"2084016736" : "Fairlady",</v>
      </c>
    </row>
    <row r="2279" spans="1:6" ht="15.75" customHeight="1">
      <c r="A2279" s="18">
        <v>2084016738</v>
      </c>
      <c r="B2279" s="18" t="s">
        <v>11770</v>
      </c>
      <c r="C2279" s="18" t="s">
        <v>18250</v>
      </c>
      <c r="D2279" s="5" t="str">
        <f ca="1">IFERROR(__xludf.DUMMYFUNCTION("GOOGLETRANSLATE(B2279,""ja"",""vi"")"),"blue Bird")</f>
        <v>blue Bird</v>
      </c>
      <c r="E2279" s="5" t="str">
        <f ca="1">IFERROR(__xludf.DUMMYFUNCTION("GOOGLETRANSLATE(C2279,""ja"",""vi"")"),"Đấu giá&gt; ô tô, xe máy&gt; Catalogue, danh sách phần, cuốn sách dịch vụ&gt; Nissan&gt; Bluebird")</f>
        <v>Đấu giá&gt; ô tô, xe máy&gt; Catalogue, danh sách phần, cuốn sách dịch vụ&gt; Nissan&gt; Bluebird</v>
      </c>
      <c r="F2279" t="str">
        <f t="shared" ca="1" si="35"/>
        <v>"2084016738" : "blue Bird",</v>
      </c>
    </row>
    <row r="2280" spans="1:6" ht="15.75" customHeight="1">
      <c r="A2280" s="18">
        <v>2084016737</v>
      </c>
      <c r="B2280" s="18" t="s">
        <v>11781</v>
      </c>
      <c r="C2280" s="18" t="s">
        <v>18253</v>
      </c>
      <c r="D2280" s="5" t="str">
        <f ca="1">IFERROR(__xludf.DUMMYFUNCTION("GOOGLETRANSLATE(B2280,""ja"",""vi"")"),"Primera")</f>
        <v>Primera</v>
      </c>
      <c r="E2280" s="5" t="str">
        <f ca="1">IFERROR(__xludf.DUMMYFUNCTION("GOOGLETRANSLATE(C2280,""ja"",""vi"")"),"Đấu giá&gt; ô tô, xe máy&gt; Catalogue, danh sách phần, cuốn sách dịch vụ&gt; Nissan&gt; Primera")</f>
        <v>Đấu giá&gt; ô tô, xe máy&gt; Catalogue, danh sách phần, cuốn sách dịch vụ&gt; Nissan&gt; Primera</v>
      </c>
      <c r="F2280" t="str">
        <f t="shared" ca="1" si="35"/>
        <v>"2084016737" : "Primera",</v>
      </c>
    </row>
    <row r="2281" spans="1:6" ht="15.75" customHeight="1">
      <c r="A2281" s="18">
        <v>2084016739</v>
      </c>
      <c r="B2281" s="18" t="s">
        <v>11802</v>
      </c>
      <c r="C2281" s="18" t="s">
        <v>18256</v>
      </c>
      <c r="D2281" s="5" t="str">
        <f ca="1">IFERROR(__xludf.DUMMYFUNCTION("GOOGLETRANSLATE(B2281,""ja"",""vi"")"),"loại gà rừng")</f>
        <v>loại gà rừng</v>
      </c>
      <c r="E2281" s="5" t="str">
        <f ca="1">IFERROR(__xludf.DUMMYFUNCTION("GOOGLETRANSLATE(C2281,""ja"",""vi"")"),"Đấu giá&gt; ô tô, xe máy&gt; Catalogue, danh sách phần, cuốn sách dịch vụ&gt; Nissan&gt; Prairie")</f>
        <v>Đấu giá&gt; ô tô, xe máy&gt; Catalogue, danh sách phần, cuốn sách dịch vụ&gt; Nissan&gt; Prairie</v>
      </c>
      <c r="F2281" t="str">
        <f t="shared" ca="1" si="35"/>
        <v>"2084016739" : "loại gà rừng",</v>
      </c>
    </row>
    <row r="2282" spans="1:6" ht="15.75" customHeight="1">
      <c r="A2282" s="18">
        <v>2084016740</v>
      </c>
      <c r="B2282" s="18" t="s">
        <v>11815</v>
      </c>
      <c r="C2282" s="18" t="s">
        <v>18259</v>
      </c>
      <c r="D2282" s="5" t="str">
        <f ca="1">IFERROR(__xludf.DUMMYFUNCTION("GOOGLETRANSLATE(B2282,""ja"",""vi"")"),"chỉ điềm")</f>
        <v>chỉ điềm</v>
      </c>
      <c r="E2282" s="5" t="str">
        <f ca="1">IFERROR(__xludf.DUMMYFUNCTION("GOOGLETRANSLATE(C2282,""ja"",""vi"")"),"Đấu giá&gt; ô tô, xe máy&gt; Catalogue, danh sách phần, cuốn sách dịch vụ&gt; Nissan&gt; tiên đoán")</f>
        <v>Đấu giá&gt; ô tô, xe máy&gt; Catalogue, danh sách phần, cuốn sách dịch vụ&gt; Nissan&gt; tiên đoán</v>
      </c>
      <c r="F2282" t="str">
        <f t="shared" ca="1" si="35"/>
        <v>"2084016740" : "chỉ điềm",</v>
      </c>
    </row>
    <row r="2283" spans="1:6" ht="15.75" customHeight="1">
      <c r="A2283" s="18">
        <v>2084016741</v>
      </c>
      <c r="B2283" s="18" t="s">
        <v>11819</v>
      </c>
      <c r="C2283" s="18" t="s">
        <v>18261</v>
      </c>
      <c r="D2283" s="5" t="str">
        <f ca="1">IFERROR(__xludf.DUMMYFUNCTION("GOOGLETRANSLATE(B2283,""ja"",""vi"")"),"chủ tịch")</f>
        <v>chủ tịch</v>
      </c>
      <c r="E2283" s="5" t="str">
        <f ca="1">IFERROR(__xludf.DUMMYFUNCTION("GOOGLETRANSLATE(C2283,""ja"",""vi"")"),"Đấu giá&gt; ô tô, xe máy&gt; Catalogue, danh sách phần, cuốn sách dịch vụ&gt; Nissan&gt; Tổng thống")</f>
        <v>Đấu giá&gt; ô tô, xe máy&gt; Catalogue, danh sách phần, cuốn sách dịch vụ&gt; Nissan&gt; Tổng thống</v>
      </c>
      <c r="F2283" t="str">
        <f t="shared" ca="1" si="35"/>
        <v>"2084016741" : "chủ tịch",</v>
      </c>
    </row>
    <row r="2284" spans="1:6" ht="15.75" customHeight="1">
      <c r="A2284" s="18">
        <v>2084016742</v>
      </c>
      <c r="B2284" s="18" t="s">
        <v>11823</v>
      </c>
      <c r="C2284" s="18" t="s">
        <v>18266</v>
      </c>
      <c r="D2284" s="5" t="str">
        <f ca="1">IFERROR(__xludf.DUMMYFUNCTION("GOOGLETRANSLATE(B2284,""ja"",""vi"")"),"Presea")</f>
        <v>Presea</v>
      </c>
      <c r="E2284" s="5" t="str">
        <f ca="1">IFERROR(__xludf.DUMMYFUNCTION("GOOGLETRANSLATE(C2284,""ja"",""vi"")"),"Đấu giá&gt; ô tô, xe máy&gt; Catalogue, danh sách phần, cuốn sách dịch vụ&gt; Nissan&gt; Presea")</f>
        <v>Đấu giá&gt; ô tô, xe máy&gt; Catalogue, danh sách phần, cuốn sách dịch vụ&gt; Nissan&gt; Presea</v>
      </c>
      <c r="F2284" t="str">
        <f t="shared" ca="1" si="35"/>
        <v>"2084016742" : "Presea",</v>
      </c>
    </row>
    <row r="2285" spans="1:6" ht="15.75" customHeight="1">
      <c r="A2285" s="18">
        <v>2084016743</v>
      </c>
      <c r="B2285" s="18" t="s">
        <v>11831</v>
      </c>
      <c r="C2285" s="18" t="s">
        <v>18272</v>
      </c>
      <c r="D2285" s="5" t="str">
        <f ca="1">IFERROR(__xludf.DUMMYFUNCTION("GOOGLETRANSLATE(B2285,""ja"",""vi"")"),"tháng ba")</f>
        <v>tháng ba</v>
      </c>
      <c r="E2285" s="5" t="str">
        <f ca="1">IFERROR(__xludf.DUMMYFUNCTION("GOOGLETRANSLATE(C2285,""ja"",""vi"")"),"Đấu giá&gt; ô tô, xe máy&gt; Catalogue, danh sách phần, cuốn sách dịch vụ&gt; Nissan&gt; tháng")</f>
        <v>Đấu giá&gt; ô tô, xe máy&gt; Catalogue, danh sách phần, cuốn sách dịch vụ&gt; Nissan&gt; tháng</v>
      </c>
      <c r="F2285" t="str">
        <f t="shared" ca="1" si="35"/>
        <v>"2084016743" : "tháng ba",</v>
      </c>
    </row>
    <row r="2286" spans="1:6" ht="15.75" customHeight="1">
      <c r="A2286" s="18">
        <v>2084016744</v>
      </c>
      <c r="B2286" s="18" t="s">
        <v>18274</v>
      </c>
      <c r="C2286" s="18" t="s">
        <v>18275</v>
      </c>
      <c r="D2286" s="5" t="str">
        <f ca="1">IFERROR(__xludf.DUMMYFUNCTION("GOOGLETRANSLATE(B2286,""ja"",""vi"")"),"Maxima")</f>
        <v>Maxima</v>
      </c>
      <c r="E2286" s="5" t="str">
        <f ca="1">IFERROR(__xludf.DUMMYFUNCTION("GOOGLETRANSLATE(C2286,""ja"",""vi"")"),"Đấu giá&gt; ô tô, xe máy&gt; Catalogue, danh sách phần, cuốn sách dịch vụ&gt; Nissan&gt; Maxima")</f>
        <v>Đấu giá&gt; ô tô, xe máy&gt; Catalogue, danh sách phần, cuốn sách dịch vụ&gt; Nissan&gt; Maxima</v>
      </c>
      <c r="F2286" t="str">
        <f t="shared" ca="1" si="35"/>
        <v>"2084016744" : "Maxima",</v>
      </c>
    </row>
    <row r="2287" spans="1:6" ht="15.75" customHeight="1">
      <c r="A2287" s="18">
        <v>2084016745</v>
      </c>
      <c r="B2287" s="18" t="s">
        <v>11837</v>
      </c>
      <c r="C2287" s="18" t="s">
        <v>18279</v>
      </c>
      <c r="D2287" s="5" t="str">
        <f ca="1">IFERROR(__xludf.DUMMYFUNCTION("GOOGLETRANSLATE(B2287,""ja"",""vi"")"),"gió bấc thổi từ hướng tây")</f>
        <v>gió bấc thổi từ hướng tây</v>
      </c>
      <c r="E2287" s="5" t="str">
        <f ca="1">IFERROR(__xludf.DUMMYFUNCTION("GOOGLETRANSLATE(C2287,""ja"",""vi"")"),"Đấu giá&gt; ô tô, xe máy&gt; Catalogue, danh sách phần, cuốn sách dịch vụ&gt; Nissan&gt; Mistral")</f>
        <v>Đấu giá&gt; ô tô, xe máy&gt; Catalogue, danh sách phần, cuốn sách dịch vụ&gt; Nissan&gt; Mistral</v>
      </c>
      <c r="F2287" t="str">
        <f t="shared" ca="1" si="35"/>
        <v>"2084016745" : "gió bấc thổi từ hướng tây",</v>
      </c>
    </row>
    <row r="2288" spans="1:6" ht="15.75" customHeight="1">
      <c r="A2288" s="18">
        <v>2084016746</v>
      </c>
      <c r="B2288" s="18" t="s">
        <v>11851</v>
      </c>
      <c r="C2288" s="18" t="s">
        <v>18285</v>
      </c>
      <c r="D2288" s="5" t="str">
        <f ca="1">IFERROR(__xludf.DUMMYFUNCTION("GOOGLETRANSLATE(B2288,""ja"",""vi"")"),"Racine")</f>
        <v>Racine</v>
      </c>
      <c r="E2288" s="5" t="str">
        <f ca="1">IFERROR(__xludf.DUMMYFUNCTION("GOOGLETRANSLATE(C2288,""ja"",""vi"")"),"Đấu giá&gt; ô tô, xe máy&gt; Catalogue, danh sách phần, cuốn sách dịch vụ&gt; Nissan&gt; Racine")</f>
        <v>Đấu giá&gt; ô tô, xe máy&gt; Catalogue, danh sách phần, cuốn sách dịch vụ&gt; Nissan&gt; Racine</v>
      </c>
      <c r="F2288" t="str">
        <f t="shared" ca="1" si="35"/>
        <v>"2084016746" : "Racine",</v>
      </c>
    </row>
    <row r="2289" spans="1:6" ht="15.75" customHeight="1">
      <c r="A2289" s="18">
        <v>2084016747</v>
      </c>
      <c r="B2289" s="18" t="s">
        <v>11861</v>
      </c>
      <c r="C2289" s="18" t="s">
        <v>18289</v>
      </c>
      <c r="D2289" s="5" t="str">
        <f ca="1">IFERROR(__xludf.DUMMYFUNCTION("GOOGLETRANSLATE(B2289,""ja"",""vi"")"),"rất chậm")</f>
        <v>rất chậm</v>
      </c>
      <c r="E2289" s="5" t="str">
        <f ca="1">IFERROR(__xludf.DUMMYFUNCTION("GOOGLETRANSLATE(C2289,""ja"",""vi"")"),"Đấu giá&gt; ô tô, xe máy&gt; Catalogue, danh sách phần, cuốn sách dịch vụ&gt; Nissan&gt; Largo")</f>
        <v>Đấu giá&gt; ô tô, xe máy&gt; Catalogue, danh sách phần, cuốn sách dịch vụ&gt; Nissan&gt; Largo</v>
      </c>
      <c r="F2289" t="str">
        <f t="shared" ca="1" si="35"/>
        <v>"2084016747" : "rất chậm",</v>
      </c>
    </row>
    <row r="2290" spans="1:6" ht="15.75" customHeight="1">
      <c r="A2290" s="18">
        <v>2084016748</v>
      </c>
      <c r="B2290" s="18" t="s">
        <v>11890</v>
      </c>
      <c r="C2290" s="18" t="s">
        <v>18294</v>
      </c>
      <c r="D2290" s="5" t="str">
        <f ca="1">IFERROR(__xludf.DUMMYFUNCTION("GOOGLETRANSLATE(B2290,""ja"",""vi"")"),"Runessa")</f>
        <v>Runessa</v>
      </c>
      <c r="E2290" s="5" t="str">
        <f ca="1">IFERROR(__xludf.DUMMYFUNCTION("GOOGLETRANSLATE(C2290,""ja"",""vi"")"),"Đấu giá&gt; ô tô, xe máy&gt; Catalogue, danh sách phần, cuốn sách dịch vụ&gt; Nissan&gt; Runessa")</f>
        <v>Đấu giá&gt; ô tô, xe máy&gt; Catalogue, danh sách phần, cuốn sách dịch vụ&gt; Nissan&gt; Runessa</v>
      </c>
      <c r="F2290" t="str">
        <f t="shared" ca="1" si="35"/>
        <v>"2084016748" : "Runessa",</v>
      </c>
    </row>
    <row r="2291" spans="1:6" ht="15.75" customHeight="1">
      <c r="A2291" s="18">
        <v>2084016749</v>
      </c>
      <c r="B2291" s="18" t="s">
        <v>18295</v>
      </c>
      <c r="C2291" s="18" t="s">
        <v>18298</v>
      </c>
      <c r="D2291" s="5" t="str">
        <f ca="1">IFERROR(__xludf.DUMMYFUNCTION("GOOGLETRANSLATE(B2291,""ja"",""vi"")"),"Regurasu")</f>
        <v>Regurasu</v>
      </c>
      <c r="E2291" s="5" t="str">
        <f ca="1">IFERROR(__xludf.DUMMYFUNCTION("GOOGLETRANSLATE(C2291,""ja"",""vi"")"),"Đấu giá&gt; ô tô, xe máy&gt; Catalogue, danh sách phần, cuốn sách dịch vụ&gt; Nissan&gt; Regurasu")</f>
        <v>Đấu giá&gt; ô tô, xe máy&gt; Catalogue, danh sách phần, cuốn sách dịch vụ&gt; Nissan&gt; Regurasu</v>
      </c>
      <c r="F2291" t="str">
        <f t="shared" ca="1" si="35"/>
        <v>"2084016749" : "Regurasu",</v>
      </c>
    </row>
    <row r="2292" spans="1:6" ht="15.75" customHeight="1">
      <c r="A2292" s="18">
        <v>2084016750</v>
      </c>
      <c r="B2292" s="18" t="s">
        <v>11895</v>
      </c>
      <c r="C2292" s="18" t="s">
        <v>18303</v>
      </c>
      <c r="D2292" s="5" t="str">
        <f ca="1">IFERROR(__xludf.DUMMYFUNCTION("GOOGLETRANSLATE(B2292,""ja"",""vi"")"),"beo")</f>
        <v>beo</v>
      </c>
      <c r="E2292" s="5" t="str">
        <f ca="1">IFERROR(__xludf.DUMMYFUNCTION("GOOGLETRANSLATE(C2292,""ja"",""vi"")"),"Đấu giá&gt; ô tô, xe máy&gt; Catalogue, danh sách phần, cuốn sách dịch vụ&gt; Nissan&gt; Leopard")</f>
        <v>Đấu giá&gt; ô tô, xe máy&gt; Catalogue, danh sách phần, cuốn sách dịch vụ&gt; Nissan&gt; Leopard</v>
      </c>
      <c r="F2292" t="str">
        <f t="shared" ca="1" si="35"/>
        <v>"2084016750" : "beo",</v>
      </c>
    </row>
    <row r="2293" spans="1:6" ht="15.75" customHeight="1">
      <c r="A2293" s="18">
        <v>2084016751</v>
      </c>
      <c r="B2293" s="18" t="s">
        <v>11911</v>
      </c>
      <c r="C2293" s="18" t="s">
        <v>18308</v>
      </c>
      <c r="D2293" s="5" t="str">
        <f ca="1">IFERROR(__xludf.DUMMYFUNCTION("GOOGLETRANSLATE(B2293,""ja"",""vi"")"),"cây nguyệt quế")</f>
        <v>cây nguyệt quế</v>
      </c>
      <c r="E2293" s="5" t="str">
        <f ca="1">IFERROR(__xludf.DUMMYFUNCTION("GOOGLETRANSLATE(C2293,""ja"",""vi"")"),"Đấu giá&gt; ô tô, xe máy&gt; Catalogue, danh sách phần, cuốn sách dịch vụ&gt; Nissan&gt; Laurel")</f>
        <v>Đấu giá&gt; ô tô, xe máy&gt; Catalogue, danh sách phần, cuốn sách dịch vụ&gt; Nissan&gt; Laurel</v>
      </c>
      <c r="F2293" t="str">
        <f t="shared" ca="1" si="35"/>
        <v>"2084016751" : "cây nguyệt quế",</v>
      </c>
    </row>
    <row r="2294" spans="1:6" ht="15.75" customHeight="1">
      <c r="A2294" s="18">
        <v>2084016727</v>
      </c>
      <c r="B2294" s="18" t="s">
        <v>46</v>
      </c>
      <c r="C2294" s="18" t="s">
        <v>18314</v>
      </c>
      <c r="D2294" s="5" t="str">
        <f ca="1">IFERROR(__xludf.DUMMYFUNCTION("GOOGLETRANSLATE(B2294,""ja"",""vi"")"),"nếu không thì")</f>
        <v>nếu không thì</v>
      </c>
      <c r="E2294" s="5" t="str">
        <f ca="1">IFERROR(__xludf.DUMMYFUNCTION("GOOGLETRANSLATE(C2294,""ja"",""vi"")"),"Đấu giá&gt; ô tô, xe máy&gt; Catalogue, danh sách phần, cuốn sách dịch vụ&gt; Nissan&gt; Khác")</f>
        <v>Đấu giá&gt; ô tô, xe máy&gt; Catalogue, danh sách phần, cuốn sách dịch vụ&gt; Nissan&gt; Khác</v>
      </c>
      <c r="F2294" t="str">
        <f t="shared" ca="1" si="35"/>
        <v>"2084016727" : "nếu không thì",</v>
      </c>
    </row>
    <row r="2295" spans="1:6" ht="15.75" customHeight="1">
      <c r="A2295" s="18">
        <v>2084304234</v>
      </c>
      <c r="B2295" s="18" t="s">
        <v>18320</v>
      </c>
      <c r="C2295" s="18" t="s">
        <v>18321</v>
      </c>
      <c r="D2295" s="5" t="str">
        <f ca="1">IFERROR(__xludf.DUMMYFUNCTION("GOOGLETRANSLATE(B2295,""ja"",""vi"")"),"đua phù hợp với")</f>
        <v>đua phù hợp với</v>
      </c>
      <c r="E2295" s="5" t="str">
        <f ca="1">IFERROR(__xludf.DUMMYFUNCTION("GOOGLETRANSLATE(C2295,""ja"",""vi"")"),"Đấu giá&gt; ô tô, xe máy&gt; hàng ô tô liên quan đến&gt; Trang phục&gt; Racing phù hợp")</f>
        <v>Đấu giá&gt; ô tô, xe máy&gt; hàng ô tô liên quan đến&gt; Trang phục&gt; Racing phù hợp</v>
      </c>
      <c r="F2295" t="str">
        <f t="shared" ca="1" si="35"/>
        <v>"2084304234" : "đua phù hợp với",</v>
      </c>
    </row>
    <row r="2296" spans="1:6" ht="15.75" customHeight="1">
      <c r="A2296" s="18">
        <v>2084304235</v>
      </c>
      <c r="B2296" s="18" t="s">
        <v>18325</v>
      </c>
      <c r="C2296" s="18" t="s">
        <v>18327</v>
      </c>
      <c r="D2296" s="5" t="str">
        <f ca="1">IFERROR(__xludf.DUMMYFUNCTION("GOOGLETRANSLATE(B2296,""ja"",""vi"")"),"lái xe Găng tay")</f>
        <v>lái xe Găng tay</v>
      </c>
      <c r="E2296" s="5" t="str">
        <f ca="1">IFERROR(__xludf.DUMMYFUNCTION("GOOGLETRANSLATE(C2296,""ja"",""vi"")"),"Đấu giá&gt; ô tô, xe máy&gt; hàng ô tô liên quan đến&gt; Trang phục&gt; Găng tay lái xe")</f>
        <v>Đấu giá&gt; ô tô, xe máy&gt; hàng ô tô liên quan đến&gt; Trang phục&gt; Găng tay lái xe</v>
      </c>
      <c r="F2296" t="str">
        <f t="shared" ca="1" si="35"/>
        <v>"2084304235" : "lái xe Găng tay",</v>
      </c>
    </row>
    <row r="2297" spans="1:6" ht="15.75" customHeight="1">
      <c r="A2297" s="18">
        <v>2084304236</v>
      </c>
      <c r="B2297" s="18" t="s">
        <v>18328</v>
      </c>
      <c r="C2297" s="18" t="s">
        <v>18330</v>
      </c>
      <c r="D2297" s="5" t="str">
        <f ca="1">IFERROR(__xludf.DUMMYFUNCTION("GOOGLETRANSLATE(B2297,""ja"",""vi"")"),"lái xe Shoes")</f>
        <v>lái xe Shoes</v>
      </c>
      <c r="E2297" s="5" t="str">
        <f ca="1">IFERROR(__xludf.DUMMYFUNCTION("GOOGLETRANSLATE(C2297,""ja"",""vi"")"),"Đấu giá&gt; ô tô, xe máy&gt; hàng ô tô liên quan đến&gt; Trang phục&gt; Lái xe Shoes")</f>
        <v>Đấu giá&gt; ô tô, xe máy&gt; hàng ô tô liên quan đến&gt; Trang phục&gt; Lái xe Shoes</v>
      </c>
      <c r="F2297" t="str">
        <f t="shared" ca="1" si="35"/>
        <v>"2084304236" : "lái xe Shoes",</v>
      </c>
    </row>
    <row r="2298" spans="1:6" ht="15.75" customHeight="1">
      <c r="A2298" s="18">
        <v>2084304241</v>
      </c>
      <c r="B2298" s="18" t="s">
        <v>7441</v>
      </c>
      <c r="C2298" s="18" t="s">
        <v>18334</v>
      </c>
      <c r="D2298" s="5" t="str">
        <f ca="1">IFERROR(__xludf.DUMMYFUNCTION("GOOGLETRANSLATE(B2298,""ja"",""vi"")"),"mũ bảo hiểm")</f>
        <v>mũ bảo hiểm</v>
      </c>
      <c r="E2298" s="5" t="str">
        <f ca="1">IFERROR(__xludf.DUMMYFUNCTION("GOOGLETRANSLATE(C2298,""ja"",""vi"")"),"Đấu giá&gt; ô tô, xe máy&gt; hàng ô tô liên quan đến&gt; Trang phục&gt; mũ bảo hiểm")</f>
        <v>Đấu giá&gt; ô tô, xe máy&gt; hàng ô tô liên quan đến&gt; Trang phục&gt; mũ bảo hiểm</v>
      </c>
      <c r="F2298" t="str">
        <f t="shared" ca="1" si="35"/>
        <v>"2084304241" : "mũ bảo hiểm",</v>
      </c>
    </row>
    <row r="2299" spans="1:6" ht="15.75" customHeight="1">
      <c r="A2299" s="18">
        <v>2084304233</v>
      </c>
      <c r="B2299" s="18" t="s">
        <v>13562</v>
      </c>
      <c r="C2299" s="18" t="s">
        <v>18341</v>
      </c>
      <c r="D2299" s="5" t="str">
        <f ca="1">IFERROR(__xludf.DUMMYFUNCTION("GOOGLETRANSLATE(B2299,""ja"",""vi"")"),"tie")</f>
        <v>tie</v>
      </c>
      <c r="E2299" s="5" t="str">
        <f ca="1">IFERROR(__xludf.DUMMYFUNCTION("GOOGLETRANSLATE(C2299,""ja"",""vi"")"),"Đấu giá&gt; ô tô, xe máy&gt; hàng ô tô liên quan đến&gt; Trang phục&gt; tie")</f>
        <v>Đấu giá&gt; ô tô, xe máy&gt; hàng ô tô liên quan đến&gt; Trang phục&gt; tie</v>
      </c>
      <c r="F2299" t="str">
        <f t="shared" ca="1" si="35"/>
        <v>"2084304233" : "tie",</v>
      </c>
    </row>
    <row r="2300" spans="1:6" ht="15.75" customHeight="1">
      <c r="A2300" s="18">
        <v>2084304238</v>
      </c>
      <c r="B2300" s="18" t="s">
        <v>7476</v>
      </c>
      <c r="C2300" s="18" t="s">
        <v>18345</v>
      </c>
      <c r="D2300" s="5" t="str">
        <f ca="1">IFERROR(__xludf.DUMMYFUNCTION("GOOGLETRANSLATE(B2300,""ja"",""vi"")"),"Một T-shirt")</f>
        <v>Một T-shirt</v>
      </c>
      <c r="E2300" s="5" t="str">
        <f ca="1">IFERROR(__xludf.DUMMYFUNCTION("GOOGLETRANSLATE(C2300,""ja"",""vi"")"),"Đấu giá&gt; ô tô, xe máy&gt; hàng ô tô liên quan đến&gt; Trang phục&gt; T-Shirts")</f>
        <v>Đấu giá&gt; ô tô, xe máy&gt; hàng ô tô liên quan đến&gt; Trang phục&gt; T-Shirts</v>
      </c>
      <c r="F2300" t="str">
        <f t="shared" ca="1" si="35"/>
        <v>"2084304238" : "Một T-shirt",</v>
      </c>
    </row>
    <row r="2301" spans="1:6" ht="15.75" customHeight="1">
      <c r="A2301" s="18">
        <v>2084304240</v>
      </c>
      <c r="B2301" s="18" t="s">
        <v>8851</v>
      </c>
      <c r="C2301" s="18" t="s">
        <v>18350</v>
      </c>
      <c r="D2301" s="5" t="str">
        <f ca="1">IFERROR(__xludf.DUMMYFUNCTION("GOOGLETRANSLATE(B2301,""ja"",""vi"")"),"áo sơ mi")</f>
        <v>áo sơ mi</v>
      </c>
      <c r="E2301" s="5" t="str">
        <f ca="1">IFERROR(__xludf.DUMMYFUNCTION("GOOGLETRANSLATE(C2301,""ja"",""vi"")"),"Đấu giá&gt; ô tô, xe máy&gt; hàng ô tô liên quan đến&gt; Trang phục&gt; Áo sơ mi")</f>
        <v>Đấu giá&gt; ô tô, xe máy&gt; hàng ô tô liên quan đến&gt; Trang phục&gt; Áo sơ mi</v>
      </c>
      <c r="F2301" t="str">
        <f t="shared" ca="1" si="35"/>
        <v>"2084304240" : "áo sơ mi",</v>
      </c>
    </row>
    <row r="2302" spans="1:6" ht="15.75" customHeight="1">
      <c r="A2302" s="18">
        <v>2084304237</v>
      </c>
      <c r="B2302" s="18" t="s">
        <v>18352</v>
      </c>
      <c r="C2302" s="18" t="s">
        <v>18353</v>
      </c>
      <c r="D2302" s="5" t="str">
        <f ca="1">IFERROR(__xludf.DUMMYFUNCTION("GOOGLETRANSLATE(B2302,""ja"",""vi"")"),"Jumper, áo khoác")</f>
        <v>Jumper, áo khoác</v>
      </c>
      <c r="E2302" s="5" t="str">
        <f ca="1">IFERROR(__xludf.DUMMYFUNCTION("GOOGLETRANSLATE(C2302,""ja"",""vi"")"),"Đấu giá&gt; ô tô, xe máy&gt; hàng ô tô liên quan đến&gt; Trang phục&gt; jumper, áo khoác")</f>
        <v>Đấu giá&gt; ô tô, xe máy&gt; hàng ô tô liên quan đến&gt; Trang phục&gt; jumper, áo khoác</v>
      </c>
      <c r="F2302" t="str">
        <f t="shared" ca="1" si="35"/>
        <v>"2084304237" : "Jumper, áo khoác",</v>
      </c>
    </row>
    <row r="2303" spans="1:6" ht="15.75" customHeight="1">
      <c r="A2303" s="18">
        <v>2084304239</v>
      </c>
      <c r="B2303" s="18" t="s">
        <v>18358</v>
      </c>
      <c r="C2303" s="18" t="s">
        <v>18359</v>
      </c>
      <c r="D2303" s="5" t="str">
        <f ca="1">IFERROR(__xludf.DUMMYFUNCTION("GOOGLETRANSLATE(B2303,""ja"",""vi"")"),"Polo Shirt")</f>
        <v>Polo Shirt</v>
      </c>
      <c r="E2303" s="5" t="str">
        <f ca="1">IFERROR(__xludf.DUMMYFUNCTION("GOOGLETRANSLATE(C2303,""ja"",""vi"")"),"Đấu giá&gt; ô tô, xe máy&gt; hàng ô tô liên quan đến&gt; Trang phục&gt; Polo")</f>
        <v>Đấu giá&gt; ô tô, xe máy&gt; hàng ô tô liên quan đến&gt; Trang phục&gt; Polo</v>
      </c>
      <c r="F2303" t="str">
        <f t="shared" ca="1" si="35"/>
        <v>"2084304239" : "Polo Shirt",</v>
      </c>
    </row>
    <row r="2304" spans="1:6" ht="15.75" customHeight="1">
      <c r="A2304" s="18">
        <v>2084304243</v>
      </c>
      <c r="B2304" s="18" t="s">
        <v>46</v>
      </c>
      <c r="C2304" s="18" t="s">
        <v>18364</v>
      </c>
      <c r="D2304" s="5" t="str">
        <f ca="1">IFERROR(__xludf.DUMMYFUNCTION("GOOGLETRANSLATE(B2304,""ja"",""vi"")"),"nếu không thì")</f>
        <v>nếu không thì</v>
      </c>
      <c r="E2304" s="5" t="str">
        <f ca="1">IFERROR(__xludf.DUMMYFUNCTION("GOOGLETRANSLATE(C2304,""ja"",""vi"")"),"Đấu giá&gt; ô tô, xe máy&gt; hàng ô tô liên quan đến&gt; Trang phục&gt; Khác")</f>
        <v>Đấu giá&gt; ô tô, xe máy&gt; hàng ô tô liên quan đến&gt; Trang phục&gt; Khác</v>
      </c>
      <c r="F2304" t="str">
        <f t="shared" ca="1" si="35"/>
        <v>"2084304243" : "nếu không thì",</v>
      </c>
    </row>
    <row r="2305" spans="1:6" ht="15.75" customHeight="1">
      <c r="A2305" s="18">
        <v>2084210630</v>
      </c>
      <c r="B2305" s="18" t="s">
        <v>14891</v>
      </c>
      <c r="C2305" s="18" t="s">
        <v>16690</v>
      </c>
      <c r="D2305" s="5" t="str">
        <f ca="1">IFERROR(__xludf.DUMMYFUNCTION("GOOGLETRANSLATE(B2305,""ja"",""vi"")"),"ô tô Brands")</f>
        <v>ô tô Brands</v>
      </c>
      <c r="E2305" s="5" t="str">
        <f ca="1">IFERROR(__xludf.DUMMYFUNCTION("GOOGLETRANSLATE(C2305,""ja"",""vi"")"),"Đấu giá&gt; ô tô, xe máy&gt; Phụ kiện&gt; móc chìa khóa&gt; Auto Brands")</f>
        <v>Đấu giá&gt; ô tô, xe máy&gt; Phụ kiện&gt; móc chìa khóa&gt; Auto Brands</v>
      </c>
      <c r="F2305" t="str">
        <f t="shared" ca="1" si="35"/>
        <v>"2084210630" : "ô tô Brands",</v>
      </c>
    </row>
    <row r="2306" spans="1:6" ht="15.75" customHeight="1">
      <c r="A2306" s="18">
        <v>2084210631</v>
      </c>
      <c r="B2306" s="18" t="s">
        <v>46</v>
      </c>
      <c r="C2306" s="18" t="s">
        <v>16695</v>
      </c>
      <c r="D2306" s="5" t="str">
        <f ca="1">IFERROR(__xludf.DUMMYFUNCTION("GOOGLETRANSLATE(B2306,""ja"",""vi"")"),"nếu không thì")</f>
        <v>nếu không thì</v>
      </c>
      <c r="E2306" s="5" t="str">
        <f ca="1">IFERROR(__xludf.DUMMYFUNCTION("GOOGLETRANSLATE(C2306,""ja"",""vi"")"),"Đấu giá&gt; ô tô, xe máy&gt; Phụ kiện&gt; Keychain&gt; Khác")</f>
        <v>Đấu giá&gt; ô tô, xe máy&gt; Phụ kiện&gt; Keychain&gt; Khác</v>
      </c>
      <c r="F2306" t="str">
        <f t="shared" ref="F2306:F2369" ca="1" si="36">CONCATENATE(CHAR(34)&amp;"",A2306,""&amp;CHAR(34)," : ", CHAR(34)&amp;"",D2306,""&amp;CHAR(34),",")</f>
        <v>"2084210631" : "nếu không thì",</v>
      </c>
    </row>
    <row r="2307" spans="1:6" ht="15.75" customHeight="1">
      <c r="A2307" s="18">
        <v>2084291448</v>
      </c>
      <c r="B2307" s="18" t="s">
        <v>16784</v>
      </c>
      <c r="C2307" s="18" t="s">
        <v>16786</v>
      </c>
      <c r="D2307" s="5" t="str">
        <f ca="1">IFERROR(__xludf.DUMMYFUNCTION("GOOGLETRANSLATE(B2307,""ja"",""vi"")"),"dấu hiệu ổ đĩa")</f>
        <v>dấu hiệu ổ đĩa</v>
      </c>
      <c r="E2307" s="5" t="str">
        <f ca="1">IFERROR(__xludf.DUMMYFUNCTION("GOOGLETRANSLATE(C2307,""ja"",""vi"")"),"Đấu giá&gt; ô tô, xe máy&gt; Phụ kiện&gt; dán, decal&gt; dấu hiệu ổ đĩa")</f>
        <v>Đấu giá&gt; ô tô, xe máy&gt; Phụ kiện&gt; dán, decal&gt; dấu hiệu ổ đĩa</v>
      </c>
      <c r="F2307" t="str">
        <f t="shared" ca="1" si="36"/>
        <v>"2084291448" : "dấu hiệu ổ đĩa",</v>
      </c>
    </row>
    <row r="2308" spans="1:6" ht="15.75" customHeight="1">
      <c r="A2308" s="18">
        <v>2084210669</v>
      </c>
      <c r="B2308" s="18" t="s">
        <v>14891</v>
      </c>
      <c r="C2308" s="18" t="s">
        <v>16789</v>
      </c>
      <c r="D2308" s="5" t="str">
        <f ca="1">IFERROR(__xludf.DUMMYFUNCTION("GOOGLETRANSLATE(B2308,""ja"",""vi"")"),"ô tô Brands")</f>
        <v>ô tô Brands</v>
      </c>
      <c r="E2308" s="5" t="str">
        <f ca="1">IFERROR(__xludf.DUMMYFUNCTION("GOOGLETRANSLATE(C2308,""ja"",""vi"")"),"Đấu giá&gt; ô tô, xe máy&gt; Phụ kiện&gt; dán, decal&gt; Ô tô Brands")</f>
        <v>Đấu giá&gt; ô tô, xe máy&gt; Phụ kiện&gt; dán, decal&gt; Ô tô Brands</v>
      </c>
      <c r="F2308" t="str">
        <f t="shared" ca="1" si="36"/>
        <v>"2084210669" : "ô tô Brands",</v>
      </c>
    </row>
    <row r="2309" spans="1:6" ht="15.75" customHeight="1">
      <c r="A2309" s="18">
        <v>2084291445</v>
      </c>
      <c r="B2309" s="18" t="s">
        <v>4452</v>
      </c>
      <c r="C2309" s="18" t="s">
        <v>16793</v>
      </c>
      <c r="D2309" s="5" t="str">
        <f ca="1">IFERROR(__xludf.DUMMYFUNCTION("GOOGLETRANSLATE(B2309,""ja"",""vi"")"),"nhân vật")</f>
        <v>nhân vật</v>
      </c>
      <c r="E2309" s="5" t="str">
        <f ca="1">IFERROR(__xludf.DUMMYFUNCTION("GOOGLETRANSLATE(C2309,""ja"",""vi"")"),"Đấu giá&gt; ô tô, xe máy&gt; Phụ kiện&gt; dán, decal&gt; Character")</f>
        <v>Đấu giá&gt; ô tô, xe máy&gt; Phụ kiện&gt; dán, decal&gt; Character</v>
      </c>
      <c r="F2309" t="str">
        <f t="shared" ca="1" si="36"/>
        <v>"2084291445" : "nhân vật",</v>
      </c>
    </row>
    <row r="2310" spans="1:6" ht="15.75" customHeight="1">
      <c r="A2310" s="18">
        <v>2084291444</v>
      </c>
      <c r="B2310" s="18" t="s">
        <v>15052</v>
      </c>
      <c r="C2310" s="18" t="s">
        <v>16798</v>
      </c>
      <c r="D2310" s="5" t="str">
        <f ca="1">IFERROR(__xludf.DUMMYFUNCTION("GOOGLETRANSLATE(B2310,""ja"",""vi"")"),"an ninh")</f>
        <v>an ninh</v>
      </c>
      <c r="E2310" s="5" t="str">
        <f ca="1">IFERROR(__xludf.DUMMYFUNCTION("GOOGLETRANSLATE(C2310,""ja"",""vi"")"),"Đấu giá&gt; ô tô, xe máy&gt; Phụ kiện&gt; dán, decal&gt; Bảo mật")</f>
        <v>Đấu giá&gt; ô tô, xe máy&gt; Phụ kiện&gt; dán, decal&gt; Bảo mật</v>
      </c>
      <c r="F2310" t="str">
        <f t="shared" ca="1" si="36"/>
        <v>"2084291444" : "an ninh",</v>
      </c>
    </row>
    <row r="2311" spans="1:6" ht="15.75" customHeight="1">
      <c r="A2311" s="18">
        <v>2084291446</v>
      </c>
      <c r="B2311" s="18" t="s">
        <v>16800</v>
      </c>
      <c r="C2311" s="18" t="s">
        <v>16802</v>
      </c>
      <c r="D2311" s="5" t="str">
        <f ca="1">IFERROR(__xludf.DUMMYFUNCTION("GOOGLETRANSLATE(B2311,""ja"",""vi"")"),"nhân vật")</f>
        <v>nhân vật</v>
      </c>
      <c r="E2311" s="5" t="str">
        <f ca="1">IFERROR(__xludf.DUMMYFUNCTION("GOOGLETRANSLATE(C2311,""ja"",""vi"")"),"Đấu giá&gt; ô tô, xe máy&gt; Phụ kiện&gt; dán, decal&gt; Nhân vật")</f>
        <v>Đấu giá&gt; ô tô, xe máy&gt; Phụ kiện&gt; dán, decal&gt; Nhân vật</v>
      </c>
      <c r="F2311" t="str">
        <f t="shared" ca="1" si="36"/>
        <v>"2084291446" : "nhân vật",</v>
      </c>
    </row>
    <row r="2312" spans="1:6" ht="15.75" customHeight="1">
      <c r="A2312" s="18">
        <v>2084291447</v>
      </c>
      <c r="B2312" s="18" t="s">
        <v>16806</v>
      </c>
      <c r="C2312" s="18" t="s">
        <v>16807</v>
      </c>
      <c r="D2312" s="5" t="str">
        <f ca="1">IFERROR(__xludf.DUMMYFUNCTION("GOOGLETRANSLATE(B2312,""ja"",""vi"")"),"Theo dõi, cho bãi")</f>
        <v>Theo dõi, cho bãi</v>
      </c>
      <c r="E2312" s="5" t="str">
        <f ca="1">IFERROR(__xludf.DUMMYFUNCTION("GOOGLETRANSLATE(C2312,""ja"",""vi"")"),"Đấu giá&gt; ô tô, xe máy&gt; Phụ kiện&gt; dán, decal&gt; theo dõi, cho bãi")</f>
        <v>Đấu giá&gt; ô tô, xe máy&gt; Phụ kiện&gt; dán, decal&gt; theo dõi, cho bãi</v>
      </c>
      <c r="F2312" t="str">
        <f t="shared" ca="1" si="36"/>
        <v>"2084291447" : "Theo dõi, cho bãi",</v>
      </c>
    </row>
    <row r="2313" spans="1:6" ht="15.75" customHeight="1">
      <c r="A2313" s="18">
        <v>2084210670</v>
      </c>
      <c r="B2313" s="18" t="s">
        <v>46</v>
      </c>
      <c r="C2313" s="18" t="s">
        <v>16812</v>
      </c>
      <c r="D2313" s="5" t="str">
        <f ca="1">IFERROR(__xludf.DUMMYFUNCTION("GOOGLETRANSLATE(B2313,""ja"",""vi"")"),"nếu không thì")</f>
        <v>nếu không thì</v>
      </c>
      <c r="E2313" s="5" t="str">
        <f ca="1">IFERROR(__xludf.DUMMYFUNCTION("GOOGLETRANSLATE(C2313,""ja"",""vi"")"),"Đấu giá&gt; ô tô, xe máy&gt; Phụ kiện&gt; dán, decal&gt; Khác")</f>
        <v>Đấu giá&gt; ô tô, xe máy&gt; Phụ kiện&gt; dán, decal&gt; Khác</v>
      </c>
      <c r="F2313" t="str">
        <f t="shared" ca="1" si="36"/>
        <v>"2084210670" : "nếu không thì",</v>
      </c>
    </row>
    <row r="2314" spans="1:6" ht="15.75" customHeight="1">
      <c r="A2314" s="18">
        <v>2084047458</v>
      </c>
      <c r="B2314" s="18" t="s">
        <v>8407</v>
      </c>
      <c r="C2314" s="18" t="s">
        <v>8408</v>
      </c>
      <c r="D2314" s="5" t="str">
        <f ca="1">IFERROR(__xludf.DUMMYFUNCTION("GOOGLETRANSLATE(B2314,""ja"",""vi"")"),"F1")</f>
        <v>F1</v>
      </c>
      <c r="E2314" s="5" t="str">
        <f ca="1">IFERROR(__xludf.DUMMYFUNCTION("GOOGLETRANSLATE(C2314,""ja"",""vi"")"),"Đấu giá&gt; thể thao, giải trí&gt; thể thao khác&gt; xe đua&gt; F1")</f>
        <v>Đấu giá&gt; thể thao, giải trí&gt; thể thao khác&gt; xe đua&gt; F1</v>
      </c>
      <c r="F2314" t="str">
        <f t="shared" ca="1" si="36"/>
        <v>"2084047458" : "F1",</v>
      </c>
    </row>
    <row r="2315" spans="1:6" ht="15.75" customHeight="1">
      <c r="A2315" s="18">
        <v>2084221238</v>
      </c>
      <c r="B2315" s="18" t="s">
        <v>8409</v>
      </c>
      <c r="C2315" s="18" t="s">
        <v>8410</v>
      </c>
      <c r="D2315" s="5" t="str">
        <f ca="1">IFERROR(__xludf.DUMMYFUNCTION("GOOGLETRANSLATE(B2315,""ja"",""vi"")"),"Pocket xe đạp")</f>
        <v>Pocket xe đạp</v>
      </c>
      <c r="E2315" s="5" t="str">
        <f ca="1">IFERROR(__xludf.DUMMYFUNCTION("GOOGLETRANSLATE(C2315,""ja"",""vi"")"),"Đấu giá&gt; thể thao, giải trí&gt; thể thao khác&gt; xe đua&gt; túi xe đạp")</f>
        <v>Đấu giá&gt; thể thao, giải trí&gt; thể thao khác&gt; xe đua&gt; túi xe đạp</v>
      </c>
      <c r="F2315" t="str">
        <f t="shared" ca="1" si="36"/>
        <v>"2084221238" : "Pocket xe đạp",</v>
      </c>
    </row>
    <row r="2316" spans="1:6" ht="15.75" customHeight="1">
      <c r="A2316" s="18">
        <v>2084018483</v>
      </c>
      <c r="B2316" s="18" t="s">
        <v>8411</v>
      </c>
      <c r="C2316" s="18" t="s">
        <v>8412</v>
      </c>
      <c r="D2316" s="5" t="str">
        <f ca="1">IFERROR(__xludf.DUMMYFUNCTION("GOOGLETRANSLATE(B2316,""ja"",""vi"")"),"đua giỏ hàng")</f>
        <v>đua giỏ hàng</v>
      </c>
      <c r="E2316" s="5" t="str">
        <f ca="1">IFERROR(__xludf.DUMMYFUNCTION("GOOGLETRANSLATE(C2316,""ja"",""vi"")"),"Đấu giá&gt; thể thao, giải trí&gt; thể thao khác&gt; xe đua&gt; đua giỏ hàng")</f>
        <v>Đấu giá&gt; thể thao, giải trí&gt; thể thao khác&gt; xe đua&gt; đua giỏ hàng</v>
      </c>
      <c r="F2316" t="str">
        <f t="shared" ca="1" si="36"/>
        <v>"2084018483" : "đua giỏ hàng",</v>
      </c>
    </row>
    <row r="2317" spans="1:6" ht="15.75" customHeight="1">
      <c r="A2317" s="18">
        <v>2084236943</v>
      </c>
      <c r="B2317" s="18" t="s">
        <v>8413</v>
      </c>
      <c r="C2317" s="18" t="s">
        <v>8414</v>
      </c>
      <c r="D2317" s="5" t="str">
        <f ca="1">IFERROR(__xludf.DUMMYFUNCTION("GOOGLETRANSLATE(B2317,""ja"",""vi"")"),"Bốn bánh buggy")</f>
        <v>Bốn bánh buggy</v>
      </c>
      <c r="E2317" s="5" t="str">
        <f ca="1">IFERROR(__xludf.DUMMYFUNCTION("GOOGLETRANSLATE(C2317,""ja"",""vi"")"),"Đấu giá&gt; thể thao, giải trí&gt; thể thao khác&gt; xe đua&gt; buggy bốn bánh")</f>
        <v>Đấu giá&gt; thể thao, giải trí&gt; thể thao khác&gt; xe đua&gt; buggy bốn bánh</v>
      </c>
      <c r="F2317" t="str">
        <f t="shared" ca="1" si="36"/>
        <v>"2084236943" : "Bốn bánh buggy",</v>
      </c>
    </row>
    <row r="2318" spans="1:6" ht="15.75" customHeight="1">
      <c r="A2318" s="18">
        <v>2084047459</v>
      </c>
      <c r="B2318" s="18" t="s">
        <v>46</v>
      </c>
      <c r="C2318" s="18" t="s">
        <v>8415</v>
      </c>
      <c r="D2318" s="5" t="str">
        <f ca="1">IFERROR(__xludf.DUMMYFUNCTION("GOOGLETRANSLATE(B2318,""ja"",""vi"")"),"nếu không thì")</f>
        <v>nếu không thì</v>
      </c>
      <c r="E2318" s="5" t="str">
        <f ca="1">IFERROR(__xludf.DUMMYFUNCTION("GOOGLETRANSLATE(C2318,""ja"",""vi"")"),"Đấu giá&gt; thể thao, giải trí&gt; thể thao khác&gt; xe đua&gt; Khác")</f>
        <v>Đấu giá&gt; thể thao, giải trí&gt; thể thao khác&gt; xe đua&gt; Khác</v>
      </c>
      <c r="F2318" t="str">
        <f t="shared" ca="1" si="36"/>
        <v>"2084047459" : "nếu không thì",</v>
      </c>
    </row>
    <row r="2319" spans="1:6" ht="15.75" customHeight="1">
      <c r="A2319" s="18">
        <v>2084016961</v>
      </c>
      <c r="B2319" s="18" t="s">
        <v>13906</v>
      </c>
      <c r="C2319" s="18" t="s">
        <v>18413</v>
      </c>
      <c r="D2319" s="5" t="str">
        <f ca="1">IFERROR(__xludf.DUMMYFUNCTION("GOOGLETRANSLATE(B2319,""ja"",""vi"")"),"BMW")</f>
        <v>BMW</v>
      </c>
      <c r="E2319" s="5" t="str">
        <f ca="1">IFERROR(__xludf.DUMMYFUNCTION("GOOGLETRANSLATE(C2319,""ja"",""vi"")"),"Đấu giá&gt; ô tô, xe máy&gt; hàng ô tô liên quan đến&gt; Auto Brands&gt; BMW")</f>
        <v>Đấu giá&gt; ô tô, xe máy&gt; hàng ô tô liên quan đến&gt; Auto Brands&gt; BMW</v>
      </c>
      <c r="F2319" t="str">
        <f t="shared" ca="1" si="36"/>
        <v>"2084016961" : "BMW",</v>
      </c>
    </row>
    <row r="2320" spans="1:6" ht="15.75" customHeight="1">
      <c r="A2320" s="18">
        <v>2084016940</v>
      </c>
      <c r="B2320" s="18" t="s">
        <v>18416</v>
      </c>
      <c r="C2320" s="18" t="s">
        <v>18417</v>
      </c>
      <c r="D2320" s="5" t="str">
        <f ca="1">IFERROR(__xludf.DUMMYFUNCTION("GOOGLETRANSLATE(B2320,""ja"",""vi"")"),"Isuzu")</f>
        <v>Isuzu</v>
      </c>
      <c r="E2320" s="5" t="str">
        <f ca="1">IFERROR(__xludf.DUMMYFUNCTION("GOOGLETRANSLATE(C2320,""ja"",""vi"")"),"Đấu giá&gt; ô tô, xe máy&gt; hàng ô tô liên quan đến&gt; bằng ô tô&gt; Isuzu")</f>
        <v>Đấu giá&gt; ô tô, xe máy&gt; hàng ô tô liên quan đến&gt; bằng ô tô&gt; Isuzu</v>
      </c>
      <c r="F2320" t="str">
        <f t="shared" ca="1" si="36"/>
        <v>"2084016940" : "Isuzu",</v>
      </c>
    </row>
    <row r="2321" spans="1:6" ht="15.75" customHeight="1">
      <c r="A2321" s="18">
        <v>2084016938</v>
      </c>
      <c r="B2321" s="18" t="s">
        <v>18420</v>
      </c>
      <c r="C2321" s="18" t="s">
        <v>18422</v>
      </c>
      <c r="D2321" s="5" t="str">
        <f ca="1">IFERROR(__xludf.DUMMYFUNCTION("GOOGLETRANSLATE(B2321,""ja"",""vi"")"),"Audi")</f>
        <v>Audi</v>
      </c>
      <c r="E2321" s="5" t="str">
        <f ca="1">IFERROR(__xludf.DUMMYFUNCTION("GOOGLETRANSLATE(C2321,""ja"",""vi"")"),"Đấu giá&gt; ô tô, xe máy&gt; hàng ô tô liên quan đến&gt; Auto Brands&gt; Audi")</f>
        <v>Đấu giá&gt; ô tô, xe máy&gt; hàng ô tô liên quan đến&gt; Auto Brands&gt; Audi</v>
      </c>
      <c r="F2321" t="str">
        <f t="shared" ca="1" si="36"/>
        <v>"2084016938" : "Audi",</v>
      </c>
    </row>
    <row r="2322" spans="1:6" ht="15.75" customHeight="1">
      <c r="A2322" s="18">
        <v>2084016939</v>
      </c>
      <c r="B2322" s="18" t="s">
        <v>18426</v>
      </c>
      <c r="C2322" s="18" t="s">
        <v>18427</v>
      </c>
      <c r="D2322" s="5" t="str">
        <f ca="1">IFERROR(__xludf.DUMMYFUNCTION("GOOGLETRANSLATE(B2322,""ja"",""vi"")"),"Alfa Romeo")</f>
        <v>Alfa Romeo</v>
      </c>
      <c r="E2322" s="5" t="str">
        <f ca="1">IFERROR(__xludf.DUMMYFUNCTION("GOOGLETRANSLATE(C2322,""ja"",""vi"")"),"Đấu giá&gt; ô tô, xe máy&gt; hàng ô tô liên quan đến&gt; bởi các nhà sản xuất ô tô&gt; Alfa Romeo")</f>
        <v>Đấu giá&gt; ô tô, xe máy&gt; hàng ô tô liên quan đến&gt; bởi các nhà sản xuất ô tô&gt; Alfa Romeo</v>
      </c>
      <c r="F2322" t="str">
        <f t="shared" ca="1" si="36"/>
        <v>"2084016939" : "Alfa Romeo",</v>
      </c>
    </row>
    <row r="2323" spans="1:6" ht="15.75" customHeight="1">
      <c r="A2323" s="18">
        <v>2084016941</v>
      </c>
      <c r="B2323" s="18" t="s">
        <v>18428</v>
      </c>
      <c r="C2323" s="18" t="s">
        <v>18429</v>
      </c>
      <c r="D2323" s="5" t="str">
        <f ca="1">IFERROR(__xludf.DUMMYFUNCTION("GOOGLETRANSLATE(B2323,""ja"",""vi"")"),"Opel")</f>
        <v>Opel</v>
      </c>
      <c r="E2323" s="5" t="str">
        <f ca="1">IFERROR(__xludf.DUMMYFUNCTION("GOOGLETRANSLATE(C2323,""ja"",""vi"")"),"Đấu giá&gt; ô tô, xe máy&gt; hàng ô tô liên quan đến&gt; Auto Brands&gt; Opel")</f>
        <v>Đấu giá&gt; ô tô, xe máy&gt; hàng ô tô liên quan đến&gt; Auto Brands&gt; Opel</v>
      </c>
      <c r="F2323" t="str">
        <f t="shared" ca="1" si="36"/>
        <v>"2084016941" : "Opel",</v>
      </c>
    </row>
    <row r="2324" spans="1:6" ht="15.75" customHeight="1">
      <c r="A2324" s="18">
        <v>2084016942</v>
      </c>
      <c r="B2324" s="18" t="s">
        <v>18432</v>
      </c>
      <c r="C2324" s="18" t="s">
        <v>18433</v>
      </c>
      <c r="D2324" s="5" t="str">
        <f ca="1">IFERROR(__xludf.DUMMYFUNCTION("GOOGLETRANSLATE(B2324,""ja"",""vi"")"),"Citroen")</f>
        <v>Citroen</v>
      </c>
      <c r="E2324" s="5" t="str">
        <f ca="1">IFERROR(__xludf.DUMMYFUNCTION("GOOGLETRANSLATE(C2324,""ja"",""vi"")"),"Đấu giá&gt; ô tô, xe máy&gt; hàng ô tô liên quan đến&gt; Auto Brands&gt; Citroen")</f>
        <v>Đấu giá&gt; ô tô, xe máy&gt; hàng ô tô liên quan đến&gt; Auto Brands&gt; Citroen</v>
      </c>
      <c r="F2324" t="str">
        <f t="shared" ca="1" si="36"/>
        <v>"2084016942" : "Citroen",</v>
      </c>
    </row>
    <row r="2325" spans="1:6" ht="15.75" customHeight="1">
      <c r="A2325" s="18">
        <v>2084016943</v>
      </c>
      <c r="B2325" s="18" t="s">
        <v>18435</v>
      </c>
      <c r="C2325" s="18" t="s">
        <v>18436</v>
      </c>
      <c r="D2325" s="5" t="str">
        <f ca="1">IFERROR(__xludf.DUMMYFUNCTION("GOOGLETRANSLATE(B2325,""ja"",""vi"")"),"Chevrolet")</f>
        <v>Chevrolet</v>
      </c>
      <c r="E2325" s="5" t="str">
        <f ca="1">IFERROR(__xludf.DUMMYFUNCTION("GOOGLETRANSLATE(C2325,""ja"",""vi"")"),"Đấu giá&gt; ô tô, xe máy&gt; hàng ô tô liên quan đến&gt; Auto Brands&gt; Chevrolet")</f>
        <v>Đấu giá&gt; ô tô, xe máy&gt; hàng ô tô liên quan đến&gt; Auto Brands&gt; Chevrolet</v>
      </c>
      <c r="F2325" t="str">
        <f t="shared" ca="1" si="36"/>
        <v>"2084016943" : "Chevrolet",</v>
      </c>
    </row>
    <row r="2326" spans="1:6" ht="15.75" customHeight="1">
      <c r="A2326" s="18">
        <v>2084016944</v>
      </c>
      <c r="B2326" s="18" t="s">
        <v>6923</v>
      </c>
      <c r="C2326" s="18" t="s">
        <v>18439</v>
      </c>
      <c r="D2326" s="5" t="str">
        <f ca="1">IFERROR(__xludf.DUMMYFUNCTION("GOOGLETRANSLATE(B2326,""ja"",""vi"")"),"Suzuki")</f>
        <v>Suzuki</v>
      </c>
      <c r="E2326" s="5" t="str">
        <f ca="1">IFERROR(__xludf.DUMMYFUNCTION("GOOGLETRANSLATE(C2326,""ja"",""vi"")"),"Đấu giá&gt; ô tô, xe máy&gt; hàng ô tô liên quan đến&gt; Auto Brands&gt; Suzuki")</f>
        <v>Đấu giá&gt; ô tô, xe máy&gt; hàng ô tô liên quan đến&gt; Auto Brands&gt; Suzuki</v>
      </c>
      <c r="F2326" t="str">
        <f t="shared" ca="1" si="36"/>
        <v>"2084016944" : "Suzuki",</v>
      </c>
    </row>
    <row r="2327" spans="1:6" ht="15.75" customHeight="1">
      <c r="A2327" s="18">
        <v>2084016945</v>
      </c>
      <c r="B2327" s="18" t="s">
        <v>13872</v>
      </c>
      <c r="C2327" s="18" t="s">
        <v>18443</v>
      </c>
      <c r="D2327" s="5" t="str">
        <f ca="1">IFERROR(__xludf.DUMMYFUNCTION("GOOGLETRANSLATE(B2327,""ja"",""vi"")"),"Subaru")</f>
        <v>Subaru</v>
      </c>
      <c r="E2327" s="5" t="str">
        <f ca="1">IFERROR(__xludf.DUMMYFUNCTION("GOOGLETRANSLATE(C2327,""ja"",""vi"")"),"Đấu giá&gt; ô tô, xe máy&gt; hàng ô tô liên quan đến&gt; Auto Brands&gt; Subaru")</f>
        <v>Đấu giá&gt; ô tô, xe máy&gt; hàng ô tô liên quan đến&gt; Auto Brands&gt; Subaru</v>
      </c>
      <c r="F2327" t="str">
        <f t="shared" ca="1" si="36"/>
        <v>"2084016945" : "Subaru",</v>
      </c>
    </row>
    <row r="2328" spans="1:6" ht="15.75" customHeight="1">
      <c r="A2328" s="18">
        <v>2084016946</v>
      </c>
      <c r="B2328" s="18" t="s">
        <v>13879</v>
      </c>
      <c r="C2328" s="18" t="s">
        <v>18447</v>
      </c>
      <c r="D2328" s="5" t="str">
        <f ca="1">IFERROR(__xludf.DUMMYFUNCTION("GOOGLETRANSLATE(B2328,""ja"",""vi"")"),"Daihatsu")</f>
        <v>Daihatsu</v>
      </c>
      <c r="E2328" s="5" t="str">
        <f ca="1">IFERROR(__xludf.DUMMYFUNCTION("GOOGLETRANSLATE(C2328,""ja"",""vi"")"),"Đấu giá&gt; ô tô, xe máy&gt; hàng ô tô liên quan đến&gt; Auto Brands&gt; Daihatsu")</f>
        <v>Đấu giá&gt; ô tô, xe máy&gt; hàng ô tô liên quan đến&gt; Auto Brands&gt; Daihatsu</v>
      </c>
      <c r="F2328" t="str">
        <f t="shared" ca="1" si="36"/>
        <v>"2084016946" : "Daihatsu",</v>
      </c>
    </row>
    <row r="2329" spans="1:6" ht="15.75" customHeight="1">
      <c r="A2329" s="18">
        <v>2084016947</v>
      </c>
      <c r="B2329" s="18" t="s">
        <v>13861</v>
      </c>
      <c r="C2329" s="18" t="s">
        <v>18449</v>
      </c>
      <c r="D2329" s="5" t="str">
        <f ca="1">IFERROR(__xludf.DUMMYFUNCTION("GOOGLETRANSLATE(B2329,""ja"",""vi"")"),"Toyota")</f>
        <v>Toyota</v>
      </c>
      <c r="E2329" s="5" t="str">
        <f ca="1">IFERROR(__xludf.DUMMYFUNCTION("GOOGLETRANSLATE(C2329,""ja"",""vi"")"),"Đấu giá&gt; ô tô, xe máy&gt; hàng ô tô liên quan đến&gt; Auto Brands&gt; Toyota")</f>
        <v>Đấu giá&gt; ô tô, xe máy&gt; hàng ô tô liên quan đến&gt; Auto Brands&gt; Toyota</v>
      </c>
      <c r="F2329" t="str">
        <f t="shared" ca="1" si="36"/>
        <v>"2084016947" : "Toyota",</v>
      </c>
    </row>
    <row r="2330" spans="1:6" ht="15.75" customHeight="1">
      <c r="A2330" s="18">
        <v>2084016949</v>
      </c>
      <c r="B2330" s="18" t="s">
        <v>18452</v>
      </c>
      <c r="C2330" s="18" t="s">
        <v>18453</v>
      </c>
      <c r="D2330" s="5" t="str">
        <f ca="1">IFERROR(__xludf.DUMMYFUNCTION("GOOGLETRANSLATE(B2330,""ja"",""vi"")"),"sự đồng ý")</f>
        <v>sự đồng ý</v>
      </c>
      <c r="E2330" s="5" t="str">
        <f ca="1">IFERROR(__xludf.DUMMYFUNCTION("GOOGLETRANSLATE(C2330,""ja"",""vi"")"),"Đấu giá&gt; ô tô, xe máy&gt; hàng ô tô liên quan đến&gt; Auto Brands&gt; Fiat")</f>
        <v>Đấu giá&gt; ô tô, xe máy&gt; hàng ô tô liên quan đến&gt; Auto Brands&gt; Fiat</v>
      </c>
      <c r="F2330" t="str">
        <f t="shared" ca="1" si="36"/>
        <v>"2084016949" : "sự đồng ý",</v>
      </c>
    </row>
    <row r="2331" spans="1:6" ht="15.75" customHeight="1">
      <c r="A2331" s="18">
        <v>2084047636</v>
      </c>
      <c r="B2331" s="18" t="s">
        <v>18456</v>
      </c>
      <c r="C2331" s="18" t="s">
        <v>18458</v>
      </c>
      <c r="D2331" s="5" t="str">
        <f ca="1">IFERROR(__xludf.DUMMYFUNCTION("GOOGLETRANSLATE(B2331,""ja"",""vi"")"),"Ferrari")</f>
        <v>Ferrari</v>
      </c>
      <c r="E2331" s="5" t="str">
        <f ca="1">IFERROR(__xludf.DUMMYFUNCTION("GOOGLETRANSLATE(C2331,""ja"",""vi"")"),"Đấu giá&gt; ô tô, xe máy&gt; hàng ô tô liên quan đến&gt; Auto Brands&gt; Ferrari")</f>
        <v>Đấu giá&gt; ô tô, xe máy&gt; hàng ô tô liên quan đến&gt; Auto Brands&gt; Ferrari</v>
      </c>
      <c r="F2331" t="str">
        <f t="shared" ca="1" si="36"/>
        <v>"2084047636" : "Ferrari",</v>
      </c>
    </row>
    <row r="2332" spans="1:6" ht="15.75" customHeight="1">
      <c r="A2332" s="18">
        <v>2084016950</v>
      </c>
      <c r="B2332" s="18" t="s">
        <v>18461</v>
      </c>
      <c r="C2332" s="18" t="s">
        <v>18462</v>
      </c>
      <c r="D2332" s="5" t="str">
        <f ca="1">IFERROR(__xludf.DUMMYFUNCTION("GOOGLETRANSLATE(B2332,""ja"",""vi"")"),"xe hơi hiệu ford")</f>
        <v>xe hơi hiệu ford</v>
      </c>
      <c r="E2332" s="5" t="str">
        <f ca="1">IFERROR(__xludf.DUMMYFUNCTION("GOOGLETRANSLATE(C2332,""ja"",""vi"")"),"Đấu giá&gt; ô tô, xe máy&gt; hàng ô tô liên quan đến&gt; Auto Brands&gt; Ford")</f>
        <v>Đấu giá&gt; ô tô, xe máy&gt; hàng ô tô liên quan đến&gt; Auto Brands&gt; Ford</v>
      </c>
      <c r="F2332" t="str">
        <f t="shared" ca="1" si="36"/>
        <v>"2084016950" : "xe hơi hiệu ford",</v>
      </c>
    </row>
    <row r="2333" spans="1:6" ht="15.75" customHeight="1">
      <c r="A2333" s="18">
        <v>2084016951</v>
      </c>
      <c r="B2333" s="18" t="s">
        <v>18466</v>
      </c>
      <c r="C2333" s="18" t="s">
        <v>18468</v>
      </c>
      <c r="D2333" s="5" t="str">
        <f ca="1">IFERROR(__xludf.DUMMYFUNCTION("GOOGLETRANSLATE(B2333,""ja"",""vi"")"),"Volkswagen")</f>
        <v>Volkswagen</v>
      </c>
      <c r="E2333" s="5" t="str">
        <f ca="1">IFERROR(__xludf.DUMMYFUNCTION("GOOGLETRANSLATE(C2333,""ja"",""vi"")"),"Đấu giá&gt; ô tô, xe máy&gt; hàng ô tô liên quan đến&gt; bằng ô tô&gt; Volkswagen")</f>
        <v>Đấu giá&gt; ô tô, xe máy&gt; hàng ô tô liên quan đến&gt; bằng ô tô&gt; Volkswagen</v>
      </c>
      <c r="F2333" t="str">
        <f t="shared" ca="1" si="36"/>
        <v>"2084016951" : "Volkswagen",</v>
      </c>
    </row>
    <row r="2334" spans="1:6" ht="15.75" customHeight="1">
      <c r="A2334" s="18">
        <v>2084016952</v>
      </c>
      <c r="B2334" s="18" t="s">
        <v>18472</v>
      </c>
      <c r="C2334" s="18" t="s">
        <v>18473</v>
      </c>
      <c r="D2334" s="5" t="str">
        <f ca="1">IFERROR(__xludf.DUMMYFUNCTION("GOOGLETRANSLATE(B2334,""ja"",""vi"")"),"Peugeot")</f>
        <v>Peugeot</v>
      </c>
      <c r="E2334" s="5" t="str">
        <f ca="1">IFERROR(__xludf.DUMMYFUNCTION("GOOGLETRANSLATE(C2334,""ja"",""vi"")"),"Đấu giá&gt; ô tô, xe máy&gt; hàng ô tô liên quan đến&gt; bằng ô tô&gt; Peugeot")</f>
        <v>Đấu giá&gt; ô tô, xe máy&gt; hàng ô tô liên quan đến&gt; bằng ô tô&gt; Peugeot</v>
      </c>
      <c r="F2334" t="str">
        <f t="shared" ca="1" si="36"/>
        <v>"2084016952" : "Peugeot",</v>
      </c>
    </row>
    <row r="2335" spans="1:6" ht="15.75" customHeight="1">
      <c r="A2335" s="18">
        <v>2084016955</v>
      </c>
      <c r="B2335" s="18" t="s">
        <v>6927</v>
      </c>
      <c r="C2335" s="18" t="s">
        <v>18477</v>
      </c>
      <c r="D2335" s="5" t="str">
        <f ca="1">IFERROR(__xludf.DUMMYFUNCTION("GOOGLETRANSLATE(B2335,""ja"",""vi"")"),"Honda")</f>
        <v>Honda</v>
      </c>
      <c r="E2335" s="5" t="str">
        <f ca="1">IFERROR(__xludf.DUMMYFUNCTION("GOOGLETRANSLATE(C2335,""ja"",""vi"")"),"Đấu giá&gt; ô tô, xe máy&gt; hàng ô tô liên quan đến&gt; Auto Brands&gt; Honda")</f>
        <v>Đấu giá&gt; ô tô, xe máy&gt; hàng ô tô liên quan đến&gt; Auto Brands&gt; Honda</v>
      </c>
      <c r="F2335" t="str">
        <f t="shared" ca="1" si="36"/>
        <v>"2084016955" : "Honda",</v>
      </c>
    </row>
    <row r="2336" spans="1:6" ht="15.75" customHeight="1">
      <c r="A2336" s="18">
        <v>2084016954</v>
      </c>
      <c r="B2336" s="18" t="s">
        <v>18481</v>
      </c>
      <c r="C2336" s="18" t="s">
        <v>18482</v>
      </c>
      <c r="D2336" s="5" t="str">
        <f ca="1">IFERROR(__xludf.DUMMYFUNCTION("GOOGLETRANSLATE(B2336,""ja"",""vi"")"),"Volvo")</f>
        <v>Volvo</v>
      </c>
      <c r="E2336" s="5" t="str">
        <f ca="1">IFERROR(__xludf.DUMMYFUNCTION("GOOGLETRANSLATE(C2336,""ja"",""vi"")"),"Đấu giá&gt; ô tô, xe máy&gt; hàng ô tô liên quan đến&gt; Auto Brands&gt; Volvo")</f>
        <v>Đấu giá&gt; ô tô, xe máy&gt; hàng ô tô liên quan đến&gt; Auto Brands&gt; Volvo</v>
      </c>
      <c r="F2336" t="str">
        <f t="shared" ca="1" si="36"/>
        <v>"2084016954" : "Volvo",</v>
      </c>
    </row>
    <row r="2337" spans="1:6" ht="15.75" customHeight="1">
      <c r="A2337" s="18">
        <v>2084016953</v>
      </c>
      <c r="B2337" s="18" t="s">
        <v>18486</v>
      </c>
      <c r="C2337" s="18" t="s">
        <v>18487</v>
      </c>
      <c r="D2337" s="5" t="str">
        <f ca="1">IFERROR(__xludf.DUMMYFUNCTION("GOOGLETRANSLATE(B2337,""ja"",""vi"")"),"Porsche")</f>
        <v>Porsche</v>
      </c>
      <c r="E2337" s="5" t="str">
        <f ca="1">IFERROR(__xludf.DUMMYFUNCTION("GOOGLETRANSLATE(C2337,""ja"",""vi"")"),"Đấu giá&gt; ô tô, xe máy&gt; hàng ô tô liên quan đến&gt; Auto Brands&gt; Porsche")</f>
        <v>Đấu giá&gt; ô tô, xe máy&gt; hàng ô tô liên quan đến&gt; Auto Brands&gt; Porsche</v>
      </c>
      <c r="F2337" t="str">
        <f t="shared" ca="1" si="36"/>
        <v>"2084016953" : "Porsche",</v>
      </c>
    </row>
    <row r="2338" spans="1:6" ht="15.75" customHeight="1">
      <c r="A2338" s="18">
        <v>2084016956</v>
      </c>
      <c r="B2338" s="18" t="s">
        <v>13887</v>
      </c>
      <c r="C2338" s="18" t="s">
        <v>18492</v>
      </c>
      <c r="D2338" s="5" t="str">
        <f ca="1">IFERROR(__xludf.DUMMYFUNCTION("GOOGLETRANSLATE(B2338,""ja"",""vi"")"),"Mazda")</f>
        <v>Mazda</v>
      </c>
      <c r="E2338" s="5" t="str">
        <f ca="1">IFERROR(__xludf.DUMMYFUNCTION("GOOGLETRANSLATE(C2338,""ja"",""vi"")"),"Đấu giá&gt; ô tô, xe máy&gt; hàng ô tô liên quan đến&gt; Auto Brands&gt; Mazda")</f>
        <v>Đấu giá&gt; ô tô, xe máy&gt; hàng ô tô liên quan đến&gt; Auto Brands&gt; Mazda</v>
      </c>
      <c r="F2338" t="str">
        <f t="shared" ca="1" si="36"/>
        <v>"2084016956" : "Mazda",</v>
      </c>
    </row>
    <row r="2339" spans="1:6" ht="15.75" customHeight="1">
      <c r="A2339" s="18">
        <v>2084016958</v>
      </c>
      <c r="B2339" s="18" t="s">
        <v>12829</v>
      </c>
      <c r="C2339" s="18" t="s">
        <v>18498</v>
      </c>
      <c r="D2339" s="5" t="str">
        <f ca="1">IFERROR(__xludf.DUMMYFUNCTION("GOOGLETRANSLATE(B2339,""ja"",""vi"")"),"Mini")</f>
        <v>Mini</v>
      </c>
      <c r="E2339" s="5" t="str">
        <f ca="1">IFERROR(__xludf.DUMMYFUNCTION("GOOGLETRANSLATE(C2339,""ja"",""vi"")"),"Đấu giá&gt; ô tô, xe máy&gt; hàng ô tô liên quan đến&gt; bằng ô tô&gt; Mini")</f>
        <v>Đấu giá&gt; ô tô, xe máy&gt; hàng ô tô liên quan đến&gt; bằng ô tô&gt; Mini</v>
      </c>
      <c r="F2339" t="str">
        <f t="shared" ca="1" si="36"/>
        <v>"2084016958" : "Mini",</v>
      </c>
    </row>
    <row r="2340" spans="1:6" ht="15.75" customHeight="1">
      <c r="A2340" s="18">
        <v>2084016959</v>
      </c>
      <c r="B2340" s="18" t="s">
        <v>13913</v>
      </c>
      <c r="C2340" s="18" t="s">
        <v>18502</v>
      </c>
      <c r="D2340" s="5" t="str">
        <f ca="1">IFERROR(__xludf.DUMMYFUNCTION("GOOGLETRANSLATE(B2340,""ja"",""vi"")"),"Mercedes-Benz")</f>
        <v>Mercedes-Benz</v>
      </c>
      <c r="E2340" s="5" t="str">
        <f ca="1">IFERROR(__xludf.DUMMYFUNCTION("GOOGLETRANSLATE(C2340,""ja"",""vi"")"),"Đấu giá&gt; ô tô, xe máy&gt; hàng ô tô liên quan đến&gt; bằng ô tô&gt; Mercedes-Benz")</f>
        <v>Đấu giá&gt; ô tô, xe máy&gt; hàng ô tô liên quan đến&gt; bằng ô tô&gt; Mercedes-Benz</v>
      </c>
      <c r="F2340" t="str">
        <f t="shared" ca="1" si="36"/>
        <v>"2084016959" : "Mercedes-Benz",</v>
      </c>
    </row>
    <row r="2341" spans="1:6" ht="15.75" customHeight="1">
      <c r="A2341" s="18">
        <v>2084016960</v>
      </c>
      <c r="B2341" s="18" t="s">
        <v>18505</v>
      </c>
      <c r="C2341" s="18" t="s">
        <v>18508</v>
      </c>
      <c r="D2341" s="5" t="str">
        <f ca="1">IFERROR(__xludf.DUMMYFUNCTION("GOOGLETRANSLATE(B2341,""ja"",""vi"")"),"Renault")</f>
        <v>Renault</v>
      </c>
      <c r="E2341" s="5" t="str">
        <f ca="1">IFERROR(__xludf.DUMMYFUNCTION("GOOGLETRANSLATE(C2341,""ja"",""vi"")"),"Đấu giá&gt; ô tô, xe máy&gt; hàng ô tô liên quan đến&gt; Auto Brands&gt; Renault")</f>
        <v>Đấu giá&gt; ô tô, xe máy&gt; hàng ô tô liên quan đến&gt; Auto Brands&gt; Renault</v>
      </c>
      <c r="F2341" t="str">
        <f t="shared" ca="1" si="36"/>
        <v>"2084016960" : "Renault",</v>
      </c>
    </row>
    <row r="2342" spans="1:6" ht="15.75" customHeight="1">
      <c r="A2342" s="18">
        <v>2084016957</v>
      </c>
      <c r="B2342" s="18" t="s">
        <v>13893</v>
      </c>
      <c r="C2342" s="18" t="s">
        <v>18510</v>
      </c>
      <c r="D2342" s="5" t="str">
        <f ca="1">IFERROR(__xludf.DUMMYFUNCTION("GOOGLETRANSLATE(B2342,""ja"",""vi"")"),"Mitsubishi")</f>
        <v>Mitsubishi</v>
      </c>
      <c r="E2342" s="5" t="str">
        <f ca="1">IFERROR(__xludf.DUMMYFUNCTION("GOOGLETRANSLATE(C2342,""ja"",""vi"")"),"Đấu giá&gt; ô tô, xe máy&gt; hàng ô tô liên quan đến&gt; bằng ô tô&gt; Mitsubishi")</f>
        <v>Đấu giá&gt; ô tô, xe máy&gt; hàng ô tô liên quan đến&gt; bằng ô tô&gt; Mitsubishi</v>
      </c>
      <c r="F2342" t="str">
        <f t="shared" ca="1" si="36"/>
        <v>"2084016957" : "Mitsubishi",</v>
      </c>
    </row>
    <row r="2343" spans="1:6" ht="15.75" customHeight="1">
      <c r="A2343" s="18">
        <v>2084016948</v>
      </c>
      <c r="B2343" s="18" t="s">
        <v>13900</v>
      </c>
      <c r="C2343" s="18" t="s">
        <v>18514</v>
      </c>
      <c r="D2343" s="5" t="str">
        <f ca="1">IFERROR(__xludf.DUMMYFUNCTION("GOOGLETRANSLATE(B2343,""ja"",""vi"")"),"Nissan")</f>
        <v>Nissan</v>
      </c>
      <c r="E2343" s="5" t="str">
        <f ca="1">IFERROR(__xludf.DUMMYFUNCTION("GOOGLETRANSLATE(C2343,""ja"",""vi"")"),"Đấu giá&gt; ô tô, xe máy&gt; hàng ô tô liên quan đến&gt; bằng ô tô&gt; Nissan")</f>
        <v>Đấu giá&gt; ô tô, xe máy&gt; hàng ô tô liên quan đến&gt; bằng ô tô&gt; Nissan</v>
      </c>
      <c r="F2343" t="str">
        <f t="shared" ca="1" si="36"/>
        <v>"2084016948" : "Nissan",</v>
      </c>
    </row>
    <row r="2344" spans="1:6" ht="15.75" customHeight="1">
      <c r="A2344" s="18">
        <v>2084040697</v>
      </c>
      <c r="B2344" s="18" t="s">
        <v>18518</v>
      </c>
      <c r="C2344" s="18" t="s">
        <v>18519</v>
      </c>
      <c r="D2344" s="5" t="str">
        <f ca="1">IFERROR(__xludf.DUMMYFUNCTION("GOOGLETRANSLATE(B2344,""ja"",""vi"")"),"Bằng mô hình tham chiếu")</f>
        <v>Bằng mô hình tham chiếu</v>
      </c>
      <c r="E2344" s="5" t="str">
        <f ca="1">IFERROR(__xludf.DUMMYFUNCTION("GOOGLETRANSLATE(C2344,""ja"",""vi"")"),"Đấu giá&gt; cuốn sách, tạp chí&gt; sở thích, thể thao, sử dụng thực tế&gt; ô tô&gt; ô tô chung&gt; Bằng cách loại xe tham khảo")</f>
        <v>Đấu giá&gt; cuốn sách, tạp chí&gt; sở thích, thể thao, sử dụng thực tế&gt; ô tô&gt; ô tô chung&gt; Bằng cách loại xe tham khảo</v>
      </c>
      <c r="F2344" t="str">
        <f t="shared" ca="1" si="36"/>
        <v>"2084040697" : "Bằng mô hình tham chiếu",</v>
      </c>
    </row>
    <row r="2345" spans="1:6" ht="15.75" customHeight="1">
      <c r="A2345" s="18">
        <v>2084040698</v>
      </c>
      <c r="B2345" s="18" t="s">
        <v>46</v>
      </c>
      <c r="C2345" s="18" t="s">
        <v>18525</v>
      </c>
      <c r="D2345" s="5" t="str">
        <f ca="1">IFERROR(__xludf.DUMMYFUNCTION("GOOGLETRANSLATE(B2345,""ja"",""vi"")"),"nếu không thì")</f>
        <v>nếu không thì</v>
      </c>
      <c r="E2345" s="5" t="str">
        <f ca="1">IFERROR(__xludf.DUMMYFUNCTION("GOOGLETRANSLATE(C2345,""ja"",""vi"")"),"Đấu giá&gt; cuốn sách, tạp chí&gt; sở thích, thể thao, sử dụng thực tế&gt; ô tô&gt; chung ô tô&gt; Khác")</f>
        <v>Đấu giá&gt; cuốn sách, tạp chí&gt; sở thích, thể thao, sử dụng thực tế&gt; ô tô&gt; chung ô tô&gt; Khác</v>
      </c>
      <c r="F2345" t="str">
        <f t="shared" ca="1" si="36"/>
        <v>"2084040698" : "nếu không thì",</v>
      </c>
    </row>
    <row r="2346" spans="1:6" ht="15.75" customHeight="1">
      <c r="A2346" s="18">
        <v>2084008100</v>
      </c>
      <c r="B2346" s="18" t="s">
        <v>5518</v>
      </c>
      <c r="C2346" s="18" t="s">
        <v>18530</v>
      </c>
      <c r="D2346" s="5" t="str">
        <f ca="1">IFERROR(__xludf.DUMMYFUNCTION("GOOGLETRANSLATE(B2346,""ja"",""vi"")"),"xe chung")</f>
        <v>xe chung</v>
      </c>
      <c r="E2346" s="5" t="str">
        <f ca="1">IFERROR(__xludf.DUMMYFUNCTION("GOOGLETRANSLATE(C2346,""ja"",""vi"")"),"Đấu giá&gt; cuốn sách, tạp chí&gt; Tạp chí&gt; sở thích, thể thao, sử dụng thực tế&gt; ô tô&gt; chung ô tô")</f>
        <v>Đấu giá&gt; cuốn sách, tạp chí&gt; Tạp chí&gt; sở thích, thể thao, sử dụng thực tế&gt; ô tô&gt; chung ô tô</v>
      </c>
      <c r="F2346" t="str">
        <f t="shared" ca="1" si="36"/>
        <v>"2084008100" : "xe chung",</v>
      </c>
    </row>
    <row r="2347" spans="1:6" ht="15.75" customHeight="1">
      <c r="A2347" s="18">
        <v>2084008104</v>
      </c>
      <c r="B2347" s="18" t="s">
        <v>18533</v>
      </c>
      <c r="C2347" s="18" t="s">
        <v>18536</v>
      </c>
      <c r="D2347" s="5" t="str">
        <f ca="1">IFERROR(__xludf.DUMMYFUNCTION("GOOGLETRANSLATE(B2347,""ja"",""vi"")"),"4WD / RV")</f>
        <v>4WD / RV</v>
      </c>
      <c r="E2347" s="5" t="str">
        <f ca="1">IFERROR(__xludf.DUMMYFUNCTION("GOOGLETRANSLATE(C2347,""ja"",""vi"")"),"Đấu giá&gt; cuốn sách, tạp chí&gt; Tạp chí&gt; sở thích, thể thao, sử dụng thực tế&gt; ô tô&gt; 4WD / RV")</f>
        <v>Đấu giá&gt; cuốn sách, tạp chí&gt; Tạp chí&gt; sở thích, thể thao, sử dụng thực tế&gt; ô tô&gt; 4WD / RV</v>
      </c>
      <c r="F2347" t="str">
        <f t="shared" ca="1" si="36"/>
        <v>"2084008104" : "4WD / RV",</v>
      </c>
    </row>
    <row r="2348" spans="1:6" ht="15.75" customHeight="1">
      <c r="A2348" s="18">
        <v>2084008102</v>
      </c>
      <c r="B2348" s="18" t="s">
        <v>18540</v>
      </c>
      <c r="C2348" s="18" t="s">
        <v>18541</v>
      </c>
      <c r="D2348" s="5" t="str">
        <f ca="1">IFERROR(__xludf.DUMMYFUNCTION("GOOGLETRANSLATE(B2348,""ja"",""vi"")"),"điều chỉnh")</f>
        <v>điều chỉnh</v>
      </c>
      <c r="E2348" s="5" t="str">
        <f ca="1">IFERROR(__xludf.DUMMYFUNCTION("GOOGLETRANSLATE(C2348,""ja"",""vi"")"),"Đấu giá&gt; cuốn sách, tạp chí&gt; Tạp chí&gt; sở thích, thể thao, sử dụng thực tế&gt; ô tô&gt; Dò")</f>
        <v>Đấu giá&gt; cuốn sách, tạp chí&gt; Tạp chí&gt; sở thích, thể thao, sử dụng thực tế&gt; ô tô&gt; Dò</v>
      </c>
      <c r="F2348" t="str">
        <f t="shared" ca="1" si="36"/>
        <v>"2084008102" : "điều chỉnh",</v>
      </c>
    </row>
    <row r="2349" spans="1:6" ht="15.75" customHeight="1">
      <c r="A2349" s="18">
        <v>2084008101</v>
      </c>
      <c r="B2349" s="18" t="s">
        <v>18546</v>
      </c>
      <c r="C2349" s="18" t="s">
        <v>18548</v>
      </c>
      <c r="D2349" s="5" t="str">
        <f ca="1">IFERROR(__xludf.DUMMYFUNCTION("GOOGLETRANSLATE(B2349,""ja"",""vi"")"),"Motor thể thao")</f>
        <v>Motor thể thao</v>
      </c>
      <c r="E2349" s="5" t="str">
        <f ca="1">IFERROR(__xludf.DUMMYFUNCTION("GOOGLETRANSLATE(C2349,""ja"",""vi"")"),"Đấu giá&gt; cuốn sách, tạp chí&gt; Tạp chí&gt; sở thích, thể thao, sử dụng thực tế&gt; ô tô&gt; Motor Sport")</f>
        <v>Đấu giá&gt; cuốn sách, tạp chí&gt; Tạp chí&gt; sở thích, thể thao, sử dụng thực tế&gt; ô tô&gt; Motor Sport</v>
      </c>
      <c r="F2349" t="str">
        <f t="shared" ca="1" si="36"/>
        <v>"2084008101" : "Motor thể thao",</v>
      </c>
    </row>
    <row r="2350" spans="1:6" ht="15.75" customHeight="1">
      <c r="A2350" s="18">
        <v>2084008103</v>
      </c>
      <c r="B2350" s="18" t="s">
        <v>18553</v>
      </c>
      <c r="C2350" s="18" t="s">
        <v>18555</v>
      </c>
      <c r="D2350" s="5" t="str">
        <f ca="1">IFERROR(__xludf.DUMMYFUNCTION("GOOGLETRANSLATE(B2350,""ja"",""vi"")"),"ô tô nước ngoài")</f>
        <v>ô tô nước ngoài</v>
      </c>
      <c r="E2350" s="5" t="str">
        <f ca="1">IFERROR(__xludf.DUMMYFUNCTION("GOOGLETRANSLATE(C2350,""ja"",""vi"")"),"Đấu giá&gt; cuốn sách, tạp chí&gt; Tạp chí&gt; sở thích, thể thao, sử dụng thực tế&gt; ô tô&gt; xe nước ngoài")</f>
        <v>Đấu giá&gt; cuốn sách, tạp chí&gt; Tạp chí&gt; sở thích, thể thao, sử dụng thực tế&gt; ô tô&gt; xe nước ngoài</v>
      </c>
      <c r="F2350" t="str">
        <f t="shared" ca="1" si="36"/>
        <v>"2084008103" : "ô tô nước ngoài",</v>
      </c>
    </row>
    <row r="2351" spans="1:6" ht="15.75" customHeight="1">
      <c r="A2351" s="18">
        <v>2084214167</v>
      </c>
      <c r="B2351" s="18" t="s">
        <v>5151</v>
      </c>
      <c r="C2351" s="18" t="s">
        <v>15852</v>
      </c>
      <c r="D2351" s="5" t="str">
        <f ca="1">IFERROR(__xludf.DUMMYFUNCTION("GOOGLETRANSLATE(B2351,""ja"",""vi"")"),"Hokkaido")</f>
        <v>Hokkaido</v>
      </c>
      <c r="E2351" s="5" t="str">
        <f ca="1">IFERROR(__xludf.DUMMYFUNCTION("GOOGLETRANSLATE(C2351,""ja"",""vi"")"),"Đấu giá&gt; Khác&gt; sửa chữa, lắp đặt&gt; ô tô, xe máy&gt; ETC lắp&gt; Hokkaido")</f>
        <v>Đấu giá&gt; Khác&gt; sửa chữa, lắp đặt&gt; ô tô, xe máy&gt; ETC lắp&gt; Hokkaido</v>
      </c>
      <c r="F2351" t="str">
        <f t="shared" ca="1" si="36"/>
        <v>"2084214167" : "Hokkaido",</v>
      </c>
    </row>
    <row r="2352" spans="1:6" ht="15.75" customHeight="1">
      <c r="A2352" s="18">
        <v>2084214174</v>
      </c>
      <c r="B2352" s="18" t="s">
        <v>5155</v>
      </c>
      <c r="C2352" s="18" t="s">
        <v>15855</v>
      </c>
      <c r="D2352" s="5" t="str">
        <f ca="1">IFERROR(__xludf.DUMMYFUNCTION("GOOGLETRANSLATE(B2352,""ja"",""vi"")"),"đông bắc")</f>
        <v>đông bắc</v>
      </c>
      <c r="E2352" s="5" t="str">
        <f ca="1">IFERROR(__xludf.DUMMYFUNCTION("GOOGLETRANSLATE(C2352,""ja"",""vi"")"),"Đấu giá&gt; Khác&gt; sửa chữa, lắp đặt&gt; ô tô, xe máy&gt; ETC lắp&gt; Đông Bắc")</f>
        <v>Đấu giá&gt; Khác&gt; sửa chữa, lắp đặt&gt; ô tô, xe máy&gt; ETC lắp&gt; Đông Bắc</v>
      </c>
      <c r="F2352" t="str">
        <f t="shared" ca="1" si="36"/>
        <v>"2084214174" : "đông bắc",</v>
      </c>
    </row>
    <row r="2353" spans="1:6" ht="15.75" customHeight="1">
      <c r="A2353" s="18">
        <v>2084214175</v>
      </c>
      <c r="B2353" s="18" t="s">
        <v>5159</v>
      </c>
      <c r="C2353" s="18" t="s">
        <v>15858</v>
      </c>
      <c r="D2353" s="5" t="str">
        <f ca="1">IFERROR(__xludf.DUMMYFUNCTION("GOOGLETRANSLATE(B2353,""ja"",""vi"")"),"Kanto")</f>
        <v>Kanto</v>
      </c>
      <c r="E2353" s="5" t="str">
        <f ca="1">IFERROR(__xludf.DUMMYFUNCTION("GOOGLETRANSLATE(C2353,""ja"",""vi"")"),"Đấu giá&gt; Khác&gt; sửa chữa, lắp đặt&gt; ô tô, xe máy&gt; ETC lắp&gt; Kanto")</f>
        <v>Đấu giá&gt; Khác&gt; sửa chữa, lắp đặt&gt; ô tô, xe máy&gt; ETC lắp&gt; Kanto</v>
      </c>
      <c r="F2353" t="str">
        <f t="shared" ca="1" si="36"/>
        <v>"2084214175" : "Kanto",</v>
      </c>
    </row>
    <row r="2354" spans="1:6" ht="15.75" customHeight="1">
      <c r="A2354" s="18">
        <v>2084214176</v>
      </c>
      <c r="B2354" s="18" t="s">
        <v>5166</v>
      </c>
      <c r="C2354" s="18" t="s">
        <v>15861</v>
      </c>
      <c r="D2354" s="5" t="str">
        <f ca="1">IFERROR(__xludf.DUMMYFUNCTION("GOOGLETRANSLATE(B2354,""ja"",""vi"")"),"Shin-Etsu")</f>
        <v>Shin-Etsu</v>
      </c>
      <c r="E2354" s="5" t="str">
        <f ca="1">IFERROR(__xludf.DUMMYFUNCTION("GOOGLETRANSLATE(C2354,""ja"",""vi"")"),"Đấu giá&gt; Khác&gt; sửa chữa, lắp đặt&gt; ô tô, xe máy&gt; ETC lắp&gt; Shin-Etsu")</f>
        <v>Đấu giá&gt; Khác&gt; sửa chữa, lắp đặt&gt; ô tô, xe máy&gt; ETC lắp&gt; Shin-Etsu</v>
      </c>
      <c r="F2354" t="str">
        <f t="shared" ca="1" si="36"/>
        <v>"2084214176" : "Shin-Etsu",</v>
      </c>
    </row>
    <row r="2355" spans="1:6" ht="15.75" customHeight="1">
      <c r="A2355" s="18">
        <v>2084214177</v>
      </c>
      <c r="B2355" s="18" t="s">
        <v>5163</v>
      </c>
      <c r="C2355" s="18" t="s">
        <v>15864</v>
      </c>
      <c r="D2355" s="5" t="str">
        <f ca="1">IFERROR(__xludf.DUMMYFUNCTION("GOOGLETRANSLATE(B2355,""ja"",""vi"")"),"Hokuriku")</f>
        <v>Hokuriku</v>
      </c>
      <c r="E2355" s="5" t="str">
        <f ca="1">IFERROR(__xludf.DUMMYFUNCTION("GOOGLETRANSLATE(C2355,""ja"",""vi"")"),"Đấu giá&gt; Khác&gt; sửa chữa, lắp đặt&gt; ô tô, xe máy&gt; ETC lắp&gt; Hokuriku")</f>
        <v>Đấu giá&gt; Khác&gt; sửa chữa, lắp đặt&gt; ô tô, xe máy&gt; ETC lắp&gt; Hokuriku</v>
      </c>
      <c r="F2355" t="str">
        <f t="shared" ca="1" si="36"/>
        <v>"2084214177" : "Hokuriku",</v>
      </c>
    </row>
    <row r="2356" spans="1:6" ht="15.75" customHeight="1">
      <c r="A2356" s="18">
        <v>2084214178</v>
      </c>
      <c r="B2356" s="18" t="s">
        <v>5170</v>
      </c>
      <c r="C2356" s="18" t="s">
        <v>15867</v>
      </c>
      <c r="D2356" s="5" t="str">
        <f ca="1">IFERROR(__xludf.DUMMYFUNCTION("GOOGLETRANSLATE(B2356,""ja"",""vi"")"),"Tokai")</f>
        <v>Tokai</v>
      </c>
      <c r="E2356" s="5" t="str">
        <f ca="1">IFERROR(__xludf.DUMMYFUNCTION("GOOGLETRANSLATE(C2356,""ja"",""vi"")"),"Đấu giá&gt; Khác&gt; sửa chữa, lắp đặt&gt; ô tô, xe máy&gt; ETC lắp&gt; Tokai")</f>
        <v>Đấu giá&gt; Khác&gt; sửa chữa, lắp đặt&gt; ô tô, xe máy&gt; ETC lắp&gt; Tokai</v>
      </c>
      <c r="F2356" t="str">
        <f t="shared" ca="1" si="36"/>
        <v>"2084214178" : "Tokai",</v>
      </c>
    </row>
    <row r="2357" spans="1:6" ht="15.75" customHeight="1">
      <c r="A2357" s="18">
        <v>2084214179</v>
      </c>
      <c r="B2357" s="18" t="s">
        <v>5174</v>
      </c>
      <c r="C2357" s="18" t="s">
        <v>15870</v>
      </c>
      <c r="D2357" s="5" t="str">
        <f ca="1">IFERROR(__xludf.DUMMYFUNCTION("GOOGLETRANSLATE(B2357,""ja"",""vi"")"),"Kinki")</f>
        <v>Kinki</v>
      </c>
      <c r="E2357" s="5" t="str">
        <f ca="1">IFERROR(__xludf.DUMMYFUNCTION("GOOGLETRANSLATE(C2357,""ja"",""vi"")"),"Đấu giá&gt; Khác&gt; sửa chữa, lắp đặt&gt; ô tô, xe máy&gt; ETC lắp&gt; Kinki")</f>
        <v>Đấu giá&gt; Khác&gt; sửa chữa, lắp đặt&gt; ô tô, xe máy&gt; ETC lắp&gt; Kinki</v>
      </c>
      <c r="F2357" t="str">
        <f t="shared" ca="1" si="36"/>
        <v>"2084214179" : "Kinki",</v>
      </c>
    </row>
    <row r="2358" spans="1:6" ht="15.75" customHeight="1">
      <c r="A2358" s="18">
        <v>2084214180</v>
      </c>
      <c r="B2358" s="18" t="s">
        <v>5177</v>
      </c>
      <c r="C2358" s="18" t="s">
        <v>15873</v>
      </c>
      <c r="D2358" s="5" t="str">
        <f ca="1">IFERROR(__xludf.DUMMYFUNCTION("GOOGLETRANSLATE(B2358,""ja"",""vi"")"),"đồ sứ")</f>
        <v>đồ sứ</v>
      </c>
      <c r="E2358" s="5" t="str">
        <f ca="1">IFERROR(__xludf.DUMMYFUNCTION("GOOGLETRANSLATE(C2358,""ja"",""vi"")"),"Đấu giá&gt; Khác&gt; sửa chữa, lắp đặt&gt; ô tô, xe máy&gt; ETC lắp&gt; Trung Quốc")</f>
        <v>Đấu giá&gt; Khác&gt; sửa chữa, lắp đặt&gt; ô tô, xe máy&gt; ETC lắp&gt; Trung Quốc</v>
      </c>
      <c r="F2358" t="str">
        <f t="shared" ca="1" si="36"/>
        <v>"2084214180" : "đồ sứ",</v>
      </c>
    </row>
    <row r="2359" spans="1:6" ht="15.75" customHeight="1">
      <c r="A2359" s="18">
        <v>2084214181</v>
      </c>
      <c r="B2359" s="18" t="s">
        <v>5180</v>
      </c>
      <c r="C2359" s="18" t="s">
        <v>15875</v>
      </c>
      <c r="D2359" s="5" t="str">
        <f ca="1">IFERROR(__xludf.DUMMYFUNCTION("GOOGLETRANSLATE(B2359,""ja"",""vi"")"),"Shikoku")</f>
        <v>Shikoku</v>
      </c>
      <c r="E2359" s="5" t="str">
        <f ca="1">IFERROR(__xludf.DUMMYFUNCTION("GOOGLETRANSLATE(C2359,""ja"",""vi"")"),"Đấu giá&gt; Khác&gt; sửa chữa, lắp đặt&gt; ô tô, xe máy&gt; ETC lắp&gt; Shikoku")</f>
        <v>Đấu giá&gt; Khác&gt; sửa chữa, lắp đặt&gt; ô tô, xe máy&gt; ETC lắp&gt; Shikoku</v>
      </c>
      <c r="F2359" t="str">
        <f t="shared" ca="1" si="36"/>
        <v>"2084214181" : "Shikoku",</v>
      </c>
    </row>
    <row r="2360" spans="1:6" ht="15.75" customHeight="1">
      <c r="A2360" s="18">
        <v>2084214182</v>
      </c>
      <c r="B2360" s="18" t="s">
        <v>5183</v>
      </c>
      <c r="C2360" s="18" t="s">
        <v>15878</v>
      </c>
      <c r="D2360" s="5" t="str">
        <f ca="1">IFERROR(__xludf.DUMMYFUNCTION("GOOGLETRANSLATE(B2360,""ja"",""vi"")"),"Kyushu")</f>
        <v>Kyushu</v>
      </c>
      <c r="E2360" s="5" t="str">
        <f ca="1">IFERROR(__xludf.DUMMYFUNCTION("GOOGLETRANSLATE(C2360,""ja"",""vi"")"),"Đấu giá&gt; Khác&gt; sửa chữa, lắp đặt&gt; ô tô, xe máy&gt; ETC lắp&gt; Kyushu")</f>
        <v>Đấu giá&gt; Khác&gt; sửa chữa, lắp đặt&gt; ô tô, xe máy&gt; ETC lắp&gt; Kyushu</v>
      </c>
      <c r="F2360" t="str">
        <f t="shared" ca="1" si="36"/>
        <v>"2084214182" : "Kyushu",</v>
      </c>
    </row>
    <row r="2361" spans="1:6" ht="15.75" customHeight="1">
      <c r="A2361" s="18">
        <v>2084214183</v>
      </c>
      <c r="B2361" s="18" t="s">
        <v>5186</v>
      </c>
      <c r="C2361" s="18" t="s">
        <v>15881</v>
      </c>
      <c r="D2361" s="5" t="str">
        <f ca="1">IFERROR(__xludf.DUMMYFUNCTION("GOOGLETRANSLATE(B2361,""ja"",""vi"")"),"Okinawa")</f>
        <v>Okinawa</v>
      </c>
      <c r="E2361" s="5" t="str">
        <f ca="1">IFERROR(__xludf.DUMMYFUNCTION("GOOGLETRANSLATE(C2361,""ja"",""vi"")"),"Đấu giá&gt; Khác&gt; sửa chữa, lắp đặt&gt; ô tô, xe máy&gt; ETC lắp&gt; Okinawa")</f>
        <v>Đấu giá&gt; Khác&gt; sửa chữa, lắp đặt&gt; ô tô, xe máy&gt; ETC lắp&gt; Okinawa</v>
      </c>
      <c r="F2361" t="str">
        <f t="shared" ca="1" si="36"/>
        <v>"2084214183" : "Okinawa",</v>
      </c>
    </row>
    <row r="2362" spans="1:6" ht="15.75" customHeight="1">
      <c r="A2362" s="18">
        <v>2084214156</v>
      </c>
      <c r="B2362" s="18" t="s">
        <v>5151</v>
      </c>
      <c r="C2362" s="18" t="s">
        <v>16467</v>
      </c>
      <c r="D2362" s="5" t="str">
        <f ca="1">IFERROR(__xludf.DUMMYFUNCTION("GOOGLETRANSLATE(B2362,""ja"",""vi"")"),"Hokkaido")</f>
        <v>Hokkaido</v>
      </c>
      <c r="E2362" s="5" t="str">
        <f ca="1">IFERROR(__xludf.DUMMYFUNCTION("GOOGLETRANSLATE(C2362,""ja"",""vi"")"),"Đấu giá&gt; Khác&gt; sửa chữa, lắp đặt&gt; ô tô, xe máy&gt; âm thanh xe hơi lắp&gt; Hokkaido")</f>
        <v>Đấu giá&gt; Khác&gt; sửa chữa, lắp đặt&gt; ô tô, xe máy&gt; âm thanh xe hơi lắp&gt; Hokkaido</v>
      </c>
      <c r="F2362" t="str">
        <f t="shared" ca="1" si="36"/>
        <v>"2084214156" : "Hokkaido",</v>
      </c>
    </row>
    <row r="2363" spans="1:6" ht="15.75" customHeight="1">
      <c r="A2363" s="18">
        <v>2084214157</v>
      </c>
      <c r="B2363" s="18" t="s">
        <v>5155</v>
      </c>
      <c r="C2363" s="18" t="s">
        <v>16469</v>
      </c>
      <c r="D2363" s="5" t="str">
        <f ca="1">IFERROR(__xludf.DUMMYFUNCTION("GOOGLETRANSLATE(B2363,""ja"",""vi"")"),"đông bắc")</f>
        <v>đông bắc</v>
      </c>
      <c r="E2363" s="5" t="str">
        <f ca="1">IFERROR(__xludf.DUMMYFUNCTION("GOOGLETRANSLATE(C2363,""ja"",""vi"")"),"Đấu giá&gt; Khác&gt; sửa chữa, lắp đặt&gt; ô tô, xe máy&gt; âm thanh xe hơi lắp&gt; Đông Bắc")</f>
        <v>Đấu giá&gt; Khác&gt; sửa chữa, lắp đặt&gt; ô tô, xe máy&gt; âm thanh xe hơi lắp&gt; Đông Bắc</v>
      </c>
      <c r="F2363" t="str">
        <f t="shared" ca="1" si="36"/>
        <v>"2084214157" : "đông bắc",</v>
      </c>
    </row>
    <row r="2364" spans="1:6" ht="15.75" customHeight="1">
      <c r="A2364" s="18">
        <v>2084214158</v>
      </c>
      <c r="B2364" s="18" t="s">
        <v>5159</v>
      </c>
      <c r="C2364" s="18" t="s">
        <v>16473</v>
      </c>
      <c r="D2364" s="5" t="str">
        <f ca="1">IFERROR(__xludf.DUMMYFUNCTION("GOOGLETRANSLATE(B2364,""ja"",""vi"")"),"Kanto")</f>
        <v>Kanto</v>
      </c>
      <c r="E2364" s="5" t="str">
        <f ca="1">IFERROR(__xludf.DUMMYFUNCTION("GOOGLETRANSLATE(C2364,""ja"",""vi"")"),"Đấu giá&gt; Khác&gt; sửa chữa, lắp đặt&gt; ô tô, xe máy&gt; âm thanh xe hơi lắp&gt; Kanto")</f>
        <v>Đấu giá&gt; Khác&gt; sửa chữa, lắp đặt&gt; ô tô, xe máy&gt; âm thanh xe hơi lắp&gt; Kanto</v>
      </c>
      <c r="F2364" t="str">
        <f t="shared" ca="1" si="36"/>
        <v>"2084214158" : "Kanto",</v>
      </c>
    </row>
    <row r="2365" spans="1:6" ht="15.75" customHeight="1">
      <c r="A2365" s="18">
        <v>2084214159</v>
      </c>
      <c r="B2365" s="18" t="s">
        <v>5166</v>
      </c>
      <c r="C2365" s="18" t="s">
        <v>16475</v>
      </c>
      <c r="D2365" s="5" t="str">
        <f ca="1">IFERROR(__xludf.DUMMYFUNCTION("GOOGLETRANSLATE(B2365,""ja"",""vi"")"),"Shin-Etsu")</f>
        <v>Shin-Etsu</v>
      </c>
      <c r="E2365" s="5" t="str">
        <f ca="1">IFERROR(__xludf.DUMMYFUNCTION("GOOGLETRANSLATE(C2365,""ja"",""vi"")"),"Đấu giá&gt; Khác&gt; sửa chữa, lắp đặt&gt; ô tô, xe máy&gt; âm thanh xe hơi lắp&gt; Shin-Etsu")</f>
        <v>Đấu giá&gt; Khác&gt; sửa chữa, lắp đặt&gt; ô tô, xe máy&gt; âm thanh xe hơi lắp&gt; Shin-Etsu</v>
      </c>
      <c r="F2365" t="str">
        <f t="shared" ca="1" si="36"/>
        <v>"2084214159" : "Shin-Etsu",</v>
      </c>
    </row>
    <row r="2366" spans="1:6" ht="15.75" customHeight="1">
      <c r="A2366" s="18">
        <v>2084214160</v>
      </c>
      <c r="B2366" s="18" t="s">
        <v>5163</v>
      </c>
      <c r="C2366" s="18" t="s">
        <v>16478</v>
      </c>
      <c r="D2366" s="5" t="str">
        <f ca="1">IFERROR(__xludf.DUMMYFUNCTION("GOOGLETRANSLATE(B2366,""ja"",""vi"")"),"Hokuriku")</f>
        <v>Hokuriku</v>
      </c>
      <c r="E2366" s="5" t="str">
        <f ca="1">IFERROR(__xludf.DUMMYFUNCTION("GOOGLETRANSLATE(C2366,""ja"",""vi"")"),"Đấu giá&gt; Khác&gt; sửa chữa, lắp đặt&gt; ô tô, xe máy&gt; âm thanh xe hơi lắp&gt; Hokuriku")</f>
        <v>Đấu giá&gt; Khác&gt; sửa chữa, lắp đặt&gt; ô tô, xe máy&gt; âm thanh xe hơi lắp&gt; Hokuriku</v>
      </c>
      <c r="F2366" t="str">
        <f t="shared" ca="1" si="36"/>
        <v>"2084214160" : "Hokuriku",</v>
      </c>
    </row>
    <row r="2367" spans="1:6" ht="15.75" customHeight="1">
      <c r="A2367" s="18">
        <v>2084214161</v>
      </c>
      <c r="B2367" s="18" t="s">
        <v>5170</v>
      </c>
      <c r="C2367" s="18" t="s">
        <v>16480</v>
      </c>
      <c r="D2367" s="5" t="str">
        <f ca="1">IFERROR(__xludf.DUMMYFUNCTION("GOOGLETRANSLATE(B2367,""ja"",""vi"")"),"Tokai")</f>
        <v>Tokai</v>
      </c>
      <c r="E2367" s="5" t="str">
        <f ca="1">IFERROR(__xludf.DUMMYFUNCTION("GOOGLETRANSLATE(C2367,""ja"",""vi"")"),"Đấu giá&gt; Khác&gt; sửa chữa, lắp đặt&gt; ô tô, xe máy&gt; âm thanh xe hơi lắp&gt; Tokai")</f>
        <v>Đấu giá&gt; Khác&gt; sửa chữa, lắp đặt&gt; ô tô, xe máy&gt; âm thanh xe hơi lắp&gt; Tokai</v>
      </c>
      <c r="F2367" t="str">
        <f t="shared" ca="1" si="36"/>
        <v>"2084214161" : "Tokai",</v>
      </c>
    </row>
    <row r="2368" spans="1:6" ht="15.75" customHeight="1">
      <c r="A2368" s="18">
        <v>2084214162</v>
      </c>
      <c r="B2368" s="18" t="s">
        <v>5174</v>
      </c>
      <c r="C2368" s="18" t="s">
        <v>16481</v>
      </c>
      <c r="D2368" s="5" t="str">
        <f ca="1">IFERROR(__xludf.DUMMYFUNCTION("GOOGLETRANSLATE(B2368,""ja"",""vi"")"),"Kinki")</f>
        <v>Kinki</v>
      </c>
      <c r="E2368" s="5" t="str">
        <f ca="1">IFERROR(__xludf.DUMMYFUNCTION("GOOGLETRANSLATE(C2368,""ja"",""vi"")"),"Đấu giá&gt; Khác&gt; sửa chữa, lắp đặt&gt; ô tô, xe máy&gt; âm thanh xe hơi lắp&gt; Kinki")</f>
        <v>Đấu giá&gt; Khác&gt; sửa chữa, lắp đặt&gt; ô tô, xe máy&gt; âm thanh xe hơi lắp&gt; Kinki</v>
      </c>
      <c r="F2368" t="str">
        <f t="shared" ca="1" si="36"/>
        <v>"2084214162" : "Kinki",</v>
      </c>
    </row>
    <row r="2369" spans="1:6" ht="15.75" customHeight="1">
      <c r="A2369" s="18">
        <v>2084214163</v>
      </c>
      <c r="B2369" s="18" t="s">
        <v>5177</v>
      </c>
      <c r="C2369" s="18" t="s">
        <v>16484</v>
      </c>
      <c r="D2369" s="5" t="str">
        <f ca="1">IFERROR(__xludf.DUMMYFUNCTION("GOOGLETRANSLATE(B2369,""ja"",""vi"")"),"đồ sứ")</f>
        <v>đồ sứ</v>
      </c>
      <c r="E2369" s="5" t="str">
        <f ca="1">IFERROR(__xludf.DUMMYFUNCTION("GOOGLETRANSLATE(C2369,""ja"",""vi"")"),"Đấu giá&gt; Khác&gt; sửa chữa, lắp đặt&gt; ô tô, xe máy&gt; âm thanh xe hơi lắp&gt; Trung Quốc")</f>
        <v>Đấu giá&gt; Khác&gt; sửa chữa, lắp đặt&gt; ô tô, xe máy&gt; âm thanh xe hơi lắp&gt; Trung Quốc</v>
      </c>
      <c r="F2369" t="str">
        <f t="shared" ca="1" si="36"/>
        <v>"2084214163" : "đồ sứ",</v>
      </c>
    </row>
    <row r="2370" spans="1:6" ht="15.75" customHeight="1">
      <c r="A2370" s="18">
        <v>2084214164</v>
      </c>
      <c r="B2370" s="18" t="s">
        <v>5180</v>
      </c>
      <c r="C2370" s="18" t="s">
        <v>16487</v>
      </c>
      <c r="D2370" s="5" t="str">
        <f ca="1">IFERROR(__xludf.DUMMYFUNCTION("GOOGLETRANSLATE(B2370,""ja"",""vi"")"),"Shikoku")</f>
        <v>Shikoku</v>
      </c>
      <c r="E2370" s="5" t="str">
        <f ca="1">IFERROR(__xludf.DUMMYFUNCTION("GOOGLETRANSLATE(C2370,""ja"",""vi"")"),"Đấu giá&gt; Khác&gt; sửa chữa, lắp đặt&gt; ô tô, xe máy&gt; âm thanh xe hơi lắp&gt; Shikoku")</f>
        <v>Đấu giá&gt; Khác&gt; sửa chữa, lắp đặt&gt; ô tô, xe máy&gt; âm thanh xe hơi lắp&gt; Shikoku</v>
      </c>
      <c r="F2370" t="str">
        <f t="shared" ref="F2370:F2383" ca="1" si="37">CONCATENATE(CHAR(34)&amp;"",A2370,""&amp;CHAR(34)," : ", CHAR(34)&amp;"",D2370,""&amp;CHAR(34),",")</f>
        <v>"2084214164" : "Shikoku",</v>
      </c>
    </row>
    <row r="2371" spans="1:6" ht="15.75" customHeight="1">
      <c r="A2371" s="18">
        <v>2084214165</v>
      </c>
      <c r="B2371" s="18" t="s">
        <v>5183</v>
      </c>
      <c r="C2371" s="18" t="s">
        <v>16489</v>
      </c>
      <c r="D2371" s="5" t="str">
        <f ca="1">IFERROR(__xludf.DUMMYFUNCTION("GOOGLETRANSLATE(B2371,""ja"",""vi"")"),"Kyushu")</f>
        <v>Kyushu</v>
      </c>
      <c r="E2371" s="5" t="str">
        <f ca="1">IFERROR(__xludf.DUMMYFUNCTION("GOOGLETRANSLATE(C2371,""ja"",""vi"")"),"Đấu giá&gt; Khác&gt; sửa chữa, lắp đặt&gt; ô tô, xe máy&gt; âm thanh xe hơi lắp&gt; Kyushu")</f>
        <v>Đấu giá&gt; Khác&gt; sửa chữa, lắp đặt&gt; ô tô, xe máy&gt; âm thanh xe hơi lắp&gt; Kyushu</v>
      </c>
      <c r="F2371" t="str">
        <f t="shared" ca="1" si="37"/>
        <v>"2084214165" : "Kyushu",</v>
      </c>
    </row>
    <row r="2372" spans="1:6" ht="15.75" customHeight="1">
      <c r="A2372" s="18">
        <v>2084214166</v>
      </c>
      <c r="B2372" s="18" t="s">
        <v>5186</v>
      </c>
      <c r="C2372" s="18" t="s">
        <v>16491</v>
      </c>
      <c r="D2372" s="5" t="str">
        <f ca="1">IFERROR(__xludf.DUMMYFUNCTION("GOOGLETRANSLATE(B2372,""ja"",""vi"")"),"Okinawa")</f>
        <v>Okinawa</v>
      </c>
      <c r="E2372" s="5" t="str">
        <f ca="1">IFERROR(__xludf.DUMMYFUNCTION("GOOGLETRANSLATE(C2372,""ja"",""vi"")"),"Đấu giá&gt; Khác&gt; sửa chữa, lắp đặt&gt; ô tô, xe máy&gt; âm thanh xe hơi lắp&gt; Okinawa")</f>
        <v>Đấu giá&gt; Khác&gt; sửa chữa, lắp đặt&gt; ô tô, xe máy&gt; âm thanh xe hơi lắp&gt; Okinawa</v>
      </c>
      <c r="F2372" t="str">
        <f t="shared" ca="1" si="37"/>
        <v>"2084214166" : "Okinawa",</v>
      </c>
    </row>
    <row r="2373" spans="1:6" ht="15.75" customHeight="1">
      <c r="A2373" s="18">
        <v>2084214145</v>
      </c>
      <c r="B2373" s="18" t="s">
        <v>5151</v>
      </c>
      <c r="C2373" s="18" t="s">
        <v>16277</v>
      </c>
      <c r="D2373" s="5" t="str">
        <f ca="1">IFERROR(__xludf.DUMMYFUNCTION("GOOGLETRANSLATE(B2373,""ja"",""vi"")"),"Hokkaido")</f>
        <v>Hokkaido</v>
      </c>
      <c r="E2373" s="5" t="str">
        <f ca="1">IFERROR(__xludf.DUMMYFUNCTION("GOOGLETRANSLATE(C2373,""ja"",""vi"")"),"Đấu giá&gt; Khác&gt; sửa chữa, lắp đặt&gt; ô tô, xe máy&gt; xe chuyển hướng lắp&gt; Hokkaido")</f>
        <v>Đấu giá&gt; Khác&gt; sửa chữa, lắp đặt&gt; ô tô, xe máy&gt; xe chuyển hướng lắp&gt; Hokkaido</v>
      </c>
      <c r="F2373" t="str">
        <f t="shared" ca="1" si="37"/>
        <v>"2084214145" : "Hokkaido",</v>
      </c>
    </row>
    <row r="2374" spans="1:6" ht="15.75" customHeight="1">
      <c r="A2374" s="18">
        <v>2084214146</v>
      </c>
      <c r="B2374" s="18" t="s">
        <v>5155</v>
      </c>
      <c r="C2374" s="18" t="s">
        <v>16281</v>
      </c>
      <c r="D2374" s="5" t="str">
        <f ca="1">IFERROR(__xludf.DUMMYFUNCTION("GOOGLETRANSLATE(B2374,""ja"",""vi"")"),"đông bắc")</f>
        <v>đông bắc</v>
      </c>
      <c r="E2374" s="5" t="str">
        <f ca="1">IFERROR(__xludf.DUMMYFUNCTION("GOOGLETRANSLATE(C2374,""ja"",""vi"")"),"Đấu giá&gt; Khác&gt; sửa chữa, lắp đặt&gt; ô tô, xe máy&gt; xe chuyển hướng lắp&gt; Đông Bắc")</f>
        <v>Đấu giá&gt; Khác&gt; sửa chữa, lắp đặt&gt; ô tô, xe máy&gt; xe chuyển hướng lắp&gt; Đông Bắc</v>
      </c>
      <c r="F2374" t="str">
        <f t="shared" ca="1" si="37"/>
        <v>"2084214146" : "đông bắc",</v>
      </c>
    </row>
    <row r="2375" spans="1:6" ht="15.75" customHeight="1">
      <c r="A2375" s="18">
        <v>2084214147</v>
      </c>
      <c r="B2375" s="18" t="s">
        <v>5159</v>
      </c>
      <c r="C2375" s="18" t="s">
        <v>16285</v>
      </c>
      <c r="D2375" s="5" t="str">
        <f ca="1">IFERROR(__xludf.DUMMYFUNCTION("GOOGLETRANSLATE(B2375,""ja"",""vi"")"),"Kanto")</f>
        <v>Kanto</v>
      </c>
      <c r="E2375" s="5" t="str">
        <f ca="1">IFERROR(__xludf.DUMMYFUNCTION("GOOGLETRANSLATE(C2375,""ja"",""vi"")"),"Đấu giá&gt; Khác&gt; sửa chữa, lắp đặt&gt; ô tô, xe máy&gt; xe chuyển hướng lắp&gt; Kanto")</f>
        <v>Đấu giá&gt; Khác&gt; sửa chữa, lắp đặt&gt; ô tô, xe máy&gt; xe chuyển hướng lắp&gt; Kanto</v>
      </c>
      <c r="F2375" t="str">
        <f t="shared" ca="1" si="37"/>
        <v>"2084214147" : "Kanto",</v>
      </c>
    </row>
    <row r="2376" spans="1:6" ht="15.75" customHeight="1">
      <c r="A2376" s="18">
        <v>2084214148</v>
      </c>
      <c r="B2376" s="18" t="s">
        <v>5166</v>
      </c>
      <c r="C2376" s="18" t="s">
        <v>16289</v>
      </c>
      <c r="D2376" s="5" t="str">
        <f ca="1">IFERROR(__xludf.DUMMYFUNCTION("GOOGLETRANSLATE(B2376,""ja"",""vi"")"),"Shin-Etsu")</f>
        <v>Shin-Etsu</v>
      </c>
      <c r="E2376" s="5" t="str">
        <f ca="1">IFERROR(__xludf.DUMMYFUNCTION("GOOGLETRANSLATE(C2376,""ja"",""vi"")"),"Đấu giá&gt; Khác&gt; sửa chữa, lắp đặt&gt; ô tô, xe máy&gt; xe chuyển hướng lắp&gt; Shin-Etsu")</f>
        <v>Đấu giá&gt; Khác&gt; sửa chữa, lắp đặt&gt; ô tô, xe máy&gt; xe chuyển hướng lắp&gt; Shin-Etsu</v>
      </c>
      <c r="F2376" t="str">
        <f t="shared" ca="1" si="37"/>
        <v>"2084214148" : "Shin-Etsu",</v>
      </c>
    </row>
    <row r="2377" spans="1:6" ht="15.75" customHeight="1">
      <c r="A2377" s="18">
        <v>2084214149</v>
      </c>
      <c r="B2377" s="18" t="s">
        <v>5163</v>
      </c>
      <c r="C2377" s="18" t="s">
        <v>16293</v>
      </c>
      <c r="D2377" s="5" t="str">
        <f ca="1">IFERROR(__xludf.DUMMYFUNCTION("GOOGLETRANSLATE(B2377,""ja"",""vi"")"),"Hokuriku")</f>
        <v>Hokuriku</v>
      </c>
      <c r="E2377" s="5" t="str">
        <f ca="1">IFERROR(__xludf.DUMMYFUNCTION("GOOGLETRANSLATE(C2377,""ja"",""vi"")"),"Đấu giá&gt; Khác&gt; sửa chữa, lắp đặt&gt; ô tô, xe máy&gt; xe chuyển hướng lắp&gt; Hokuriku")</f>
        <v>Đấu giá&gt; Khác&gt; sửa chữa, lắp đặt&gt; ô tô, xe máy&gt; xe chuyển hướng lắp&gt; Hokuriku</v>
      </c>
      <c r="F2377" t="str">
        <f t="shared" ca="1" si="37"/>
        <v>"2084214149" : "Hokuriku",</v>
      </c>
    </row>
    <row r="2378" spans="1:6" ht="15.75" customHeight="1">
      <c r="A2378" s="18">
        <v>2084214150</v>
      </c>
      <c r="B2378" s="18" t="s">
        <v>5170</v>
      </c>
      <c r="C2378" s="18" t="s">
        <v>16297</v>
      </c>
      <c r="D2378" s="5" t="str">
        <f ca="1">IFERROR(__xludf.DUMMYFUNCTION("GOOGLETRANSLATE(B2378,""ja"",""vi"")"),"Tokai")</f>
        <v>Tokai</v>
      </c>
      <c r="E2378" s="5" t="str">
        <f ca="1">IFERROR(__xludf.DUMMYFUNCTION("GOOGLETRANSLATE(C2378,""ja"",""vi"")"),"Đấu giá&gt; Khác&gt; sửa chữa, lắp đặt&gt; ô tô, xe máy&gt; xe chuyển hướng lắp&gt; Tokai")</f>
        <v>Đấu giá&gt; Khác&gt; sửa chữa, lắp đặt&gt; ô tô, xe máy&gt; xe chuyển hướng lắp&gt; Tokai</v>
      </c>
      <c r="F2378" t="str">
        <f t="shared" ca="1" si="37"/>
        <v>"2084214150" : "Tokai",</v>
      </c>
    </row>
    <row r="2379" spans="1:6" ht="15.75" customHeight="1">
      <c r="A2379" s="18">
        <v>2084214151</v>
      </c>
      <c r="B2379" s="18" t="s">
        <v>5174</v>
      </c>
      <c r="C2379" s="18" t="s">
        <v>16302</v>
      </c>
      <c r="D2379" s="5" t="str">
        <f ca="1">IFERROR(__xludf.DUMMYFUNCTION("GOOGLETRANSLATE(B2379,""ja"",""vi"")"),"Kinki")</f>
        <v>Kinki</v>
      </c>
      <c r="E2379" s="5" t="str">
        <f ca="1">IFERROR(__xludf.DUMMYFUNCTION("GOOGLETRANSLATE(C2379,""ja"",""vi"")"),"Đấu giá&gt; Khác&gt; sửa chữa, lắp đặt&gt; ô tô, xe máy&gt; xe chuyển hướng lắp&gt; Kinki")</f>
        <v>Đấu giá&gt; Khác&gt; sửa chữa, lắp đặt&gt; ô tô, xe máy&gt; xe chuyển hướng lắp&gt; Kinki</v>
      </c>
      <c r="F2379" t="str">
        <f t="shared" ca="1" si="37"/>
        <v>"2084214151" : "Kinki",</v>
      </c>
    </row>
    <row r="2380" spans="1:6" ht="15.75" customHeight="1">
      <c r="A2380" s="18">
        <v>2084214152</v>
      </c>
      <c r="B2380" s="18" t="s">
        <v>5177</v>
      </c>
      <c r="C2380" s="18" t="s">
        <v>16305</v>
      </c>
      <c r="D2380" s="5" t="str">
        <f ca="1">IFERROR(__xludf.DUMMYFUNCTION("GOOGLETRANSLATE(B2380,""ja"",""vi"")"),"đồ sứ")</f>
        <v>đồ sứ</v>
      </c>
      <c r="E2380" s="5" t="str">
        <f ca="1">IFERROR(__xludf.DUMMYFUNCTION("GOOGLETRANSLATE(C2380,""ja"",""vi"")"),"Đấu giá&gt; Khác&gt; sửa chữa, lắp đặt&gt; ô tô, xe máy&gt; xe chuyển hướng lắp&gt; Trung Quốc")</f>
        <v>Đấu giá&gt; Khác&gt; sửa chữa, lắp đặt&gt; ô tô, xe máy&gt; xe chuyển hướng lắp&gt; Trung Quốc</v>
      </c>
      <c r="F2380" t="str">
        <f t="shared" ca="1" si="37"/>
        <v>"2084214152" : "đồ sứ",</v>
      </c>
    </row>
    <row r="2381" spans="1:6" ht="15.75" customHeight="1">
      <c r="A2381" s="18">
        <v>2084214153</v>
      </c>
      <c r="B2381" s="18" t="s">
        <v>5180</v>
      </c>
      <c r="C2381" s="18" t="s">
        <v>16312</v>
      </c>
      <c r="D2381" s="5" t="str">
        <f ca="1">IFERROR(__xludf.DUMMYFUNCTION("GOOGLETRANSLATE(B2381,""ja"",""vi"")"),"Shikoku")</f>
        <v>Shikoku</v>
      </c>
      <c r="E2381" s="5" t="str">
        <f ca="1">IFERROR(__xludf.DUMMYFUNCTION("GOOGLETRANSLATE(C2381,""ja"",""vi"")"),"Đấu giá&gt; Khác&gt; sửa chữa, lắp đặt&gt; ô tô, xe máy&gt; xe chuyển hướng lắp&gt; Shikoku")</f>
        <v>Đấu giá&gt; Khác&gt; sửa chữa, lắp đặt&gt; ô tô, xe máy&gt; xe chuyển hướng lắp&gt; Shikoku</v>
      </c>
      <c r="F2381" t="str">
        <f t="shared" ca="1" si="37"/>
        <v>"2084214153" : "Shikoku",</v>
      </c>
    </row>
    <row r="2382" spans="1:6" ht="15.75" customHeight="1">
      <c r="A2382" s="18">
        <v>2084214154</v>
      </c>
      <c r="B2382" s="18" t="s">
        <v>5183</v>
      </c>
      <c r="C2382" s="18" t="s">
        <v>16316</v>
      </c>
      <c r="D2382" s="5" t="str">
        <f ca="1">IFERROR(__xludf.DUMMYFUNCTION("GOOGLETRANSLATE(B2382,""ja"",""vi"")"),"Kyushu")</f>
        <v>Kyushu</v>
      </c>
      <c r="E2382" s="5" t="str">
        <f ca="1">IFERROR(__xludf.DUMMYFUNCTION("GOOGLETRANSLATE(C2382,""ja"",""vi"")"),"Đấu giá&gt; Khác&gt; sửa chữa, lắp đặt&gt; ô tô, xe máy&gt; xe chuyển hướng lắp&gt; Kyushu")</f>
        <v>Đấu giá&gt; Khác&gt; sửa chữa, lắp đặt&gt; ô tô, xe máy&gt; xe chuyển hướng lắp&gt; Kyushu</v>
      </c>
      <c r="F2382" t="str">
        <f t="shared" ca="1" si="37"/>
        <v>"2084214154" : "Kyushu",</v>
      </c>
    </row>
    <row r="2383" spans="1:6" ht="15.75" customHeight="1">
      <c r="A2383" s="18">
        <v>2084214155</v>
      </c>
      <c r="B2383" s="18" t="s">
        <v>5186</v>
      </c>
      <c r="C2383" s="18" t="s">
        <v>16320</v>
      </c>
      <c r="D2383" s="5" t="str">
        <f ca="1">IFERROR(__xludf.DUMMYFUNCTION("GOOGLETRANSLATE(B2383,""ja"",""vi"")"),"Okinawa")</f>
        <v>Okinawa</v>
      </c>
      <c r="E2383" s="5" t="str">
        <f ca="1">IFERROR(__xludf.DUMMYFUNCTION("GOOGLETRANSLATE(C2383,""ja"",""vi"")"),"Đấu giá&gt; Khác&gt; sửa chữa, lắp đặt&gt; ô tô, xe máy&gt; xe chuyển hướng lắp&gt; Okinawa")</f>
        <v>Đấu giá&gt; Khác&gt; sửa chữa, lắp đặt&gt; ô tô, xe máy&gt; xe chuyển hướng lắp&gt; Okinawa</v>
      </c>
      <c r="F2383" t="str">
        <f t="shared" ca="1" si="37"/>
        <v>"2084214155" : "Okinawa",</v>
      </c>
    </row>
  </sheetData>
  <pageMargins left="0.7" right="0.7" top="0.75" bottom="0.75" header="0" footer="0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50"/>
  <sheetViews>
    <sheetView workbookViewId="0">
      <selection activeCell="F1" sqref="F1"/>
    </sheetView>
  </sheetViews>
  <sheetFormatPr defaultColWidth="12.59765625" defaultRowHeight="15" customHeight="1"/>
  <cols>
    <col min="1" max="1" width="13.19921875" customWidth="1"/>
    <col min="2" max="2" width="13.3984375" customWidth="1"/>
    <col min="3" max="3" width="31.69921875" customWidth="1"/>
    <col min="4" max="4" width="7.59765625" customWidth="1"/>
    <col min="5" max="5" width="38.69921875" customWidth="1"/>
    <col min="6" max="26" width="7.59765625" customWidth="1"/>
  </cols>
  <sheetData>
    <row r="1" spans="1:6" ht="28.2">
      <c r="A1" s="18">
        <v>2084255832</v>
      </c>
      <c r="B1" s="18" t="s">
        <v>8665</v>
      </c>
      <c r="C1" s="18" t="s">
        <v>8667</v>
      </c>
      <c r="D1" s="5" t="str">
        <f ca="1">IFERROR(__xludf.DUMMYFUNCTION("GOOGLETRANSLATE(B1,""ja"",""vi"")"),"ICB")</f>
        <v>ICB</v>
      </c>
      <c r="E1" s="5" t="str">
        <f ca="1">IFERROR(__xludf.DUMMYFUNCTION("GOOGLETRANSLATE(C1,""ja"",""vi"")"),"Đấu giá&gt; Thời trang&gt; By Nhãn hiệu&gt; Oh&gt; ICB")</f>
        <v>Đấu giá&gt; Thời trang&gt; By Nhãn hiệu&gt; Oh&gt; ICB</v>
      </c>
      <c r="F1" t="str">
        <f ca="1">CONCATENATE(CHAR(34)&amp;"",A1,""&amp;CHAR(34)," : ", CHAR(34)&amp;"",D1,""&amp;CHAR(34),",")</f>
        <v>"2084255832" : "ICB",</v>
      </c>
    </row>
    <row r="2" spans="1:6" ht="28.2">
      <c r="A2" s="18">
        <v>2084229922</v>
      </c>
      <c r="B2" s="18" t="s">
        <v>8670</v>
      </c>
      <c r="C2" s="18" t="s">
        <v>8671</v>
      </c>
      <c r="D2" s="5" t="str">
        <f ca="1">IFERROR(__xludf.DUMMYFUNCTION("GOOGLETRANSLATE(B2,""ja"",""vi"")"),"iiMK")</f>
        <v>iiMK</v>
      </c>
      <c r="E2" s="5" t="str">
        <f ca="1">IFERROR(__xludf.DUMMYFUNCTION("GOOGLETRANSLATE(C2,""ja"",""vi"")"),"Đấu giá&gt; Thời trang&gt; By Nhãn hiệu&gt; Oh&gt; iiMK")</f>
        <v>Đấu giá&gt; Thời trang&gt; By Nhãn hiệu&gt; Oh&gt; iiMK</v>
      </c>
      <c r="F2" t="str">
        <f t="shared" ref="F2:F65" ca="1" si="0">CONCATENATE(CHAR(34)&amp;"",A2,""&amp;CHAR(34)," : ", CHAR(34)&amp;"",D2,""&amp;CHAR(34),",")</f>
        <v>"2084229922" : "iiMK",</v>
      </c>
    </row>
    <row r="3" spans="1:6" ht="28.2">
      <c r="A3" s="18">
        <v>2084050167</v>
      </c>
      <c r="B3" s="18" t="s">
        <v>8674</v>
      </c>
      <c r="C3" s="18" t="s">
        <v>8675</v>
      </c>
      <c r="D3" s="5" t="str">
        <f ca="1">IFERROR(__xludf.DUMMYFUNCTION("GOOGLETRANSLATE(B3,""ja"",""vi"")"),"khối nước đá")</f>
        <v>khối nước đá</v>
      </c>
      <c r="E3" s="5" t="str">
        <f ca="1">IFERROR(__xludf.DUMMYFUNCTION("GOOGLETRANSLATE(C3,""ja"",""vi"")"),"Đấu giá&gt; Thời trang&gt; By Nhãn hiệu&gt; Oh&gt; Iceberg")</f>
        <v>Đấu giá&gt; Thời trang&gt; By Nhãn hiệu&gt; Oh&gt; Iceberg</v>
      </c>
      <c r="F3" t="str">
        <f t="shared" ca="1" si="0"/>
        <v>"2084050167" : "khối nước đá",</v>
      </c>
    </row>
    <row r="4" spans="1:6" ht="42">
      <c r="A4" s="18">
        <v>2084050169</v>
      </c>
      <c r="B4" s="18" t="s">
        <v>8678</v>
      </c>
      <c r="C4" s="18" t="s">
        <v>8679</v>
      </c>
      <c r="D4" s="5" t="str">
        <f ca="1">IFERROR(__xludf.DUMMYFUNCTION("GOOGLETRANSLATE(B4,""ja"",""vi"")"),"Sản phẩm ngoài trời")</f>
        <v>Sản phẩm ngoài trời</v>
      </c>
      <c r="E4" s="5" t="str">
        <f ca="1">IFERROR(__xludf.DUMMYFUNCTION("GOOGLETRANSLATE(C4,""ja"",""vi"")"),"Đấu giá&gt; Thời trang&gt; By Nhãn hiệu&gt; Oh&gt; Sản phẩm ngoài trời")</f>
        <v>Đấu giá&gt; Thời trang&gt; By Nhãn hiệu&gt; Oh&gt; Sản phẩm ngoài trời</v>
      </c>
      <c r="F4" t="str">
        <f t="shared" ca="1" si="0"/>
        <v>"2084050169" : "Sản phẩm ngoài trời",</v>
      </c>
    </row>
    <row r="5" spans="1:6" ht="42">
      <c r="A5" s="18">
        <v>2084238678</v>
      </c>
      <c r="B5" s="18" t="s">
        <v>8684</v>
      </c>
      <c r="C5" s="18" t="s">
        <v>8686</v>
      </c>
      <c r="D5" s="5" t="str">
        <f ca="1">IFERROR(__xludf.DUMMYFUNCTION("GOOGLETRANSLATE(B5,""ja"",""vi"")"),"UGG Úc")</f>
        <v>UGG Úc</v>
      </c>
      <c r="E5" s="5" t="str">
        <f ca="1">IFERROR(__xludf.DUMMYFUNCTION("GOOGLETRANSLATE(C5,""ja"",""vi"")"),"Đấu giá&gt; Thời trang&gt; By Nhãn hiệu&gt; Oh&gt; UGG Úc")</f>
        <v>Đấu giá&gt; Thời trang&gt; By Nhãn hiệu&gt; Oh&gt; UGG Úc</v>
      </c>
      <c r="F5" t="str">
        <f t="shared" ca="1" si="0"/>
        <v>"2084238678" : "UGG Úc",</v>
      </c>
    </row>
    <row r="6" spans="1:6" ht="28.2">
      <c r="A6" s="18">
        <v>2084283075</v>
      </c>
      <c r="B6" s="18" t="s">
        <v>8691</v>
      </c>
      <c r="C6" s="18" t="s">
        <v>8693</v>
      </c>
      <c r="D6" s="5" t="str">
        <f ca="1">IFERROR(__xludf.DUMMYFUNCTION("GOOGLETRANSLATE(B6,""ja"",""vi"")"),"trục femme")</f>
        <v>trục femme</v>
      </c>
      <c r="E6" s="5" t="str">
        <f ca="1">IFERROR(__xludf.DUMMYFUNCTION("GOOGLETRANSLATE(C6,""ja"",""vi"")"),"Đấu giá&gt; Thời trang&gt; By Nhãn hiệu&gt; Oh&gt; trục femme")</f>
        <v>Đấu giá&gt; Thời trang&gt; By Nhãn hiệu&gt; Oh&gt; trục femme</v>
      </c>
      <c r="F6" t="str">
        <f t="shared" ca="1" si="0"/>
        <v>"2084283075" : "trục femme",</v>
      </c>
    </row>
    <row r="7" spans="1:6" ht="28.2">
      <c r="A7" s="18">
        <v>2084229889</v>
      </c>
      <c r="B7" s="18" t="s">
        <v>8697</v>
      </c>
      <c r="C7" s="18" t="s">
        <v>8699</v>
      </c>
      <c r="D7" s="5" t="str">
        <f ca="1">IFERROR(__xludf.DUMMYFUNCTION("GOOGLETRANSLATE(B7,""ja"",""vi"")"),"Archi")</f>
        <v>Archi</v>
      </c>
      <c r="E7" s="5" t="str">
        <f ca="1">IFERROR(__xludf.DUMMYFUNCTION("GOOGLETRANSLATE(C7,""ja"",""vi"")"),"Đấu giá&gt; Thời trang&gt; By Nhãn hiệu&gt; Oh&gt; nguyên mẫu")</f>
        <v>Đấu giá&gt; Thời trang&gt; By Nhãn hiệu&gt; Oh&gt; nguyên mẫu</v>
      </c>
      <c r="F7" t="str">
        <f t="shared" ca="1" si="0"/>
        <v>"2084229889" : "Archi",</v>
      </c>
    </row>
    <row r="8" spans="1:6" ht="28.2">
      <c r="A8" s="18">
        <v>2084203606</v>
      </c>
      <c r="B8" s="18" t="s">
        <v>8702</v>
      </c>
      <c r="C8" s="18" t="s">
        <v>8704</v>
      </c>
      <c r="D8" s="5" t="str">
        <f ca="1">IFERROR(__xludf.DUMMYFUNCTION("GOOGLETRANSLATE(B8,""ja"",""vi"")"),"Arc'teryx")</f>
        <v>Arc'teryx</v>
      </c>
      <c r="E8" s="5" t="str">
        <f ca="1">IFERROR(__xludf.DUMMYFUNCTION("GOOGLETRANSLATE(C8,""ja"",""vi"")"),"Đấu giá&gt; Thời trang&gt; By Nhãn hiệu&gt; Oh&gt; Arc'teryx")</f>
        <v>Đấu giá&gt; Thời trang&gt; By Nhãn hiệu&gt; Oh&gt; Arc'teryx</v>
      </c>
      <c r="F8" t="str">
        <f t="shared" ca="1" si="0"/>
        <v>"2084203606" : "Arc'teryx",</v>
      </c>
    </row>
    <row r="9" spans="1:6" ht="28.2">
      <c r="A9" s="18">
        <v>2084054356</v>
      </c>
      <c r="B9" s="18" t="s">
        <v>8707</v>
      </c>
      <c r="C9" s="18" t="s">
        <v>8709</v>
      </c>
      <c r="D9" s="5" t="str">
        <f ca="1">IFERROR(__xludf.DUMMYFUNCTION("GOOGLETRANSLATE(B9,""ja"",""vi"")"),"Aqua gái")</f>
        <v>Aqua gái</v>
      </c>
      <c r="E9" s="5" t="str">
        <f ca="1">IFERROR(__xludf.DUMMYFUNCTION("GOOGLETRANSLATE(C9,""ja"",""vi"")"),"Đấu giá&gt; Thời trang&gt; By Nhãn hiệu&gt; Oh&gt; Aqua gái")</f>
        <v>Đấu giá&gt; Thời trang&gt; By Nhãn hiệu&gt; Oh&gt; Aqua gái</v>
      </c>
      <c r="F9" t="str">
        <f t="shared" ca="1" si="0"/>
        <v>"2084054356" : "Aqua gái",</v>
      </c>
    </row>
    <row r="10" spans="1:6" ht="42">
      <c r="A10" s="18">
        <v>2084050170</v>
      </c>
      <c r="B10" s="18" t="s">
        <v>8712</v>
      </c>
      <c r="C10" s="18" t="s">
        <v>8716</v>
      </c>
      <c r="D10" s="5" t="str">
        <f ca="1">IFERROR(__xludf.DUMMYFUNCTION("GOOGLETRANSLATE(B10,""ja"",""vi"")"),"Aquascutum")</f>
        <v>Aquascutum</v>
      </c>
      <c r="E10" s="5" t="str">
        <f ca="1">IFERROR(__xludf.DUMMYFUNCTION("GOOGLETRANSLATE(C10,""ja"",""vi"")"),"Đấu giá&gt; Thời trang&gt; By Nhãn hiệu&gt; Oh&gt; Aquascutum")</f>
        <v>Đấu giá&gt; Thời trang&gt; By Nhãn hiệu&gt; Oh&gt; Aquascutum</v>
      </c>
      <c r="F10" t="str">
        <f t="shared" ca="1" si="0"/>
        <v>"2084050170" : "Aquascutum",</v>
      </c>
    </row>
    <row r="11" spans="1:6" ht="28.2">
      <c r="A11" s="18">
        <v>2084305462</v>
      </c>
      <c r="B11" s="18" t="s">
        <v>8720</v>
      </c>
      <c r="C11" s="18" t="s">
        <v>8722</v>
      </c>
      <c r="D11" s="5" t="str">
        <f ca="1">IFERROR(__xludf.DUMMYFUNCTION("GOOGLETRANSLATE(B11,""ja"",""vi"")"),"mụn")</f>
        <v>mụn</v>
      </c>
      <c r="E11" s="5" t="str">
        <f ca="1">IFERROR(__xludf.DUMMYFUNCTION("GOOGLETRANSLATE(C11,""ja"",""vi"")"),"Đấu giá&gt; Thời trang&gt; By Nhãn hiệu&gt; Oh&gt; Mụn")</f>
        <v>Đấu giá&gt; Thời trang&gt; By Nhãn hiệu&gt; Oh&gt; Mụn</v>
      </c>
      <c r="F11" t="str">
        <f t="shared" ca="1" si="0"/>
        <v>"2084305462" : "mụn",</v>
      </c>
    </row>
    <row r="12" spans="1:6" ht="28.2">
      <c r="A12" s="18">
        <v>2084230537</v>
      </c>
      <c r="B12" s="18" t="s">
        <v>8723</v>
      </c>
      <c r="C12" s="18" t="s">
        <v>8726</v>
      </c>
      <c r="D12" s="5" t="str">
        <f ca="1">IFERROR(__xludf.DUMMYFUNCTION("GOOGLETRANSLATE(B12,""ja"",""vi"")"),"Agosto")</f>
        <v>Agosto</v>
      </c>
      <c r="E12" s="5" t="str">
        <f ca="1">IFERROR(__xludf.DUMMYFUNCTION("GOOGLETRANSLATE(C12,""ja"",""vi"")"),"Đấu giá&gt; Thời trang&gt; By Nhãn hiệu&gt; Oh&gt; Agosto")</f>
        <v>Đấu giá&gt; Thời trang&gt; By Nhãn hiệu&gt; Oh&gt; Agosto</v>
      </c>
      <c r="F12" t="str">
        <f t="shared" ca="1" si="0"/>
        <v>"2084230537" : "Agosto",</v>
      </c>
    </row>
    <row r="13" spans="1:6" ht="28.2">
      <c r="A13" s="18">
        <v>2084206294</v>
      </c>
      <c r="B13" s="18" t="s">
        <v>8728</v>
      </c>
      <c r="C13" s="18" t="s">
        <v>8729</v>
      </c>
      <c r="D13" s="5" t="str">
        <f ca="1">IFERROR(__xludf.DUMMYFUNCTION("GOOGLETRANSLATE(B13,""ja"",""vi"")"),"Trái đất kỳ diệu")</f>
        <v>Trái đất kỳ diệu</v>
      </c>
      <c r="E13" s="5" t="str">
        <f ca="1">IFERROR(__xludf.DUMMYFUNCTION("GOOGLETRANSLATE(C13,""ja"",""vi"")"),"Đấu giá&gt; Thời trang&gt; By Nhãn hiệu&gt; Oh&gt; Trái đất kỳ diệu")</f>
        <v>Đấu giá&gt; Thời trang&gt; By Nhãn hiệu&gt; Oh&gt; Trái đất kỳ diệu</v>
      </c>
      <c r="F13" t="str">
        <f t="shared" ca="1" si="0"/>
        <v>"2084206294" : "Trái đất kỳ diệu",</v>
      </c>
    </row>
    <row r="14" spans="1:6" ht="42">
      <c r="A14" s="18">
        <v>2084229909</v>
      </c>
      <c r="B14" s="18" t="s">
        <v>8733</v>
      </c>
      <c r="C14" s="18" t="s">
        <v>8734</v>
      </c>
      <c r="D14" s="5" t="str">
        <f ca="1">IFERROR(__xludf.DUMMYFUNCTION("GOOGLETRANSLATE(B14,""ja"",""vi"")"),"nhạc Earth &amp; sinh thái")</f>
        <v>nhạc Earth &amp; sinh thái</v>
      </c>
      <c r="E14" s="5" t="str">
        <f ca="1">IFERROR(__xludf.DUMMYFUNCTION("GOOGLETRANSLATE(C14,""ja"",""vi"")"),"Đấu giá&gt; Thời trang&gt; By Nhãn hiệu&gt; Oh&gt; nhạc trái đất &amp; sinh thái")</f>
        <v>Đấu giá&gt; Thời trang&gt; By Nhãn hiệu&gt; Oh&gt; nhạc trái đất &amp; sinh thái</v>
      </c>
      <c r="F14" t="str">
        <f t="shared" ca="1" si="0"/>
        <v>"2084229909" : "nhạc Earth &amp; sinh thái",</v>
      </c>
    </row>
    <row r="15" spans="1:6" ht="28.2">
      <c r="A15" s="18">
        <v>2084050171</v>
      </c>
      <c r="B15" s="18" t="s">
        <v>8738</v>
      </c>
      <c r="C15" s="18" t="s">
        <v>8739</v>
      </c>
      <c r="D15" s="5" t="str">
        <f ca="1">IFERROR(__xludf.DUMMYFUNCTION("GOOGLETRANSLATE(B15,""ja"",""vi"")"),"Azunouazu")</f>
        <v>Azunouazu</v>
      </c>
      <c r="E15" s="5" t="str">
        <f ca="1">IFERROR(__xludf.DUMMYFUNCTION("GOOGLETRANSLATE(C15,""ja"",""vi"")"),"Đấu giá&gt; Thời trang&gt; By Nhãn hiệu&gt; Oh&gt; Azunouazu")</f>
        <v>Đấu giá&gt; Thời trang&gt; By Nhãn hiệu&gt; Oh&gt; Azunouazu</v>
      </c>
      <c r="F15" t="str">
        <f t="shared" ca="1" si="0"/>
        <v>"2084050171" : "Azunouazu",</v>
      </c>
    </row>
    <row r="16" spans="1:6" ht="28.2">
      <c r="A16" s="18">
        <v>2084205263</v>
      </c>
      <c r="B16" s="18" t="s">
        <v>8743</v>
      </c>
      <c r="C16" s="18" t="s">
        <v>8746</v>
      </c>
      <c r="D16" s="5" t="str">
        <f ca="1">IFERROR(__xludf.DUMMYFUNCTION("GOOGLETRANSLATE(B16,""ja"",""vi"")"),"tập tin đính kèm")</f>
        <v>tập tin đính kèm</v>
      </c>
      <c r="E16" s="5" t="str">
        <f ca="1">IFERROR(__xludf.DUMMYFUNCTION("GOOGLETRANSLATE(C16,""ja"",""vi"")"),"Đấu giá&gt; Thời trang&gt; By Nhãn hiệu&gt; Oh&gt; tập tin đính kèm")</f>
        <v>Đấu giá&gt; Thời trang&gt; By Nhãn hiệu&gt; Oh&gt; tập tin đính kèm</v>
      </c>
      <c r="F16" t="str">
        <f t="shared" ca="1" si="0"/>
        <v>"2084205263" : "tập tin đính kèm",</v>
      </c>
    </row>
    <row r="17" spans="1:6" ht="28.2">
      <c r="A17" s="18">
        <v>2084229918</v>
      </c>
      <c r="B17" s="18" t="s">
        <v>8749</v>
      </c>
      <c r="C17" s="18" t="s">
        <v>8752</v>
      </c>
      <c r="D17" s="5" t="str">
        <f ca="1">IFERROR(__xludf.DUMMYFUNCTION("GOOGLETRANSLATE(B17,""ja"",""vi"")"),"Adam et Lope")</f>
        <v>Adam et Lope</v>
      </c>
      <c r="E17" s="5" t="str">
        <f ca="1">IFERROR(__xludf.DUMMYFUNCTION("GOOGLETRANSLATE(C17,""ja"",""vi"")"),"Đấu giá&gt; Thời trang&gt; By Nhãn hiệu&gt; Oh&gt; Adam et Rope")</f>
        <v>Đấu giá&gt; Thời trang&gt; By Nhãn hiệu&gt; Oh&gt; Adam et Rope</v>
      </c>
      <c r="F17" t="str">
        <f t="shared" ca="1" si="0"/>
        <v>"2084229918" : "Adam et Lope",</v>
      </c>
    </row>
    <row r="18" spans="1:6" ht="28.2">
      <c r="A18" s="18">
        <v>2084048648</v>
      </c>
      <c r="B18" s="18" t="s">
        <v>8755</v>
      </c>
      <c r="C18" s="18" t="s">
        <v>8756</v>
      </c>
      <c r="D18" s="5" t="str">
        <f ca="1">IFERROR(__xludf.DUMMYFUNCTION("GOOGLETRANSLATE(B18,""ja"",""vi"")"),"Adidas")</f>
        <v>Adidas</v>
      </c>
      <c r="E18" s="5" t="str">
        <f ca="1">IFERROR(__xludf.DUMMYFUNCTION("GOOGLETRANSLATE(C18,""ja"",""vi"")"),"Đấu giá&gt; Thời trang&gt; By Nhãn hiệu&gt; Oh&gt; Adidas")</f>
        <v>Đấu giá&gt; Thời trang&gt; By Nhãn hiệu&gt; Oh&gt; Adidas</v>
      </c>
      <c r="F18" t="str">
        <f t="shared" ca="1" si="0"/>
        <v>"2084048648" : "Adidas",</v>
      </c>
    </row>
    <row r="19" spans="1:6" ht="42">
      <c r="A19" s="18">
        <v>2084229924</v>
      </c>
      <c r="B19" s="18" t="s">
        <v>8761</v>
      </c>
      <c r="C19" s="18" t="s">
        <v>8763</v>
      </c>
      <c r="D19" s="5" t="str">
        <f ca="1">IFERROR(__xludf.DUMMYFUNCTION("GOOGLETRANSLATE(B19,""ja"",""vi"")"),"Adeyu Torisutesu")</f>
        <v>Adeyu Torisutesu</v>
      </c>
      <c r="E19" s="5" t="str">
        <f ca="1">IFERROR(__xludf.DUMMYFUNCTION("GOOGLETRANSLATE(C19,""ja"",""vi"")"),"Đấu giá&gt; Thời trang&gt; By Nhãn hiệu&gt; Oh&gt; Adeyu Torisutesu")</f>
        <v>Đấu giá&gt; Thời trang&gt; By Nhãn hiệu&gt; Oh&gt; Adeyu Torisutesu</v>
      </c>
      <c r="F19" t="str">
        <f t="shared" ca="1" si="0"/>
        <v>"2084229924" : "Adeyu Torisutesu",</v>
      </c>
    </row>
    <row r="20" spans="1:6" ht="28.2">
      <c r="A20" s="18">
        <v>2084200726</v>
      </c>
      <c r="B20" s="18" t="s">
        <v>8766</v>
      </c>
      <c r="C20" s="18" t="s">
        <v>8767</v>
      </c>
      <c r="D20" s="5" t="str">
        <f ca="1">IFERROR(__xludf.DUMMYFUNCTION("GOOGLETRANSLATE(B20,""ja"",""vi"")"),"Ato")</f>
        <v>Ato</v>
      </c>
      <c r="E20" s="5" t="str">
        <f ca="1">IFERROR(__xludf.DUMMYFUNCTION("GOOGLETRANSLATE(C20,""ja"",""vi"")"),"Đấu giá&gt; Thời trang&gt; By Nhãn hiệu&gt; Oh&gt; Ato")</f>
        <v>Đấu giá&gt; Thời trang&gt; By Nhãn hiệu&gt; Oh&gt; Ato</v>
      </c>
      <c r="F20" t="str">
        <f t="shared" ca="1" si="0"/>
        <v>"2084200726" : "Ato",</v>
      </c>
    </row>
    <row r="21" spans="1:6" ht="15.75" customHeight="1">
      <c r="A21" s="18">
        <v>2084259909</v>
      </c>
      <c r="B21" s="18" t="s">
        <v>8771</v>
      </c>
      <c r="C21" s="18" t="s">
        <v>8772</v>
      </c>
      <c r="D21" s="5" t="str">
        <f ca="1">IFERROR(__xludf.DUMMYFUNCTION("GOOGLETRANSLATE(B21,""ja"",""vi"")"),"Atelier phụ")</f>
        <v>Atelier phụ</v>
      </c>
      <c r="E21" s="5" t="str">
        <f ca="1">IFERROR(__xludf.DUMMYFUNCTION("GOOGLETRANSLATE(C21,""ja"",""vi"")"),"Đấu giá&gt; Thời trang&gt; By Nhãn hiệu&gt; Oh&gt; Atelier phụ")</f>
        <v>Đấu giá&gt; Thời trang&gt; By Nhãn hiệu&gt; Oh&gt; Atelier phụ</v>
      </c>
      <c r="F21" t="str">
        <f t="shared" ca="1" si="0"/>
        <v>"2084259909" : "Atelier phụ",</v>
      </c>
    </row>
    <row r="22" spans="1:6" ht="15.75" customHeight="1">
      <c r="A22" s="18">
        <v>2084298362</v>
      </c>
      <c r="B22" s="18" t="s">
        <v>8776</v>
      </c>
      <c r="C22" s="18" t="s">
        <v>8777</v>
      </c>
      <c r="D22" s="5" t="str">
        <f ca="1">IFERROR(__xludf.DUMMYFUNCTION("GOOGLETRANSLATE(B22,""ja"",""vi"")"),"Adour")</f>
        <v>Adour</v>
      </c>
      <c r="E22" s="5" t="str">
        <f ca="1">IFERROR(__xludf.DUMMYFUNCTION("GOOGLETRANSLATE(C22,""ja"",""vi"")"),"Đấu giá&gt; Thời trang&gt; By Nhãn hiệu&gt; Oh&gt; Adour")</f>
        <v>Đấu giá&gt; Thời trang&gt; By Nhãn hiệu&gt; Oh&gt; Adour</v>
      </c>
      <c r="F22" t="str">
        <f t="shared" ca="1" si="0"/>
        <v>"2084298362" : "Adour",</v>
      </c>
    </row>
    <row r="23" spans="1:6" ht="15.75" customHeight="1">
      <c r="A23" s="18">
        <v>2084050166</v>
      </c>
      <c r="B23" s="18" t="s">
        <v>8781</v>
      </c>
      <c r="C23" s="18" t="s">
        <v>8783</v>
      </c>
      <c r="D23" s="5" t="str">
        <f ca="1">IFERROR(__xludf.DUMMYFUNCTION("GOOGLETRANSLATE(B23,""ja"",""vi"")"),"Arnold Palmer")</f>
        <v>Arnold Palmer</v>
      </c>
      <c r="E23" s="5" t="str">
        <f ca="1">IFERROR(__xludf.DUMMYFUNCTION("GOOGLETRANSLATE(C23,""ja"",""vi"")"),"Đấu giá&gt; Thời trang&gt; By Nhãn hiệu&gt; Oh&gt; Arnold Palmer")</f>
        <v>Đấu giá&gt; Thời trang&gt; By Nhãn hiệu&gt; Oh&gt; Arnold Palmer</v>
      </c>
      <c r="F23" t="str">
        <f t="shared" ca="1" si="0"/>
        <v>"2084050166" : "Arnold Palmer",</v>
      </c>
    </row>
    <row r="24" spans="1:6" ht="15.75" customHeight="1">
      <c r="A24" s="18">
        <v>2084207573</v>
      </c>
      <c r="B24" s="18" t="s">
        <v>8786</v>
      </c>
      <c r="C24" s="18" t="s">
        <v>8789</v>
      </c>
      <c r="D24" s="5" t="str">
        <f ca="1">IFERROR(__xludf.DUMMYFUNCTION("GOOGLETRANSLATE(B24,""ja"",""vi"")"),"Anai")</f>
        <v>Anai</v>
      </c>
      <c r="E24" s="5" t="str">
        <f ca="1">IFERROR(__xludf.DUMMYFUNCTION("GOOGLETRANSLATE(C24,""ja"",""vi"")"),"Đấu giá&gt; Thời trang&gt; By Nhãn hiệu&gt; Oh&gt; Anai")</f>
        <v>Đấu giá&gt; Thời trang&gt; By Nhãn hiệu&gt; Oh&gt; Anai</v>
      </c>
      <c r="F24" t="str">
        <f t="shared" ca="1" si="0"/>
        <v>"2084207573" : "Anai",</v>
      </c>
    </row>
    <row r="25" spans="1:6" ht="15.75" customHeight="1">
      <c r="A25" s="18">
        <v>2084229911</v>
      </c>
      <c r="B25" s="18" t="s">
        <v>8790</v>
      </c>
      <c r="C25" s="18" t="s">
        <v>8792</v>
      </c>
      <c r="D25" s="5" t="str">
        <f ca="1">IFERROR(__xludf.DUMMYFUNCTION("GOOGLETRANSLATE(B25,""ja"",""vi"")"),"một phiên bản")</f>
        <v>một phiên bản</v>
      </c>
      <c r="E25" s="5" t="str">
        <f ca="1">IFERROR(__xludf.DUMMYFUNCTION("GOOGLETRANSLATE(C25,""ja"",""vi"")"),"Đấu giá&gt; Thời trang&gt; By Nhãn hiệu&gt; Oh&gt; bản khác")</f>
        <v>Đấu giá&gt; Thời trang&gt; By Nhãn hiệu&gt; Oh&gt; bản khác</v>
      </c>
      <c r="F25" t="str">
        <f t="shared" ca="1" si="0"/>
        <v>"2084229911" : "một phiên bản",</v>
      </c>
    </row>
    <row r="26" spans="1:6" ht="15.75" customHeight="1">
      <c r="A26" s="18">
        <v>2084050172</v>
      </c>
      <c r="B26" s="18" t="s">
        <v>8795</v>
      </c>
      <c r="C26" s="18" t="s">
        <v>8797</v>
      </c>
      <c r="D26" s="5" t="str">
        <f ca="1">IFERROR(__xludf.DUMMYFUNCTION("GOOGLETRANSLATE(B26,""ja"",""vi"")"),"Anna Sui")</f>
        <v>Anna Sui</v>
      </c>
      <c r="E26" s="5" t="str">
        <f ca="1">IFERROR(__xludf.DUMMYFUNCTION("GOOGLETRANSLATE(C26,""ja"",""vi"")"),"Đấu giá&gt; Thời trang&gt; By Nhãn hiệu&gt; Oh&gt; Anna Sui")</f>
        <v>Đấu giá&gt; Thời trang&gt; By Nhãn hiệu&gt; Oh&gt; Anna Sui</v>
      </c>
      <c r="F26" t="str">
        <f t="shared" ca="1" si="0"/>
        <v>"2084050172" : "Anna Sui",</v>
      </c>
    </row>
    <row r="27" spans="1:6" ht="15.75" customHeight="1">
      <c r="A27" s="18">
        <v>2084056667</v>
      </c>
      <c r="B27" s="18" t="s">
        <v>8800</v>
      </c>
      <c r="C27" s="18" t="s">
        <v>8802</v>
      </c>
      <c r="D27" s="5" t="str">
        <f ca="1">IFERROR(__xludf.DUMMYFUNCTION("GOOGLETRANSLATE(B27,""ja"",""vi"")"),"Anappu")</f>
        <v>Anappu</v>
      </c>
      <c r="E27" s="5" t="str">
        <f ca="1">IFERROR(__xludf.DUMMYFUNCTION("GOOGLETRANSLATE(C27,""ja"",""vi"")"),"Đấu giá&gt; Thời trang&gt; By Nhãn hiệu&gt; Oh&gt; Anappu")</f>
        <v>Đấu giá&gt; Thời trang&gt; By Nhãn hiệu&gt; Oh&gt; Anappu</v>
      </c>
      <c r="F27" t="str">
        <f t="shared" ca="1" si="0"/>
        <v>"2084056667" : "Anappu",</v>
      </c>
    </row>
    <row r="28" spans="1:6" ht="15.75" customHeight="1">
      <c r="A28" s="18">
        <v>2084242541</v>
      </c>
      <c r="B28" s="18" t="s">
        <v>8805</v>
      </c>
      <c r="C28" s="18" t="s">
        <v>8807</v>
      </c>
      <c r="D28" s="5" t="str">
        <f ca="1">IFERROR(__xludf.DUMMYFUNCTION("GOOGLETRANSLATE(B28,""ja"",""vi"")"),"Anatorie")</f>
        <v>Anatorie</v>
      </c>
      <c r="E28" s="5" t="str">
        <f ca="1">IFERROR(__xludf.DUMMYFUNCTION("GOOGLETRANSLATE(C28,""ja"",""vi"")"),"Đấu giá&gt; Thời trang&gt; By Nhãn hiệu&gt; Oh&gt; Anatorie")</f>
        <v>Đấu giá&gt; Thời trang&gt; By Nhãn hiệu&gt; Oh&gt; Anatorie</v>
      </c>
      <c r="F28" t="str">
        <f t="shared" ca="1" si="0"/>
        <v>"2084242541" : "Anatorie",</v>
      </c>
    </row>
    <row r="29" spans="1:6" ht="15.75" customHeight="1">
      <c r="A29" s="18">
        <v>2084048592</v>
      </c>
      <c r="B29" s="18" t="s">
        <v>8809</v>
      </c>
      <c r="C29" s="18" t="s">
        <v>8812</v>
      </c>
      <c r="D29" s="5" t="str">
        <f ca="1">IFERROR(__xludf.DUMMYFUNCTION("GOOGLETRANSLATE(B29,""ja"",""vi"")"),"Aniesube")</f>
        <v>Aniesube</v>
      </c>
      <c r="E29" s="5" t="str">
        <f ca="1">IFERROR(__xludf.DUMMYFUNCTION("GOOGLETRANSLATE(C29,""ja"",""vi"")"),"Đấu giá&gt; Thời trang&gt; By Nhãn hiệu&gt; Oh&gt; Aniesube")</f>
        <v>Đấu giá&gt; Thời trang&gt; By Nhãn hiệu&gt; Oh&gt; Aniesube</v>
      </c>
      <c r="F29" t="str">
        <f t="shared" ca="1" si="0"/>
        <v>"2084048592" : "Aniesube",</v>
      </c>
    </row>
    <row r="30" spans="1:6" ht="15.75" customHeight="1">
      <c r="A30" s="18">
        <v>2084050173</v>
      </c>
      <c r="B30" s="18" t="s">
        <v>8816</v>
      </c>
      <c r="C30" s="18" t="s">
        <v>8818</v>
      </c>
      <c r="D30" s="5" t="str">
        <f ca="1">IFERROR(__xludf.DUMMYFUNCTION("GOOGLETRANSLATE(B30,""ja"",""vi"")"),"Anya - Hindmarch")</f>
        <v>Anya - Hindmarch</v>
      </c>
      <c r="E30" s="5" t="str">
        <f ca="1">IFERROR(__xludf.DUMMYFUNCTION("GOOGLETRANSLATE(C30,""ja"",""vi"")"),"Đấu giá&gt; Thời trang&gt; By Nhãn hiệu&gt; Oh&gt; Anya Hindmarch-")</f>
        <v>Đấu giá&gt; Thời trang&gt; By Nhãn hiệu&gt; Oh&gt; Anya Hindmarch-</v>
      </c>
      <c r="F30" t="str">
        <f t="shared" ca="1" si="0"/>
        <v>"2084050173" : "Anya - Hindmarch",</v>
      </c>
    </row>
    <row r="31" spans="1:6" ht="15.75" customHeight="1">
      <c r="A31" s="18">
        <v>2084229885</v>
      </c>
      <c r="B31" s="18" t="s">
        <v>8823</v>
      </c>
      <c r="C31" s="18" t="s">
        <v>8825</v>
      </c>
      <c r="D31" s="5" t="str">
        <f ca="1">IFERROR(__xludf.DUMMYFUNCTION("GOOGLETRANSLATE(B31,""ja"",""vi"")"),"a.v.v")</f>
        <v>a.v.v</v>
      </c>
      <c r="E31" s="5" t="str">
        <f ca="1">IFERROR(__xludf.DUMMYFUNCTION("GOOGLETRANSLATE(C31,""ja"",""vi"")"),"Đấu giá&gt; Thời trang&gt; By Nhãn hiệu&gt; Oh&gt; a.v.v")</f>
        <v>Đấu giá&gt; Thời trang&gt; By Nhãn hiệu&gt; Oh&gt; a.v.v</v>
      </c>
      <c r="F31" t="str">
        <f t="shared" ca="1" si="0"/>
        <v>"2084229885" : "a.v.v",</v>
      </c>
    </row>
    <row r="32" spans="1:6" ht="15.75" customHeight="1">
      <c r="A32" s="18">
        <v>2084050163</v>
      </c>
      <c r="B32" s="18" t="s">
        <v>8830</v>
      </c>
      <c r="C32" s="18" t="s">
        <v>8831</v>
      </c>
      <c r="D32" s="5" t="str">
        <f ca="1">IFERROR(__xludf.DUMMYFUNCTION("GOOGLETRANSLATE(B32,""ja"",""vi"")"),"Một Bathing Ape")</f>
        <v>Một Bathing Ape</v>
      </c>
      <c r="E32" s="5" t="str">
        <f ca="1">IFERROR(__xludf.DUMMYFUNCTION("GOOGLETRANSLATE(C32,""ja"",""vi"")"),"Đấu giá&gt; Thời trang&gt; By Nhãn hiệu&gt; Oh&gt; A Bathing Ape")</f>
        <v>Đấu giá&gt; Thời trang&gt; By Nhãn hiệu&gt; Oh&gt; A Bathing Ape</v>
      </c>
      <c r="F32" t="str">
        <f t="shared" ca="1" si="0"/>
        <v>"2084050163" : "Một Bathing Ape",</v>
      </c>
    </row>
    <row r="33" spans="1:6" ht="15.75" customHeight="1">
      <c r="A33" s="18">
        <v>2084215809</v>
      </c>
      <c r="B33" s="18" t="s">
        <v>8834</v>
      </c>
      <c r="C33" s="18" t="s">
        <v>8837</v>
      </c>
      <c r="D33" s="5" t="str">
        <f ca="1">IFERROR(__xludf.DUMMYFUNCTION("GOOGLETRANSLATE(B33,""ja"",""vi"")"),"Nghiên cứu đô thị")</f>
        <v>Nghiên cứu đô thị</v>
      </c>
      <c r="E33" s="5" t="str">
        <f ca="1">IFERROR(__xludf.DUMMYFUNCTION("GOOGLETRANSLATE(C33,""ja"",""vi"")"),"Đấu giá&gt; Thời trang&gt; By Nhãn hiệu&gt; Oh&gt; nghiên cứu đô thị")</f>
        <v>Đấu giá&gt; Thời trang&gt; By Nhãn hiệu&gt; Oh&gt; nghiên cứu đô thị</v>
      </c>
      <c r="F33" t="str">
        <f t="shared" ca="1" si="0"/>
        <v>"2084215809" : "Nghiên cứu đô thị",</v>
      </c>
    </row>
    <row r="34" spans="1:6" ht="15.75" customHeight="1">
      <c r="A34" s="18">
        <v>2084048646</v>
      </c>
      <c r="B34" s="18" t="s">
        <v>8840</v>
      </c>
      <c r="C34" s="18" t="s">
        <v>8843</v>
      </c>
      <c r="D34" s="5" t="str">
        <f ca="1">IFERROR(__xludf.DUMMYFUNCTION("GOOGLETRANSLATE(B34,""ja"",""vi"")"),"Apese")</f>
        <v>Apese</v>
      </c>
      <c r="E34" s="5" t="str">
        <f ca="1">IFERROR(__xludf.DUMMYFUNCTION("GOOGLETRANSLATE(C34,""ja"",""vi"")"),"Đấu giá&gt; Thời trang&gt; By Nhãn hiệu&gt; Oh&gt; Apese")</f>
        <v>Đấu giá&gt; Thời trang&gt; By Nhãn hiệu&gt; Oh&gt; Apese</v>
      </c>
      <c r="F34" t="str">
        <f t="shared" ca="1" si="0"/>
        <v>"2084048646" : "Apese",</v>
      </c>
    </row>
    <row r="35" spans="1:6" ht="15.75" customHeight="1">
      <c r="A35" s="18">
        <v>2084050531</v>
      </c>
      <c r="B35" s="18" t="s">
        <v>8848</v>
      </c>
      <c r="C35" s="18" t="s">
        <v>8849</v>
      </c>
      <c r="D35" s="5" t="str">
        <f ca="1">IFERROR(__xludf.DUMMYFUNCTION("GOOGLETRANSLATE(B35,""ja"",""vi"")"),"Abercrombie &amp; Fitch")</f>
        <v>Abercrombie &amp; Fitch</v>
      </c>
      <c r="E35" s="5" t="str">
        <f ca="1">IFERROR(__xludf.DUMMYFUNCTION("GOOGLETRANSLATE(C35,""ja"",""vi"")"),"Đấu giá&gt; Thời trang&gt; By Nhãn hiệu&gt; Oh&gt; Abercrombie &amp; Fitch")</f>
        <v>Đấu giá&gt; Thời trang&gt; By Nhãn hiệu&gt; Oh&gt; Abercrombie &amp; Fitch</v>
      </c>
      <c r="F35" t="str">
        <f t="shared" ca="1" si="0"/>
        <v>"2084050531" : "Abercrombie &amp; Fitch",</v>
      </c>
    </row>
    <row r="36" spans="1:6" ht="15.75" customHeight="1">
      <c r="A36" s="18">
        <v>2084048593</v>
      </c>
      <c r="B36" s="18" t="s">
        <v>8853</v>
      </c>
      <c r="C36" s="18" t="s">
        <v>8855</v>
      </c>
      <c r="D36" s="5" t="str">
        <f ca="1">IFERROR(__xludf.DUMMYFUNCTION("GOOGLETRANSLATE(B36,""ja"",""vi"")"),"Abahouse")</f>
        <v>Abahouse</v>
      </c>
      <c r="E36" s="5" t="str">
        <f ca="1">IFERROR(__xludf.DUMMYFUNCTION("GOOGLETRANSLATE(C36,""ja"",""vi"")"),"Đấu giá&gt; Thời trang&gt; By Nhãn hiệu&gt; Oh&gt; Abahouse")</f>
        <v>Đấu giá&gt; Thời trang&gt; By Nhãn hiệu&gt; Oh&gt; Abahouse</v>
      </c>
      <c r="F36" t="str">
        <f t="shared" ca="1" si="0"/>
        <v>"2084048593" : "Abahouse",</v>
      </c>
    </row>
    <row r="37" spans="1:6" ht="15.75" customHeight="1">
      <c r="A37" s="18">
        <v>2084206641</v>
      </c>
      <c r="B37" s="18" t="s">
        <v>8856</v>
      </c>
      <c r="C37" s="18" t="s">
        <v>8858</v>
      </c>
      <c r="D37" s="5" t="str">
        <f ca="1">IFERROR(__xludf.DUMMYFUNCTION("GOOGLETRANSLATE(B37,""ja"",""vi"")"),"Apuwaiza-riche")</f>
        <v>Apuwaiza-riche</v>
      </c>
      <c r="E37" s="5" t="str">
        <f ca="1">IFERROR(__xludf.DUMMYFUNCTION("GOOGLETRANSLATE(C37,""ja"",""vi"")"),"Đấu giá&gt; Thời trang&gt; By Nhãn hiệu&gt; Oh&gt; Apuwaiza-riche")</f>
        <v>Đấu giá&gt; Thời trang&gt; By Nhãn hiệu&gt; Oh&gt; Apuwaiza-riche</v>
      </c>
      <c r="F37" t="str">
        <f t="shared" ca="1" si="0"/>
        <v>"2084206641" : "Apuwaiza-riche",</v>
      </c>
    </row>
    <row r="38" spans="1:6" ht="15.75" customHeight="1">
      <c r="A38" s="18">
        <v>2084050168</v>
      </c>
      <c r="B38" s="18" t="s">
        <v>8862</v>
      </c>
      <c r="C38" s="18" t="s">
        <v>8864</v>
      </c>
      <c r="D38" s="5" t="str">
        <f ca="1">IFERROR(__xludf.DUMMYFUNCTION("GOOGLETRANSLATE(B38,""ja"",""vi"")"),"Avirekkusu")</f>
        <v>Avirekkusu</v>
      </c>
      <c r="E38" s="5" t="str">
        <f ca="1">IFERROR(__xludf.DUMMYFUNCTION("GOOGLETRANSLATE(C38,""ja"",""vi"")"),"Đấu giá&gt; Thời trang&gt; By Nhãn hiệu&gt; Oh&gt; Avirekkusu")</f>
        <v>Đấu giá&gt; Thời trang&gt; By Nhãn hiệu&gt; Oh&gt; Avirekkusu</v>
      </c>
      <c r="F38" t="str">
        <f t="shared" ca="1" si="0"/>
        <v>"2084050168" : "Avirekkusu",</v>
      </c>
    </row>
    <row r="39" spans="1:6" ht="15.75" customHeight="1">
      <c r="A39" s="18">
        <v>2084303229</v>
      </c>
      <c r="B39" s="18" t="s">
        <v>8867</v>
      </c>
      <c r="C39" s="18" t="s">
        <v>8869</v>
      </c>
      <c r="D39" s="5" t="str">
        <f ca="1">IFERROR(__xludf.DUMMYFUNCTION("GOOGLETRANSLATE(B39,""ja"",""vi"")"),"American Apparel")</f>
        <v>American Apparel</v>
      </c>
      <c r="E39" s="5" t="str">
        <f ca="1">IFERROR(__xludf.DUMMYFUNCTION("GOOGLETRANSLATE(C39,""ja"",""vi"")"),"Đấu giá&gt; Thời trang&gt; By Nhãn hiệu&gt; Oh&gt; Trang phục Mỹ")</f>
        <v>Đấu giá&gt; Thời trang&gt; By Nhãn hiệu&gt; Oh&gt; Trang phục Mỹ</v>
      </c>
      <c r="F39" t="str">
        <f t="shared" ca="1" si="0"/>
        <v>"2084303229" : "American Apparel",</v>
      </c>
    </row>
    <row r="40" spans="1:6" ht="15.75" customHeight="1">
      <c r="A40" s="18">
        <v>2084061802</v>
      </c>
      <c r="B40" s="18" t="s">
        <v>8872</v>
      </c>
      <c r="C40" s="18" t="s">
        <v>8873</v>
      </c>
      <c r="D40" s="5" t="str">
        <f ca="1">IFERROR(__xludf.DUMMYFUNCTION("GOOGLETRANSLATE(B40,""ja"",""vi"")"),"American Eagle Outfitters")</f>
        <v>American Eagle Outfitters</v>
      </c>
      <c r="E40" s="5" t="str">
        <f ca="1">IFERROR(__xludf.DUMMYFUNCTION("GOOGLETRANSLATE(C40,""ja"",""vi"")"),"Đấu giá&gt; Thời trang&gt; By Nhãn hiệu&gt; Oh&gt; American Eagle Outfitters")</f>
        <v>Đấu giá&gt; Thời trang&gt; By Nhãn hiệu&gt; Oh&gt; American Eagle Outfitters</v>
      </c>
      <c r="F40" t="str">
        <f t="shared" ca="1" si="0"/>
        <v>"2084061802" : "American Eagle Outfitters",</v>
      </c>
    </row>
    <row r="41" spans="1:6" ht="15.75" customHeight="1">
      <c r="A41" s="18">
        <v>2084050174</v>
      </c>
      <c r="B41" s="18" t="s">
        <v>8876</v>
      </c>
      <c r="C41" s="18" t="s">
        <v>8878</v>
      </c>
      <c r="D41" s="5" t="str">
        <f ca="1">IFERROR(__xludf.DUMMYFUNCTION("GOOGLETRANSLATE(B41,""ja"",""vi"")"),"thảm Mỹ Biển")</f>
        <v>thảm Mỹ Biển</v>
      </c>
      <c r="E41" s="5" t="str">
        <f ca="1">IFERROR(__xludf.DUMMYFUNCTION("GOOGLETRANSLATE(C41,""ja"",""vi"")"),"Đấu giá&gt; Thời trang&gt; By Nhãn hiệu&gt; Oh&gt; Biển thảm Mỹ")</f>
        <v>Đấu giá&gt; Thời trang&gt; By Nhãn hiệu&gt; Oh&gt; Biển thảm Mỹ</v>
      </c>
      <c r="F41" t="str">
        <f t="shared" ca="1" si="0"/>
        <v>"2084050174" : "thảm Mỹ Biển",</v>
      </c>
    </row>
    <row r="42" spans="1:6" ht="15.75" customHeight="1">
      <c r="A42" s="18">
        <v>2084055914</v>
      </c>
      <c r="B42" s="18" t="s">
        <v>8880</v>
      </c>
      <c r="C42" s="18" t="s">
        <v>8881</v>
      </c>
      <c r="D42" s="5" t="str">
        <f ca="1">IFERROR(__xludf.DUMMYFUNCTION("GOOGLETRANSLATE(B42,""ja"",""vi"")"),"RNA")</f>
        <v>RNA</v>
      </c>
      <c r="E42" s="5" t="str">
        <f ca="1">IFERROR(__xludf.DUMMYFUNCTION("GOOGLETRANSLATE(C42,""ja"",""vi"")"),"Đấu giá&gt; Thời trang&gt; By Nhãn hiệu&gt; Oh&gt; RNA")</f>
        <v>Đấu giá&gt; Thời trang&gt; By Nhãn hiệu&gt; Oh&gt; RNA</v>
      </c>
      <c r="F42" t="str">
        <f t="shared" ca="1" si="0"/>
        <v>"2084055914" : "RNA",</v>
      </c>
    </row>
    <row r="43" spans="1:6" ht="15.75" customHeight="1">
      <c r="A43" s="18">
        <v>2084283080</v>
      </c>
      <c r="B43" s="18" t="s">
        <v>8883</v>
      </c>
      <c r="C43" s="18" t="s">
        <v>8884</v>
      </c>
      <c r="D43" s="5" t="str">
        <f ca="1">IFERROR(__xludf.DUMMYFUNCTION("GOOGLETRANSLATE(B43,""ja"",""vi"")"),"Aylesbury")</f>
        <v>Aylesbury</v>
      </c>
      <c r="E43" s="5" t="str">
        <f ca="1">IFERROR(__xludf.DUMMYFUNCTION("GOOGLETRANSLATE(C43,""ja"",""vi"")"),"Đấu giá&gt; Thời trang&gt; By Nhãn hiệu&gt; Oh&gt; Aylesbury")</f>
        <v>Đấu giá&gt; Thời trang&gt; By Nhãn hiệu&gt; Oh&gt; Aylesbury</v>
      </c>
      <c r="F43" t="str">
        <f t="shared" ca="1" si="0"/>
        <v>"2084283080" : "Aylesbury",</v>
      </c>
    </row>
    <row r="44" spans="1:6" ht="15.75" customHeight="1">
      <c r="A44" s="18">
        <v>2084284010</v>
      </c>
      <c r="B44" s="18" t="s">
        <v>8887</v>
      </c>
      <c r="C44" s="18" t="s">
        <v>8889</v>
      </c>
      <c r="D44" s="5" t="str">
        <f ca="1">IFERROR(__xludf.DUMMYFUNCTION("GOOGLETRANSLATE(B44,""ja"",""vi"")"),"chất kiềm")</f>
        <v>chất kiềm</v>
      </c>
      <c r="E44" s="5" t="str">
        <f ca="1">IFERROR(__xludf.DUMMYFUNCTION("GOOGLETRANSLATE(C44,""ja"",""vi"")"),"Đấu giá&gt; Thời trang&gt; By Nhãn hiệu&gt; Oh&gt; kiềm")</f>
        <v>Đấu giá&gt; Thời trang&gt; By Nhãn hiệu&gt; Oh&gt; kiềm</v>
      </c>
      <c r="F44" t="str">
        <f t="shared" ca="1" si="0"/>
        <v>"2084284010" : "chất kiềm",</v>
      </c>
    </row>
    <row r="45" spans="1:6" ht="15.75" customHeight="1">
      <c r="A45" s="18">
        <v>2084193052</v>
      </c>
      <c r="B45" s="18" t="s">
        <v>8893</v>
      </c>
      <c r="C45" s="18" t="s">
        <v>8894</v>
      </c>
      <c r="D45" s="5" t="str">
        <f ca="1">IFERROR(__xludf.DUMMYFUNCTION("GOOGLETRANSLATE(B45,""ja"",""vi"")"),"Algonquin")</f>
        <v>Algonquin</v>
      </c>
      <c r="E45" s="5" t="str">
        <f ca="1">IFERROR(__xludf.DUMMYFUNCTION("GOOGLETRANSLATE(C45,""ja"",""vi"")"),"Đấu giá&gt; Thời trang&gt; By Nhãn hiệu&gt; Oh&gt; Algonquin")</f>
        <v>Đấu giá&gt; Thời trang&gt; By Nhãn hiệu&gt; Oh&gt; Algonquin</v>
      </c>
      <c r="F45" t="str">
        <f t="shared" ca="1" si="0"/>
        <v>"2084193052" : "Algonquin",</v>
      </c>
    </row>
    <row r="46" spans="1:6" ht="15.75" customHeight="1">
      <c r="A46" s="18">
        <v>2084048650</v>
      </c>
      <c r="B46" s="18" t="s">
        <v>8896</v>
      </c>
      <c r="C46" s="18" t="s">
        <v>8898</v>
      </c>
      <c r="D46" s="5" t="str">
        <f ca="1">IFERROR(__xludf.DUMMYFUNCTION("GOOGLETRANSLATE(B46,""ja"",""vi"")"),"Alba Rosa")</f>
        <v>Alba Rosa</v>
      </c>
      <c r="E46" s="5" t="str">
        <f ca="1">IFERROR(__xludf.DUMMYFUNCTION("GOOGLETRANSLATE(C46,""ja"",""vi"")"),"Đấu giá&gt; Thời trang&gt; By Nhãn hiệu&gt; Oh&gt; Alba Rosa")</f>
        <v>Đấu giá&gt; Thời trang&gt; By Nhãn hiệu&gt; Oh&gt; Alba Rosa</v>
      </c>
      <c r="F46" t="str">
        <f t="shared" ca="1" si="0"/>
        <v>"2084048650" : "Alba Rosa",</v>
      </c>
    </row>
    <row r="47" spans="1:6" ht="15.75" customHeight="1">
      <c r="A47" s="18">
        <v>2084050175</v>
      </c>
      <c r="B47" s="18" t="s">
        <v>8902</v>
      </c>
      <c r="C47" s="18" t="s">
        <v>8904</v>
      </c>
      <c r="D47" s="5" t="str">
        <f ca="1">IFERROR(__xludf.DUMMYFUNCTION("GOOGLETRANSLATE(B47,""ja"",""vi"")"),"Alpha")</f>
        <v>Alpha</v>
      </c>
      <c r="E47" s="5" t="str">
        <f ca="1">IFERROR(__xludf.DUMMYFUNCTION("GOOGLETRANSLATE(C47,""ja"",""vi"")"),"Đấu giá&gt; Thời trang&gt; By Nhãn hiệu&gt; Oh&gt; alpha")</f>
        <v>Đấu giá&gt; Thời trang&gt; By Nhãn hiệu&gt; Oh&gt; alpha</v>
      </c>
      <c r="F47" t="str">
        <f t="shared" ca="1" si="0"/>
        <v>"2084050175" : "Alpha",</v>
      </c>
    </row>
    <row r="48" spans="1:6" ht="15.75" customHeight="1">
      <c r="A48" s="18">
        <v>2084283081</v>
      </c>
      <c r="B48" s="18" t="s">
        <v>8907</v>
      </c>
      <c r="C48" s="18" t="s">
        <v>8909</v>
      </c>
      <c r="D48" s="5" t="str">
        <f ca="1">IFERROR(__xludf.DUMMYFUNCTION("GOOGLETRANSLATE(B48,""ja"",""vi"")"),"Alpha khối")</f>
        <v>Alpha khối</v>
      </c>
      <c r="E48" s="5" t="str">
        <f ca="1">IFERROR(__xludf.DUMMYFUNCTION("GOOGLETRANSLATE(C48,""ja"",""vi"")"),"Đấu giá&gt; Thời trang&gt; By Nhãn hiệu&gt; Oh&gt; alpha khối")</f>
        <v>Đấu giá&gt; Thời trang&gt; By Nhãn hiệu&gt; Oh&gt; alpha khối</v>
      </c>
      <c r="F48" t="str">
        <f t="shared" ca="1" si="0"/>
        <v>"2084283081" : "Alpha khối",</v>
      </c>
    </row>
    <row r="49" spans="1:6" ht="15.75" customHeight="1">
      <c r="A49" s="18">
        <v>2084208386</v>
      </c>
      <c r="B49" s="18" t="s">
        <v>8912</v>
      </c>
      <c r="C49" s="18" t="s">
        <v>8914</v>
      </c>
      <c r="D49" s="5" t="str">
        <f ca="1">IFERROR(__xludf.DUMMYFUNCTION("GOOGLETRANSLATE(B49,""ja"",""vi"")"),"Alberta Ferretti")</f>
        <v>Alberta Ferretti</v>
      </c>
      <c r="E49" s="5" t="str">
        <f ca="1">IFERROR(__xludf.DUMMYFUNCTION("GOOGLETRANSLATE(C49,""ja"",""vi"")"),"Đấu giá&gt; Thời trang&gt; By Nhãn hiệu&gt; Oh&gt; Alberta Ferretti")</f>
        <v>Đấu giá&gt; Thời trang&gt; By Nhãn hiệu&gt; Oh&gt; Alberta Ferretti</v>
      </c>
      <c r="F49" t="str">
        <f t="shared" ca="1" si="0"/>
        <v>"2084208386" : "Alberta Ferretti",</v>
      </c>
    </row>
    <row r="50" spans="1:6" ht="15.75" customHeight="1">
      <c r="A50" s="18">
        <v>2084048594</v>
      </c>
      <c r="B50" s="18" t="s">
        <v>8916</v>
      </c>
      <c r="C50" s="18" t="s">
        <v>8918</v>
      </c>
      <c r="D50" s="5" t="str">
        <f ca="1">IFERROR(__xludf.DUMMYFUNCTION("GOOGLETRANSLATE(B50,""ja"",""vi"")"),"Armani")</f>
        <v>Armani</v>
      </c>
      <c r="E50" s="5" t="str">
        <f ca="1">IFERROR(__xludf.DUMMYFUNCTION("GOOGLETRANSLATE(C50,""ja"",""vi"")"),"Đấu giá&gt; Thời trang&gt; By Nhãn hiệu&gt; Oh&gt; Armani")</f>
        <v>Đấu giá&gt; Thời trang&gt; By Nhãn hiệu&gt; Oh&gt; Armani</v>
      </c>
      <c r="F50" t="str">
        <f t="shared" ca="1" si="0"/>
        <v>"2084048594" : "Armani",</v>
      </c>
    </row>
    <row r="51" spans="1:6" ht="15.75" customHeight="1">
      <c r="A51" s="18">
        <v>2084283076</v>
      </c>
      <c r="B51" s="18" t="s">
        <v>8921</v>
      </c>
      <c r="C51" s="18" t="s">
        <v>8923</v>
      </c>
      <c r="D51" s="5" t="str">
        <f ca="1">IFERROR(__xludf.DUMMYFUNCTION("GOOGLETRANSLATE(B51,""ja"",""vi"")"),"Armani Exchange")</f>
        <v>Armani Exchange</v>
      </c>
      <c r="E51" s="5" t="str">
        <f ca="1">IFERROR(__xludf.DUMMYFUNCTION("GOOGLETRANSLATE(C51,""ja"",""vi"")"),"Đấu giá&gt; Thời trang&gt; By Nhãn hiệu&gt; Oh&gt; Armani Exchange")</f>
        <v>Đấu giá&gt; Thời trang&gt; By Nhãn hiệu&gt; Oh&gt; Armani Exchange</v>
      </c>
      <c r="F51" t="str">
        <f t="shared" ca="1" si="0"/>
        <v>"2084283076" : "Armani Exchange",</v>
      </c>
    </row>
    <row r="52" spans="1:6" ht="15.75" customHeight="1">
      <c r="A52" s="18">
        <v>2084050176</v>
      </c>
      <c r="B52" s="18" t="s">
        <v>8925</v>
      </c>
      <c r="C52" s="18" t="s">
        <v>8928</v>
      </c>
      <c r="D52" s="5" t="str">
        <f ca="1">IFERROR(__xludf.DUMMYFUNCTION("GOOGLETRANSLATE(B52,""ja"",""vi"")"),"Armani Jeans")</f>
        <v>Armani Jeans</v>
      </c>
      <c r="E52" s="5" t="str">
        <f ca="1">IFERROR(__xludf.DUMMYFUNCTION("GOOGLETRANSLATE(C52,""ja"",""vi"")"),"Đấu giá&gt; Thời trang&gt; By Nhãn hiệu&gt; Oh&gt; Armani Jeans")</f>
        <v>Đấu giá&gt; Thời trang&gt; By Nhãn hiệu&gt; Oh&gt; Armani Jeans</v>
      </c>
      <c r="F52" t="str">
        <f t="shared" ca="1" si="0"/>
        <v>"2084050176" : "Armani Jeans",</v>
      </c>
    </row>
    <row r="53" spans="1:6" ht="15.75" customHeight="1">
      <c r="A53" s="18">
        <v>2084199091</v>
      </c>
      <c r="B53" s="18" t="s">
        <v>8929</v>
      </c>
      <c r="C53" s="18" t="s">
        <v>8931</v>
      </c>
      <c r="D53" s="5" t="str">
        <f ca="1">IFERROR(__xludf.DUMMYFUNCTION("GOOGLETRANSLATE(B53,""ja"",""vi"")"),"Alexander McQueen")</f>
        <v>Alexander McQueen</v>
      </c>
      <c r="E53" s="5" t="str">
        <f ca="1">IFERROR(__xludf.DUMMYFUNCTION("GOOGLETRANSLATE(C53,""ja"",""vi"")"),"Đấu giá&gt; Thời trang&gt; By Nhãn hiệu&gt; Oh&gt; Alexander McQueen")</f>
        <v>Đấu giá&gt; Thời trang&gt; By Nhãn hiệu&gt; Oh&gt; Alexander McQueen</v>
      </c>
      <c r="F53" t="str">
        <f t="shared" ca="1" si="0"/>
        <v>"2084199091" : "Alexander McQueen",</v>
      </c>
    </row>
    <row r="54" spans="1:6" ht="15.75" customHeight="1">
      <c r="A54" s="18">
        <v>2084298363</v>
      </c>
      <c r="B54" s="18" t="s">
        <v>8934</v>
      </c>
      <c r="C54" s="18" t="s">
        <v>8935</v>
      </c>
      <c r="D54" s="5" t="str">
        <f ca="1">IFERROR(__xludf.DUMMYFUNCTION("GOOGLETRANSLATE(B54,""ja"",""vi"")"),"Alexander Wang")</f>
        <v>Alexander Wang</v>
      </c>
      <c r="E54" s="5" t="str">
        <f ca="1">IFERROR(__xludf.DUMMYFUNCTION("GOOGLETRANSLATE(C54,""ja"",""vi"")"),"Đấu giá&gt; Thời trang&gt; By Nhãn hiệu&gt; Oh&gt; Alexander Wang")</f>
        <v>Đấu giá&gt; Thời trang&gt; By Nhãn hiệu&gt; Oh&gt; Alexander Wang</v>
      </c>
      <c r="F54" t="str">
        <f t="shared" ca="1" si="0"/>
        <v>"2084298363" : "Alexander Wang",</v>
      </c>
    </row>
    <row r="55" spans="1:6" ht="15.75" customHeight="1">
      <c r="A55" s="18">
        <v>2084199157</v>
      </c>
      <c r="B55" s="18" t="s">
        <v>8938</v>
      </c>
      <c r="C55" s="18" t="s">
        <v>8939</v>
      </c>
      <c r="D55" s="5" t="str">
        <f ca="1">IFERROR(__xludf.DUMMYFUNCTION("GOOGLETRANSLATE(B55,""ja"",""vi"")"),"Alessandro Dellacqua")</f>
        <v>Alessandro Dellacqua</v>
      </c>
      <c r="E55" s="5" t="str">
        <f ca="1">IFERROR(__xludf.DUMMYFUNCTION("GOOGLETRANSLATE(C55,""ja"",""vi"")"),"Đấu giá&gt; Thời trang&gt; By Nhãn hiệu&gt; Oh&gt; Alessandro Dellacqua")</f>
        <v>Đấu giá&gt; Thời trang&gt; By Nhãn hiệu&gt; Oh&gt; Alessandro Dellacqua</v>
      </c>
      <c r="F55" t="str">
        <f t="shared" ca="1" si="0"/>
        <v>"2084199157" : "Alessandro Dellacqua",</v>
      </c>
    </row>
    <row r="56" spans="1:6" ht="15.75" customHeight="1">
      <c r="A56" s="18">
        <v>2084255834</v>
      </c>
      <c r="B56" s="18" t="s">
        <v>8942</v>
      </c>
      <c r="C56" s="18" t="s">
        <v>8943</v>
      </c>
      <c r="D56" s="5" t="str">
        <f ca="1">IFERROR(__xludf.DUMMYFUNCTION("GOOGLETRANSLATE(B56,""ja"",""vi"")"),"mũi tên")</f>
        <v>mũi tên</v>
      </c>
      <c r="E56" s="5" t="str">
        <f ca="1">IFERROR(__xludf.DUMMYFUNCTION("GOOGLETRANSLATE(C56,""ja"",""vi"")"),"Đấu giá&gt; Thời trang&gt; By Nhãn hiệu&gt; Oh&gt; mũi tên")</f>
        <v>Đấu giá&gt; Thời trang&gt; By Nhãn hiệu&gt; Oh&gt; mũi tên</v>
      </c>
      <c r="F56" t="str">
        <f t="shared" ca="1" si="0"/>
        <v>"2084255834" : "mũi tên",</v>
      </c>
    </row>
    <row r="57" spans="1:6" ht="15.75" customHeight="1">
      <c r="A57" s="18">
        <v>2084246117</v>
      </c>
      <c r="B57" s="18" t="s">
        <v>8948</v>
      </c>
      <c r="C57" s="18" t="s">
        <v>8950</v>
      </c>
      <c r="D57" s="5" t="str">
        <f ca="1">IFERROR(__xludf.DUMMYFUNCTION("GOOGLETRANSLATE(B57,""ja"",""vi"")"),"&amp; By P &amp; D")</f>
        <v>&amp; By P &amp; D</v>
      </c>
      <c r="E57" s="5" t="str">
        <f ca="1">IFERROR(__xludf.DUMMYFUNCTION("GOOGLETRANSLATE(C57,""ja"",""vi"")"),"Đấu giá&gt; Thời trang&gt; By Nhãn hiệu&gt; Oh&gt; &amp; bởi P &amp; D")</f>
        <v>Đấu giá&gt; Thời trang&gt; By Nhãn hiệu&gt; Oh&gt; &amp; bởi P &amp; D</v>
      </c>
      <c r="F57" t="str">
        <f t="shared" ca="1" si="0"/>
        <v>"2084246117" : "&amp; By P &amp; D",</v>
      </c>
    </row>
    <row r="58" spans="1:6" ht="15.75" customHeight="1">
      <c r="A58" s="18">
        <v>2084283082</v>
      </c>
      <c r="B58" s="18" t="s">
        <v>8953</v>
      </c>
      <c r="C58" s="18" t="s">
        <v>8955</v>
      </c>
      <c r="D58" s="5" t="str">
        <f ca="1">IFERROR(__xludf.DUMMYFUNCTION("GOOGLETRANSLATE(B58,""ja"",""vi"")"),"Anne Klein")</f>
        <v>Anne Klein</v>
      </c>
      <c r="E58" s="5" t="str">
        <f ca="1">IFERROR(__xludf.DUMMYFUNCTION("GOOGLETRANSLATE(C58,""ja"",""vi"")"),"Đấu giá&gt; Thời trang&gt; By Nhãn hiệu&gt; Oh&gt; Anne Klein")</f>
        <v>Đấu giá&gt; Thời trang&gt; By Nhãn hiệu&gt; Oh&gt; Anne Klein</v>
      </c>
      <c r="F58" t="str">
        <f t="shared" ca="1" si="0"/>
        <v>"2084283082" : "Anne Klein",</v>
      </c>
    </row>
    <row r="59" spans="1:6" ht="15.75" customHeight="1">
      <c r="A59" s="18">
        <v>2084315870</v>
      </c>
      <c r="B59" s="18" t="s">
        <v>8958</v>
      </c>
      <c r="C59" s="18" t="s">
        <v>8959</v>
      </c>
      <c r="D59" s="5" t="str">
        <f ca="1">IFERROR(__xludf.DUMMYFUNCTION("GOOGLETRANSLATE(B59,""ja"",""vi"")"),"lưới Anne")</f>
        <v>lưới Anne</v>
      </c>
      <c r="E59" s="5" t="str">
        <f ca="1">IFERROR(__xludf.DUMMYFUNCTION("GOOGLETRANSLATE(C59,""ja"",""vi"")"),"Đấu giá&gt; Thời trang&gt; By Nhãn hiệu&gt; Oh&gt; lưới Anne")</f>
        <v>Đấu giá&gt; Thời trang&gt; By Nhãn hiệu&gt; Oh&gt; lưới Anne</v>
      </c>
      <c r="F59" t="str">
        <f t="shared" ca="1" si="0"/>
        <v>"2084315870" : "lưới Anne",</v>
      </c>
    </row>
    <row r="60" spans="1:6" ht="15.75" customHeight="1">
      <c r="A60" s="18">
        <v>2084259912</v>
      </c>
      <c r="B60" s="18" t="s">
        <v>8963</v>
      </c>
      <c r="C60" s="18" t="s">
        <v>8964</v>
      </c>
      <c r="D60" s="5" t="str">
        <f ca="1">IFERROR(__xludf.DUMMYFUNCTION("GOOGLETRANSLATE(B60,""ja"",""vi"")"),"Enchantement")</f>
        <v>Enchantement</v>
      </c>
      <c r="E60" s="5" t="str">
        <f ca="1">IFERROR(__xludf.DUMMYFUNCTION("GOOGLETRANSLATE(C60,""ja"",""vi"")"),"Đấu giá&gt; Thời trang&gt; By Nhãn hiệu&gt; Oh&gt; Enchantement")</f>
        <v>Đấu giá&gt; Thời trang&gt; By Nhãn hiệu&gt; Oh&gt; Enchantement</v>
      </c>
      <c r="F60" t="str">
        <f t="shared" ca="1" si="0"/>
        <v>"2084259912" : "Enchantement",</v>
      </c>
    </row>
    <row r="61" spans="1:6" ht="15.75" customHeight="1">
      <c r="A61" s="18">
        <v>2084229923</v>
      </c>
      <c r="B61" s="18" t="s">
        <v>8966</v>
      </c>
      <c r="C61" s="18" t="s">
        <v>8968</v>
      </c>
      <c r="D61" s="5" t="str">
        <f ca="1">IFERROR(__xludf.DUMMYFUNCTION("GOOGLETRANSLATE(B61,""ja"",""vi"")"),"Angelic Khá")</f>
        <v>Angelic Khá</v>
      </c>
      <c r="E61" s="5" t="str">
        <f ca="1">IFERROR(__xludf.DUMMYFUNCTION("GOOGLETRANSLATE(C61,""ja"",""vi"")"),"Đấu giá&gt; Thời trang&gt; By Nhãn hiệu&gt; Oh&gt; Angelic Khá")</f>
        <v>Đấu giá&gt; Thời trang&gt; By Nhãn hiệu&gt; Oh&gt; Angelic Khá</v>
      </c>
      <c r="F61" t="str">
        <f t="shared" ca="1" si="0"/>
        <v>"2084229923" : "Angelic Khá",</v>
      </c>
    </row>
    <row r="62" spans="1:6" ht="15.75" customHeight="1">
      <c r="A62" s="18">
        <v>2084229912</v>
      </c>
      <c r="B62" s="18" t="s">
        <v>8971</v>
      </c>
      <c r="C62" s="18" t="s">
        <v>8972</v>
      </c>
      <c r="D62" s="5" t="str">
        <f ca="1">IFERROR(__xludf.DUMMYFUNCTION("GOOGLETRANSLATE(B62,""ja"",""vi"")"),"chìa khóa Anne đĩa Wee")</f>
        <v>chìa khóa Anne đĩa Wee</v>
      </c>
      <c r="E62" s="5" t="str">
        <f ca="1">IFERROR(__xludf.DUMMYFUNCTION("GOOGLETRANSLATE(C62,""ja"",""vi"")"),"Đấu giá&gt; Thời trang&gt; By Nhãn hiệu&gt; Oh&gt; Phím Gỡ bỏ đĩa Wee")</f>
        <v>Đấu giá&gt; Thời trang&gt; By Nhãn hiệu&gt; Oh&gt; Phím Gỡ bỏ đĩa Wee</v>
      </c>
      <c r="F62" t="str">
        <f t="shared" ca="1" si="0"/>
        <v>"2084229912" : "chìa khóa Anne đĩa Wee",</v>
      </c>
    </row>
    <row r="63" spans="1:6" ht="15.75" customHeight="1">
      <c r="A63" s="18">
        <v>2084048654</v>
      </c>
      <c r="B63" s="18" t="s">
        <v>8976</v>
      </c>
      <c r="C63" s="18" t="s">
        <v>8977</v>
      </c>
      <c r="D63" s="5" t="str">
        <f ca="1">IFERROR(__xludf.DUMMYFUNCTION("GOOGLETRANSLATE(B63,""ja"",""vi"")"),"Untitled")</f>
        <v>Untitled</v>
      </c>
      <c r="E63" s="5" t="str">
        <f ca="1">IFERROR(__xludf.DUMMYFUNCTION("GOOGLETRANSLATE(C63,""ja"",""vi"")"),"Đấu giá&gt; Thời trang&gt; By Nhãn hiệu&gt; Oh&gt; Untitled")</f>
        <v>Đấu giá&gt; Thời trang&gt; By Nhãn hiệu&gt; Oh&gt; Untitled</v>
      </c>
      <c r="F63" t="str">
        <f t="shared" ca="1" si="0"/>
        <v>"2084048654" : "Untitled",</v>
      </c>
    </row>
    <row r="64" spans="1:6" ht="15.75" customHeight="1">
      <c r="A64" s="18">
        <v>2084048655</v>
      </c>
      <c r="B64" s="18" t="s">
        <v>8981</v>
      </c>
      <c r="C64" s="18" t="s">
        <v>8982</v>
      </c>
      <c r="D64" s="5" t="str">
        <f ca="1">IFERROR(__xludf.DUMMYFUNCTION("GOOGLETRANSLATE(B64,""ja"",""vi"")"),"dưới nắp")</f>
        <v>dưới nắp</v>
      </c>
      <c r="E64" s="5" t="str">
        <f ca="1">IFERROR(__xludf.DUMMYFUNCTION("GOOGLETRANSLATE(C64,""ja"",""vi"")"),"Đấu giá&gt; Thời trang&gt; By Nhãn hiệu&gt; Oh&gt; có mái che")</f>
        <v>Đấu giá&gt; Thời trang&gt; By Nhãn hiệu&gt; Oh&gt; có mái che</v>
      </c>
      <c r="F64" t="str">
        <f t="shared" ca="1" si="0"/>
        <v>"2084048655" : "dưới nắp",</v>
      </c>
    </row>
    <row r="65" spans="1:6" ht="15.75" customHeight="1">
      <c r="A65" s="18">
        <v>2084050177</v>
      </c>
      <c r="B65" s="18" t="s">
        <v>8983</v>
      </c>
      <c r="C65" s="18" t="s">
        <v>8986</v>
      </c>
      <c r="D65" s="5" t="str">
        <f ca="1">IFERROR(__xludf.DUMMYFUNCTION("GOOGLETRANSLATE(B65,""ja"",""vi"")"),"ANTEPRIMA")</f>
        <v>ANTEPRIMA</v>
      </c>
      <c r="E65" s="5" t="str">
        <f ca="1">IFERROR(__xludf.DUMMYFUNCTION("GOOGLETRANSLATE(C65,""ja"",""vi"")"),"Đấu giá&gt; Thời trang&gt; By Nhãn hiệu&gt; Oh&gt; ANTEPRIMA")</f>
        <v>Đấu giá&gt; Thời trang&gt; By Nhãn hiệu&gt; Oh&gt; ANTEPRIMA</v>
      </c>
      <c r="F65" t="str">
        <f t="shared" ca="1" si="0"/>
        <v>"2084050177" : "ANTEPRIMA",</v>
      </c>
    </row>
    <row r="66" spans="1:6" ht="15.75" customHeight="1">
      <c r="A66" s="18">
        <v>2084199079</v>
      </c>
      <c r="B66" s="18" t="s">
        <v>8988</v>
      </c>
      <c r="C66" s="18" t="s">
        <v>8991</v>
      </c>
      <c r="D66" s="5" t="str">
        <f ca="1">IFERROR(__xludf.DUMMYFUNCTION("GOOGLETRANSLATE(B66,""ja"",""vi"")"),"Ann Demeulemeester")</f>
        <v>Ann Demeulemeester</v>
      </c>
      <c r="E66" s="5" t="str">
        <f ca="1">IFERROR(__xludf.DUMMYFUNCTION("GOOGLETRANSLATE(C66,""ja"",""vi"")"),"Đấu giá&gt; Thời trang&gt; By Nhãn hiệu&gt; Oh&gt; Ann Demeulemeester")</f>
        <v>Đấu giá&gt; Thời trang&gt; By Nhãn hiệu&gt; Oh&gt; Ann Demeulemeester</v>
      </c>
      <c r="F66" t="str">
        <f t="shared" ref="F66:F129" ca="1" si="1">CONCATENATE(CHAR(34)&amp;"",A66,""&amp;CHAR(34)," : ", CHAR(34)&amp;"",D66,""&amp;CHAR(34),",")</f>
        <v>"2084199079" : "Ann Demeulemeester",</v>
      </c>
    </row>
    <row r="67" spans="1:6" ht="15.75" customHeight="1">
      <c r="A67" s="18">
        <v>2084229913</v>
      </c>
      <c r="B67" s="18" t="s">
        <v>8993</v>
      </c>
      <c r="C67" s="18" t="s">
        <v>8995</v>
      </c>
      <c r="D67" s="5" t="str">
        <f ca="1">IFERROR(__xludf.DUMMYFUNCTION("GOOGLETRANSLATE(B67,""ja"",""vi"")"),"Andoe")</f>
        <v>Andoe</v>
      </c>
      <c r="E67" s="5" t="str">
        <f ca="1">IFERROR(__xludf.DUMMYFUNCTION("GOOGLETRANSLATE(C67,""ja"",""vi"")"),"Đấu giá&gt; Thời trang&gt; By Nhãn hiệu&gt; Oh&gt; Andoe")</f>
        <v>Đấu giá&gt; Thời trang&gt; By Nhãn hiệu&gt; Oh&gt; Andoe</v>
      </c>
      <c r="F67" t="str">
        <f t="shared" ca="1" si="1"/>
        <v>"2084229913" : "Andoe",</v>
      </c>
    </row>
    <row r="68" spans="1:6" ht="15.75" customHeight="1">
      <c r="A68" s="18">
        <v>2084229917</v>
      </c>
      <c r="B68" s="18" t="s">
        <v>8998</v>
      </c>
      <c r="C68" s="18" t="s">
        <v>8999</v>
      </c>
      <c r="D68" s="5" t="str">
        <f ca="1">IFERROR(__xludf.DUMMYFUNCTION("GOOGLETRANSLATE(B68,""ja"",""vi"")"),"Andre Luciano")</f>
        <v>Andre Luciano</v>
      </c>
      <c r="E68" s="5" t="str">
        <f ca="1">IFERROR(__xludf.DUMMYFUNCTION("GOOGLETRANSLATE(C68,""ja"",""vi"")"),"Đấu giá&gt; Thời trang&gt; By Nhãn hiệu&gt; Oh&gt; Andre Luciano")</f>
        <v>Đấu giá&gt; Thời trang&gt; By Nhãn hiệu&gt; Oh&gt; Andre Luciano</v>
      </c>
      <c r="F68" t="str">
        <f t="shared" ca="1" si="1"/>
        <v>"2084229917" : "Andre Luciano",</v>
      </c>
    </row>
    <row r="69" spans="1:6" ht="15.75" customHeight="1">
      <c r="A69" s="18">
        <v>2084054420</v>
      </c>
      <c r="B69" s="18" t="s">
        <v>9003</v>
      </c>
      <c r="C69" s="18" t="s">
        <v>9004</v>
      </c>
      <c r="D69" s="5" t="str">
        <f ca="1">IFERROR(__xludf.DUMMYFUNCTION("GOOGLETRANSLATE(B69,""ja"",""vi"")"),"Anna Molinari")</f>
        <v>Anna Molinari</v>
      </c>
      <c r="E69" s="5" t="str">
        <f ca="1">IFERROR(__xludf.DUMMYFUNCTION("GOOGLETRANSLATE(C69,""ja"",""vi"")"),"Đấu giá&gt; Thời trang&gt; By Nhãn hiệu&gt; Oh&gt; Anna Molinari")</f>
        <v>Đấu giá&gt; Thời trang&gt; By Nhãn hiệu&gt; Oh&gt; Anna Molinari</v>
      </c>
      <c r="F69" t="str">
        <f t="shared" ca="1" si="1"/>
        <v>"2084054420" : "Anna Molinari",</v>
      </c>
    </row>
    <row r="70" spans="1:6" ht="15.75" customHeight="1">
      <c r="A70" s="18">
        <v>2084285602</v>
      </c>
      <c r="B70" s="18" t="s">
        <v>46</v>
      </c>
      <c r="C70" s="18" t="s">
        <v>9008</v>
      </c>
      <c r="D70" s="5" t="str">
        <f ca="1">IFERROR(__xludf.DUMMYFUNCTION("GOOGLETRANSLATE(B70,""ja"",""vi"")"),"nếu không thì")</f>
        <v>nếu không thì</v>
      </c>
      <c r="E70" s="5" t="str">
        <f ca="1">IFERROR(__xludf.DUMMYFUNCTION("GOOGLETRANSLATE(C70,""ja"",""vi"")"),"Đấu giá&gt; Thời trang&gt; By Nhãn hiệu&gt; Oh&gt; Khác")</f>
        <v>Đấu giá&gt; Thời trang&gt; By Nhãn hiệu&gt; Oh&gt; Khác</v>
      </c>
      <c r="F70" t="str">
        <f t="shared" ca="1" si="1"/>
        <v>"2084285602" : "nếu không thì",</v>
      </c>
    </row>
    <row r="71" spans="1:6" ht="15.75" customHeight="1">
      <c r="A71" s="18">
        <v>2084055778</v>
      </c>
      <c r="B71" s="18" t="s">
        <v>9012</v>
      </c>
      <c r="C71" s="18" t="s">
        <v>9013</v>
      </c>
      <c r="D71" s="5" t="str">
        <f ca="1">IFERROR(__xludf.DUMMYFUNCTION("GOOGLETRANSLATE(B71,""ja"",""vi"")"),"Jena")</f>
        <v>Jena</v>
      </c>
      <c r="E71" s="5" t="str">
        <f ca="1">IFERROR(__xludf.DUMMYFUNCTION("GOOGLETRANSLATE(C71,""ja"",""vi"")"),"Đấu giá&gt; Thời trang&gt; By Nhãn hiệu&gt; có&gt; Jena")</f>
        <v>Đấu giá&gt; Thời trang&gt; By Nhãn hiệu&gt; có&gt; Jena</v>
      </c>
      <c r="F71" t="str">
        <f t="shared" ca="1" si="1"/>
        <v>"2084055778" : "Jena",</v>
      </c>
    </row>
    <row r="72" spans="1:6" ht="15.75" customHeight="1">
      <c r="A72" s="18">
        <v>2084050178</v>
      </c>
      <c r="B72" s="18" t="s">
        <v>9017</v>
      </c>
      <c r="C72" s="18" t="s">
        <v>9018</v>
      </c>
      <c r="D72" s="5" t="str">
        <f ca="1">IFERROR(__xludf.DUMMYFUNCTION("GOOGLETRANSLATE(B72,""ja"",""vi"")"),"Đông Boy")</f>
        <v>Đông Boy</v>
      </c>
      <c r="E72" s="5" t="str">
        <f ca="1">IFERROR(__xludf.DUMMYFUNCTION("GOOGLETRANSLATE(C72,""ja"",""vi"")"),"Đấu giá&gt; Thời trang&gt; By Nhãn hiệu&gt; đã&gt; Đông Boy")</f>
        <v>Đấu giá&gt; Thời trang&gt; By Nhãn hiệu&gt; đã&gt; Đông Boy</v>
      </c>
      <c r="F72" t="str">
        <f t="shared" ca="1" si="1"/>
        <v>"2084050178" : "Đông Boy",</v>
      </c>
    </row>
    <row r="73" spans="1:6" ht="15.75" customHeight="1">
      <c r="A73" s="18">
        <v>2084314315</v>
      </c>
      <c r="B73" s="18" t="s">
        <v>9022</v>
      </c>
      <c r="C73" s="18" t="s">
        <v>9023</v>
      </c>
      <c r="D73" s="5" t="str">
        <f ca="1">IFERROR(__xludf.DUMMYFUNCTION("GOOGLETRANSLATE(B73,""ja"",""vi"")"),"E gạch nối bộ sưu tập thế giới")</f>
        <v>E gạch nối bộ sưu tập thế giới</v>
      </c>
      <c r="E73" s="5" t="str">
        <f ca="1">IFERROR(__xludf.DUMMYFUNCTION("GOOGLETRANSLATE(C73,""ja"",""vi"")"),"Đấu giá&gt; Thời trang&gt; By Nhãn hiệu bộ sưu tập trên thế giới&gt; đã&gt; E gạch nối")</f>
        <v>Đấu giá&gt; Thời trang&gt; By Nhãn hiệu bộ sưu tập trên thế giới&gt; đã&gt; E gạch nối</v>
      </c>
      <c r="F73" t="str">
        <f t="shared" ca="1" si="1"/>
        <v>"2084314315" : "E gạch nối bộ sưu tập thế giới",</v>
      </c>
    </row>
    <row r="74" spans="1:6" ht="15.75" customHeight="1">
      <c r="A74" s="18">
        <v>2084050767</v>
      </c>
      <c r="B74" s="18" t="s">
        <v>9028</v>
      </c>
      <c r="C74" s="18" t="s">
        <v>9029</v>
      </c>
      <c r="D74" s="5" t="str">
        <f ca="1">IFERROR(__xludf.DUMMYFUNCTION("GOOGLETRANSLATE(B74,""ja"",""vi"")"),"Issey Miyake")</f>
        <v>Issey Miyake</v>
      </c>
      <c r="E74" s="5" t="str">
        <f ca="1">IFERROR(__xludf.DUMMYFUNCTION("GOOGLETRANSLATE(C74,""ja"",""vi"")"),"Đấu giá&gt; Thời trang&gt; By Nhãn hiệu&gt; đã&gt; Issey Miyake")</f>
        <v>Đấu giá&gt; Thời trang&gt; By Nhãn hiệu&gt; đã&gt; Issey Miyake</v>
      </c>
      <c r="F74" t="str">
        <f t="shared" ca="1" si="1"/>
        <v>"2084050767" : "Issey Miyake",</v>
      </c>
    </row>
    <row r="75" spans="1:6" ht="15.75" customHeight="1">
      <c r="A75" s="18">
        <v>2084283083</v>
      </c>
      <c r="B75" s="18" t="s">
        <v>9033</v>
      </c>
      <c r="C75" s="18" t="s">
        <v>9034</v>
      </c>
      <c r="D75" s="5" t="str">
        <f ca="1">IFERROR(__xludf.DUMMYFUNCTION("GOOGLETRANSLATE(B75,""ja"",""vi"")"),"Italia")</f>
        <v>Italia</v>
      </c>
      <c r="E75" s="5" t="str">
        <f ca="1">IFERROR(__xludf.DUMMYFUNCTION("GOOGLETRANSLATE(C75,""ja"",""vi"")"),"Đấu giá&gt; Thời trang&gt; By Nhãn hiệu&gt; có&gt; Italia")</f>
        <v>Đấu giá&gt; Thời trang&gt; By Nhãn hiệu&gt; có&gt; Italia</v>
      </c>
      <c r="F75" t="str">
        <f t="shared" ca="1" si="1"/>
        <v>"2084283083" : "Italia",</v>
      </c>
    </row>
    <row r="76" spans="1:6" ht="15.75" customHeight="1">
      <c r="A76" s="18">
        <v>2084024416</v>
      </c>
      <c r="B76" s="18" t="s">
        <v>9038</v>
      </c>
      <c r="C76" s="18" t="s">
        <v>9040</v>
      </c>
      <c r="D76" s="5" t="str">
        <f ca="1">IFERROR(__xludf.DUMMYFUNCTION("GOOGLETRANSLATE(B76,""ja"",""vi"")"),"Ichizawa vải")</f>
        <v>Ichizawa vải</v>
      </c>
      <c r="E76" s="5" t="str">
        <f ca="1">IFERROR(__xludf.DUMMYFUNCTION("GOOGLETRANSLATE(C76,""ja"",""vi"")"),"Đấu giá&gt; Thời trang&gt; By Nhãn hiệu&gt; đã&gt; Ichizawa vải")</f>
        <v>Đấu giá&gt; Thời trang&gt; By Nhãn hiệu&gt; đã&gt; Ichizawa vải</v>
      </c>
      <c r="F76" t="str">
        <f t="shared" ca="1" si="1"/>
        <v>"2084024416" : "Ichizawa vải",</v>
      </c>
    </row>
    <row r="77" spans="1:6" ht="15.75" customHeight="1">
      <c r="A77" s="18">
        <v>2084048658</v>
      </c>
      <c r="B77" s="18" t="s">
        <v>9044</v>
      </c>
      <c r="C77" s="18" t="s">
        <v>9045</v>
      </c>
      <c r="D77" s="5" t="str">
        <f ca="1">IFERROR(__xludf.DUMMYFUNCTION("GOOGLETRANSLATE(B77,""ja"",""vi"")"),"Inedo")</f>
        <v>Inedo</v>
      </c>
      <c r="E77" s="5" t="str">
        <f ca="1">IFERROR(__xludf.DUMMYFUNCTION("GOOGLETRANSLATE(C77,""ja"",""vi"")"),"Đấu giá&gt; Thời trang&gt; By Nhãn hiệu&gt; có&gt; Inedo")</f>
        <v>Đấu giá&gt; Thời trang&gt; By Nhãn hiệu&gt; có&gt; Inedo</v>
      </c>
      <c r="F77" t="str">
        <f t="shared" ca="1" si="1"/>
        <v>"2084048658" : "Inedo",</v>
      </c>
    </row>
    <row r="78" spans="1:6" ht="15.75" customHeight="1">
      <c r="A78" s="18">
        <v>2084048663</v>
      </c>
      <c r="B78" s="18" t="s">
        <v>9050</v>
      </c>
      <c r="C78" s="18" t="s">
        <v>9051</v>
      </c>
      <c r="D78" s="5" t="str">
        <f ca="1">IFERROR(__xludf.DUMMYFUNCTION("GOOGLETRANSLATE(B78,""ja"",""vi"")"),"Yves Saint Laurent")</f>
        <v>Yves Saint Laurent</v>
      </c>
      <c r="E78" s="5" t="str">
        <f ca="1">IFERROR(__xludf.DUMMYFUNCTION("GOOGLETRANSLATE(C78,""ja"",""vi"")"),"Đấu giá&gt; Thời trang&gt; By Nhãn hiệu&gt; đã&gt; Yves Saint Laurent")</f>
        <v>Đấu giá&gt; Thời trang&gt; By Nhãn hiệu&gt; đã&gt; Yves Saint Laurent</v>
      </c>
      <c r="F78" t="str">
        <f t="shared" ca="1" si="1"/>
        <v>"2084048663" : "Yves Saint Laurent",</v>
      </c>
    </row>
    <row r="79" spans="1:6" ht="15.75" customHeight="1">
      <c r="A79" s="18">
        <v>2084229925</v>
      </c>
      <c r="B79" s="18" t="s">
        <v>9055</v>
      </c>
      <c r="C79" s="18" t="s">
        <v>9056</v>
      </c>
      <c r="D79" s="5" t="str">
        <f ca="1">IFERROR(__xludf.DUMMYFUNCTION("GOOGLETRANSLATE(B79,""ja"",""vi"")"),"Imaje")</f>
        <v>Imaje</v>
      </c>
      <c r="E79" s="5" t="str">
        <f ca="1">IFERROR(__xludf.DUMMYFUNCTION("GOOGLETRANSLATE(C79,""ja"",""vi"")"),"Đấu giá&gt; Thời trang&gt; By Nhãn hiệu&gt; có&gt; Imaje")</f>
        <v>Đấu giá&gt; Thời trang&gt; By Nhãn hiệu&gt; có&gt; Imaje</v>
      </c>
      <c r="F79" t="str">
        <f t="shared" ca="1" si="1"/>
        <v>"2084229925" : "Imaje",</v>
      </c>
    </row>
    <row r="80" spans="1:6" ht="15.75" customHeight="1">
      <c r="A80" s="18">
        <v>2084210892</v>
      </c>
      <c r="B80" s="18" t="s">
        <v>9060</v>
      </c>
      <c r="C80" s="18" t="s">
        <v>9062</v>
      </c>
      <c r="D80" s="5" t="str">
        <f ca="1">IFERROR(__xludf.DUMMYFUNCTION("GOOGLETRANSLATE(B80,""ja"",""vi"")"),"Irubizonte")</f>
        <v>Irubizonte</v>
      </c>
      <c r="E80" s="5" t="str">
        <f ca="1">IFERROR(__xludf.DUMMYFUNCTION("GOOGLETRANSLATE(C80,""ja"",""vi"")"),"Đấu giá&gt; Thời trang&gt; By Nhãn hiệu&gt; có&gt; Irubizonte")</f>
        <v>Đấu giá&gt; Thời trang&gt; By Nhãn hiệu&gt; có&gt; Irubizonte</v>
      </c>
      <c r="F80" t="str">
        <f t="shared" ca="1" si="1"/>
        <v>"2084210892" : "Irubizonte",</v>
      </c>
    </row>
    <row r="81" spans="1:6" ht="15.75" customHeight="1">
      <c r="A81" s="18">
        <v>2084048659</v>
      </c>
      <c r="B81" s="18" t="s">
        <v>9065</v>
      </c>
      <c r="C81" s="18" t="s">
        <v>9067</v>
      </c>
      <c r="D81" s="5" t="str">
        <f ca="1">IFERROR(__xludf.DUMMYFUNCTION("GOOGLETRANSLATE(B81,""ja"",""vi"")"),"In'e")</f>
        <v>In'e</v>
      </c>
      <c r="E81" s="5" t="str">
        <f ca="1">IFERROR(__xludf.DUMMYFUNCTION("GOOGLETRANSLATE(C81,""ja"",""vi"")"),"Đấu giá&gt; Thời trang&gt; By Nhãn hiệu&gt; có&gt; In'e")</f>
        <v>Đấu giá&gt; Thời trang&gt; By Nhãn hiệu&gt; có&gt; In'e</v>
      </c>
      <c r="F81" t="str">
        <f t="shared" ca="1" si="1"/>
        <v>"2084048659" : "In'e",</v>
      </c>
    </row>
    <row r="82" spans="1:6" ht="15.75" customHeight="1">
      <c r="A82" s="18">
        <v>2084054710</v>
      </c>
      <c r="B82" s="18" t="s">
        <v>9070</v>
      </c>
      <c r="C82" s="18" t="s">
        <v>9071</v>
      </c>
      <c r="D82" s="5" t="str">
        <f ca="1">IFERROR(__xludf.DUMMYFUNCTION("GOOGLETRANSLATE(B82,""ja"",""vi"")"),"Queuing")</f>
        <v>Queuing</v>
      </c>
      <c r="E82" s="5" t="str">
        <f ca="1">IFERROR(__xludf.DUMMYFUNCTION("GOOGLETRANSLATE(C82,""ja"",""vi"")"),"Đấu giá&gt; Thời trang&gt; By Nhãn hiệu&gt; có&gt; xếp hàng")</f>
        <v>Đấu giá&gt; Thời trang&gt; By Nhãn hiệu&gt; có&gt; xếp hàng</v>
      </c>
      <c r="F82" t="str">
        <f t="shared" ca="1" si="1"/>
        <v>"2084054710" : "Queuing",</v>
      </c>
    </row>
    <row r="83" spans="1:6" ht="15.75" customHeight="1">
      <c r="A83" s="18">
        <v>2084261445</v>
      </c>
      <c r="B83" s="18" t="s">
        <v>9075</v>
      </c>
      <c r="C83" s="18" t="s">
        <v>9076</v>
      </c>
      <c r="D83" s="5" t="str">
        <f ca="1">IFERROR(__xludf.DUMMYFUNCTION("GOOGLETRANSLATE(B83,""ja"",""vi"")"),"Ingeborg")</f>
        <v>Ingeborg</v>
      </c>
      <c r="E83" s="5" t="str">
        <f ca="1">IFERROR(__xludf.DUMMYFUNCTION("GOOGLETRANSLATE(C83,""ja"",""vi"")"),"Đấu giá&gt; Thời trang&gt; By Nhãn hiệu&gt; có&gt; Ingeborg")</f>
        <v>Đấu giá&gt; Thời trang&gt; By Nhãn hiệu&gt; có&gt; Ingeborg</v>
      </c>
      <c r="F83" t="str">
        <f t="shared" ca="1" si="1"/>
        <v>"2084261445" : "Ingeborg",</v>
      </c>
    </row>
    <row r="84" spans="1:6" ht="15.75" customHeight="1">
      <c r="A84" s="18">
        <v>2084314559</v>
      </c>
      <c r="B84" s="18" t="s">
        <v>9080</v>
      </c>
      <c r="C84" s="18" t="s">
        <v>9081</v>
      </c>
      <c r="D84" s="5" t="str">
        <f ca="1">IFERROR(__xludf.DUMMYFUNCTION("GOOGLETRANSLATE(B84,""ja"",""vi"")"),"Inco Tex")</f>
        <v>Inco Tex</v>
      </c>
      <c r="E84" s="5" t="str">
        <f ca="1">IFERROR(__xludf.DUMMYFUNCTION("GOOGLETRANSLATE(C84,""ja"",""vi"")"),"Đấu giá&gt; Thời trang&gt; By Nhãn hiệu&gt; đã&gt; Inco Tex")</f>
        <v>Đấu giá&gt; Thời trang&gt; By Nhãn hiệu&gt; đã&gt; Inco Tex</v>
      </c>
      <c r="F84" t="str">
        <f t="shared" ca="1" si="1"/>
        <v>"2084314559" : "Inco Tex",</v>
      </c>
    </row>
    <row r="85" spans="1:6" ht="15.75" customHeight="1">
      <c r="A85" s="18">
        <v>2084050180</v>
      </c>
      <c r="B85" s="18" t="s">
        <v>9086</v>
      </c>
      <c r="C85" s="18" t="s">
        <v>9089</v>
      </c>
      <c r="D85" s="5" t="str">
        <f ca="1">IFERROR(__xludf.DUMMYFUNCTION("GOOGLETRANSLATE(B85,""ja"",""vi"")"),"liên Planet")</f>
        <v>liên Planet</v>
      </c>
      <c r="E85" s="5" t="str">
        <f ca="1">IFERROR(__xludf.DUMMYFUNCTION("GOOGLETRANSLATE(C85,""ja"",""vi"")"),"Đấu giá&gt; Thời trang&gt; By Nhãn hiệu&gt; đã&gt; liên Planet")</f>
        <v>Đấu giá&gt; Thời trang&gt; By Nhãn hiệu&gt; đã&gt; liên Planet</v>
      </c>
      <c r="F85" t="str">
        <f t="shared" ca="1" si="1"/>
        <v>"2084050180" : "liên Planet",</v>
      </c>
    </row>
    <row r="86" spans="1:6" ht="15.75" customHeight="1">
      <c r="A86" s="18">
        <v>2084050181</v>
      </c>
      <c r="B86" s="18" t="s">
        <v>9091</v>
      </c>
      <c r="C86" s="18" t="s">
        <v>9094</v>
      </c>
      <c r="D86" s="5" t="str">
        <f ca="1">IFERROR(__xludf.DUMMYFUNCTION("GOOGLETRANSLATE(B86,""ja"",""vi"")"),"chu kỳ động cơ Ấn Độ")</f>
        <v>chu kỳ động cơ Ấn Độ</v>
      </c>
      <c r="E86" s="5" t="str">
        <f ca="1">IFERROR(__xludf.DUMMYFUNCTION("GOOGLETRANSLATE(C86,""ja"",""vi"")"),"Đấu giá&gt; Thời trang&gt; By Nhãn hiệu&gt; đã&gt; chu kỳ động cơ Ấn Độ")</f>
        <v>Đấu giá&gt; Thời trang&gt; By Nhãn hiệu&gt; đã&gt; chu kỳ động cơ Ấn Độ</v>
      </c>
      <c r="F86" t="str">
        <f t="shared" ca="1" si="1"/>
        <v>"2084050181" : "chu kỳ động cơ Ấn Độ",</v>
      </c>
    </row>
    <row r="87" spans="1:6" ht="15.75" customHeight="1">
      <c r="A87" s="18">
        <v>2084048661</v>
      </c>
      <c r="B87" s="18" t="s">
        <v>9096</v>
      </c>
      <c r="C87" s="18" t="s">
        <v>9098</v>
      </c>
      <c r="D87" s="5" t="str">
        <f ca="1">IFERROR(__xludf.DUMMYFUNCTION("GOOGLETRANSLATE(B87,""ja"",""vi"")"),"Indivi")</f>
        <v>Indivi</v>
      </c>
      <c r="E87" s="5" t="str">
        <f ca="1">IFERROR(__xludf.DUMMYFUNCTION("GOOGLETRANSLATE(C87,""ja"",""vi"")"),"Đấu giá&gt; Thời trang&gt; By Nhãn hiệu&gt; có&gt; Indivi")</f>
        <v>Đấu giá&gt; Thời trang&gt; By Nhãn hiệu&gt; có&gt; Indivi</v>
      </c>
      <c r="F87" t="str">
        <f t="shared" ca="1" si="1"/>
        <v>"2084048661" : "Indivi",</v>
      </c>
    </row>
    <row r="88" spans="1:6" ht="15.75" customHeight="1">
      <c r="A88" s="18">
        <v>2084236945</v>
      </c>
      <c r="B88" s="18" t="s">
        <v>9103</v>
      </c>
      <c r="C88" s="18" t="s">
        <v>9105</v>
      </c>
      <c r="D88" s="5" t="str">
        <f ca="1">IFERROR(__xludf.DUMMYFUNCTION("GOOGLETRANSLATE(B88,""ja"",""vi"")"),"cư dân")</f>
        <v>cư dân</v>
      </c>
      <c r="E88" s="5" t="str">
        <f ca="1">IFERROR(__xludf.DUMMYFUNCTION("GOOGLETRANSLATE(C88,""ja"",""vi"")"),"Đấu giá&gt; Thời trang&gt; By Nhãn hiệu&gt; có&gt; cư dân")</f>
        <v>Đấu giá&gt; Thời trang&gt; By Nhãn hiệu&gt; có&gt; cư dân</v>
      </c>
      <c r="F88" t="str">
        <f t="shared" ca="1" si="1"/>
        <v>"2084236945" : "cư dân",</v>
      </c>
    </row>
    <row r="89" spans="1:6" ht="15.75" customHeight="1">
      <c r="A89" s="18">
        <v>2084229264</v>
      </c>
      <c r="B89" s="18" t="s">
        <v>9111</v>
      </c>
      <c r="C89" s="18" t="s">
        <v>9113</v>
      </c>
      <c r="D89" s="5" t="str">
        <f ca="1">IFERROR(__xludf.DUMMYFUNCTION("GOOGLETRANSLATE(B89,""ja"",""vi"")"),"invar Alan")</f>
        <v>invar Alan</v>
      </c>
      <c r="E89" s="5" t="str">
        <f ca="1">IFERROR(__xludf.DUMMYFUNCTION("GOOGLETRANSLATE(C89,""ja"",""vi"")"),"Đấu giá&gt; Thời trang&gt; By Nhãn hiệu&gt; đã&gt; Invar Alan")</f>
        <v>Đấu giá&gt; Thời trang&gt; By Nhãn hiệu&gt; đã&gt; Invar Alan</v>
      </c>
      <c r="F89" t="str">
        <f t="shared" ca="1" si="1"/>
        <v>"2084229264" : "invar Alan",</v>
      </c>
    </row>
    <row r="90" spans="1:6" ht="15.75" customHeight="1">
      <c r="A90" s="18">
        <v>2084238777</v>
      </c>
      <c r="B90" s="18" t="s">
        <v>9117</v>
      </c>
      <c r="C90" s="18" t="s">
        <v>9118</v>
      </c>
      <c r="D90" s="5" t="str">
        <f ca="1">IFERROR(__xludf.DUMMYFUNCTION("GOOGLETRANSLATE(B90,""ja"",""vi"")"),"Impaction Eustis Kelly")</f>
        <v>Impaction Eustis Kelly</v>
      </c>
      <c r="E90" s="5" t="str">
        <f ca="1">IFERROR(__xludf.DUMMYFUNCTION("GOOGLETRANSLATE(C90,""ja"",""vi"")"),"Đấu giá&gt; Thời trang&gt; By Nhãn hiệu&gt; đã&gt; impaction Sevilla Kelly")</f>
        <v>Đấu giá&gt; Thời trang&gt; By Nhãn hiệu&gt; đã&gt; impaction Sevilla Kelly</v>
      </c>
      <c r="F90" t="str">
        <f t="shared" ca="1" si="1"/>
        <v>"2084238777" : "Impaction Eustis Kelly",</v>
      </c>
    </row>
    <row r="91" spans="1:6" ht="15.75" customHeight="1">
      <c r="A91" s="18">
        <v>2084285615</v>
      </c>
      <c r="B91" s="18" t="s">
        <v>46</v>
      </c>
      <c r="C91" s="18" t="s">
        <v>9123</v>
      </c>
      <c r="D91" s="5" t="str">
        <f ca="1">IFERROR(__xludf.DUMMYFUNCTION("GOOGLETRANSLATE(B91,""ja"",""vi"")"),"nếu không thì")</f>
        <v>nếu không thì</v>
      </c>
      <c r="E91" s="5" t="str">
        <f ca="1">IFERROR(__xludf.DUMMYFUNCTION("GOOGLETRANSLATE(C91,""ja"",""vi"")"),"Đấu giá&gt; Thời trang&gt; By Nhãn hiệu&gt; có&gt; Khác")</f>
        <v>Đấu giá&gt; Thời trang&gt; By Nhãn hiệu&gt; có&gt; Khác</v>
      </c>
      <c r="F91" t="str">
        <f t="shared" ca="1" si="1"/>
        <v>"2084285615" : "nếu không thì",</v>
      </c>
    </row>
    <row r="92" spans="1:6" ht="15.75" customHeight="1">
      <c r="A92" s="18">
        <v>2084283084</v>
      </c>
      <c r="B92" s="18" t="s">
        <v>9126</v>
      </c>
      <c r="C92" s="18" t="s">
        <v>9127</v>
      </c>
      <c r="D92" s="5" t="str">
        <f ca="1">IFERROR(__xludf.DUMMYFUNCTION("GOOGLETRANSLATE(B92,""ja"",""vi"")"),"22 Octobre")</f>
        <v>22 Octobre</v>
      </c>
      <c r="E92" s="5" t="str">
        <f ca="1">IFERROR(__xludf.DUMMYFUNCTION("GOOGLETRANSLATE(C92,""ja"",""vi"")"),"Đấu giá&gt; Thời trang&gt; By Nhãn hiệu&gt; chim cốc&gt; 22 Octobre")</f>
        <v>Đấu giá&gt; Thời trang&gt; By Nhãn hiệu&gt; chim cốc&gt; 22 Octobre</v>
      </c>
      <c r="F92" t="str">
        <f t="shared" ca="1" si="1"/>
        <v>"2084283084" : "22 Octobre",</v>
      </c>
    </row>
    <row r="93" spans="1:6" ht="15.75" customHeight="1">
      <c r="A93" s="18">
        <v>2084258412</v>
      </c>
      <c r="B93" s="18" t="s">
        <v>9131</v>
      </c>
      <c r="C93" s="18" t="s">
        <v>9134</v>
      </c>
      <c r="D93" s="5" t="str">
        <f ca="1">IFERROR(__xludf.DUMMYFUNCTION("GOOGLETRANSLATE(B93,""ja"",""vi"")"),"PHÍ PHẠM HAI LẦN")</f>
        <v>PHÍ PHẠM HAI LẦN</v>
      </c>
      <c r="E93" s="5" t="str">
        <f ca="1">IFERROR(__xludf.DUMMYFUNCTION("GOOGLETRANSLATE(C93,""ja"",""vi"")"),"Đấu giá&gt; Thời trang&gt; By Nhãn hiệu&gt; chim cốc&gt; PHÍ PHẠM HAI LẦN")</f>
        <v>Đấu giá&gt; Thời trang&gt; By Nhãn hiệu&gt; chim cốc&gt; PHÍ PHẠM HAI LẦN</v>
      </c>
      <c r="F93" t="str">
        <f t="shared" ca="1" si="1"/>
        <v>"2084258412" : "PHÍ PHẠM HAI LẦN",</v>
      </c>
    </row>
    <row r="94" spans="1:6" ht="15.75" customHeight="1">
      <c r="A94" s="18">
        <v>2084301234</v>
      </c>
      <c r="B94" s="18" t="s">
        <v>9136</v>
      </c>
      <c r="C94" s="18" t="s">
        <v>9138</v>
      </c>
      <c r="D94" s="5" t="str">
        <f ca="1">IFERROR(__xludf.DUMMYFUNCTION("GOOGLETRANSLATE(B94,""ja"",""vi"")"),"Wego")</f>
        <v>Wego</v>
      </c>
      <c r="E94" s="5" t="str">
        <f ca="1">IFERROR(__xludf.DUMMYFUNCTION("GOOGLETRANSLATE(C94,""ja"",""vi"")"),"Đấu giá&gt; Thời trang&gt; By Nhãn hiệu&gt; chim cốc&gt; Wego")</f>
        <v>Đấu giá&gt; Thời trang&gt; By Nhãn hiệu&gt; chim cốc&gt; Wego</v>
      </c>
      <c r="F94" t="str">
        <f t="shared" ca="1" si="1"/>
        <v>"2084301234" : "Wego",</v>
      </c>
    </row>
    <row r="95" spans="1:6" ht="15.75" customHeight="1">
      <c r="A95" s="18">
        <v>2084298366</v>
      </c>
      <c r="B95" s="18" t="s">
        <v>9141</v>
      </c>
      <c r="C95" s="18" t="s">
        <v>9142</v>
      </c>
      <c r="D95" s="5" t="str">
        <f ca="1">IFERROR(__xludf.DUMMYFUNCTION("GOOGLETRANSLATE(B95,""ja"",""vi"")"),"WeSC")</f>
        <v>WeSC</v>
      </c>
      <c r="E95" s="5" t="str">
        <f ca="1">IFERROR(__xludf.DUMMYFUNCTION("GOOGLETRANSLATE(C95,""ja"",""vi"")"),"Đấu giá&gt; Thời trang&gt; By Nhãn hiệu&gt; chim cốc&gt; WeSC")</f>
        <v>Đấu giá&gt; Thời trang&gt; By Nhãn hiệu&gt; chim cốc&gt; WeSC</v>
      </c>
      <c r="F95" t="str">
        <f t="shared" ca="1" si="1"/>
        <v>"2084298366" : "WeSC",</v>
      </c>
    </row>
    <row r="96" spans="1:6" ht="15.75" customHeight="1">
      <c r="A96" s="18">
        <v>2084058191</v>
      </c>
      <c r="B96" s="18" t="s">
        <v>9146</v>
      </c>
      <c r="C96" s="18" t="s">
        <v>9147</v>
      </c>
      <c r="D96" s="5" t="str">
        <f ca="1">IFERROR(__xludf.DUMMYFUNCTION("GOOGLETRANSLATE(B96,""ja"",""vi"")"),"kho")</f>
        <v>kho</v>
      </c>
      <c r="E96" s="5" t="str">
        <f ca="1">IFERROR(__xludf.DUMMYFUNCTION("GOOGLETRANSLATE(C96,""ja"",""vi"")"),"Đấu giá&gt; Thời trang&gt; By Nhãn hiệu&gt; chim cốc&gt; kho")</f>
        <v>Đấu giá&gt; Thời trang&gt; By Nhãn hiệu&gt; chim cốc&gt; kho</v>
      </c>
      <c r="F96" t="str">
        <f t="shared" ca="1" si="1"/>
        <v>"2084058191" : "kho",</v>
      </c>
    </row>
    <row r="97" spans="1:6" ht="15.75" customHeight="1">
      <c r="A97" s="18">
        <v>2084232943</v>
      </c>
      <c r="B97" s="18" t="s">
        <v>9151</v>
      </c>
      <c r="C97" s="18" t="s">
        <v>9153</v>
      </c>
      <c r="D97" s="5" t="str">
        <f ca="1">IFERROR(__xludf.DUMMYFUNCTION("GOOGLETRANSLATE(B97,""ja"",""vi"")"),"Wesco")</f>
        <v>Wesco</v>
      </c>
      <c r="E97" s="5" t="str">
        <f ca="1">IFERROR(__xludf.DUMMYFUNCTION("GOOGLETRANSLATE(C97,""ja"",""vi"")"),"Đấu giá&gt; Thời trang&gt; By Nhãn hiệu&gt; chim cốc&gt; Wesco")</f>
        <v>Đấu giá&gt; Thời trang&gt; By Nhãn hiệu&gt; chim cốc&gt; Wesco</v>
      </c>
      <c r="F97" t="str">
        <f t="shared" ca="1" si="1"/>
        <v>"2084232943" : "Wesco",</v>
      </c>
    </row>
    <row r="98" spans="1:6" ht="15.75" customHeight="1">
      <c r="A98" s="18">
        <v>2084050182</v>
      </c>
      <c r="B98" s="18" t="s">
        <v>9156</v>
      </c>
      <c r="C98" s="18" t="s">
        <v>9157</v>
      </c>
      <c r="D98" s="5" t="str">
        <f ca="1">IFERROR(__xludf.DUMMYFUNCTION("GOOGLETRANSLATE(B98,""ja"",""vi"")"),"Vanessa Bruno")</f>
        <v>Vanessa Bruno</v>
      </c>
      <c r="E98" s="5" t="str">
        <f ca="1">IFERROR(__xludf.DUMMYFUNCTION("GOOGLETRANSLATE(C98,""ja"",""vi"")"),"Đấu giá&gt; Thời trang&gt; By Nhãn hiệu&gt; chim cốc&gt; Vanessa Bruno")</f>
        <v>Đấu giá&gt; Thời trang&gt; By Nhãn hiệu&gt; chim cốc&gt; Vanessa Bruno</v>
      </c>
      <c r="F98" t="str">
        <f t="shared" ca="1" si="1"/>
        <v>"2084050182" : "Vanessa Bruno",</v>
      </c>
    </row>
    <row r="99" spans="1:6" ht="15.75" customHeight="1">
      <c r="A99" s="18">
        <v>2084036192</v>
      </c>
      <c r="B99" s="18" t="s">
        <v>9160</v>
      </c>
      <c r="C99" s="18" t="s">
        <v>9162</v>
      </c>
      <c r="D99" s="5" t="str">
        <f ca="1">IFERROR(__xludf.DUMMYFUNCTION("GOOGLETRANSLATE(B99,""ja"",""vi"")"),"Valentino")</f>
        <v>Valentino</v>
      </c>
      <c r="E99" s="5" t="str">
        <f ca="1">IFERROR(__xludf.DUMMYFUNCTION("GOOGLETRANSLATE(C99,""ja"",""vi"")"),"Đấu giá&gt; Thời trang&gt; By Nhãn hiệu&gt; chim cốc&gt; Valentino")</f>
        <v>Đấu giá&gt; Thời trang&gt; By Nhãn hiệu&gt; chim cốc&gt; Valentino</v>
      </c>
      <c r="F99" t="str">
        <f t="shared" ca="1" si="1"/>
        <v>"2084036192" : "Valentino",</v>
      </c>
    </row>
    <row r="100" spans="1:6" ht="15.75" customHeight="1">
      <c r="A100" s="18">
        <v>2084199096</v>
      </c>
      <c r="B100" s="18" t="s">
        <v>9163</v>
      </c>
      <c r="C100" s="18" t="s">
        <v>9165</v>
      </c>
      <c r="D100" s="5" t="str">
        <f ca="1">IFERROR(__xludf.DUMMYFUNCTION("GOOGLETRANSLATE(B100,""ja"",""vi"")"),"Viktor &amp; Rolf")</f>
        <v>Viktor &amp; Rolf</v>
      </c>
      <c r="E100" s="5" t="str">
        <f ca="1">IFERROR(__xludf.DUMMYFUNCTION("GOOGLETRANSLATE(C100,""ja"",""vi"")"),"Đấu giá&gt; Thời trang&gt; By Nhãn hiệu&gt; chim cốc&gt; Viktor &amp; Rolf")</f>
        <v>Đấu giá&gt; Thời trang&gt; By Nhãn hiệu&gt; chim cốc&gt; Viktor &amp; Rolf</v>
      </c>
      <c r="F100" t="str">
        <f t="shared" ca="1" si="1"/>
        <v>"2084199096" : "Viktor &amp; Rolf",</v>
      </c>
    </row>
    <row r="101" spans="1:6" ht="15.75" customHeight="1">
      <c r="A101" s="18">
        <v>2084243975</v>
      </c>
      <c r="B101" s="18" t="s">
        <v>9168</v>
      </c>
      <c r="C101" s="18" t="s">
        <v>9170</v>
      </c>
      <c r="D101" s="5" t="str">
        <f ca="1">IFERROR(__xludf.DUMMYFUNCTION("GOOGLETRANSLATE(B101,""ja"",""vi"")"),"Victoria 's Secret")</f>
        <v>Victoria 's Secret</v>
      </c>
      <c r="E101" s="5" t="str">
        <f ca="1">IFERROR(__xludf.DUMMYFUNCTION("GOOGLETRANSLATE(C101,""ja"",""vi"")"),"Đấu giá&gt; Thời trang&gt; By Nhãn hiệu&gt; chim cốc&gt; Victoria 's Secret")</f>
        <v>Đấu giá&gt; Thời trang&gt; By Nhãn hiệu&gt; chim cốc&gt; Victoria 's Secret</v>
      </c>
      <c r="F101" t="str">
        <f t="shared" ca="1" si="1"/>
        <v>"2084243975" : "Victoria 's Secret",</v>
      </c>
    </row>
    <row r="102" spans="1:6" ht="15.75" customHeight="1">
      <c r="A102" s="18">
        <v>2084050184</v>
      </c>
      <c r="B102" s="18" t="s">
        <v>9172</v>
      </c>
      <c r="C102" s="18" t="s">
        <v>9173</v>
      </c>
      <c r="D102" s="5" t="str">
        <f ca="1">IFERROR(__xludf.DUMMYFUNCTION("GOOGLETRANSLATE(B102,""ja"",""vi"")"),"thị lực")</f>
        <v>thị lực</v>
      </c>
      <c r="E102" s="5" t="str">
        <f ca="1">IFERROR(__xludf.DUMMYFUNCTION("GOOGLETRANSLATE(C102,""ja"",""vi"")"),"Đấu giá&gt; Thời trang&gt; By Nhãn hiệu&gt; chim cốc&gt; tầm nhìn")</f>
        <v>Đấu giá&gt; Thời trang&gt; By Nhãn hiệu&gt; chim cốc&gt; tầm nhìn</v>
      </c>
      <c r="F102" t="str">
        <f t="shared" ca="1" si="1"/>
        <v>"2084050184" : "thị lực",</v>
      </c>
    </row>
    <row r="103" spans="1:6" ht="15.75" customHeight="1">
      <c r="A103" s="18">
        <v>2084048595</v>
      </c>
      <c r="B103" s="18" t="s">
        <v>9176</v>
      </c>
      <c r="C103" s="18" t="s">
        <v>9177</v>
      </c>
      <c r="D103" s="5" t="str">
        <f ca="1">IFERROR(__xludf.DUMMYFUNCTION("GOOGLETRANSLATE(B103,""ja"",""vi"")"),"Vivienne Westwood")</f>
        <v>Vivienne Westwood</v>
      </c>
      <c r="E103" s="5" t="str">
        <f ca="1">IFERROR(__xludf.DUMMYFUNCTION("GOOGLETRANSLATE(C103,""ja"",""vi"")"),"Đấu giá&gt; Thời trang&gt; By Nhãn hiệu&gt; chim cốc&gt; Vivienne Westwood")</f>
        <v>Đấu giá&gt; Thời trang&gt; By Nhãn hiệu&gt; chim cốc&gt; Vivienne Westwood</v>
      </c>
      <c r="F103" t="str">
        <f t="shared" ca="1" si="1"/>
        <v>"2084048595" : "Vivienne Westwood",</v>
      </c>
    </row>
    <row r="104" spans="1:6" ht="15.75" customHeight="1">
      <c r="A104" s="18">
        <v>2084050183</v>
      </c>
      <c r="B104" s="18" t="s">
        <v>9182</v>
      </c>
      <c r="C104" s="18" t="s">
        <v>9183</v>
      </c>
      <c r="D104" s="5" t="str">
        <f ca="1">IFERROR(__xludf.DUMMYFUNCTION("GOOGLETRANSLATE(B104,""ja"",""vi"")"),"Vivienne Tam")</f>
        <v>Vivienne Tam</v>
      </c>
      <c r="E104" s="5" t="str">
        <f ca="1">IFERROR(__xludf.DUMMYFUNCTION("GOOGLETRANSLATE(C104,""ja"",""vi"")"),"Đấu giá&gt; Thời trang&gt; By Nhãn hiệu&gt; chim cốc&gt; Vivienne Tam")</f>
        <v>Đấu giá&gt; Thời trang&gt; By Nhãn hiệu&gt; chim cốc&gt; Vivienne Tam</v>
      </c>
      <c r="F104" t="str">
        <f t="shared" ca="1" si="1"/>
        <v>"2084050183" : "Vivienne Tam",</v>
      </c>
    </row>
    <row r="105" spans="1:6" ht="15.75" customHeight="1">
      <c r="A105" s="18">
        <v>2084054575</v>
      </c>
      <c r="B105" s="18" t="s">
        <v>9185</v>
      </c>
      <c r="C105" s="18" t="s">
        <v>9187</v>
      </c>
      <c r="D105" s="5" t="str">
        <f ca="1">IFERROR(__xludf.DUMMYFUNCTION("GOOGLETRANSLATE(B105,""ja"",""vi"")"),"Veil khiêu vũ")</f>
        <v>Veil khiêu vũ</v>
      </c>
      <c r="E105" s="5" t="str">
        <f ca="1">IFERROR(__xludf.DUMMYFUNCTION("GOOGLETRANSLATE(C105,""ja"",""vi"")"),"Đấu giá&gt; Thời trang&gt; By Nhãn hiệu&gt; chim cốc&gt; bức màn khiêu vũ")</f>
        <v>Đấu giá&gt; Thời trang&gt; By Nhãn hiệu&gt; chim cốc&gt; bức màn khiêu vũ</v>
      </c>
      <c r="F105" t="str">
        <f t="shared" ca="1" si="1"/>
        <v>"2084054575" : "Veil khiêu vũ",</v>
      </c>
    </row>
    <row r="106" spans="1:6" ht="15.75" customHeight="1">
      <c r="A106" s="18">
        <v>2084048596</v>
      </c>
      <c r="B106" s="18" t="s">
        <v>9191</v>
      </c>
      <c r="C106" s="18" t="s">
        <v>9192</v>
      </c>
      <c r="D106" s="5" t="str">
        <f ca="1">IFERROR(__xludf.DUMMYFUNCTION("GOOGLETRANSLATE(B106,""ja"",""vi"")"),"Versace")</f>
        <v>Versace</v>
      </c>
      <c r="E106" s="5" t="str">
        <f ca="1">IFERROR(__xludf.DUMMYFUNCTION("GOOGLETRANSLATE(C106,""ja"",""vi"")"),"Đấu giá&gt; Thời trang&gt; By Nhãn hiệu&gt; chim cốc&gt; Versace")</f>
        <v>Đấu giá&gt; Thời trang&gt; By Nhãn hiệu&gt; chim cốc&gt; Versace</v>
      </c>
      <c r="F106" t="str">
        <f t="shared" ca="1" si="1"/>
        <v>"2084048596" : "Versace",</v>
      </c>
    </row>
    <row r="107" spans="1:6" ht="15.75" customHeight="1">
      <c r="A107" s="18">
        <v>2084205005</v>
      </c>
      <c r="B107" s="18" t="s">
        <v>9196</v>
      </c>
      <c r="C107" s="18" t="s">
        <v>9197</v>
      </c>
      <c r="D107" s="5" t="str">
        <f ca="1">IFERROR(__xludf.DUMMYFUNCTION("GOOGLETRANSLATE(B107,""ja"",""vi"")"),"Veronique Burankino")</f>
        <v>Veronique Burankino</v>
      </c>
      <c r="E107" s="5" t="str">
        <f ca="1">IFERROR(__xludf.DUMMYFUNCTION("GOOGLETRANSLATE(C107,""ja"",""vi"")"),"Đấu giá&gt; Thời trang&gt; By Nhãn hiệu&gt; chim cốc&gt; Veronique Burankino")</f>
        <v>Đấu giá&gt; Thời trang&gt; By Nhãn hiệu&gt; chim cốc&gt; Veronique Burankino</v>
      </c>
      <c r="F107" t="str">
        <f t="shared" ca="1" si="1"/>
        <v>"2084205005" : "Veronique Burankino",</v>
      </c>
    </row>
    <row r="108" spans="1:6" ht="15.75" customHeight="1">
      <c r="A108" s="18">
        <v>2084298371</v>
      </c>
      <c r="B108" s="18" t="s">
        <v>9201</v>
      </c>
      <c r="C108" s="18" t="s">
        <v>9202</v>
      </c>
      <c r="D108" s="5" t="str">
        <f ca="1">IFERROR(__xludf.DUMMYFUNCTION("GOOGLETRANSLATE(B108,""ja"",""vi"")"),"Ungaro")</f>
        <v>Ungaro</v>
      </c>
      <c r="E108" s="5" t="str">
        <f ca="1">IFERROR(__xludf.DUMMYFUNCTION("GOOGLETRANSLATE(C108,""ja"",""vi"")"),"Đấu giá&gt; Thời trang&gt; By Nhãn hiệu&gt; chim cốc&gt; Ungaro")</f>
        <v>Đấu giá&gt; Thời trang&gt; By Nhãn hiệu&gt; chim cốc&gt; Ungaro</v>
      </c>
      <c r="F108" t="str">
        <f t="shared" ca="1" si="1"/>
        <v>"2084298371" : "Ungaro",</v>
      </c>
    </row>
    <row r="109" spans="1:6" ht="15.75" customHeight="1">
      <c r="A109" s="18">
        <v>2084285630</v>
      </c>
      <c r="B109" s="18" t="s">
        <v>46</v>
      </c>
      <c r="C109" s="18" t="s">
        <v>9205</v>
      </c>
      <c r="D109" s="5" t="str">
        <f ca="1">IFERROR(__xludf.DUMMYFUNCTION("GOOGLETRANSLATE(B109,""ja"",""vi"")"),"nếu không thì")</f>
        <v>nếu không thì</v>
      </c>
      <c r="E109" s="5" t="str">
        <f ca="1">IFERROR(__xludf.DUMMYFUNCTION("GOOGLETRANSLATE(C109,""ja"",""vi"")"),"Đấu giá&gt; Thời trang&gt; By Nhãn hiệu&gt; chim cốc&gt; Khác")</f>
        <v>Đấu giá&gt; Thời trang&gt; By Nhãn hiệu&gt; chim cốc&gt; Khác</v>
      </c>
      <c r="F109" t="str">
        <f t="shared" ca="1" si="1"/>
        <v>"2084285630" : "nếu không thì",</v>
      </c>
    </row>
    <row r="110" spans="1:6" ht="15.75" customHeight="1">
      <c r="A110" s="18">
        <v>2084230541</v>
      </c>
      <c r="B110" s="18" t="s">
        <v>9209</v>
      </c>
      <c r="C110" s="18" t="s">
        <v>9210</v>
      </c>
      <c r="D110" s="5" t="str">
        <f ca="1">IFERROR(__xludf.DUMMYFUNCTION("GOOGLETRANSLATE(B110,""ja"",""vi"")"),"AFFA")</f>
        <v>AFFA</v>
      </c>
      <c r="E110" s="5" t="str">
        <f ca="1">IFERROR(__xludf.DUMMYFUNCTION("GOOGLETRANSLATE(C110,""ja"",""vi"")"),"Đấu giá&gt; Thời trang&gt; By Nhãn hiệu&gt; e&gt; AFFA")</f>
        <v>Đấu giá&gt; Thời trang&gt; By Nhãn hiệu&gt; e&gt; AFFA</v>
      </c>
      <c r="F110" t="str">
        <f t="shared" ca="1" si="1"/>
        <v>"2084230541" : "AFFA",</v>
      </c>
    </row>
    <row r="111" spans="1:6" ht="15.75" customHeight="1">
      <c r="A111" s="18">
        <v>2084061917</v>
      </c>
      <c r="B111" s="18" t="s">
        <v>9214</v>
      </c>
      <c r="C111" s="18" t="s">
        <v>9215</v>
      </c>
      <c r="D111" s="5" t="str">
        <f ca="1">IFERROR(__xludf.DUMMYFUNCTION("GOOGLETRANSLATE(B111,""ja"",""vi"")"),"A &amp; G")</f>
        <v>A &amp; G</v>
      </c>
      <c r="E111" s="5" t="str">
        <f ca="1">IFERROR(__xludf.DUMMYFUNCTION("GOOGLETRANSLATE(C111,""ja"",""vi"")"),"Đấu giá&gt; Thời trang&gt; By Nhãn hiệu&gt; e&gt; A &amp; G")</f>
        <v>Đấu giá&gt; Thời trang&gt; By Nhãn hiệu&gt; e&gt; A &amp; G</v>
      </c>
      <c r="F111" t="str">
        <f t="shared" ca="1" si="1"/>
        <v>"2084061917" : "A &amp; G",</v>
      </c>
    </row>
    <row r="112" spans="1:6" ht="15.75" customHeight="1">
      <c r="A112" s="18">
        <v>2084214387</v>
      </c>
      <c r="B112" s="18" t="s">
        <v>9218</v>
      </c>
      <c r="C112" s="18" t="s">
        <v>9220</v>
      </c>
      <c r="D112" s="5" t="str">
        <f ca="1">IFERROR(__xludf.DUMMYFUNCTION("GOOGLETRANSLATE(B112,""ja"",""vi"")"),"H &amp; M")</f>
        <v>H &amp; M</v>
      </c>
      <c r="E112" s="5" t="str">
        <f ca="1">IFERROR(__xludf.DUMMYFUNCTION("GOOGLETRANSLATE(C112,""ja"",""vi"")"),"Đấu giá&gt; Thời trang&gt; By Nhãn hiệu&gt; e&gt; H &amp; M")</f>
        <v>Đấu giá&gt; Thời trang&gt; By Nhãn hiệu&gt; e&gt; H &amp; M</v>
      </c>
      <c r="F112" t="str">
        <f t="shared" ca="1" si="1"/>
        <v>"2084214387" : "H &amp; M",</v>
      </c>
    </row>
    <row r="113" spans="1:6" ht="15.75" customHeight="1">
      <c r="A113" s="18">
        <v>2084226807</v>
      </c>
      <c r="B113" s="18" t="s">
        <v>1693</v>
      </c>
      <c r="C113" s="18" t="s">
        <v>9222</v>
      </c>
      <c r="D113" s="5" t="str">
        <f ca="1">IFERROR(__xludf.DUMMYFUNCTION("GOOGLETRANSLATE(B113,""ja"",""vi"")"),"HTC")</f>
        <v>HTC</v>
      </c>
      <c r="E113" s="5" t="str">
        <f ca="1">IFERROR(__xludf.DUMMYFUNCTION("GOOGLETRANSLATE(C113,""ja"",""vi"")"),"Đấu giá&gt; Thời trang&gt; By Nhãn hiệu&gt; e&gt; HTC")</f>
        <v>Đấu giá&gt; Thời trang&gt; By Nhãn hiệu&gt; e&gt; HTC</v>
      </c>
      <c r="F113" t="str">
        <f t="shared" ca="1" si="1"/>
        <v>"2084226807" : "HTC",</v>
      </c>
    </row>
    <row r="114" spans="1:6" ht="15.75" customHeight="1">
      <c r="A114" s="18">
        <v>2084298369</v>
      </c>
      <c r="B114" s="18" t="s">
        <v>9226</v>
      </c>
      <c r="C114" s="18" t="s">
        <v>9227</v>
      </c>
      <c r="D114" s="5" t="str">
        <f ca="1">IFERROR(__xludf.DUMMYFUNCTION("GOOGLETRANSLATE(B114,""ja"",""vi"")"),"HBG")</f>
        <v>HBG</v>
      </c>
      <c r="E114" s="5" t="str">
        <f ca="1">IFERROR(__xludf.DUMMYFUNCTION("GOOGLETRANSLATE(C114,""ja"",""vi"")"),"Đấu giá&gt; Thời trang&gt; By Nhãn hiệu&gt; e&gt; HBG")</f>
        <v>Đấu giá&gt; Thời trang&gt; By Nhãn hiệu&gt; e&gt; HBG</v>
      </c>
      <c r="F114" t="str">
        <f t="shared" ca="1" si="1"/>
        <v>"2084298369" : "HBG",</v>
      </c>
    </row>
    <row r="115" spans="1:6" ht="15.75" customHeight="1">
      <c r="A115" s="18">
        <v>2084303205</v>
      </c>
      <c r="B115" s="18" t="s">
        <v>9230</v>
      </c>
      <c r="C115" s="18" t="s">
        <v>9232</v>
      </c>
      <c r="D115" s="5" t="str">
        <f ca="1">IFERROR(__xludf.DUMMYFUNCTION("GOOGLETRANSLATE(B115,""ja"",""vi"")"),"Earoposuteru")</f>
        <v>Earoposuteru</v>
      </c>
      <c r="E115" s="5" t="str">
        <f ca="1">IFERROR(__xludf.DUMMYFUNCTION("GOOGLETRANSLATE(C115,""ja"",""vi"")"),"Đấu giá&gt; Thời trang&gt; By Nhãn hiệu&gt; e&gt; Earoposuteru")</f>
        <v>Đấu giá&gt; Thời trang&gt; By Nhãn hiệu&gt; e&gt; Earoposuteru</v>
      </c>
      <c r="F115" t="str">
        <f t="shared" ca="1" si="1"/>
        <v>"2084303205" : "Earoposuteru",</v>
      </c>
    </row>
    <row r="116" spans="1:6" ht="15.75" customHeight="1">
      <c r="A116" s="18">
        <v>2084050187</v>
      </c>
      <c r="B116" s="18" t="s">
        <v>9235</v>
      </c>
      <c r="C116" s="18" t="s">
        <v>9237</v>
      </c>
      <c r="D116" s="5" t="str">
        <f ca="1">IFERROR(__xludf.DUMMYFUNCTION("GOOGLETRANSLATE(B116,""ja"",""vi"")"),"Aero Da")</f>
        <v>Aero Da</v>
      </c>
      <c r="E116" s="5" t="str">
        <f ca="1">IFERROR(__xludf.DUMMYFUNCTION("GOOGLETRANSLATE(C116,""ja"",""vi"")"),"Đấu giá&gt; Thời trang&gt; By Nhãn hiệu&gt; e&gt; Aero Da")</f>
        <v>Đấu giá&gt; Thời trang&gt; By Nhãn hiệu&gt; e&gt; Aero Da</v>
      </c>
      <c r="F116" t="str">
        <f t="shared" ca="1" si="1"/>
        <v>"2084050187" : "Aero Da",</v>
      </c>
    </row>
    <row r="117" spans="1:6" ht="15.75" customHeight="1">
      <c r="A117" s="18">
        <v>2084050188</v>
      </c>
      <c r="B117" s="18" t="s">
        <v>9240</v>
      </c>
      <c r="C117" s="18" t="s">
        <v>9241</v>
      </c>
      <c r="D117" s="5" t="str">
        <f ca="1">IFERROR(__xludf.DUMMYFUNCTION("GOOGLETRANSLATE(B117,""ja"",""vi"")"),"H. Naoto")</f>
        <v>H. Naoto</v>
      </c>
      <c r="E117" s="5" t="str">
        <f ca="1">IFERROR(__xludf.DUMMYFUNCTION("GOOGLETRANSLATE(C117,""ja"",""vi"")"),"Đấu giá&gt; Thời trang&gt; By Nhãn hiệu&gt; e&gt; H. Naoto")</f>
        <v>Đấu giá&gt; Thời trang&gt; By Nhãn hiệu&gt; e&gt; H. Naoto</v>
      </c>
      <c r="F117" t="str">
        <f t="shared" ca="1" si="1"/>
        <v>"2084050188" : "H. Naoto",</v>
      </c>
    </row>
    <row r="118" spans="1:6" ht="15.75" customHeight="1">
      <c r="A118" s="18">
        <v>2084050163</v>
      </c>
      <c r="B118" s="18" t="s">
        <v>9244</v>
      </c>
      <c r="C118" s="18" t="s">
        <v>9247</v>
      </c>
      <c r="D118" s="5" t="str">
        <f ca="1">IFERROR(__xludf.DUMMYFUNCTION("GOOGLETRANSLATE(B118,""ja"",""vi"")"),"APE")</f>
        <v>APE</v>
      </c>
      <c r="E118" s="5" t="str">
        <f ca="1">IFERROR(__xludf.DUMMYFUNCTION("GOOGLETRANSLATE(C118,""ja"",""vi"")"),"Đấu giá&gt; Thời trang&gt; By Nhãn hiệu&gt; e&gt; Ape")</f>
        <v>Đấu giá&gt; Thời trang&gt; By Nhãn hiệu&gt; e&gt; Ape</v>
      </c>
      <c r="F118" t="str">
        <f t="shared" ca="1" si="1"/>
        <v>"2084050163" : "APE",</v>
      </c>
    </row>
    <row r="119" spans="1:6" ht="15.75" customHeight="1">
      <c r="A119" s="18">
        <v>2084226775</v>
      </c>
      <c r="B119" s="18" t="s">
        <v>9250</v>
      </c>
      <c r="C119" s="18" t="s">
        <v>9252</v>
      </c>
      <c r="D119" s="5" t="str">
        <f ca="1">IFERROR(__xludf.DUMMYFUNCTION("GOOGLETRANSLATE(B119,""ja"",""vi"")"),"Aigle")</f>
        <v>Aigle</v>
      </c>
      <c r="E119" s="5" t="str">
        <f ca="1">IFERROR(__xludf.DUMMYFUNCTION("GOOGLETRANSLATE(C119,""ja"",""vi"")"),"Đấu giá&gt; Thời trang&gt; By Nhãn hiệu&gt; e&gt; Aigle")</f>
        <v>Đấu giá&gt; Thời trang&gt; By Nhãn hiệu&gt; e&gt; Aigle</v>
      </c>
      <c r="F119" t="str">
        <f t="shared" ca="1" si="1"/>
        <v>"2084226775" : "Aigle",</v>
      </c>
    </row>
    <row r="120" spans="1:6" ht="15.75" customHeight="1">
      <c r="A120" s="18">
        <v>2084048667</v>
      </c>
      <c r="B120" s="18" t="s">
        <v>9255</v>
      </c>
      <c r="C120" s="18" t="s">
        <v>9258</v>
      </c>
      <c r="D120" s="5" t="str">
        <f ca="1">IFERROR(__xludf.DUMMYFUNCTION("GOOGLETRANSLATE(B120,""ja"",""vi"")"),"cực lớn")</f>
        <v>cực lớn</v>
      </c>
      <c r="E120" s="5" t="str">
        <f ca="1">IFERROR(__xludf.DUMMYFUNCTION("GOOGLETRANSLATE(C120,""ja"",""vi"")"),"Đấu giá&gt; Thời trang&gt; By Nhãn hiệu&gt; e&gt; Extra Large")</f>
        <v>Đấu giá&gt; Thời trang&gt; By Nhãn hiệu&gt; e&gt; Extra Large</v>
      </c>
      <c r="F120" t="str">
        <f t="shared" ca="1" si="1"/>
        <v>"2084048667" : "cực lớn",</v>
      </c>
    </row>
    <row r="121" spans="1:6" ht="15.75" customHeight="1">
      <c r="A121" s="18">
        <v>2084048778</v>
      </c>
      <c r="B121" s="18" t="s">
        <v>9261</v>
      </c>
      <c r="C121" s="18" t="s">
        <v>9263</v>
      </c>
      <c r="D121" s="5" t="str">
        <f ca="1">IFERROR(__xludf.DUMMYFUNCTION("GOOGLETRANSLATE(B121,""ja"",""vi"")"),"người vị kỷ")</f>
        <v>người vị kỷ</v>
      </c>
      <c r="E121" s="5" t="str">
        <f ca="1">IFERROR(__xludf.DUMMYFUNCTION("GOOGLETRANSLATE(C121,""ja"",""vi"")"),"Đấu giá&gt; Thời trang&gt; By Nhãn hiệu&gt; e&gt; Egoist")</f>
        <v>Đấu giá&gt; Thời trang&gt; By Nhãn hiệu&gt; e&gt; Egoist</v>
      </c>
      <c r="F121" t="str">
        <f t="shared" ca="1" si="1"/>
        <v>"2084048778" : "người vị kỷ",</v>
      </c>
    </row>
    <row r="122" spans="1:6" ht="15.75" customHeight="1">
      <c r="A122" s="18">
        <v>2084258854</v>
      </c>
      <c r="B122" s="18" t="s">
        <v>9266</v>
      </c>
      <c r="C122" s="18" t="s">
        <v>9269</v>
      </c>
      <c r="D122" s="5" t="str">
        <f ca="1">IFERROR(__xludf.DUMMYFUNCTION("GOOGLETRANSLATE(B122,""ja"",""vi"")"),"S2W8")</f>
        <v>S2W8</v>
      </c>
      <c r="E122" s="5" t="str">
        <f ca="1">IFERROR(__xludf.DUMMYFUNCTION("GOOGLETRANSLATE(C122,""ja"",""vi"")"),"Đấu giá&gt; Thời trang&gt; By Nhãn hiệu&gt; e&gt; S2W8")</f>
        <v>Đấu giá&gt; Thời trang&gt; By Nhãn hiệu&gt; e&gt; S2W8</v>
      </c>
      <c r="F122" t="str">
        <f t="shared" ca="1" si="1"/>
        <v>"2084258854" : "S2W8",</v>
      </c>
    </row>
    <row r="123" spans="1:6" ht="15.75" customHeight="1">
      <c r="A123" s="18">
        <v>2084283085</v>
      </c>
      <c r="B123" s="18" t="s">
        <v>9272</v>
      </c>
      <c r="C123" s="18" t="s">
        <v>9274</v>
      </c>
      <c r="D123" s="5" t="str">
        <f ca="1">IFERROR(__xludf.DUMMYFUNCTION("GOOGLETRANSLATE(B123,""ja"",""vi"")"),"SPB")</f>
        <v>SPB</v>
      </c>
      <c r="E123" s="5" t="str">
        <f ca="1">IFERROR(__xludf.DUMMYFUNCTION("GOOGLETRANSLATE(C123,""ja"",""vi"")"),"Đấu giá&gt; Thời trang&gt; By Nhãn hiệu&gt; e&gt; SPB")</f>
        <v>Đấu giá&gt; Thời trang&gt; By Nhãn hiệu&gt; e&gt; SPB</v>
      </c>
      <c r="F123" t="str">
        <f t="shared" ca="1" si="1"/>
        <v>"2084283085" : "SPB",</v>
      </c>
    </row>
    <row r="124" spans="1:6" ht="15.75" customHeight="1">
      <c r="A124" s="18">
        <v>2084259142</v>
      </c>
      <c r="B124" s="18" t="s">
        <v>9277</v>
      </c>
      <c r="C124" s="18" t="s">
        <v>9279</v>
      </c>
      <c r="D124" s="5" t="str">
        <f ca="1">IFERROR(__xludf.DUMMYFUNCTION("GOOGLETRANSLATE(B124,""ja"",""vi"")"),"Escada")</f>
        <v>Escada</v>
      </c>
      <c r="E124" s="5" t="str">
        <f ca="1">IFERROR(__xludf.DUMMYFUNCTION("GOOGLETRANSLATE(C124,""ja"",""vi"")"),"Đấu giá&gt; Thời trang&gt; By Nhãn hiệu&gt; e&gt; Escada")</f>
        <v>Đấu giá&gt; Thời trang&gt; By Nhãn hiệu&gt; e&gt; Escada</v>
      </c>
      <c r="F124" t="str">
        <f t="shared" ca="1" si="1"/>
        <v>"2084259142" : "Escada",</v>
      </c>
    </row>
    <row r="125" spans="1:6" ht="15.75" customHeight="1">
      <c r="A125" s="18">
        <v>2084238781</v>
      </c>
      <c r="B125" s="18" t="s">
        <v>9283</v>
      </c>
      <c r="C125" s="18" t="s">
        <v>9285</v>
      </c>
      <c r="D125" s="5" t="str">
        <f ca="1">IFERROR(__xludf.DUMMYFUNCTION("GOOGLETRANSLATE(B125,""ja"",""vi"")"),"Esperanza")</f>
        <v>Esperanza</v>
      </c>
      <c r="E125" s="5" t="str">
        <f ca="1">IFERROR(__xludf.DUMMYFUNCTION("GOOGLETRANSLATE(C125,""ja"",""vi"")"),"Đấu giá&gt; Thời trang&gt; By Nhãn hiệu&gt; e&gt; Esperanza")</f>
        <v>Đấu giá&gt; Thời trang&gt; By Nhãn hiệu&gt; e&gt; Esperanza</v>
      </c>
      <c r="F125" t="str">
        <f t="shared" ca="1" si="1"/>
        <v>"2084238781" : "Esperanza",</v>
      </c>
    </row>
    <row r="126" spans="1:6" ht="15.75" customHeight="1">
      <c r="A126" s="18">
        <v>2084054911</v>
      </c>
      <c r="B126" s="18" t="s">
        <v>9288</v>
      </c>
      <c r="C126" s="18" t="s">
        <v>9290</v>
      </c>
      <c r="D126" s="5" t="str">
        <f ca="1">IFERROR(__xludf.DUMMYFUNCTION("GOOGLETRANSLATE(B126,""ja"",""vi"")"),"A / T")</f>
        <v>A / T</v>
      </c>
      <c r="E126" s="5" t="str">
        <f ca="1">IFERROR(__xludf.DUMMYFUNCTION("GOOGLETRANSLATE(C126,""ja"",""vi"")"),"Đấu giá&gt; Thời trang&gt; By Nhãn hiệu&gt; e&gt; A / T")</f>
        <v>Đấu giá&gt; Thời trang&gt; By Nhãn hiệu&gt; e&gt; A / T</v>
      </c>
      <c r="F126" t="str">
        <f t="shared" ca="1" si="1"/>
        <v>"2084054911" : "A / T",</v>
      </c>
    </row>
    <row r="127" spans="1:6" ht="15.75" customHeight="1">
      <c r="A127" s="18">
        <v>2084226785</v>
      </c>
      <c r="B127" s="18" t="s">
        <v>9294</v>
      </c>
      <c r="C127" s="18" t="s">
        <v>9296</v>
      </c>
      <c r="D127" s="5" t="str">
        <f ca="1">IFERROR(__xludf.DUMMYFUNCTION("GOOGLETRANSLATE(B127,""ja"",""vi"")"),"đời đời")</f>
        <v>đời đời</v>
      </c>
      <c r="E127" s="5" t="str">
        <f ca="1">IFERROR(__xludf.DUMMYFUNCTION("GOOGLETRANSLATE(C127,""ja"",""vi"")"),"Đấu giá&gt; Thời trang&gt; By Nhãn hiệu&gt; e&gt; Eternal")</f>
        <v>Đấu giá&gt; Thời trang&gt; By Nhãn hiệu&gt; e&gt; Eternal</v>
      </c>
      <c r="F127" t="str">
        <f t="shared" ca="1" si="1"/>
        <v>"2084226785" : "đời đời",</v>
      </c>
    </row>
    <row r="128" spans="1:6" ht="15.75" customHeight="1">
      <c r="A128" s="18">
        <v>2084048780</v>
      </c>
      <c r="B128" s="18" t="s">
        <v>9300</v>
      </c>
      <c r="C128" s="18" t="s">
        <v>9302</v>
      </c>
      <c r="D128" s="5" t="str">
        <f ca="1">IFERROR(__xludf.DUMMYFUNCTION("GOOGLETRANSLATE(B128,""ja"",""vi"")"),"X-Girl")</f>
        <v>X-Girl</v>
      </c>
      <c r="E128" s="5" t="str">
        <f ca="1">IFERROR(__xludf.DUMMYFUNCTION("GOOGLETRANSLATE(C128,""ja"",""vi"")"),"Đấu giá&gt; Thời trang&gt; By Nhãn hiệu&gt; e&gt; X-Girl")</f>
        <v>Đấu giá&gt; Thời trang&gt; By Nhãn hiệu&gt; e&gt; X-Girl</v>
      </c>
      <c r="F128" t="str">
        <f t="shared" ca="1" si="1"/>
        <v>"2084048780" : "X-Girl",</v>
      </c>
    </row>
    <row r="129" spans="1:6" ht="15.75" customHeight="1">
      <c r="A129" s="18">
        <v>2084230662</v>
      </c>
      <c r="B129" s="18" t="s">
        <v>9305</v>
      </c>
      <c r="C129" s="18" t="s">
        <v>9307</v>
      </c>
      <c r="D129" s="5" t="str">
        <f ca="1">IFERROR(__xludf.DUMMYFUNCTION("GOOGLETRANSLATE(B129,""ja"",""vi"")"),"Eddie Bauer")</f>
        <v>Eddie Bauer</v>
      </c>
      <c r="E129" s="5" t="str">
        <f ca="1">IFERROR(__xludf.DUMMYFUNCTION("GOOGLETRANSLATE(C129,""ja"",""vi"")"),"Đấu giá&gt; Thời trang&gt; By Nhãn hiệu&gt; e&gt; Eddie Bauer")</f>
        <v>Đấu giá&gt; Thời trang&gt; By Nhãn hiệu&gt; e&gt; Eddie Bauer</v>
      </c>
      <c r="F129" t="str">
        <f t="shared" ca="1" si="1"/>
        <v>"2084230662" : "Eddie Bauer",</v>
      </c>
    </row>
    <row r="130" spans="1:6" ht="15.75" customHeight="1">
      <c r="A130" s="18">
        <v>2084050191</v>
      </c>
      <c r="B130" s="18" t="s">
        <v>9310</v>
      </c>
      <c r="C130" s="18" t="s">
        <v>9313</v>
      </c>
      <c r="D130" s="5" t="str">
        <f ca="1">IFERROR(__xludf.DUMMYFUNCTION("GOOGLETRANSLATE(B130,""ja"",""vi"")"),"lâu đài")</f>
        <v>lâu đài</v>
      </c>
      <c r="E130" s="5" t="str">
        <f ca="1">IFERROR(__xludf.DUMMYFUNCTION("GOOGLETRANSLATE(C130,""ja"",""vi"")"),"Đấu giá&gt; Thời trang&gt; By Nhãn hiệu&gt; e&gt; Edifice")</f>
        <v>Đấu giá&gt; Thời trang&gt; By Nhãn hiệu&gt; e&gt; Edifice</v>
      </c>
      <c r="F130" t="str">
        <f t="shared" ref="F130:F193" ca="1" si="2">CONCATENATE(CHAR(34)&amp;"",A130,""&amp;CHAR(34)," : ", CHAR(34)&amp;"",D130,""&amp;CHAR(34),",")</f>
        <v>"2084050191" : "lâu đài",</v>
      </c>
    </row>
    <row r="131" spans="1:6" ht="15.75" customHeight="1">
      <c r="A131" s="18">
        <v>2084030317</v>
      </c>
      <c r="B131" s="18" t="s">
        <v>9317</v>
      </c>
      <c r="C131" s="18" t="s">
        <v>9320</v>
      </c>
      <c r="D131" s="5" t="str">
        <f ca="1">IFERROR(__xludf.DUMMYFUNCTION("GOOGLETRANSLATE(B131,""ja"",""vi"")"),"Etro")</f>
        <v>Etro</v>
      </c>
      <c r="E131" s="5" t="str">
        <f ca="1">IFERROR(__xludf.DUMMYFUNCTION("GOOGLETRANSLATE(C131,""ja"",""vi"")"),"Đấu giá&gt; Thời trang&gt; By Nhãn hiệu&gt; e&gt; Etro")</f>
        <v>Đấu giá&gt; Thời trang&gt; By Nhãn hiệu&gt; e&gt; Etro</v>
      </c>
      <c r="F131" t="str">
        <f t="shared" ca="1" si="2"/>
        <v>"2084030317" : "Etro",</v>
      </c>
    </row>
    <row r="132" spans="1:6" ht="15.75" customHeight="1">
      <c r="A132" s="18">
        <v>2084243713</v>
      </c>
      <c r="B132" s="18" t="s">
        <v>9325</v>
      </c>
      <c r="C132" s="18" t="s">
        <v>9327</v>
      </c>
      <c r="D132" s="5" t="str">
        <f ca="1">IFERROR(__xludf.DUMMYFUNCTION("GOOGLETRANSLATE(B132,""ja"",""vi"")"),"Ed Hardy")</f>
        <v>Ed Hardy</v>
      </c>
      <c r="E132" s="5" t="str">
        <f ca="1">IFERROR(__xludf.DUMMYFUNCTION("GOOGLETRANSLATE(C132,""ja"",""vi"")"),"Đấu giá&gt; Thời trang&gt; By Nhãn hiệu&gt; e&gt; Ed Hardy")</f>
        <v>Đấu giá&gt; Thời trang&gt; By Nhãn hiệu&gt; e&gt; Ed Hardy</v>
      </c>
      <c r="F132" t="str">
        <f t="shared" ca="1" si="2"/>
        <v>"2084243713" : "Ed Hardy",</v>
      </c>
    </row>
    <row r="133" spans="1:6" ht="15.75" customHeight="1">
      <c r="A133" s="18">
        <v>2084227075</v>
      </c>
      <c r="B133" s="18" t="s">
        <v>9331</v>
      </c>
      <c r="C133" s="18" t="s">
        <v>9332</v>
      </c>
      <c r="D133" s="5" t="str">
        <f ca="1">IFERROR(__xludf.DUMMYFUNCTION("GOOGLETRANSLATE(B133,""ja"",""vi"")"),"Edwin")</f>
        <v>Edwin</v>
      </c>
      <c r="E133" s="5" t="str">
        <f ca="1">IFERROR(__xludf.DUMMYFUNCTION("GOOGLETRANSLATE(C133,""ja"",""vi"")"),"Đấu giá&gt; Thời trang&gt; By Nhãn hiệu&gt; e&gt; Edwin")</f>
        <v>Đấu giá&gt; Thời trang&gt; By Nhãn hiệu&gt; e&gt; Edwin</v>
      </c>
      <c r="F133" t="str">
        <f t="shared" ca="1" si="2"/>
        <v>"2084227075" : "Edwin",</v>
      </c>
    </row>
    <row r="134" spans="1:6" ht="15.75" customHeight="1">
      <c r="A134" s="18">
        <v>2084062156</v>
      </c>
      <c r="B134" s="18" t="s">
        <v>9336</v>
      </c>
      <c r="C134" s="18" t="s">
        <v>9338</v>
      </c>
      <c r="D134" s="5" t="str">
        <f ca="1">IFERROR(__xludf.DUMMYFUNCTION("GOOGLETRANSLATE(B134,""ja"",""vi"")"),"Edward xanh")</f>
        <v>Edward xanh</v>
      </c>
      <c r="E134" s="5" t="str">
        <f ca="1">IFERROR(__xludf.DUMMYFUNCTION("GOOGLETRANSLATE(C134,""ja"",""vi"")"),"Đấu giá&gt; Thời trang&gt; By Nhãn hiệu&gt; e&gt; Edward Xanh")</f>
        <v>Đấu giá&gt; Thời trang&gt; By Nhãn hiệu&gt; e&gt; Edward Xanh</v>
      </c>
      <c r="F134" t="str">
        <f t="shared" ca="1" si="2"/>
        <v>"2084062156" : "Edward xanh",</v>
      </c>
    </row>
    <row r="135" spans="1:6" ht="15.75" customHeight="1">
      <c r="A135" s="18">
        <v>2084057954</v>
      </c>
      <c r="B135" s="18" t="s">
        <v>9342</v>
      </c>
      <c r="C135" s="18" t="s">
        <v>9344</v>
      </c>
      <c r="D135" s="5" t="str">
        <f ca="1">IFERROR(__xludf.DUMMYFUNCTION("GOOGLETRANSLATE(B135,""ja"",""vi"")"),"N. Hollywood")</f>
        <v>N. Hollywood</v>
      </c>
      <c r="E135" s="5" t="str">
        <f ca="1">IFERROR(__xludf.DUMMYFUNCTION("GOOGLETRANSLATE(C135,""ja"",""vi"")"),"Đấu giá&gt; Thời trang&gt; By Nhãn hiệu&gt; e&gt; N. Hollywood")</f>
        <v>Đấu giá&gt; Thời trang&gt; By Nhãn hiệu&gt; e&gt; N. Hollywood</v>
      </c>
      <c r="F135" t="str">
        <f t="shared" ca="1" si="2"/>
        <v>"2084057954" : "N. Hollywood",</v>
      </c>
    </row>
    <row r="136" spans="1:6" ht="15.75" customHeight="1">
      <c r="A136" s="18">
        <v>2084283138</v>
      </c>
      <c r="B136" s="18" t="s">
        <v>9346</v>
      </c>
      <c r="C136" s="18" t="s">
        <v>9348</v>
      </c>
      <c r="D136" s="5" t="str">
        <f ca="1">IFERROR(__xludf.DUMMYFUNCTION("GOOGLETRANSLATE(B136,""ja"",""vi"")"),"bất kỳ SiS")</f>
        <v>bất kỳ SiS</v>
      </c>
      <c r="E136" s="5" t="str">
        <f ca="1">IFERROR(__xludf.DUMMYFUNCTION("GOOGLETRANSLATE(C136,""ja"",""vi"")"),"Đấu giá&gt; Thời trang&gt; By Nhãn hiệu&gt; e&gt; bất kỳ SiS")</f>
        <v>Đấu giá&gt; Thời trang&gt; By Nhãn hiệu&gt; e&gt; bất kỳ SiS</v>
      </c>
      <c r="F136" t="str">
        <f t="shared" ca="1" si="2"/>
        <v>"2084283138" : "bất kỳ SiS",</v>
      </c>
    </row>
    <row r="137" spans="1:6" ht="15.75" customHeight="1">
      <c r="A137" s="18">
        <v>2084298370</v>
      </c>
      <c r="B137" s="18" t="s">
        <v>9354</v>
      </c>
      <c r="C137" s="18" t="s">
        <v>9356</v>
      </c>
      <c r="D137" s="5" t="str">
        <f ca="1">IFERROR(__xludf.DUMMYFUNCTION("GOOGLETRANSLATE(B137,""ja"",""vi"")"),"FAT")</f>
        <v>FAT</v>
      </c>
      <c r="E137" s="5" t="str">
        <f ca="1">IFERROR(__xludf.DUMMYFUNCTION("GOOGLETRANSLATE(C137,""ja"",""vi"")"),"Đấu giá&gt; Thời trang&gt; By Nhãn hiệu&gt; e&gt; FAT")</f>
        <v>Đấu giá&gt; Thời trang&gt; By Nhãn hiệu&gt; e&gt; FAT</v>
      </c>
      <c r="F137" t="str">
        <f t="shared" ca="1" si="2"/>
        <v>"2084298370" : "FAT",</v>
      </c>
    </row>
    <row r="138" spans="1:6" ht="15.75" customHeight="1">
      <c r="A138" s="18">
        <v>2084259908</v>
      </c>
      <c r="B138" s="18" t="s">
        <v>9359</v>
      </c>
      <c r="C138" s="18" t="s">
        <v>9361</v>
      </c>
      <c r="D138" s="5" t="str">
        <f ca="1">IFERROR(__xludf.DUMMYFUNCTION("GOOGLETRANSLATE(B138,""ja"",""vi"")"),"abx")</f>
        <v>abx</v>
      </c>
      <c r="E138" s="5" t="str">
        <f ca="1">IFERROR(__xludf.DUMMYFUNCTION("GOOGLETRANSLATE(C138,""ja"",""vi"")"),"Đấu giá&gt; Thời trang&gt; By Nhãn hiệu&gt; e&gt; abx")</f>
        <v>Đấu giá&gt; Thời trang&gt; By Nhãn hiệu&gt; e&gt; abx</v>
      </c>
      <c r="F138" t="str">
        <f t="shared" ca="1" si="2"/>
        <v>"2084259908" : "abx",</v>
      </c>
    </row>
    <row r="139" spans="1:6" ht="15.75" customHeight="1">
      <c r="A139" s="18">
        <v>2084054324</v>
      </c>
      <c r="B139" s="18" t="s">
        <v>9366</v>
      </c>
      <c r="C139" s="18" t="s">
        <v>9369</v>
      </c>
      <c r="D139" s="5" t="str">
        <f ca="1">IFERROR(__xludf.DUMMYFUNCTION("GOOGLETRANSLATE(B139,""ja"",""vi"")"),"Ehud")</f>
        <v>Ehud</v>
      </c>
      <c r="E139" s="5" t="str">
        <f ca="1">IFERROR(__xludf.DUMMYFUNCTION("GOOGLETRANSLATE(C139,""ja"",""vi"")"),"Đấu giá&gt; Thời trang&gt; By Nhãn hiệu&gt; e&gt; Ehud")</f>
        <v>Đấu giá&gt; Thời trang&gt; By Nhãn hiệu&gt; e&gt; Ehud</v>
      </c>
      <c r="F139" t="str">
        <f t="shared" ca="1" si="2"/>
        <v>"2084054324" : "Ehud",</v>
      </c>
    </row>
    <row r="140" spans="1:6" ht="15.75" customHeight="1">
      <c r="A140" s="18">
        <v>2084054660</v>
      </c>
      <c r="B140" s="18" t="s">
        <v>9373</v>
      </c>
      <c r="C140" s="18" t="s">
        <v>9375</v>
      </c>
      <c r="D140" s="5" t="str">
        <f ca="1">IFERROR(__xludf.DUMMYFUNCTION("GOOGLETRANSLATE(B140,""ja"",""vi"")"),"Epoca")</f>
        <v>Epoca</v>
      </c>
      <c r="E140" s="5" t="str">
        <f ca="1">IFERROR(__xludf.DUMMYFUNCTION("GOOGLETRANSLATE(C140,""ja"",""vi"")"),"Đấu giá&gt; Thời trang&gt; By Nhãn hiệu&gt; e&gt; Epoca")</f>
        <v>Đấu giá&gt; Thời trang&gt; By Nhãn hiệu&gt; e&gt; Epoca</v>
      </c>
      <c r="F140" t="str">
        <f t="shared" ca="1" si="2"/>
        <v>"2084054660" : "Epoca",</v>
      </c>
    </row>
    <row r="141" spans="1:6" ht="15.75" customHeight="1">
      <c r="A141" s="18">
        <v>2084259913</v>
      </c>
      <c r="B141" s="18" t="s">
        <v>9378</v>
      </c>
      <c r="C141" s="18" t="s">
        <v>9380</v>
      </c>
      <c r="D141" s="5" t="str">
        <f ca="1">IFERROR(__xludf.DUMMYFUNCTION("GOOGLETRANSLATE(B141,""ja"",""vi"")"),"Evu")</f>
        <v>Evu</v>
      </c>
      <c r="E141" s="5" t="str">
        <f ca="1">IFERROR(__xludf.DUMMYFUNCTION("GOOGLETRANSLATE(C141,""ja"",""vi"")"),"Đấu giá&gt; Thời trang&gt; By Nhãn hiệu&gt; e&gt; Evu")</f>
        <v>Đấu giá&gt; Thời trang&gt; By Nhãn hiệu&gt; e&gt; Evu</v>
      </c>
      <c r="F141" t="str">
        <f t="shared" ca="1" si="2"/>
        <v>"2084259913" : "Evu",</v>
      </c>
    </row>
    <row r="142" spans="1:6" ht="15.75" customHeight="1">
      <c r="A142" s="18">
        <v>2084050189</v>
      </c>
      <c r="B142" s="18" t="s">
        <v>9383</v>
      </c>
      <c r="C142" s="18" t="s">
        <v>9385</v>
      </c>
      <c r="D142" s="5" t="str">
        <f ca="1">IFERROR(__xludf.DUMMYFUNCTION("GOOGLETRANSLATE(B142,""ja"",""vi"")"),"Evisu")</f>
        <v>Evisu</v>
      </c>
      <c r="E142" s="5" t="str">
        <f ca="1">IFERROR(__xludf.DUMMYFUNCTION("GOOGLETRANSLATE(C142,""ja"",""vi"")"),"Đấu giá&gt; Thời trang&gt; By Nhãn hiệu&gt; e&gt; Evisu")</f>
        <v>Đấu giá&gt; Thời trang&gt; By Nhãn hiệu&gt; e&gt; Evisu</v>
      </c>
      <c r="F142" t="str">
        <f t="shared" ca="1" si="2"/>
        <v>"2084050189" : "Evisu",</v>
      </c>
    </row>
    <row r="143" spans="1:6" ht="15.75" customHeight="1">
      <c r="A143" s="18">
        <v>2084261356</v>
      </c>
      <c r="B143" s="18" t="s">
        <v>9390</v>
      </c>
      <c r="C143" s="18" t="s">
        <v>9391</v>
      </c>
      <c r="D143" s="5" t="str">
        <f ca="1">IFERROR(__xludf.DUMMYFUNCTION("GOOGLETRANSLATE(B143,""ja"",""vi"")"),"EMODA")</f>
        <v>EMODA</v>
      </c>
      <c r="E143" s="5" t="str">
        <f ca="1">IFERROR(__xludf.DUMMYFUNCTION("GOOGLETRANSLATE(C143,""ja"",""vi"")"),"Đấu giá&gt; Thời trang&gt; By Nhãn hiệu&gt; e&gt; EMODA")</f>
        <v>Đấu giá&gt; Thời trang&gt; By Nhãn hiệu&gt; e&gt; EMODA</v>
      </c>
      <c r="F143" t="str">
        <f t="shared" ca="1" si="2"/>
        <v>"2084261356" : "EMODA",</v>
      </c>
    </row>
    <row r="144" spans="1:6" ht="15.75" customHeight="1">
      <c r="A144" s="18">
        <v>2084298371</v>
      </c>
      <c r="B144" s="18" t="s">
        <v>9395</v>
      </c>
      <c r="C144" s="18" t="s">
        <v>9396</v>
      </c>
      <c r="D144" s="5" t="str">
        <f ca="1">IFERROR(__xludf.DUMMYFUNCTION("GOOGLETRANSLATE(B144,""ja"",""vi"")"),"Emanuel Ungaro")</f>
        <v>Emanuel Ungaro</v>
      </c>
      <c r="E144" s="5" t="str">
        <f ca="1">IFERROR(__xludf.DUMMYFUNCTION("GOOGLETRANSLATE(C144,""ja"",""vi"")"),"Đấu giá&gt; Thời trang&gt; By Nhãn hiệu&gt; e&gt; Emanuel Ungaro")</f>
        <v>Đấu giá&gt; Thời trang&gt; By Nhãn hiệu&gt; e&gt; Emanuel Ungaro</v>
      </c>
      <c r="F144" t="str">
        <f t="shared" ca="1" si="2"/>
        <v>"2084298371" : "Emanuel Ungaro",</v>
      </c>
    </row>
    <row r="145" spans="1:6" ht="15.75" customHeight="1">
      <c r="A145" s="18">
        <v>2084054736</v>
      </c>
      <c r="B145" s="18" t="s">
        <v>9399</v>
      </c>
      <c r="C145" s="18" t="s">
        <v>9401</v>
      </c>
      <c r="D145" s="5" t="str">
        <f ca="1">IFERROR(__xludf.DUMMYFUNCTION("GOOGLETRANSLATE(B145,""ja"",""vi"")"),"MCM")</f>
        <v>MCM</v>
      </c>
      <c r="E145" s="5" t="str">
        <f ca="1">IFERROR(__xludf.DUMMYFUNCTION("GOOGLETRANSLATE(C145,""ja"",""vi"")"),"Đấu giá&gt; Thời trang&gt; By Nhãn hiệu&gt; e&gt; MCM")</f>
        <v>Đấu giá&gt; Thời trang&gt; By Nhãn hiệu&gt; e&gt; MCM</v>
      </c>
      <c r="F145" t="str">
        <f t="shared" ca="1" si="2"/>
        <v>"2084054736" : "MCM",</v>
      </c>
    </row>
    <row r="146" spans="1:6" ht="15.75" customHeight="1">
      <c r="A146" s="18">
        <v>2084283140</v>
      </c>
      <c r="B146" s="18" t="s">
        <v>9404</v>
      </c>
      <c r="C146" s="18" t="s">
        <v>9406</v>
      </c>
      <c r="D146" s="5" t="str">
        <f ca="1">IFERROR(__xludf.DUMMYFUNCTION("GOOGLETRANSLATE(B146,""ja"",""vi"")"),"MK Michel Clan")</f>
        <v>MK Michel Clan</v>
      </c>
      <c r="E146" s="5" t="str">
        <f ca="1">IFERROR(__xludf.DUMMYFUNCTION("GOOGLETRANSLATE(C146,""ja"",""vi"")"),"Đấu giá&gt; Thời trang&gt; By Nhãn hiệu&gt; e&gt; MK Michel Clan")</f>
        <v>Đấu giá&gt; Thời trang&gt; By Nhãn hiệu&gt; e&gt; MK Michel Clan</v>
      </c>
      <c r="F146" t="str">
        <f t="shared" ca="1" si="2"/>
        <v>"2084283140" : "MK Michel Clan",</v>
      </c>
    </row>
    <row r="147" spans="1:6" ht="15.75" customHeight="1">
      <c r="A147" s="18">
        <v>2084055872</v>
      </c>
      <c r="B147" s="18" t="s">
        <v>9411</v>
      </c>
      <c r="C147" s="18" t="s">
        <v>9412</v>
      </c>
      <c r="D147" s="5" t="str">
        <f ca="1">IFERROR(__xludf.DUMMYFUNCTION("GOOGLETRANSLATE(B147,""ja"",""vi"")"),"M Premier")</f>
        <v>M Premier</v>
      </c>
      <c r="E147" s="5" t="str">
        <f ca="1">IFERROR(__xludf.DUMMYFUNCTION("GOOGLETRANSLATE(C147,""ja"",""vi"")"),"Đấu giá&gt; Thời trang&gt; By Nhãn hiệu&gt; e&gt; M Premier")</f>
        <v>Đấu giá&gt; Thời trang&gt; By Nhãn hiệu&gt; e&gt; M Premier</v>
      </c>
      <c r="F147" t="str">
        <f t="shared" ca="1" si="2"/>
        <v>"2084055872" : "M Premier",</v>
      </c>
    </row>
    <row r="148" spans="1:6" ht="15.75" customHeight="1">
      <c r="A148" s="18">
        <v>2084244362</v>
      </c>
      <c r="B148" s="18" t="s">
        <v>9416</v>
      </c>
      <c r="C148" s="18" t="s">
        <v>9418</v>
      </c>
      <c r="D148" s="5" t="str">
        <f ca="1">IFERROR(__xludf.DUMMYFUNCTION("GOOGLETRANSLATE(B148,""ja"",""vi"")"),"Emu Úc")</f>
        <v>Emu Úc</v>
      </c>
      <c r="E148" s="5" t="str">
        <f ca="1">IFERROR(__xludf.DUMMYFUNCTION("GOOGLETRANSLATE(C148,""ja"",""vi"")"),"Đấu giá&gt; Thời trang&gt; By Nhãn hiệu&gt; e&gt; Emu Úc")</f>
        <v>Đấu giá&gt; Thời trang&gt; By Nhãn hiệu&gt; e&gt; Emu Úc</v>
      </c>
      <c r="F148" t="str">
        <f t="shared" ca="1" si="2"/>
        <v>"2084244362" : "Emu Úc",</v>
      </c>
    </row>
    <row r="149" spans="1:6" ht="15.75" customHeight="1">
      <c r="A149" s="18">
        <v>2084261185</v>
      </c>
      <c r="B149" s="18" t="s">
        <v>9421</v>
      </c>
      <c r="C149" s="18" t="s">
        <v>9424</v>
      </c>
      <c r="D149" s="5" t="str">
        <f ca="1">IFERROR(__xludf.DUMMYFUNCTION("GOOGLETRANSLATE(B149,""ja"",""vi"")"),"Đền Emily dễ thương")</f>
        <v>Đền Emily dễ thương</v>
      </c>
      <c r="E149" s="5" t="str">
        <f ca="1">IFERROR(__xludf.DUMMYFUNCTION("GOOGLETRANSLATE(C149,""ja"",""vi"")"),"Đấu giá&gt; Thời trang&gt; By Nhãn hiệu&gt; e&gt; Đền Emily dễ thương")</f>
        <v>Đấu giá&gt; Thời trang&gt; By Nhãn hiệu&gt; e&gt; Đền Emily dễ thương</v>
      </c>
      <c r="F149" t="str">
        <f t="shared" ca="1" si="2"/>
        <v>"2084261185" : "Đền Emily dễ thương",</v>
      </c>
    </row>
    <row r="150" spans="1:6" ht="15.75" customHeight="1">
      <c r="A150" s="18">
        <v>2084050192</v>
      </c>
      <c r="B150" s="18" t="s">
        <v>9427</v>
      </c>
      <c r="C150" s="18" t="s">
        <v>9429</v>
      </c>
      <c r="D150" s="5" t="str">
        <f ca="1">IFERROR(__xludf.DUMMYFUNCTION("GOOGLETRANSLATE(B150,""ja"",""vi"")"),"Emilio Pucci")</f>
        <v>Emilio Pucci</v>
      </c>
      <c r="E150" s="5" t="str">
        <f ca="1">IFERROR(__xludf.DUMMYFUNCTION("GOOGLETRANSLATE(C150,""ja"",""vi"")"),"Đấu giá&gt; Thời trang&gt; By Nhãn hiệu&gt; e&gt; Emilio Pucci")</f>
        <v>Đấu giá&gt; Thời trang&gt; By Nhãn hiệu&gt; e&gt; Emilio Pucci</v>
      </c>
      <c r="F150" t="str">
        <f t="shared" ca="1" si="2"/>
        <v>"2084050192" : "Emilio Pucci",</v>
      </c>
    </row>
    <row r="151" spans="1:6" ht="15.75" customHeight="1">
      <c r="A151" s="18">
        <v>2084298374</v>
      </c>
      <c r="B151" s="18" t="s">
        <v>9432</v>
      </c>
      <c r="C151" s="18" t="s">
        <v>9434</v>
      </c>
      <c r="D151" s="5" t="str">
        <f ca="1">IFERROR(__xludf.DUMMYFUNCTION("GOOGLETRANSLATE(B151,""ja"",""vi"")"),"M của Gracie")</f>
        <v>M của Gracie</v>
      </c>
      <c r="E151" s="5" t="str">
        <f ca="1">IFERROR(__xludf.DUMMYFUNCTION("GOOGLETRANSLATE(C151,""ja"",""vi"")"),"Đấu giá&gt; Thời trang&gt; By Nhãn hiệu&gt; e&gt; M của Gracie")</f>
        <v>Đấu giá&gt; Thời trang&gt; By Nhãn hiệu&gt; e&gt; M của Gracie</v>
      </c>
      <c r="F151" t="str">
        <f t="shared" ca="1" si="2"/>
        <v>"2084298374" : "M của Gracie",</v>
      </c>
    </row>
    <row r="152" spans="1:6" ht="15.75" customHeight="1">
      <c r="A152" s="18">
        <v>2084226699</v>
      </c>
      <c r="B152" s="18" t="s">
        <v>9436</v>
      </c>
      <c r="C152" s="18" t="s">
        <v>9438</v>
      </c>
      <c r="D152" s="5" t="str">
        <f ca="1">IFERROR(__xludf.DUMMYFUNCTION("GOOGLETRANSLATE(B152,""ja"",""vi"")"),"L.L.Bean")</f>
        <v>L.L.Bean</v>
      </c>
      <c r="E152" s="5" t="str">
        <f ca="1">IFERROR(__xludf.DUMMYFUNCTION("GOOGLETRANSLATE(C152,""ja"",""vi"")"),"Đấu giá&gt; Thời trang&gt; By Nhãn hiệu&gt; e&gt; L.L.Bean")</f>
        <v>Đấu giá&gt; Thời trang&gt; By Nhãn hiệu&gt; e&gt; L.L.Bean</v>
      </c>
      <c r="F152" t="str">
        <f t="shared" ca="1" si="2"/>
        <v>"2084226699" : "L.L.Bean",</v>
      </c>
    </row>
    <row r="153" spans="1:6" ht="15.75" customHeight="1">
      <c r="A153" s="18">
        <v>2084229890</v>
      </c>
      <c r="B153" s="18" t="s">
        <v>9444</v>
      </c>
      <c r="C153" s="18" t="s">
        <v>9446</v>
      </c>
      <c r="D153" s="5" t="str">
        <f ca="1">IFERROR(__xludf.DUMMYFUNCTION("GOOGLETRANSLATE(B153,""ja"",""vi"")"),"LB-03")</f>
        <v>LB-03</v>
      </c>
      <c r="E153" s="5" t="str">
        <f ca="1">IFERROR(__xludf.DUMMYFUNCTION("GOOGLETRANSLATE(C153,""ja"",""vi"")"),"Đấu giá&gt; Thời trang&gt; By Nhãn hiệu&gt; e&gt; LB-03")</f>
        <v>Đấu giá&gt; Thời trang&gt; By Nhãn hiệu&gt; e&gt; LB-03</v>
      </c>
      <c r="F153" t="str">
        <f t="shared" ca="1" si="2"/>
        <v>"2084229890" : "LB-03",</v>
      </c>
    </row>
    <row r="154" spans="1:6" ht="15.75" customHeight="1">
      <c r="A154" s="18">
        <v>2084301211</v>
      </c>
      <c r="B154" s="18" t="s">
        <v>9451</v>
      </c>
      <c r="C154" s="18" t="s">
        <v>9452</v>
      </c>
      <c r="D154" s="5" t="str">
        <f ca="1">IFERROR(__xludf.DUMMYFUNCTION("GOOGLETRANSLATE(B154,""ja"",""vi"")"),"LRG")</f>
        <v>LRG</v>
      </c>
      <c r="E154" s="5" t="str">
        <f ca="1">IFERROR(__xludf.DUMMYFUNCTION("GOOGLETRANSLATE(C154,""ja"",""vi"")"),"Đấu giá&gt; Thời trang&gt; By Nhãn hiệu&gt; e&gt; LRG")</f>
        <v>Đấu giá&gt; Thời trang&gt; By Nhãn hiệu&gt; e&gt; LRG</v>
      </c>
      <c r="F154" t="str">
        <f t="shared" ca="1" si="2"/>
        <v>"2084301211" : "LRG",</v>
      </c>
    </row>
    <row r="155" spans="1:6" ht="15.75" customHeight="1">
      <c r="A155" s="18">
        <v>2084256952</v>
      </c>
      <c r="B155" s="18" t="s">
        <v>9457</v>
      </c>
      <c r="C155" s="18" t="s">
        <v>9459</v>
      </c>
      <c r="D155" s="5" t="str">
        <f ca="1">IFERROR(__xludf.DUMMYFUNCTION("GOOGLETRANSLATE(B155,""ja"",""vi"")"),"Heliopole")</f>
        <v>Heliopole</v>
      </c>
      <c r="E155" s="5" t="str">
        <f ca="1">IFERROR(__xludf.DUMMYFUNCTION("GOOGLETRANSLATE(C155,""ja"",""vi"")"),"Đấu giá&gt; Thời trang&gt; By Nhãn hiệu&gt; e&gt; heliopole")</f>
        <v>Đấu giá&gt; Thời trang&gt; By Nhãn hiệu&gt; e&gt; heliopole</v>
      </c>
      <c r="F155" t="str">
        <f t="shared" ca="1" si="2"/>
        <v>"2084256952" : "Heliopole",</v>
      </c>
    </row>
    <row r="156" spans="1:6" ht="15.75" customHeight="1">
      <c r="A156" s="18">
        <v>2084048597</v>
      </c>
      <c r="B156" s="18" t="s">
        <v>9463</v>
      </c>
      <c r="C156" s="18" t="s">
        <v>9465</v>
      </c>
      <c r="D156" s="5" t="str">
        <f ca="1">IFERROR(__xludf.DUMMYFUNCTION("GOOGLETRANSLATE(B156,""ja"",""vi"")"),"El")</f>
        <v>El</v>
      </c>
      <c r="E156" s="5" t="str">
        <f ca="1">IFERROR(__xludf.DUMMYFUNCTION("GOOGLETRANSLATE(C156,""ja"",""vi"")"),"Đấu giá&gt; Thời trang&gt; By Nhãn hiệu&gt; e&gt; El")</f>
        <v>Đấu giá&gt; Thời trang&gt; By Nhãn hiệu&gt; e&gt; El</v>
      </c>
      <c r="F156" t="str">
        <f t="shared" ca="1" si="2"/>
        <v>"2084048597" : "El",</v>
      </c>
    </row>
    <row r="157" spans="1:6" ht="15.75" customHeight="1">
      <c r="A157" s="18">
        <v>2084024332</v>
      </c>
      <c r="B157" s="18" t="s">
        <v>9469</v>
      </c>
      <c r="C157" s="18" t="s">
        <v>9471</v>
      </c>
      <c r="D157" s="5" t="str">
        <f ca="1">IFERROR(__xludf.DUMMYFUNCTION("GOOGLETRANSLATE(B157,""ja"",""vi"")"),"Erubeshapurie")</f>
        <v>Erubeshapurie</v>
      </c>
      <c r="E157" s="5" t="str">
        <f ca="1">IFERROR(__xludf.DUMMYFUNCTION("GOOGLETRANSLATE(C157,""ja"",""vi"")"),"Đấu giá&gt; Thời trang&gt; By Nhãn hiệu&gt; e&gt; Erubeshapurie")</f>
        <v>Đấu giá&gt; Thời trang&gt; By Nhãn hiệu&gt; e&gt; Erubeshapurie</v>
      </c>
      <c r="F157" t="str">
        <f t="shared" ca="1" si="2"/>
        <v>"2084024332" : "Erubeshapurie",</v>
      </c>
    </row>
    <row r="158" spans="1:6" ht="15.75" customHeight="1">
      <c r="A158" s="18">
        <v>2084048598</v>
      </c>
      <c r="B158" s="18" t="s">
        <v>9475</v>
      </c>
      <c r="C158" s="18" t="s">
        <v>9477</v>
      </c>
      <c r="D158" s="5" t="str">
        <f ca="1">IFERROR(__xludf.DUMMYFUNCTION("GOOGLETRANSLATE(B158,""ja"",""vi"")"),"Hermes")</f>
        <v>Hermes</v>
      </c>
      <c r="E158" s="5" t="str">
        <f ca="1">IFERROR(__xludf.DUMMYFUNCTION("GOOGLETRANSLATE(C158,""ja"",""vi"")"),"Đấu giá&gt; Thời trang&gt; By Nhãn hiệu&gt; e&gt; Hermes")</f>
        <v>Đấu giá&gt; Thời trang&gt; By Nhãn hiệu&gt; e&gt; Hermes</v>
      </c>
      <c r="F158" t="str">
        <f t="shared" ca="1" si="2"/>
        <v>"2084048598" : "Hermes",</v>
      </c>
    </row>
    <row r="159" spans="1:6" ht="15.75" customHeight="1">
      <c r="A159" s="18">
        <v>2084050193</v>
      </c>
      <c r="B159" s="18" t="s">
        <v>9480</v>
      </c>
      <c r="C159" s="18" t="s">
        <v>9481</v>
      </c>
      <c r="D159" s="5" t="str">
        <f ca="1">IFERROR(__xludf.DUMMYFUNCTION("GOOGLETRANSLATE(B159,""ja"",""vi"")"),"Ermenegildo Zegna")</f>
        <v>Ermenegildo Zegna</v>
      </c>
      <c r="E159" s="5" t="str">
        <f ca="1">IFERROR(__xludf.DUMMYFUNCTION("GOOGLETRANSLATE(C159,""ja"",""vi"")"),"Đấu giá&gt; Thời trang&gt; By Nhãn hiệu&gt; e&gt; Ermenegildo Zegna")</f>
        <v>Đấu giá&gt; Thời trang&gt; By Nhãn hiệu&gt; e&gt; Ermenegildo Zegna</v>
      </c>
      <c r="F159" t="str">
        <f t="shared" ca="1" si="2"/>
        <v>"2084050193" : "Ermenegildo Zegna",</v>
      </c>
    </row>
    <row r="160" spans="1:6" ht="15.75" customHeight="1">
      <c r="A160" s="18">
        <v>2084050194</v>
      </c>
      <c r="B160" s="18" t="s">
        <v>9484</v>
      </c>
      <c r="C160" s="18" t="s">
        <v>9486</v>
      </c>
      <c r="D160" s="5" t="str">
        <f ca="1">IFERROR(__xludf.DUMMYFUNCTION("GOOGLETRANSLATE(B160,""ja"",""vi"")"),"thiên thần xanh")</f>
        <v>thiên thần xanh</v>
      </c>
      <c r="E160" s="5" t="str">
        <f ca="1">IFERROR(__xludf.DUMMYFUNCTION("GOOGLETRANSLATE(C160,""ja"",""vi"")"),"Đấu giá&gt; Thời trang&gt; By Nhãn hiệu&gt; e&gt; Angel Xanh")</f>
        <v>Đấu giá&gt; Thời trang&gt; By Nhãn hiệu&gt; e&gt; Angel Xanh</v>
      </c>
      <c r="F160" t="str">
        <f t="shared" ca="1" si="2"/>
        <v>"2084050194" : "thiên thần xanh",</v>
      </c>
    </row>
    <row r="161" spans="1:6" ht="15.75" customHeight="1">
      <c r="A161" s="18">
        <v>2084243572</v>
      </c>
      <c r="B161" s="18" t="s">
        <v>9489</v>
      </c>
      <c r="C161" s="18" t="s">
        <v>9491</v>
      </c>
      <c r="D161" s="5" t="str">
        <f ca="1">IFERROR(__xludf.DUMMYFUNCTION("GOOGLETRANSLATE(B161,""ja"",""vi"")"),"Engineered Gamentsu")</f>
        <v>Engineered Gamentsu</v>
      </c>
      <c r="E161" s="5" t="str">
        <f ca="1">IFERROR(__xludf.DUMMYFUNCTION("GOOGLETRANSLATE(C161,""ja"",""vi"")"),"Đấu giá&gt; Thời trang&gt; By Nhãn hiệu&gt; e&gt; thiết kế Gamentsu")</f>
        <v>Đấu giá&gt; Thời trang&gt; By Nhãn hiệu&gt; e&gt; thiết kế Gamentsu</v>
      </c>
      <c r="F161" t="str">
        <f t="shared" ca="1" si="2"/>
        <v>"2084243572" : "Engineered Gamentsu",</v>
      </c>
    </row>
    <row r="162" spans="1:6" ht="15.75" customHeight="1">
      <c r="A162" s="18">
        <v>2084050196</v>
      </c>
      <c r="B162" s="18" t="s">
        <v>9495</v>
      </c>
      <c r="C162" s="18" t="s">
        <v>9496</v>
      </c>
      <c r="D162" s="5" t="str">
        <f ca="1">IFERROR(__xludf.DUMMYFUNCTION("GOOGLETRANSLATE(B162,""ja"",""vi"")"),"Emporio Armani")</f>
        <v>Emporio Armani</v>
      </c>
      <c r="E162" s="5" t="str">
        <f ca="1">IFERROR(__xludf.DUMMYFUNCTION("GOOGLETRANSLATE(C162,""ja"",""vi"")"),"Đấu giá&gt; Thời trang&gt; By Nhãn hiệu&gt; e&gt; Emporio Armani")</f>
        <v>Đấu giá&gt; Thời trang&gt; By Nhãn hiệu&gt; e&gt; Emporio Armani</v>
      </c>
      <c r="F162" t="str">
        <f t="shared" ca="1" si="2"/>
        <v>"2084050196" : "Emporio Armani",</v>
      </c>
    </row>
    <row r="163" spans="1:6" ht="15.75" customHeight="1">
      <c r="A163" s="18">
        <v>2084244409</v>
      </c>
      <c r="B163" s="18" t="s">
        <v>9500</v>
      </c>
      <c r="C163" s="18" t="s">
        <v>9502</v>
      </c>
      <c r="D163" s="5" t="str">
        <f ca="1">IFERROR(__xludf.DUMMYFUNCTION("GOOGLETRANSLATE(B163,""ja"",""vi"")"),"Enri Begurin")</f>
        <v>Enri Begurin</v>
      </c>
      <c r="E163" s="5" t="str">
        <f ca="1">IFERROR(__xludf.DUMMYFUNCTION("GOOGLETRANSLATE(C163,""ja"",""vi"")"),"Đấu giá&gt; Thời trang&gt; By Nhãn hiệu&gt; e&gt; Enri Begurin")</f>
        <v>Đấu giá&gt; Thời trang&gt; By Nhãn hiệu&gt; e&gt; Enri Begurin</v>
      </c>
      <c r="F163" t="str">
        <f t="shared" ca="1" si="2"/>
        <v>"2084244409" : "Enri Begurin",</v>
      </c>
    </row>
    <row r="164" spans="1:6" ht="15.75" customHeight="1">
      <c r="A164" s="18">
        <v>2084285645</v>
      </c>
      <c r="B164" s="18" t="s">
        <v>46</v>
      </c>
      <c r="C164" s="18" t="s">
        <v>9505</v>
      </c>
      <c r="D164" s="5" t="str">
        <f ca="1">IFERROR(__xludf.DUMMYFUNCTION("GOOGLETRANSLATE(B164,""ja"",""vi"")"),"nếu không thì")</f>
        <v>nếu không thì</v>
      </c>
      <c r="E164" s="5" t="str">
        <f ca="1">IFERROR(__xludf.DUMMYFUNCTION("GOOGLETRANSLATE(C164,""ja"",""vi"")"),"Đấu giá&gt; Thời trang&gt; By Nhãn hiệu&gt; e&gt; Khác")</f>
        <v>Đấu giá&gt; Thời trang&gt; By Nhãn hiệu&gt; e&gt; Khác</v>
      </c>
      <c r="F164" t="str">
        <f t="shared" ca="1" si="2"/>
        <v>"2084285645" : "nếu không thì",</v>
      </c>
    </row>
    <row r="165" spans="1:6" ht="15.75" customHeight="1">
      <c r="A165" s="18">
        <v>2084036161</v>
      </c>
      <c r="B165" s="18" t="s">
        <v>9511</v>
      </c>
      <c r="C165" s="18" t="s">
        <v>9513</v>
      </c>
      <c r="D165" s="5" t="str">
        <f ca="1">IFERROR(__xludf.DUMMYFUNCTION("GOOGLETRANSLATE(B165,""ja"",""vi"")"),"Oakley")</f>
        <v>Oakley</v>
      </c>
      <c r="E165" s="5" t="str">
        <f ca="1">IFERROR(__xludf.DUMMYFUNCTION("GOOGLETRANSLATE(C165,""ja"",""vi"")"),"Đấu giá&gt; Thời trang&gt; By Nhãn hiệu&gt; Liên hệ&gt; Oakley")</f>
        <v>Đấu giá&gt; Thời trang&gt; By Nhãn hiệu&gt; Liên hệ&gt; Oakley</v>
      </c>
      <c r="F165" t="str">
        <f t="shared" ca="1" si="2"/>
        <v>"2084036161" : "Oakley",</v>
      </c>
    </row>
    <row r="166" spans="1:6" ht="15.75" customHeight="1">
      <c r="A166" s="18">
        <v>2084048599</v>
      </c>
      <c r="B166" s="18" t="s">
        <v>9519</v>
      </c>
      <c r="C166" s="18" t="s">
        <v>9520</v>
      </c>
      <c r="D166" s="5" t="str">
        <f ca="1">IFERROR(__xludf.DUMMYFUNCTION("GOOGLETRANSLATE(B166,""ja"",""vi"")"),"Oshkosh")</f>
        <v>Oshkosh</v>
      </c>
      <c r="E166" s="5" t="str">
        <f ca="1">IFERROR(__xludf.DUMMYFUNCTION("GOOGLETRANSLATE(C166,""ja"",""vi"")"),"Đấu giá&gt; Thời trang&gt; By Nhãn hiệu&gt; Liên hệ&gt; Oshkosh")</f>
        <v>Đấu giá&gt; Thời trang&gt; By Nhãn hiệu&gt; Liên hệ&gt; Oshkosh</v>
      </c>
      <c r="F166" t="str">
        <f t="shared" ca="1" si="2"/>
        <v>"2084048599" : "Oshkosh",</v>
      </c>
    </row>
    <row r="167" spans="1:6" ht="15.75" customHeight="1">
      <c r="A167" s="18">
        <v>2084050199</v>
      </c>
      <c r="B167" s="18" t="s">
        <v>9525</v>
      </c>
      <c r="C167" s="18" t="s">
        <v>9526</v>
      </c>
      <c r="D167" s="5" t="str">
        <f ca="1">IFERROR(__xludf.DUMMYFUNCTION("GOOGLETRANSLATE(B167,""ja"",""vi"")"),"Ozumoshisu")</f>
        <v>Ozumoshisu</v>
      </c>
      <c r="E167" s="5" t="str">
        <f ca="1">IFERROR(__xludf.DUMMYFUNCTION("GOOGLETRANSLATE(C167,""ja"",""vi"")"),"Đấu giá&gt; Thời trang&gt; By Nhãn hiệu&gt; Liên hệ&gt; Ozumoshisu")</f>
        <v>Đấu giá&gt; Thời trang&gt; By Nhãn hiệu&gt; Liên hệ&gt; Ozumoshisu</v>
      </c>
      <c r="F167" t="str">
        <f t="shared" ca="1" si="2"/>
        <v>"2084050199" : "Ozumoshisu",</v>
      </c>
    </row>
    <row r="168" spans="1:6" ht="15.75" customHeight="1">
      <c r="A168" s="18">
        <v>2084050200</v>
      </c>
      <c r="B168" s="18" t="s">
        <v>9531</v>
      </c>
      <c r="C168" s="18" t="s">
        <v>9533</v>
      </c>
      <c r="D168" s="5" t="str">
        <f ca="1">IFERROR(__xludf.DUMMYFUNCTION("GOOGLETRANSLATE(B168,""ja"",""vi"")"),"Ozokku")</f>
        <v>Ozokku</v>
      </c>
      <c r="E168" s="5" t="str">
        <f ca="1">IFERROR(__xludf.DUMMYFUNCTION("GOOGLETRANSLATE(C168,""ja"",""vi"")"),"Đấu giá&gt; Thời trang&gt; By Nhãn hiệu&gt; Liên hệ&gt; Ozokku")</f>
        <v>Đấu giá&gt; Thời trang&gt; By Nhãn hiệu&gt; Liên hệ&gt; Ozokku</v>
      </c>
      <c r="F168" t="str">
        <f t="shared" ca="1" si="2"/>
        <v>"2084050200" : "Ozokku",</v>
      </c>
    </row>
    <row r="169" spans="1:6" ht="15.75" customHeight="1">
      <c r="A169" s="18">
        <v>2084048782</v>
      </c>
      <c r="B169" s="18" t="s">
        <v>9537</v>
      </c>
      <c r="C169" s="18" t="s">
        <v>9538</v>
      </c>
      <c r="D169" s="5" t="str">
        <f ca="1">IFERROR(__xludf.DUMMYFUNCTION("GOOGLETRANSLATE(B169,""ja"",""vi"")"),"cộng đồng ozone")</f>
        <v>cộng đồng ozone</v>
      </c>
      <c r="E169" s="5" t="str">
        <f ca="1">IFERROR(__xludf.DUMMYFUNCTION("GOOGLETRANSLATE(C169,""ja"",""vi"")"),"Đấu giá&gt; Thời trang&gt; By Nhãn hiệu&gt; Liên hệ&gt; cộng đồng ozone")</f>
        <v>Đấu giá&gt; Thời trang&gt; By Nhãn hiệu&gt; Liên hệ&gt; cộng đồng ozone</v>
      </c>
      <c r="F169" t="str">
        <f t="shared" ca="1" si="2"/>
        <v>"2084048782" : "cộng đồng ozone",</v>
      </c>
    </row>
    <row r="170" spans="1:6" ht="15.75" customHeight="1">
      <c r="A170" s="18">
        <v>2084229880</v>
      </c>
      <c r="B170" s="18" t="s">
        <v>9542</v>
      </c>
      <c r="C170" s="18" t="s">
        <v>9543</v>
      </c>
      <c r="D170" s="5" t="str">
        <f ca="1">IFERROR(__xludf.DUMMYFUNCTION("GOOGLETRANSLATE(B170,""ja"",""vi"")"),"bằng đường bộ")</f>
        <v>bằng đường bộ</v>
      </c>
      <c r="E170" s="5" t="str">
        <f ca="1">IFERROR(__xludf.DUMMYFUNCTION("GOOGLETRANSLATE(C170,""ja"",""vi"")"),"Đấu giá&gt; Thời trang&gt; By Nhãn hiệu&gt; Liên hệ&gt; Overland")</f>
        <v>Đấu giá&gt; Thời trang&gt; By Nhãn hiệu&gt; Liên hệ&gt; Overland</v>
      </c>
      <c r="F170" t="str">
        <f t="shared" ca="1" si="2"/>
        <v>"2084229880" : "bằng đường bộ",</v>
      </c>
    </row>
    <row r="171" spans="1:6" ht="15.75" customHeight="1">
      <c r="A171" s="18">
        <v>2084061425</v>
      </c>
      <c r="B171" s="18" t="s">
        <v>9548</v>
      </c>
      <c r="C171" s="18" t="s">
        <v>9549</v>
      </c>
      <c r="D171" s="5" t="str">
        <f ca="1">IFERROR(__xludf.DUMMYFUNCTION("GOOGLETRANSLATE(B171,""ja"",""vi"")"),"Alden")</f>
        <v>Alden</v>
      </c>
      <c r="E171" s="5" t="str">
        <f ca="1">IFERROR(__xludf.DUMMYFUNCTION("GOOGLETRANSLATE(C171,""ja"",""vi"")"),"Đấu giá&gt; Thời trang&gt; By Nhãn hiệu&gt; Liên hệ&gt; Alden")</f>
        <v>Đấu giá&gt; Thời trang&gt; By Nhãn hiệu&gt; Liên hệ&gt; Alden</v>
      </c>
      <c r="F171" t="str">
        <f t="shared" ca="1" si="2"/>
        <v>"2084061425" : "Alden",</v>
      </c>
    </row>
    <row r="172" spans="1:6" ht="15.75" customHeight="1">
      <c r="A172" s="18">
        <v>2084050198</v>
      </c>
      <c r="B172" s="18" t="s">
        <v>9554</v>
      </c>
      <c r="C172" s="18" t="s">
        <v>9555</v>
      </c>
      <c r="D172" s="5" t="str">
        <f ca="1">IFERROR(__xludf.DUMMYFUNCTION("GOOGLETRANSLATE(B172,""ja"",""vi"")"),"cũ Anh")</f>
        <v>cũ Anh</v>
      </c>
      <c r="E172" s="5" t="str">
        <f ca="1">IFERROR(__xludf.DUMMYFUNCTION("GOOGLETRANSLATE(C172,""ja"",""vi"")"),"Đấu giá&gt; Thời trang&gt; By Nhãn hiệu&gt; Liên hệ&gt; Old England")</f>
        <v>Đấu giá&gt; Thời trang&gt; By Nhãn hiệu&gt; Liên hệ&gt; Old England</v>
      </c>
      <c r="F172" t="str">
        <f t="shared" ca="1" si="2"/>
        <v>"2084050198" : "cũ Anh",</v>
      </c>
    </row>
    <row r="173" spans="1:6" ht="15.75" customHeight="1">
      <c r="A173" s="18">
        <v>2084303234</v>
      </c>
      <c r="B173" s="18" t="s">
        <v>9559</v>
      </c>
      <c r="C173" s="18" t="s">
        <v>9560</v>
      </c>
      <c r="D173" s="5" t="str">
        <f ca="1">IFERROR(__xludf.DUMMYFUNCTION("GOOGLETRANSLATE(B173,""ja"",""vi"")"),"Old Navy")</f>
        <v>Old Navy</v>
      </c>
      <c r="E173" s="5" t="str">
        <f ca="1">IFERROR(__xludf.DUMMYFUNCTION("GOOGLETRANSLATE(C173,""ja"",""vi"")"),"Đấu giá&gt; Thời trang&gt; By Nhãn hiệu&gt; Liên hệ&gt; Old Navy")</f>
        <v>Đấu giá&gt; Thời trang&gt; By Nhãn hiệu&gt; Liên hệ&gt; Old Navy</v>
      </c>
      <c r="F173" t="str">
        <f t="shared" ca="1" si="2"/>
        <v>"2084303234" : "Old Navy",</v>
      </c>
    </row>
    <row r="174" spans="1:6" ht="15.75" customHeight="1">
      <c r="A174" s="18">
        <v>2084050164</v>
      </c>
      <c r="B174" s="18" t="s">
        <v>9564</v>
      </c>
      <c r="C174" s="18" t="s">
        <v>9565</v>
      </c>
      <c r="D174" s="5" t="str">
        <f ca="1">IFERROR(__xludf.DUMMYFUNCTION("GOOGLETRANSLATE(B174,""ja"",""vi"")"),"Olive de Olive")</f>
        <v>Olive de Olive</v>
      </c>
      <c r="E174" s="5" t="str">
        <f ca="1">IFERROR(__xludf.DUMMYFUNCTION("GOOGLETRANSLATE(C174,""ja"",""vi"")"),"Đấu giá&gt; Thời trang&gt; By Nhãn hiệu&gt; Liên hệ&gt; Olive des Olive")</f>
        <v>Đấu giá&gt; Thời trang&gt; By Nhãn hiệu&gt; Liên hệ&gt; Olive des Olive</v>
      </c>
      <c r="F174" t="str">
        <f t="shared" ca="1" si="2"/>
        <v>"2084050164" : "Olive de Olive",</v>
      </c>
    </row>
    <row r="175" spans="1:6" ht="15.75" customHeight="1">
      <c r="A175" s="18">
        <v>2084210889</v>
      </c>
      <c r="B175" s="18" t="s">
        <v>9569</v>
      </c>
      <c r="C175" s="18" t="s">
        <v>9570</v>
      </c>
      <c r="D175" s="5" t="str">
        <f ca="1">IFERROR(__xludf.DUMMYFUNCTION("GOOGLETRANSLATE(B175,""ja"",""vi"")"),"Orobianko")</f>
        <v>Orobianko</v>
      </c>
      <c r="E175" s="5" t="str">
        <f ca="1">IFERROR(__xludf.DUMMYFUNCTION("GOOGLETRANSLATE(C175,""ja"",""vi"")"),"Đấu giá&gt; Thời trang&gt; By Nhãn hiệu&gt; Liên hệ&gt; Orobianko")</f>
        <v>Đấu giá&gt; Thời trang&gt; By Nhãn hiệu&gt; Liên hệ&gt; Orobianko</v>
      </c>
      <c r="F175" t="str">
        <f t="shared" ca="1" si="2"/>
        <v>"2084210889" : "Orobianko",</v>
      </c>
    </row>
    <row r="176" spans="1:6" ht="15.75" customHeight="1">
      <c r="A176" s="18">
        <v>2084285660</v>
      </c>
      <c r="B176" s="18" t="s">
        <v>46</v>
      </c>
      <c r="C176" s="18" t="s">
        <v>9574</v>
      </c>
      <c r="D176" s="5" t="str">
        <f ca="1">IFERROR(__xludf.DUMMYFUNCTION("GOOGLETRANSLATE(B176,""ja"",""vi"")"),"nếu không thì")</f>
        <v>nếu không thì</v>
      </c>
      <c r="E176" s="5" t="str">
        <f ca="1">IFERROR(__xludf.DUMMYFUNCTION("GOOGLETRANSLATE(C176,""ja"",""vi"")"),"Đấu giá&gt; Thời trang&gt; By Nhãn hiệu&gt; Liên hệ&gt; Khác")</f>
        <v>Đấu giá&gt; Thời trang&gt; By Nhãn hiệu&gt; Liên hệ&gt; Khác</v>
      </c>
      <c r="F176" t="str">
        <f t="shared" ca="1" si="2"/>
        <v>"2084285660" : "nếu không thì",</v>
      </c>
    </row>
    <row r="177" spans="1:6" ht="15.75" customHeight="1">
      <c r="A177" s="18">
        <v>2084298375</v>
      </c>
      <c r="B177" s="18" t="s">
        <v>9579</v>
      </c>
      <c r="C177" s="18" t="s">
        <v>9580</v>
      </c>
      <c r="D177" s="5" t="str">
        <f ca="1">IFERROR(__xludf.DUMMYFUNCTION("GOOGLETRANSLATE(B177,""ja"",""vi"")"),"kAON")</f>
        <v>kAON</v>
      </c>
      <c r="E177" s="5" t="str">
        <f ca="1">IFERROR(__xludf.DUMMYFUNCTION("GOOGLETRANSLATE(C177,""ja"",""vi"")"),"Đấu giá&gt; Thời trang&gt; By Nhãn hiệu&gt; hoặc&gt; KAON")</f>
        <v>Đấu giá&gt; Thời trang&gt; By Nhãn hiệu&gt; hoặc&gt; KAON</v>
      </c>
      <c r="F177" t="str">
        <f t="shared" ca="1" si="2"/>
        <v>"2084298375" : "kAON",</v>
      </c>
    </row>
    <row r="178" spans="1:6" ht="15.75" customHeight="1">
      <c r="A178" s="18">
        <v>2084238693</v>
      </c>
      <c r="B178" s="18" t="s">
        <v>9585</v>
      </c>
      <c r="C178" s="18" t="s">
        <v>9586</v>
      </c>
      <c r="D178" s="5" t="str">
        <f ca="1">IFERROR(__xludf.DUMMYFUNCTION("GOOGLETRANSLATE(B178,""ja"",""vi"")"),"CA4LA")</f>
        <v>CA4LA</v>
      </c>
      <c r="E178" s="5" t="str">
        <f ca="1">IFERROR(__xludf.DUMMYFUNCTION("GOOGLETRANSLATE(C178,""ja"",""vi"")"),"Đấu giá&gt; Thời trang&gt; By Nhãn hiệu&gt; hoặc&gt; CA4LA")</f>
        <v>Đấu giá&gt; Thời trang&gt; By Nhãn hiệu&gt; hoặc&gt; CA4LA</v>
      </c>
      <c r="F178" t="str">
        <f t="shared" ca="1" si="2"/>
        <v>"2084238693" : "CA4LA",</v>
      </c>
    </row>
    <row r="179" spans="1:6" ht="15.75" customHeight="1">
      <c r="A179" s="18">
        <v>2084050202</v>
      </c>
      <c r="B179" s="18" t="s">
        <v>9590</v>
      </c>
      <c r="C179" s="18" t="s">
        <v>9592</v>
      </c>
      <c r="D179" s="5" t="str">
        <f ca="1">IFERROR(__xludf.DUMMYFUNCTION("GOOGLETRANSLATE(B179,""ja"",""vi"")"),"Castelbajac")</f>
        <v>Castelbajac</v>
      </c>
      <c r="E179" s="5" t="str">
        <f ca="1">IFERROR(__xludf.DUMMYFUNCTION("GOOGLETRANSLATE(C179,""ja"",""vi"")"),"Đấu giá&gt; Thời trang&gt; By Nhãn hiệu&gt; hoặc&gt; Castelbajac")</f>
        <v>Đấu giá&gt; Thời trang&gt; By Nhãn hiệu&gt; hoặc&gt; Castelbajac</v>
      </c>
      <c r="F179" t="str">
        <f t="shared" ca="1" si="2"/>
        <v>"2084050202" : "Castelbajac",</v>
      </c>
    </row>
    <row r="180" spans="1:6" ht="15.75" customHeight="1">
      <c r="A180" s="18">
        <v>2084255845</v>
      </c>
      <c r="B180" s="18" t="s">
        <v>9594</v>
      </c>
      <c r="C180" s="18" t="s">
        <v>9597</v>
      </c>
      <c r="D180" s="5" t="str">
        <f ca="1">IFERROR(__xludf.DUMMYFUNCTION("GOOGLETRANSLATE(B180,""ja"",""vi"")"),"KATO`")</f>
        <v>KATO`</v>
      </c>
      <c r="E180" s="5" t="str">
        <f ca="1">IFERROR(__xludf.DUMMYFUNCTION("GOOGLETRANSLATE(C180,""ja"",""vi"")"),"Đấu giá&gt; Thời trang&gt; By Nhãn hiệu&gt; hoặc&gt; KATO`")</f>
        <v>Đấu giá&gt; Thời trang&gt; By Nhãn hiệu&gt; hoặc&gt; KATO`</v>
      </c>
      <c r="F180" t="str">
        <f t="shared" ca="1" si="2"/>
        <v>"2084255845" : "KATO`",</v>
      </c>
    </row>
    <row r="181" spans="1:6" ht="15.75" customHeight="1">
      <c r="A181" s="18">
        <v>2084050203</v>
      </c>
      <c r="B181" s="18" t="s">
        <v>9599</v>
      </c>
      <c r="C181" s="18" t="s">
        <v>9602</v>
      </c>
      <c r="D181" s="5" t="str">
        <f ca="1">IFERROR(__xludf.DUMMYFUNCTION("GOOGLETRANSLATE(B181,""ja"",""vi"")"),"Gotcha")</f>
        <v>Gotcha</v>
      </c>
      <c r="E181" s="5" t="str">
        <f ca="1">IFERROR(__xludf.DUMMYFUNCTION("GOOGLETRANSLATE(C181,""ja"",""vi"")"),"Đấu giá&gt; Thời trang&gt; By Nhãn hiệu&gt; hoặc&gt; Gotcha")</f>
        <v>Đấu giá&gt; Thời trang&gt; By Nhãn hiệu&gt; hoặc&gt; Gotcha</v>
      </c>
      <c r="F181" t="str">
        <f t="shared" ca="1" si="2"/>
        <v>"2084050203" : "Gotcha",</v>
      </c>
    </row>
    <row r="182" spans="1:6" ht="15.75" customHeight="1">
      <c r="A182" s="18">
        <v>2084315950</v>
      </c>
      <c r="B182" s="18" t="s">
        <v>9604</v>
      </c>
      <c r="C182" s="18" t="s">
        <v>9607</v>
      </c>
      <c r="D182" s="5" t="str">
        <f ca="1">IFERROR(__xludf.DUMMYFUNCTION("GOOGLETRANSLATE(B182,""ja"",""vi"")"),"Canada Goose")</f>
        <v>Canada Goose</v>
      </c>
      <c r="E182" s="5" t="str">
        <f ca="1">IFERROR(__xludf.DUMMYFUNCTION("GOOGLETRANSLATE(C182,""ja"",""vi"")"),"Đấu giá&gt; Thời trang&gt; By Nhãn hiệu&gt; hoặc&gt; Canada Goose")</f>
        <v>Đấu giá&gt; Thời trang&gt; By Nhãn hiệu&gt; hoặc&gt; Canada Goose</v>
      </c>
      <c r="F182" t="str">
        <f t="shared" ca="1" si="2"/>
        <v>"2084315950" : "Canada Goose",</v>
      </c>
    </row>
    <row r="183" spans="1:6" ht="15.75" customHeight="1">
      <c r="A183" s="18">
        <v>2084298376</v>
      </c>
      <c r="B183" s="18" t="s">
        <v>9609</v>
      </c>
      <c r="C183" s="18" t="s">
        <v>9611</v>
      </c>
      <c r="D183" s="5" t="str">
        <f ca="1">IFERROR(__xludf.DUMMYFUNCTION("GOOGLETRANSLATE(B183,""ja"",""vi"")"),"Kanekoisao")</f>
        <v>Kanekoisao</v>
      </c>
      <c r="E183" s="5" t="str">
        <f ca="1">IFERROR(__xludf.DUMMYFUNCTION("GOOGLETRANSLATE(C183,""ja"",""vi"")"),"Đấu giá&gt; Thời trang&gt; By Nhãn hiệu&gt; hoặc&gt; Kanekoisao")</f>
        <v>Đấu giá&gt; Thời trang&gt; By Nhãn hiệu&gt; hoặc&gt; Kanekoisao</v>
      </c>
      <c r="F183" t="str">
        <f t="shared" ca="1" si="2"/>
        <v>"2084298376" : "Kanekoisao",</v>
      </c>
    </row>
    <row r="184" spans="1:6" ht="15.75" customHeight="1">
      <c r="A184" s="18">
        <v>2084263642</v>
      </c>
      <c r="B184" s="18" t="s">
        <v>9614</v>
      </c>
      <c r="C184" s="18" t="s">
        <v>9617</v>
      </c>
      <c r="D184" s="5" t="str">
        <f ca="1">IFERROR(__xludf.DUMMYFUNCTION("GOOGLETRANSLATE(B184,""ja"",""vi"")"),"KAVU")</f>
        <v>KAVU</v>
      </c>
      <c r="E184" s="5" t="str">
        <f ca="1">IFERROR(__xludf.DUMMYFUNCTION("GOOGLETRANSLATE(C184,""ja"",""vi"")"),"Đấu giá&gt; Thời trang&gt; By Nhãn hiệu&gt; hoặc&gt; KAVU")</f>
        <v>Đấu giá&gt; Thời trang&gt; By Nhãn hiệu&gt; hoặc&gt; KAVU</v>
      </c>
      <c r="F184" t="str">
        <f t="shared" ca="1" si="2"/>
        <v>"2084263642" : "KAVU",</v>
      </c>
    </row>
    <row r="185" spans="1:6" ht="15.75" customHeight="1">
      <c r="A185" s="18">
        <v>2084050165</v>
      </c>
      <c r="B185" s="18" t="s">
        <v>9622</v>
      </c>
      <c r="C185" s="18" t="s">
        <v>9625</v>
      </c>
      <c r="D185" s="5" t="str">
        <f ca="1">IFERROR(__xludf.DUMMYFUNCTION("GOOGLETRANSLATE(B185,""ja"",""vi"")"),"Carhartt")</f>
        <v>Carhartt</v>
      </c>
      <c r="E185" s="5" t="str">
        <f ca="1">IFERROR(__xludf.DUMMYFUNCTION("GOOGLETRANSLATE(C185,""ja"",""vi"")"),"Đấu giá&gt; Thời trang&gt; By Nhãn hiệu&gt; hoặc&gt; Carhartt")</f>
        <v>Đấu giá&gt; Thời trang&gt; By Nhãn hiệu&gt; hoặc&gt; Carhartt</v>
      </c>
      <c r="F185" t="str">
        <f t="shared" ca="1" si="2"/>
        <v>"2084050165" : "Carhartt",</v>
      </c>
    </row>
    <row r="186" spans="1:6" ht="15.75" customHeight="1">
      <c r="A186" s="18">
        <v>2084048682</v>
      </c>
      <c r="B186" s="18" t="s">
        <v>9627</v>
      </c>
      <c r="C186" s="18" t="s">
        <v>9629</v>
      </c>
      <c r="D186" s="5" t="str">
        <f ca="1">IFERROR(__xludf.DUMMYFUNCTION("GOOGLETRANSLATE(B186,""ja"",""vi"")"),"Túi de Zucca")</f>
        <v>Túi de Zucca</v>
      </c>
      <c r="E186" s="5" t="str">
        <f ca="1">IFERROR(__xludf.DUMMYFUNCTION("GOOGLETRANSLATE(C186,""ja"",""vi"")"),"Đấu giá&gt; Thời trang&gt; By Nhãn hiệu&gt; hoặc&gt; túi de Zucca")</f>
        <v>Đấu giá&gt; Thời trang&gt; By Nhãn hiệu&gt; hoặc&gt; túi de Zucca</v>
      </c>
      <c r="F186" t="str">
        <f t="shared" ca="1" si="2"/>
        <v>"2084048682" : "Túi de Zucca",</v>
      </c>
    </row>
    <row r="187" spans="1:6" ht="15.75" customHeight="1">
      <c r="A187" s="18">
        <v>2084048784</v>
      </c>
      <c r="B187" s="18" t="s">
        <v>9633</v>
      </c>
      <c r="C187" s="18" t="s">
        <v>9636</v>
      </c>
      <c r="D187" s="5" t="str">
        <f ca="1">IFERROR(__xludf.DUMMYFUNCTION("GOOGLETRANSLATE(B187,""ja"",""vi"")"),"Kapalua")</f>
        <v>Kapalua</v>
      </c>
      <c r="E187" s="5" t="str">
        <f ca="1">IFERROR(__xludf.DUMMYFUNCTION("GOOGLETRANSLATE(C187,""ja"",""vi"")"),"Đấu giá&gt; Thời trang&gt; By Nhãn hiệu&gt; hoặc&gt; Kapalua")</f>
        <v>Đấu giá&gt; Thời trang&gt; By Nhãn hiệu&gt; hoặc&gt; Kapalua</v>
      </c>
      <c r="F187" t="str">
        <f t="shared" ca="1" si="2"/>
        <v>"2084048784" : "Kapalua",</v>
      </c>
    </row>
    <row r="188" spans="1:6" ht="15.75" customHeight="1">
      <c r="A188" s="18">
        <v>2084241623</v>
      </c>
      <c r="B188" s="18" t="s">
        <v>9638</v>
      </c>
      <c r="C188" s="18" t="s">
        <v>9641</v>
      </c>
      <c r="D188" s="5" t="str">
        <f ca="1">IFERROR(__xludf.DUMMYFUNCTION("GOOGLETRANSLATE(B188,""ja"",""vi"")"),"kolor")</f>
        <v>kolor</v>
      </c>
      <c r="E188" s="5" t="str">
        <f ca="1">IFERROR(__xludf.DUMMYFUNCTION("GOOGLETRANSLATE(C188,""ja"",""vi"")"),"Đấu giá&gt; Thời trang&gt; By Nhãn hiệu&gt; hoặc&gt; kolor")</f>
        <v>Đấu giá&gt; Thời trang&gt; By Nhãn hiệu&gt; hoặc&gt; kolor</v>
      </c>
      <c r="F188" t="str">
        <f t="shared" ca="1" si="2"/>
        <v>"2084241623" : "kolor",</v>
      </c>
    </row>
    <row r="189" spans="1:6" ht="15.75" customHeight="1">
      <c r="A189" s="18">
        <v>2084261144</v>
      </c>
      <c r="B189" s="18" t="s">
        <v>9644</v>
      </c>
      <c r="C189" s="18" t="s">
        <v>9646</v>
      </c>
      <c r="D189" s="5" t="str">
        <f ca="1">IFERROR(__xludf.DUMMYFUNCTION("GOOGLETRANSLATE(B189,""ja"",""vi"")"),"Carl Helm")</f>
        <v>Carl Helm</v>
      </c>
      <c r="E189" s="5" t="str">
        <f ca="1">IFERROR(__xludf.DUMMYFUNCTION("GOOGLETRANSLATE(C189,""ja"",""vi"")"),"Đấu giá&gt; Thời trang&gt; By Nhãn hiệu&gt; hoặc&gt; Carl Helm")</f>
        <v>Đấu giá&gt; Thời trang&gt; By Nhãn hiệu&gt; hoặc&gt; Carl Helm</v>
      </c>
      <c r="F189" t="str">
        <f t="shared" ca="1" si="2"/>
        <v>"2084261144" : "Carl Helm",</v>
      </c>
    </row>
    <row r="190" spans="1:6" ht="15.75" customHeight="1">
      <c r="A190" s="18">
        <v>2084283144</v>
      </c>
      <c r="B190" s="18" t="s">
        <v>9649</v>
      </c>
      <c r="C190" s="18" t="s">
        <v>9651</v>
      </c>
      <c r="D190" s="5" t="str">
        <f ca="1">IFERROR(__xludf.DUMMYFUNCTION("GOOGLETRANSLATE(B190,""ja"",""vi"")"),"Kariangu")</f>
        <v>Kariangu</v>
      </c>
      <c r="E190" s="5" t="str">
        <f ca="1">IFERROR(__xludf.DUMMYFUNCTION("GOOGLETRANSLATE(C190,""ja"",""vi"")"),"Đấu giá&gt; Thời trang&gt; By Nhãn hiệu&gt; hoặc&gt; Kariangu")</f>
        <v>Đấu giá&gt; Thời trang&gt; By Nhãn hiệu&gt; hoặc&gt; Kariangu</v>
      </c>
      <c r="F190" t="str">
        <f t="shared" ca="1" si="2"/>
        <v>"2084283144" : "Kariangu",</v>
      </c>
    </row>
    <row r="191" spans="1:6" ht="15.75" customHeight="1">
      <c r="A191" s="18">
        <v>2084203609</v>
      </c>
      <c r="B191" s="18" t="s">
        <v>9653</v>
      </c>
      <c r="C191" s="18" t="s">
        <v>9654</v>
      </c>
      <c r="D191" s="5" t="str">
        <f ca="1">IFERROR(__xludf.DUMMYFUNCTION("GOOGLETRANSLATE(B191,""ja"",""vi"")"),"Karima")</f>
        <v>Karima</v>
      </c>
      <c r="E191" s="5" t="str">
        <f ca="1">IFERROR(__xludf.DUMMYFUNCTION("GOOGLETRANSLATE(C191,""ja"",""vi"")"),"Đấu giá&gt; Thời trang&gt; By Nhãn hiệu&gt; hoặc&gt; Carimar")</f>
        <v>Đấu giá&gt; Thời trang&gt; By Nhãn hiệu&gt; hoặc&gt; Carimar</v>
      </c>
      <c r="F191" t="str">
        <f t="shared" ca="1" si="2"/>
        <v>"2084203609" : "Karima",</v>
      </c>
    </row>
    <row r="192" spans="1:6" ht="15.75" customHeight="1">
      <c r="A192" s="18">
        <v>2084052604</v>
      </c>
      <c r="B192" s="18" t="s">
        <v>9658</v>
      </c>
      <c r="C192" s="18" t="s">
        <v>9659</v>
      </c>
      <c r="D192" s="5" t="str">
        <f ca="1">IFERROR(__xludf.DUMMYFUNCTION("GOOGLETRANSLATE(B192,""ja"",""vi"")"),"Cartier")</f>
        <v>Cartier</v>
      </c>
      <c r="E192" s="5" t="str">
        <f ca="1">IFERROR(__xludf.DUMMYFUNCTION("GOOGLETRANSLATE(C192,""ja"",""vi"")"),"Đấu giá&gt; Thời trang&gt; By Nhãn hiệu&gt; hoặc&gt; Cartier")</f>
        <v>Đấu giá&gt; Thời trang&gt; By Nhãn hiệu&gt; hoặc&gt; Cartier</v>
      </c>
      <c r="F192" t="str">
        <f t="shared" ca="1" si="2"/>
        <v>"2084052604" : "Cartier",</v>
      </c>
    </row>
    <row r="193" spans="1:6" ht="15.75" customHeight="1">
      <c r="A193" s="18">
        <v>2084048600</v>
      </c>
      <c r="B193" s="18" t="s">
        <v>9663</v>
      </c>
      <c r="C193" s="18" t="s">
        <v>9664</v>
      </c>
      <c r="D193" s="5" t="str">
        <f ca="1">IFERROR(__xludf.DUMMYFUNCTION("GOOGLETRANSLATE(B193,""ja"",""vi"")"),"Calvin Klein")</f>
        <v>Calvin Klein</v>
      </c>
      <c r="E193" s="5" t="str">
        <f ca="1">IFERROR(__xludf.DUMMYFUNCTION("GOOGLETRANSLATE(C193,""ja"",""vi"")"),"Đấu giá&gt; Thời trang&gt; By Nhãn hiệu&gt; hoặc&gt; Calvin Klein")</f>
        <v>Đấu giá&gt; Thời trang&gt; By Nhãn hiệu&gt; hoặc&gt; Calvin Klein</v>
      </c>
      <c r="F193" t="str">
        <f t="shared" ca="1" si="2"/>
        <v>"2084048600" : "Calvin Klein",</v>
      </c>
    </row>
    <row r="194" spans="1:6" ht="15.75" customHeight="1">
      <c r="A194" s="18">
        <v>2084199117</v>
      </c>
      <c r="B194" s="18" t="s">
        <v>9668</v>
      </c>
      <c r="C194" s="18" t="s">
        <v>9669</v>
      </c>
      <c r="D194" s="5" t="str">
        <f ca="1">IFERROR(__xludf.DUMMYFUNCTION("GOOGLETRANSLATE(B194,""ja"",""vi"")"),"Carpe Diem")</f>
        <v>Carpe Diem</v>
      </c>
      <c r="E194" s="5" t="str">
        <f ca="1">IFERROR(__xludf.DUMMYFUNCTION("GOOGLETRANSLATE(C194,""ja"",""vi"")"),"Đấu giá&gt; Thời trang&gt; By Nhãn hiệu&gt; hoặc&gt; Carpe Diem")</f>
        <v>Đấu giá&gt; Thời trang&gt; By Nhãn hiệu&gt; hoặc&gt; Carpe Diem</v>
      </c>
      <c r="F194" t="str">
        <f t="shared" ref="F194:F257" ca="1" si="3">CONCATENATE(CHAR(34)&amp;"",A194,""&amp;CHAR(34)," : ", CHAR(34)&amp;"",D194,""&amp;CHAR(34),",")</f>
        <v>"2084199117" : "Carpe Diem",</v>
      </c>
    </row>
    <row r="195" spans="1:6" ht="15.75" customHeight="1">
      <c r="A195" s="18">
        <v>2084054625</v>
      </c>
      <c r="B195" s="18" t="s">
        <v>9673</v>
      </c>
      <c r="C195" s="18" t="s">
        <v>9675</v>
      </c>
      <c r="D195" s="5" t="str">
        <f ca="1">IFERROR(__xludf.DUMMYFUNCTION("GOOGLETRANSLATE(B195,""ja"",""vi"")"),"Garcia Marquez, Crystal Ball")</f>
        <v>Garcia Marquez, Crystal Ball</v>
      </c>
      <c r="E195" s="5" t="str">
        <f ca="1">IFERROR(__xludf.DUMMYFUNCTION("GOOGLETRANSLATE(C195,""ja"",""vi"")"),"Đấu giá&gt; Thời trang&gt; By Nhãn hiệu&gt; hoặc&gt; Garcia Marquez, Crystal Ball")</f>
        <v>Đấu giá&gt; Thời trang&gt; By Nhãn hiệu&gt; hoặc&gt; Garcia Marquez, Crystal Ball</v>
      </c>
      <c r="F195" t="str">
        <f t="shared" ca="1" si="3"/>
        <v>"2084054625" : "Garcia Marquez, Crystal Ball",</v>
      </c>
    </row>
    <row r="196" spans="1:6" ht="15.75" customHeight="1">
      <c r="A196" s="18">
        <v>2084298378</v>
      </c>
      <c r="B196" s="18" t="s">
        <v>9678</v>
      </c>
      <c r="C196" s="18" t="s">
        <v>9679</v>
      </c>
      <c r="D196" s="5" t="str">
        <f ca="1">IFERROR(__xludf.DUMMYFUNCTION("GOOGLETRANSLATE(B196,""ja"",""vi"")"),"xoăn Collection")</f>
        <v>xoăn Collection</v>
      </c>
      <c r="E196" s="5" t="str">
        <f ca="1">IFERROR(__xludf.DUMMYFUNCTION("GOOGLETRANSLATE(C196,""ja"",""vi"")"),"Đấu giá&gt; Thời trang&gt; By Nhãn hiệu&gt; hoặc&gt; Quăn Collection")</f>
        <v>Đấu giá&gt; Thời trang&gt; By Nhãn hiệu&gt; hoặc&gt; Quăn Collection</v>
      </c>
      <c r="F196" t="str">
        <f t="shared" ca="1" si="3"/>
        <v>"2084298378" : "xoăn Collection",</v>
      </c>
    </row>
    <row r="197" spans="1:6" ht="15.75" customHeight="1">
      <c r="A197" s="18">
        <v>2084050206</v>
      </c>
      <c r="B197" s="18" t="s">
        <v>9682</v>
      </c>
      <c r="C197" s="18" t="s">
        <v>9684</v>
      </c>
      <c r="D197" s="5" t="str">
        <f ca="1">IFERROR(__xludf.DUMMYFUNCTION("GOOGLETRANSLATE(B197,""ja"",""vi"")"),"Kangol")</f>
        <v>Kangol</v>
      </c>
      <c r="E197" s="5" t="str">
        <f ca="1">IFERROR(__xludf.DUMMYFUNCTION("GOOGLETRANSLATE(C197,""ja"",""vi"")"),"Đấu giá&gt; Thời trang&gt; By Nhãn hiệu&gt; hoặc&gt; Kangol")</f>
        <v>Đấu giá&gt; Thời trang&gt; By Nhãn hiệu&gt; hoặc&gt; Kangol</v>
      </c>
      <c r="F197" t="str">
        <f t="shared" ca="1" si="3"/>
        <v>"2084050206" : "Kangol",</v>
      </c>
    </row>
    <row r="198" spans="1:6" ht="15.75" customHeight="1">
      <c r="A198" s="18">
        <v>2084227589</v>
      </c>
      <c r="B198" s="18" t="s">
        <v>9686</v>
      </c>
      <c r="C198" s="18" t="s">
        <v>9687</v>
      </c>
      <c r="D198" s="5" t="str">
        <f ca="1">IFERROR(__xludf.DUMMYFUNCTION("GOOGLETRANSLATE(B198,""ja"",""vi"")"),"Quimper")</f>
        <v>Quimper</v>
      </c>
      <c r="E198" s="5" t="str">
        <f ca="1">IFERROR(__xludf.DUMMYFUNCTION("GOOGLETRANSLATE(C198,""ja"",""vi"")"),"Đấu giá&gt; Thời trang&gt; By Nhãn hiệu&gt; hoặc&gt; Quimper")</f>
        <v>Đấu giá&gt; Thời trang&gt; By Nhãn hiệu&gt; hoặc&gt; Quimper</v>
      </c>
      <c r="F198" t="str">
        <f t="shared" ca="1" si="3"/>
        <v>"2084227589" : "Quimper",</v>
      </c>
    </row>
    <row r="199" spans="1:6" ht="15.75" customHeight="1">
      <c r="A199" s="18">
        <v>2084285675</v>
      </c>
      <c r="B199" s="18" t="s">
        <v>46</v>
      </c>
      <c r="C199" s="18" t="s">
        <v>9690</v>
      </c>
      <c r="D199" s="5" t="str">
        <f ca="1">IFERROR(__xludf.DUMMYFUNCTION("GOOGLETRANSLATE(B199,""ja"",""vi"")"),"nếu không thì")</f>
        <v>nếu không thì</v>
      </c>
      <c r="E199" s="5" t="str">
        <f ca="1">IFERROR(__xludf.DUMMYFUNCTION("GOOGLETRANSLATE(C199,""ja"",""vi"")"),"Đấu giá&gt; Thời trang&gt; By Nhãn hiệu&gt; hoặc&gt; Khác")</f>
        <v>Đấu giá&gt; Thời trang&gt; By Nhãn hiệu&gt; hoặc&gt; Khác</v>
      </c>
      <c r="F199" t="str">
        <f t="shared" ca="1" si="3"/>
        <v>"2084285675" : "nếu không thì",</v>
      </c>
    </row>
    <row r="200" spans="1:6" ht="15.75" customHeight="1">
      <c r="A200" s="18">
        <v>2084050208</v>
      </c>
      <c r="B200" s="18" t="s">
        <v>9694</v>
      </c>
      <c r="C200" s="18" t="s">
        <v>9696</v>
      </c>
      <c r="D200" s="5" t="str">
        <f ca="1">IFERROR(__xludf.DUMMYFUNCTION("GOOGLETRANSLATE(B200,""ja"",""vi"")"),"Kipling")</f>
        <v>Kipling</v>
      </c>
      <c r="E200" s="5" t="str">
        <f ca="1">IFERROR(__xludf.DUMMYFUNCTION("GOOGLETRANSLATE(C200,""ja"",""vi"")"),"Đấu giá&gt; Thời trang&gt; By Nhãn hiệu&gt; out&gt; Kipling")</f>
        <v>Đấu giá&gt; Thời trang&gt; By Nhãn hiệu&gt; out&gt; Kipling</v>
      </c>
      <c r="F200" t="str">
        <f t="shared" ca="1" si="3"/>
        <v>"2084050208" : "Kipling",</v>
      </c>
    </row>
    <row r="201" spans="1:6" ht="15.75" customHeight="1">
      <c r="A201" s="18">
        <v>2084215719</v>
      </c>
      <c r="B201" s="18" t="s">
        <v>9700</v>
      </c>
      <c r="C201" s="18" t="s">
        <v>9701</v>
      </c>
      <c r="D201" s="5" t="str">
        <f ca="1">IFERROR(__xludf.DUMMYFUNCTION("GOOGLETRANSLATE(B201,""ja"",""vi"")"),"XOXO")</f>
        <v>XOXO</v>
      </c>
      <c r="E201" s="5" t="str">
        <f ca="1">IFERROR(__xludf.DUMMYFUNCTION("GOOGLETRANSLATE(C201,""ja"",""vi"")"),"Đấu giá&gt; Thời trang&gt; By Nhãn hiệu&gt; out&gt; XOXO")</f>
        <v>Đấu giá&gt; Thời trang&gt; By Nhãn hiệu&gt; out&gt; XOXO</v>
      </c>
      <c r="F201" t="str">
        <f t="shared" ca="1" si="3"/>
        <v>"2084215719" : "XOXO",</v>
      </c>
    </row>
    <row r="202" spans="1:6" ht="15.75" customHeight="1">
      <c r="A202" s="18">
        <v>2084048601</v>
      </c>
      <c r="B202" s="18" t="s">
        <v>9706</v>
      </c>
      <c r="C202" s="18" t="s">
        <v>9707</v>
      </c>
      <c r="D202" s="5" t="str">
        <f ca="1">IFERROR(__xludf.DUMMYFUNCTION("GOOGLETRANSLATE(B202,""ja"",""vi"")"),"Kitamura")</f>
        <v>Kitamura</v>
      </c>
      <c r="E202" s="5" t="str">
        <f ca="1">IFERROR(__xludf.DUMMYFUNCTION("GOOGLETRANSLATE(C202,""ja"",""vi"")"),"Đấu giá&gt; Thời trang&gt; By Nhãn hiệu&gt; out&gt; Kitamura")</f>
        <v>Đấu giá&gt; Thời trang&gt; By Nhãn hiệu&gt; out&gt; Kitamura</v>
      </c>
      <c r="F202" t="str">
        <f t="shared" ca="1" si="3"/>
        <v>"2084048601" : "Kitamura",</v>
      </c>
    </row>
    <row r="203" spans="1:6" ht="15.75" customHeight="1">
      <c r="A203" s="18">
        <v>2084243361</v>
      </c>
      <c r="B203" s="18" t="s">
        <v>9711</v>
      </c>
      <c r="C203" s="18" t="s">
        <v>9713</v>
      </c>
      <c r="D203" s="5" t="str">
        <f ca="1">IFERROR(__xludf.DUMMYFUNCTION("GOOGLETRANSLATE(B203,""ja"",""vi"")"),"Kitson")</f>
        <v>Kitson</v>
      </c>
      <c r="E203" s="5" t="str">
        <f ca="1">IFERROR(__xludf.DUMMYFUNCTION("GOOGLETRANSLATE(C203,""ja"",""vi"")"),"Đấu giá&gt; Thời trang&gt; By Nhãn hiệu&gt; out&gt; Kitson")</f>
        <v>Đấu giá&gt; Thời trang&gt; By Nhãn hiệu&gt; out&gt; Kitson</v>
      </c>
      <c r="F203" t="str">
        <f t="shared" ca="1" si="3"/>
        <v>"2084243361" : "Kitson",</v>
      </c>
    </row>
    <row r="204" spans="1:6" ht="15.75" customHeight="1">
      <c r="A204" s="18">
        <v>2084301253</v>
      </c>
      <c r="B204" s="18" t="s">
        <v>9718</v>
      </c>
      <c r="C204" s="18" t="s">
        <v>9719</v>
      </c>
      <c r="D204" s="5" t="str">
        <f ca="1">IFERROR(__xludf.DUMMYFUNCTION("GOOGLETRANSLATE(B204,""ja"",""vi"")"),"cantwo")</f>
        <v>cantwo</v>
      </c>
      <c r="E204" s="5" t="str">
        <f ca="1">IFERROR(__xludf.DUMMYFUNCTION("GOOGLETRANSLATE(C204,""ja"",""vi"")"),"Đấu giá&gt; Thời trang&gt; By Nhãn hiệu&gt; out&gt; cantwo")</f>
        <v>Đấu giá&gt; Thời trang&gt; By Nhãn hiệu&gt; out&gt; cantwo</v>
      </c>
      <c r="F204" t="str">
        <f t="shared" ca="1" si="3"/>
        <v>"2084301253" : "cantwo",</v>
      </c>
    </row>
    <row r="205" spans="1:6" ht="15.75" customHeight="1">
      <c r="A205" s="18">
        <v>2084048786</v>
      </c>
      <c r="B205" s="18" t="s">
        <v>9724</v>
      </c>
      <c r="C205" s="18" t="s">
        <v>9725</v>
      </c>
      <c r="D205" s="5" t="str">
        <f ca="1">IFERROR(__xludf.DUMMYFUNCTION("GOOGLETRANSLATE(B205,""ja"",""vi"")"),"Katherine Hamnett")</f>
        <v>Katherine Hamnett</v>
      </c>
      <c r="E205" s="5" t="str">
        <f ca="1">IFERROR(__xludf.DUMMYFUNCTION("GOOGLETRANSLATE(C205,""ja"",""vi"")"),"Đấu giá&gt; Thời trang&gt; By Nhãn hiệu&gt; out&gt; Katharine Hamnett")</f>
        <v>Đấu giá&gt; Thời trang&gt; By Nhãn hiệu&gt; out&gt; Katharine Hamnett</v>
      </c>
      <c r="F205" t="str">
        <f t="shared" ca="1" si="3"/>
        <v>"2084048786" : "Katherine Hamnett",</v>
      </c>
    </row>
    <row r="206" spans="1:6" ht="15.75" customHeight="1">
      <c r="A206" s="18">
        <v>2084205189</v>
      </c>
      <c r="B206" s="18" t="s">
        <v>9730</v>
      </c>
      <c r="C206" s="18" t="s">
        <v>9731</v>
      </c>
      <c r="D206" s="5" t="str">
        <f ca="1">IFERROR(__xludf.DUMMYFUNCTION("GOOGLETRANSLATE(B206,""ja"",""vi"")"),"Cacharel")</f>
        <v>Cacharel</v>
      </c>
      <c r="E206" s="5" t="str">
        <f ca="1">IFERROR(__xludf.DUMMYFUNCTION("GOOGLETRANSLATE(C206,""ja"",""vi"")"),"Đấu giá&gt; Thời trang&gt; By Nhãn hiệu&gt; out&gt; Cacharel")</f>
        <v>Đấu giá&gt; Thời trang&gt; By Nhãn hiệu&gt; out&gt; Cacharel</v>
      </c>
      <c r="F206" t="str">
        <f t="shared" ca="1" si="3"/>
        <v>"2084205189" : "Cacharel",</v>
      </c>
    </row>
    <row r="207" spans="1:6" ht="15.75" customHeight="1">
      <c r="A207" s="18">
        <v>2084222740</v>
      </c>
      <c r="B207" s="18" t="s">
        <v>9736</v>
      </c>
      <c r="C207" s="18" t="s">
        <v>9737</v>
      </c>
      <c r="D207" s="5" t="str">
        <f ca="1">IFERROR(__xludf.DUMMYFUNCTION("GOOGLETRANSLATE(B207,""ja"",""vi"")"),"Cath Kidston")</f>
        <v>Cath Kidston</v>
      </c>
      <c r="E207" s="5" t="str">
        <f ca="1">IFERROR(__xludf.DUMMYFUNCTION("GOOGLETRANSLATE(C207,""ja"",""vi"")"),"Đấu giá&gt; Thời trang&gt; By Nhãn hiệu&gt; out&gt; Cath Kidston")</f>
        <v>Đấu giá&gt; Thời trang&gt; By Nhãn hiệu&gt; out&gt; Cath Kidston</v>
      </c>
      <c r="F207" t="str">
        <f t="shared" ca="1" si="3"/>
        <v>"2084222740" : "Cath Kidston",</v>
      </c>
    </row>
    <row r="208" spans="1:6" ht="15.75" customHeight="1">
      <c r="A208" s="18">
        <v>2084228064</v>
      </c>
      <c r="B208" s="18" t="s">
        <v>9742</v>
      </c>
      <c r="C208" s="18" t="s">
        <v>9743</v>
      </c>
      <c r="D208" s="5" t="str">
        <f ca="1">IFERROR(__xludf.DUMMYFUNCTION("GOOGLETRANSLATE(B208,""ja"",""vi"")"),"vốn")</f>
        <v>vốn</v>
      </c>
      <c r="E208" s="5" t="str">
        <f ca="1">IFERROR(__xludf.DUMMYFUNCTION("GOOGLETRANSLATE(C208,""ja"",""vi"")"),"Đấu giá&gt; Thời trang&gt; By Nhãn hiệu&gt; out&gt; Capital")</f>
        <v>Đấu giá&gt; Thời trang&gt; By Nhãn hiệu&gt; out&gt; Capital</v>
      </c>
      <c r="F208" t="str">
        <f t="shared" ca="1" si="3"/>
        <v>"2084228064" : "vốn",</v>
      </c>
    </row>
    <row r="209" spans="1:6" ht="15.75" customHeight="1">
      <c r="A209" s="18">
        <v>2084194494</v>
      </c>
      <c r="B209" s="18" t="s">
        <v>9747</v>
      </c>
      <c r="C209" s="18" t="s">
        <v>9749</v>
      </c>
      <c r="D209" s="5" t="str">
        <f ca="1">IFERROR(__xludf.DUMMYFUNCTION("GOOGLETRANSLATE(B209,""ja"",""vi"")"),"Captain ông già Noel")</f>
        <v>Captain ông già Noel</v>
      </c>
      <c r="E209" s="5" t="str">
        <f ca="1">IFERROR(__xludf.DUMMYFUNCTION("GOOGLETRANSLATE(C209,""ja"",""vi"")"),"Đấu giá&gt; Thời trang&gt; By Nhãn hiệu&gt; out&gt; Captain ông già Noel")</f>
        <v>Đấu giá&gt; Thời trang&gt; By Nhãn hiệu&gt; out&gt; Captain ông già Noel</v>
      </c>
      <c r="F209" t="str">
        <f t="shared" ca="1" si="3"/>
        <v>"2084194494" : "Captain ông già Noel",</v>
      </c>
    </row>
    <row r="210" spans="1:6" ht="15.75" customHeight="1">
      <c r="A210" s="18">
        <v>2084048602</v>
      </c>
      <c r="B210" s="18" t="s">
        <v>9751</v>
      </c>
      <c r="C210" s="18" t="s">
        <v>9754</v>
      </c>
      <c r="D210" s="5" t="str">
        <f ca="1">IFERROR(__xludf.DUMMYFUNCTION("GOOGLETRANSLATE(B210,""ja"",""vi"")"),"khoảng trống")</f>
        <v>khoảng trống</v>
      </c>
      <c r="E210" s="5" t="str">
        <f ca="1">IFERROR(__xludf.DUMMYFUNCTION("GOOGLETRANSLATE(C210,""ja"",""vi"")"),"Đấu giá&gt; Thời trang&gt; By Nhãn hiệu&gt; out&gt; Gap")</f>
        <v>Đấu giá&gt; Thời trang&gt; By Nhãn hiệu&gt; out&gt; Gap</v>
      </c>
      <c r="F210" t="str">
        <f t="shared" ca="1" si="3"/>
        <v>"2084048602" : "khoảng trống",</v>
      </c>
    </row>
    <row r="211" spans="1:6" ht="15.75" customHeight="1">
      <c r="A211" s="18">
        <v>2084242551</v>
      </c>
      <c r="B211" s="18" t="s">
        <v>9755</v>
      </c>
      <c r="C211" s="18" t="s">
        <v>9756</v>
      </c>
      <c r="D211" s="5" t="str">
        <f ca="1">IFERROR(__xludf.DUMMYFUNCTION("GOOGLETRANSLATE(B211,""ja"",""vi"")"),"Gyaminuryi")</f>
        <v>Gyaminuryi</v>
      </c>
      <c r="E211" s="5" t="str">
        <f ca="1">IFERROR(__xludf.DUMMYFUNCTION("GOOGLETRANSLATE(C211,""ja"",""vi"")"),"Đấu giá&gt; Thời trang&gt; By Nhãn hiệu&gt; out&gt; Gyaminuryi")</f>
        <v>Đấu giá&gt; Thời trang&gt; By Nhãn hiệu&gt; out&gt; Gyaminuryi</v>
      </c>
      <c r="F211" t="str">
        <f t="shared" ca="1" si="3"/>
        <v>"2084242551" : "Gyaminuryi",</v>
      </c>
    </row>
    <row r="212" spans="1:6" ht="15.75" customHeight="1">
      <c r="A212" s="18">
        <v>2084283145</v>
      </c>
      <c r="B212" s="18" t="s">
        <v>9761</v>
      </c>
      <c r="C212" s="18" t="s">
        <v>9762</v>
      </c>
      <c r="D212" s="5" t="str">
        <f ca="1">IFERROR(__xludf.DUMMYFUNCTION("GOOGLETRANSLATE(B212,""ja"",""vi"")"),"Galerie Vee")</f>
        <v>Galerie Vee</v>
      </c>
      <c r="E212" s="5" t="str">
        <f ca="1">IFERROR(__xludf.DUMMYFUNCTION("GOOGLETRANSLATE(C212,""ja"",""vi"")"),"Đấu giá&gt; Thời trang&gt; By Nhãn hiệu&gt; out&gt; Galerie Vee")</f>
        <v>Đấu giá&gt; Thời trang&gt; By Nhãn hiệu&gt; out&gt; Galerie Vee</v>
      </c>
      <c r="F212" t="str">
        <f t="shared" ca="1" si="3"/>
        <v>"2084283145" : "Galerie Vee",</v>
      </c>
    </row>
    <row r="213" spans="1:6" ht="15.75" customHeight="1">
      <c r="A213" s="18">
        <v>2084229928</v>
      </c>
      <c r="B213" s="18" t="s">
        <v>9766</v>
      </c>
      <c r="C213" s="18" t="s">
        <v>9767</v>
      </c>
      <c r="D213" s="5" t="str">
        <f ca="1">IFERROR(__xludf.DUMMYFUNCTION("GOOGLETRANSLATE(B213,""ja"",""vi"")"),"Girufi")</f>
        <v>Girufi</v>
      </c>
      <c r="E213" s="5" t="str">
        <f ca="1">IFERROR(__xludf.DUMMYFUNCTION("GOOGLETRANSLATE(C213,""ja"",""vi"")"),"Đấu giá&gt; Thời trang&gt; By Nhãn hiệu&gt; out&gt; Girufi")</f>
        <v>Đấu giá&gt; Thời trang&gt; By Nhãn hiệu&gt; out&gt; Girufi</v>
      </c>
      <c r="F213" t="str">
        <f t="shared" ca="1" si="3"/>
        <v>"2084229928" : "Girufi",</v>
      </c>
    </row>
    <row r="214" spans="1:6" ht="15.75" customHeight="1">
      <c r="A214" s="18">
        <v>2084301262</v>
      </c>
      <c r="B214" s="18" t="s">
        <v>9772</v>
      </c>
      <c r="C214" s="18" t="s">
        <v>9774</v>
      </c>
      <c r="D214" s="5" t="str">
        <f ca="1">IFERROR(__xludf.DUMMYFUNCTION("GOOGLETRANSLATE(B214,""ja"",""vi"")"),"KEEN")</f>
        <v>KEEN</v>
      </c>
      <c r="E214" s="5" t="str">
        <f ca="1">IFERROR(__xludf.DUMMYFUNCTION("GOOGLETRANSLATE(C214,""ja"",""vi"")"),"Đấu giá&gt; Thời trang&gt; By Nhãn hiệu&gt; out&gt; Keen")</f>
        <v>Đấu giá&gt; Thời trang&gt; By Nhãn hiệu&gt; out&gt; Keen</v>
      </c>
      <c r="F214" t="str">
        <f t="shared" ca="1" si="3"/>
        <v>"2084301262" : "KEEN",</v>
      </c>
    </row>
    <row r="215" spans="1:6" ht="15.75" customHeight="1">
      <c r="A215" s="18">
        <v>2084309029</v>
      </c>
      <c r="B215" s="18" t="s">
        <v>9778</v>
      </c>
      <c r="C215" s="18" t="s">
        <v>9779</v>
      </c>
      <c r="D215" s="5" t="str">
        <f ca="1">IFERROR(__xludf.DUMMYFUNCTION("GOOGLETRANSLATE(B215,""ja"",""vi"")"),"Một con cáo")</f>
        <v>Một con cáo</v>
      </c>
      <c r="E215" s="5" t="str">
        <f ca="1">IFERROR(__xludf.DUMMYFUNCTION("GOOGLETRANSLATE(C215,""ja"",""vi"")"),"Đấu giá&gt; Thời trang&gt; By Nhãn hiệu&gt; out&gt; fox")</f>
        <v>Đấu giá&gt; Thời trang&gt; By Nhãn hiệu&gt; out&gt; fox</v>
      </c>
      <c r="F215" t="str">
        <f t="shared" ca="1" si="3"/>
        <v>"2084309029" : "Một con cáo",</v>
      </c>
    </row>
    <row r="216" spans="1:6" ht="15.75" customHeight="1">
      <c r="A216" s="18">
        <v>2084061378</v>
      </c>
      <c r="B216" s="18" t="s">
        <v>9783</v>
      </c>
      <c r="C216" s="18" t="s">
        <v>9785</v>
      </c>
      <c r="D216" s="5" t="str">
        <f ca="1">IFERROR(__xludf.DUMMYFUNCTION("GOOGLETRANSLATE(B216,""ja"",""vi"")"),"Ginza Kanematsu")</f>
        <v>Ginza Kanematsu</v>
      </c>
      <c r="E216" s="5" t="str">
        <f ca="1">IFERROR(__xludf.DUMMYFUNCTION("GOOGLETRANSLATE(C216,""ja"",""vi"")"),"Đấu giá&gt; Thời trang&gt; By Nhãn hiệu&gt; out&gt; Ginza Kanematsu")</f>
        <v>Đấu giá&gt; Thời trang&gt; By Nhãn hiệu&gt; out&gt; Ginza Kanematsu</v>
      </c>
      <c r="F216" t="str">
        <f t="shared" ca="1" si="3"/>
        <v>"2084061378" : "Ginza Kanematsu",</v>
      </c>
    </row>
    <row r="217" spans="1:6" ht="15.75" customHeight="1">
      <c r="A217" s="18">
        <v>2084285690</v>
      </c>
      <c r="B217" s="18" t="s">
        <v>46</v>
      </c>
      <c r="C217" s="18" t="s">
        <v>9790</v>
      </c>
      <c r="D217" s="5" t="str">
        <f ca="1">IFERROR(__xludf.DUMMYFUNCTION("GOOGLETRANSLATE(B217,""ja"",""vi"")"),"nếu không thì")</f>
        <v>nếu không thì</v>
      </c>
      <c r="E217" s="5" t="str">
        <f ca="1">IFERROR(__xludf.DUMMYFUNCTION("GOOGLETRANSLATE(C217,""ja"",""vi"")"),"Đấu giá&gt; Thời trang&gt; By Nhãn hiệu&gt; out&gt; Khác")</f>
        <v>Đấu giá&gt; Thời trang&gt; By Nhãn hiệu&gt; out&gt; Khác</v>
      </c>
      <c r="F217" t="str">
        <f t="shared" ca="1" si="3"/>
        <v>"2084285690" : "nếu không thì",</v>
      </c>
    </row>
    <row r="218" spans="1:6" ht="15.75" customHeight="1">
      <c r="A218" s="18">
        <v>2084054226</v>
      </c>
      <c r="B218" s="18" t="s">
        <v>9793</v>
      </c>
      <c r="C218" s="18" t="s">
        <v>9795</v>
      </c>
      <c r="D218" s="5" t="str">
        <f ca="1">IFERROR(__xludf.DUMMYFUNCTION("GOOGLETRANSLATE(B218,""ja"",""vi"")"),"Queens Court")</f>
        <v>Queens Court</v>
      </c>
      <c r="E218" s="5" t="str">
        <f ca="1">IFERROR(__xludf.DUMMYFUNCTION("GOOGLETRANSLATE(C218,""ja"",""vi"")"),"Đấu giá&gt; Thời trang&gt; By Nhãn hiệu&gt; khoản&gt; Queens Court")</f>
        <v>Đấu giá&gt; Thời trang&gt; By Nhãn hiệu&gt; khoản&gt; Queens Court</v>
      </c>
      <c r="F218" t="str">
        <f t="shared" ca="1" si="3"/>
        <v>"2084054226" : "Queens Court",</v>
      </c>
    </row>
    <row r="219" spans="1:6" ht="15.75" customHeight="1">
      <c r="A219" s="18">
        <v>2084050210</v>
      </c>
      <c r="B219" s="18" t="s">
        <v>9799</v>
      </c>
      <c r="C219" s="18" t="s">
        <v>9801</v>
      </c>
      <c r="D219" s="5" t="str">
        <f ca="1">IFERROR(__xludf.DUMMYFUNCTION("GOOGLETRANSLATE(B219,""ja"",""vi"")"),"Kūkai")</f>
        <v>Kūkai</v>
      </c>
      <c r="E219" s="5" t="str">
        <f ca="1">IFERROR(__xludf.DUMMYFUNCTION("GOOGLETRANSLATE(C219,""ja"",""vi"")"),"Đấu giá&gt; Thời trang&gt; By Nhãn hiệu&gt; khoản&gt; Kūkai")</f>
        <v>Đấu giá&gt; Thời trang&gt; By Nhãn hiệu&gt; khoản&gt; Kūkai</v>
      </c>
      <c r="F219" t="str">
        <f t="shared" ca="1" si="3"/>
        <v>"2084050210" : "Kūkai",</v>
      </c>
    </row>
    <row r="220" spans="1:6" ht="15.75" customHeight="1">
      <c r="A220" s="18">
        <v>2084061463</v>
      </c>
      <c r="B220" s="18" t="s">
        <v>9805</v>
      </c>
      <c r="C220" s="18" t="s">
        <v>9807</v>
      </c>
      <c r="D220" s="5" t="str">
        <f ca="1">IFERROR(__xludf.DUMMYFUNCTION("GOOGLETRANSLATE(B220,""ja"",""vi"")"),"Kood Chancelade")</f>
        <v>Kood Chancelade</v>
      </c>
      <c r="E220" s="5" t="str">
        <f ca="1">IFERROR(__xludf.DUMMYFUNCTION("GOOGLETRANSLATE(C220,""ja"",""vi"")"),"Đấu giá&gt; Thời trang&gt; By Nhãn hiệu&gt; khoản&gt; Kood Chancelade")</f>
        <v>Đấu giá&gt; Thời trang&gt; By Nhãn hiệu&gt; khoản&gt; Kood Chancelade</v>
      </c>
      <c r="F220" t="str">
        <f t="shared" ca="1" si="3"/>
        <v>"2084061463" : "Kood Chancelade",</v>
      </c>
    </row>
    <row r="221" spans="1:6" ht="15.75" customHeight="1">
      <c r="A221" s="18">
        <v>2084243060</v>
      </c>
      <c r="B221" s="18" t="s">
        <v>9810</v>
      </c>
      <c r="C221" s="18" t="s">
        <v>9811</v>
      </c>
      <c r="D221" s="5" t="str">
        <f ca="1">IFERROR(__xludf.DUMMYFUNCTION("GOOGLETRANSLATE(B221,""ja"",""vi"")"),"Cushman")</f>
        <v>Cushman</v>
      </c>
      <c r="E221" s="5" t="str">
        <f ca="1">IFERROR(__xludf.DUMMYFUNCTION("GOOGLETRANSLATE(C221,""ja"",""vi"")"),"Đấu giá&gt; Thời trang&gt; By Nhãn hiệu&gt; khoản&gt; Cushman")</f>
        <v>Đấu giá&gt; Thời trang&gt; By Nhãn hiệu&gt; khoản&gt; Cushman</v>
      </c>
      <c r="F221" t="str">
        <f t="shared" ca="1" si="3"/>
        <v>"2084243060" : "Cushman",</v>
      </c>
    </row>
    <row r="222" spans="1:6" ht="15.75" customHeight="1">
      <c r="A222" s="18">
        <v>2084048603</v>
      </c>
      <c r="B222" s="18" t="s">
        <v>9815</v>
      </c>
      <c r="C222" s="18" t="s">
        <v>9817</v>
      </c>
      <c r="D222" s="5" t="str">
        <f ca="1">IFERROR(__xludf.DUMMYFUNCTION("GOOGLETRANSLATE(B222,""ja"",""vi"")"),"Gucci")</f>
        <v>Gucci</v>
      </c>
      <c r="E222" s="5" t="str">
        <f ca="1">IFERROR(__xludf.DUMMYFUNCTION("GOOGLETRANSLATE(C222,""ja"",""vi"")"),"Đấu giá&gt; Thời trang&gt; By Nhãn hiệu&gt; khoản&gt; Gucci")</f>
        <v>Đấu giá&gt; Thời trang&gt; By Nhãn hiệu&gt; khoản&gt; Gucci</v>
      </c>
      <c r="F222" t="str">
        <f t="shared" ca="1" si="3"/>
        <v>"2084048603" : "Gucci",</v>
      </c>
    </row>
    <row r="223" spans="1:6" ht="15.75" customHeight="1">
      <c r="A223" s="18">
        <v>2084050212</v>
      </c>
      <c r="B223" s="18" t="s">
        <v>9821</v>
      </c>
      <c r="C223" s="18" t="s">
        <v>9823</v>
      </c>
      <c r="D223" s="5" t="str">
        <f ca="1">IFERROR(__xludf.DUMMYFUNCTION("GOOGLETRANSLATE(B223,""ja"",""vi"")"),"Goodenough")</f>
        <v>Goodenough</v>
      </c>
      <c r="E223" s="5" t="str">
        <f ca="1">IFERROR(__xludf.DUMMYFUNCTION("GOOGLETRANSLATE(C223,""ja"",""vi"")"),"Đấu giá&gt; Thời trang&gt; By Nhãn hiệu&gt; khoản&gt; Goodenough")</f>
        <v>Đấu giá&gt; Thời trang&gt; By Nhãn hiệu&gt; khoản&gt; Goodenough</v>
      </c>
      <c r="F223" t="str">
        <f t="shared" ca="1" si="3"/>
        <v>"2084050212" : "Goodenough",</v>
      </c>
    </row>
    <row r="224" spans="1:6" ht="15.75" customHeight="1">
      <c r="A224" s="18">
        <v>2084048639</v>
      </c>
      <c r="B224" s="18" t="s">
        <v>9826</v>
      </c>
      <c r="C224" s="18" t="s">
        <v>9829</v>
      </c>
      <c r="D224" s="5" t="str">
        <f ca="1">IFERROR(__xludf.DUMMYFUNCTION("GOOGLETRANSLATE(B224,""ja"",""vi"")"),"bộ")</f>
        <v>bộ</v>
      </c>
      <c r="E224" s="5" t="str">
        <f ca="1">IFERROR(__xludf.DUMMYFUNCTION("GOOGLETRANSLATE(C224,""ja"",""vi"")"),"Đấu giá&gt; Thời trang&gt; By Nhãn hiệu&gt; khoản&gt; Suite")</f>
        <v>Đấu giá&gt; Thời trang&gt; By Nhãn hiệu&gt; khoản&gt; Suite</v>
      </c>
      <c r="F224" t="str">
        <f t="shared" ca="1" si="3"/>
        <v>"2084048639" : "bộ",</v>
      </c>
    </row>
    <row r="225" spans="1:6" ht="15.75" customHeight="1">
      <c r="A225" s="18">
        <v>2084229220</v>
      </c>
      <c r="B225" s="18" t="s">
        <v>9834</v>
      </c>
      <c r="C225" s="18" t="s">
        <v>9836</v>
      </c>
      <c r="D225" s="5" t="str">
        <f ca="1">IFERROR(__xludf.DUMMYFUNCTION("GOOGLETRANSLATE(B225,""ja"",""vi"")"),"Clarks")</f>
        <v>Clarks</v>
      </c>
      <c r="E225" s="5" t="str">
        <f ca="1">IFERROR(__xludf.DUMMYFUNCTION("GOOGLETRANSLATE(C225,""ja"",""vi"")"),"Đấu giá&gt; Thời trang&gt; By Nhãn hiệu&gt; khoản&gt; Clarks")</f>
        <v>Đấu giá&gt; Thời trang&gt; By Nhãn hiệu&gt; khoản&gt; Clarks</v>
      </c>
      <c r="F225" t="str">
        <f t="shared" ca="1" si="3"/>
        <v>"2084229220" : "Clarks",</v>
      </c>
    </row>
    <row r="226" spans="1:6" ht="15.75" customHeight="1">
      <c r="A226" s="18">
        <v>2084301213</v>
      </c>
      <c r="B226" s="18" t="s">
        <v>9839</v>
      </c>
      <c r="C226" s="18" t="s">
        <v>9841</v>
      </c>
      <c r="D226" s="5" t="str">
        <f ca="1">IFERROR(__xludf.DUMMYFUNCTION("GOOGLETRANSLATE(B226,""ja"",""vi"")"),"Climie")</f>
        <v>Climie</v>
      </c>
      <c r="E226" s="5" t="str">
        <f ca="1">IFERROR(__xludf.DUMMYFUNCTION("GOOGLETRANSLATE(C226,""ja"",""vi"")"),"Đấu giá&gt; Thời trang&gt; By Nhãn hiệu&gt; khoản&gt; Climie")</f>
        <v>Đấu giá&gt; Thời trang&gt; By Nhãn hiệu&gt; khoản&gt; Climie</v>
      </c>
      <c r="F226" t="str">
        <f t="shared" ca="1" si="3"/>
        <v>"2084301213" : "Climie",</v>
      </c>
    </row>
    <row r="227" spans="1:6" ht="15.75" customHeight="1">
      <c r="A227" s="18">
        <v>2084229213</v>
      </c>
      <c r="B227" s="18" t="s">
        <v>9845</v>
      </c>
      <c r="C227" s="18" t="s">
        <v>9848</v>
      </c>
      <c r="D227" s="5" t="str">
        <f ca="1">IFERROR(__xludf.DUMMYFUNCTION("GOOGLETRANSLATE(B227,""ja"",""vi"")"),"đám mây Vail")</f>
        <v>đám mây Vail</v>
      </c>
      <c r="E227" s="5" t="str">
        <f ca="1">IFERROR(__xludf.DUMMYFUNCTION("GOOGLETRANSLATE(C227,""ja"",""vi"")"),"Đấu giá&gt; Thời trang&gt; By Nhãn hiệu&gt; khoản&gt; đám mây Vail")</f>
        <v>Đấu giá&gt; Thời trang&gt; By Nhãn hiệu&gt; khoản&gt; đám mây Vail</v>
      </c>
      <c r="F227" t="str">
        <f t="shared" ca="1" si="3"/>
        <v>"2084229213" : "đám mây Vail",</v>
      </c>
    </row>
    <row r="228" spans="1:6" ht="15.75" customHeight="1">
      <c r="A228" s="18">
        <v>2084283146</v>
      </c>
      <c r="B228" s="18" t="s">
        <v>9852</v>
      </c>
      <c r="C228" s="18" t="s">
        <v>9853</v>
      </c>
      <c r="D228" s="5" t="str">
        <f ca="1">IFERROR(__xludf.DUMMYFUNCTION("GOOGLETRANSLATE(B228,""ja"",""vi"")"),"Clan Puryusu")</f>
        <v>Clan Puryusu</v>
      </c>
      <c r="E228" s="5" t="str">
        <f ca="1">IFERROR(__xludf.DUMMYFUNCTION("GOOGLETRANSLATE(C228,""ja"",""vi"")"),"Đấu giá&gt; Thời trang&gt; By Nhãn hiệu&gt; khoản&gt; Clan Puryusu")</f>
        <v>Đấu giá&gt; Thời trang&gt; By Nhãn hiệu&gt; khoản&gt; Clan Puryusu</v>
      </c>
      <c r="F228" t="str">
        <f t="shared" ca="1" si="3"/>
        <v>"2084283146" : "Clan Puryusu",</v>
      </c>
    </row>
    <row r="229" spans="1:6" ht="15.75" customHeight="1">
      <c r="A229" s="18">
        <v>2084048604</v>
      </c>
      <c r="B229" s="18" t="s">
        <v>9858</v>
      </c>
      <c r="C229" s="18" t="s">
        <v>9859</v>
      </c>
      <c r="D229" s="5" t="str">
        <f ca="1">IFERROR(__xludf.DUMMYFUNCTION("GOOGLETRANSLATE(B229,""ja"",""vi"")"),"Christian Dior")</f>
        <v>Christian Dior</v>
      </c>
      <c r="E229" s="5" t="str">
        <f ca="1">IFERROR(__xludf.DUMMYFUNCTION("GOOGLETRANSLATE(C229,""ja"",""vi"")"),"Đấu giá&gt; Thời trang&gt; By Nhãn hiệu&gt; khoản&gt; Christian Dior")</f>
        <v>Đấu giá&gt; Thời trang&gt; By Nhãn hiệu&gt; khoản&gt; Christian Dior</v>
      </c>
      <c r="F229" t="str">
        <f t="shared" ca="1" si="3"/>
        <v>"2084048604" : "Christian Dior",</v>
      </c>
    </row>
    <row r="230" spans="1:6" ht="15.75" customHeight="1">
      <c r="A230" s="18">
        <v>2084261369</v>
      </c>
      <c r="B230" s="18" t="s">
        <v>9864</v>
      </c>
      <c r="C230" s="18" t="s">
        <v>9865</v>
      </c>
      <c r="D230" s="5" t="str">
        <f ca="1">IFERROR(__xludf.DUMMYFUNCTION("GOOGLETRANSLATE(B230,""ja"",""vi"")"),"vui mừng Tin tức")</f>
        <v>vui mừng Tin tức</v>
      </c>
      <c r="E230" s="5" t="str">
        <f ca="1">IFERROR(__xludf.DUMMYFUNCTION("GOOGLETRANSLATE(C230,""ja"",""vi"")"),"Đấu giá&gt; Thời trang&gt; By Nhãn hiệu&gt; khoản&gt; Tin tức Glad")</f>
        <v>Đấu giá&gt; Thời trang&gt; By Nhãn hiệu&gt; khoản&gt; Tin tức Glad</v>
      </c>
      <c r="F230" t="str">
        <f t="shared" ca="1" si="3"/>
        <v>"2084261369" : "vui mừng Tin tức",</v>
      </c>
    </row>
    <row r="231" spans="1:6" ht="15.75" customHeight="1">
      <c r="A231" s="18">
        <v>2084226703</v>
      </c>
      <c r="B231" s="18" t="s">
        <v>9868</v>
      </c>
      <c r="C231" s="18" t="s">
        <v>9869</v>
      </c>
      <c r="D231" s="5" t="str">
        <f ca="1">IFERROR(__xludf.DUMMYFUNCTION("GOOGLETRANSLATE(B231,""ja"",""vi"")"),"Guramichi")</f>
        <v>Guramichi</v>
      </c>
      <c r="E231" s="5" t="str">
        <f ca="1">IFERROR(__xludf.DUMMYFUNCTION("GOOGLETRANSLATE(C231,""ja"",""vi"")"),"Đấu giá&gt; Thời trang&gt; By Nhãn hiệu&gt; khoản&gt; Guramichi")</f>
        <v>Đấu giá&gt; Thời trang&gt; By Nhãn hiệu&gt; khoản&gt; Guramichi</v>
      </c>
      <c r="F231" t="str">
        <f t="shared" ca="1" si="3"/>
        <v>"2084226703" : "Guramichi",</v>
      </c>
    </row>
    <row r="232" spans="1:6" ht="15.75" customHeight="1">
      <c r="A232" s="18">
        <v>2084301218</v>
      </c>
      <c r="B232" s="18" t="s">
        <v>9873</v>
      </c>
      <c r="C232" s="18" t="s">
        <v>9875</v>
      </c>
      <c r="D232" s="5" t="str">
        <f ca="1">IFERROR(__xludf.DUMMYFUNCTION("GOOGLETRANSLATE(B232,""ja"",""vi"")"),"gram")</f>
        <v>gram</v>
      </c>
      <c r="E232" s="5" t="str">
        <f ca="1">IFERROR(__xludf.DUMMYFUNCTION("GOOGLETRANSLATE(C232,""ja"",""vi"")"),"Đấu giá&gt; Thời trang&gt; By Nhãn hiệu&gt; khoản&gt; gram")</f>
        <v>Đấu giá&gt; Thời trang&gt; By Nhãn hiệu&gt; khoản&gt; gram</v>
      </c>
      <c r="F232" t="str">
        <f t="shared" ca="1" si="3"/>
        <v>"2084301218" : "gram",</v>
      </c>
    </row>
    <row r="233" spans="1:6" ht="15.75" customHeight="1">
      <c r="A233" s="18">
        <v>2084050213</v>
      </c>
      <c r="B233" s="18" t="s">
        <v>9878</v>
      </c>
      <c r="C233" s="18" t="s">
        <v>9879</v>
      </c>
      <c r="D233" s="5" t="str">
        <f ca="1">IFERROR(__xludf.DUMMYFUNCTION("GOOGLETRANSLATE(B233,""ja"",""vi"")"),"hẻm núi lớn")</f>
        <v>hẻm núi lớn</v>
      </c>
      <c r="E233" s="5" t="str">
        <f ca="1">IFERROR(__xludf.DUMMYFUNCTION("GOOGLETRANSLATE(C233,""ja"",""vi"")"),"Đấu giá&gt; Thời trang&gt; By Nhãn hiệu&gt; khoản&gt; Grand Canyon")</f>
        <v>Đấu giá&gt; Thời trang&gt; By Nhãn hiệu&gt; khoản&gt; Grand Canyon</v>
      </c>
      <c r="F233" t="str">
        <f t="shared" ca="1" si="3"/>
        <v>"2084050213" : "hẻm núi lớn",</v>
      </c>
    </row>
    <row r="234" spans="1:6" ht="15.75" customHeight="1">
      <c r="A234" s="18">
        <v>2084298379</v>
      </c>
      <c r="B234" s="18" t="s">
        <v>9883</v>
      </c>
      <c r="C234" s="18" t="s">
        <v>9885</v>
      </c>
      <c r="D234" s="5" t="str">
        <f ca="1">IFERROR(__xludf.DUMMYFUNCTION("GOOGLETRANSLATE(B234,""ja"",""vi"")"),"Green Club")</f>
        <v>Green Club</v>
      </c>
      <c r="E234" s="5" t="str">
        <f ca="1">IFERROR(__xludf.DUMMYFUNCTION("GOOGLETRANSLATE(C234,""ja"",""vi"")"),"Đấu giá&gt; Thời trang&gt; By Nhãn hiệu&gt; khoản&gt; Green Club")</f>
        <v>Đấu giá&gt; Thời trang&gt; By Nhãn hiệu&gt; khoản&gt; Green Club</v>
      </c>
      <c r="F234" t="str">
        <f t="shared" ca="1" si="3"/>
        <v>"2084298379" : "Green Club",</v>
      </c>
    </row>
    <row r="235" spans="1:6" ht="15.75" customHeight="1">
      <c r="A235" s="18">
        <v>2084259916</v>
      </c>
      <c r="B235" s="18" t="s">
        <v>9889</v>
      </c>
      <c r="C235" s="18" t="s">
        <v>9890</v>
      </c>
      <c r="D235" s="5" t="str">
        <f ca="1">IFERROR(__xludf.DUMMYFUNCTION("GOOGLETRANSLATE(B235,""ja"",""vi"")"),"rõ ràng ấn tượng")</f>
        <v>rõ ràng ấn tượng</v>
      </c>
      <c r="E235" s="5" t="str">
        <f ca="1">IFERROR(__xludf.DUMMYFUNCTION("GOOGLETRANSLATE(C235,""ja"",""vi"")"),"Đấu giá&gt; Thời trang&gt; By Nhãn hiệu&gt; khoản&gt; ấn tượng rõ ràng")</f>
        <v>Đấu giá&gt; Thời trang&gt; By Nhãn hiệu&gt; khoản&gt; ấn tượng rõ ràng</v>
      </c>
      <c r="F235" t="str">
        <f t="shared" ca="1" si="3"/>
        <v>"2084259916" : "rõ ràng ấn tượng",</v>
      </c>
    </row>
    <row r="236" spans="1:6" ht="15.75" customHeight="1">
      <c r="A236" s="18">
        <v>2084230548</v>
      </c>
      <c r="B236" s="18" t="s">
        <v>9894</v>
      </c>
      <c r="C236" s="18" t="s">
        <v>9896</v>
      </c>
      <c r="D236" s="5" t="str">
        <f ca="1">IFERROR(__xludf.DUMMYFUNCTION("GOOGLETRANSLATE(B236,""ja"",""vi"")"),"Chris Van Ash")</f>
        <v>Chris Van Ash</v>
      </c>
      <c r="E236" s="5" t="str">
        <f ca="1">IFERROR(__xludf.DUMMYFUNCTION("GOOGLETRANSLATE(C236,""ja"",""vi"")"),"Đấu giá&gt; Thời trang&gt; By Nhãn hiệu&gt; khoản&gt; Chris Van Ash")</f>
        <v>Đấu giá&gt; Thời trang&gt; By Nhãn hiệu&gt; khoản&gt; Chris Van Ash</v>
      </c>
      <c r="F236" t="str">
        <f t="shared" ca="1" si="3"/>
        <v>"2084230548" : "Chris Van Ash",</v>
      </c>
    </row>
    <row r="237" spans="1:6" ht="15.75" customHeight="1">
      <c r="A237" s="18">
        <v>2084054625</v>
      </c>
      <c r="B237" s="18" t="s">
        <v>9901</v>
      </c>
      <c r="C237" s="18" t="s">
        <v>9903</v>
      </c>
      <c r="D237" s="5" t="str">
        <f ca="1">IFERROR(__xludf.DUMMYFUNCTION("GOOGLETRANSLATE(B237,""ja"",""vi"")"),"crystal ball")</f>
        <v>crystal ball</v>
      </c>
      <c r="E237" s="5" t="str">
        <f ca="1">IFERROR(__xludf.DUMMYFUNCTION("GOOGLETRANSLATE(C237,""ja"",""vi"")"),"Đấu giá&gt; Thời trang&gt; By Nhãn hiệu&gt; khoản&gt; Crystal Ball")</f>
        <v>Đấu giá&gt; Thời trang&gt; By Nhãn hiệu&gt; khoản&gt; Crystal Ball</v>
      </c>
      <c r="F237" t="str">
        <f t="shared" ca="1" si="3"/>
        <v>"2084054625" : "crystal ball",</v>
      </c>
    </row>
    <row r="238" spans="1:6" ht="15.75" customHeight="1">
      <c r="A238" s="18">
        <v>2084062165</v>
      </c>
      <c r="B238" s="18" t="s">
        <v>9905</v>
      </c>
      <c r="C238" s="18" t="s">
        <v>9907</v>
      </c>
      <c r="D238" s="5" t="str">
        <f ca="1">IFERROR(__xludf.DUMMYFUNCTION("GOOGLETRANSLATE(B238,""ja"",""vi"")"),"Christian Louboutin")</f>
        <v>Christian Louboutin</v>
      </c>
      <c r="E238" s="5" t="str">
        <f ca="1">IFERROR(__xludf.DUMMYFUNCTION("GOOGLETRANSLATE(C238,""ja"",""vi"")"),"Đấu giá&gt; Thời trang&gt; By Nhãn hiệu&gt; khoản&gt; Christian Louboutin")</f>
        <v>Đấu giá&gt; Thời trang&gt; By Nhãn hiệu&gt; khoản&gt; Christian Louboutin</v>
      </c>
      <c r="F238" t="str">
        <f t="shared" ca="1" si="3"/>
        <v>"2084062165" : "Christian Louboutin",</v>
      </c>
    </row>
    <row r="239" spans="1:6" ht="15.75" customHeight="1">
      <c r="A239" s="18">
        <v>2084259917</v>
      </c>
      <c r="B239" s="18" t="s">
        <v>9910</v>
      </c>
      <c r="C239" s="18" t="s">
        <v>9912</v>
      </c>
      <c r="D239" s="5" t="str">
        <f ca="1">IFERROR(__xludf.DUMMYFUNCTION("GOOGLETRANSLATE(B239,""ja"",""vi"")"),"Christian Lacroix")</f>
        <v>Christian Lacroix</v>
      </c>
      <c r="E239" s="5" t="str">
        <f ca="1">IFERROR(__xludf.DUMMYFUNCTION("GOOGLETRANSLATE(C239,""ja"",""vi"")"),"Đấu giá&gt; Thời trang&gt; By Nhãn hiệu&gt; khoản&gt; Christian Lacroix")</f>
        <v>Đấu giá&gt; Thời trang&gt; By Nhãn hiệu&gt; khoản&gt; Christian Lacroix</v>
      </c>
      <c r="F239" t="str">
        <f t="shared" ca="1" si="3"/>
        <v>"2084259917" : "Christian Lacroix",</v>
      </c>
    </row>
    <row r="240" spans="1:6" ht="15.75" customHeight="1">
      <c r="A240" s="18">
        <v>2084050214</v>
      </c>
      <c r="B240" s="18" t="s">
        <v>9914</v>
      </c>
      <c r="C240" s="18" t="s">
        <v>9916</v>
      </c>
      <c r="D240" s="5" t="str">
        <f ca="1">IFERROR(__xludf.DUMMYFUNCTION("GOOGLETRANSLATE(B240,""ja"",""vi"")"),"Kurittsuia")</f>
        <v>Kurittsuia</v>
      </c>
      <c r="E240" s="5" t="str">
        <f ca="1">IFERROR(__xludf.DUMMYFUNCTION("GOOGLETRANSLATE(C240,""ja"",""vi"")"),"Đấu giá&gt; Thời trang&gt; By Nhãn hiệu&gt; khoản&gt; Kurittsuia")</f>
        <v>Đấu giá&gt; Thời trang&gt; By Nhãn hiệu&gt; khoản&gt; Kurittsuia</v>
      </c>
      <c r="F240" t="str">
        <f t="shared" ca="1" si="3"/>
        <v>"2084050214" : "Kurittsuia",</v>
      </c>
    </row>
    <row r="241" spans="1:6" ht="15.75" customHeight="1">
      <c r="A241" s="18">
        <v>2084205182</v>
      </c>
      <c r="B241" s="18" t="s">
        <v>9918</v>
      </c>
      <c r="C241" s="18" t="s">
        <v>9920</v>
      </c>
      <c r="D241" s="5" t="str">
        <f ca="1">IFERROR(__xludf.DUMMYFUNCTION("GOOGLETRANSLATE(B241,""ja"",""vi"")"),"xanh")</f>
        <v>xanh</v>
      </c>
      <c r="E241" s="5" t="str">
        <f ca="1">IFERROR(__xludf.DUMMYFUNCTION("GOOGLETRANSLATE(C241,""ja"",""vi"")"),"Đấu giá&gt; Thời trang&gt; By Nhãn hiệu&gt; khoản&gt; Xanh")</f>
        <v>Đấu giá&gt; Thời trang&gt; By Nhãn hiệu&gt; khoản&gt; Xanh</v>
      </c>
      <c r="F241" t="str">
        <f t="shared" ca="1" si="3"/>
        <v>"2084205182" : "xanh",</v>
      </c>
    </row>
    <row r="242" spans="1:6" ht="15.75" customHeight="1">
      <c r="A242" s="18">
        <v>2084048605</v>
      </c>
      <c r="B242" s="18" t="s">
        <v>9921</v>
      </c>
      <c r="C242" s="18" t="s">
        <v>9922</v>
      </c>
      <c r="D242" s="5" t="str">
        <f ca="1">IFERROR(__xludf.DUMMYFUNCTION("GOOGLETRANSLATE(B242,""ja"",""vi"")"),"Courreges")</f>
        <v>Courreges</v>
      </c>
      <c r="E242" s="5" t="str">
        <f ca="1">IFERROR(__xludf.DUMMYFUNCTION("GOOGLETRANSLATE(C242,""ja"",""vi"")"),"Đấu giá&gt; Thời trang&gt; By Nhãn hiệu&gt; khoản&gt; Courreges")</f>
        <v>Đấu giá&gt; Thời trang&gt; By Nhãn hiệu&gt; khoản&gt; Courreges</v>
      </c>
      <c r="F242" t="str">
        <f t="shared" ca="1" si="3"/>
        <v>"2084048605" : "Courreges",</v>
      </c>
    </row>
    <row r="243" spans="1:6" ht="15.75" customHeight="1">
      <c r="A243" s="18">
        <v>2084054554</v>
      </c>
      <c r="B243" s="18" t="s">
        <v>9925</v>
      </c>
      <c r="C243" s="18" t="s">
        <v>9926</v>
      </c>
      <c r="D243" s="5" t="str">
        <f ca="1">IFERROR(__xludf.DUMMYFUNCTION("GOOGLETRANSLATE(B243,""ja"",""vi"")"),"Kureisasu")</f>
        <v>Kureisasu</v>
      </c>
      <c r="E243" s="5" t="str">
        <f ca="1">IFERROR(__xludf.DUMMYFUNCTION("GOOGLETRANSLATE(C243,""ja"",""vi"")"),"Đấu giá&gt; Thời trang&gt; By Nhãn hiệu&gt; khoản&gt; Kureisasu")</f>
        <v>Đấu giá&gt; Thời trang&gt; By Nhãn hiệu&gt; khoản&gt; Kureisasu</v>
      </c>
      <c r="F243" t="str">
        <f t="shared" ca="1" si="3"/>
        <v>"2084054554" : "Kureisasu",</v>
      </c>
    </row>
    <row r="244" spans="1:6" ht="15.75" customHeight="1">
      <c r="A244" s="18">
        <v>2084050215</v>
      </c>
      <c r="B244" s="18" t="s">
        <v>9929</v>
      </c>
      <c r="C244" s="18" t="s">
        <v>9930</v>
      </c>
      <c r="D244" s="5" t="str">
        <f ca="1">IFERROR(__xludf.DUMMYFUNCTION("GOOGLETRANSLATE(B244,""ja"",""vi"")"),"vẻ duyên dáng")</f>
        <v>vẻ duyên dáng</v>
      </c>
      <c r="E244" s="5" t="str">
        <f ca="1">IFERROR(__xludf.DUMMYFUNCTION("GOOGLETRANSLATE(C244,""ja"",""vi"")"),"Đấu giá&gt; Thời trang&gt; By Nhãn hiệu&gt; khoản&gt; Grace")</f>
        <v>Đấu giá&gt; Thời trang&gt; By Nhãn hiệu&gt; khoản&gt; Grace</v>
      </c>
      <c r="F244" t="str">
        <f t="shared" ca="1" si="3"/>
        <v>"2084050215" : "vẻ duyên dáng",</v>
      </c>
    </row>
    <row r="245" spans="1:6" ht="15.75" customHeight="1">
      <c r="A245" s="18">
        <v>2084057347</v>
      </c>
      <c r="B245" s="18" t="s">
        <v>9931</v>
      </c>
      <c r="C245" s="18" t="s">
        <v>9933</v>
      </c>
      <c r="D245" s="5" t="str">
        <f ca="1">IFERROR(__xludf.DUMMYFUNCTION("GOOGLETRANSLATE(B245,""ja"",""vi"")"),"Gregory")</f>
        <v>Gregory</v>
      </c>
      <c r="E245" s="5" t="str">
        <f ca="1">IFERROR(__xludf.DUMMYFUNCTION("GOOGLETRANSLATE(C245,""ja"",""vi"")"),"Đấu giá&gt; Thời trang&gt; By Nhãn hiệu&gt; khoản&gt; Gregory")</f>
        <v>Đấu giá&gt; Thời trang&gt; By Nhãn hiệu&gt; khoản&gt; Gregory</v>
      </c>
      <c r="F245" t="str">
        <f t="shared" ca="1" si="3"/>
        <v>"2084057347" : "Gregory",</v>
      </c>
    </row>
    <row r="246" spans="1:6" ht="15.75" customHeight="1">
      <c r="A246" s="18">
        <v>2084062025</v>
      </c>
      <c r="B246" s="18" t="s">
        <v>9935</v>
      </c>
      <c r="C246" s="18" t="s">
        <v>9936</v>
      </c>
      <c r="D246" s="5" t="str">
        <f ca="1">IFERROR(__xludf.DUMMYFUNCTION("GOOGLETRANSLATE(B246,""ja"",""vi"")"),"Chloe")</f>
        <v>Chloe</v>
      </c>
      <c r="E246" s="5" t="str">
        <f ca="1">IFERROR(__xludf.DUMMYFUNCTION("GOOGLETRANSLATE(C246,""ja"",""vi"")"),"Đấu giá&gt; Thời trang&gt; By Nhãn hiệu&gt; khoản&gt; Chloe")</f>
        <v>Đấu giá&gt; Thời trang&gt; By Nhãn hiệu&gt; khoản&gt; Chloe</v>
      </c>
      <c r="F246" t="str">
        <f t="shared" ca="1" si="3"/>
        <v>"2084062025" : "Chloe",</v>
      </c>
    </row>
    <row r="247" spans="1:6" ht="15.75" customHeight="1">
      <c r="A247" s="18">
        <v>2084062161</v>
      </c>
      <c r="B247" s="18" t="s">
        <v>9939</v>
      </c>
      <c r="C247" s="18" t="s">
        <v>9940</v>
      </c>
      <c r="D247" s="5" t="str">
        <f ca="1">IFERROR(__xludf.DUMMYFUNCTION("GOOGLETRANSLATE(B247,""ja"",""vi"")"),"Crockett &amp; Jones")</f>
        <v>Crockett &amp; Jones</v>
      </c>
      <c r="E247" s="5" t="str">
        <f ca="1">IFERROR(__xludf.DUMMYFUNCTION("GOOGLETRANSLATE(C247,""ja"",""vi"")"),"Đấu giá&gt; Thời trang&gt; By Nhãn hiệu&gt; khoản&gt; Crockett &amp; Jones")</f>
        <v>Đấu giá&gt; Thời trang&gt; By Nhãn hiệu&gt; khoản&gt; Crockett &amp; Jones</v>
      </c>
      <c r="F247" t="str">
        <f t="shared" ca="1" si="3"/>
        <v>"2084062161" : "Crockett &amp; Jones",</v>
      </c>
    </row>
    <row r="248" spans="1:6" ht="15.75" customHeight="1">
      <c r="A248" s="18">
        <v>2084232993</v>
      </c>
      <c r="B248" s="18" t="s">
        <v>9943</v>
      </c>
      <c r="C248" s="18" t="s">
        <v>9944</v>
      </c>
      <c r="D248" s="5" t="str">
        <f ca="1">IFERROR(__xludf.DUMMYFUNCTION("GOOGLETRANSLATE(B248,""ja"",""vi"")"),"Crocs")</f>
        <v>Crocs</v>
      </c>
      <c r="E248" s="5" t="str">
        <f ca="1">IFERROR(__xludf.DUMMYFUNCTION("GOOGLETRANSLATE(C248,""ja"",""vi"")"),"Đấu giá&gt; Thời trang&gt; By Nhãn hiệu&gt; khoản&gt; Crocs")</f>
        <v>Đấu giá&gt; Thời trang&gt; By Nhãn hiệu&gt; khoản&gt; Crocs</v>
      </c>
      <c r="F248" t="str">
        <f t="shared" ca="1" si="3"/>
        <v>"2084232993" : "Crocs",</v>
      </c>
    </row>
    <row r="249" spans="1:6" ht="15.75" customHeight="1">
      <c r="A249" s="18">
        <v>2084052580</v>
      </c>
      <c r="B249" s="18" t="s">
        <v>9947</v>
      </c>
      <c r="C249" s="18" t="s">
        <v>9949</v>
      </c>
      <c r="D249" s="5" t="str">
        <f ca="1">IFERROR(__xludf.DUMMYFUNCTION("GOOGLETRANSLATE(B249,""ja"",""vi"")"),"Chrome Hearts")</f>
        <v>Chrome Hearts</v>
      </c>
      <c r="E249" s="5" t="str">
        <f ca="1">IFERROR(__xludf.DUMMYFUNCTION("GOOGLETRANSLATE(C249,""ja"",""vi"")"),"Đấu giá&gt; Thời trang&gt; By Nhãn hiệu&gt; khoản&gt; Hearts Chrome")</f>
        <v>Đấu giá&gt; Thời trang&gt; By Nhãn hiệu&gt; khoản&gt; Hearts Chrome</v>
      </c>
      <c r="F249" t="str">
        <f t="shared" ca="1" si="3"/>
        <v>"2084052580" : "Chrome Hearts",</v>
      </c>
    </row>
    <row r="250" spans="1:6" ht="15.75" customHeight="1">
      <c r="A250" s="18">
        <v>2084285705</v>
      </c>
      <c r="B250" s="18" t="s">
        <v>46</v>
      </c>
      <c r="C250" s="18" t="s">
        <v>9951</v>
      </c>
      <c r="D250" s="5" t="str">
        <f ca="1">IFERROR(__xludf.DUMMYFUNCTION("GOOGLETRANSLATE(B250,""ja"",""vi"")"),"nếu không thì")</f>
        <v>nếu không thì</v>
      </c>
      <c r="E250" s="5" t="str">
        <f ca="1">IFERROR(__xludf.DUMMYFUNCTION("GOOGLETRANSLATE(C250,""ja"",""vi"")"),"Đấu giá&gt; Thời trang&gt; By Nhãn hiệu&gt; khoản&gt; Khác")</f>
        <v>Đấu giá&gt; Thời trang&gt; By Nhãn hiệu&gt; khoản&gt; Khác</v>
      </c>
      <c r="F250" t="str">
        <f t="shared" ca="1" si="3"/>
        <v>"2084285705" : "nếu không thì",</v>
      </c>
    </row>
    <row r="251" spans="1:6" ht="15.75" customHeight="1">
      <c r="A251" s="18">
        <v>2084206308</v>
      </c>
      <c r="B251" s="18" t="s">
        <v>9954</v>
      </c>
      <c r="C251" s="18" t="s">
        <v>9955</v>
      </c>
      <c r="D251" s="5" t="str">
        <f ca="1">IFERROR(__xludf.DUMMYFUNCTION("GOOGLETRANSLATE(B251,""ja"",""vi"")"),"K.L.C.")</f>
        <v>K.L.C.</v>
      </c>
      <c r="E251" s="5" t="str">
        <f ca="1">IFERROR(__xludf.DUMMYFUNCTION("GOOGLETRANSLATE(C251,""ja"",""vi"")"),"Đấu giá&gt; Thời trang&gt; By Nhãn hiệu&gt; chỉ&gt; K.L.C.")</f>
        <v>Đấu giá&gt; Thời trang&gt; By Nhãn hiệu&gt; chỉ&gt; K.L.C.</v>
      </c>
      <c r="F251" t="str">
        <f t="shared" ca="1" si="3"/>
        <v>"2084206308" : "K.L.C.",</v>
      </c>
    </row>
    <row r="252" spans="1:6" ht="15.75" customHeight="1">
      <c r="A252" s="18">
        <v>2084283148</v>
      </c>
      <c r="B252" s="18" t="s">
        <v>9958</v>
      </c>
      <c r="C252" s="18" t="s">
        <v>9959</v>
      </c>
      <c r="D252" s="5" t="str">
        <f ca="1">IFERROR(__xludf.DUMMYFUNCTION("GOOGLETRANSLATE(B252,""ja"",""vi"")"),"Keita Maruyama")</f>
        <v>Keita Maruyama</v>
      </c>
      <c r="E252" s="5" t="str">
        <f ca="1">IFERROR(__xludf.DUMMYFUNCTION("GOOGLETRANSLATE(C252,""ja"",""vi"")"),"Đấu giá&gt; Thời trang&gt; By Nhãn hiệu&gt; chỉ&gt; Keita Maruyama")</f>
        <v>Đấu giá&gt; Thời trang&gt; By Nhãn hiệu&gt; chỉ&gt; Keita Maruyama</v>
      </c>
      <c r="F252" t="str">
        <f t="shared" ca="1" si="3"/>
        <v>"2084283148" : "Keita Maruyama",</v>
      </c>
    </row>
    <row r="253" spans="1:6" ht="15.75" customHeight="1">
      <c r="A253" s="18">
        <v>2084229930</v>
      </c>
      <c r="B253" s="18" t="s">
        <v>9962</v>
      </c>
      <c r="C253" s="18" t="s">
        <v>9963</v>
      </c>
      <c r="D253" s="5" t="str">
        <f ca="1">IFERROR(__xludf.DUMMYFUNCTION("GOOGLETRANSLATE(B253,""ja"",""vi"")"),"Katie")</f>
        <v>Katie</v>
      </c>
      <c r="E253" s="5" t="str">
        <f ca="1">IFERROR(__xludf.DUMMYFUNCTION("GOOGLETRANSLATE(C253,""ja"",""vi"")"),"Đấu giá&gt; Thời trang&gt; By Nhãn hiệu&gt; chỉ&gt; Katie")</f>
        <v>Đấu giá&gt; Thời trang&gt; By Nhãn hiệu&gt; chỉ&gt; Katie</v>
      </c>
      <c r="F253" t="str">
        <f t="shared" ca="1" si="3"/>
        <v>"2084229930" : "Katie",</v>
      </c>
    </row>
    <row r="254" spans="1:6" ht="15.75" customHeight="1">
      <c r="A254" s="18">
        <v>2084050216</v>
      </c>
      <c r="B254" s="18" t="s">
        <v>9966</v>
      </c>
      <c r="C254" s="18" t="s">
        <v>9967</v>
      </c>
      <c r="D254" s="5" t="str">
        <f ca="1">IFERROR(__xludf.DUMMYFUNCTION("GOOGLETRANSLATE(B254,""ja"",""vi"")"),"Kate Spade")</f>
        <v>Kate Spade</v>
      </c>
      <c r="E254" s="5" t="str">
        <f ca="1">IFERROR(__xludf.DUMMYFUNCTION("GOOGLETRANSLATE(C254,""ja"",""vi"")"),"Đấu giá&gt; Thời trang&gt; By Nhãn hiệu&gt; chỉ&gt; Kate Spade")</f>
        <v>Đấu giá&gt; Thời trang&gt; By Nhãn hiệu&gt; chỉ&gt; Kate Spade</v>
      </c>
      <c r="F254" t="str">
        <f t="shared" ca="1" si="3"/>
        <v>"2084050216" : "Kate Spade",</v>
      </c>
    </row>
    <row r="255" spans="1:6" ht="15.75" customHeight="1">
      <c r="A255" s="18">
        <v>2084050217</v>
      </c>
      <c r="B255" s="18" t="s">
        <v>9970</v>
      </c>
      <c r="C255" s="18" t="s">
        <v>9971</v>
      </c>
      <c r="D255" s="5" t="str">
        <f ca="1">IFERROR(__xludf.DUMMYFUNCTION("GOOGLETRANSLATE(B255,""ja"",""vi"")"),"phỏng đoán")</f>
        <v>phỏng đoán</v>
      </c>
      <c r="E255" s="5" t="str">
        <f ca="1">IFERROR(__xludf.DUMMYFUNCTION("GOOGLETRANSLATE(C255,""ja"",""vi"")"),"Đấu giá&gt; Thời trang&gt; By Nhãn hiệu&gt; chỉ&gt; Đoán")</f>
        <v>Đấu giá&gt; Thời trang&gt; By Nhãn hiệu&gt; chỉ&gt; Đoán</v>
      </c>
      <c r="F255" t="str">
        <f t="shared" ca="1" si="3"/>
        <v>"2084050217" : "phỏng đoán",</v>
      </c>
    </row>
    <row r="256" spans="1:6" ht="15.75" customHeight="1">
      <c r="A256" s="18">
        <v>2084259918</v>
      </c>
      <c r="B256" s="18" t="s">
        <v>9975</v>
      </c>
      <c r="C256" s="18" t="s">
        <v>9976</v>
      </c>
      <c r="D256" s="5" t="str">
        <f ca="1">IFERROR(__xludf.DUMMYFUNCTION("GOOGLETRANSLATE(B256,""ja"",""vi"")"),"K.T.")</f>
        <v>K.T.</v>
      </c>
      <c r="E256" s="5" t="str">
        <f ca="1">IFERROR(__xludf.DUMMYFUNCTION("GOOGLETRANSLATE(C256,""ja"",""vi"")"),"Đấu giá&gt; Thời trang&gt; By Nhãn hiệu&gt; chỉ&gt; K.T.")</f>
        <v>Đấu giá&gt; Thời trang&gt; By Nhãn hiệu&gt; chỉ&gt; K.T.</v>
      </c>
      <c r="F256" t="str">
        <f t="shared" ca="1" si="3"/>
        <v>"2084259918" : "K.T.",</v>
      </c>
    </row>
    <row r="257" spans="1:6" ht="15.75" customHeight="1">
      <c r="A257" s="18">
        <v>2084238707</v>
      </c>
      <c r="B257" s="18" t="s">
        <v>9981</v>
      </c>
      <c r="C257" s="18" t="s">
        <v>9982</v>
      </c>
      <c r="D257" s="5" t="str">
        <f ca="1">IFERROR(__xludf.DUMMYFUNCTION("GOOGLETRANSLATE(B257,""ja"",""vi"")"),"Kety")</f>
        <v>Kety</v>
      </c>
      <c r="E257" s="5" t="str">
        <f ca="1">IFERROR(__xludf.DUMMYFUNCTION("GOOGLETRANSLATE(C257,""ja"",""vi"")"),"Đấu giá&gt; Thời trang&gt; By Nhãn hiệu&gt; chỉ&gt; Kety")</f>
        <v>Đấu giá&gt; Thời trang&gt; By Nhãn hiệu&gt; chỉ&gt; Kety</v>
      </c>
      <c r="F257" t="str">
        <f t="shared" ca="1" si="3"/>
        <v>"2084238707" : "Kety",</v>
      </c>
    </row>
    <row r="258" spans="1:6" ht="15.75" customHeight="1">
      <c r="A258" s="18">
        <v>2084215791</v>
      </c>
      <c r="B258" s="18" t="s">
        <v>9985</v>
      </c>
      <c r="C258" s="18" t="s">
        <v>9986</v>
      </c>
      <c r="D258" s="5" t="str">
        <f ca="1">IFERROR(__xludf.DUMMYFUNCTION("GOOGLETRANSLATE(B258,""ja"",""vi"")"),"KBF")</f>
        <v>KBF</v>
      </c>
      <c r="E258" s="5" t="str">
        <f ca="1">IFERROR(__xludf.DUMMYFUNCTION("GOOGLETRANSLATE(C258,""ja"",""vi"")"),"Đấu giá&gt; Thời trang&gt; By Nhãn hiệu&gt; chỉ&gt; KBF")</f>
        <v>Đấu giá&gt; Thời trang&gt; By Nhãn hiệu&gt; chỉ&gt; KBF</v>
      </c>
      <c r="F258" t="str">
        <f t="shared" ref="F258:F321" ca="1" si="4">CONCATENATE(CHAR(34)&amp;"",A258,""&amp;CHAR(34)," : ", CHAR(34)&amp;"",D258,""&amp;CHAR(34),",")</f>
        <v>"2084215791" : "KBF",</v>
      </c>
    </row>
    <row r="259" spans="1:6" ht="15.75" customHeight="1">
      <c r="A259" s="18">
        <v>2084048591</v>
      </c>
      <c r="B259" s="18" t="s">
        <v>9990</v>
      </c>
      <c r="C259" s="18" t="s">
        <v>9992</v>
      </c>
      <c r="D259" s="5" t="str">
        <f ca="1">IFERROR(__xludf.DUMMYFUNCTION("GOOGLETRANSLATE(B259,""ja"",""vi"")"),"KP")</f>
        <v>KP</v>
      </c>
      <c r="E259" s="5" t="str">
        <f ca="1">IFERROR(__xludf.DUMMYFUNCTION("GOOGLETRANSLATE(C259,""ja"",""vi"")"),"Đấu giá&gt; Thời trang&gt; By Nhãn hiệu&gt; chỉ&gt; KP")</f>
        <v>Đấu giá&gt; Thời trang&gt; By Nhãn hiệu&gt; chỉ&gt; KP</v>
      </c>
      <c r="F259" t="str">
        <f t="shared" ca="1" si="4"/>
        <v>"2084048591" : "KP",</v>
      </c>
    </row>
    <row r="260" spans="1:6" ht="15.75" customHeight="1">
      <c r="A260" s="18">
        <v>2084222743</v>
      </c>
      <c r="B260" s="18" t="s">
        <v>9997</v>
      </c>
      <c r="C260" s="18" t="s">
        <v>9999</v>
      </c>
      <c r="D260" s="5" t="str">
        <f ca="1">IFERROR(__xludf.DUMMYFUNCTION("GOOGLETRANSLATE(B260,""ja"",""vi"")"),"Celtic &amp; Cobra")</f>
        <v>Celtic &amp; Cobra</v>
      </c>
      <c r="E260" s="5" t="str">
        <f ca="1">IFERROR(__xludf.DUMMYFUNCTION("GOOGLETRANSLATE(C260,""ja"",""vi"")"),"Đấu giá&gt; Thời trang&gt; By Nhãn hiệu&gt; chỉ&gt; Celtic &amp; Cobra")</f>
        <v>Đấu giá&gt; Thời trang&gt; By Nhãn hiệu&gt; chỉ&gt; Celtic &amp; Cobra</v>
      </c>
      <c r="F260" t="str">
        <f t="shared" ca="1" si="4"/>
        <v>"2084222743" : "Celtic &amp; Cobra",</v>
      </c>
    </row>
    <row r="261" spans="1:6" ht="15.75" customHeight="1">
      <c r="A261" s="18">
        <v>2084050218</v>
      </c>
      <c r="B261" s="18" t="s">
        <v>10001</v>
      </c>
      <c r="C261" s="18" t="s">
        <v>10002</v>
      </c>
      <c r="D261" s="5" t="str">
        <f ca="1">IFERROR(__xludf.DUMMYFUNCTION("GOOGLETRANSLATE(B261,""ja"",""vi"")"),"Gherardini")</f>
        <v>Gherardini</v>
      </c>
      <c r="E261" s="5" t="str">
        <f ca="1">IFERROR(__xludf.DUMMYFUNCTION("GOOGLETRANSLATE(C261,""ja"",""vi"")"),"Đấu giá&gt; Thời trang&gt; By Nhãn hiệu&gt; chỉ&gt; Gherardini")</f>
        <v>Đấu giá&gt; Thời trang&gt; By Nhãn hiệu&gt; chỉ&gt; Gherardini</v>
      </c>
      <c r="F261" t="str">
        <f t="shared" ca="1" si="4"/>
        <v>"2084050218" : "Gherardini",</v>
      </c>
    </row>
    <row r="262" spans="1:6" ht="15.75" customHeight="1">
      <c r="A262" s="18">
        <v>2084050219</v>
      </c>
      <c r="B262" s="18" t="s">
        <v>10004</v>
      </c>
      <c r="C262" s="18" t="s">
        <v>10005</v>
      </c>
      <c r="D262" s="5" t="str">
        <f ca="1">IFERROR(__xludf.DUMMYFUNCTION("GOOGLETRANSLATE(B262,""ja"",""vi"")"),"Kenzo")</f>
        <v>Kenzo</v>
      </c>
      <c r="E262" s="5" t="str">
        <f ca="1">IFERROR(__xludf.DUMMYFUNCTION("GOOGLETRANSLATE(C262,""ja"",""vi"")"),"Đấu giá&gt; Thời trang&gt; By Nhãn hiệu&gt; chỉ&gt; Kenzo")</f>
        <v>Đấu giá&gt; Thời trang&gt; By Nhãn hiệu&gt; chỉ&gt; Kenzo</v>
      </c>
      <c r="F262" t="str">
        <f t="shared" ca="1" si="4"/>
        <v>"2084050219" : "Kenzo",</v>
      </c>
    </row>
    <row r="263" spans="1:6" ht="15.75" customHeight="1">
      <c r="A263" s="18">
        <v>2084258739</v>
      </c>
      <c r="B263" s="18" t="s">
        <v>10010</v>
      </c>
      <c r="C263" s="18" t="s">
        <v>10011</v>
      </c>
      <c r="D263" s="5" t="str">
        <f ca="1">IFERROR(__xludf.DUMMYFUNCTION("GOOGLETRANSLATE(B263,""ja"",""vi"")"),"gốc")</f>
        <v>gốc</v>
      </c>
      <c r="E263" s="5" t="str">
        <f ca="1">IFERROR(__xludf.DUMMYFUNCTION("GOOGLETRANSLATE(C263,""ja"",""vi"")"),"Đấu giá&gt; Thời trang&gt; By Nhãn hiệu&gt; chỉ&gt; xứ")</f>
        <v>Đấu giá&gt; Thời trang&gt; By Nhãn hiệu&gt; chỉ&gt; xứ</v>
      </c>
      <c r="F263" t="str">
        <f t="shared" ca="1" si="4"/>
        <v>"2084258739" : "gốc",</v>
      </c>
    </row>
    <row r="264" spans="1:6" ht="15.75" customHeight="1">
      <c r="A264" s="18">
        <v>2084285720</v>
      </c>
      <c r="B264" s="18" t="s">
        <v>46</v>
      </c>
      <c r="C264" s="18" t="s">
        <v>10014</v>
      </c>
      <c r="D264" s="5" t="str">
        <f ca="1">IFERROR(__xludf.DUMMYFUNCTION("GOOGLETRANSLATE(B264,""ja"",""vi"")"),"nếu không thì")</f>
        <v>nếu không thì</v>
      </c>
      <c r="E264" s="5" t="str">
        <f ca="1">IFERROR(__xludf.DUMMYFUNCTION("GOOGLETRANSLATE(C264,""ja"",""vi"")"),"Đấu giá&gt; Thời trang&gt; By Nhãn hiệu&gt; chỉ&gt; Khác")</f>
        <v>Đấu giá&gt; Thời trang&gt; By Nhãn hiệu&gt; chỉ&gt; Khác</v>
      </c>
      <c r="F264" t="str">
        <f t="shared" ca="1" si="4"/>
        <v>"2084285720" : "nếu không thì",</v>
      </c>
    </row>
    <row r="265" spans="1:6" ht="15.75" customHeight="1">
      <c r="A265" s="18">
        <v>2084283149</v>
      </c>
      <c r="B265" s="18" t="s">
        <v>10016</v>
      </c>
      <c r="C265" s="18" t="s">
        <v>10017</v>
      </c>
      <c r="D265" s="5" t="str">
        <f ca="1">IFERROR(__xludf.DUMMYFUNCTION("GOOGLETRANSLATE(B265,""ja"",""vi"")"),"chim cu")</f>
        <v>chim cu</v>
      </c>
      <c r="E265" s="5" t="str">
        <f ca="1">IFERROR(__xludf.DUMMYFUNCTION("GOOGLETRANSLATE(C265,""ja"",""vi"")"),"Đấu giá&gt; Thời trang&gt; By Nhãn hiệu&gt; này&gt; chim cu")</f>
        <v>Đấu giá&gt; Thời trang&gt; By Nhãn hiệu&gt; này&gt; chim cu</v>
      </c>
      <c r="F265" t="str">
        <f t="shared" ca="1" si="4"/>
        <v>"2084283149" : "chim cu",</v>
      </c>
    </row>
    <row r="266" spans="1:6" ht="15.75" customHeight="1">
      <c r="A266" s="18">
        <v>2084048669</v>
      </c>
      <c r="B266" s="18" t="s">
        <v>10020</v>
      </c>
      <c r="C266" s="18" t="s">
        <v>10022</v>
      </c>
      <c r="D266" s="5" t="str">
        <f ca="1">IFERROR(__xludf.DUMMYFUNCTION("GOOGLETRANSLATE(B266,""ja"",""vi"")"),"Kokoruru")</f>
        <v>Kokoruru</v>
      </c>
      <c r="E266" s="5" t="str">
        <f ca="1">IFERROR(__xludf.DUMMYFUNCTION("GOOGLETRANSLATE(C266,""ja"",""vi"")"),"Đấu giá&gt; Thời trang&gt; By Nhãn hiệu&gt; này&gt; Kokoruru")</f>
        <v>Đấu giá&gt; Thời trang&gt; By Nhãn hiệu&gt; này&gt; Kokoruru</v>
      </c>
      <c r="F266" t="str">
        <f t="shared" ca="1" si="4"/>
        <v>"2084048669" : "Kokoruru",</v>
      </c>
    </row>
    <row r="267" spans="1:6" ht="15.75" customHeight="1">
      <c r="A267" s="18">
        <v>2084205014</v>
      </c>
      <c r="B267" s="18" t="s">
        <v>10025</v>
      </c>
      <c r="C267" s="18" t="s">
        <v>10027</v>
      </c>
      <c r="D267" s="5" t="str">
        <f ca="1">IFERROR(__xludf.DUMMYFUNCTION("GOOGLETRANSLATE(B267,""ja"",""vi"")"),"trang phục quốc gia")</f>
        <v>trang phục quốc gia</v>
      </c>
      <c r="E267" s="5" t="str">
        <f ca="1">IFERROR(__xludf.DUMMYFUNCTION("GOOGLETRANSLATE(C267,""ja"",""vi"")"),"Đấu giá&gt; Thời trang&gt; By Nhãn hiệu&gt; này&gt; Quốc Costume")</f>
        <v>Đấu giá&gt; Thời trang&gt; By Nhãn hiệu&gt; này&gt; Quốc Costume</v>
      </c>
      <c r="F267" t="str">
        <f t="shared" ca="1" si="4"/>
        <v>"2084205014" : "trang phục quốc gia",</v>
      </c>
    </row>
    <row r="268" spans="1:6" ht="15.75" customHeight="1">
      <c r="A268" s="18">
        <v>2084205168</v>
      </c>
      <c r="B268" s="18" t="s">
        <v>10031</v>
      </c>
      <c r="C268" s="18" t="s">
        <v>10033</v>
      </c>
      <c r="D268" s="5" t="str">
        <f ca="1">IFERROR(__xludf.DUMMYFUNCTION("GOOGLETRANSLATE(B268,""ja"",""vi"")"),"Wonder vũ trụ")</f>
        <v>Wonder vũ trụ</v>
      </c>
      <c r="E268" s="5" t="str">
        <f ca="1">IFERROR(__xludf.DUMMYFUNCTION("GOOGLETRANSLATE(C268,""ja"",""vi"")"),"Đấu giá&gt; Thời trang&gt; By Nhãn hiệu&gt; này&gt; Vũ trụ Wonder")</f>
        <v>Đấu giá&gt; Thời trang&gt; By Nhãn hiệu&gt; này&gt; Vũ trụ Wonder</v>
      </c>
      <c r="F268" t="str">
        <f t="shared" ca="1" si="4"/>
        <v>"2084205168" : "Wonder vũ trụ",</v>
      </c>
    </row>
    <row r="269" spans="1:6" ht="15.75" customHeight="1">
      <c r="A269" s="18">
        <v>2084048606</v>
      </c>
      <c r="B269" s="18" t="s">
        <v>10036</v>
      </c>
      <c r="C269" s="18" t="s">
        <v>10038</v>
      </c>
      <c r="D269" s="5" t="str">
        <f ca="1">IFERROR(__xludf.DUMMYFUNCTION("GOOGLETRANSLATE(B269,""ja"",""vi"")"),"huấn luyện viên")</f>
        <v>huấn luyện viên</v>
      </c>
      <c r="E269" s="5" t="str">
        <f ca="1">IFERROR(__xludf.DUMMYFUNCTION("GOOGLETRANSLATE(C269,""ja"",""vi"")"),"Đấu giá&gt; Thời trang&gt; By Nhãn hiệu&gt; này&gt; HLV")</f>
        <v>Đấu giá&gt; Thời trang&gt; By Nhãn hiệu&gt; này&gt; HLV</v>
      </c>
      <c r="F269" t="str">
        <f t="shared" ca="1" si="4"/>
        <v>"2084048606" : "huấn luyện viên",</v>
      </c>
    </row>
    <row r="270" spans="1:6" ht="15.75" customHeight="1">
      <c r="A270" s="18">
        <v>2084048607</v>
      </c>
      <c r="B270" s="18" t="s">
        <v>10041</v>
      </c>
      <c r="C270" s="18" t="s">
        <v>10042</v>
      </c>
      <c r="D270" s="5" t="str">
        <f ca="1">IFERROR(__xludf.DUMMYFUNCTION("GOOGLETRANSLATE(B270,""ja"",""vi"")"),"Com de chế độ")</f>
        <v>Com de chế độ</v>
      </c>
      <c r="E270" s="5" t="str">
        <f ca="1">IFERROR(__xludf.DUMMYFUNCTION("GOOGLETRANSLATE(C270,""ja"",""vi"")"),"Đấu giá&gt; Thời trang&gt; By Nhãn hiệu&gt; này&gt; com de chế độ")</f>
        <v>Đấu giá&gt; Thời trang&gt; By Nhãn hiệu&gt; này&gt; com de chế độ</v>
      </c>
      <c r="F270" t="str">
        <f t="shared" ca="1" si="4"/>
        <v>"2084048607" : "Com de chế độ",</v>
      </c>
    </row>
    <row r="271" spans="1:6" ht="15.75" customHeight="1">
      <c r="A271" s="18">
        <v>2084048608</v>
      </c>
      <c r="B271" s="18" t="s">
        <v>10044</v>
      </c>
      <c r="C271" s="18" t="s">
        <v>10047</v>
      </c>
      <c r="D271" s="5" t="str">
        <f ca="1">IFERROR(__xludf.DUMMYFUNCTION("GOOGLETRANSLATE(B271,""ja"",""vi"")"),"Comme des Garcons")</f>
        <v>Comme des Garcons</v>
      </c>
      <c r="E271" s="5" t="str">
        <f ca="1">IFERROR(__xludf.DUMMYFUNCTION("GOOGLETRANSLATE(C271,""ja"",""vi"")"),"Đấu giá&gt; Thời trang&gt; By Nhãn hiệu&gt; này&gt; Comme des Garcons")</f>
        <v>Đấu giá&gt; Thời trang&gt; By Nhãn hiệu&gt; này&gt; Comme des Garcons</v>
      </c>
      <c r="F271" t="str">
        <f t="shared" ca="1" si="4"/>
        <v>"2084048608" : "Comme des Garcons",</v>
      </c>
    </row>
    <row r="272" spans="1:6" ht="15.75" customHeight="1">
      <c r="A272" s="18">
        <v>2084283151</v>
      </c>
      <c r="B272" s="18" t="s">
        <v>10051</v>
      </c>
      <c r="C272" s="18" t="s">
        <v>10054</v>
      </c>
      <c r="D272" s="5" t="str">
        <f ca="1">IFERROR(__xludf.DUMMYFUNCTION("GOOGLETRANSLATE(B272,""ja"",""vi"")"),"Komusaizumu")</f>
        <v>Komusaizumu</v>
      </c>
      <c r="E272" s="5" t="str">
        <f ca="1">IFERROR(__xludf.DUMMYFUNCTION("GOOGLETRANSLATE(C272,""ja"",""vi"")"),"Đấu giá&gt; Thời trang&gt; By Nhãn hiệu&gt; này&gt; Komusaizumu")</f>
        <v>Đấu giá&gt; Thời trang&gt; By Nhãn hiệu&gt; này&gt; Komusaizumu</v>
      </c>
      <c r="F272" t="str">
        <f t="shared" ca="1" si="4"/>
        <v>"2084283151" : "Komusaizumu",</v>
      </c>
    </row>
    <row r="273" spans="1:6" ht="15.75" customHeight="1">
      <c r="A273" s="18">
        <v>2084244404</v>
      </c>
      <c r="B273" s="18" t="s">
        <v>10055</v>
      </c>
      <c r="C273" s="18" t="s">
        <v>10056</v>
      </c>
      <c r="D273" s="5" t="str">
        <f ca="1">IFERROR(__xludf.DUMMYFUNCTION("GOOGLETRANSLATE(B273,""ja"",""vi"")"),"Goyal")</f>
        <v>Goyal</v>
      </c>
      <c r="E273" s="5" t="str">
        <f ca="1">IFERROR(__xludf.DUMMYFUNCTION("GOOGLETRANSLATE(C273,""ja"",""vi"")"),"Đấu giá&gt; Thời trang&gt; By Nhãn hiệu&gt; này&gt; Goyal")</f>
        <v>Đấu giá&gt; Thời trang&gt; By Nhãn hiệu&gt; này&gt; Goyal</v>
      </c>
      <c r="F273" t="str">
        <f t="shared" ca="1" si="4"/>
        <v>"2084244404" : "Goyal",</v>
      </c>
    </row>
    <row r="274" spans="1:6" ht="15.75" customHeight="1">
      <c r="A274" s="18">
        <v>2084061429</v>
      </c>
      <c r="B274" s="18" t="s">
        <v>10060</v>
      </c>
      <c r="C274" s="18" t="s">
        <v>10061</v>
      </c>
      <c r="D274" s="5" t="str">
        <f ca="1">IFERROR(__xludf.DUMMYFUNCTION("GOOGLETRANSLATE(B274,""ja"",""vi"")"),"Cole Haan")</f>
        <v>Cole Haan</v>
      </c>
      <c r="E274" s="5" t="str">
        <f ca="1">IFERROR(__xludf.DUMMYFUNCTION("GOOGLETRANSLATE(C274,""ja"",""vi"")"),"Đấu giá&gt; Thời trang&gt; By Nhãn hiệu&gt; Đây&gt; Cole Haan")</f>
        <v>Đấu giá&gt; Thời trang&gt; By Nhãn hiệu&gt; Đây&gt; Cole Haan</v>
      </c>
      <c r="F274" t="str">
        <f t="shared" ca="1" si="4"/>
        <v>"2084061429" : "Cole Haan",</v>
      </c>
    </row>
    <row r="275" spans="1:6" ht="15.75" customHeight="1">
      <c r="A275" s="18">
        <v>2084057324</v>
      </c>
      <c r="B275" s="18" t="s">
        <v>9437</v>
      </c>
      <c r="C275" s="18" t="s">
        <v>10066</v>
      </c>
      <c r="D275" s="5" t="str">
        <f ca="1">IFERROR(__xludf.DUMMYFUNCTION("GOOGLETRANSLATE(B275,""ja"",""vi"")"),"Columbia")</f>
        <v>Columbia</v>
      </c>
      <c r="E275" s="5" t="str">
        <f ca="1">IFERROR(__xludf.DUMMYFUNCTION("GOOGLETRANSLATE(C275,""ja"",""vi"")"),"Đấu giá&gt; Thời trang&gt; By Nhãn hiệu&gt; này&gt; Colombia")</f>
        <v>Đấu giá&gt; Thời trang&gt; By Nhãn hiệu&gt; này&gt; Colombia</v>
      </c>
      <c r="F275" t="str">
        <f t="shared" ca="1" si="4"/>
        <v>"2084057324" : "Columbia",</v>
      </c>
    </row>
    <row r="276" spans="1:6" ht="15.75" customHeight="1">
      <c r="A276" s="18">
        <v>2084050221</v>
      </c>
      <c r="B276" s="18" t="s">
        <v>10071</v>
      </c>
      <c r="C276" s="18" t="s">
        <v>10072</v>
      </c>
      <c r="D276" s="5" t="str">
        <f ca="1">IFERROR(__xludf.DUMMYFUNCTION("GOOGLETRANSLATE(B276,""ja"",""vi"")"),"tập tin vàng")</f>
        <v>tập tin vàng</v>
      </c>
      <c r="E276" s="5" t="str">
        <f ca="1">IFERROR(__xludf.DUMMYFUNCTION("GOOGLETRANSLATE(C276,""ja"",""vi"")"),"Đấu giá&gt; Thời trang&gt; By Nhãn hiệu&gt; này&gt; tập tin Vàng")</f>
        <v>Đấu giá&gt; Thời trang&gt; By Nhãn hiệu&gt; này&gt; tập tin Vàng</v>
      </c>
      <c r="F276" t="str">
        <f t="shared" ca="1" si="4"/>
        <v>"2084050221" : "tập tin vàng",</v>
      </c>
    </row>
    <row r="277" spans="1:6" ht="15.75" customHeight="1">
      <c r="A277" s="18">
        <v>2084036151</v>
      </c>
      <c r="B277" s="18" t="s">
        <v>10077</v>
      </c>
      <c r="C277" s="18" t="s">
        <v>10078</v>
      </c>
      <c r="D277" s="5" t="str">
        <f ca="1">IFERROR(__xludf.DUMMYFUNCTION("GOOGLETRANSLATE(B277,""ja"",""vi"")"),"Gaultier")</f>
        <v>Gaultier</v>
      </c>
      <c r="E277" s="5" t="str">
        <f ca="1">IFERROR(__xludf.DUMMYFUNCTION("GOOGLETRANSLATE(C277,""ja"",""vi"")"),"Đấu giá&gt; Thời trang&gt; By Nhãn hiệu&gt; này&gt; Gaultier")</f>
        <v>Đấu giá&gt; Thời trang&gt; By Nhãn hiệu&gt; này&gt; Gaultier</v>
      </c>
      <c r="F277" t="str">
        <f t="shared" ca="1" si="4"/>
        <v>"2084036151" : "Gaultier",</v>
      </c>
    </row>
    <row r="278" spans="1:6" ht="15.75" customHeight="1">
      <c r="A278" s="18">
        <v>2084050223</v>
      </c>
      <c r="B278" s="18" t="s">
        <v>10082</v>
      </c>
      <c r="C278" s="18" t="s">
        <v>10084</v>
      </c>
      <c r="D278" s="5" t="str">
        <f ca="1">IFERROR(__xludf.DUMMYFUNCTION("GOOGLETRANSLATE(B278,""ja"",""vi"")"),"Gorozu")</f>
        <v>Gorozu</v>
      </c>
      <c r="E278" s="5" t="str">
        <f ca="1">IFERROR(__xludf.DUMMYFUNCTION("GOOGLETRANSLATE(C278,""ja"",""vi"")"),"Đấu giá&gt; Thời trang&gt; By Nhãn hiệu&gt; này&gt; Gorozu")</f>
        <v>Đấu giá&gt; Thời trang&gt; By Nhãn hiệu&gt; này&gt; Gorozu</v>
      </c>
      <c r="F278" t="str">
        <f t="shared" ca="1" si="4"/>
        <v>"2084050223" : "Gorozu",</v>
      </c>
    </row>
    <row r="279" spans="1:6" ht="15.75" customHeight="1">
      <c r="A279" s="18">
        <v>2084285735</v>
      </c>
      <c r="B279" s="18" t="s">
        <v>46</v>
      </c>
      <c r="C279" s="18" t="s">
        <v>10088</v>
      </c>
      <c r="D279" s="5" t="str">
        <f ca="1">IFERROR(__xludf.DUMMYFUNCTION("GOOGLETRANSLATE(B279,""ja"",""vi"")"),"nếu không thì")</f>
        <v>nếu không thì</v>
      </c>
      <c r="E279" s="5" t="str">
        <f ca="1">IFERROR(__xludf.DUMMYFUNCTION("GOOGLETRANSLATE(C279,""ja"",""vi"")"),"Đấu giá&gt; Thời trang&gt; By Nhãn hiệu&gt; này&gt; Khác")</f>
        <v>Đấu giá&gt; Thời trang&gt; By Nhãn hiệu&gt; này&gt; Khác</v>
      </c>
      <c r="F279" t="str">
        <f t="shared" ca="1" si="4"/>
        <v>"2084285735" : "nếu không thì",</v>
      </c>
    </row>
    <row r="280" spans="1:6" ht="15.75" customHeight="1">
      <c r="A280" s="18">
        <v>2084258854</v>
      </c>
      <c r="B280" s="18" t="s">
        <v>9266</v>
      </c>
      <c r="C280" s="18" t="s">
        <v>10092</v>
      </c>
      <c r="D280" s="5" t="str">
        <f ca="1">IFERROR(__xludf.DUMMYFUNCTION("GOOGLETRANSLATE(B280,""ja"",""vi"")"),"S2W8")</f>
        <v>S2W8</v>
      </c>
      <c r="E280" s="5" t="str">
        <f ca="1">IFERROR(__xludf.DUMMYFUNCTION("GOOGLETRANSLATE(C280,""ja"",""vi"")"),"Đấu giá&gt; Thời trang&gt; By Nhãn hiệu&gt; Là&gt; S2W8")</f>
        <v>Đấu giá&gt; Thời trang&gt; By Nhãn hiệu&gt; Là&gt; S2W8</v>
      </c>
      <c r="F280" t="str">
        <f t="shared" ca="1" si="4"/>
        <v>"2084258854" : "S2W8",</v>
      </c>
    </row>
    <row r="281" spans="1:6" ht="15.75" customHeight="1">
      <c r="A281" s="18">
        <v>2084227887</v>
      </c>
      <c r="B281" s="18" t="s">
        <v>10097</v>
      </c>
      <c r="C281" s="18" t="s">
        <v>10098</v>
      </c>
      <c r="D281" s="5" t="str">
        <f ca="1">IFERROR(__xludf.DUMMYFUNCTION("GOOGLETRANSLATE(B281,""ja"",""vi"")"),"Sài")</f>
        <v>Sài</v>
      </c>
      <c r="E281" s="5" t="str">
        <f ca="1">IFERROR(__xludf.DUMMYFUNCTION("GOOGLETRANSLATE(C281,""ja"",""vi"")"),"Đấu giá&gt; Thời trang&gt; By Nhãn hiệu&gt; Là&gt; Sai")</f>
        <v>Đấu giá&gt; Thời trang&gt; By Nhãn hiệu&gt; Là&gt; Sai</v>
      </c>
      <c r="F281" t="str">
        <f t="shared" ca="1" si="4"/>
        <v>"2084227887" : "Sài",</v>
      </c>
    </row>
    <row r="282" spans="1:6" ht="15.75" customHeight="1">
      <c r="A282" s="18">
        <v>2084050225</v>
      </c>
      <c r="B282" s="18" t="s">
        <v>10102</v>
      </c>
      <c r="C282" s="18" t="s">
        <v>10104</v>
      </c>
      <c r="D282" s="5" t="str">
        <f ca="1">IFERROR(__xludf.DUMMYFUNCTION("GOOGLETRANSLATE(B282,""ja"",""vi"")"),"Cyrus")</f>
        <v>Cyrus</v>
      </c>
      <c r="E282" s="5" t="str">
        <f ca="1">IFERROR(__xludf.DUMMYFUNCTION("GOOGLETRANSLATE(C282,""ja"",""vi"")"),"Đấu giá&gt; Thời trang&gt; By Nhãn hiệu&gt; Là&gt; Cyrus")</f>
        <v>Đấu giá&gt; Thời trang&gt; By Nhãn hiệu&gt; Là&gt; Cyrus</v>
      </c>
      <c r="F282" t="str">
        <f t="shared" ca="1" si="4"/>
        <v>"2084050225" : "Cyrus",</v>
      </c>
    </row>
    <row r="283" spans="1:6" ht="15.75" customHeight="1">
      <c r="A283" s="18">
        <v>2084205176</v>
      </c>
      <c r="B283" s="18" t="s">
        <v>10107</v>
      </c>
      <c r="C283" s="18" t="s">
        <v>10109</v>
      </c>
      <c r="D283" s="5" t="str">
        <f ca="1">IFERROR(__xludf.DUMMYFUNCTION("GOOGLETRANSLATE(B283,""ja"",""vi"")"),"Sakai")</f>
        <v>Sakai</v>
      </c>
      <c r="E283" s="5" t="str">
        <f ca="1">IFERROR(__xludf.DUMMYFUNCTION("GOOGLETRANSLATE(C283,""ja"",""vi"")"),"Đấu giá&gt; Thời trang&gt; By Nhãn hiệu&gt; Là&gt; Sakai")</f>
        <v>Đấu giá&gt; Thời trang&gt; By Nhãn hiệu&gt; Là&gt; Sakai</v>
      </c>
      <c r="F283" t="str">
        <f t="shared" ca="1" si="4"/>
        <v>"2084205176" : "Sakai",</v>
      </c>
    </row>
    <row r="284" spans="1:6" ht="15.75" customHeight="1">
      <c r="A284" s="18">
        <v>2084048609</v>
      </c>
      <c r="B284" s="18" t="s">
        <v>10111</v>
      </c>
      <c r="C284" s="18" t="s">
        <v>10113</v>
      </c>
      <c r="D284" s="5" t="str">
        <f ca="1">IFERROR(__xludf.DUMMYFUNCTION("GOOGLETRANSLATE(B284,""ja"",""vi"")"),"Sotheby")</f>
        <v>Sotheby</v>
      </c>
      <c r="E284" s="5" t="str">
        <f ca="1">IFERROR(__xludf.DUMMYFUNCTION("GOOGLETRANSLATE(C284,""ja"",""vi"")"),"Đấu giá&gt; Thời trang&gt; By Nhãn hiệu&gt; Là&gt; Sotheby")</f>
        <v>Đấu giá&gt; Thời trang&gt; By Nhãn hiệu&gt; Là&gt; Sotheby</v>
      </c>
      <c r="F284" t="str">
        <f t="shared" ca="1" si="4"/>
        <v>"2084048609" : "Sotheby",</v>
      </c>
    </row>
    <row r="285" spans="1:6" ht="15.75" customHeight="1">
      <c r="A285" s="18">
        <v>2084229932</v>
      </c>
      <c r="B285" s="18" t="s">
        <v>10116</v>
      </c>
      <c r="C285" s="18" t="s">
        <v>10118</v>
      </c>
      <c r="D285" s="5" t="str">
        <f ca="1">IFERROR(__xludf.DUMMYFUNCTION("GOOGLETRANSLATE(B285,""ja"",""vi"")"),"Zazie")</f>
        <v>Zazie</v>
      </c>
      <c r="E285" s="5" t="str">
        <f ca="1">IFERROR(__xludf.DUMMYFUNCTION("GOOGLETRANSLATE(C285,""ja"",""vi"")"),"Đấu giá&gt; Thời trang&gt; By Nhãn hiệu&gt; Là&gt; Zazie")</f>
        <v>Đấu giá&gt; Thời trang&gt; By Nhãn hiệu&gt; Là&gt; Zazie</v>
      </c>
      <c r="F285" t="str">
        <f t="shared" ca="1" si="4"/>
        <v>"2084229932" : "Zazie",</v>
      </c>
    </row>
    <row r="286" spans="1:6" ht="15.75" customHeight="1">
      <c r="A286" s="18">
        <v>2084056682</v>
      </c>
      <c r="B286" s="18" t="s">
        <v>10122</v>
      </c>
      <c r="C286" s="18" t="s">
        <v>10123</v>
      </c>
      <c r="D286" s="5" t="str">
        <f ca="1">IFERROR(__xludf.DUMMYFUNCTION("GOOGLETRANSLATE(B286,""ja"",""vi"")"),"cải Savoy")</f>
        <v>cải Savoy</v>
      </c>
      <c r="E286" s="5" t="str">
        <f ca="1">IFERROR(__xludf.DUMMYFUNCTION("GOOGLETRANSLATE(C286,""ja"",""vi"")"),"Đấu giá&gt; Thời trang&gt; By Nhãn hiệu&gt; Là&gt; Savoy")</f>
        <v>Đấu giá&gt; Thời trang&gt; By Nhãn hiệu&gt; Là&gt; Savoy</v>
      </c>
      <c r="F286" t="str">
        <f t="shared" ca="1" si="4"/>
        <v>"2084056682" : "cải Savoy",</v>
      </c>
    </row>
    <row r="287" spans="1:6" ht="15.75" customHeight="1">
      <c r="A287" s="18">
        <v>2084229891</v>
      </c>
      <c r="B287" s="18" t="s">
        <v>10127</v>
      </c>
      <c r="C287" s="18" t="s">
        <v>10128</v>
      </c>
      <c r="D287" s="5" t="str">
        <f ca="1">IFERROR(__xludf.DUMMYFUNCTION("GOOGLETRANSLATE(B287,""ja"",""vi"")"),"SM2")</f>
        <v>SM2</v>
      </c>
      <c r="E287" s="5" t="str">
        <f ca="1">IFERROR(__xludf.DUMMYFUNCTION("GOOGLETRANSLATE(C287,""ja"",""vi"")"),"Đấu giá&gt; Thời trang&gt; By Nhãn hiệu&gt; Là&gt; SM2")</f>
        <v>Đấu giá&gt; Thời trang&gt; By Nhãn hiệu&gt; Là&gt; SM2</v>
      </c>
      <c r="F287" t="str">
        <f t="shared" ca="1" si="4"/>
        <v>"2084229891" : "SM2",</v>
      </c>
    </row>
    <row r="288" spans="1:6" ht="15.75" customHeight="1">
      <c r="A288" s="18">
        <v>2084054443</v>
      </c>
      <c r="B288" s="18" t="s">
        <v>10133</v>
      </c>
      <c r="C288" s="18" t="s">
        <v>10134</v>
      </c>
      <c r="D288" s="5" t="str">
        <f ca="1">IFERROR(__xludf.DUMMYFUNCTION("GOOGLETRANSLATE(B288,""ja"",""vi"")"),"Samantha Tabitha")</f>
        <v>Samantha Tabitha</v>
      </c>
      <c r="E288" s="5" t="str">
        <f ca="1">IFERROR(__xludf.DUMMYFUNCTION("GOOGLETRANSLATE(C288,""ja"",""vi"")"),"Đấu giá&gt; Thời trang&gt; By Nhãn hiệu&gt; Là&gt; Samantha Thavasa")</f>
        <v>Đấu giá&gt; Thời trang&gt; By Nhãn hiệu&gt; Là&gt; Samantha Thavasa</v>
      </c>
      <c r="F288" t="str">
        <f t="shared" ca="1" si="4"/>
        <v>"2084054443" : "Samantha Tabitha",</v>
      </c>
    </row>
    <row r="289" spans="1:6" ht="15.75" customHeight="1">
      <c r="A289" s="18">
        <v>2084062345</v>
      </c>
      <c r="B289" s="18" t="s">
        <v>10138</v>
      </c>
      <c r="C289" s="18" t="s">
        <v>10140</v>
      </c>
      <c r="D289" s="5" t="str">
        <f ca="1">IFERROR(__xludf.DUMMYFUNCTION("GOOGLETRANSLATE(B289,""ja"",""vi"")"),"Samsonite")</f>
        <v>Samsonite</v>
      </c>
      <c r="E289" s="5" t="str">
        <f ca="1">IFERROR(__xludf.DUMMYFUNCTION("GOOGLETRANSLATE(C289,""ja"",""vi"")"),"Đấu giá&gt; Thời trang&gt; By Nhãn hiệu&gt; Là&gt; Samsonite")</f>
        <v>Đấu giá&gt; Thời trang&gt; By Nhãn hiệu&gt; Là&gt; Samsonite</v>
      </c>
      <c r="F289" t="str">
        <f t="shared" ca="1" si="4"/>
        <v>"2084062345" : "Samsonite",</v>
      </c>
    </row>
    <row r="290" spans="1:6" ht="15.75" customHeight="1">
      <c r="A290" s="18">
        <v>2084050227</v>
      </c>
      <c r="B290" s="18" t="s">
        <v>10142</v>
      </c>
      <c r="C290" s="18" t="s">
        <v>10145</v>
      </c>
      <c r="D290" s="5" t="str">
        <f ca="1">IFERROR(__xludf.DUMMYFUNCTION("GOOGLETRANSLATE(B290,""ja"",""vi"")"),"Salvatore Ferragamo")</f>
        <v>Salvatore Ferragamo</v>
      </c>
      <c r="E290" s="5" t="str">
        <f ca="1">IFERROR(__xludf.DUMMYFUNCTION("GOOGLETRANSLATE(C290,""ja"",""vi"")"),"Đấu giá&gt; Thời trang&gt; By Nhãn hiệu&gt; Là&gt; Salvatore Ferragamo")</f>
        <v>Đấu giá&gt; Thời trang&gt; By Nhãn hiệu&gt; Là&gt; Salvatore Ferragamo</v>
      </c>
      <c r="F290" t="str">
        <f t="shared" ca="1" si="4"/>
        <v>"2084050227" : "Salvatore Ferragamo",</v>
      </c>
    </row>
    <row r="291" spans="1:6" ht="15.75" customHeight="1">
      <c r="A291" s="18">
        <v>2084050224</v>
      </c>
      <c r="B291" s="18" t="s">
        <v>10150</v>
      </c>
      <c r="C291" s="18" t="s">
        <v>10152</v>
      </c>
      <c r="D291" s="5" t="str">
        <f ca="1">IFERROR(__xludf.DUMMYFUNCTION("GOOGLETRANSLATE(B291,""ja"",""vi"")"),"Các McCoy thực")</f>
        <v>Các McCoy thực</v>
      </c>
      <c r="E291" s="5" t="str">
        <f ca="1">IFERROR(__xludf.DUMMYFUNCTION("GOOGLETRANSLATE(C291,""ja"",""vi"")"),"Đấu giá&gt; Thời trang&gt; By Nhãn hiệu&gt; Là&gt; Các thực McCoy")</f>
        <v>Đấu giá&gt; Thời trang&gt; By Nhãn hiệu&gt; Là&gt; Các thực McCoy</v>
      </c>
      <c r="F291" t="str">
        <f t="shared" ca="1" si="4"/>
        <v>"2084050224" : "Các McCoy thực",</v>
      </c>
    </row>
    <row r="292" spans="1:6" ht="15.75" customHeight="1">
      <c r="A292" s="18">
        <v>2084206732</v>
      </c>
      <c r="B292" s="18" t="s">
        <v>10155</v>
      </c>
      <c r="C292" s="18" t="s">
        <v>10156</v>
      </c>
      <c r="D292" s="5" t="str">
        <f ca="1">IFERROR(__xludf.DUMMYFUNCTION("GOOGLETRANSLATE(B292,""ja"",""vi"")"),"Zara")</f>
        <v>Zara</v>
      </c>
      <c r="E292" s="5" t="str">
        <f ca="1">IFERROR(__xludf.DUMMYFUNCTION("GOOGLETRANSLATE(C292,""ja"",""vi"")"),"Đấu giá&gt; Thời trang&gt; By Nhãn hiệu&gt; Là&gt; Zara")</f>
        <v>Đấu giá&gt; Thời trang&gt; By Nhãn hiệu&gt; Là&gt; Zara</v>
      </c>
      <c r="F292" t="str">
        <f t="shared" ca="1" si="4"/>
        <v>"2084206732" : "Zara",</v>
      </c>
    </row>
    <row r="293" spans="1:6" ht="15.75" customHeight="1">
      <c r="A293" s="18">
        <v>2084207782</v>
      </c>
      <c r="B293" s="18" t="s">
        <v>10161</v>
      </c>
      <c r="C293" s="18" t="s">
        <v>10162</v>
      </c>
      <c r="D293" s="5" t="str">
        <f ca="1">IFERROR(__xludf.DUMMYFUNCTION("GOOGLETRANSLATE(B293,""ja"",""vi"")"),"santa Fe")</f>
        <v>santa Fe</v>
      </c>
      <c r="E293" s="5" t="str">
        <f ca="1">IFERROR(__xludf.DUMMYFUNCTION("GOOGLETRANSLATE(C293,""ja"",""vi"")"),"Đấu giá&gt; Thời trang&gt; By Nhãn hiệu&gt; Là&gt; Santa Fe")</f>
        <v>Đấu giá&gt; Thời trang&gt; By Nhãn hiệu&gt; Là&gt; Santa Fe</v>
      </c>
      <c r="F293" t="str">
        <f t="shared" ca="1" si="4"/>
        <v>"2084207782" : "santa Fe",</v>
      </c>
    </row>
    <row r="294" spans="1:6" ht="15.75" customHeight="1">
      <c r="A294" s="18">
        <v>2084285750</v>
      </c>
      <c r="B294" s="18" t="s">
        <v>46</v>
      </c>
      <c r="C294" s="18" t="s">
        <v>10167</v>
      </c>
      <c r="D294" s="5" t="str">
        <f ca="1">IFERROR(__xludf.DUMMYFUNCTION("GOOGLETRANSLATE(B294,""ja"",""vi"")"),"nếu không thì")</f>
        <v>nếu không thì</v>
      </c>
      <c r="E294" s="5" t="str">
        <f ca="1">IFERROR(__xludf.DUMMYFUNCTION("GOOGLETRANSLATE(C294,""ja"",""vi"")"),"Đấu giá&gt; Thời trang&gt; By Nhãn hiệu&gt; Is&gt; Khác")</f>
        <v>Đấu giá&gt; Thời trang&gt; By Nhãn hiệu&gt; Is&gt; Khác</v>
      </c>
      <c r="F294" t="str">
        <f t="shared" ca="1" si="4"/>
        <v>"2084285750" : "nếu không thì",</v>
      </c>
    </row>
    <row r="295" spans="1:6" ht="15.75" customHeight="1">
      <c r="A295" s="18">
        <v>2084229933</v>
      </c>
      <c r="B295" s="18" t="s">
        <v>10172</v>
      </c>
      <c r="C295" s="18" t="s">
        <v>10173</v>
      </c>
      <c r="D295" s="5" t="str">
        <f ca="1">IFERROR(__xludf.DUMMYFUNCTION("GOOGLETRANSLATE(B295,""ja"",""vi"")"),"J.Crew")</f>
        <v>J.Crew</v>
      </c>
      <c r="E295" s="5" t="str">
        <f ca="1">IFERROR(__xludf.DUMMYFUNCTION("GOOGLETRANSLATE(C295,""ja"",""vi"")"),"Đấu giá&gt; Thời trang&gt; By Nhãn hiệu&gt; để&gt; J.Crew")</f>
        <v>Đấu giá&gt; Thời trang&gt; By Nhãn hiệu&gt; để&gt; J.Crew</v>
      </c>
      <c r="F295" t="str">
        <f t="shared" ca="1" si="4"/>
        <v>"2084229933" : "J.Crew",</v>
      </c>
    </row>
    <row r="296" spans="1:6" ht="15.75" customHeight="1">
      <c r="A296" s="18">
        <v>2084050231</v>
      </c>
      <c r="B296" s="18" t="s">
        <v>10177</v>
      </c>
      <c r="C296" s="18" t="s">
        <v>10178</v>
      </c>
      <c r="D296" s="5" t="str">
        <f ca="1">IFERROR(__xludf.DUMMYFUNCTION("GOOGLETRANSLATE(B296,""ja"",""vi"")"),"J. Press")</f>
        <v>J. Press</v>
      </c>
      <c r="E296" s="5" t="str">
        <f ca="1">IFERROR(__xludf.DUMMYFUNCTION("GOOGLETRANSLATE(C296,""ja"",""vi"")"),"Đấu giá&gt; Thời trang&gt; By Nhãn hiệu&gt; để&gt; J. Press")</f>
        <v>Đấu giá&gt; Thời trang&gt; By Nhãn hiệu&gt; để&gt; J. Press</v>
      </c>
      <c r="F296" t="str">
        <f t="shared" ca="1" si="4"/>
        <v>"2084050231" : "J. Press",</v>
      </c>
    </row>
    <row r="297" spans="1:6" ht="15.75" customHeight="1">
      <c r="A297" s="18">
        <v>2084229262</v>
      </c>
      <c r="B297" s="18" t="s">
        <v>10182</v>
      </c>
      <c r="C297" s="18" t="s">
        <v>10184</v>
      </c>
      <c r="D297" s="5" t="str">
        <f ca="1">IFERROR(__xludf.DUMMYFUNCTION("GOOGLETRANSLATE(B297,""ja"",""vi"")"),"đánh gôm lắc")</f>
        <v>đánh gôm lắc</v>
      </c>
      <c r="E297" s="5" t="str">
        <f ca="1">IFERROR(__xludf.DUMMYFUNCTION("GOOGLETRANSLATE(C297,""ja"",""vi"")"),"Đấu giá&gt; Thời trang&gt; By Nhãn hiệu&gt; để&gt; đánh gôm lắc")</f>
        <v>Đấu giá&gt; Thời trang&gt; By Nhãn hiệu&gt; để&gt; đánh gôm lắc</v>
      </c>
      <c r="F297" t="str">
        <f t="shared" ca="1" si="4"/>
        <v>"2084229262" : "đánh gôm lắc",</v>
      </c>
    </row>
    <row r="298" spans="1:6" ht="15.75" customHeight="1">
      <c r="A298" s="18">
        <v>2084238669</v>
      </c>
      <c r="B298" s="18" t="s">
        <v>10189</v>
      </c>
      <c r="C298" s="18" t="s">
        <v>10191</v>
      </c>
      <c r="D298" s="5" t="str">
        <f ca="1">IFERROR(__xludf.DUMMYFUNCTION("GOOGLETRANSLATE(B298,""ja"",""vi"")"),"vỏ trứng")</f>
        <v>vỏ trứng</v>
      </c>
      <c r="E298" s="5" t="str">
        <f ca="1">IFERROR(__xludf.DUMMYFUNCTION("GOOGLETRANSLATE(C298,""ja"",""vi"")"),"Đấu giá&gt; Thời trang&gt; By Nhãn hiệu&gt; để&gt; vỏ")</f>
        <v>Đấu giá&gt; Thời trang&gt; By Nhãn hiệu&gt; để&gt; vỏ</v>
      </c>
      <c r="F298" t="str">
        <f t="shared" ca="1" si="4"/>
        <v>"2084238669" : "vỏ trứng",</v>
      </c>
    </row>
    <row r="299" spans="1:6" ht="15.75" customHeight="1">
      <c r="A299" s="18">
        <v>2084050233</v>
      </c>
      <c r="B299" s="18" t="s">
        <v>10195</v>
      </c>
      <c r="C299" s="18" t="s">
        <v>10197</v>
      </c>
      <c r="D299" s="5" t="str">
        <f ca="1">IFERROR(__xludf.DUMMYFUNCTION("GOOGLETRANSLATE(B299,""ja"",""vi"")"),"Sierra Thiết kế")</f>
        <v>Sierra Thiết kế</v>
      </c>
      <c r="E299" s="5" t="str">
        <f ca="1">IFERROR(__xludf.DUMMYFUNCTION("GOOGLETRANSLATE(C299,""ja"",""vi"")"),"Đấu giá&gt; Thời trang&gt; By Nhãn hiệu&gt; để&gt; Sierra Thiết kế")</f>
        <v>Đấu giá&gt; Thời trang&gt; By Nhãn hiệu&gt; để&gt; Sierra Thiết kế</v>
      </c>
      <c r="F299" t="str">
        <f t="shared" ca="1" si="4"/>
        <v>"2084050233" : "Sierra Thiết kế",</v>
      </c>
    </row>
    <row r="300" spans="1:6" ht="15.75" customHeight="1">
      <c r="A300" s="18">
        <v>2084261351</v>
      </c>
      <c r="B300" s="18" t="s">
        <v>10201</v>
      </c>
      <c r="C300" s="18" t="s">
        <v>10203</v>
      </c>
      <c r="D300" s="5" t="str">
        <f ca="1">IFERROR(__xludf.DUMMYFUNCTION("GOOGLETRANSLATE(B300,""ja"",""vi"")"),"Jane Marple")</f>
        <v>Jane Marple</v>
      </c>
      <c r="E300" s="5" t="str">
        <f ca="1">IFERROR(__xludf.DUMMYFUNCTION("GOOGLETRANSLATE(C300,""ja"",""vi"")"),"Đấu giá&gt; Thời trang&gt; By Nhãn hiệu&gt; để&gt; Jane Marple")</f>
        <v>Đấu giá&gt; Thời trang&gt; By Nhãn hiệu&gt; để&gt; Jane Marple</v>
      </c>
      <c r="F300" t="str">
        <f t="shared" ca="1" si="4"/>
        <v>"2084261351" : "Jane Marple",</v>
      </c>
    </row>
    <row r="301" spans="1:6" ht="15.75" customHeight="1">
      <c r="A301" s="18">
        <v>2084050229</v>
      </c>
      <c r="B301" s="18" t="s">
        <v>10206</v>
      </c>
      <c r="C301" s="18" t="s">
        <v>10207</v>
      </c>
      <c r="D301" s="5" t="str">
        <f ca="1">IFERROR(__xludf.DUMMYFUNCTION("GOOGLETRANSLATE(B301,""ja"",""vi"")"),"Jay &amp; R")</f>
        <v>Jay &amp; R</v>
      </c>
      <c r="E301" s="5" t="str">
        <f ca="1">IFERROR(__xludf.DUMMYFUNCTION("GOOGLETRANSLATE(C301,""ja"",""vi"")"),"Đấu giá&gt; Thời trang&gt; By Nhãn hiệu&gt; để&gt; J &amp; R")</f>
        <v>Đấu giá&gt; Thời trang&gt; By Nhãn hiệu&gt; để&gt; J &amp; R</v>
      </c>
      <c r="F301" t="str">
        <f t="shared" ca="1" si="4"/>
        <v>"2084050229" : "Jay &amp; R",</v>
      </c>
    </row>
    <row r="302" spans="1:6" ht="15.75" customHeight="1">
      <c r="A302" s="18">
        <v>2084238605</v>
      </c>
      <c r="B302" s="18" t="s">
        <v>10210</v>
      </c>
      <c r="C302" s="18" t="s">
        <v>10212</v>
      </c>
      <c r="D302" s="5" t="str">
        <f ca="1">IFERROR(__xludf.DUMMYFUNCTION("GOOGLETRANSLATE(B302,""ja"",""vi"")"),"Jennie")</f>
        <v>Jennie</v>
      </c>
      <c r="E302" s="5" t="str">
        <f ca="1">IFERROR(__xludf.DUMMYFUNCTION("GOOGLETRANSLATE(C302,""ja"",""vi"")"),"Đấu giá&gt; Thời trang&gt; By Nhãn hiệu&gt; để&gt; Jennie")</f>
        <v>Đấu giá&gt; Thời trang&gt; By Nhãn hiệu&gt; để&gt; Jennie</v>
      </c>
      <c r="F302" t="str">
        <f t="shared" ca="1" si="4"/>
        <v>"2084238605" : "Jennie",</v>
      </c>
    </row>
    <row r="303" spans="1:6" ht="15.75" customHeight="1">
      <c r="A303" s="18">
        <v>2084050232</v>
      </c>
      <c r="B303" s="18" t="s">
        <v>10214</v>
      </c>
      <c r="C303" s="18" t="s">
        <v>10216</v>
      </c>
      <c r="D303" s="5" t="str">
        <f ca="1">IFERROR(__xludf.DUMMYFUNCTION("GOOGLETRANSLATE(B303,""ja"",""vi"")"),"Nghiên cứu chung")</f>
        <v>Nghiên cứu chung</v>
      </c>
      <c r="E303" s="5" t="str">
        <f ca="1">IFERROR(__xludf.DUMMYFUNCTION("GOOGLETRANSLATE(C303,""ja"",""vi"")"),"Đấu giá&gt; Thời trang&gt; By Nhãn hiệu&gt; để&gt; nghiên cứu chung")</f>
        <v>Đấu giá&gt; Thời trang&gt; By Nhãn hiệu&gt; để&gt; nghiên cứu chung</v>
      </c>
      <c r="F303" t="str">
        <f t="shared" ca="1" si="4"/>
        <v>"2084050232" : "Nghiên cứu chung",</v>
      </c>
    </row>
    <row r="304" spans="1:6" ht="15.75" customHeight="1">
      <c r="A304" s="18">
        <v>2084244312</v>
      </c>
      <c r="B304" s="18" t="s">
        <v>10218</v>
      </c>
      <c r="C304" s="18" t="s">
        <v>10220</v>
      </c>
      <c r="D304" s="5" t="str">
        <f ca="1">IFERROR(__xludf.DUMMYFUNCTION("GOOGLETRANSLATE(B304,""ja"",""vi"")"),"Gelato pique")</f>
        <v>Gelato pique</v>
      </c>
      <c r="E304" s="5" t="str">
        <f ca="1">IFERROR(__xludf.DUMMYFUNCTION("GOOGLETRANSLATE(C304,""ja"",""vi"")"),"Đấu giá&gt; Thời trang&gt; By Nhãn hiệu&gt; để&gt; gelato pique")</f>
        <v>Đấu giá&gt; Thời trang&gt; By Nhãn hiệu&gt; để&gt; gelato pique</v>
      </c>
      <c r="F304" t="str">
        <f t="shared" ca="1" si="4"/>
        <v>"2084244312" : "Gelato pique",</v>
      </c>
    </row>
    <row r="305" spans="1:6" ht="15.75" customHeight="1">
      <c r="A305" s="18">
        <v>2084298382</v>
      </c>
      <c r="B305" s="18" t="s">
        <v>10222</v>
      </c>
      <c r="C305" s="18" t="s">
        <v>10223</v>
      </c>
      <c r="D305" s="5" t="str">
        <f ca="1">IFERROR(__xludf.DUMMYFUNCTION("GOOGLETRANSLATE(B305,""ja"",""vi"")"),"Jeremy Scott")</f>
        <v>Jeremy Scott</v>
      </c>
      <c r="E305" s="5" t="str">
        <f ca="1">IFERROR(__xludf.DUMMYFUNCTION("GOOGLETRANSLATE(C305,""ja"",""vi"")"),"Đấu giá&gt; Thời trang&gt; By Nhãn hiệu&gt; để&gt; Jeremy Scott")</f>
        <v>Đấu giá&gt; Thời trang&gt; By Nhãn hiệu&gt; để&gt; Jeremy Scott</v>
      </c>
      <c r="F305" t="str">
        <f t="shared" ca="1" si="4"/>
        <v>"2084298382" : "Jeremy Scott",</v>
      </c>
    </row>
    <row r="306" spans="1:6" ht="15.75" customHeight="1">
      <c r="A306" s="18">
        <v>2084055886</v>
      </c>
      <c r="B306" s="18" t="s">
        <v>10225</v>
      </c>
      <c r="C306" s="18" t="s">
        <v>10226</v>
      </c>
      <c r="D306" s="5" t="str">
        <f ca="1">IFERROR(__xludf.DUMMYFUNCTION("GOOGLETRANSLATE(B306,""ja"",""vi"")"),"Chúa Giêsu Diamante")</f>
        <v>Chúa Giêsu Diamante</v>
      </c>
      <c r="E306" s="5" t="str">
        <f ca="1">IFERROR(__xludf.DUMMYFUNCTION("GOOGLETRANSLATE(C306,""ja"",""vi"")"),"Đấu giá&gt; Thời trang&gt; By Nhãn hiệu&gt; để&gt; Jesus Diamante")</f>
        <v>Đấu giá&gt; Thời trang&gt; By Nhãn hiệu&gt; để&gt; Jesus Diamante</v>
      </c>
      <c r="F306" t="str">
        <f t="shared" ca="1" si="4"/>
        <v>"2084055886" : "Chúa Giêsu Diamante",</v>
      </c>
    </row>
    <row r="307" spans="1:6" ht="15.75" customHeight="1">
      <c r="A307" s="18">
        <v>2084048610</v>
      </c>
      <c r="B307" s="18" t="s">
        <v>10229</v>
      </c>
      <c r="C307" s="18" t="s">
        <v>10230</v>
      </c>
      <c r="D307" s="5" t="str">
        <f ca="1">IFERROR(__xludf.DUMMYFUNCTION("GOOGLETRANSLATE(B307,""ja"",""vi"")"),"tàu")</f>
        <v>tàu</v>
      </c>
      <c r="E307" s="5" t="str">
        <f ca="1">IFERROR(__xludf.DUMMYFUNCTION("GOOGLETRANSLATE(C307,""ja"",""vi"")"),"Đấu giá&gt; Thời trang&gt; By Nhãn hiệu&gt; để&gt; Tàu")</f>
        <v>Đấu giá&gt; Thời trang&gt; By Nhãn hiệu&gt; để&gt; Tàu</v>
      </c>
      <c r="F307" t="str">
        <f t="shared" ca="1" si="4"/>
        <v>"2084048610" : "tàu",</v>
      </c>
    </row>
    <row r="308" spans="1:6" ht="15.75" customHeight="1">
      <c r="A308" s="18">
        <v>2084283159</v>
      </c>
      <c r="B308" s="18" t="s">
        <v>10232</v>
      </c>
      <c r="C308" s="18" t="s">
        <v>10234</v>
      </c>
      <c r="D308" s="5" t="str">
        <f ca="1">IFERROR(__xludf.DUMMYFUNCTION("GOOGLETRANSLATE(B308,""ja"",""vi"")"),"Citrus Ghi chú")</f>
        <v>Citrus Ghi chú</v>
      </c>
      <c r="E308" s="5" t="str">
        <f ca="1">IFERROR(__xludf.DUMMYFUNCTION("GOOGLETRANSLATE(C308,""ja"",""vi"")"),"Đấu giá&gt; Thời trang&gt; By Nhãn hiệu&gt; để&gt; Citrus Ghi chú")</f>
        <v>Đấu giá&gt; Thời trang&gt; By Nhãn hiệu&gt; để&gt; Citrus Ghi chú</v>
      </c>
      <c r="F308" t="str">
        <f t="shared" ca="1" si="4"/>
        <v>"2084283159" : "Citrus Ghi chú",</v>
      </c>
    </row>
    <row r="309" spans="1:6" ht="15.75" customHeight="1">
      <c r="A309" s="18">
        <v>2084050234</v>
      </c>
      <c r="B309" s="18" t="s">
        <v>10235</v>
      </c>
      <c r="C309" s="18" t="s">
        <v>10236</v>
      </c>
      <c r="D309" s="5" t="str">
        <f ca="1">IFERROR(__xludf.DUMMYFUNCTION("GOOGLETRANSLATE(B309,""ja"",""vi"")"),"Shinakoba")</f>
        <v>Shinakoba</v>
      </c>
      <c r="E309" s="5" t="str">
        <f ca="1">IFERROR(__xludf.DUMMYFUNCTION("GOOGLETRANSLATE(C309,""ja"",""vi"")"),"Đấu giá&gt; Thời trang&gt; By Nhãn hiệu&gt; để&gt; Shinakoba")</f>
        <v>Đấu giá&gt; Thời trang&gt; By Nhãn hiệu&gt; để&gt; Shinakoba</v>
      </c>
      <c r="F309" t="str">
        <f t="shared" ca="1" si="4"/>
        <v>"2084050234" : "Shinakoba",</v>
      </c>
    </row>
    <row r="310" spans="1:6" ht="15.75" customHeight="1">
      <c r="A310" s="18">
        <v>2084229892</v>
      </c>
      <c r="B310" s="18" t="s">
        <v>10239</v>
      </c>
      <c r="C310" s="18" t="s">
        <v>10240</v>
      </c>
      <c r="D310" s="5" t="str">
        <f ca="1">IFERROR(__xludf.DUMMYFUNCTION("GOOGLETRANSLATE(B310,""ja"",""vi"")"),"Jinashisu")</f>
        <v>Jinashisu</v>
      </c>
      <c r="E310" s="5" t="str">
        <f ca="1">IFERROR(__xludf.DUMMYFUNCTION("GOOGLETRANSLATE(C310,""ja"",""vi"")"),"Đấu giá&gt; Thời trang&gt; By Nhãn hiệu&gt; để&gt; Jinashisu")</f>
        <v>Đấu giá&gt; Thời trang&gt; By Nhãn hiệu&gt; để&gt; Jinashisu</v>
      </c>
      <c r="F310" t="str">
        <f t="shared" ca="1" si="4"/>
        <v>"2084229892" : "Jinashisu",</v>
      </c>
    </row>
    <row r="311" spans="1:6" ht="15.75" customHeight="1">
      <c r="A311" s="18">
        <v>2084283157</v>
      </c>
      <c r="B311" s="18" t="s">
        <v>10243</v>
      </c>
      <c r="C311" s="18" t="s">
        <v>10244</v>
      </c>
      <c r="D311" s="5" t="str">
        <f ca="1">IFERROR(__xludf.DUMMYFUNCTION("GOOGLETRANSLATE(B311,""ja"",""vi"")"),"Shibaikuroe")</f>
        <v>Shibaikuroe</v>
      </c>
      <c r="E311" s="5" t="str">
        <f ca="1">IFERROR(__xludf.DUMMYFUNCTION("GOOGLETRANSLATE(C311,""ja"",""vi"")"),"Đấu giá&gt; Thời trang&gt; By Nhãn hiệu&gt; để&gt; Shibaikuroe")</f>
        <v>Đấu giá&gt; Thời trang&gt; By Nhãn hiệu&gt; để&gt; Shibaikuroe</v>
      </c>
      <c r="F311" t="str">
        <f t="shared" ca="1" si="4"/>
        <v>"2084283157" : "Shibaikuroe",</v>
      </c>
    </row>
    <row r="312" spans="1:6" ht="15.75" customHeight="1">
      <c r="A312" s="18">
        <v>2084050236</v>
      </c>
      <c r="B312" s="18" t="s">
        <v>10246</v>
      </c>
      <c r="C312" s="18" t="s">
        <v>10248</v>
      </c>
      <c r="D312" s="5" t="str">
        <f ca="1">IFERROR(__xludf.DUMMYFUNCTION("GOOGLETRANSLATE(B312,""ja"",""vi"")"),"Sybilla")</f>
        <v>Sybilla</v>
      </c>
      <c r="E312" s="5" t="str">
        <f ca="1">IFERROR(__xludf.DUMMYFUNCTION("GOOGLETRANSLATE(C312,""ja"",""vi"")"),"Đấu giá&gt; Thời trang&gt; By Nhãn hiệu&gt; để&gt; Sybilla")</f>
        <v>Đấu giá&gt; Thời trang&gt; By Nhãn hiệu&gt; để&gt; Sybilla</v>
      </c>
      <c r="F312" t="str">
        <f t="shared" ca="1" si="4"/>
        <v>"2084050236" : "Sybilla",</v>
      </c>
    </row>
    <row r="313" spans="1:6" ht="15.75" customHeight="1">
      <c r="A313" s="18">
        <v>2084050235</v>
      </c>
      <c r="B313" s="18" t="s">
        <v>10250</v>
      </c>
      <c r="C313" s="18" t="s">
        <v>10251</v>
      </c>
      <c r="D313" s="5" t="str">
        <f ca="1">IFERROR(__xludf.DUMMYFUNCTION("GOOGLETRANSLATE(B313,""ja"",""vi"")"),"Givenchy")</f>
        <v>Givenchy</v>
      </c>
      <c r="E313" s="5" t="str">
        <f ca="1">IFERROR(__xludf.DUMMYFUNCTION("GOOGLETRANSLATE(C313,""ja"",""vi"")"),"Đấu giá&gt; Thời trang&gt; By Nhãn hiệu&gt; để&gt; Givenchy")</f>
        <v>Đấu giá&gt; Thời trang&gt; By Nhãn hiệu&gt; để&gt; Givenchy</v>
      </c>
      <c r="F313" t="str">
        <f t="shared" ca="1" si="4"/>
        <v>"2084050235" : "Givenchy",</v>
      </c>
    </row>
    <row r="314" spans="1:6" ht="15.75" customHeight="1">
      <c r="A314" s="18">
        <v>2084301231</v>
      </c>
      <c r="B314" s="18" t="s">
        <v>10253</v>
      </c>
      <c r="C314" s="18" t="s">
        <v>10254</v>
      </c>
      <c r="D314" s="5" t="str">
        <f ca="1">IFERROR(__xludf.DUMMYFUNCTION("GOOGLETRANSLATE(B314,""ja"",""vi"")"),"Cimarron")</f>
        <v>Cimarron</v>
      </c>
      <c r="E314" s="5" t="str">
        <f ca="1">IFERROR(__xludf.DUMMYFUNCTION("GOOGLETRANSLATE(C314,""ja"",""vi"")"),"Đấu giá&gt; Thời trang&gt; By Nhãn hiệu&gt; để&gt; Cimarron")</f>
        <v>Đấu giá&gt; Thời trang&gt; By Nhãn hiệu&gt; để&gt; Cimarron</v>
      </c>
      <c r="F314" t="str">
        <f t="shared" ca="1" si="4"/>
        <v>"2084301231" : "Cimarron",</v>
      </c>
    </row>
    <row r="315" spans="1:6" ht="15.75" customHeight="1">
      <c r="A315" s="18">
        <v>2084205584</v>
      </c>
      <c r="B315" s="18" t="s">
        <v>10257</v>
      </c>
      <c r="C315" s="18" t="s">
        <v>10259</v>
      </c>
      <c r="D315" s="5" t="str">
        <f ca="1">IFERROR(__xludf.DUMMYFUNCTION("GOOGLETRANSLATE(B315,""ja"",""vi"")"),"Simonetta")</f>
        <v>Simonetta</v>
      </c>
      <c r="E315" s="5" t="str">
        <f ca="1">IFERROR(__xludf.DUMMYFUNCTION("GOOGLETRANSLATE(C315,""ja"",""vi"")"),"Đấu giá&gt; Thời trang&gt; By Nhãn hiệu&gt; để&gt; Simonetta")</f>
        <v>Đấu giá&gt; Thời trang&gt; By Nhãn hiệu&gt; để&gt; Simonetta</v>
      </c>
      <c r="F315" t="str">
        <f t="shared" ca="1" si="4"/>
        <v>"2084205584" : "Simonetta",</v>
      </c>
    </row>
    <row r="316" spans="1:6" ht="15.75" customHeight="1">
      <c r="A316" s="18">
        <v>2084212669</v>
      </c>
      <c r="B316" s="18" t="s">
        <v>10262</v>
      </c>
      <c r="C316" s="18" t="s">
        <v>10263</v>
      </c>
      <c r="D316" s="5" t="str">
        <f ca="1">IFERROR(__xludf.DUMMYFUNCTION("GOOGLETRANSLATE(B316,""ja"",""vi"")"),"Jimmy Choo")</f>
        <v>Jimmy Choo</v>
      </c>
      <c r="E316" s="5" t="str">
        <f ca="1">IFERROR(__xludf.DUMMYFUNCTION("GOOGLETRANSLATE(C316,""ja"",""vi"")"),"Đấu giá&gt; Thời trang&gt; By Nhãn hiệu&gt; để&gt; Jimmy Choo")</f>
        <v>Đấu giá&gt; Thời trang&gt; By Nhãn hiệu&gt; để&gt; Jimmy Choo</v>
      </c>
      <c r="F316" t="str">
        <f t="shared" ca="1" si="4"/>
        <v>"2084212669" : "Jimmy Choo",</v>
      </c>
    </row>
    <row r="317" spans="1:6" ht="15.75" customHeight="1">
      <c r="A317" s="18">
        <v>2084050237</v>
      </c>
      <c r="B317" s="18" t="s">
        <v>10268</v>
      </c>
      <c r="C317" s="18" t="s">
        <v>10269</v>
      </c>
      <c r="D317" s="5" t="str">
        <f ca="1">IFERROR(__xludf.DUMMYFUNCTION("GOOGLETRANSLATE(B317,""ja"",""vi"")"),"Jim Thompson")</f>
        <v>Jim Thompson</v>
      </c>
      <c r="E317" s="5" t="str">
        <f ca="1">IFERROR(__xludf.DUMMYFUNCTION("GOOGLETRANSLATE(C317,""ja"",""vi"")"),"Đấu giá&gt; Thời trang&gt; By Nhãn hiệu&gt; để&gt; Jim Thompson")</f>
        <v>Đấu giá&gt; Thời trang&gt; By Nhãn hiệu&gt; để&gt; Jim Thompson</v>
      </c>
      <c r="F317" t="str">
        <f t="shared" ca="1" si="4"/>
        <v>"2084050237" : "Jim Thompson",</v>
      </c>
    </row>
    <row r="318" spans="1:6" ht="15.75" customHeight="1">
      <c r="A318" s="18">
        <v>2084315871</v>
      </c>
      <c r="B318" s="18" t="s">
        <v>10273</v>
      </c>
      <c r="C318" s="18" t="s">
        <v>10275</v>
      </c>
      <c r="D318" s="5" t="str">
        <f ca="1">IFERROR(__xludf.DUMMYFUNCTION("GOOGLETRANSLATE(B318,""ja"",""vi"")"),"GU (GU)")</f>
        <v>GU (GU)</v>
      </c>
      <c r="E318" s="5" t="str">
        <f ca="1">IFERROR(__xludf.DUMMYFUNCTION("GOOGLETRANSLATE(C318,""ja"",""vi"")"),"Đấu giá&gt; Thời trang&gt; By Nhãn hiệu&gt; để&gt; GU (GU)")</f>
        <v>Đấu giá&gt; Thời trang&gt; By Nhãn hiệu&gt; để&gt; GU (GU)</v>
      </c>
      <c r="F318" t="str">
        <f t="shared" ca="1" si="4"/>
        <v>"2084315871" : "GU (GU)",</v>
      </c>
    </row>
    <row r="319" spans="1:6" ht="15.75" customHeight="1">
      <c r="A319" s="18">
        <v>2084303232</v>
      </c>
      <c r="B319" s="18" t="s">
        <v>10278</v>
      </c>
      <c r="C319" s="18" t="s">
        <v>10279</v>
      </c>
      <c r="D319" s="5" t="str">
        <f ca="1">IFERROR(__xludf.DUMMYFUNCTION("GOOGLETRANSLATE(B319,""ja"",""vi"")"),"JUNMEN")</f>
        <v>JUNMEN</v>
      </c>
      <c r="E319" s="5" t="str">
        <f ca="1">IFERROR(__xludf.DUMMYFUNCTION("GOOGLETRANSLATE(C319,""ja"",""vi"")"),"Đấu giá&gt; Thời trang&gt; By Nhãn hiệu&gt; để&gt; JUNMEN")</f>
        <v>Đấu giá&gt; Thời trang&gt; By Nhãn hiệu&gt; để&gt; JUNMEN</v>
      </c>
      <c r="F319" t="str">
        <f t="shared" ca="1" si="4"/>
        <v>"2084303232" : "JUNMEN",</v>
      </c>
    </row>
    <row r="320" spans="1:6" ht="15.75" customHeight="1">
      <c r="A320" s="18">
        <v>2084048674</v>
      </c>
      <c r="B320" s="18" t="s">
        <v>10282</v>
      </c>
      <c r="C320" s="18" t="s">
        <v>10283</v>
      </c>
      <c r="D320" s="5" t="str">
        <f ca="1">IFERROR(__xludf.DUMMYFUNCTION("GOOGLETRANSLATE(B320,""ja"",""vi"")"),"Shirley Temple")</f>
        <v>Shirley Temple</v>
      </c>
      <c r="E320" s="5" t="str">
        <f ca="1">IFERROR(__xludf.DUMMYFUNCTION("GOOGLETRANSLATE(C320,""ja"",""vi"")"),"Đấu giá&gt; Thời trang&gt; By Nhãn hiệu&gt; để&gt; Shirley Temple")</f>
        <v>Đấu giá&gt; Thời trang&gt; By Nhãn hiệu&gt; để&gt; Shirley Temple</v>
      </c>
      <c r="F320" t="str">
        <f t="shared" ca="1" si="4"/>
        <v>"2084048674" : "Shirley Temple",</v>
      </c>
    </row>
    <row r="321" spans="1:6" ht="15.75" customHeight="1">
      <c r="A321" s="18">
        <v>2084048611</v>
      </c>
      <c r="B321" s="18" t="s">
        <v>10288</v>
      </c>
      <c r="C321" s="18" t="s">
        <v>10289</v>
      </c>
      <c r="D321" s="5" t="str">
        <f ca="1">IFERROR(__xludf.DUMMYFUNCTION("GOOGLETRANSLATE(B321,""ja"",""vi"")"),"Chanel")</f>
        <v>Chanel</v>
      </c>
      <c r="E321" s="5" t="str">
        <f ca="1">IFERROR(__xludf.DUMMYFUNCTION("GOOGLETRANSLATE(C321,""ja"",""vi"")"),"Đấu giá&gt; Thời trang&gt; By Nhãn hiệu&gt; để&gt; Chanel")</f>
        <v>Đấu giá&gt; Thời trang&gt; By Nhãn hiệu&gt; để&gt; Chanel</v>
      </c>
      <c r="F321" t="str">
        <f t="shared" ca="1" si="4"/>
        <v>"2084048611" : "Chanel",</v>
      </c>
    </row>
    <row r="322" spans="1:6" ht="15.75" customHeight="1">
      <c r="A322" s="18">
        <v>2084061416</v>
      </c>
      <c r="B322" s="18" t="s">
        <v>10290</v>
      </c>
      <c r="C322" s="18" t="s">
        <v>10291</v>
      </c>
      <c r="D322" s="5" t="str">
        <f ca="1">IFERROR(__xludf.DUMMYFUNCTION("GOOGLETRANSLATE(B322,""ja"",""vi"")"),"Charles Jourdan")</f>
        <v>Charles Jourdan</v>
      </c>
      <c r="E322" s="5" t="str">
        <f ca="1">IFERROR(__xludf.DUMMYFUNCTION("GOOGLETRANSLATE(C322,""ja"",""vi"")"),"Đấu giá&gt; Thời trang&gt; By Nhãn hiệu&gt; để&gt; Charles Jourdan")</f>
        <v>Đấu giá&gt; Thời trang&gt; By Nhãn hiệu&gt; để&gt; Charles Jourdan</v>
      </c>
      <c r="F322" t="str">
        <f t="shared" ref="F322:F385" ca="1" si="5">CONCATENATE(CHAR(34)&amp;"",A322,""&amp;CHAR(34)," : ", CHAR(34)&amp;"",D322,""&amp;CHAR(34),",")</f>
        <v>"2084061416" : "Charles Jourdan",</v>
      </c>
    </row>
    <row r="323" spans="1:6" ht="15.75" customHeight="1">
      <c r="A323" s="18">
        <v>2084056703</v>
      </c>
      <c r="B323" s="18" t="s">
        <v>10295</v>
      </c>
      <c r="C323" s="18" t="s">
        <v>10296</v>
      </c>
      <c r="D323" s="5" t="str">
        <f ca="1">IFERROR(__xludf.DUMMYFUNCTION("GOOGLETRANSLATE(B323,""ja"",""vi"")"),"Shoop")</f>
        <v>Shoop</v>
      </c>
      <c r="E323" s="5" t="str">
        <f ca="1">IFERROR(__xludf.DUMMYFUNCTION("GOOGLETRANSLATE(C323,""ja"",""vi"")"),"Đấu giá&gt; Thời trang&gt; By Nhãn hiệu&gt; để&gt; Shoup")</f>
        <v>Đấu giá&gt; Thời trang&gt; By Nhãn hiệu&gt; để&gt; Shoup</v>
      </c>
      <c r="F323" t="str">
        <f t="shared" ca="1" si="5"/>
        <v>"2084056703" : "Shoop",</v>
      </c>
    </row>
    <row r="324" spans="1:6" ht="15.75" customHeight="1">
      <c r="A324" s="18">
        <v>2084050628</v>
      </c>
      <c r="B324" s="18" t="s">
        <v>10298</v>
      </c>
      <c r="C324" s="18" t="s">
        <v>10301</v>
      </c>
      <c r="D324" s="5" t="str">
        <f ca="1">IFERROR(__xludf.DUMMYFUNCTION("GOOGLETRANSLATE(B324,""ja"",""vi"")"),"tối cao")</f>
        <v>tối cao</v>
      </c>
      <c r="E324" s="5" t="str">
        <f ca="1">IFERROR(__xludf.DUMMYFUNCTION("GOOGLETRANSLATE(C324,""ja"",""vi"")"),"Đấu giá&gt; Thời trang&gt; By Nhãn hiệu&gt; để&gt; Tối cao")</f>
        <v>Đấu giá&gt; Thời trang&gt; By Nhãn hiệu&gt; để&gt; Tối cao</v>
      </c>
      <c r="F324" t="str">
        <f t="shared" ca="1" si="5"/>
        <v>"2084050628" : "tối cao",</v>
      </c>
    </row>
    <row r="325" spans="1:6" ht="15.75" customHeight="1">
      <c r="A325" s="18">
        <v>2084301212</v>
      </c>
      <c r="B325" s="18" t="s">
        <v>10303</v>
      </c>
      <c r="C325" s="18" t="s">
        <v>10304</v>
      </c>
      <c r="D325" s="5" t="str">
        <f ca="1">IFERROR(__xludf.DUMMYFUNCTION("GOOGLETRANSLATE(B325,""ja"",""vi"")"),"Sean John")</f>
        <v>Sean John</v>
      </c>
      <c r="E325" s="5" t="str">
        <f ca="1">IFERROR(__xludf.DUMMYFUNCTION("GOOGLETRANSLATE(C325,""ja"",""vi"")"),"Đấu giá&gt; Thời trang&gt; By Nhãn hiệu&gt; để&gt; Sean John")</f>
        <v>Đấu giá&gt; Thời trang&gt; By Nhãn hiệu&gt; để&gt; Sean John</v>
      </c>
      <c r="F325" t="str">
        <f t="shared" ca="1" si="5"/>
        <v>"2084301212" : "Sean John",</v>
      </c>
    </row>
    <row r="326" spans="1:6" ht="15.75" customHeight="1">
      <c r="A326" s="18">
        <v>2084050245</v>
      </c>
      <c r="B326" s="18" t="s">
        <v>10309</v>
      </c>
      <c r="C326" s="18" t="s">
        <v>10310</v>
      </c>
      <c r="D326" s="5" t="str">
        <f ca="1">IFERROR(__xludf.DUMMYFUNCTION("GOOGLETRANSLATE(B326,""ja"",""vi"")"),"Shot")</f>
        <v>Shot</v>
      </c>
      <c r="E326" s="5" t="str">
        <f ca="1">IFERROR(__xludf.DUMMYFUNCTION("GOOGLETRANSLATE(C326,""ja"",""vi"")"),"Đấu giá&gt; Thời trang&gt; By Nhãn hiệu&gt; để&gt; bắn")</f>
        <v>Đấu giá&gt; Thời trang&gt; By Nhãn hiệu&gt; để&gt; bắn</v>
      </c>
      <c r="F326" t="str">
        <f t="shared" ca="1" si="5"/>
        <v>"2084050245" : "Shot",</v>
      </c>
    </row>
    <row r="327" spans="1:6" ht="15.75" customHeight="1">
      <c r="A327" s="18">
        <v>2084050239</v>
      </c>
      <c r="B327" s="18" t="s">
        <v>10313</v>
      </c>
      <c r="C327" s="18" t="s">
        <v>10315</v>
      </c>
      <c r="D327" s="5" t="str">
        <f ca="1">IFERROR(__xludf.DUMMYFUNCTION("GOOGLETRANSLATE(B327,""ja"",""vi"")"),"chuẩn Journal")</f>
        <v>chuẩn Journal</v>
      </c>
      <c r="E327" s="5" t="str">
        <f ca="1">IFERROR(__xludf.DUMMYFUNCTION("GOOGLETRANSLATE(C327,""ja"",""vi"")"),"Đấu giá&gt; Thời trang&gt; By Nhãn hiệu&gt; để&gt; Tạp chí Tiêu chuẩn")</f>
        <v>Đấu giá&gt; Thời trang&gt; By Nhãn hiệu&gt; để&gt; Tạp chí Tiêu chuẩn</v>
      </c>
      <c r="F327" t="str">
        <f t="shared" ca="1" si="5"/>
        <v>"2084050239" : "chuẩn Journal",</v>
      </c>
    </row>
    <row r="328" spans="1:6" ht="15.75" customHeight="1">
      <c r="A328" s="18">
        <v>2084056689</v>
      </c>
      <c r="B328" s="18" t="s">
        <v>10318</v>
      </c>
      <c r="C328" s="18" t="s">
        <v>10320</v>
      </c>
      <c r="D328" s="5" t="str">
        <f ca="1">IFERROR(__xludf.DUMMYFUNCTION("GOOGLETRANSLATE(B328,""ja"",""vi"")"),"gyro")</f>
        <v>gyro</v>
      </c>
      <c r="E328" s="5" t="str">
        <f ca="1">IFERROR(__xludf.DUMMYFUNCTION("GOOGLETRANSLATE(C328,""ja"",""vi"")"),"Đấu giá&gt; Thời trang&gt; By Nhãn hiệu&gt; để&gt; gyro")</f>
        <v>Đấu giá&gt; Thời trang&gt; By Nhãn hiệu&gt; để&gt; gyro</v>
      </c>
      <c r="F328" t="str">
        <f t="shared" ca="1" si="5"/>
        <v>"2084056689" : "gyro",</v>
      </c>
    </row>
    <row r="329" spans="1:6" ht="15.75" customHeight="1">
      <c r="A329" s="18">
        <v>2084283160</v>
      </c>
      <c r="B329" s="18" t="s">
        <v>10325</v>
      </c>
      <c r="C329" s="18" t="s">
        <v>10326</v>
      </c>
      <c r="D329" s="5" t="str">
        <f ca="1">IFERROR(__xludf.DUMMYFUNCTION("GOOGLETRANSLATE(B329,""ja"",""vi"")"),"Jas Gritty")</f>
        <v>Jas Gritty</v>
      </c>
      <c r="E329" s="5" t="str">
        <f ca="1">IFERROR(__xludf.DUMMYFUNCTION("GOOGLETRANSLATE(C329,""ja"",""vi"")"),"Đấu giá&gt; Thời trang&gt; By Nhãn hiệu&gt; để&gt; Jas Gritty")</f>
        <v>Đấu giá&gt; Thời trang&gt; By Nhãn hiệu&gt; để&gt; Jas Gritty</v>
      </c>
      <c r="F329" t="str">
        <f t="shared" ca="1" si="5"/>
        <v>"2084283160" : "Jas Gritty",</v>
      </c>
    </row>
    <row r="330" spans="1:6" ht="15.75" customHeight="1">
      <c r="A330" s="18">
        <v>2084050240</v>
      </c>
      <c r="B330" s="18" t="s">
        <v>10331</v>
      </c>
      <c r="C330" s="18" t="s">
        <v>10332</v>
      </c>
      <c r="D330" s="5" t="str">
        <f ca="1">IFERROR(__xludf.DUMMYFUNCTION("GOOGLETRANSLATE(B330,""ja"",""vi"")"),"Just Cavalli")</f>
        <v>Just Cavalli</v>
      </c>
      <c r="E330" s="5" t="str">
        <f ca="1">IFERROR(__xludf.DUMMYFUNCTION("GOOGLETRANSLATE(C330,""ja"",""vi"")"),"Đấu giá&gt; Thời trang&gt; By Nhãn hiệu&gt; để&gt; Just Cavalli")</f>
        <v>Đấu giá&gt; Thời trang&gt; By Nhãn hiệu&gt; để&gt; Just Cavalli</v>
      </c>
      <c r="F330" t="str">
        <f t="shared" ca="1" si="5"/>
        <v>"2084050240" : "Just Cavalli",</v>
      </c>
    </row>
    <row r="331" spans="1:6" ht="15.75" customHeight="1">
      <c r="A331" s="18">
        <v>2084226719</v>
      </c>
      <c r="B331" s="18" t="s">
        <v>10336</v>
      </c>
      <c r="C331" s="18" t="s">
        <v>10338</v>
      </c>
      <c r="D331" s="5" t="str">
        <f ca="1">IFERROR(__xludf.DUMMYFUNCTION("GOOGLETRANSLATE(B331,""ja"",""vi"")"),"Jack Wolfskin")</f>
        <v>Jack Wolfskin</v>
      </c>
      <c r="E331" s="5" t="str">
        <f ca="1">IFERROR(__xludf.DUMMYFUNCTION("GOOGLETRANSLATE(C331,""ja"",""vi"")"),"Đấu giá&gt; Thời trang&gt; By Nhãn hiệu&gt; để&gt; Jack Wolfskin")</f>
        <v>Đấu giá&gt; Thời trang&gt; By Nhãn hiệu&gt; để&gt; Jack Wolfskin</v>
      </c>
      <c r="F331" t="str">
        <f t="shared" ca="1" si="5"/>
        <v>"2084226719" : "Jack Wolfskin",</v>
      </c>
    </row>
    <row r="332" spans="1:6" ht="15.75" customHeight="1">
      <c r="A332" s="18">
        <v>2084301246</v>
      </c>
      <c r="B332" s="18" t="s">
        <v>10342</v>
      </c>
      <c r="C332" s="18" t="s">
        <v>10344</v>
      </c>
      <c r="D332" s="5" t="str">
        <f ca="1">IFERROR(__xludf.DUMMYFUNCTION("GOOGLETRANSLATE(B332,""ja"",""vi"")"),"đồ ăn vặt")</f>
        <v>đồ ăn vặt</v>
      </c>
      <c r="E332" s="5" t="str">
        <f ca="1">IFERROR(__xludf.DUMMYFUNCTION("GOOGLETRANSLATE(C332,""ja"",""vi"")"),"Đấu giá&gt; Thời trang&gt; By Nhãn hiệu&gt; để&gt; đồ ăn vặt")</f>
        <v>Đấu giá&gt; Thời trang&gt; By Nhãn hiệu&gt; để&gt; đồ ăn vặt</v>
      </c>
      <c r="F332" t="str">
        <f t="shared" ca="1" si="5"/>
        <v>"2084301246" : "đồ ăn vặt",</v>
      </c>
    </row>
    <row r="333" spans="1:6" ht="15.75" customHeight="1">
      <c r="A333" s="18">
        <v>2084050242</v>
      </c>
      <c r="B333" s="18" t="s">
        <v>10347</v>
      </c>
      <c r="C333" s="18" t="s">
        <v>10349</v>
      </c>
      <c r="D333" s="5" t="str">
        <f ca="1">IFERROR(__xludf.DUMMYFUNCTION("GOOGLETRANSLATE(B333,""ja"",""vi"")"),"Gianfranco Ferre")</f>
        <v>Gianfranco Ferre</v>
      </c>
      <c r="E333" s="5" t="str">
        <f ca="1">IFERROR(__xludf.DUMMYFUNCTION("GOOGLETRANSLATE(C333,""ja"",""vi"")"),"Đấu giá&gt; Thời trang&gt; By Nhãn hiệu&gt; để&gt; Gianfranco Ferre")</f>
        <v>Đấu giá&gt; Thời trang&gt; By Nhãn hiệu&gt; để&gt; Gianfranco Ferre</v>
      </c>
      <c r="F333" t="str">
        <f t="shared" ca="1" si="5"/>
        <v>"2084050242" : "Gianfranco Ferre",</v>
      </c>
    </row>
    <row r="334" spans="1:6" ht="15.75" customHeight="1">
      <c r="A334" s="18">
        <v>2084036151</v>
      </c>
      <c r="B334" s="18" t="s">
        <v>10355</v>
      </c>
      <c r="C334" s="18" t="s">
        <v>10357</v>
      </c>
      <c r="D334" s="5" t="str">
        <f ca="1">IFERROR(__xludf.DUMMYFUNCTION("GOOGLETRANSLATE(B334,""ja"",""vi"")"),"Jean Paul Gaultier")</f>
        <v>Jean Paul Gaultier</v>
      </c>
      <c r="E334" s="5" t="str">
        <f ca="1">IFERROR(__xludf.DUMMYFUNCTION("GOOGLETRANSLATE(C334,""ja"",""vi"")"),"Đấu giá&gt; Thời trang&gt; By Nhãn hiệu&gt; để&gt; Jean Paul Gaultier")</f>
        <v>Đấu giá&gt; Thời trang&gt; By Nhãn hiệu&gt; để&gt; Jean Paul Gaultier</v>
      </c>
      <c r="F334" t="str">
        <f t="shared" ca="1" si="5"/>
        <v>"2084036151" : "Jean Paul Gaultier",</v>
      </c>
    </row>
    <row r="335" spans="1:6" ht="15.75" customHeight="1">
      <c r="A335" s="18">
        <v>2084050243</v>
      </c>
      <c r="B335" s="18" t="s">
        <v>10362</v>
      </c>
      <c r="C335" s="18" t="s">
        <v>10364</v>
      </c>
      <c r="D335" s="5" t="str">
        <f ca="1">IFERROR(__xludf.DUMMYFUNCTION("GOOGLETRANSLATE(B335,""ja"",""vi"")"),"Juicy Couture")</f>
        <v>Juicy Couture</v>
      </c>
      <c r="E335" s="5" t="str">
        <f ca="1">IFERROR(__xludf.DUMMYFUNCTION("GOOGLETRANSLATE(C335,""ja"",""vi"")"),"Đấu giá&gt; Thời trang&gt; By Nhãn hiệu&gt; để&gt; Juicy Couture")</f>
        <v>Đấu giá&gt; Thời trang&gt; By Nhãn hiệu&gt; để&gt; Juicy Couture</v>
      </c>
      <c r="F335" t="str">
        <f t="shared" ca="1" si="5"/>
        <v>"2084050243" : "Juicy Couture",</v>
      </c>
    </row>
    <row r="336" spans="1:6" ht="15.75" customHeight="1">
      <c r="A336" s="18">
        <v>2084255841</v>
      </c>
      <c r="B336" s="18" t="s">
        <v>10371</v>
      </c>
      <c r="C336" s="18" t="s">
        <v>10373</v>
      </c>
      <c r="D336" s="5" t="str">
        <f ca="1">IFERROR(__xludf.DUMMYFUNCTION("GOOGLETRANSLATE(B336,""ja"",""vi"")"),"Giuseppe Zanotti")</f>
        <v>Giuseppe Zanotti</v>
      </c>
      <c r="E336" s="5" t="str">
        <f ca="1">IFERROR(__xludf.DUMMYFUNCTION("GOOGLETRANSLATE(C336,""ja"",""vi"")"),"Đấu giá&gt; Thời trang&gt; By Nhãn hiệu&gt; để&gt; Giuseppe Zanotti")</f>
        <v>Đấu giá&gt; Thời trang&gt; By Nhãn hiệu&gt; để&gt; Giuseppe Zanotti</v>
      </c>
      <c r="F336" t="str">
        <f t="shared" ca="1" si="5"/>
        <v>"2084255841" : "Giuseppe Zanotti",</v>
      </c>
    </row>
    <row r="337" spans="1:6" ht="15.75" customHeight="1">
      <c r="A337" s="18">
        <v>2084054821</v>
      </c>
      <c r="B337" s="18" t="s">
        <v>10377</v>
      </c>
      <c r="C337" s="18" t="s">
        <v>10378</v>
      </c>
      <c r="D337" s="5" t="str">
        <f ca="1">IFERROR(__xludf.DUMMYFUNCTION("GOOGLETRANSLATE(B337,""ja"",""vi"")"),"Junko Shimada")</f>
        <v>Junko Shimada</v>
      </c>
      <c r="E337" s="5" t="str">
        <f ca="1">IFERROR(__xludf.DUMMYFUNCTION("GOOGLETRANSLATE(C337,""ja"",""vi"")"),"Đấu giá&gt; Thời trang&gt; By Nhãn hiệu&gt; để&gt; Junko Shimada")</f>
        <v>Đấu giá&gt; Thời trang&gt; By Nhãn hiệu&gt; để&gt; Junko Shimada</v>
      </c>
      <c r="F337" t="str">
        <f t="shared" ca="1" si="5"/>
        <v>"2084054821" : "Junko Shimada",</v>
      </c>
    </row>
    <row r="338" spans="1:6" ht="15.75" customHeight="1">
      <c r="A338" s="18">
        <v>2084007817</v>
      </c>
      <c r="B338" s="18" t="s">
        <v>10383</v>
      </c>
      <c r="C338" s="18" t="s">
        <v>10385</v>
      </c>
      <c r="D338" s="5" t="str">
        <f ca="1">IFERROR(__xludf.DUMMYFUNCTION("GOOGLETRANSLATE(B338,""ja"",""vi"")"),"George Cox")</f>
        <v>George Cox</v>
      </c>
      <c r="E338" s="5" t="str">
        <f ca="1">IFERROR(__xludf.DUMMYFUNCTION("GOOGLETRANSLATE(C338,""ja"",""vi"")"),"Đấu giá&gt; Thời trang&gt; By Nhãn hiệu&gt; để&gt; George Cox")</f>
        <v>Đấu giá&gt; Thời trang&gt; By Nhãn hiệu&gt; để&gt; George Cox</v>
      </c>
      <c r="F338" t="str">
        <f t="shared" ca="1" si="5"/>
        <v>"2084007817" : "George Cox",</v>
      </c>
    </row>
    <row r="339" spans="1:6" ht="15.75" customHeight="1">
      <c r="A339" s="18">
        <v>2084212745</v>
      </c>
      <c r="B339" s="18" t="s">
        <v>10388</v>
      </c>
      <c r="C339" s="18" t="s">
        <v>10390</v>
      </c>
      <c r="D339" s="5" t="str">
        <f ca="1">IFERROR(__xludf.DUMMYFUNCTION("GOOGLETRANSLATE(B339,""ja"",""vi"")"),"vui mừng")</f>
        <v>vui mừng</v>
      </c>
      <c r="E339" s="5" t="str">
        <f ca="1">IFERROR(__xludf.DUMMYFUNCTION("GOOGLETRANSLATE(C339,""ja"",""vi"")"),"Đấu giá&gt; Thời trang&gt; By Nhãn hiệu&gt; để&gt; Joyous")</f>
        <v>Đấu giá&gt; Thời trang&gt; By Nhãn hiệu&gt; để&gt; Joyous</v>
      </c>
      <c r="F339" t="str">
        <f t="shared" ca="1" si="5"/>
        <v>"2084212745" : "vui mừng",</v>
      </c>
    </row>
    <row r="340" spans="1:6" ht="15.75" customHeight="1">
      <c r="A340" s="18">
        <v>2084301274</v>
      </c>
      <c r="B340" s="18" t="s">
        <v>10393</v>
      </c>
      <c r="C340" s="18" t="s">
        <v>10396</v>
      </c>
      <c r="D340" s="5" t="str">
        <f ca="1">IFERROR(__xludf.DUMMYFUNCTION("GOOGLETRANSLATE(B340,""ja"",""vi"")"),"Joiritchi")</f>
        <v>Joiritchi</v>
      </c>
      <c r="E340" s="5" t="str">
        <f ca="1">IFERROR(__xludf.DUMMYFUNCTION("GOOGLETRANSLATE(C340,""ja"",""vi"")"),"Đấu giá&gt; Thời trang&gt; By Nhãn hiệu&gt; để&gt; Joiritchi")</f>
        <v>Đấu giá&gt; Thời trang&gt; By Nhãn hiệu&gt; để&gt; Joiritchi</v>
      </c>
      <c r="F340" t="str">
        <f t="shared" ca="1" si="5"/>
        <v>"2084301274" : "Joiritchi",</v>
      </c>
    </row>
    <row r="341" spans="1:6" ht="15.75" customHeight="1">
      <c r="A341" s="18">
        <v>2084283162</v>
      </c>
      <c r="B341" s="18" t="s">
        <v>10401</v>
      </c>
      <c r="C341" s="18" t="s">
        <v>10403</v>
      </c>
      <c r="D341" s="5" t="str">
        <f ca="1">IFERROR(__xludf.DUMMYFUNCTION("GOOGLETRANSLATE(B341,""ja"",""vi"")"),"người đàn ông chay tịnh")</f>
        <v>người đàn ông chay tịnh</v>
      </c>
      <c r="E341" s="5" t="str">
        <f ca="1">IFERROR(__xludf.DUMMYFUNCTION("GOOGLETRANSLATE(C341,""ja"",""vi"")"),"Đấu giá&gt; Thời trang&gt; By Nhãn hiệu&gt; để&gt; Joseph")</f>
        <v>Đấu giá&gt; Thời trang&gt; By Nhãn hiệu&gt; để&gt; Joseph</v>
      </c>
      <c r="F341" t="str">
        <f t="shared" ca="1" si="5"/>
        <v>"2084283162" : "người đàn ông chay tịnh",</v>
      </c>
    </row>
    <row r="342" spans="1:6" ht="15.75" customHeight="1">
      <c r="A342" s="18">
        <v>2084050246</v>
      </c>
      <c r="B342" s="18" t="s">
        <v>10408</v>
      </c>
      <c r="C342" s="18" t="s">
        <v>10409</v>
      </c>
      <c r="D342" s="5" t="str">
        <f ca="1">IFERROR(__xludf.DUMMYFUNCTION("GOOGLETRANSLATE(B342,""ja"",""vi"")"),"John Smedley")</f>
        <v>John Smedley</v>
      </c>
      <c r="E342" s="5" t="str">
        <f ca="1">IFERROR(__xludf.DUMMYFUNCTION("GOOGLETRANSLATE(C342,""ja"",""vi"")"),"Đấu giá&gt; Thời trang&gt; By Nhãn hiệu&gt; để&gt; John Smedley")</f>
        <v>Đấu giá&gt; Thời trang&gt; By Nhãn hiệu&gt; để&gt; John Smedley</v>
      </c>
      <c r="F342" t="str">
        <f t="shared" ca="1" si="5"/>
        <v>"2084050246" : "John Smedley",</v>
      </c>
    </row>
    <row r="343" spans="1:6" ht="15.75" customHeight="1">
      <c r="A343" s="18">
        <v>2084062152</v>
      </c>
      <c r="B343" s="18" t="s">
        <v>10413</v>
      </c>
      <c r="C343" s="18" t="s">
        <v>10415</v>
      </c>
      <c r="D343" s="5" t="str">
        <f ca="1">IFERROR(__xludf.DUMMYFUNCTION("GOOGLETRANSLATE(B343,""ja"",""vi"")"),"John Robb")</f>
        <v>John Robb</v>
      </c>
      <c r="E343" s="5" t="str">
        <f ca="1">IFERROR(__xludf.DUMMYFUNCTION("GOOGLETRANSLATE(C343,""ja"",""vi"")"),"Đấu giá&gt; Thời trang&gt; By Nhãn hiệu&gt; để&gt; John Robb")</f>
        <v>Đấu giá&gt; Thời trang&gt; By Nhãn hiệu&gt; để&gt; John Robb</v>
      </c>
      <c r="F343" t="str">
        <f t="shared" ca="1" si="5"/>
        <v>"2084062152" : "John Robb",</v>
      </c>
    </row>
    <row r="344" spans="1:6" ht="15.75" customHeight="1">
      <c r="A344" s="18">
        <v>2084199106</v>
      </c>
      <c r="B344" s="18" t="s">
        <v>10419</v>
      </c>
      <c r="C344" s="18" t="s">
        <v>10422</v>
      </c>
      <c r="D344" s="5" t="str">
        <f ca="1">IFERROR(__xludf.DUMMYFUNCTION("GOOGLETRANSLATE(B344,""ja"",""vi"")"),"John Galliano")</f>
        <v>John Galliano</v>
      </c>
      <c r="E344" s="5" t="str">
        <f ca="1">IFERROR(__xludf.DUMMYFUNCTION("GOOGLETRANSLATE(C344,""ja"",""vi"")"),"Đấu giá&gt; Thời trang&gt; By Nhãn hiệu&gt; để&gt; John Galliano")</f>
        <v>Đấu giá&gt; Thời trang&gt; By Nhãn hiệu&gt; để&gt; John Galliano</v>
      </c>
      <c r="F344" t="str">
        <f t="shared" ca="1" si="5"/>
        <v>"2084199106" : "John Galliano",</v>
      </c>
    </row>
    <row r="345" spans="1:6" ht="15.75" customHeight="1">
      <c r="A345" s="18">
        <v>2084058224</v>
      </c>
      <c r="B345" s="18" t="s">
        <v>10424</v>
      </c>
      <c r="C345" s="18" t="s">
        <v>10427</v>
      </c>
      <c r="D345" s="5" t="str">
        <f ca="1">IFERROR(__xludf.DUMMYFUNCTION("GOOGLETRANSLATE(B345,""ja"",""vi"")"),"người Anh điển hình")</f>
        <v>người Anh điển hình</v>
      </c>
      <c r="E345" s="5" t="str">
        <f ca="1">IFERROR(__xludf.DUMMYFUNCTION("GOOGLETRANSLATE(C345,""ja"",""vi"")"),"Đấu giá&gt; Thời trang&gt; By Nhãn hiệu&gt; để&gt; John Bull")</f>
        <v>Đấu giá&gt; Thời trang&gt; By Nhãn hiệu&gt; để&gt; John Bull</v>
      </c>
      <c r="F345" t="str">
        <f t="shared" ca="1" si="5"/>
        <v>"2084058224" : "người Anh điển hình",</v>
      </c>
    </row>
    <row r="346" spans="1:6" ht="15.75" customHeight="1">
      <c r="A346" s="18">
        <v>2084283161</v>
      </c>
      <c r="B346" s="18" t="s">
        <v>10430</v>
      </c>
      <c r="C346" s="18" t="s">
        <v>10431</v>
      </c>
      <c r="D346" s="5" t="str">
        <f ca="1">IFERROR(__xludf.DUMMYFUNCTION("GOOGLETRANSLATE(B346,""ja"",""vi"")"),"Khu Tự do")</f>
        <v>Khu Tự do</v>
      </c>
      <c r="E346" s="5" t="str">
        <f ca="1">IFERROR(__xludf.DUMMYFUNCTION("GOOGLETRANSLATE(C346,""ja"",""vi"")"),"Đấu giá&gt; Thời trang&gt; By Nhãn hiệu&gt; để&gt; Free Zone")</f>
        <v>Đấu giá&gt; Thời trang&gt; By Nhãn hiệu&gt; để&gt; Free Zone</v>
      </c>
      <c r="F346" t="str">
        <f t="shared" ca="1" si="5"/>
        <v>"2084283161" : "Khu Tự do",</v>
      </c>
    </row>
    <row r="347" spans="1:6" ht="15.75" customHeight="1">
      <c r="A347" s="18">
        <v>2084199161</v>
      </c>
      <c r="B347" s="18" t="s">
        <v>10436</v>
      </c>
      <c r="C347" s="18" t="s">
        <v>10437</v>
      </c>
      <c r="D347" s="5" t="str">
        <f ca="1">IFERROR(__xludf.DUMMYFUNCTION("GOOGLETRANSLATE(B347,""ja"",""vi"")"),"Shiruvano-Rattanji")</f>
        <v>Shiruvano-Rattanji</v>
      </c>
      <c r="E347" s="5" t="str">
        <f ca="1">IFERROR(__xludf.DUMMYFUNCTION("GOOGLETRANSLATE(C347,""ja"",""vi"")"),"Đấu giá&gt; Thời trang&gt; By Nhãn hiệu&gt; để&gt; Shiruvano-Rattanji")</f>
        <v>Đấu giá&gt; Thời trang&gt; By Nhãn hiệu&gt; để&gt; Shiruvano-Rattanji</v>
      </c>
      <c r="F347" t="str">
        <f t="shared" ca="1" si="5"/>
        <v>"2084199161" : "Shiruvano-Rattanji",</v>
      </c>
    </row>
    <row r="348" spans="1:6" ht="15.75" customHeight="1">
      <c r="A348" s="18">
        <v>2084050247</v>
      </c>
      <c r="B348" s="18" t="s">
        <v>10440</v>
      </c>
      <c r="C348" s="18" t="s">
        <v>10443</v>
      </c>
      <c r="D348" s="5" t="str">
        <f ca="1">IFERROR(__xludf.DUMMYFUNCTION("GOOGLETRANSLATE(B348,""ja"",""vi"")"),"Jil Sander")</f>
        <v>Jil Sander</v>
      </c>
      <c r="E348" s="5" t="str">
        <f ca="1">IFERROR(__xludf.DUMMYFUNCTION("GOOGLETRANSLATE(C348,""ja"",""vi"")"),"Đấu giá&gt; Thời trang&gt; By Nhãn hiệu&gt; để&gt; Jil Sander")</f>
        <v>Đấu giá&gt; Thời trang&gt; By Nhãn hiệu&gt; để&gt; Jil Sander</v>
      </c>
      <c r="F348" t="str">
        <f t="shared" ca="1" si="5"/>
        <v>"2084050247" : "Jil Sander",</v>
      </c>
    </row>
    <row r="349" spans="1:6" ht="15.75" customHeight="1">
      <c r="A349" s="18">
        <v>2084048679</v>
      </c>
      <c r="B349" s="18" t="s">
        <v>10446</v>
      </c>
      <c r="C349" s="18" t="s">
        <v>10449</v>
      </c>
      <c r="D349" s="5" t="str">
        <f ca="1">IFERROR(__xludf.DUMMYFUNCTION("GOOGLETRANSLATE(B349,""ja"",""vi"")"),"Jill Stuart")</f>
        <v>Jill Stuart</v>
      </c>
      <c r="E349" s="5" t="str">
        <f ca="1">IFERROR(__xludf.DUMMYFUNCTION("GOOGLETRANSLATE(C349,""ja"",""vi"")"),"Đấu giá&gt; Thời trang&gt; By Nhãn hiệu&gt; để&gt; Jill Stuart")</f>
        <v>Đấu giá&gt; Thời trang&gt; By Nhãn hiệu&gt; để&gt; Jill Stuart</v>
      </c>
      <c r="F349" t="str">
        <f t="shared" ca="1" si="5"/>
        <v>"2084048679" : "Jill Stuart",</v>
      </c>
    </row>
    <row r="350" spans="1:6" ht="15.75" customHeight="1">
      <c r="A350" s="18">
        <v>2084050248</v>
      </c>
      <c r="B350" s="18" t="s">
        <v>10452</v>
      </c>
      <c r="C350" s="18" t="s">
        <v>10455</v>
      </c>
      <c r="D350" s="5" t="str">
        <f ca="1">IFERROR(__xludf.DUMMYFUNCTION("GOOGLETRANSLATE(B350,""ja"",""vi"")"),"Cynthia Rowley")</f>
        <v>Cynthia Rowley</v>
      </c>
      <c r="E350" s="5" t="str">
        <f ca="1">IFERROR(__xludf.DUMMYFUNCTION("GOOGLETRANSLATE(C350,""ja"",""vi"")"),"Đấu giá&gt; Thời trang&gt; By Nhãn hiệu&gt; để&gt; Cynthia Rowley")</f>
        <v>Đấu giá&gt; Thời trang&gt; By Nhãn hiệu&gt; để&gt; Cynthia Rowley</v>
      </c>
      <c r="F350" t="str">
        <f t="shared" ca="1" si="5"/>
        <v>"2084050248" : "Cynthia Rowley",</v>
      </c>
    </row>
    <row r="351" spans="1:6" ht="15.75" customHeight="1">
      <c r="A351" s="18">
        <v>2084238573</v>
      </c>
      <c r="B351" s="18" t="s">
        <v>10457</v>
      </c>
      <c r="C351" s="18" t="s">
        <v>10459</v>
      </c>
      <c r="D351" s="5" t="str">
        <f ca="1">IFERROR(__xludf.DUMMYFUNCTION("GOOGLETRANSLATE(B351,""ja"",""vi"")"),"Gymboree")</f>
        <v>Gymboree</v>
      </c>
      <c r="E351" s="5" t="str">
        <f ca="1">IFERROR(__xludf.DUMMYFUNCTION("GOOGLETRANSLATE(C351,""ja"",""vi"")"),"Đấu giá&gt; Thời trang&gt; By Nhãn hiệu&gt; để&gt; Gymboree")</f>
        <v>Đấu giá&gt; Thời trang&gt; By Nhãn hiệu&gt; để&gt; Gymboree</v>
      </c>
      <c r="F351" t="str">
        <f t="shared" ca="1" si="5"/>
        <v>"2084238573" : "Gymboree",</v>
      </c>
    </row>
    <row r="352" spans="1:6" ht="15.75" customHeight="1">
      <c r="A352" s="18">
        <v>2084285765</v>
      </c>
      <c r="B352" s="18" t="s">
        <v>46</v>
      </c>
      <c r="C352" s="18" t="s">
        <v>10463</v>
      </c>
      <c r="D352" s="5" t="str">
        <f ca="1">IFERROR(__xludf.DUMMYFUNCTION("GOOGLETRANSLATE(B352,""ja"",""vi"")"),"nếu không thì")</f>
        <v>nếu không thì</v>
      </c>
      <c r="E352" s="5" t="str">
        <f ca="1">IFERROR(__xludf.DUMMYFUNCTION("GOOGLETRANSLATE(C352,""ja"",""vi"")"),"Đấu giá&gt; Thời trang&gt; By Nhãn hiệu&gt; để&gt; Khác")</f>
        <v>Đấu giá&gt; Thời trang&gt; By Nhãn hiệu&gt; để&gt; Khác</v>
      </c>
      <c r="F352" t="str">
        <f t="shared" ca="1" si="5"/>
        <v>"2084285765" : "nếu không thì",</v>
      </c>
    </row>
    <row r="353" spans="1:6" ht="15.75" customHeight="1">
      <c r="A353" s="18">
        <v>2084289097</v>
      </c>
      <c r="B353" s="18" t="s">
        <v>10466</v>
      </c>
      <c r="C353" s="18" t="s">
        <v>10468</v>
      </c>
      <c r="D353" s="5" t="str">
        <f ca="1">IFERROR(__xludf.DUMMYFUNCTION("GOOGLETRANSLATE(B353,""ja"",""vi"")"),"chuyến bay sọ")</f>
        <v>chuyến bay sọ</v>
      </c>
      <c r="E353" s="5" t="str">
        <f ca="1">IFERROR(__xludf.DUMMYFUNCTION("GOOGLETRANSLATE(C353,""ja"",""vi"")"),"Đấu giá&gt; Thời trang&gt; By Nhãn hiệu&gt; để&gt; bay Skull")</f>
        <v>Đấu giá&gt; Thời trang&gt; By Nhãn hiệu&gt; để&gt; bay Skull</v>
      </c>
      <c r="F353" t="str">
        <f t="shared" ca="1" si="5"/>
        <v>"2084289097" : "chuyến bay sọ",</v>
      </c>
    </row>
    <row r="354" spans="1:6" ht="15.75" customHeight="1">
      <c r="A354" s="18">
        <v>2084283233</v>
      </c>
      <c r="B354" s="18" t="s">
        <v>10470</v>
      </c>
      <c r="C354" s="18" t="s">
        <v>10473</v>
      </c>
      <c r="D354" s="5" t="str">
        <f ca="1">IFERROR(__xludf.DUMMYFUNCTION("GOOGLETRANSLATE(B354,""ja"",""vi"")"),"Scapa")</f>
        <v>Scapa</v>
      </c>
      <c r="E354" s="5" t="str">
        <f ca="1">IFERROR(__xludf.DUMMYFUNCTION("GOOGLETRANSLATE(C354,""ja"",""vi"")"),"Đấu giá&gt; Thời trang&gt; By Nhãn hiệu&gt; để&gt; Scapa")</f>
        <v>Đấu giá&gt; Thời trang&gt; By Nhãn hiệu&gt; để&gt; Scapa</v>
      </c>
      <c r="F354" t="str">
        <f t="shared" ca="1" si="5"/>
        <v>"2084283233" : "Scapa",</v>
      </c>
    </row>
    <row r="355" spans="1:6" ht="15.75" customHeight="1">
      <c r="A355" s="18">
        <v>2084048682</v>
      </c>
      <c r="B355" s="18" t="s">
        <v>10476</v>
      </c>
      <c r="C355" s="18" t="s">
        <v>10479</v>
      </c>
      <c r="D355" s="5" t="str">
        <f ca="1">IFERROR(__xludf.DUMMYFUNCTION("GOOGLETRANSLATE(B355,""ja"",""vi"")"),"Zucca")</f>
        <v>Zucca</v>
      </c>
      <c r="E355" s="5" t="str">
        <f ca="1">IFERROR(__xludf.DUMMYFUNCTION("GOOGLETRANSLATE(C355,""ja"",""vi"")"),"Đấu giá&gt; Thời trang&gt; By Nhãn hiệu&gt; để&gt; Zucca")</f>
        <v>Đấu giá&gt; Thời trang&gt; By Nhãn hiệu&gt; để&gt; Zucca</v>
      </c>
      <c r="F355" t="str">
        <f t="shared" ca="1" si="5"/>
        <v>"2084048682" : "Zucca",</v>
      </c>
    </row>
    <row r="356" spans="1:6" ht="15.75" customHeight="1">
      <c r="A356" s="18">
        <v>2084301242</v>
      </c>
      <c r="B356" s="18" t="s">
        <v>10480</v>
      </c>
      <c r="C356" s="18" t="s">
        <v>10482</v>
      </c>
      <c r="D356" s="5" t="str">
        <f ca="1">IFERROR(__xludf.DUMMYFUNCTION("GOOGLETRANSLATE(B356,""ja"",""vi"")"),"Studio Clip")</f>
        <v>Studio Clip</v>
      </c>
      <c r="E356" s="5" t="str">
        <f ca="1">IFERROR(__xludf.DUMMYFUNCTION("GOOGLETRANSLATE(C356,""ja"",""vi"")"),"Đấu giá&gt; Thời trang&gt; By Nhãn hiệu&gt; để&gt; studio Clip")</f>
        <v>Đấu giá&gt; Thời trang&gt; By Nhãn hiệu&gt; để&gt; studio Clip</v>
      </c>
      <c r="F356" t="str">
        <f t="shared" ca="1" si="5"/>
        <v>"2084301242" : "Studio Clip",</v>
      </c>
    </row>
    <row r="357" spans="1:6" ht="15.75" customHeight="1">
      <c r="A357" s="18">
        <v>2084259939</v>
      </c>
      <c r="B357" s="18" t="s">
        <v>10486</v>
      </c>
      <c r="C357" s="18" t="s">
        <v>10489</v>
      </c>
      <c r="D357" s="5" t="str">
        <f ca="1">IFERROR(__xludf.DUMMYFUNCTION("GOOGLETRANSLATE(B357,""ja"",""vi"")"),"cám dỗ tuyệt đẹp")</f>
        <v>cám dỗ tuyệt đẹp</v>
      </c>
      <c r="E357" s="5" t="str">
        <f ca="1">IFERROR(__xludf.DUMMYFUNCTION("GOOGLETRANSLATE(C357,""ja"",""vi"")"),"Đấu giá&gt; Thời trang&gt; By Nhãn hiệu&gt; để&gt; thu hút Stunning")</f>
        <v>Đấu giá&gt; Thời trang&gt; By Nhãn hiệu&gt; để&gt; thu hút Stunning</v>
      </c>
      <c r="F357" t="str">
        <f t="shared" ca="1" si="5"/>
        <v>"2084259939" : "cám dỗ tuyệt đẹp",</v>
      </c>
    </row>
    <row r="358" spans="1:6" ht="15.75" customHeight="1">
      <c r="A358" s="18">
        <v>2084048612</v>
      </c>
      <c r="B358" s="18" t="s">
        <v>10492</v>
      </c>
      <c r="C358" s="18" t="s">
        <v>10494</v>
      </c>
      <c r="D358" s="5" t="str">
        <f ca="1">IFERROR(__xludf.DUMMYFUNCTION("GOOGLETRANSLATE(B358,""ja"",""vi"")"),"Stussy")</f>
        <v>Stussy</v>
      </c>
      <c r="E358" s="5" t="str">
        <f ca="1">IFERROR(__xludf.DUMMYFUNCTION("GOOGLETRANSLATE(C358,""ja"",""vi"")"),"Đấu giá&gt; Thời trang&gt; By Nhãn hiệu&gt; để&gt; Stussy")</f>
        <v>Đấu giá&gt; Thời trang&gt; By Nhãn hiệu&gt; để&gt; Stussy</v>
      </c>
      <c r="F358" t="str">
        <f t="shared" ca="1" si="5"/>
        <v>"2084048612" : "Stussy",</v>
      </c>
    </row>
    <row r="359" spans="1:6" ht="15.75" customHeight="1">
      <c r="A359" s="18">
        <v>2084258117</v>
      </c>
      <c r="B359" s="18" t="s">
        <v>10497</v>
      </c>
      <c r="C359" s="18" t="s">
        <v>10499</v>
      </c>
      <c r="D359" s="5" t="str">
        <f ca="1">IFERROR(__xludf.DUMMYFUNCTION("GOOGLETRANSLATE(B359,""ja"",""vi"")"),"Ruchizan da xưởng")</f>
        <v>Ruchizan da xưởng</v>
      </c>
      <c r="E359" s="5" t="str">
        <f ca="1">IFERROR(__xludf.DUMMYFUNCTION("GOOGLETRANSLATE(C359,""ja"",""vi"")"),"Đấu giá&gt; Thời trang&gt; By Nhãn hiệu&gt; để&gt; Ruchizan da xưởng")</f>
        <v>Đấu giá&gt; Thời trang&gt; By Nhãn hiệu&gt; để&gt; Ruchizan da xưởng</v>
      </c>
      <c r="F359" t="str">
        <f t="shared" ca="1" si="5"/>
        <v>"2084258117" : "Ruchizan da xưởng",</v>
      </c>
    </row>
    <row r="360" spans="1:6" ht="15.75" customHeight="1">
      <c r="A360" s="18">
        <v>2084261379</v>
      </c>
      <c r="B360" s="18" t="s">
        <v>10503</v>
      </c>
      <c r="C360" s="18" t="s">
        <v>10504</v>
      </c>
      <c r="D360" s="5" t="str">
        <f ca="1">IFERROR(__xludf.DUMMYFUNCTION("GOOGLETRANSLATE(B360,""ja"",""vi"")"),"Stella McCartney")</f>
        <v>Stella McCartney</v>
      </c>
      <c r="E360" s="5" t="str">
        <f ca="1">IFERROR(__xludf.DUMMYFUNCTION("GOOGLETRANSLATE(C360,""ja"",""vi"")"),"Đấu giá&gt; Thời trang&gt; By Nhãn hiệu&gt; để&gt; Stella McCartney")</f>
        <v>Đấu giá&gt; Thời trang&gt; By Nhãn hiệu&gt; để&gt; Stella McCartney</v>
      </c>
      <c r="F360" t="str">
        <f t="shared" ca="1" si="5"/>
        <v>"2084261379" : "Stella McCartney",</v>
      </c>
    </row>
    <row r="361" spans="1:6" ht="15.75" customHeight="1">
      <c r="A361" s="18">
        <v>2084255843</v>
      </c>
      <c r="B361" s="18" t="s">
        <v>10507</v>
      </c>
      <c r="C361" s="18" t="s">
        <v>10509</v>
      </c>
      <c r="D361" s="5" t="str">
        <f ca="1">IFERROR(__xludf.DUMMYFUNCTION("GOOGLETRANSLATE(B361,""ja"",""vi"")"),"Strawberry Fields")</f>
        <v>Strawberry Fields</v>
      </c>
      <c r="E361" s="5" t="str">
        <f ca="1">IFERROR(__xludf.DUMMYFUNCTION("GOOGLETRANSLATE(C361,""ja"",""vi"")"),"Đấu giá&gt; Thời trang&gt; By Nhãn hiệu&gt; để&gt; Strawberry Fields")</f>
        <v>Đấu giá&gt; Thời trang&gt; By Nhãn hiệu&gt; để&gt; Strawberry Fields</v>
      </c>
      <c r="F361" t="str">
        <f t="shared" ca="1" si="5"/>
        <v>"2084255843" : "Strawberry Fields",</v>
      </c>
    </row>
    <row r="362" spans="1:6" ht="15.75" customHeight="1">
      <c r="A362" s="18">
        <v>2084283232</v>
      </c>
      <c r="B362" s="18" t="s">
        <v>10514</v>
      </c>
      <c r="C362" s="18" t="s">
        <v>10515</v>
      </c>
      <c r="D362" s="5" t="str">
        <f ca="1">IFERROR(__xludf.DUMMYFUNCTION("GOOGLETRANSLATE(B362,""ja"",""vi"")"),"Sunauna")</f>
        <v>Sunauna</v>
      </c>
      <c r="E362" s="5" t="str">
        <f ca="1">IFERROR(__xludf.DUMMYFUNCTION("GOOGLETRANSLATE(C362,""ja"",""vi"")"),"Đấu giá&gt; Thời trang&gt; By Nhãn hiệu&gt; để&gt; Sunauna")</f>
        <v>Đấu giá&gt; Thời trang&gt; By Nhãn hiệu&gt; để&gt; Sunauna</v>
      </c>
      <c r="F362" t="str">
        <f t="shared" ca="1" si="5"/>
        <v>"2084283232" : "Sunauna",</v>
      </c>
    </row>
    <row r="363" spans="1:6" ht="15.75" customHeight="1">
      <c r="A363" s="18">
        <v>2084258100</v>
      </c>
      <c r="B363" s="18" t="s">
        <v>10519</v>
      </c>
      <c r="C363" s="18" t="s">
        <v>10520</v>
      </c>
      <c r="D363" s="5" t="str">
        <f ca="1">IFERROR(__xludf.DUMMYFUNCTION("GOOGLETRANSLATE(B363,""ja"",""vi"")"),"Sneijder")</f>
        <v>Sneijder</v>
      </c>
      <c r="E363" s="5" t="str">
        <f ca="1">IFERROR(__xludf.DUMMYFUNCTION("GOOGLETRANSLATE(C363,""ja"",""vi"")"),"Đấu giá&gt; Thời trang&gt; By Nhãn hiệu&gt; để&gt; Sneijder")</f>
        <v>Đấu giá&gt; Thời trang&gt; By Nhãn hiệu&gt; để&gt; Sneijder</v>
      </c>
      <c r="F363" t="str">
        <f t="shared" ca="1" si="5"/>
        <v>"2084258100" : "Sneijder",</v>
      </c>
    </row>
    <row r="364" spans="1:6" ht="15.75" customHeight="1">
      <c r="A364" s="18">
        <v>2084230551</v>
      </c>
      <c r="B364" s="18" t="s">
        <v>10524</v>
      </c>
      <c r="C364" s="18" t="s">
        <v>10525</v>
      </c>
      <c r="D364" s="5" t="str">
        <f ca="1">IFERROR(__xludf.DUMMYFUNCTION("GOOGLETRANSLATE(B364,""ja"",""vi"")"),"Sunao Kuwahara")</f>
        <v>Sunao Kuwahara</v>
      </c>
      <c r="E364" s="5" t="str">
        <f ca="1">IFERROR(__xludf.DUMMYFUNCTION("GOOGLETRANSLATE(C364,""ja"",""vi"")"),"Đấu giá&gt; Thời trang&gt; By Nhãn hiệu&gt; để&gt; Sunao Kuwahara")</f>
        <v>Đấu giá&gt; Thời trang&gt; By Nhãn hiệu&gt; để&gt; Sunao Kuwahara</v>
      </c>
      <c r="F364" t="str">
        <f t="shared" ca="1" si="5"/>
        <v>"2084230551" : "Sunao Kuwahara",</v>
      </c>
    </row>
    <row r="365" spans="1:6" ht="15.75" customHeight="1">
      <c r="A365" s="18">
        <v>2084050249</v>
      </c>
      <c r="B365" s="18" t="s">
        <v>10530</v>
      </c>
      <c r="C365" s="18" t="s">
        <v>10532</v>
      </c>
      <c r="D365" s="5" t="str">
        <f ca="1">IFERROR(__xludf.DUMMYFUNCTION("GOOGLETRANSLATE(B365,""ja"",""vi"")"),"siêu bạc hà")</f>
        <v>siêu bạc hà</v>
      </c>
      <c r="E365" s="5" t="str">
        <f ca="1">IFERROR(__xludf.DUMMYFUNCTION("GOOGLETRANSLATE(C365,""ja"",""vi"")"),"Đấu giá&gt; Thời trang&gt; By Nhãn hiệu&gt; để&gt; Super bạc hà")</f>
        <v>Đấu giá&gt; Thời trang&gt; By Nhãn hiệu&gt; để&gt; Super bạc hà</v>
      </c>
      <c r="F365" t="str">
        <f t="shared" ca="1" si="5"/>
        <v>"2084050249" : "siêu bạc hà",</v>
      </c>
    </row>
    <row r="366" spans="1:6" ht="15.75" customHeight="1">
      <c r="A366" s="18">
        <v>2084054255</v>
      </c>
      <c r="B366" s="18" t="s">
        <v>10535</v>
      </c>
      <c r="C366" s="18" t="s">
        <v>10536</v>
      </c>
      <c r="D366" s="5" t="str">
        <f ca="1">IFERROR(__xludf.DUMMYFUNCTION("GOOGLETRANSLATE(B366,""ja"",""vi"")"),"siêu Lovers")</f>
        <v>siêu Lovers</v>
      </c>
      <c r="E366" s="5" t="str">
        <f ca="1">IFERROR(__xludf.DUMMYFUNCTION("GOOGLETRANSLATE(C366,""ja"",""vi"")"),"Đấu giá&gt; Thời trang&gt; By Nhãn hiệu&gt; để&gt; Super Lovers")</f>
        <v>Đấu giá&gt; Thời trang&gt; By Nhãn hiệu&gt; để&gt; Super Lovers</v>
      </c>
      <c r="F366" t="str">
        <f t="shared" ca="1" si="5"/>
        <v>"2084054255" : "siêu Lovers",</v>
      </c>
    </row>
    <row r="367" spans="1:6" ht="15.75" customHeight="1">
      <c r="A367" s="18">
        <v>2084255905</v>
      </c>
      <c r="B367" s="18" t="s">
        <v>10540</v>
      </c>
      <c r="C367" s="18" t="s">
        <v>10541</v>
      </c>
      <c r="D367" s="5" t="str">
        <f ca="1">IFERROR(__xludf.DUMMYFUNCTION("GOOGLETRANSLATE(B367,""ja"",""vi"")"),"Spiral gái")</f>
        <v>Spiral gái</v>
      </c>
      <c r="E367" s="5" t="str">
        <f ca="1">IFERROR(__xludf.DUMMYFUNCTION("GOOGLETRANSLATE(C367,""ja"",""vi"")"),"Đấu giá&gt; Thời trang&gt; By Nhãn hiệu&gt; để&gt; Spiral gái")</f>
        <v>Đấu giá&gt; Thời trang&gt; By Nhãn hiệu&gt; để&gt; Spiral gái</v>
      </c>
      <c r="F367" t="str">
        <f t="shared" ca="1" si="5"/>
        <v>"2084255905" : "Spiral gái",</v>
      </c>
    </row>
    <row r="368" spans="1:6" ht="15.75" customHeight="1">
      <c r="A368" s="18">
        <v>2084050252</v>
      </c>
      <c r="B368" s="18" t="s">
        <v>10545</v>
      </c>
      <c r="C368" s="18" t="s">
        <v>10547</v>
      </c>
      <c r="D368" s="5" t="str">
        <f ca="1">IFERROR(__xludf.DUMMYFUNCTION("GOOGLETRANSLATE(B368,""ja"",""vi"")"),"Spick &amp; Span")</f>
        <v>Spick &amp; Span</v>
      </c>
      <c r="E368" s="5" t="str">
        <f ca="1">IFERROR(__xludf.DUMMYFUNCTION("GOOGLETRANSLATE(C368,""ja"",""vi"")"),"Đấu giá&gt; Thời trang&gt; By Nhãn hiệu&gt; để&gt; spick &amp; Span")</f>
        <v>Đấu giá&gt; Thời trang&gt; By Nhãn hiệu&gt; để&gt; spick &amp; Span</v>
      </c>
      <c r="F368" t="str">
        <f t="shared" ca="1" si="5"/>
        <v>"2084050252" : "Spick &amp; Span",</v>
      </c>
    </row>
    <row r="369" spans="1:6" ht="15.75" customHeight="1">
      <c r="A369" s="18">
        <v>2084050253</v>
      </c>
      <c r="B369" s="18" t="s">
        <v>10550</v>
      </c>
      <c r="C369" s="18" t="s">
        <v>10551</v>
      </c>
      <c r="D369" s="5" t="str">
        <f ca="1">IFERROR(__xludf.DUMMYFUNCTION("GOOGLETRANSLATE(B369,""ja"",""vi"")"),"Supiwakku")</f>
        <v>Supiwakku</v>
      </c>
      <c r="E369" s="5" t="str">
        <f ca="1">IFERROR(__xludf.DUMMYFUNCTION("GOOGLETRANSLATE(C369,""ja"",""vi"")"),"Đấu giá&gt; Thời trang&gt; By Nhãn hiệu&gt; để&gt; Supiwakku")</f>
        <v>Đấu giá&gt; Thời trang&gt; By Nhãn hiệu&gt; để&gt; Supiwakku</v>
      </c>
      <c r="F369" t="str">
        <f t="shared" ca="1" si="5"/>
        <v>"2084050253" : "Supiwakku",</v>
      </c>
    </row>
    <row r="370" spans="1:6" ht="15.75" customHeight="1">
      <c r="A370" s="18">
        <v>2084283235</v>
      </c>
      <c r="B370" s="18" t="s">
        <v>10555</v>
      </c>
      <c r="C370" s="18" t="s">
        <v>10557</v>
      </c>
      <c r="D370" s="5" t="str">
        <f ca="1">IFERROR(__xludf.DUMMYFUNCTION("GOOGLETRANSLATE(B370,""ja"",""vi"")"),"Quét Mackey gram")</f>
        <v>Quét Mackey gram</v>
      </c>
      <c r="E370" s="5" t="str">
        <f ca="1">IFERROR(__xludf.DUMMYFUNCTION("GOOGLETRANSLATE(C370,""ja"",""vi"")"),"Đấu giá&gt; Thời trang&gt; By Nhãn hiệu&gt; để&gt; quét Mackey gram")</f>
        <v>Đấu giá&gt; Thời trang&gt; By Nhãn hiệu&gt; để&gt; quét Mackey gram</v>
      </c>
      <c r="F370" t="str">
        <f t="shared" ca="1" si="5"/>
        <v>"2084283235" : "Quét Mackey gram",</v>
      </c>
    </row>
    <row r="371" spans="1:6" ht="15.75" customHeight="1">
      <c r="A371" s="18">
        <v>2084298385</v>
      </c>
      <c r="B371" s="18" t="s">
        <v>10561</v>
      </c>
      <c r="C371" s="18" t="s">
        <v>10563</v>
      </c>
      <c r="D371" s="5" t="str">
        <f ca="1">IFERROR(__xludf.DUMMYFUNCTION("GOOGLETRANSLATE(B371,""ja"",""vi"")"),"hun khói")</f>
        <v>hun khói</v>
      </c>
      <c r="E371" s="5" t="str">
        <f ca="1">IFERROR(__xludf.DUMMYFUNCTION("GOOGLETRANSLATE(C371,""ja"",""vi"")"),"Đấu giá&gt; Thời trang&gt; By Nhãn hiệu&gt; để&gt; khói")</f>
        <v>Đấu giá&gt; Thời trang&gt; By Nhãn hiệu&gt; để&gt; khói</v>
      </c>
      <c r="F371" t="str">
        <f t="shared" ca="1" si="5"/>
        <v>"2084298385" : "hun khói",</v>
      </c>
    </row>
    <row r="372" spans="1:6" ht="15.75" customHeight="1">
      <c r="A372" s="18">
        <v>2084298386</v>
      </c>
      <c r="B372" s="18" t="s">
        <v>10567</v>
      </c>
      <c r="C372" s="18" t="s">
        <v>10570</v>
      </c>
      <c r="D372" s="5" t="str">
        <f ca="1">IFERROR(__xludf.DUMMYFUNCTION("GOOGLETRANSLATE(B372,""ja"",""vi"")"),"3.1 Phillip Lim")</f>
        <v>3.1 Phillip Lim</v>
      </c>
      <c r="E372" s="5" t="str">
        <f ca="1">IFERROR(__xludf.DUMMYFUNCTION("GOOGLETRANSLATE(C372,""ja"",""vi"")"),"Đấu giá&gt; Thời trang&gt; By Nhãn hiệu&gt; để&gt; 3.1 Phillip Lim")</f>
        <v>Đấu giá&gt; Thời trang&gt; By Nhãn hiệu&gt; để&gt; 3.1 Phillip Lim</v>
      </c>
      <c r="F372" t="str">
        <f t="shared" ca="1" si="5"/>
        <v>"2084298386" : "3.1 Phillip Lim",</v>
      </c>
    </row>
    <row r="373" spans="1:6" ht="15.75" customHeight="1">
      <c r="A373" s="18">
        <v>2084061952</v>
      </c>
      <c r="B373" s="18" t="s">
        <v>10575</v>
      </c>
      <c r="C373" s="18" t="s">
        <v>10578</v>
      </c>
      <c r="D373" s="5" t="str">
        <f ca="1">IFERROR(__xludf.DUMMYFUNCTION("GOOGLETRANSLATE(B373,""ja"",""vi"")"),"láu lỉnh")</f>
        <v>láu lỉnh</v>
      </c>
      <c r="E373" s="5" t="str">
        <f ca="1">IFERROR(__xludf.DUMMYFUNCTION("GOOGLETRANSLATE(C373,""ja"",""vi"")"),"Đấu giá&gt; Thời trang&gt; By Nhãn hiệu&gt; để&gt; Sly")</f>
        <v>Đấu giá&gt; Thời trang&gt; By Nhãn hiệu&gt; để&gt; Sly</v>
      </c>
      <c r="F373" t="str">
        <f t="shared" ca="1" si="5"/>
        <v>"2084061952" : "láu lỉnh",</v>
      </c>
    </row>
    <row r="374" spans="1:6" ht="15.75" customHeight="1">
      <c r="A374" s="18">
        <v>2084050255</v>
      </c>
      <c r="B374" s="18" t="s">
        <v>10580</v>
      </c>
      <c r="C374" s="18" t="s">
        <v>10583</v>
      </c>
      <c r="D374" s="5" t="str">
        <f ca="1">IFERROR(__xludf.DUMMYFUNCTION("GOOGLETRANSLATE(B374,""ja"",""vi"")"),"Suridottsu")</f>
        <v>Suridottsu</v>
      </c>
      <c r="E374" s="5" t="str">
        <f ca="1">IFERROR(__xludf.DUMMYFUNCTION("GOOGLETRANSLATE(C374,""ja"",""vi"")"),"Đấu giá&gt; Thời trang&gt; By Nhãn hiệu&gt; để&gt; Suridottsu")</f>
        <v>Đấu giá&gt; Thời trang&gt; By Nhãn hiệu&gt; để&gt; Suridottsu</v>
      </c>
      <c r="F374" t="str">
        <f t="shared" ca="1" si="5"/>
        <v>"2084050255" : "Suridottsu",</v>
      </c>
    </row>
    <row r="375" spans="1:6" ht="15.75" customHeight="1">
      <c r="A375" s="18">
        <v>2084055930</v>
      </c>
      <c r="B375" s="18" t="s">
        <v>10586</v>
      </c>
      <c r="C375" s="18" t="s">
        <v>10588</v>
      </c>
      <c r="D375" s="5" t="str">
        <f ca="1">IFERROR(__xludf.DUMMYFUNCTION("GOOGLETRANSLATE(B375,""ja"",""vi"")"),"Suwagga")</f>
        <v>Suwagga</v>
      </c>
      <c r="E375" s="5" t="str">
        <f ca="1">IFERROR(__xludf.DUMMYFUNCTION("GOOGLETRANSLATE(C375,""ja"",""vi"")"),"Đấu giá&gt; Thời trang&gt; By Nhãn hiệu&gt; để&gt; Suwagga")</f>
        <v>Đấu giá&gt; Thời trang&gt; By Nhãn hiệu&gt; để&gt; Suwagga</v>
      </c>
      <c r="F375" t="str">
        <f t="shared" ca="1" si="5"/>
        <v>"2084055930" : "Suwagga",</v>
      </c>
    </row>
    <row r="376" spans="1:6" ht="15.75" customHeight="1">
      <c r="A376" s="18">
        <v>2084285780</v>
      </c>
      <c r="B376" s="18" t="s">
        <v>46</v>
      </c>
      <c r="C376" s="18" t="s">
        <v>10592</v>
      </c>
      <c r="D376" s="5" t="str">
        <f ca="1">IFERROR(__xludf.DUMMYFUNCTION("GOOGLETRANSLATE(B376,""ja"",""vi"")"),"nếu không thì")</f>
        <v>nếu không thì</v>
      </c>
      <c r="E376" s="5" t="str">
        <f ca="1">IFERROR(__xludf.DUMMYFUNCTION("GOOGLETRANSLATE(C376,""ja"",""vi"")"),"Đấu giá&gt; Thời trang&gt; By Nhãn hiệu&gt; để&gt; Khác")</f>
        <v>Đấu giá&gt; Thời trang&gt; By Nhãn hiệu&gt; để&gt; Khác</v>
      </c>
      <c r="F376" t="str">
        <f t="shared" ca="1" si="5"/>
        <v>"2084285780" : "nếu không thì",</v>
      </c>
    </row>
    <row r="377" spans="1:6" ht="15.75" customHeight="1">
      <c r="A377" s="18">
        <v>2084054106</v>
      </c>
      <c r="B377" s="18" t="s">
        <v>10596</v>
      </c>
      <c r="C377" s="18" t="s">
        <v>10597</v>
      </c>
      <c r="D377" s="5" t="str">
        <f ca="1">IFERROR(__xludf.DUMMYFUNCTION("GOOGLETRANSLATE(B377,""ja"",""vi"")"),"lý thuyết")</f>
        <v>lý thuyết</v>
      </c>
      <c r="E377" s="5" t="str">
        <f ca="1">IFERROR(__xludf.DUMMYFUNCTION("GOOGLETRANSLATE(C377,""ja"",""vi"")"),"Đấu giá&gt; Thời trang&gt; By Nhãn hiệu&gt; đến / của nó&gt; Lý thuyết")</f>
        <v>Đấu giá&gt; Thời trang&gt; By Nhãn hiệu&gt; đến / của nó&gt; Lý thuyết</v>
      </c>
      <c r="F377" t="str">
        <f t="shared" ca="1" si="5"/>
        <v>"2084054106" : "lý thuyết",</v>
      </c>
    </row>
    <row r="378" spans="1:6" ht="15.75" customHeight="1">
      <c r="A378" s="18">
        <v>2084048684</v>
      </c>
      <c r="B378" s="18" t="s">
        <v>10601</v>
      </c>
      <c r="C378" s="18" t="s">
        <v>10602</v>
      </c>
      <c r="D378" s="5" t="str">
        <f ca="1">IFERROR(__xludf.DUMMYFUNCTION("GOOGLETRANSLATE(B378,""ja"",""vi"")"),"Cecil McBee")</f>
        <v>Cecil McBee</v>
      </c>
      <c r="E378" s="5" t="str">
        <f ca="1">IFERROR(__xludf.DUMMYFUNCTION("GOOGLETRANSLATE(C378,""ja"",""vi"")"),"Đấu giá&gt; Thời trang&gt; By Nhãn hiệu&gt; đến / của nó&gt; Cecil McBee")</f>
        <v>Đấu giá&gt; Thời trang&gt; By Nhãn hiệu&gt; đến / của nó&gt; Cecil McBee</v>
      </c>
      <c r="F378" t="str">
        <f t="shared" ca="1" si="5"/>
        <v>"2084048684" : "Cecil McBee",</v>
      </c>
    </row>
    <row r="379" spans="1:6" ht="15.75" customHeight="1">
      <c r="A379" s="18">
        <v>2084050193</v>
      </c>
      <c r="B379" s="18" t="s">
        <v>10606</v>
      </c>
      <c r="C379" s="18" t="s">
        <v>10607</v>
      </c>
      <c r="D379" s="5" t="str">
        <f ca="1">IFERROR(__xludf.DUMMYFUNCTION("GOOGLETRANSLATE(B379,""ja"",""vi"")"),"Zegna")</f>
        <v>Zegna</v>
      </c>
      <c r="E379" s="5" t="str">
        <f ca="1">IFERROR(__xludf.DUMMYFUNCTION("GOOGLETRANSLATE(C379,""ja"",""vi"")"),"Đấu giá&gt; Thời trang&gt; By Nhãn hiệu&gt; đến / của nó&gt; Xenia")</f>
        <v>Đấu giá&gt; Thời trang&gt; By Nhãn hiệu&gt; đến / của nó&gt; Xenia</v>
      </c>
      <c r="F379" t="str">
        <f t="shared" ca="1" si="5"/>
        <v>"2084050193" : "Zegna",</v>
      </c>
    </row>
    <row r="380" spans="1:6" ht="15.75" customHeight="1">
      <c r="A380" s="18">
        <v>2084283236</v>
      </c>
      <c r="B380" s="18" t="s">
        <v>10611</v>
      </c>
      <c r="C380" s="18" t="s">
        <v>10613</v>
      </c>
      <c r="D380" s="5" t="str">
        <f ca="1">IFERROR(__xludf.DUMMYFUNCTION("GOOGLETRANSLATE(B380,""ja"",""vi"")"),"Bảy Twelve Ba mươi")</f>
        <v>Bảy Twelve Ba mươi</v>
      </c>
      <c r="E380" s="5" t="str">
        <f ca="1">IFERROR(__xludf.DUMMYFUNCTION("GOOGLETRANSLATE(C380,""ja"",""vi"")"),"Đấu giá&gt; Thời trang&gt; By Nhãn hiệu&gt; đến / của nó&gt; Bảy Twelve Ba mươi")</f>
        <v>Đấu giá&gt; Thời trang&gt; By Nhãn hiệu&gt; đến / của nó&gt; Bảy Twelve Ba mươi</v>
      </c>
      <c r="F380" t="str">
        <f t="shared" ca="1" si="5"/>
        <v>"2084283236" : "Bảy Twelve Ba mươi",</v>
      </c>
    </row>
    <row r="381" spans="1:6" ht="15.75" customHeight="1">
      <c r="A381" s="18">
        <v>2084194510</v>
      </c>
      <c r="B381" s="18" t="s">
        <v>10617</v>
      </c>
      <c r="C381" s="18" t="s">
        <v>10619</v>
      </c>
      <c r="D381" s="5" t="str">
        <f ca="1">IFERROR(__xludf.DUMMYFUNCTION("GOOGLETRANSLATE(B381,""ja"",""vi"")"),"Bảy cho All Mankind")</f>
        <v>Bảy cho All Mankind</v>
      </c>
      <c r="E381" s="5" t="str">
        <f ca="1">IFERROR(__xludf.DUMMYFUNCTION("GOOGLETRANSLATE(C381,""ja"",""vi"")"),"Đấu giá&gt; Thời trang&gt; By Nhãn hiệu&gt; đến / của nó&gt; Bảy cho All Mankind")</f>
        <v>Đấu giá&gt; Thời trang&gt; By Nhãn hiệu&gt; đến / của nó&gt; Bảy cho All Mankind</v>
      </c>
      <c r="F381" t="str">
        <f t="shared" ca="1" si="5"/>
        <v>"2084194510" : "Bảy cho All Mankind",</v>
      </c>
    </row>
    <row r="382" spans="1:6" ht="15.75" customHeight="1">
      <c r="A382" s="18">
        <v>2084048613</v>
      </c>
      <c r="B382" s="18" t="s">
        <v>10623</v>
      </c>
      <c r="C382" s="18" t="s">
        <v>10625</v>
      </c>
      <c r="D382" s="5" t="str">
        <f ca="1">IFERROR(__xludf.DUMMYFUNCTION("GOOGLETRANSLATE(B382,""ja"",""vi"")"),"Celine")</f>
        <v>Celine</v>
      </c>
      <c r="E382" s="5" t="str">
        <f ca="1">IFERROR(__xludf.DUMMYFUNCTION("GOOGLETRANSLATE(C382,""ja"",""vi"")"),"Đấu giá&gt; Thời trang&gt; By Nhãn hiệu&gt; đến / của nó&gt; Celine")</f>
        <v>Đấu giá&gt; Thời trang&gt; By Nhãn hiệu&gt; đến / của nó&gt; Celine</v>
      </c>
      <c r="F382" t="str">
        <f t="shared" ca="1" si="5"/>
        <v>"2084048613" : "Celine",</v>
      </c>
    </row>
    <row r="383" spans="1:6" ht="15.75" customHeight="1">
      <c r="A383" s="18">
        <v>2084061924</v>
      </c>
      <c r="B383" s="18" t="s">
        <v>10629</v>
      </c>
      <c r="C383" s="18" t="s">
        <v>10631</v>
      </c>
      <c r="D383" s="5" t="str">
        <f ca="1">IFERROR(__xludf.DUMMYFUNCTION("GOOGLETRANSLATE(B383,""ja"",""vi"")"),"Sergio Rossi")</f>
        <v>Sergio Rossi</v>
      </c>
      <c r="E383" s="5" t="str">
        <f ca="1">IFERROR(__xludf.DUMMYFUNCTION("GOOGLETRANSLATE(C383,""ja"",""vi"")"),"Đấu giá&gt; Thời trang&gt; By Nhãn hiệu&gt; đến / của nó&gt; Sergio Rossi")</f>
        <v>Đấu giá&gt; Thời trang&gt; By Nhãn hiệu&gt; đến / của nó&gt; Sergio Rossi</v>
      </c>
      <c r="F383" t="str">
        <f t="shared" ca="1" si="5"/>
        <v>"2084061924" : "Sergio Rossi",</v>
      </c>
    </row>
    <row r="384" spans="1:6" ht="15.75" customHeight="1">
      <c r="A384" s="18">
        <v>2084062332</v>
      </c>
      <c r="B384" s="18" t="s">
        <v>10636</v>
      </c>
      <c r="C384" s="18" t="s">
        <v>10637</v>
      </c>
      <c r="D384" s="5" t="str">
        <f ca="1">IFERROR(__xludf.DUMMYFUNCTION("GOOGLETRANSLATE(B384,""ja"",""vi"")"),"zero Halliburton")</f>
        <v>zero Halliburton</v>
      </c>
      <c r="E384" s="5" t="str">
        <f ca="1">IFERROR(__xludf.DUMMYFUNCTION("GOOGLETRANSLATE(C384,""ja"",""vi"")"),"Đấu giá&gt; Thời trang&gt; By Nhãn hiệu&gt; đến / của nó&gt; Zero, Halliburton")</f>
        <v>Đấu giá&gt; Thời trang&gt; By Nhãn hiệu&gt; đến / của nó&gt; Zero, Halliburton</v>
      </c>
      <c r="F384" t="str">
        <f t="shared" ca="1" si="5"/>
        <v>"2084062332" : "zero Halliburton",</v>
      </c>
    </row>
    <row r="385" spans="1:6" ht="15.75" customHeight="1">
      <c r="A385" s="18">
        <v>2084050256</v>
      </c>
      <c r="B385" s="18" t="s">
        <v>10641</v>
      </c>
      <c r="C385" s="18" t="s">
        <v>10642</v>
      </c>
      <c r="D385" s="5" t="str">
        <f ca="1">IFERROR(__xludf.DUMMYFUNCTION("GOOGLETRANSLATE(B385,""ja"",""vi"")"),"St. James")</f>
        <v>St. James</v>
      </c>
      <c r="E385" s="5" t="str">
        <f ca="1">IFERROR(__xludf.DUMMYFUNCTION("GOOGLETRANSLATE(C385,""ja"",""vi"")"),"Đấu giá&gt; Thời trang&gt; By Nhãn hiệu&gt; đến / của nó&gt; St. James")</f>
        <v>Đấu giá&gt; Thời trang&gt; By Nhãn hiệu&gt; đến / của nó&gt; St. James</v>
      </c>
      <c r="F385" t="str">
        <f t="shared" ca="1" si="5"/>
        <v>"2084050256" : "St. James",</v>
      </c>
    </row>
    <row r="386" spans="1:6" ht="15.75" customHeight="1">
      <c r="A386" s="18">
        <v>2084205181</v>
      </c>
      <c r="B386" s="18" t="s">
        <v>10646</v>
      </c>
      <c r="C386" s="18" t="s">
        <v>10647</v>
      </c>
      <c r="D386" s="5" t="str">
        <f ca="1">IFERROR(__xludf.DUMMYFUNCTION("GOOGLETRANSLATE(B386,""ja"",""vi"")"),"Soi")</f>
        <v>Soi</v>
      </c>
      <c r="E386" s="5" t="str">
        <f ca="1">IFERROR(__xludf.DUMMYFUNCTION("GOOGLETRANSLATE(C386,""ja"",""vi"")"),"Đấu giá&gt; Thời trang&gt; By Nhãn hiệu&gt; đến / của nó&gt; Soi")</f>
        <v>Đấu giá&gt; Thời trang&gt; By Nhãn hiệu&gt; đến / của nó&gt; Soi</v>
      </c>
      <c r="F386" t="str">
        <f t="shared" ref="F386:F449" ca="1" si="6">CONCATENATE(CHAR(34)&amp;"",A386,""&amp;CHAR(34)," : ", CHAR(34)&amp;"",D386,""&amp;CHAR(34),",")</f>
        <v>"2084205181" : "Soi",</v>
      </c>
    </row>
    <row r="387" spans="1:6" ht="15.75" customHeight="1">
      <c r="A387" s="18">
        <v>2084061935</v>
      </c>
      <c r="B387" s="18" t="s">
        <v>10651</v>
      </c>
      <c r="C387" s="18" t="s">
        <v>10652</v>
      </c>
      <c r="D387" s="5" t="str">
        <f ca="1">IFERROR(__xludf.DUMMYFUNCTION("GOOGLETRANSLATE(B387,""ja"",""vi"")"),"cá kiếm")</f>
        <v>cá kiếm</v>
      </c>
      <c r="E387" s="5" t="str">
        <f ca="1">IFERROR(__xludf.DUMMYFUNCTION("GOOGLETRANSLATE(C387,""ja"",""vi"")"),"Đấu giá&gt; Thời trang&gt; By Nhãn hiệu&gt; đến / của nó&gt; Swordfish")</f>
        <v>Đấu giá&gt; Thời trang&gt; By Nhãn hiệu&gt; đến / của nó&gt; Swordfish</v>
      </c>
      <c r="F387" t="str">
        <f t="shared" ca="1" si="6"/>
        <v>"2084061935" : "cá kiếm",</v>
      </c>
    </row>
    <row r="388" spans="1:6" ht="15.75" customHeight="1">
      <c r="A388" s="18">
        <v>2084050257</v>
      </c>
      <c r="B388" s="18" t="s">
        <v>10657</v>
      </c>
      <c r="C388" s="18" t="s">
        <v>10658</v>
      </c>
      <c r="D388" s="5" t="str">
        <f ca="1">IFERROR(__xludf.DUMMYFUNCTION("GOOGLETRANSLATE(B388,""ja"",""vi"")"),"Sonia Rykiel")</f>
        <v>Sonia Rykiel</v>
      </c>
      <c r="E388" s="5" t="str">
        <f ca="1">IFERROR(__xludf.DUMMYFUNCTION("GOOGLETRANSLATE(C388,""ja"",""vi"")"),"Đấu giá&gt; Thời trang&gt; By Nhãn hiệu&gt; đến / của nó&gt; Sonia Rykiel")</f>
        <v>Đấu giá&gt; Thời trang&gt; By Nhãn hiệu&gt; đến / của nó&gt; Sonia Rykiel</v>
      </c>
      <c r="F388" t="str">
        <f t="shared" ca="1" si="6"/>
        <v>"2084050257" : "Sonia Rykiel",</v>
      </c>
    </row>
    <row r="389" spans="1:6" ht="15.75" customHeight="1">
      <c r="A389" s="18">
        <v>2084057984</v>
      </c>
      <c r="B389" s="18" t="s">
        <v>10663</v>
      </c>
      <c r="C389" s="18" t="s">
        <v>10664</v>
      </c>
      <c r="D389" s="5" t="str">
        <f ca="1">IFERROR(__xludf.DUMMYFUNCTION("GOOGLETRANSLATE(B389,""ja"",""vi"")"),"phần mềm ròng")</f>
        <v>phần mềm ròng</v>
      </c>
      <c r="E389" s="5" t="str">
        <f ca="1">IFERROR(__xludf.DUMMYFUNCTION("GOOGLETRANSLATE(C389,""ja"",""vi"")"),"Đấu giá&gt; Thời trang&gt; By Nhãn hiệu&gt; đến / của nó&gt; net phần mềm")</f>
        <v>Đấu giá&gt; Thời trang&gt; By Nhãn hiệu&gt; đến / của nó&gt; net phần mềm</v>
      </c>
      <c r="F389" t="str">
        <f t="shared" ca="1" si="6"/>
        <v>"2084057984" : "phần mềm ròng",</v>
      </c>
    </row>
    <row r="390" spans="1:6" ht="15.75" customHeight="1">
      <c r="A390" s="18">
        <v>2084285795</v>
      </c>
      <c r="B390" s="18" t="s">
        <v>46</v>
      </c>
      <c r="C390" s="18" t="s">
        <v>10669</v>
      </c>
      <c r="D390" s="5" t="str">
        <f ca="1">IFERROR(__xludf.DUMMYFUNCTION("GOOGLETRANSLATE(B390,""ja"",""vi"")"),"nếu không thì")</f>
        <v>nếu không thì</v>
      </c>
      <c r="E390" s="5" t="str">
        <f ca="1">IFERROR(__xludf.DUMMYFUNCTION("GOOGLETRANSLATE(C390,""ja"",""vi"")"),"Đấu giá&gt; Thời trang&gt; By Nhãn hiệu&gt; đến / của nó&gt; Khác")</f>
        <v>Đấu giá&gt; Thời trang&gt; By Nhãn hiệu&gt; đến / của nó&gt; Khác</v>
      </c>
      <c r="F390" t="str">
        <f t="shared" ca="1" si="6"/>
        <v>"2084285795" : "nếu không thì",</v>
      </c>
    </row>
    <row r="391" spans="1:6" ht="15.75" customHeight="1">
      <c r="A391" s="18">
        <v>2084061375</v>
      </c>
      <c r="B391" s="18" t="s">
        <v>10674</v>
      </c>
      <c r="C391" s="18" t="s">
        <v>10675</v>
      </c>
      <c r="D391" s="5" t="str">
        <f ca="1">IFERROR(__xludf.DUMMYFUNCTION("GOOGLETRANSLATE(B391,""ja"",""vi"")"),"Diana")</f>
        <v>Diana</v>
      </c>
      <c r="E391" s="5" t="str">
        <f ca="1">IFERROR(__xludf.DUMMYFUNCTION("GOOGLETRANSLATE(C391,""ja"",""vi"")"),"Đấu giá&gt; Thời trang&gt; By Nhãn hiệu&gt; là / Chí / one&gt; Diana")</f>
        <v>Đấu giá&gt; Thời trang&gt; By Nhãn hiệu&gt; là / Chí / one&gt; Diana</v>
      </c>
      <c r="F391" t="str">
        <f t="shared" ca="1" si="6"/>
        <v>"2084061375" : "Diana",</v>
      </c>
    </row>
    <row r="392" spans="1:6" ht="15.75" customHeight="1">
      <c r="A392" s="18">
        <v>2084244374</v>
      </c>
      <c r="B392" s="18" t="s">
        <v>10679</v>
      </c>
      <c r="C392" s="18" t="s">
        <v>10681</v>
      </c>
      <c r="D392" s="5" t="str">
        <f ca="1">IFERROR(__xludf.DUMMYFUNCTION("GOOGLETRANSLATE(B392,""ja"",""vi"")"),"Diane von Furstenberg")</f>
        <v>Diane von Furstenberg</v>
      </c>
      <c r="E392" s="5" t="str">
        <f ca="1">IFERROR(__xludf.DUMMYFUNCTION("GOOGLETRANSLATE(C392,""ja"",""vi"")"),"Đấu giá&gt; Thời trang&gt; By Nhãn hiệu&gt; là / Chí / one&gt; Diane von Furstenberg")</f>
        <v>Đấu giá&gt; Thời trang&gt; By Nhãn hiệu&gt; là / Chí / one&gt; Diane von Furstenberg</v>
      </c>
      <c r="F392" t="str">
        <f t="shared" ca="1" si="6"/>
        <v>"2084244374" : "Diane von Furstenberg",</v>
      </c>
    </row>
    <row r="393" spans="1:6" ht="15.75" customHeight="1">
      <c r="A393" s="18">
        <v>2084048687</v>
      </c>
      <c r="B393" s="18" t="s">
        <v>10683</v>
      </c>
      <c r="C393" s="18" t="s">
        <v>10686</v>
      </c>
      <c r="D393" s="5" t="str">
        <f ca="1">IFERROR(__xludf.DUMMYFUNCTION("GOOGLETRANSLATE(B393,""ja"",""vi"")"),"Takeokikuchi")</f>
        <v>Takeokikuchi</v>
      </c>
      <c r="E393" s="5" t="str">
        <f ca="1">IFERROR(__xludf.DUMMYFUNCTION("GOOGLETRANSLATE(C393,""ja"",""vi"")"),"Đấu giá&gt; Thời trang&gt; By Nhãn hiệu&gt; là / Chí / one&gt; Takeokikuchi")</f>
        <v>Đấu giá&gt; Thời trang&gt; By Nhãn hiệu&gt; là / Chí / one&gt; Takeokikuchi</v>
      </c>
      <c r="F393" t="str">
        <f t="shared" ca="1" si="6"/>
        <v>"2084048687" : "Takeokikuchi",</v>
      </c>
    </row>
    <row r="394" spans="1:6" ht="15.75" customHeight="1">
      <c r="A394" s="18">
        <v>2084252946</v>
      </c>
      <c r="B394" s="18" t="s">
        <v>10688</v>
      </c>
      <c r="C394" s="18" t="s">
        <v>10692</v>
      </c>
      <c r="D394" s="5" t="str">
        <f ca="1">IFERROR(__xludf.DUMMYFUNCTION("GOOGLETRANSLATE(B394,""ja"",""vi"")"),"Dazurin")</f>
        <v>Dazurin</v>
      </c>
      <c r="E394" s="5" t="str">
        <f ca="1">IFERROR(__xludf.DUMMYFUNCTION("GOOGLETRANSLATE(C394,""ja"",""vi"")"),"Đấu giá&gt; Thời trang&gt; By Nhãn hiệu&gt; là / Chí / one&gt; Dazurin")</f>
        <v>Đấu giá&gt; Thời trang&gt; By Nhãn hiệu&gt; là / Chí / one&gt; Dazurin</v>
      </c>
      <c r="F394" t="str">
        <f t="shared" ca="1" si="6"/>
        <v>"2084252946" : "Dazurin",</v>
      </c>
    </row>
    <row r="395" spans="1:6" ht="15.75" customHeight="1">
      <c r="A395" s="18">
        <v>2084208343</v>
      </c>
      <c r="B395" s="18" t="s">
        <v>10695</v>
      </c>
      <c r="C395" s="18" t="s">
        <v>10696</v>
      </c>
      <c r="D395" s="5" t="str">
        <f ca="1">IFERROR(__xludf.DUMMYFUNCTION("GOOGLETRANSLATE(B395,""ja"",""vi"")"),"Dax")</f>
        <v>Dax</v>
      </c>
      <c r="E395" s="5" t="str">
        <f ca="1">IFERROR(__xludf.DUMMYFUNCTION("GOOGLETRANSLATE(C395,""ja"",""vi"")"),"Đấu giá&gt; Thời trang&gt; By Nhãn hiệu&gt; là / Chí / one&gt; Vịt")</f>
        <v>Đấu giá&gt; Thời trang&gt; By Nhãn hiệu&gt; là / Chí / one&gt; Vịt</v>
      </c>
      <c r="F395" t="str">
        <f t="shared" ca="1" si="6"/>
        <v>"2084208343" : "Dax",</v>
      </c>
    </row>
    <row r="396" spans="1:6" ht="15.75" customHeight="1">
      <c r="A396" s="18">
        <v>2084048614</v>
      </c>
      <c r="B396" s="18" t="s">
        <v>10700</v>
      </c>
      <c r="C396" s="18" t="s">
        <v>10701</v>
      </c>
      <c r="D396" s="5" t="str">
        <f ca="1">IFERROR(__xludf.DUMMYFUNCTION("GOOGLETRANSLATE(B396,""ja"",""vi"")"),"Donna Karan, DKNY")</f>
        <v>Donna Karan, DKNY</v>
      </c>
      <c r="E396" s="5" t="str">
        <f ca="1">IFERROR(__xludf.DUMMYFUNCTION("GOOGLETRANSLATE(C396,""ja"",""vi"")"),"Đấu giá&gt; Thời trang&gt; By Nhãn hiệu&gt; là / Chí / one&gt; Donna Karan, DKNY")</f>
        <v>Đấu giá&gt; Thời trang&gt; By Nhãn hiệu&gt; là / Chí / one&gt; Donna Karan, DKNY</v>
      </c>
      <c r="F396" t="str">
        <f t="shared" ca="1" si="6"/>
        <v>"2084048614" : "Donna Karan, DKNY",</v>
      </c>
    </row>
    <row r="397" spans="1:6" ht="15.75" customHeight="1">
      <c r="A397" s="18">
        <v>2084007826</v>
      </c>
      <c r="B397" s="18" t="s">
        <v>10705</v>
      </c>
      <c r="C397" s="18" t="s">
        <v>10706</v>
      </c>
      <c r="D397" s="5" t="str">
        <f ca="1">IFERROR(__xludf.DUMMYFUNCTION("GOOGLETRANSLATE(B397,""ja"",""vi"")"),"Danner")</f>
        <v>Danner</v>
      </c>
      <c r="E397" s="5" t="str">
        <f ca="1">IFERROR(__xludf.DUMMYFUNCTION("GOOGLETRANSLATE(C397,""ja"",""vi"")"),"Đấu giá&gt; Thời trang&gt; By Nhãn hiệu&gt; là / Chí / one&gt; Danner")</f>
        <v>Đấu giá&gt; Thời trang&gt; By Nhãn hiệu&gt; là / Chí / one&gt; Danner</v>
      </c>
      <c r="F397" t="str">
        <f t="shared" ca="1" si="6"/>
        <v>"2084007826" : "Danner",</v>
      </c>
    </row>
    <row r="398" spans="1:6" ht="15.75" customHeight="1">
      <c r="A398" s="18">
        <v>2084283239</v>
      </c>
      <c r="B398" s="18" t="s">
        <v>10711</v>
      </c>
      <c r="C398" s="18" t="s">
        <v>10712</v>
      </c>
      <c r="D398" s="5" t="str">
        <f ca="1">IFERROR(__xludf.DUMMYFUNCTION("GOOGLETRANSLATE(B398,""ja"",""vi"")"),"Tabitha")</f>
        <v>Tabitha</v>
      </c>
      <c r="E398" s="5" t="str">
        <f ca="1">IFERROR(__xludf.DUMMYFUNCTION("GOOGLETRANSLATE(C398,""ja"",""vi"")"),"Đấu giá&gt; Thời trang&gt; By Nhãn hiệu&gt; là / Chí / one&gt; Tabitha")</f>
        <v>Đấu giá&gt; Thời trang&gt; By Nhãn hiệu&gt; là / Chí / one&gt; Tabitha</v>
      </c>
      <c r="F398" t="str">
        <f t="shared" ca="1" si="6"/>
        <v>"2084283239" : "Tabitha",</v>
      </c>
    </row>
    <row r="399" spans="1:6" ht="15.75" customHeight="1">
      <c r="A399" s="18">
        <v>2084283238</v>
      </c>
      <c r="B399" s="18" t="s">
        <v>10715</v>
      </c>
      <c r="C399" s="18" t="s">
        <v>10717</v>
      </c>
      <c r="D399" s="5" t="str">
        <f ca="1">IFERROR(__xludf.DUMMYFUNCTION("GOOGLETRANSLATE(B399,""ja"",""vi"")"),"Durban")</f>
        <v>Durban</v>
      </c>
      <c r="E399" s="5" t="str">
        <f ca="1">IFERROR(__xludf.DUMMYFUNCTION("GOOGLETRANSLATE(C399,""ja"",""vi"")"),"Đấu giá&gt; Thời trang&gt; By Nhãn hiệu&gt; là / Chí / one&gt; Durban")</f>
        <v>Đấu giá&gt; Thời trang&gt; By Nhãn hiệu&gt; là / Chí / one&gt; Durban</v>
      </c>
      <c r="F399" t="str">
        <f t="shared" ca="1" si="6"/>
        <v>"2084283238" : "Durban",</v>
      </c>
    </row>
    <row r="400" spans="1:6" ht="15.75" customHeight="1">
      <c r="A400" s="18">
        <v>2084227618</v>
      </c>
      <c r="B400" s="18" t="s">
        <v>10721</v>
      </c>
      <c r="C400" s="18" t="s">
        <v>10722</v>
      </c>
      <c r="D400" s="5" t="str">
        <f ca="1">IFERROR(__xludf.DUMMYFUNCTION("GOOGLETRANSLATE(B400,""ja"",""vi"")"),"đôi Earl")</f>
        <v>đôi Earl</v>
      </c>
      <c r="E400" s="5" t="str">
        <f ca="1">IFERROR(__xludf.DUMMYFUNCTION("GOOGLETRANSLATE(C400,""ja"",""vi"")"),"Đấu giá&gt; Thời trang&gt; By Nhãn hiệu&gt; là / Chí / đơn&gt; đôi Earl")</f>
        <v>Đấu giá&gt; Thời trang&gt; By Nhãn hiệu&gt; là / Chí / đơn&gt; đôi Earl</v>
      </c>
      <c r="F400" t="str">
        <f t="shared" ca="1" si="6"/>
        <v>"2084227618" : "đôi Earl",</v>
      </c>
    </row>
    <row r="401" spans="1:6" ht="15.75" customHeight="1">
      <c r="A401" s="18">
        <v>2084050258</v>
      </c>
      <c r="B401" s="18" t="s">
        <v>10727</v>
      </c>
      <c r="C401" s="18" t="s">
        <v>10729</v>
      </c>
      <c r="D401" s="5" t="str">
        <f ca="1">IFERROR(__xludf.DUMMYFUNCTION("GOOGLETRANSLATE(B401,""ja"",""vi"")"),"RRL")</f>
        <v>RRL</v>
      </c>
      <c r="E401" s="5" t="str">
        <f ca="1">IFERROR(__xludf.DUMMYFUNCTION("GOOGLETRANSLATE(C401,""ja"",""vi"")"),"Đấu giá&gt; Thời trang&gt; By Nhãn hiệu&gt; là / Chí / one&gt; RRL")</f>
        <v>Đấu giá&gt; Thời trang&gt; By Nhãn hiệu&gt; là / Chí / one&gt; RRL</v>
      </c>
      <c r="F401" t="str">
        <f t="shared" ca="1" si="6"/>
        <v>"2084050258" : "RRL",</v>
      </c>
    </row>
    <row r="402" spans="1:6" ht="15.75" customHeight="1">
      <c r="A402" s="18">
        <v>2084200681</v>
      </c>
      <c r="B402" s="18" t="s">
        <v>10736</v>
      </c>
      <c r="C402" s="18" t="s">
        <v>10738</v>
      </c>
      <c r="D402" s="5" t="str">
        <f ca="1">IFERROR(__xludf.DUMMYFUNCTION("GOOGLETRANSLATE(B402,""ja"",""vi"")"),"wjk")</f>
        <v>wjk</v>
      </c>
      <c r="E402" s="5" t="str">
        <f ca="1">IFERROR(__xludf.DUMMYFUNCTION("GOOGLETRANSLATE(C402,""ja"",""vi"")"),"Đấu giá&gt; Thời trang&gt; By Nhãn hiệu&gt; là / Chí / one&gt; wjk")</f>
        <v>Đấu giá&gt; Thời trang&gt; By Nhãn hiệu&gt; là / Chí / one&gt; wjk</v>
      </c>
      <c r="F402" t="str">
        <f t="shared" ca="1" si="6"/>
        <v>"2084200681" : "wjk",</v>
      </c>
    </row>
    <row r="403" spans="1:6" ht="15.75" customHeight="1">
      <c r="A403" s="18">
        <v>2084301254</v>
      </c>
      <c r="B403" s="18" t="s">
        <v>10740</v>
      </c>
      <c r="C403" s="18" t="s">
        <v>10742</v>
      </c>
      <c r="D403" s="5" t="str">
        <f ca="1">IFERROR(__xludf.DUMMYFUNCTION("GOOGLETRANSLATE(B403,""ja"",""vi"")"),"WC")</f>
        <v>WC</v>
      </c>
      <c r="E403" s="5" t="str">
        <f ca="1">IFERROR(__xludf.DUMMYFUNCTION("GOOGLETRANSLATE(C403,""ja"",""vi"")"),"Đấu giá&gt; Thời trang&gt; By Nhãn hiệu&gt; là / Chí / one&gt; WC")</f>
        <v>Đấu giá&gt; Thời trang&gt; By Nhãn hiệu&gt; là / Chí / one&gt; WC</v>
      </c>
      <c r="F403" t="str">
        <f t="shared" ca="1" si="6"/>
        <v>"2084301254" : "WC",</v>
      </c>
    </row>
    <row r="404" spans="1:6" ht="15.75" customHeight="1">
      <c r="A404" s="18">
        <v>2084298427</v>
      </c>
      <c r="B404" s="18" t="s">
        <v>10744</v>
      </c>
      <c r="C404" s="18" t="s">
        <v>10747</v>
      </c>
      <c r="D404" s="5" t="str">
        <f ca="1">IFERROR(__xludf.DUMMYFUNCTION("GOOGLETRANSLATE(B404,""ja"",""vi"")"),"Đôi kết thúc chuẩn")</f>
        <v>Đôi kết thúc chuẩn</v>
      </c>
      <c r="E404" s="5" t="str">
        <f ca="1">IFERROR(__xludf.DUMMYFUNCTION("GOOGLETRANSLATE(C404,""ja"",""vi"")"),"Đấu giá&gt; Thời trang&gt; By Nhãn hiệu&gt; là / Chí / đơn&gt; đôi đóng cửa tiêu chuẩn")</f>
        <v>Đấu giá&gt; Thời trang&gt; By Nhãn hiệu&gt; là / Chí / đơn&gt; đôi đóng cửa tiêu chuẩn</v>
      </c>
      <c r="F404" t="str">
        <f t="shared" ca="1" si="6"/>
        <v>"2084298427" : "Đôi kết thúc chuẩn",</v>
      </c>
    </row>
    <row r="405" spans="1:6" ht="15.75" customHeight="1">
      <c r="A405" s="18">
        <v>2084050259</v>
      </c>
      <c r="B405" s="18" t="s">
        <v>10751</v>
      </c>
      <c r="C405" s="18" t="s">
        <v>10754</v>
      </c>
      <c r="D405" s="5" t="str">
        <f ca="1">IFERROR(__xludf.DUMMYFUNCTION("GOOGLETRANSLATE(B405,""ja"",""vi"")"),"Vòi đôi")</f>
        <v>Vòi đôi</v>
      </c>
      <c r="E405" s="5" t="str">
        <f ca="1">IFERROR(__xludf.DUMMYFUNCTION("GOOGLETRANSLATE(C405,""ja"",""vi"")"),"Đấu giá&gt; Thời trang&gt; By Nhãn hiệu&gt; là / Chí / đơn&gt; Vòi đôi")</f>
        <v>Đấu giá&gt; Thời trang&gt; By Nhãn hiệu&gt; là / Chí / đơn&gt; Vòi đôi</v>
      </c>
      <c r="F405" t="str">
        <f t="shared" ca="1" si="6"/>
        <v>"2084050259" : "Vòi đôi",</v>
      </c>
    </row>
    <row r="406" spans="1:6" ht="15.75" customHeight="1">
      <c r="A406" s="18">
        <v>2084259940</v>
      </c>
      <c r="B406" s="18" t="s">
        <v>10757</v>
      </c>
      <c r="C406" s="18" t="s">
        <v>10758</v>
      </c>
      <c r="D406" s="5" t="str">
        <f ca="1">IFERROR(__xludf.DUMMYFUNCTION("GOOGLETRANSLATE(B406,""ja"",""vi"")"),"Talbot")</f>
        <v>Talbot</v>
      </c>
      <c r="E406" s="5" t="str">
        <f ca="1">IFERROR(__xludf.DUMMYFUNCTION("GOOGLETRANSLATE(C406,""ja"",""vi"")"),"Đấu giá&gt; Thời trang&gt; By Nhãn hiệu&gt; là / Chí / one&gt; Talbot")</f>
        <v>Đấu giá&gt; Thời trang&gt; By Nhãn hiệu&gt; là / Chí / one&gt; Talbot</v>
      </c>
      <c r="F406" t="str">
        <f t="shared" ca="1" si="6"/>
        <v>"2084259940" : "Talbot",</v>
      </c>
    </row>
    <row r="407" spans="1:6" ht="15.75" customHeight="1">
      <c r="A407" s="18">
        <v>2084036153</v>
      </c>
      <c r="B407" s="18" t="s">
        <v>10762</v>
      </c>
      <c r="C407" s="18" t="s">
        <v>10763</v>
      </c>
      <c r="D407" s="5" t="str">
        <f ca="1">IFERROR(__xludf.DUMMYFUNCTION("GOOGLETRANSLATE(B407,""ja"",""vi"")"),"Dunhill")</f>
        <v>Dunhill</v>
      </c>
      <c r="E407" s="5" t="str">
        <f ca="1">IFERROR(__xludf.DUMMYFUNCTION("GOOGLETRANSLATE(C407,""ja"",""vi"")"),"Đấu giá&gt; Thời trang&gt; By Nhãn hiệu&gt; là / Chí / one&gt; Dunhill")</f>
        <v>Đấu giá&gt; Thời trang&gt; By Nhãn hiệu&gt; là / Chí / one&gt; Dunhill</v>
      </c>
      <c r="F407" t="str">
        <f t="shared" ca="1" si="6"/>
        <v>"2084036153" : "Dunhill",</v>
      </c>
    </row>
    <row r="408" spans="1:6" ht="15.75" customHeight="1">
      <c r="A408" s="18">
        <v>2084215764</v>
      </c>
      <c r="B408" s="18" t="s">
        <v>10765</v>
      </c>
      <c r="C408" s="18" t="s">
        <v>10766</v>
      </c>
      <c r="D408" s="5" t="str">
        <f ca="1">IFERROR(__xludf.DUMMYFUNCTION("GOOGLETRANSLATE(B408,""ja"",""vi"")"),"Chesuti")</f>
        <v>Chesuti</v>
      </c>
      <c r="E408" s="5" t="str">
        <f ca="1">IFERROR(__xludf.DUMMYFUNCTION("GOOGLETRANSLATE(C408,""ja"",""vi"")"),"Đấu giá&gt; Thời trang&gt; By Nhãn hiệu&gt; là / Chí / one&gt; Chesuti")</f>
        <v>Đấu giá&gt; Thời trang&gt; By Nhãn hiệu&gt; là / Chí / one&gt; Chesuti</v>
      </c>
      <c r="F408" t="str">
        <f t="shared" ca="1" si="6"/>
        <v>"2084215764" : "Chesuti",</v>
      </c>
    </row>
    <row r="409" spans="1:6" ht="15.75" customHeight="1">
      <c r="A409" s="18">
        <v>2084301243</v>
      </c>
      <c r="B409" s="18" t="s">
        <v>10770</v>
      </c>
      <c r="C409" s="18" t="s">
        <v>10771</v>
      </c>
      <c r="D409" s="5" t="str">
        <f ca="1">IFERROR(__xludf.DUMMYFUNCTION("GOOGLETRANSLATE(B409,""ja"",""vi"")"),"Titicaca")</f>
        <v>Titicaca</v>
      </c>
      <c r="E409" s="5" t="str">
        <f ca="1">IFERROR(__xludf.DUMMYFUNCTION("GOOGLETRANSLATE(C409,""ja"",""vi"")"),"Đấu giá&gt; Thời trang&gt; By Nhãn hiệu&gt; là / Chí / one&gt; Titicaca")</f>
        <v>Đấu giá&gt; Thời trang&gt; By Nhãn hiệu&gt; là / Chí / one&gt; Titicaca</v>
      </c>
      <c r="F409" t="str">
        <f t="shared" ca="1" si="6"/>
        <v>"2084301243" : "Titicaca",</v>
      </c>
    </row>
    <row r="410" spans="1:6" ht="15.75" customHeight="1">
      <c r="A410" s="18">
        <v>2084007821</v>
      </c>
      <c r="B410" s="18" t="s">
        <v>10775</v>
      </c>
      <c r="C410" s="18" t="s">
        <v>10776</v>
      </c>
      <c r="D410" s="5" t="str">
        <f ca="1">IFERROR(__xludf.DUMMYFUNCTION("GOOGLETRANSLATE(B410,""ja"",""vi"")"),"Chippewa")</f>
        <v>Chippewa</v>
      </c>
      <c r="E410" s="5" t="str">
        <f ca="1">IFERROR(__xludf.DUMMYFUNCTION("GOOGLETRANSLATE(C410,""ja"",""vi"")"),"Đấu giá&gt; Thời trang&gt; By Nhãn hiệu&gt; là / Chí / one&gt; Chippewa")</f>
        <v>Đấu giá&gt; Thời trang&gt; By Nhãn hiệu&gt; là / Chí / one&gt; Chippewa</v>
      </c>
      <c r="F410" t="str">
        <f t="shared" ca="1" si="6"/>
        <v>"2084007821" : "Chippewa",</v>
      </c>
    </row>
    <row r="411" spans="1:6" ht="15.75" customHeight="1">
      <c r="A411" s="18">
        <v>2084061421</v>
      </c>
      <c r="B411" s="18" t="s">
        <v>10780</v>
      </c>
      <c r="C411" s="18" t="s">
        <v>10782</v>
      </c>
      <c r="D411" s="5" t="str">
        <f ca="1">IFERROR(__xludf.DUMMYFUNCTION("GOOGLETRANSLATE(B411,""ja"",""vi"")"),"nhà thờ")</f>
        <v>nhà thờ</v>
      </c>
      <c r="E411" s="5" t="str">
        <f ca="1">IFERROR(__xludf.DUMMYFUNCTION("GOOGLETRANSLATE(C411,""ja"",""vi"")"),"Đấu giá&gt; Thời trang&gt; By Nhãn hiệu&gt; là / Chí / one&gt; Christchurch")</f>
        <v>Đấu giá&gt; Thời trang&gt; By Nhãn hiệu&gt; là / Chí / one&gt; Christchurch</v>
      </c>
      <c r="F411" t="str">
        <f t="shared" ca="1" si="6"/>
        <v>"2084061421" : "nhà thờ",</v>
      </c>
    </row>
    <row r="412" spans="1:6" ht="15.75" customHeight="1">
      <c r="A412" s="18">
        <v>2084050260</v>
      </c>
      <c r="B412" s="18" t="s">
        <v>10787</v>
      </c>
      <c r="C412" s="18" t="s">
        <v>10788</v>
      </c>
      <c r="D412" s="5" t="str">
        <f ca="1">IFERROR(__xludf.DUMMYFUNCTION("GOOGLETRANSLATE(B412,""ja"",""vi"")"),"Người phụ nữ trẻ")</f>
        <v>Người phụ nữ trẻ</v>
      </c>
      <c r="E412" s="5" t="str">
        <f ca="1">IFERROR(__xludf.DUMMYFUNCTION("GOOGLETRANSLATE(C412,""ja"",""vi"")"),"Đấu giá&gt; Thời trang&gt; By Nhãn hiệu&gt; là / Chí / one&gt; Woman Child")</f>
        <v>Đấu giá&gt; Thời trang&gt; By Nhãn hiệu&gt; là / Chí / one&gt; Woman Child</v>
      </c>
      <c r="F412" t="str">
        <f t="shared" ca="1" si="6"/>
        <v>"2084050260" : "Người phụ nữ trẻ",</v>
      </c>
    </row>
    <row r="413" spans="1:6" ht="15.75" customHeight="1">
      <c r="A413" s="18">
        <v>2084229993</v>
      </c>
      <c r="B413" s="18" t="s">
        <v>10793</v>
      </c>
      <c r="C413" s="18" t="s">
        <v>10795</v>
      </c>
      <c r="D413" s="5" t="str">
        <f ca="1">IFERROR(__xludf.DUMMYFUNCTION("GOOGLETRANSLATE(B413,""ja"",""vi"")"),"Chao hoảng loạn")</f>
        <v>Chao hoảng loạn</v>
      </c>
      <c r="E413" s="5" t="str">
        <f ca="1">IFERROR(__xludf.DUMMYFUNCTION("GOOGLETRANSLATE(C413,""ja"",""vi"")"),"Đấu giá&gt; Thời trang&gt; By Nhãn hiệu&gt; là / Chí / one&gt; Chao hoảng loạn")</f>
        <v>Đấu giá&gt; Thời trang&gt; By Nhãn hiệu&gt; là / Chí / one&gt; Chao hoảng loạn</v>
      </c>
      <c r="F413" t="str">
        <f t="shared" ca="1" si="6"/>
        <v>"2084229993" : "Chao hoảng loạn",</v>
      </c>
    </row>
    <row r="414" spans="1:6" ht="15.75" customHeight="1">
      <c r="A414" s="18">
        <v>2084205975</v>
      </c>
      <c r="B414" s="18" t="s">
        <v>10801</v>
      </c>
      <c r="C414" s="18" t="s">
        <v>10802</v>
      </c>
      <c r="D414" s="5" t="str">
        <f ca="1">IFERROR(__xludf.DUMMYFUNCTION("GOOGLETRANSLATE(B414,""ja"",""vi"")"),"Chabigyangu")</f>
        <v>Chabigyangu</v>
      </c>
      <c r="E414" s="5" t="str">
        <f ca="1">IFERROR(__xludf.DUMMYFUNCTION("GOOGLETRANSLATE(C414,""ja"",""vi"")"),"Đấu giá&gt; Thời trang&gt; By Nhãn hiệu&gt; là / Chí / one&gt; Chabigyangu")</f>
        <v>Đấu giá&gt; Thời trang&gt; By Nhãn hiệu&gt; là / Chí / one&gt; Chabigyangu</v>
      </c>
      <c r="F414" t="str">
        <f t="shared" ca="1" si="6"/>
        <v>"2084205975" : "Chabigyangu",</v>
      </c>
    </row>
    <row r="415" spans="1:6" ht="15.75" customHeight="1">
      <c r="A415" s="18">
        <v>2084050261</v>
      </c>
      <c r="B415" s="18" t="s">
        <v>10807</v>
      </c>
      <c r="C415" s="18" t="s">
        <v>10809</v>
      </c>
      <c r="D415" s="5" t="str">
        <f ca="1">IFERROR(__xludf.DUMMYFUNCTION("GOOGLETRANSLATE(B415,""ja"",""vi"")"),"chums")</f>
        <v>chums</v>
      </c>
      <c r="E415" s="5" t="str">
        <f ca="1">IFERROR(__xludf.DUMMYFUNCTION("GOOGLETRANSLATE(C415,""ja"",""vi"")"),"Đấu giá&gt; Thời trang&gt; By Nhãn hiệu&gt; là / Chí / one&gt; chums")</f>
        <v>Đấu giá&gt; Thời trang&gt; By Nhãn hiệu&gt; là / Chí / one&gt; chums</v>
      </c>
      <c r="F415" t="str">
        <f t="shared" ca="1" si="6"/>
        <v>"2084050261" : "chums",</v>
      </c>
    </row>
    <row r="416" spans="1:6" ht="15.75" customHeight="1">
      <c r="A416" s="18">
        <v>2084255935</v>
      </c>
      <c r="B416" s="18" t="s">
        <v>10813</v>
      </c>
      <c r="C416" s="18" t="s">
        <v>10815</v>
      </c>
      <c r="D416" s="5" t="str">
        <f ca="1">IFERROR(__xludf.DUMMYFUNCTION("GOOGLETRANSLATE(B416,""ja"",""vi"")"),"quán quân")</f>
        <v>quán quân</v>
      </c>
      <c r="E416" s="5" t="str">
        <f ca="1">IFERROR(__xludf.DUMMYFUNCTION("GOOGLETRANSLATE(C416,""ja"",""vi"")"),"Đấu giá&gt; Thời trang&gt; By Nhãn hiệu&gt; là / Chí / one&gt; vô địch")</f>
        <v>Đấu giá&gt; Thời trang&gt; By Nhãn hiệu&gt; là / Chí / one&gt; vô địch</v>
      </c>
      <c r="F416" t="str">
        <f t="shared" ca="1" si="6"/>
        <v>"2084255935" : "quán quân",</v>
      </c>
    </row>
    <row r="417" spans="1:6" ht="15.75" customHeight="1">
      <c r="A417" s="18">
        <v>2084048707</v>
      </c>
      <c r="B417" s="18" t="s">
        <v>10819</v>
      </c>
      <c r="C417" s="18" t="s">
        <v>10820</v>
      </c>
      <c r="D417" s="5" t="str">
        <f ca="1">IFERROR(__xludf.DUMMYFUNCTION("GOOGLETRANSLATE(B417,""ja"",""vi"")"),"Tsumori Chisato")</f>
        <v>Tsumori Chisato</v>
      </c>
      <c r="E417" s="5" t="str">
        <f ca="1">IFERROR(__xludf.DUMMYFUNCTION("GOOGLETRANSLATE(C417,""ja"",""vi"")"),"Đấu giá&gt; Thời trang&gt; By Nhãn hiệu&gt; là / Chí / one&gt; Tsumori Chisato")</f>
        <v>Đấu giá&gt; Thời trang&gt; By Nhãn hiệu&gt; là / Chí / one&gt; Tsumori Chisato</v>
      </c>
      <c r="F417" t="str">
        <f t="shared" ca="1" si="6"/>
        <v>"2084048707" : "Tsumori Chisato",</v>
      </c>
    </row>
    <row r="418" spans="1:6" ht="15.75" customHeight="1">
      <c r="A418" s="18">
        <v>2084286050</v>
      </c>
      <c r="B418" s="18" t="s">
        <v>46</v>
      </c>
      <c r="C418" s="18" t="s">
        <v>10824</v>
      </c>
      <c r="D418" s="5" t="str">
        <f ca="1">IFERROR(__xludf.DUMMYFUNCTION("GOOGLETRANSLATE(B418,""ja"",""vi"")"),"nếu không thì")</f>
        <v>nếu không thì</v>
      </c>
      <c r="E418" s="5" t="str">
        <f ca="1">IFERROR(__xludf.DUMMYFUNCTION("GOOGLETRANSLATE(C418,""ja"",""vi"")"),"Đấu giá&gt; Thời trang&gt; By Nhãn hiệu&gt; là / Chí / one&gt; Khác")</f>
        <v>Đấu giá&gt; Thời trang&gt; By Nhãn hiệu&gt; là / Chí / one&gt; Khác</v>
      </c>
      <c r="F418" t="str">
        <f t="shared" ca="1" si="6"/>
        <v>"2084286050" : "nếu không thì",</v>
      </c>
    </row>
    <row r="419" spans="1:6" ht="15.75" customHeight="1">
      <c r="A419" s="18">
        <v>2084056792</v>
      </c>
      <c r="B419" s="18" t="s">
        <v>10829</v>
      </c>
      <c r="C419" s="18" t="s">
        <v>10830</v>
      </c>
      <c r="D419" s="5" t="str">
        <f ca="1">IFERROR(__xludf.DUMMYFUNCTION("GOOGLETRANSLATE(B419,""ja"",""vi"")"),"D &amp; G")</f>
        <v>D &amp; G</v>
      </c>
      <c r="E419" s="5" t="str">
        <f ca="1">IFERROR(__xludf.DUMMYFUNCTION("GOOGLETRANSLATE(C419,""ja"",""vi"")"),"Đấu giá&gt; Thời trang&gt; By Nhãn hiệu&gt; Te&gt; D &amp; G")</f>
        <v>Đấu giá&gt; Thời trang&gt; By Nhãn hiệu&gt; Te&gt; D &amp; G</v>
      </c>
      <c r="F419" t="str">
        <f t="shared" ca="1" si="6"/>
        <v>"2084056792" : "D &amp; G",</v>
      </c>
    </row>
    <row r="420" spans="1:6" ht="15.75" customHeight="1">
      <c r="A420" s="18">
        <v>2084054290</v>
      </c>
      <c r="B420" s="18" t="s">
        <v>10834</v>
      </c>
      <c r="C420" s="18" t="s">
        <v>10836</v>
      </c>
      <c r="D420" s="5" t="str">
        <f ca="1">IFERROR(__xludf.DUMMYFUNCTION("GOOGLETRANSLATE(B420,""ja"",""vi"")"),"TMT")</f>
        <v>TMT</v>
      </c>
      <c r="E420" s="5" t="str">
        <f ca="1">IFERROR(__xludf.DUMMYFUNCTION("GOOGLETRANSLATE(C420,""ja"",""vi"")"),"Đấu giá&gt; Thời trang&gt; By Nhãn hiệu&gt; Te&gt; TMT")</f>
        <v>Đấu giá&gt; Thời trang&gt; By Nhãn hiệu&gt; Te&gt; TMT</v>
      </c>
      <c r="F420" t="str">
        <f t="shared" ca="1" si="6"/>
        <v>"2084054290" : "TMT",</v>
      </c>
    </row>
    <row r="421" spans="1:6" ht="15.75" customHeight="1">
      <c r="A421" s="18">
        <v>2084229997</v>
      </c>
      <c r="B421" s="18" t="s">
        <v>10840</v>
      </c>
      <c r="C421" s="18" t="s">
        <v>10842</v>
      </c>
      <c r="D421" s="5" t="str">
        <f ca="1">IFERROR(__xludf.DUMMYFUNCTION("GOOGLETRANSLATE(B421,""ja"",""vi"")"),"vương miện của vua")</f>
        <v>vương miện của vua</v>
      </c>
      <c r="E421" s="5" t="str">
        <f ca="1">IFERROR(__xludf.DUMMYFUNCTION("GOOGLETRANSLATE(C421,""ja"",""vi"")"),"Đấu giá&gt; Thời trang&gt; By Nhãn hiệu&gt; Te&gt; Tiara")</f>
        <v>Đấu giá&gt; Thời trang&gt; By Nhãn hiệu&gt; Te&gt; Tiara</v>
      </c>
      <c r="F421" t="str">
        <f t="shared" ca="1" si="6"/>
        <v>"2084229997" : "vương miện của vua",</v>
      </c>
    </row>
    <row r="422" spans="1:6" ht="15.75" customHeight="1">
      <c r="A422" s="18">
        <v>2084048616</v>
      </c>
      <c r="B422" s="18" t="s">
        <v>10846</v>
      </c>
      <c r="C422" s="18" t="s">
        <v>10848</v>
      </c>
      <c r="D422" s="5" t="str">
        <f ca="1">IFERROR(__xludf.DUMMYFUNCTION("GOOGLETRANSLATE(B422,""ja"",""vi"")"),"Tinker Bell")</f>
        <v>Tinker Bell</v>
      </c>
      <c r="E422" s="5" t="str">
        <f ca="1">IFERROR(__xludf.DUMMYFUNCTION("GOOGLETRANSLATE(C422,""ja"",""vi"")"),"Đấu giá&gt; Thời trang&gt; By Nhãn hiệu&gt; Te&gt; Tinker Bell")</f>
        <v>Đấu giá&gt; Thời trang&gt; By Nhãn hiệu&gt; Te&gt; Tinker Bell</v>
      </c>
      <c r="F422" t="str">
        <f t="shared" ca="1" si="6"/>
        <v>"2084048616" : "Tinker Bell",</v>
      </c>
    </row>
    <row r="423" spans="1:6" ht="15.75" customHeight="1">
      <c r="A423" s="18">
        <v>2084055900</v>
      </c>
      <c r="B423" s="18" t="s">
        <v>10851</v>
      </c>
      <c r="C423" s="18" t="s">
        <v>10852</v>
      </c>
      <c r="D423" s="5" t="str">
        <f ca="1">IFERROR(__xludf.DUMMYFUNCTION("GOOGLETRANSLATE(B423,""ja"",""vi"")"),"Deer chúa")</f>
        <v>Deer chúa</v>
      </c>
      <c r="E423" s="5" t="str">
        <f ca="1">IFERROR(__xludf.DUMMYFUNCTION("GOOGLETRANSLATE(C423,""ja"",""vi"")"),"Đấu giá&gt; Thời trang&gt; By Nhãn hiệu&gt; Te&gt; Deer chúa")</f>
        <v>Đấu giá&gt; Thời trang&gt; By Nhãn hiệu&gt; Te&gt; Deer chúa</v>
      </c>
      <c r="F423" t="str">
        <f t="shared" ca="1" si="6"/>
        <v>"2084055900" : "Deer chúa",</v>
      </c>
    </row>
    <row r="424" spans="1:6" ht="15.75" customHeight="1">
      <c r="A424" s="18">
        <v>2084048604</v>
      </c>
      <c r="B424" s="18" t="s">
        <v>10856</v>
      </c>
      <c r="C424" s="18" t="s">
        <v>10857</v>
      </c>
      <c r="D424" s="5" t="str">
        <f ca="1">IFERROR(__xludf.DUMMYFUNCTION("GOOGLETRANSLATE(B424,""ja"",""vi"")"),"Dior")</f>
        <v>Dior</v>
      </c>
      <c r="E424" s="5" t="str">
        <f ca="1">IFERROR(__xludf.DUMMYFUNCTION("GOOGLETRANSLATE(C424,""ja"",""vi"")"),"Đấu giá&gt; Thời trang&gt; By Nhãn hiệu&gt; Te&gt; Dior")</f>
        <v>Đấu giá&gt; Thời trang&gt; By Nhãn hiệu&gt; Te&gt; Dior</v>
      </c>
      <c r="F424" t="str">
        <f t="shared" ca="1" si="6"/>
        <v>"2084048604" : "Dior",</v>
      </c>
    </row>
    <row r="425" spans="1:6" ht="15.75" customHeight="1">
      <c r="A425" s="18">
        <v>2084205407</v>
      </c>
      <c r="B425" s="18" t="s">
        <v>10862</v>
      </c>
      <c r="C425" s="18" t="s">
        <v>10863</v>
      </c>
      <c r="D425" s="5" t="str">
        <f ca="1">IFERROR(__xludf.DUMMYFUNCTION("GOOGLETRANSLATE(B425,""ja"",""vi"")"),"Daisy Lovers")</f>
        <v>Daisy Lovers</v>
      </c>
      <c r="E425" s="5" t="str">
        <f ca="1">IFERROR(__xludf.DUMMYFUNCTION("GOOGLETRANSLATE(C425,""ja"",""vi"")"),"Đấu giá&gt; Thời trang&gt; By Nhãn hiệu&gt; Te&gt; Daisy Lovers")</f>
        <v>Đấu giá&gt; Thời trang&gt; By Nhãn hiệu&gt; Te&gt; Daisy Lovers</v>
      </c>
      <c r="F425" t="str">
        <f t="shared" ca="1" si="6"/>
        <v>"2084205407" : "Daisy Lovers",</v>
      </c>
    </row>
    <row r="426" spans="1:6" ht="15.75" customHeight="1">
      <c r="A426" s="18">
        <v>2084048614</v>
      </c>
      <c r="B426" s="18" t="s">
        <v>10867</v>
      </c>
      <c r="C426" s="18" t="s">
        <v>10868</v>
      </c>
      <c r="D426" s="5" t="str">
        <f ca="1">IFERROR(__xludf.DUMMYFUNCTION("GOOGLETRANSLATE(B426,""ja"",""vi"")"),"DKNY")</f>
        <v>DKNY</v>
      </c>
      <c r="E426" s="5" t="str">
        <f ca="1">IFERROR(__xludf.DUMMYFUNCTION("GOOGLETRANSLATE(C426,""ja"",""vi"")"),"Đấu giá&gt; Thời trang&gt; By Nhãn hiệu&gt; Te&gt; DKNY")</f>
        <v>Đấu giá&gt; Thời trang&gt; By Nhãn hiệu&gt; Te&gt; DKNY</v>
      </c>
      <c r="F426" t="str">
        <f t="shared" ca="1" si="6"/>
        <v>"2084048614" : "DKNY",</v>
      </c>
    </row>
    <row r="427" spans="1:6" ht="15.75" customHeight="1">
      <c r="A427" s="18">
        <v>2084283240</v>
      </c>
      <c r="B427" s="18" t="s">
        <v>10871</v>
      </c>
      <c r="C427" s="18" t="s">
        <v>10874</v>
      </c>
      <c r="D427" s="5" t="str">
        <f ca="1">IFERROR(__xludf.DUMMYFUNCTION("GOOGLETRANSLATE(B427,""ja"",""vi"")"),"Di Grace")</f>
        <v>Di Grace</v>
      </c>
      <c r="E427" s="5" t="str">
        <f ca="1">IFERROR(__xludf.DUMMYFUNCTION("GOOGLETRANSLATE(C427,""ja"",""vi"")"),"Đấu giá&gt; Thời trang&gt; By Nhãn hiệu&gt; Te&gt; di Grace")</f>
        <v>Đấu giá&gt; Thời trang&gt; By Nhãn hiệu&gt; Te&gt; di Grace</v>
      </c>
      <c r="F427" t="str">
        <f t="shared" ca="1" si="6"/>
        <v>"2084283240" : "Di Grace",</v>
      </c>
    </row>
    <row r="428" spans="1:6" ht="15.75" customHeight="1">
      <c r="A428" s="18">
        <v>2084051048</v>
      </c>
      <c r="B428" s="18" t="s">
        <v>10876</v>
      </c>
      <c r="C428" s="18" t="s">
        <v>10879</v>
      </c>
      <c r="D428" s="5" t="str">
        <f ca="1">IFERROR(__xludf.DUMMYFUNCTION("GOOGLETRANSLATE(B428,""ja"",""vi"")"),"Dsquared")</f>
        <v>Dsquared</v>
      </c>
      <c r="E428" s="5" t="str">
        <f ca="1">IFERROR(__xludf.DUMMYFUNCTION("GOOGLETRANSLATE(C428,""ja"",""vi"")"),"Đấu giá&gt; Thời trang&gt; By Nhãn hiệu&gt; Te&gt; Dsquared")</f>
        <v>Đấu giá&gt; Thời trang&gt; By Nhãn hiệu&gt; Te&gt; Dsquared</v>
      </c>
      <c r="F428" t="str">
        <f t="shared" ca="1" si="6"/>
        <v>"2084051048" : "Dsquared",</v>
      </c>
    </row>
    <row r="429" spans="1:6" ht="15.75" customHeight="1">
      <c r="A429" s="18">
        <v>2084050262</v>
      </c>
      <c r="B429" s="18" t="s">
        <v>10883</v>
      </c>
      <c r="C429" s="18" t="s">
        <v>10885</v>
      </c>
      <c r="D429" s="5" t="str">
        <f ca="1">IFERROR(__xludf.DUMMYFUNCTION("GOOGLETRANSLATE(B429,""ja"",""vi"")"),"dầu diesel")</f>
        <v>dầu diesel</v>
      </c>
      <c r="E429" s="5" t="str">
        <f ca="1">IFERROR(__xludf.DUMMYFUNCTION("GOOGLETRANSLATE(C429,""ja"",""vi"")"),"Đấu giá&gt; Thời trang&gt; By Nhãn hiệu&gt; Te&gt; diesel")</f>
        <v>Đấu giá&gt; Thời trang&gt; By Nhãn hiệu&gt; Te&gt; diesel</v>
      </c>
      <c r="F429" t="str">
        <f t="shared" ca="1" si="6"/>
        <v>"2084050262" : "dầu diesel",</v>
      </c>
    </row>
    <row r="430" spans="1:6" ht="15.75" customHeight="1">
      <c r="A430" s="18">
        <v>2084229999</v>
      </c>
      <c r="B430" s="18" t="s">
        <v>10888</v>
      </c>
      <c r="C430" s="18" t="s">
        <v>10890</v>
      </c>
      <c r="D430" s="5" t="str">
        <f ca="1">IFERROR(__xludf.DUMMYFUNCTION("GOOGLETRANSLATE(B430,""ja"",""vi"")"),"Deishi")</f>
        <v>Deishi</v>
      </c>
      <c r="E430" s="5" t="str">
        <f ca="1">IFERROR(__xludf.DUMMYFUNCTION("GOOGLETRANSLATE(C430,""ja"",""vi"")"),"Đấu giá&gt; Thời trang&gt; By Nhãn hiệu&gt; Te&gt; Deishi")</f>
        <v>Đấu giá&gt; Thời trang&gt; By Nhãn hiệu&gt; Te&gt; Deishi</v>
      </c>
      <c r="F430" t="str">
        <f t="shared" ca="1" si="6"/>
        <v>"2084229999" : "Deishi",</v>
      </c>
    </row>
    <row r="431" spans="1:6" ht="15.75" customHeight="1">
      <c r="A431" s="18">
        <v>2084050263</v>
      </c>
      <c r="B431" s="18" t="s">
        <v>10893</v>
      </c>
      <c r="C431" s="18" t="s">
        <v>10894</v>
      </c>
      <c r="D431" s="5" t="str">
        <f ca="1">IFERROR(__xludf.DUMMYFUNCTION("GOOGLETRANSLATE(B431,""ja"",""vi"")"),"Dickies")</f>
        <v>Dickies</v>
      </c>
      <c r="E431" s="5" t="str">
        <f ca="1">IFERROR(__xludf.DUMMYFUNCTION("GOOGLETRANSLATE(C431,""ja"",""vi"")"),"Đấu giá&gt; Thời trang&gt; By Nhãn hiệu&gt; Te&gt; Dickies")</f>
        <v>Đấu giá&gt; Thời trang&gt; By Nhãn hiệu&gt; Te&gt; Dickies</v>
      </c>
      <c r="F431" t="str">
        <f t="shared" ca="1" si="6"/>
        <v>"2084050263" : "Dickies",</v>
      </c>
    </row>
    <row r="432" spans="1:6" ht="15.75" customHeight="1">
      <c r="A432" s="18">
        <v>2084048615</v>
      </c>
      <c r="B432" s="18" t="s">
        <v>10898</v>
      </c>
      <c r="C432" s="18" t="s">
        <v>10899</v>
      </c>
      <c r="D432" s="5" t="str">
        <f ca="1">IFERROR(__xludf.DUMMYFUNCTION("GOOGLETRANSLATE(B432,""ja"",""vi"")"),"vải mõng")</f>
        <v>vải mõng</v>
      </c>
      <c r="E432" s="5" t="str">
        <f ca="1">IFERROR(__xludf.DUMMYFUNCTION("GOOGLETRANSLATE(C432,""ja"",""vi"")"),"Đấu giá&gt; Thời trang&gt; By Nhãn hiệu&gt; Te&gt; Tiffany")</f>
        <v>Đấu giá&gt; Thời trang&gt; By Nhãn hiệu&gt; Te&gt; Tiffany</v>
      </c>
      <c r="F432" t="str">
        <f t="shared" ca="1" si="6"/>
        <v>"2084048615" : "vải mõng",</v>
      </c>
    </row>
    <row r="433" spans="1:6" ht="15.75" customHeight="1">
      <c r="A433" s="18">
        <v>2084246969</v>
      </c>
      <c r="B433" s="18" t="s">
        <v>10902</v>
      </c>
      <c r="C433" s="18" t="s">
        <v>10905</v>
      </c>
      <c r="D433" s="5" t="str">
        <f ca="1">IFERROR(__xludf.DUMMYFUNCTION("GOOGLETRANSLATE(B433,""ja"",""vi"")"),"Dean &amp; Deluca")</f>
        <v>Dean &amp; Deluca</v>
      </c>
      <c r="E433" s="5" t="str">
        <f ca="1">IFERROR(__xludf.DUMMYFUNCTION("GOOGLETRANSLATE(C433,""ja"",""vi"")"),"Đấu giá&gt; Thời trang&gt; By Nhãn hiệu&gt; Te&gt; Dean &amp; Deluca")</f>
        <v>Đấu giá&gt; Thời trang&gt; By Nhãn hiệu&gt; Te&gt; Dean &amp; Deluca</v>
      </c>
      <c r="F433" t="str">
        <f t="shared" ca="1" si="6"/>
        <v>"2084246969" : "Dean &amp; Deluca",</v>
      </c>
    </row>
    <row r="434" spans="1:6" ht="15.75" customHeight="1">
      <c r="A434" s="18">
        <v>2084048712</v>
      </c>
      <c r="B434" s="18" t="s">
        <v>10910</v>
      </c>
      <c r="C434" s="18" t="s">
        <v>10912</v>
      </c>
      <c r="D434" s="5" t="str">
        <f ca="1">IFERROR(__xludf.DUMMYFUNCTION("GOOGLETRANSLATE(B434,""ja"",""vi"")"),"Timberland")</f>
        <v>Timberland</v>
      </c>
      <c r="E434" s="5" t="str">
        <f ca="1">IFERROR(__xludf.DUMMYFUNCTION("GOOGLETRANSLATE(C434,""ja"",""vi"")"),"Đấu giá&gt; Thời trang&gt; By Nhãn hiệu&gt; Te&gt; Timberland")</f>
        <v>Đấu giá&gt; Thời trang&gt; By Nhãn hiệu&gt; Te&gt; Timberland</v>
      </c>
      <c r="F434" t="str">
        <f t="shared" ca="1" si="6"/>
        <v>"2084048712" : "Timberland",</v>
      </c>
    </row>
    <row r="435" spans="1:6" ht="15.75" customHeight="1">
      <c r="A435" s="18">
        <v>2084298387</v>
      </c>
      <c r="B435" s="18" t="s">
        <v>10913</v>
      </c>
      <c r="C435" s="18" t="s">
        <v>10915</v>
      </c>
      <c r="D435" s="5" t="str">
        <f ca="1">IFERROR(__xludf.DUMMYFUNCTION("GOOGLETRANSLATE(B435,""ja"",""vi"")"),"Techichi")</f>
        <v>Techichi</v>
      </c>
      <c r="E435" s="5" t="str">
        <f ca="1">IFERROR(__xludf.DUMMYFUNCTION("GOOGLETRANSLATE(C435,""ja"",""vi"")"),"Đấu giá&gt; Thời trang&gt; By Nhãn hiệu&gt; Te&gt; Techichi")</f>
        <v>Đấu giá&gt; Thời trang&gt; By Nhãn hiệu&gt; Te&gt; Techichi</v>
      </c>
      <c r="F435" t="str">
        <f t="shared" ca="1" si="6"/>
        <v>"2084298387" : "Techichi",</v>
      </c>
    </row>
    <row r="436" spans="1:6" ht="15.75" customHeight="1">
      <c r="A436" s="18">
        <v>2084238560</v>
      </c>
      <c r="B436" s="18" t="s">
        <v>10919</v>
      </c>
      <c r="C436" s="18" t="s">
        <v>10920</v>
      </c>
      <c r="D436" s="5" t="str">
        <f ca="1">IFERROR(__xludf.DUMMYFUNCTION("GOOGLETRANSLATE(B436,""ja"",""vi"")"),"Denim &amp; loại vải thô")</f>
        <v>Denim &amp; loại vải thô</v>
      </c>
      <c r="E436" s="5" t="str">
        <f ca="1">IFERROR(__xludf.DUMMYFUNCTION("GOOGLETRANSLATE(C436,""ja"",""vi"")"),"Đấu giá&gt; Thời trang&gt; By Nhãn hiệu&gt; Te&gt; Denim &amp; loại vải thô")</f>
        <v>Đấu giá&gt; Thời trang&gt; By Nhãn hiệu&gt; Te&gt; Denim &amp; loại vải thô</v>
      </c>
      <c r="F436" t="str">
        <f t="shared" ca="1" si="6"/>
        <v>"2084238560" : "Denim &amp; loại vải thô",</v>
      </c>
    </row>
    <row r="437" spans="1:6" ht="15.75" customHeight="1">
      <c r="A437" s="18">
        <v>2084261143</v>
      </c>
      <c r="B437" s="18" t="s">
        <v>10924</v>
      </c>
      <c r="C437" s="18" t="s">
        <v>10926</v>
      </c>
      <c r="D437" s="5" t="str">
        <f ca="1">IFERROR(__xludf.DUMMYFUNCTION("GOOGLETRANSLATE(B437,""ja"",""vi"")"),"Debirokku")</f>
        <v>Debirokku</v>
      </c>
      <c r="E437" s="5" t="str">
        <f ca="1">IFERROR(__xludf.DUMMYFUNCTION("GOOGLETRANSLATE(C437,""ja"",""vi"")"),"Đấu giá&gt; Thời trang&gt; By Nhãn hiệu&gt; Te&gt; Debirokku")</f>
        <v>Đấu giá&gt; Thời trang&gt; By Nhãn hiệu&gt; Te&gt; Debirokku</v>
      </c>
      <c r="F437" t="str">
        <f t="shared" ca="1" si="6"/>
        <v>"2084261143" : "Debirokku",</v>
      </c>
    </row>
    <row r="438" spans="1:6" ht="15.75" customHeight="1">
      <c r="A438" s="18">
        <v>2084283241</v>
      </c>
      <c r="B438" s="18" t="s">
        <v>10929</v>
      </c>
      <c r="C438" s="18" t="s">
        <v>10931</v>
      </c>
      <c r="D438" s="5" t="str">
        <f ca="1">IFERROR(__xludf.DUMMYFUNCTION("GOOGLETRANSLATE(B438,""ja"",""vi"")"),"Prés")</f>
        <v>Prés</v>
      </c>
      <c r="E438" s="5" t="str">
        <f ca="1">IFERROR(__xludf.DUMMYFUNCTION("GOOGLETRANSLATE(C438,""ja"",""vi"")"),"Đấu giá&gt; Thời trang&gt; By Nhãn hiệu&gt; Te&gt; des-Prés")</f>
        <v>Đấu giá&gt; Thời trang&gt; By Nhãn hiệu&gt; Te&gt; des-Prés</v>
      </c>
      <c r="F438" t="str">
        <f t="shared" ca="1" si="6"/>
        <v>"2084283241" : "Prés",</v>
      </c>
    </row>
    <row r="439" spans="1:6" ht="15.75" customHeight="1">
      <c r="A439" s="18">
        <v>2084227420</v>
      </c>
      <c r="B439" s="18" t="s">
        <v>10933</v>
      </c>
      <c r="C439" s="18" t="s">
        <v>10935</v>
      </c>
      <c r="D439" s="5" t="str">
        <f ca="1">IFERROR(__xludf.DUMMYFUNCTION("GOOGLETRANSLATE(B439,""ja"",""vi"")"),"Dyubetika")</f>
        <v>Dyubetika</v>
      </c>
      <c r="E439" s="5" t="str">
        <f ca="1">IFERROR(__xludf.DUMMYFUNCTION("GOOGLETRANSLATE(C439,""ja"",""vi"")"),"Đấu giá&gt; Thời trang&gt; By Nhãn hiệu&gt; Te&gt; Dyubetika")</f>
        <v>Đấu giá&gt; Thời trang&gt; By Nhãn hiệu&gt; Te&gt; Dyubetika</v>
      </c>
      <c r="F439" t="str">
        <f t="shared" ca="1" si="6"/>
        <v>"2084227420" : "Dyubetika",</v>
      </c>
    </row>
    <row r="440" spans="1:6" ht="15.75" customHeight="1">
      <c r="A440" s="18">
        <v>2084050264</v>
      </c>
      <c r="B440" s="18" t="s">
        <v>10939</v>
      </c>
      <c r="C440" s="18" t="s">
        <v>10941</v>
      </c>
      <c r="D440" s="5" t="str">
        <f ca="1">IFERROR(__xludf.DUMMYFUNCTION("GOOGLETRANSLATE(B440,""ja"",""vi"")"),"Duras")</f>
        <v>Duras</v>
      </c>
      <c r="E440" s="5" t="str">
        <f ca="1">IFERROR(__xludf.DUMMYFUNCTION("GOOGLETRANSLATE(C440,""ja"",""vi"")"),"Đấu giá&gt; Thời trang&gt; By Nhãn hiệu&gt; Te&gt; Duras")</f>
        <v>Đấu giá&gt; Thời trang&gt; By Nhãn hiệu&gt; Te&gt; Duras</v>
      </c>
      <c r="F440" t="str">
        <f t="shared" ca="1" si="6"/>
        <v>"2084050264" : "Duras",</v>
      </c>
    </row>
    <row r="441" spans="1:6" ht="15.75" customHeight="1">
      <c r="A441" s="18">
        <v>2084226930</v>
      </c>
      <c r="B441" s="18" t="s">
        <v>10945</v>
      </c>
      <c r="C441" s="18" t="s">
        <v>10946</v>
      </c>
      <c r="D441" s="5" t="str">
        <f ca="1">IFERROR(__xludf.DUMMYFUNCTION("GOOGLETRANSLATE(B441,""ja"",""vi"")"),"thịt thăn")</f>
        <v>thịt thăn</v>
      </c>
      <c r="E441" s="5" t="str">
        <f ca="1">IFERROR(__xludf.DUMMYFUNCTION("GOOGLETRANSLATE(C441,""ja"",""vi"")"),"Đấu giá&gt; Thời trang&gt; By Nhãn hiệu&gt; Te&gt; thăn")</f>
        <v>Đấu giá&gt; Thời trang&gt; By Nhãn hiệu&gt; Te&gt; thăn</v>
      </c>
      <c r="F441" t="str">
        <f t="shared" ca="1" si="6"/>
        <v>"2084226930" : "thịt thăn",</v>
      </c>
    </row>
    <row r="442" spans="1:6" ht="15.75" customHeight="1">
      <c r="A442" s="18">
        <v>2084286065</v>
      </c>
      <c r="B442" s="18" t="s">
        <v>46</v>
      </c>
      <c r="C442" s="18" t="s">
        <v>10951</v>
      </c>
      <c r="D442" s="5" t="str">
        <f ca="1">IFERROR(__xludf.DUMMYFUNCTION("GOOGLETRANSLATE(B442,""ja"",""vi"")"),"nếu không thì")</f>
        <v>nếu không thì</v>
      </c>
      <c r="E442" s="5" t="str">
        <f ca="1">IFERROR(__xludf.DUMMYFUNCTION("GOOGLETRANSLATE(C442,""ja"",""vi"")"),"Đấu giá&gt; Thời trang&gt; By Nhãn hiệu&gt; Te&gt; Khác")</f>
        <v>Đấu giá&gt; Thời trang&gt; By Nhãn hiệu&gt; Te&gt; Khác</v>
      </c>
      <c r="F442" t="str">
        <f t="shared" ca="1" si="6"/>
        <v>"2084286065" : "nếu không thì",</v>
      </c>
    </row>
    <row r="443" spans="1:6" ht="15.75" customHeight="1">
      <c r="A443" s="18">
        <v>2084283578</v>
      </c>
      <c r="B443" s="18" t="s">
        <v>10955</v>
      </c>
      <c r="C443" s="18" t="s">
        <v>10956</v>
      </c>
      <c r="D443" s="5" t="str">
        <f ca="1">IFERROR(__xludf.DUMMYFUNCTION("GOOGLETRANSLATE(B443,""ja"",""vi"")"),"Là sang trọng")</f>
        <v>Là sang trọng</v>
      </c>
      <c r="E443" s="5" t="str">
        <f ca="1">IFERROR(__xludf.DUMMYFUNCTION("GOOGLETRANSLATE(C443,""ja"",""vi"")"),"Đấu giá&gt; Thời trang&gt; By Nhãn hiệu&gt; và&gt; TO BE CHIC")</f>
        <v>Đấu giá&gt; Thời trang&gt; By Nhãn hiệu&gt; và&gt; TO BE CHIC</v>
      </c>
      <c r="F443" t="str">
        <f t="shared" ca="1" si="6"/>
        <v>"2084283578" : "Là sang trọng",</v>
      </c>
    </row>
    <row r="444" spans="1:6" ht="15.75" customHeight="1">
      <c r="A444" s="18">
        <v>2084062339</v>
      </c>
      <c r="B444" s="18" t="s">
        <v>10960</v>
      </c>
      <c r="C444" s="18" t="s">
        <v>10961</v>
      </c>
      <c r="D444" s="5" t="str">
        <f ca="1">IFERROR(__xludf.DUMMYFUNCTION("GOOGLETRANSLATE(B444,""ja"",""vi"")"),"Tumi")</f>
        <v>Tumi</v>
      </c>
      <c r="E444" s="5" t="str">
        <f ca="1">IFERROR(__xludf.DUMMYFUNCTION("GOOGLETRANSLATE(C444,""ja"",""vi"")"),"Đấu giá&gt; Thời trang&gt; By Nhãn hiệu&gt; và&gt; Tumi")</f>
        <v>Đấu giá&gt; Thời trang&gt; By Nhãn hiệu&gt; và&gt; Tumi</v>
      </c>
      <c r="F444" t="str">
        <f t="shared" ca="1" si="6"/>
        <v>"2084062339" : "Tumi",</v>
      </c>
    </row>
    <row r="445" spans="1:6" ht="15.75" customHeight="1">
      <c r="A445" s="18">
        <v>2084050267</v>
      </c>
      <c r="B445" s="18" t="s">
        <v>10965</v>
      </c>
      <c r="C445" s="18" t="s">
        <v>10966</v>
      </c>
      <c r="D445" s="5" t="str">
        <f ca="1">IFERROR(__xludf.DUMMYFUNCTION("GOOGLETRANSLATE(B445,""ja"",""vi"")"),"Tomorrowland")</f>
        <v>Tomorrowland</v>
      </c>
      <c r="E445" s="5" t="str">
        <f ca="1">IFERROR(__xludf.DUMMYFUNCTION("GOOGLETRANSLATE(C445,""ja"",""vi"")"),"Đấu giá&gt; Thời trang&gt; By Nhãn hiệu&gt; và&gt; Tomorrowland")</f>
        <v>Đấu giá&gt; Thời trang&gt; By Nhãn hiệu&gt; và&gt; Tomorrowland</v>
      </c>
      <c r="F445" t="str">
        <f t="shared" ca="1" si="6"/>
        <v>"2084050267" : "Tomorrowland",</v>
      </c>
    </row>
    <row r="446" spans="1:6" ht="15.75" customHeight="1">
      <c r="A446" s="18">
        <v>2084261353</v>
      </c>
      <c r="B446" s="18" t="s">
        <v>10970</v>
      </c>
      <c r="C446" s="18" t="s">
        <v>10971</v>
      </c>
      <c r="D446" s="5" t="str">
        <f ca="1">IFERROR(__xludf.DUMMYFUNCTION("GOOGLETRANSLATE(B446,""ja"",""vi"")"),"Turara")</f>
        <v>Turara</v>
      </c>
      <c r="E446" s="5" t="str">
        <f ca="1">IFERROR(__xludf.DUMMYFUNCTION("GOOGLETRANSLATE(C446,""ja"",""vi"")"),"Đấu giá&gt; Thời trang&gt; By Nhãn hiệu&gt; và&gt; Turara")</f>
        <v>Đấu giá&gt; Thời trang&gt; By Nhãn hiệu&gt; và&gt; Turara</v>
      </c>
      <c r="F446" t="str">
        <f t="shared" ca="1" si="6"/>
        <v>"2084261353" : "Turara",</v>
      </c>
    </row>
    <row r="447" spans="1:6" ht="15.75" customHeight="1">
      <c r="A447" s="18">
        <v>2084194517</v>
      </c>
      <c r="B447" s="18" t="s">
        <v>10976</v>
      </c>
      <c r="C447" s="18" t="s">
        <v>10979</v>
      </c>
      <c r="D447" s="5" t="str">
        <f ca="1">IFERROR(__xludf.DUMMYFUNCTION("GOOGLETRANSLATE(B447,""ja"",""vi"")"),"true Religion")</f>
        <v>true Religion</v>
      </c>
      <c r="E447" s="5" t="str">
        <f ca="1">IFERROR(__xludf.DUMMYFUNCTION("GOOGLETRANSLATE(C447,""ja"",""vi"")"),"Đấu giá&gt; Thời trang&gt; By Nhãn hiệu&gt; và&gt; True Religion")</f>
        <v>Đấu giá&gt; Thời trang&gt; By Nhãn hiệu&gt; và&gt; True Religion</v>
      </c>
      <c r="F447" t="str">
        <f t="shared" ca="1" si="6"/>
        <v>"2084194517" : "true Religion",</v>
      </c>
    </row>
    <row r="448" spans="1:6" ht="15.75" customHeight="1">
      <c r="A448" s="18">
        <v>2084242542</v>
      </c>
      <c r="B448" s="18" t="s">
        <v>10984</v>
      </c>
      <c r="C448" s="18" t="s">
        <v>10987</v>
      </c>
      <c r="D448" s="5" t="str">
        <f ca="1">IFERROR(__xludf.DUMMYFUNCTION("GOOGLETRANSLATE(B448,""ja"",""vi"")"),"lớp Duzuiemu")</f>
        <v>lớp Duzuiemu</v>
      </c>
      <c r="E448" s="5" t="str">
        <f ca="1">IFERROR(__xludf.DUMMYFUNCTION("GOOGLETRANSLATE(C448,""ja"",""vi"")"),"Đấu giá&gt; Thời trang&gt; By Nhãn hiệu&gt; và&gt; lớp Duzuiemu")</f>
        <v>Đấu giá&gt; Thời trang&gt; By Nhãn hiệu&gt; và&gt; lớp Duzuiemu</v>
      </c>
      <c r="F448" t="str">
        <f t="shared" ca="1" si="6"/>
        <v>"2084242542" : "lớp Duzuiemu",</v>
      </c>
    </row>
    <row r="449" spans="1:6" ht="15.75" customHeight="1">
      <c r="A449" s="18">
        <v>2084050266</v>
      </c>
      <c r="B449" s="18" t="s">
        <v>10990</v>
      </c>
      <c r="C449" s="18" t="s">
        <v>10993</v>
      </c>
      <c r="D449" s="5" t="str">
        <f ca="1">IFERROR(__xludf.DUMMYFUNCTION("GOOGLETRANSLATE(B449,""ja"",""vi"")"),"Dunimu")</f>
        <v>Dunimu</v>
      </c>
      <c r="E449" s="5" t="str">
        <f ca="1">IFERROR(__xludf.DUMMYFUNCTION("GOOGLETRANSLATE(C449,""ja"",""vi"")"),"Đấu giá&gt; Thời trang&gt; By Nhãn hiệu&gt; và&gt; Dunimu")</f>
        <v>Đấu giá&gt; Thời trang&gt; By Nhãn hiệu&gt; và&gt; Dunimu</v>
      </c>
      <c r="F449" t="str">
        <f t="shared" ca="1" si="6"/>
        <v>"2084050266" : "Dunimu",</v>
      </c>
    </row>
    <row r="450" spans="1:6" ht="15.75" customHeight="1">
      <c r="A450" s="18">
        <v>2084054642</v>
      </c>
      <c r="B450" s="18" t="s">
        <v>10995</v>
      </c>
      <c r="C450" s="18" t="s">
        <v>10998</v>
      </c>
      <c r="D450" s="5" t="str">
        <f ca="1">IFERROR(__xludf.DUMMYFUNCTION("GOOGLETRANSLATE(B450,""ja"",""vi"")"),"Dufamiryi")</f>
        <v>Dufamiryi</v>
      </c>
      <c r="E450" s="5" t="str">
        <f ca="1">IFERROR(__xludf.DUMMYFUNCTION("GOOGLETRANSLATE(C450,""ja"",""vi"")"),"Đấu giá&gt; Thời trang&gt; By Nhãn hiệu&gt; và&gt; Dufamiryi")</f>
        <v>Đấu giá&gt; Thời trang&gt; By Nhãn hiệu&gt; và&gt; Dufamiryi</v>
      </c>
      <c r="F450" t="str">
        <f t="shared" ref="F450:F513" ca="1" si="7">CONCATENATE(CHAR(34)&amp;"",A450,""&amp;CHAR(34)," : ", CHAR(34)&amp;"",D450,""&amp;CHAR(34),",")</f>
        <v>"2084054642" : "Dufamiryi",</v>
      </c>
    </row>
    <row r="451" spans="1:6" ht="15.75" customHeight="1">
      <c r="A451" s="18">
        <v>2084238698</v>
      </c>
      <c r="B451" s="18" t="s">
        <v>11001</v>
      </c>
      <c r="C451" s="18" t="s">
        <v>11004</v>
      </c>
      <c r="D451" s="5" t="str">
        <f ca="1">IFERROR(__xludf.DUMMYFUNCTION("GOOGLETRANSLATE(B451,""ja"",""vi"")"),"DRAWER")</f>
        <v>DRAWER</v>
      </c>
      <c r="E451" s="5" t="str">
        <f ca="1">IFERROR(__xludf.DUMMYFUNCTION("GOOGLETRANSLATE(C451,""ja"",""vi"")"),"Đấu giá&gt; Thời trang&gt; By Nhãn hiệu&gt; và&gt; DRAWER")</f>
        <v>Đấu giá&gt; Thời trang&gt; By Nhãn hiệu&gt; và&gt; DRAWER</v>
      </c>
      <c r="F451" t="str">
        <f t="shared" ca="1" si="7"/>
        <v>"2084238698" : "DRAWER",</v>
      </c>
    </row>
    <row r="452" spans="1:6" ht="15.75" customHeight="1">
      <c r="A452" s="18">
        <v>2084056634</v>
      </c>
      <c r="B452" s="18" t="s">
        <v>11006</v>
      </c>
      <c r="C452" s="18" t="s">
        <v>11008</v>
      </c>
      <c r="D452" s="5" t="str">
        <f ca="1">IFERROR(__xludf.DUMMYFUNCTION("GOOGLETRANSLATE(B452,""ja"",""vi"")"),"doanh nghiệp Oriental")</f>
        <v>doanh nghiệp Oriental</v>
      </c>
      <c r="E452" s="5" t="str">
        <f ca="1">IFERROR(__xludf.DUMMYFUNCTION("GOOGLETRANSLATE(C452,""ja"",""vi"")"),"Đấu giá&gt; Thời trang&gt; By Nhãn hiệu&gt; và&gt; Doanh nghiệp châu Á")</f>
        <v>Đấu giá&gt; Thời trang&gt; By Nhãn hiệu&gt; và&gt; Doanh nghiệp châu Á</v>
      </c>
      <c r="F452" t="str">
        <f t="shared" ca="1" si="7"/>
        <v>"2084056634" : "doanh nghiệp Oriental",</v>
      </c>
    </row>
    <row r="453" spans="1:6" ht="15.75" customHeight="1">
      <c r="A453" s="18">
        <v>2084244378</v>
      </c>
      <c r="B453" s="18" t="s">
        <v>11011</v>
      </c>
      <c r="C453" s="18" t="s">
        <v>11012</v>
      </c>
      <c r="D453" s="5" t="str">
        <f ca="1">IFERROR(__xludf.DUMMYFUNCTION("GOOGLETRANSLATE(B453,""ja"",""vi"")"),"áo dài của la mã")</f>
        <v>áo dài của la mã</v>
      </c>
      <c r="E453" s="5" t="str">
        <f ca="1">IFERROR(__xludf.DUMMYFUNCTION("GOOGLETRANSLATE(C453,""ja"",""vi"")"),"Đấu giá&gt; Thời trang&gt; By Nhãn hiệu&gt; và&gt; toga")</f>
        <v>Đấu giá&gt; Thời trang&gt; By Nhãn hiệu&gt; và&gt; toga</v>
      </c>
      <c r="F453" t="str">
        <f t="shared" ca="1" si="7"/>
        <v>"2084244378" : "áo dài của la mã",</v>
      </c>
    </row>
    <row r="454" spans="1:6" ht="15.75" customHeight="1">
      <c r="A454" s="18">
        <v>2084007819</v>
      </c>
      <c r="B454" s="18" t="s">
        <v>11019</v>
      </c>
      <c r="C454" s="18" t="s">
        <v>11020</v>
      </c>
      <c r="D454" s="5" t="str">
        <f ca="1">IFERROR(__xludf.DUMMYFUNCTION("GOOGLETRANSLATE(B454,""ja"",""vi"")"),"Tiến sĩ Martin")</f>
        <v>Tiến sĩ Martin</v>
      </c>
      <c r="E454" s="5" t="str">
        <f ca="1">IFERROR(__xludf.DUMMYFUNCTION("GOOGLETRANSLATE(C454,""ja"",""vi"")"),"Đấu giá&gt; Thời trang&gt; By Nhãn hiệu&gt; và&gt; Tiến sĩ Martin")</f>
        <v>Đấu giá&gt; Thời trang&gt; By Nhãn hiệu&gt; và&gt; Tiến sĩ Martin</v>
      </c>
      <c r="F454" t="str">
        <f t="shared" ca="1" si="7"/>
        <v>"2084007819" : "Tiến sĩ Martin",</v>
      </c>
    </row>
    <row r="455" spans="1:6" ht="15.75" customHeight="1">
      <c r="A455" s="18">
        <v>2084255844</v>
      </c>
      <c r="B455" s="18" t="s">
        <v>11024</v>
      </c>
      <c r="C455" s="18" t="s">
        <v>11026</v>
      </c>
      <c r="D455" s="5" t="str">
        <f ca="1">IFERROR(__xludf.DUMMYFUNCTION("GOOGLETRANSLATE(B455,""ja"",""vi"")"),"Stocker")</f>
        <v>Stocker</v>
      </c>
      <c r="E455" s="5" t="str">
        <f ca="1">IFERROR(__xludf.DUMMYFUNCTION("GOOGLETRANSLATE(C455,""ja"",""vi"")"),"Đấu giá&gt; Thời trang&gt; By Nhãn hiệu&gt; và&gt; Đặc biệt")</f>
        <v>Đấu giá&gt; Thời trang&gt; By Nhãn hiệu&gt; và&gt; Đặc biệt</v>
      </c>
      <c r="F455" t="str">
        <f t="shared" ca="1" si="7"/>
        <v>"2084255844" : "Stocker",</v>
      </c>
    </row>
    <row r="456" spans="1:6" ht="15.75" customHeight="1">
      <c r="A456" s="18">
        <v>2084050268</v>
      </c>
      <c r="B456" s="18" t="s">
        <v>11029</v>
      </c>
      <c r="C456" s="18" t="s">
        <v>11031</v>
      </c>
      <c r="D456" s="5" t="str">
        <f ca="1">IFERROR(__xludf.DUMMYFUNCTION("GOOGLETRANSLATE(B456,""ja"",""vi"")"),"Tod của")</f>
        <v>Tod của</v>
      </c>
      <c r="E456" s="5" t="str">
        <f ca="1">IFERROR(__xludf.DUMMYFUNCTION("GOOGLETRANSLATE(C456,""ja"",""vi"")"),"Đấu giá&gt; Thời trang&gt; By Nhãn hiệu&gt; và&gt; của Tod")</f>
        <v>Đấu giá&gt; Thời trang&gt; By Nhãn hiệu&gt; và&gt; của Tod</v>
      </c>
      <c r="F456" t="str">
        <f t="shared" ca="1" si="7"/>
        <v>"2084050268" : "Tod của",</v>
      </c>
    </row>
    <row r="457" spans="1:6" ht="15.75" customHeight="1">
      <c r="A457" s="18">
        <v>2084244375</v>
      </c>
      <c r="B457" s="18" t="s">
        <v>11034</v>
      </c>
      <c r="C457" s="18" t="s">
        <v>11036</v>
      </c>
      <c r="D457" s="5" t="str">
        <f ca="1">IFERROR(__xludf.DUMMYFUNCTION("GOOGLETRANSLATE(B457,""ja"",""vi"")"),"Top Shop")</f>
        <v>Top Shop</v>
      </c>
      <c r="E457" s="5" t="str">
        <f ca="1">IFERROR(__xludf.DUMMYFUNCTION("GOOGLETRANSLATE(C457,""ja"",""vi"")"),"Đấu giá&gt; Thời trang&gt; By Nhãn hiệu&gt; và&gt; Top Shop")</f>
        <v>Đấu giá&gt; Thời trang&gt; By Nhãn hiệu&gt; và&gt; Top Shop</v>
      </c>
      <c r="F457" t="str">
        <f t="shared" ca="1" si="7"/>
        <v>"2084244375" : "Top Shop",</v>
      </c>
    </row>
    <row r="458" spans="1:6" ht="15.75" customHeight="1">
      <c r="A458" s="18">
        <v>2084007822</v>
      </c>
      <c r="B458" s="18" t="s">
        <v>11038</v>
      </c>
      <c r="C458" s="18" t="s">
        <v>11040</v>
      </c>
      <c r="D458" s="5" t="str">
        <f ca="1">IFERROR(__xludf.DUMMYFUNCTION("GOOGLETRANSLATE(B458,""ja"",""vi"")"),"Tony Lama")</f>
        <v>Tony Lama</v>
      </c>
      <c r="E458" s="5" t="str">
        <f ca="1">IFERROR(__xludf.DUMMYFUNCTION("GOOGLETRANSLATE(C458,""ja"",""vi"")"),"Đấu giá&gt; Thời trang&gt; By Nhãn hiệu&gt; và&gt; Tony Lama")</f>
        <v>Đấu giá&gt; Thời trang&gt; By Nhãn hiệu&gt; và&gt; Tony Lama</v>
      </c>
      <c r="F458" t="str">
        <f t="shared" ca="1" si="7"/>
        <v>"2084007822" : "Tony Lama",</v>
      </c>
    </row>
    <row r="459" spans="1:6" ht="15.75" customHeight="1">
      <c r="A459" s="18">
        <v>2084246118</v>
      </c>
      <c r="B459" s="18" t="s">
        <v>11043</v>
      </c>
      <c r="C459" s="18" t="s">
        <v>11045</v>
      </c>
      <c r="D459" s="5" t="str">
        <f ca="1">IFERROR(__xludf.DUMMYFUNCTION("GOOGLETRANSLATE(B459,""ja"",""vi"")"),"Tommy girl")</f>
        <v>Tommy girl</v>
      </c>
      <c r="E459" s="5" t="str">
        <f ca="1">IFERROR(__xludf.DUMMYFUNCTION("GOOGLETRANSLATE(C459,""ja"",""vi"")"),"Đấu giá&gt; Thời trang&gt; By Nhãn hiệu&gt; và&gt; Tommy Girl")</f>
        <v>Đấu giá&gt; Thời trang&gt; By Nhãn hiệu&gt; và&gt; Tommy Girl</v>
      </c>
      <c r="F459" t="str">
        <f t="shared" ca="1" si="7"/>
        <v>"2084246118" : "Tommy girl",</v>
      </c>
    </row>
    <row r="460" spans="1:6" ht="15.75" customHeight="1">
      <c r="A460" s="18">
        <v>2084050269</v>
      </c>
      <c r="B460" s="18" t="s">
        <v>11049</v>
      </c>
      <c r="C460" s="18" t="s">
        <v>11051</v>
      </c>
      <c r="D460" s="5" t="str">
        <f ca="1">IFERROR(__xludf.DUMMYFUNCTION("GOOGLETRANSLATE(B460,""ja"",""vi"")"),"Tommy Hilfiger")</f>
        <v>Tommy Hilfiger</v>
      </c>
      <c r="E460" s="5" t="str">
        <f ca="1">IFERROR(__xludf.DUMMYFUNCTION("GOOGLETRANSLATE(C460,""ja"",""vi"")"),"Đấu giá&gt; Thời trang&gt; By Nhãn hiệu&gt; và&gt; Tommy Hilfiger")</f>
        <v>Đấu giá&gt; Thời trang&gt; By Nhãn hiệu&gt; và&gt; Tommy Hilfiger</v>
      </c>
      <c r="F460" t="str">
        <f t="shared" ca="1" si="7"/>
        <v>"2084050269" : "Tommy Hilfiger",</v>
      </c>
    </row>
    <row r="461" spans="1:6" ht="15.75" customHeight="1">
      <c r="A461" s="18">
        <v>2084298388</v>
      </c>
      <c r="B461" s="18" t="s">
        <v>11057</v>
      </c>
      <c r="C461" s="18" t="s">
        <v>11059</v>
      </c>
      <c r="D461" s="5" t="str">
        <f ca="1">IFERROR(__xludf.DUMMYFUNCTION("GOOGLETRANSLATE(B461,""ja"",""vi"")"),"Tom Brown")</f>
        <v>Tom Brown</v>
      </c>
      <c r="E461" s="5" t="str">
        <f ca="1">IFERROR(__xludf.DUMMYFUNCTION("GOOGLETRANSLATE(C461,""ja"",""vi"")"),"Đấu giá&gt; Thời trang&gt; By Nhãn hiệu&gt; và&gt; Tom Brown")</f>
        <v>Đấu giá&gt; Thời trang&gt; By Nhãn hiệu&gt; và&gt; Tom Brown</v>
      </c>
      <c r="F461" t="str">
        <f t="shared" ca="1" si="7"/>
        <v>"2084298388" : "Tom Brown",</v>
      </c>
    </row>
    <row r="462" spans="1:6" ht="15.75" customHeight="1">
      <c r="A462" s="18">
        <v>2084298389</v>
      </c>
      <c r="B462" s="18" t="s">
        <v>11062</v>
      </c>
      <c r="C462" s="18" t="s">
        <v>11063</v>
      </c>
      <c r="D462" s="5" t="str">
        <f ca="1">IFERROR(__xludf.DUMMYFUNCTION("GOOGLETRANSLATE(B462,""ja"",""vi"")"),"Tom Ford")</f>
        <v>Tom Ford</v>
      </c>
      <c r="E462" s="5" t="str">
        <f ca="1">IFERROR(__xludf.DUMMYFUNCTION("GOOGLETRANSLATE(C462,""ja"",""vi"")"),"Đấu giá&gt; Thời trang&gt; By Nhãn hiệu&gt; và&gt; Tom Ford")</f>
        <v>Đấu giá&gt; Thời trang&gt; By Nhãn hiệu&gt; và&gt; Tom Ford</v>
      </c>
      <c r="F462" t="str">
        <f t="shared" ca="1" si="7"/>
        <v>"2084298389" : "Tom Ford",</v>
      </c>
    </row>
    <row r="463" spans="1:6" ht="15.75" customHeight="1">
      <c r="A463" s="18">
        <v>2084036154</v>
      </c>
      <c r="B463" s="18" t="s">
        <v>11066</v>
      </c>
      <c r="C463" s="18" t="s">
        <v>11069</v>
      </c>
      <c r="D463" s="5" t="str">
        <f ca="1">IFERROR(__xludf.DUMMYFUNCTION("GOOGLETRANSLATE(B463,""ja"",""vi"")"),"Trussardi")</f>
        <v>Trussardi</v>
      </c>
      <c r="E463" s="5" t="str">
        <f ca="1">IFERROR(__xludf.DUMMYFUNCTION("GOOGLETRANSLATE(C463,""ja"",""vi"")"),"Đấu giá&gt; Thời trang&gt; By Nhãn hiệu&gt; và&gt; Trussardi")</f>
        <v>Đấu giá&gt; Thời trang&gt; By Nhãn hiệu&gt; và&gt; Trussardi</v>
      </c>
      <c r="F463" t="str">
        <f t="shared" ca="1" si="7"/>
        <v>"2084036154" : "Trussardi",</v>
      </c>
    </row>
    <row r="464" spans="1:6" ht="15.75" customHeight="1">
      <c r="A464" s="18">
        <v>2084048718</v>
      </c>
      <c r="B464" s="18" t="s">
        <v>11072</v>
      </c>
      <c r="C464" s="18" t="s">
        <v>11074</v>
      </c>
      <c r="D464" s="5" t="str">
        <f ca="1">IFERROR(__xludf.DUMMYFUNCTION("GOOGLETRANSLATE(B464,""ja"",""vi"")"),"Transformer lục")</f>
        <v>Transformer lục</v>
      </c>
      <c r="E464" s="5" t="str">
        <f ca="1">IFERROR(__xludf.DUMMYFUNCTION("GOOGLETRANSLATE(C464,""ja"",""vi"")"),"Đấu giá&gt; Thời trang&gt; By Nhãn hiệu&gt; và&gt; biến áp lục")</f>
        <v>Đấu giá&gt; Thời trang&gt; By Nhãn hiệu&gt; và&gt; biến áp lục</v>
      </c>
      <c r="F464" t="str">
        <f t="shared" ca="1" si="7"/>
        <v>"2084048718" : "Transformer lục",</v>
      </c>
    </row>
    <row r="465" spans="1:6" ht="15.75" customHeight="1">
      <c r="A465" s="18">
        <v>2084243893</v>
      </c>
      <c r="B465" s="18" t="s">
        <v>11076</v>
      </c>
      <c r="C465" s="18" t="s">
        <v>11079</v>
      </c>
      <c r="D465" s="5" t="str">
        <f ca="1">IFERROR(__xludf.DUMMYFUNCTION("GOOGLETRANSLATE(B465,""ja"",""vi"")"),"Tory Burch")</f>
        <v>Tory Burch</v>
      </c>
      <c r="E465" s="5" t="str">
        <f ca="1">IFERROR(__xludf.DUMMYFUNCTION("GOOGLETRANSLATE(C465,""ja"",""vi"")"),"Đấu giá&gt; Thời trang&gt; By Nhãn hiệu&gt; và&gt; Tory Burch")</f>
        <v>Đấu giá&gt; Thời trang&gt; By Nhãn hiệu&gt; và&gt; Tory Burch</v>
      </c>
      <c r="F465" t="str">
        <f t="shared" ca="1" si="7"/>
        <v>"2084243893" : "Tory Burch",</v>
      </c>
    </row>
    <row r="466" spans="1:6" ht="15.75" customHeight="1">
      <c r="A466" s="18">
        <v>2084061921</v>
      </c>
      <c r="B466" s="18" t="s">
        <v>11082</v>
      </c>
      <c r="C466" s="18" t="s">
        <v>11084</v>
      </c>
      <c r="D466" s="5" t="str">
        <f ca="1">IFERROR(__xludf.DUMMYFUNCTION("GOOGLETRANSLATE(B466,""ja"",""vi"")"),"Trickers")</f>
        <v>Trickers</v>
      </c>
      <c r="E466" s="5" t="str">
        <f ca="1">IFERROR(__xludf.DUMMYFUNCTION("GOOGLETRANSLATE(C466,""ja"",""vi"")"),"Đấu giá&gt; Thời trang&gt; By Nhãn hiệu&gt; và&gt; Trickers")</f>
        <v>Đấu giá&gt; Thời trang&gt; By Nhãn hiệu&gt; và&gt; Trickers</v>
      </c>
      <c r="F466" t="str">
        <f t="shared" ca="1" si="7"/>
        <v>"2084061921" : "Trickers",</v>
      </c>
    </row>
    <row r="467" spans="1:6" ht="15.75" customHeight="1">
      <c r="A467" s="18">
        <v>2084050270</v>
      </c>
      <c r="B467" s="18" t="s">
        <v>11088</v>
      </c>
      <c r="C467" s="18" t="s">
        <v>11089</v>
      </c>
      <c r="D467" s="5" t="str">
        <f ca="1">IFERROR(__xludf.DUMMYFUNCTION("GOOGLETRANSLATE(B467,""ja"",""vi"")"),"Trippen")</f>
        <v>Trippen</v>
      </c>
      <c r="E467" s="5" t="str">
        <f ca="1">IFERROR(__xludf.DUMMYFUNCTION("GOOGLETRANSLATE(C467,""ja"",""vi"")"),"Đấu giá&gt; Thời trang&gt; By Nhãn hiệu&gt; và&gt; Trippen")</f>
        <v>Đấu giá&gt; Thời trang&gt; By Nhãn hiệu&gt; và&gt; Trippen</v>
      </c>
      <c r="F467" t="str">
        <f t="shared" ca="1" si="7"/>
        <v>"2084050270" : "Trippen",</v>
      </c>
    </row>
    <row r="468" spans="1:6" ht="15.75" customHeight="1">
      <c r="A468" s="18">
        <v>2084052995</v>
      </c>
      <c r="B468" s="18" t="s">
        <v>11094</v>
      </c>
      <c r="C468" s="18" t="s">
        <v>11095</v>
      </c>
      <c r="D468" s="5" t="str">
        <f ca="1">IFERROR(__xludf.DUMMYFUNCTION("GOOGLETRANSLATE(B468,""ja"",""vi"")"),"Tornado Mart")</f>
        <v>Tornado Mart</v>
      </c>
      <c r="E468" s="5" t="str">
        <f ca="1">IFERROR(__xludf.DUMMYFUNCTION("GOOGLETRANSLATE(C468,""ja"",""vi"")"),"Đấu giá&gt; Thời trang&gt; By Nhãn hiệu&gt; và&gt; Tornado Mart")</f>
        <v>Đấu giá&gt; Thời trang&gt; By Nhãn hiệu&gt; và&gt; Tornado Mart</v>
      </c>
      <c r="F468" t="str">
        <f t="shared" ca="1" si="7"/>
        <v>"2084052995" : "Tornado Mart",</v>
      </c>
    </row>
    <row r="469" spans="1:6" ht="15.75" customHeight="1">
      <c r="A469" s="18">
        <v>2084301250</v>
      </c>
      <c r="B469" s="18" t="s">
        <v>11100</v>
      </c>
      <c r="C469" s="18" t="s">
        <v>11101</v>
      </c>
      <c r="D469" s="5" t="str">
        <f ca="1">IFERROR(__xludf.DUMMYFUNCTION("GOOGLETRANSLATE(B469,""ja"",""vi"")"),"Cửa hàng kéo")</f>
        <v>Cửa hàng kéo</v>
      </c>
      <c r="E469" s="5" t="str">
        <f ca="1">IFERROR(__xludf.DUMMYFUNCTION("GOOGLETRANSLATE(C469,""ja"",""vi"")"),"Đấu giá&gt; Thời trang&gt; By Nhãn hiệu&gt; và&gt; Cửa hàng kéo")</f>
        <v>Đấu giá&gt; Thời trang&gt; By Nhãn hiệu&gt; và&gt; Cửa hàng kéo</v>
      </c>
      <c r="F469" t="str">
        <f t="shared" ca="1" si="7"/>
        <v>"2084301250" : "Cửa hàng kéo",</v>
      </c>
    </row>
    <row r="470" spans="1:6" ht="15.75" customHeight="1">
      <c r="A470" s="18">
        <v>2084048720</v>
      </c>
      <c r="B470" s="18" t="s">
        <v>11105</v>
      </c>
      <c r="C470" s="18" t="s">
        <v>11106</v>
      </c>
      <c r="D470" s="5" t="str">
        <f ca="1">IFERROR(__xludf.DUMMYFUNCTION("GOOGLETRANSLATE(B470,""ja"",""vi"")"),"Dries van Noten")</f>
        <v>Dries van Noten</v>
      </c>
      <c r="E470" s="5" t="str">
        <f ca="1">IFERROR(__xludf.DUMMYFUNCTION("GOOGLETRANSLATE(C470,""ja"",""vi"")"),"Đấu giá&gt; Thời trang&gt; By Nhãn hiệu&gt; và&gt; Dries van Noten")</f>
        <v>Đấu giá&gt; Thời trang&gt; By Nhãn hiệu&gt; và&gt; Dries van Noten</v>
      </c>
      <c r="F470" t="str">
        <f t="shared" ca="1" si="7"/>
        <v>"2084048720" : "Dries van Noten",</v>
      </c>
    </row>
    <row r="471" spans="1:6" ht="15.75" customHeight="1">
      <c r="A471" s="18">
        <v>2084048722</v>
      </c>
      <c r="B471" s="18" t="s">
        <v>11111</v>
      </c>
      <c r="C471" s="18" t="s">
        <v>11112</v>
      </c>
      <c r="D471" s="5" t="str">
        <f ca="1">IFERROR(__xludf.DUMMYFUNCTION("GOOGLETRANSLATE(B471,""ja"",""vi"")"),"Dolce &amp; Gabbana")</f>
        <v>Dolce &amp; Gabbana</v>
      </c>
      <c r="E471" s="5" t="str">
        <f ca="1">IFERROR(__xludf.DUMMYFUNCTION("GOOGLETRANSLATE(C471,""ja"",""vi"")"),"Đấu giá&gt; Thời trang&gt; By Nhãn hiệu&gt; và&gt; Dolce &amp; Gabbana")</f>
        <v>Đấu giá&gt; Thời trang&gt; By Nhãn hiệu&gt; và&gt; Dolce &amp; Gabbana</v>
      </c>
      <c r="F471" t="str">
        <f t="shared" ca="1" si="7"/>
        <v>"2084048722" : "Dolce &amp; Gabbana",</v>
      </c>
    </row>
    <row r="472" spans="1:6" ht="15.75" customHeight="1">
      <c r="A472" s="18">
        <v>2084200677</v>
      </c>
      <c r="B472" s="18" t="s">
        <v>11115</v>
      </c>
      <c r="C472" s="18" t="s">
        <v>11117</v>
      </c>
      <c r="D472" s="5" t="str">
        <f ca="1">IFERROR(__xludf.DUMMYFUNCTION("GOOGLETRANSLATE(B472,""ja"",""vi"")"),"váy trại")</f>
        <v>váy trại</v>
      </c>
      <c r="E472" s="5" t="str">
        <f ca="1">IFERROR(__xludf.DUMMYFUNCTION("GOOGLETRANSLATE(C472,""ja"",""vi"")"),"Đấu giá&gt; Thời trang&gt; By Nhãn hiệu&gt; và&gt; trại váy")</f>
        <v>Đấu giá&gt; Thời trang&gt; By Nhãn hiệu&gt; và&gt; trại váy</v>
      </c>
      <c r="F472" t="str">
        <f t="shared" ca="1" si="7"/>
        <v>"2084200677" : "váy trại",</v>
      </c>
    </row>
    <row r="473" spans="1:6" ht="15.75" customHeight="1">
      <c r="A473" s="18">
        <v>2084226823</v>
      </c>
      <c r="B473" s="18" t="s">
        <v>11120</v>
      </c>
      <c r="C473" s="18" t="s">
        <v>11122</v>
      </c>
      <c r="D473" s="5" t="str">
        <f ca="1">IFERROR(__xludf.DUMMYFUNCTION("GOOGLETRANSLATE(B473,""ja"",""vi"")"),"Doresuteria")</f>
        <v>Doresuteria</v>
      </c>
      <c r="E473" s="5" t="str">
        <f ca="1">IFERROR(__xludf.DUMMYFUNCTION("GOOGLETRANSLATE(C473,""ja"",""vi"")"),"Đấu giá&gt; Thời trang&gt; By Nhãn hiệu&gt; và&gt; Doresuteria")</f>
        <v>Đấu giá&gt; Thời trang&gt; By Nhãn hiệu&gt; và&gt; Doresuteria</v>
      </c>
      <c r="F473" t="str">
        <f t="shared" ca="1" si="7"/>
        <v>"2084226823" : "Doresuteria",</v>
      </c>
    </row>
    <row r="474" spans="1:6" ht="15.75" customHeight="1">
      <c r="A474" s="18">
        <v>2084286080</v>
      </c>
      <c r="B474" s="18" t="s">
        <v>46</v>
      </c>
      <c r="C474" s="18" t="s">
        <v>11125</v>
      </c>
      <c r="D474" s="5" t="str">
        <f ca="1">IFERROR(__xludf.DUMMYFUNCTION("GOOGLETRANSLATE(B474,""ja"",""vi"")"),"nếu không thì")</f>
        <v>nếu không thì</v>
      </c>
      <c r="E474" s="5" t="str">
        <f ca="1">IFERROR(__xludf.DUMMYFUNCTION("GOOGLETRANSLATE(C474,""ja"",""vi"")"),"Đấu giá&gt; Thời trang&gt; By Nhãn hiệu&gt; và&gt; Khác")</f>
        <v>Đấu giá&gt; Thời trang&gt; By Nhãn hiệu&gt; và&gt; Khác</v>
      </c>
      <c r="F474" t="str">
        <f t="shared" ca="1" si="7"/>
        <v>"2084286080" : "nếu không thì",</v>
      </c>
    </row>
    <row r="475" spans="1:6" ht="15.75" customHeight="1">
      <c r="A475" s="18">
        <v>2084283580</v>
      </c>
      <c r="B475" s="18" t="s">
        <v>11130</v>
      </c>
      <c r="C475" s="18" t="s">
        <v>11131</v>
      </c>
      <c r="D475" s="5" t="str">
        <f ca="1">IFERROR(__xludf.DUMMYFUNCTION("GOOGLETRANSLATE(B475,""ja"",""vi"")"),"CHÍN")</f>
        <v>CHÍN</v>
      </c>
      <c r="E475" s="5" t="str">
        <f ca="1">IFERROR(__xludf.DUMMYFUNCTION("GOOGLETRANSLATE(C475,""ja"",""vi"")"),"Đấu giá&gt; Thời trang&gt; By Nhãn hiệu&gt; của ~&gt; CHÍN")</f>
        <v>Đấu giá&gt; Thời trang&gt; By Nhãn hiệu&gt; của ~&gt; CHÍN</v>
      </c>
      <c r="F475" t="str">
        <f t="shared" ca="1" si="7"/>
        <v>"2084283580" : "CHÍN",</v>
      </c>
    </row>
    <row r="476" spans="1:6" ht="15.75" customHeight="1">
      <c r="A476" s="18">
        <v>2084229900</v>
      </c>
      <c r="B476" s="18" t="s">
        <v>11134</v>
      </c>
      <c r="C476" s="18" t="s">
        <v>11135</v>
      </c>
      <c r="D476" s="5" t="str">
        <f ca="1">IFERROR(__xludf.DUMMYFUNCTION("GOOGLETRANSLATE(B476,""ja"",""vi"")"),"n ° 44")</f>
        <v>n ° 44</v>
      </c>
      <c r="E476" s="5" t="str">
        <f ca="1">IFERROR(__xludf.DUMMYFUNCTION("GOOGLETRANSLATE(C476,""ja"",""vi"")"),"Đấu giá&gt; Thời trang&gt; By Nhãn hiệu&gt; của ~&gt; n ° 44")</f>
        <v>Đấu giá&gt; Thời trang&gt; By Nhãn hiệu&gt; của ~&gt; n ° 44</v>
      </c>
      <c r="F476" t="str">
        <f t="shared" ca="1" si="7"/>
        <v>"2084229900" : "n ° 44",</v>
      </c>
    </row>
    <row r="477" spans="1:6" ht="15.75" customHeight="1">
      <c r="A477" s="18">
        <v>2084259941</v>
      </c>
      <c r="B477" s="18" t="s">
        <v>11139</v>
      </c>
      <c r="C477" s="18" t="s">
        <v>11140</v>
      </c>
      <c r="D477" s="5" t="str">
        <f ca="1">IFERROR(__xludf.DUMMYFUNCTION("GOOGLETRANSLATE(B477,""ja"",""vi"")"),"Nako đánh dấu")</f>
        <v>Nako đánh dấu</v>
      </c>
      <c r="E477" s="5" t="str">
        <f ca="1">IFERROR(__xludf.DUMMYFUNCTION("GOOGLETRANSLATE(C477,""ja"",""vi"")"),"Đấu giá&gt; Thời trang&gt; By Nhãn hiệu&gt; của ~&gt; Nako đánh dấu")</f>
        <v>Đấu giá&gt; Thời trang&gt; By Nhãn hiệu&gt; của ~&gt; Nako đánh dấu</v>
      </c>
      <c r="F477" t="str">
        <f t="shared" ca="1" si="7"/>
        <v>"2084259941" : "Nako đánh dấu",</v>
      </c>
    </row>
    <row r="478" spans="1:6" ht="15.75" customHeight="1">
      <c r="A478" s="18">
        <v>2084048727</v>
      </c>
      <c r="B478" s="18" t="s">
        <v>11145</v>
      </c>
      <c r="C478" s="18" t="s">
        <v>11146</v>
      </c>
      <c r="D478" s="5" t="str">
        <f ca="1">IFERROR(__xludf.DUMMYFUNCTION("GOOGLETRANSLATE(B478,""ja"",""vi"")"),"Nike")</f>
        <v>Nike</v>
      </c>
      <c r="E478" s="5" t="str">
        <f ca="1">IFERROR(__xludf.DUMMYFUNCTION("GOOGLETRANSLATE(C478,""ja"",""vi"")"),"Đấu giá&gt; Thời trang&gt; By Nhãn hiệu&gt; của ~&gt; Nike")</f>
        <v>Đấu giá&gt; Thời trang&gt; By Nhãn hiệu&gt; của ~&gt; Nike</v>
      </c>
      <c r="F478" t="str">
        <f t="shared" ca="1" si="7"/>
        <v>"2084048727" : "Nike",</v>
      </c>
    </row>
    <row r="479" spans="1:6" ht="15.75" customHeight="1">
      <c r="A479" s="18">
        <v>2084048731</v>
      </c>
      <c r="B479" s="18" t="s">
        <v>11150</v>
      </c>
      <c r="C479" s="18" t="s">
        <v>11151</v>
      </c>
      <c r="D479" s="5" t="str">
        <f ca="1">IFERROR(__xludf.DUMMYFUNCTION("GOOGLETRANSLATE(B479,""ja"",""vi"")"),"phế liệu Nai")</f>
        <v>phế liệu Nai</v>
      </c>
      <c r="E479" s="5" t="str">
        <f ca="1">IFERROR(__xludf.DUMMYFUNCTION("GOOGLETRANSLATE(C479,""ja"",""vi"")"),"Đấu giá&gt; Thời trang&gt; By Nhãn hiệu&gt; của ~&gt; phế liệu Nai")</f>
        <v>Đấu giá&gt; Thời trang&gt; By Nhãn hiệu&gt; của ~&gt; phế liệu Nai</v>
      </c>
      <c r="F479" t="str">
        <f t="shared" ca="1" si="7"/>
        <v>"2084048731" : "phế liệu Nai",</v>
      </c>
    </row>
    <row r="480" spans="1:6" ht="15.75" customHeight="1">
      <c r="A480" s="18">
        <v>2084301207</v>
      </c>
      <c r="B480" s="18" t="s">
        <v>11154</v>
      </c>
      <c r="C480" s="18" t="s">
        <v>11156</v>
      </c>
      <c r="D480" s="5" t="str">
        <f ca="1">IFERROR(__xludf.DUMMYFUNCTION("GOOGLETRANSLATE(B480,""ja"",""vi"")"),"đêm Raid")</f>
        <v>đêm Raid</v>
      </c>
      <c r="E480" s="5" t="str">
        <f ca="1">IFERROR(__xludf.DUMMYFUNCTION("GOOGLETRANSLATE(C480,""ja"",""vi"")"),"Đấu giá&gt; Thời trang&gt; By Nhãn hiệu&gt; của ~&gt; Đêm Raid")</f>
        <v>Đấu giá&gt; Thời trang&gt; By Nhãn hiệu&gt; của ~&gt; Đêm Raid</v>
      </c>
      <c r="F480" t="str">
        <f t="shared" ca="1" si="7"/>
        <v>"2084301207" : "đêm Raid",</v>
      </c>
    </row>
    <row r="481" spans="1:6" ht="15.75" customHeight="1">
      <c r="A481" s="18">
        <v>2084255838</v>
      </c>
      <c r="B481" s="18" t="s">
        <v>11159</v>
      </c>
      <c r="C481" s="18" t="s">
        <v>11161</v>
      </c>
      <c r="D481" s="5" t="str">
        <f ca="1">IFERROR(__xludf.DUMMYFUNCTION("GOOGLETRANSLATE(B481,""ja"",""vi"")"),"Nine West")</f>
        <v>Nine West</v>
      </c>
      <c r="E481" s="5" t="str">
        <f ca="1">IFERROR(__xludf.DUMMYFUNCTION("GOOGLETRANSLATE(C481,""ja"",""vi"")"),"Đấu giá&gt; Thời trang&gt; By Nhãn hiệu&gt; của ~&gt; Nine West")</f>
        <v>Đấu giá&gt; Thời trang&gt; By Nhãn hiệu&gt; của ~&gt; Nine West</v>
      </c>
      <c r="F481" t="str">
        <f t="shared" ca="1" si="7"/>
        <v>"2084255838" : "Nine West",</v>
      </c>
    </row>
    <row r="482" spans="1:6" ht="15.75" customHeight="1">
      <c r="A482" s="18">
        <v>2084054765</v>
      </c>
      <c r="B482" s="18" t="s">
        <v>11165</v>
      </c>
      <c r="C482" s="18" t="s">
        <v>11166</v>
      </c>
      <c r="D482" s="5" t="str">
        <f ca="1">IFERROR(__xludf.DUMMYFUNCTION("GOOGLETRANSLATE(B482,""ja"",""vi"")"),"Tiêu chuẩn quốc gia")</f>
        <v>Tiêu chuẩn quốc gia</v>
      </c>
      <c r="E482" s="5" t="str">
        <f ca="1">IFERROR(__xludf.DUMMYFUNCTION("GOOGLETRANSLATE(C482,""ja"",""vi"")"),"Đấu giá&gt; Thời trang&gt; By Nhãn hiệu&gt; của ~&gt; Tiêu chuẩn quốc gia")</f>
        <v>Đấu giá&gt; Thời trang&gt; By Nhãn hiệu&gt; của ~&gt; Tiêu chuẩn quốc gia</v>
      </c>
      <c r="F482" t="str">
        <f t="shared" ca="1" si="7"/>
        <v>"2084054765" : "Tiêu chuẩn quốc gia",</v>
      </c>
    </row>
    <row r="483" spans="1:6" ht="15.75" customHeight="1">
      <c r="A483" s="18">
        <v>2084050271</v>
      </c>
      <c r="B483" s="18" t="s">
        <v>11172</v>
      </c>
      <c r="C483" s="18" t="s">
        <v>11174</v>
      </c>
      <c r="D483" s="5" t="str">
        <f ca="1">IFERROR(__xludf.DUMMYFUNCTION("GOOGLETRANSLATE(B483,""ja"",""vi"")"),"vẻ đẹp tự nhiên")</f>
        <v>vẻ đẹp tự nhiên</v>
      </c>
      <c r="E483" s="5" t="str">
        <f ca="1">IFERROR(__xludf.DUMMYFUNCTION("GOOGLETRANSLATE(C483,""ja"",""vi"")"),"Đấu giá&gt; Thời trang&gt; By Nhãn hiệu&gt; của -&gt; Cảnh đẹp thiên nhiên")</f>
        <v>Đấu giá&gt; Thời trang&gt; By Nhãn hiệu&gt; của -&gt; Cảnh đẹp thiên nhiên</v>
      </c>
      <c r="F483" t="str">
        <f t="shared" ca="1" si="7"/>
        <v>"2084050271" : "vẻ đẹp tự nhiên",</v>
      </c>
    </row>
    <row r="484" spans="1:6" ht="15.75" customHeight="1">
      <c r="A484" s="18">
        <v>2084259942</v>
      </c>
      <c r="B484" s="18" t="s">
        <v>11178</v>
      </c>
      <c r="C484" s="18" t="s">
        <v>11181</v>
      </c>
      <c r="D484" s="5" t="str">
        <f ca="1">IFERROR(__xludf.DUMMYFUNCTION("GOOGLETRANSLATE(B484,""ja"",""vi"")"),"NGUYÊN BEAUTY BASIC")</f>
        <v>NGUYÊN BEAUTY BASIC</v>
      </c>
      <c r="E484" s="5" t="str">
        <f ca="1">IFERROR(__xludf.DUMMYFUNCTION("GOOGLETRANSLATE(C484,""ja"",""vi"")"),"Đấu giá&gt; Thời trang&gt; By Nhãn hiệu&gt; của -&gt; Natural Beauty Basic")</f>
        <v>Đấu giá&gt; Thời trang&gt; By Nhãn hiệu&gt; của -&gt; Natural Beauty Basic</v>
      </c>
      <c r="F484" t="str">
        <f t="shared" ca="1" si="7"/>
        <v>"2084259942" : "NGUYÊN BEAUTY BASIC",</v>
      </c>
    </row>
    <row r="485" spans="1:6" ht="15.75" customHeight="1">
      <c r="A485" s="18">
        <v>2084259948</v>
      </c>
      <c r="B485" s="18" t="s">
        <v>11185</v>
      </c>
      <c r="C485" s="18" t="s">
        <v>11187</v>
      </c>
      <c r="D485" s="5" t="str">
        <f ca="1">IFERROR(__xludf.DUMMYFUNCTION("GOOGLETRANSLATE(B485,""ja"",""vi"")"),"Natural giặt")</f>
        <v>Natural giặt</v>
      </c>
      <c r="E485" s="5" t="str">
        <f ca="1">IFERROR(__xludf.DUMMYFUNCTION("GOOGLETRANSLATE(C485,""ja"",""vi"")"),"Đấu giá&gt; Thời trang&gt; By Nhãn hiệu&gt; của -&gt; Natural giặt")</f>
        <v>Đấu giá&gt; Thời trang&gt; By Nhãn hiệu&gt; của -&gt; Natural giặt</v>
      </c>
      <c r="F485" t="str">
        <f t="shared" ca="1" si="7"/>
        <v>"2084259948" : "Natural giặt",</v>
      </c>
    </row>
    <row r="486" spans="1:6" ht="15.75" customHeight="1">
      <c r="A486" s="18">
        <v>2084230003</v>
      </c>
      <c r="B486" s="18" t="s">
        <v>11189</v>
      </c>
      <c r="C486" s="18" t="s">
        <v>11193</v>
      </c>
      <c r="D486" s="5" t="str">
        <f ca="1">IFERROR(__xludf.DUMMYFUNCTION("GOOGLETRANSLATE(B486,""ja"",""vi"")"),"Nano Universe")</f>
        <v>Nano Universe</v>
      </c>
      <c r="E486" s="5" t="str">
        <f ca="1">IFERROR(__xludf.DUMMYFUNCTION("GOOGLETRANSLATE(C486,""ja"",""vi"")"),"Đấu giá&gt; Thời trang&gt; By Nhãn hiệu&gt; của ~&gt; Nano Universe")</f>
        <v>Đấu giá&gt; Thời trang&gt; By Nhãn hiệu&gt; của ~&gt; Nano Universe</v>
      </c>
      <c r="F486" t="str">
        <f t="shared" ca="1" si="7"/>
        <v>"2084230003" : "Nano Universe",</v>
      </c>
    </row>
    <row r="487" spans="1:6" ht="15.75" customHeight="1">
      <c r="A487" s="18">
        <v>2084050272</v>
      </c>
      <c r="B487" s="18" t="s">
        <v>11196</v>
      </c>
      <c r="C487" s="18" t="s">
        <v>11199</v>
      </c>
      <c r="D487" s="5" t="str">
        <f ca="1">IFERROR(__xludf.DUMMYFUNCTION("GOOGLETRANSLATE(B487,""ja"",""vi"")"),"Nara Kamiche")</f>
        <v>Nara Kamiche</v>
      </c>
      <c r="E487" s="5" t="str">
        <f ca="1">IFERROR(__xludf.DUMMYFUNCTION("GOOGLETRANSLATE(C487,""ja"",""vi"")"),"Đấu giá&gt; Thời trang&gt; By Nhãn hiệu&gt; của ~&gt; Nara Kamiche")</f>
        <v>Đấu giá&gt; Thời trang&gt; By Nhãn hiệu&gt; của ~&gt; Nara Kamiche</v>
      </c>
      <c r="F487" t="str">
        <f t="shared" ca="1" si="7"/>
        <v>"2084050272" : "Nara Kamiche",</v>
      </c>
    </row>
    <row r="488" spans="1:6" ht="15.75" customHeight="1">
      <c r="A488" s="18">
        <v>2084050273</v>
      </c>
      <c r="B488" s="18" t="s">
        <v>11203</v>
      </c>
      <c r="C488" s="18" t="s">
        <v>11204</v>
      </c>
      <c r="D488" s="5" t="str">
        <f ca="1">IFERROR(__xludf.DUMMYFUNCTION("GOOGLETRANSLATE(B488,""ja"",""vi"")"),"số Nine")</f>
        <v>số Nine</v>
      </c>
      <c r="E488" s="5" t="str">
        <f ca="1">IFERROR(__xludf.DUMMYFUNCTION("GOOGLETRANSLATE(C488,""ja"",""vi"")"),"Đấu giá&gt; Thời trang&gt; By Nhãn hiệu&gt; của ~&gt; Số Nine")</f>
        <v>Đấu giá&gt; Thời trang&gt; By Nhãn hiệu&gt; của ~&gt; Số Nine</v>
      </c>
      <c r="F488" t="str">
        <f t="shared" ca="1" si="7"/>
        <v>"2084050273" : "số Nine",</v>
      </c>
    </row>
    <row r="489" spans="1:6" ht="15.75" customHeight="1">
      <c r="A489" s="18">
        <v>2084036148</v>
      </c>
      <c r="B489" s="18" t="s">
        <v>11207</v>
      </c>
      <c r="C489" s="18" t="s">
        <v>11208</v>
      </c>
      <c r="D489" s="5" t="str">
        <f ca="1">IFERROR(__xludf.DUMMYFUNCTION("GOOGLETRANSLATE(B489,""ja"",""vi"")"),"23 phường")</f>
        <v>23 phường</v>
      </c>
      <c r="E489" s="5" t="str">
        <f ca="1">IFERROR(__xludf.DUMMYFUNCTION("GOOGLETRANSLATE(C489,""ja"",""vi"")"),"Đấu giá&gt; Thời trang&gt; By Nhãn hiệu&gt; của ~&gt; 23 phường")</f>
        <v>Đấu giá&gt; Thời trang&gt; By Nhãn hiệu&gt; của ~&gt; 23 phường</v>
      </c>
      <c r="F489" t="str">
        <f t="shared" ca="1" si="7"/>
        <v>"2084036148" : "23 phường",</v>
      </c>
    </row>
    <row r="490" spans="1:6" ht="15.75" customHeight="1">
      <c r="A490" s="18">
        <v>2084259949</v>
      </c>
      <c r="B490" s="18" t="s">
        <v>11213</v>
      </c>
      <c r="C490" s="18" t="s">
        <v>11214</v>
      </c>
      <c r="D490" s="5" t="str">
        <f ca="1">IFERROR(__xludf.DUMMYFUNCTION("GOOGLETRANSLATE(B490,""ja"",""vi"")"),"kim")</f>
        <v>kim</v>
      </c>
      <c r="E490" s="5" t="str">
        <f ca="1">IFERROR(__xludf.DUMMYFUNCTION("GOOGLETRANSLATE(C490,""ja"",""vi"")"),"Đấu giá&gt; Thời trang&gt; By Nhãn hiệu&gt; của ~&gt; Kim")</f>
        <v>Đấu giá&gt; Thời trang&gt; By Nhãn hiệu&gt; của ~&gt; Kim</v>
      </c>
      <c r="F490" t="str">
        <f t="shared" ca="1" si="7"/>
        <v>"2084259949" : "kim",</v>
      </c>
    </row>
    <row r="491" spans="1:6" ht="15.75" customHeight="1">
      <c r="A491" s="18">
        <v>2084050274</v>
      </c>
      <c r="B491" s="18" t="s">
        <v>11218</v>
      </c>
      <c r="C491" s="18" t="s">
        <v>11220</v>
      </c>
      <c r="D491" s="5" t="str">
        <f ca="1">IFERROR(__xludf.DUMMYFUNCTION("GOOGLETRANSLATE(B491,""ja"",""vi"")"),"Nimes")</f>
        <v>Nimes</v>
      </c>
      <c r="E491" s="5" t="str">
        <f ca="1">IFERROR(__xludf.DUMMYFUNCTION("GOOGLETRANSLATE(C491,""ja"",""vi"")"),"Đấu giá&gt; Thời trang&gt; By Nhãn hiệu&gt; của -&gt; Nimes")</f>
        <v>Đấu giá&gt; Thời trang&gt; By Nhãn hiệu&gt; của -&gt; Nimes</v>
      </c>
      <c r="F491" t="str">
        <f t="shared" ca="1" si="7"/>
        <v>"2084050274" : "Nimes",</v>
      </c>
    </row>
    <row r="492" spans="1:6" ht="15.75" customHeight="1">
      <c r="A492" s="18">
        <v>2084199135</v>
      </c>
      <c r="B492" s="18" t="s">
        <v>11225</v>
      </c>
      <c r="C492" s="18" t="s">
        <v>11226</v>
      </c>
      <c r="D492" s="5" t="str">
        <f ca="1">IFERROR(__xludf.DUMMYFUNCTION("GOOGLETRANSLATE(B492,""ja"",""vi"")"),"Neil Barrett")</f>
        <v>Neil Barrett</v>
      </c>
      <c r="E492" s="5" t="str">
        <f ca="1">IFERROR(__xludf.DUMMYFUNCTION("GOOGLETRANSLATE(C492,""ja"",""vi"")"),"Đấu giá&gt; Thời trang&gt; By Nhãn hiệu&gt; của ~&gt; Neil Barrett")</f>
        <v>Đấu giá&gt; Thời trang&gt; By Nhãn hiệu&gt; của ~&gt; Neil Barrett</v>
      </c>
      <c r="F492" t="str">
        <f t="shared" ca="1" si="7"/>
        <v>"2084199135" : "Neil Barrett",</v>
      </c>
    </row>
    <row r="493" spans="1:6" ht="15.75" customHeight="1">
      <c r="A493" s="18">
        <v>2084259950</v>
      </c>
      <c r="B493" s="18" t="s">
        <v>11231</v>
      </c>
      <c r="C493" s="18" t="s">
        <v>11232</v>
      </c>
      <c r="D493" s="5" t="str">
        <f ca="1">IFERROR(__xludf.DUMMYFUNCTION("GOOGLETRANSLATE(B493,""ja"",""vi"")"),"Nixon")</f>
        <v>Nixon</v>
      </c>
      <c r="E493" s="5" t="str">
        <f ca="1">IFERROR(__xludf.DUMMYFUNCTION("GOOGLETRANSLATE(C493,""ja"",""vi"")"),"Đấu giá&gt; Thời trang&gt; By Nhãn hiệu&gt; của ~&gt; Nixon")</f>
        <v>Đấu giá&gt; Thời trang&gt; By Nhãn hiệu&gt; của ~&gt; Nixon</v>
      </c>
      <c r="F493" t="str">
        <f t="shared" ca="1" si="7"/>
        <v>"2084259950" : "Nixon",</v>
      </c>
    </row>
    <row r="494" spans="1:6" ht="15.75" customHeight="1">
      <c r="A494" s="18">
        <v>2084054935</v>
      </c>
      <c r="B494" s="18" t="s">
        <v>11237</v>
      </c>
      <c r="C494" s="18" t="s">
        <v>11238</v>
      </c>
      <c r="D494" s="5" t="str">
        <f ca="1">IFERROR(__xludf.DUMMYFUNCTION("GOOGLETRANSLATE(B494,""ja"",""vi"")"),"Nicole")</f>
        <v>Nicole</v>
      </c>
      <c r="E494" s="5" t="str">
        <f ca="1">IFERROR(__xludf.DUMMYFUNCTION("GOOGLETRANSLATE(C494,""ja"",""vi"")"),"Đấu giá&gt; Thời trang&gt; By Nhãn hiệu&gt; của ~&gt; Nicole")</f>
        <v>Đấu giá&gt; Thời trang&gt; By Nhãn hiệu&gt; của ~&gt; Nicole</v>
      </c>
      <c r="F494" t="str">
        <f t="shared" ca="1" si="7"/>
        <v>"2084054935" : "Nicole",</v>
      </c>
    </row>
    <row r="495" spans="1:6" ht="15.75" customHeight="1">
      <c r="A495" s="18">
        <v>2084259951</v>
      </c>
      <c r="B495" s="18" t="s">
        <v>11241</v>
      </c>
      <c r="C495" s="18" t="s">
        <v>11243</v>
      </c>
      <c r="D495" s="5" t="str">
        <f ca="1">IFERROR(__xludf.DUMMYFUNCTION("GOOGLETRANSLATE(B495,""ja"",""vi"")"),"Nicole Miller")</f>
        <v>Nicole Miller</v>
      </c>
      <c r="E495" s="5" t="str">
        <f ca="1">IFERROR(__xludf.DUMMYFUNCTION("GOOGLETRANSLATE(C495,""ja"",""vi"")"),"Đấu giá&gt; Thời trang&gt; By Nhãn hiệu&gt; của ~&gt; Nicole Miller")</f>
        <v>Đấu giá&gt; Thời trang&gt; By Nhãn hiệu&gt; của ~&gt; Nicole Miller</v>
      </c>
      <c r="F495" t="str">
        <f t="shared" ca="1" si="7"/>
        <v>"2084259951" : "Nicole Miller",</v>
      </c>
    </row>
    <row r="496" spans="1:6" ht="15.75" customHeight="1">
      <c r="A496" s="18">
        <v>2084242554</v>
      </c>
      <c r="B496" s="18" t="s">
        <v>11247</v>
      </c>
      <c r="C496" s="18" t="s">
        <v>11249</v>
      </c>
      <c r="D496" s="5" t="str">
        <f ca="1">IFERROR(__xludf.DUMMYFUNCTION("GOOGLETRANSLATE(B496,""ja"",""vi"")"),"Nitoka")</f>
        <v>Nitoka</v>
      </c>
      <c r="E496" s="5" t="str">
        <f ca="1">IFERROR(__xludf.DUMMYFUNCTION("GOOGLETRANSLATE(C496,""ja"",""vi"")"),"Đấu giá&gt; Thời trang&gt; By Nhãn hiệu&gt; của ~&gt; Nitoka")</f>
        <v>Đấu giá&gt; Thời trang&gt; By Nhãn hiệu&gt; của ~&gt; Nitoka</v>
      </c>
      <c r="F496" t="str">
        <f t="shared" ca="1" si="7"/>
        <v>"2084242554" : "Nitoka",</v>
      </c>
    </row>
    <row r="497" spans="1:6" ht="15.75" customHeight="1">
      <c r="A497" s="18">
        <v>2084259952</v>
      </c>
      <c r="B497" s="18" t="s">
        <v>11252</v>
      </c>
      <c r="C497" s="18" t="s">
        <v>11254</v>
      </c>
      <c r="D497" s="5" t="str">
        <f ca="1">IFERROR(__xludf.DUMMYFUNCTION("GOOGLETRANSLATE(B497,""ja"",""vi"")"),"Nina Ricci")</f>
        <v>Nina Ricci</v>
      </c>
      <c r="E497" s="5" t="str">
        <f ca="1">IFERROR(__xludf.DUMMYFUNCTION("GOOGLETRANSLATE(C497,""ja"",""vi"")"),"Đấu giá&gt; Thời trang&gt; By Nhãn hiệu&gt; của ~&gt; Nina Ricci")</f>
        <v>Đấu giá&gt; Thời trang&gt; By Nhãn hiệu&gt; của ~&gt; Nina Ricci</v>
      </c>
      <c r="F497" t="str">
        <f t="shared" ca="1" si="7"/>
        <v>"2084259952" : "Nina Ricci",</v>
      </c>
    </row>
    <row r="498" spans="1:6" ht="15.75" customHeight="1">
      <c r="A498" s="18">
        <v>2084259955</v>
      </c>
      <c r="B498" s="18" t="s">
        <v>11259</v>
      </c>
      <c r="C498" s="18" t="s">
        <v>11260</v>
      </c>
      <c r="D498" s="5" t="str">
        <f ca="1">IFERROR(__xludf.DUMMYFUNCTION("GOOGLETRANSLATE(B498,""ja"",""vi"")"),"New Era")</f>
        <v>New Era</v>
      </c>
      <c r="E498" s="5" t="str">
        <f ca="1">IFERROR(__xludf.DUMMYFUNCTION("GOOGLETRANSLATE(C498,""ja"",""vi"")"),"Đấu giá&gt; Thời trang&gt; By Nhãn hiệu&gt; của -&gt; New Era")</f>
        <v>Đấu giá&gt; Thời trang&gt; By Nhãn hiệu&gt; của -&gt; New Era</v>
      </c>
      <c r="F498" t="str">
        <f t="shared" ca="1" si="7"/>
        <v>"2084259955" : "New Era",</v>
      </c>
    </row>
    <row r="499" spans="1:6" ht="15.75" customHeight="1">
      <c r="A499" s="18">
        <v>2084259956</v>
      </c>
      <c r="B499" s="18" t="s">
        <v>11266</v>
      </c>
      <c r="C499" s="18" t="s">
        <v>11267</v>
      </c>
      <c r="D499" s="5" t="str">
        <f ca="1">IFERROR(__xludf.DUMMYFUNCTION("GOOGLETRANSLATE(B499,""ja"",""vi"")"),"New Yorker")</f>
        <v>New Yorker</v>
      </c>
      <c r="E499" s="5" t="str">
        <f ca="1">IFERROR(__xludf.DUMMYFUNCTION("GOOGLETRANSLATE(C499,""ja"",""vi"")"),"Đấu giá&gt; Thời trang&gt; By Nhãn hiệu&gt; của -&gt; New Yorker")</f>
        <v>Đấu giá&gt; Thời trang&gt; By Nhãn hiệu&gt; của -&gt; New Yorker</v>
      </c>
      <c r="F499" t="str">
        <f t="shared" ca="1" si="7"/>
        <v>"2084259956" : "New Yorker",</v>
      </c>
    </row>
    <row r="500" spans="1:6" ht="15.75" customHeight="1">
      <c r="A500" s="18">
        <v>2084259959</v>
      </c>
      <c r="B500" s="18" t="s">
        <v>11271</v>
      </c>
      <c r="C500" s="18" t="s">
        <v>11273</v>
      </c>
      <c r="D500" s="5" t="str">
        <f ca="1">IFERROR(__xludf.DUMMYFUNCTION("GOOGLETRANSLATE(B500,""ja"",""vi"")"),"New York Hat")</f>
        <v>New York Hat</v>
      </c>
      <c r="E500" s="5" t="str">
        <f ca="1">IFERROR(__xludf.DUMMYFUNCTION("GOOGLETRANSLATE(C500,""ja"",""vi"")"),"Đấu giá&gt; Thời trang&gt; By Nhãn hiệu&gt; của -&gt; New York Hat")</f>
        <v>Đấu giá&gt; Thời trang&gt; By Nhãn hiệu&gt; của -&gt; New York Hat</v>
      </c>
      <c r="F500" t="str">
        <f t="shared" ca="1" si="7"/>
        <v>"2084259959" : "New York Hat",</v>
      </c>
    </row>
    <row r="501" spans="1:6" ht="15.75" customHeight="1">
      <c r="A501" s="18">
        <v>2084242847</v>
      </c>
      <c r="B501" s="18" t="s">
        <v>11276</v>
      </c>
      <c r="C501" s="18" t="s">
        <v>11278</v>
      </c>
      <c r="D501" s="5" t="str">
        <f ca="1">IFERROR(__xludf.DUMMYFUNCTION("GOOGLETRANSLATE(B501,""ja"",""vi"")"),"Nudijinzu")</f>
        <v>Nudijinzu</v>
      </c>
      <c r="E501" s="5" t="str">
        <f ca="1">IFERROR(__xludf.DUMMYFUNCTION("GOOGLETRANSLATE(C501,""ja"",""vi"")"),"Đấu giá&gt; Thời trang&gt; By Nhãn hiệu&gt; của ~&gt; Nudijinzu")</f>
        <v>Đấu giá&gt; Thời trang&gt; By Nhãn hiệu&gt; của ~&gt; Nudijinzu</v>
      </c>
      <c r="F501" t="str">
        <f t="shared" ca="1" si="7"/>
        <v>"2084242847" : "Nudijinzu",</v>
      </c>
    </row>
    <row r="502" spans="1:6" ht="15.75" customHeight="1">
      <c r="A502" s="18">
        <v>2084050275</v>
      </c>
      <c r="B502" s="18" t="s">
        <v>11281</v>
      </c>
      <c r="C502" s="18" t="s">
        <v>11282</v>
      </c>
      <c r="D502" s="5" t="str">
        <f ca="1">IFERROR(__xludf.DUMMYFUNCTION("GOOGLETRANSLATE(B502,""ja"",""vi"")"),"Vùng lân cận")</f>
        <v>Vùng lân cận</v>
      </c>
      <c r="E502" s="5" t="str">
        <f ca="1">IFERROR(__xludf.DUMMYFUNCTION("GOOGLETRANSLATE(C502,""ja"",""vi"")"),"Đấu giá&gt; Thời trang&gt; By Nhãn hiệu&gt; của -&gt; Vùng lân cận")</f>
        <v>Đấu giá&gt; Thời trang&gt; By Nhãn hiệu&gt; của -&gt; Vùng lân cận</v>
      </c>
      <c r="F502" t="str">
        <f t="shared" ca="1" si="7"/>
        <v>"2084050275" : "Vùng lân cận",</v>
      </c>
    </row>
    <row r="503" spans="1:6" ht="15.75" customHeight="1">
      <c r="A503" s="18">
        <v>2084259960</v>
      </c>
      <c r="B503" s="18" t="s">
        <v>11286</v>
      </c>
      <c r="C503" s="18" t="s">
        <v>11289</v>
      </c>
      <c r="D503" s="5" t="str">
        <f ca="1">IFERROR(__xludf.DUMMYFUNCTION("GOOGLETRANSLATE(B503,""ja"",""vi"")"),"kế tiếp")</f>
        <v>kế tiếp</v>
      </c>
      <c r="E503" s="5" t="str">
        <f ca="1">IFERROR(__xludf.DUMMYFUNCTION("GOOGLETRANSLATE(C503,""ja"",""vi"")"),"Đấu giá&gt; Thời trang&gt; By Nhãn hiệu&gt; của -&gt; tiếp theo")</f>
        <v>Đấu giá&gt; Thời trang&gt; By Nhãn hiệu&gt; của -&gt; tiếp theo</v>
      </c>
      <c r="F503" t="str">
        <f t="shared" ca="1" si="7"/>
        <v>"2084259960" : "kế tiếp",</v>
      </c>
    </row>
    <row r="504" spans="1:6" ht="15.75" customHeight="1">
      <c r="A504" s="18">
        <v>2084259961</v>
      </c>
      <c r="B504" s="18" t="s">
        <v>11291</v>
      </c>
      <c r="C504" s="18" t="s">
        <v>11293</v>
      </c>
      <c r="D504" s="5" t="str">
        <f ca="1">IFERROR(__xludf.DUMMYFUNCTION("GOOGLETRANSLATE(B504,""ja"",""vi"")"),"thương hiệu Nesta")</f>
        <v>thương hiệu Nesta</v>
      </c>
      <c r="E504" s="5" t="str">
        <f ca="1">IFERROR(__xludf.DUMMYFUNCTION("GOOGLETRANSLATE(C504,""ja"",""vi"")"),"Đấu giá&gt; Thời trang&gt; By Nhãn hiệu&gt; của thương hiệu ~&gt; Nesta")</f>
        <v>Đấu giá&gt; Thời trang&gt; By Nhãn hiệu&gt; của thương hiệu ~&gt; Nesta</v>
      </c>
      <c r="F504" t="str">
        <f t="shared" ca="1" si="7"/>
        <v>"2084259961" : "thương hiệu Nesta",</v>
      </c>
    </row>
    <row r="505" spans="1:6" ht="15.75" customHeight="1">
      <c r="A505" s="18">
        <v>2084259964</v>
      </c>
      <c r="B505" s="18" t="s">
        <v>11296</v>
      </c>
      <c r="C505" s="18" t="s">
        <v>11298</v>
      </c>
      <c r="D505" s="5" t="str">
        <f ca="1">IFERROR(__xludf.DUMMYFUNCTION("GOOGLETRANSLATE(B505,""ja"",""vi"")"),"Nenetto")</f>
        <v>Nenetto</v>
      </c>
      <c r="E505" s="5" t="str">
        <f ca="1">IFERROR(__xludf.DUMMYFUNCTION("GOOGLETRANSLATE(C505,""ja"",""vi"")"),"Đấu giá&gt; Thời trang&gt; By Nhãn hiệu&gt; của ~&gt; Nenetto")</f>
        <v>Đấu giá&gt; Thời trang&gt; By Nhãn hiệu&gt; của ~&gt; Nenetto</v>
      </c>
      <c r="F505" t="str">
        <f t="shared" ca="1" si="7"/>
        <v>"2084259964" : "Nenetto",</v>
      </c>
    </row>
    <row r="506" spans="1:6" ht="15.75" customHeight="1">
      <c r="A506" s="18">
        <v>2084259965</v>
      </c>
      <c r="B506" s="18" t="s">
        <v>11301</v>
      </c>
      <c r="C506" s="18" t="s">
        <v>11303</v>
      </c>
      <c r="D506" s="5" t="str">
        <f ca="1">IFERROR(__xludf.DUMMYFUNCTION("GOOGLETRANSLATE(B506,""ja"",""vi"")"),"Nepenthes")</f>
        <v>Nepenthes</v>
      </c>
      <c r="E506" s="5" t="str">
        <f ca="1">IFERROR(__xludf.DUMMYFUNCTION("GOOGLETRANSLATE(C506,""ja"",""vi"")"),"Đấu giá&gt; Thời trang&gt; By Nhãn hiệu&gt; của ~&gt; Nepenthes")</f>
        <v>Đấu giá&gt; Thời trang&gt; By Nhãn hiệu&gt; của ~&gt; Nepenthes</v>
      </c>
      <c r="F506" t="str">
        <f t="shared" ca="1" si="7"/>
        <v>"2084259965" : "Nepenthes",</v>
      </c>
    </row>
    <row r="507" spans="1:6" ht="15.75" customHeight="1">
      <c r="A507" s="18">
        <v>2084259966</v>
      </c>
      <c r="B507" s="18" t="s">
        <v>11306</v>
      </c>
      <c r="C507" s="18" t="s">
        <v>11307</v>
      </c>
      <c r="D507" s="5" t="str">
        <f ca="1">IFERROR(__xludf.DUMMYFUNCTION("GOOGLETRANSLATE(B507,""ja"",""vi"")"),"không IDC")</f>
        <v>không IDC</v>
      </c>
      <c r="E507" s="5" t="str">
        <f ca="1">IFERROR(__xludf.DUMMYFUNCTION("GOOGLETRANSLATE(C507,""ja"",""vi"")"),"Đấu giá&gt; Thời trang&gt; By Nhãn hiệu&gt; của ~&gt; Không IDC")</f>
        <v>Đấu giá&gt; Thời trang&gt; By Nhãn hiệu&gt; của ~&gt; Không IDC</v>
      </c>
      <c r="F507" t="str">
        <f t="shared" ca="1" si="7"/>
        <v>"2084259966" : "không IDC",</v>
      </c>
    </row>
    <row r="508" spans="1:6" ht="15.75" customHeight="1">
      <c r="A508" s="18">
        <v>2084057301</v>
      </c>
      <c r="B508" s="18" t="s">
        <v>11311</v>
      </c>
      <c r="C508" s="18" t="s">
        <v>11312</v>
      </c>
      <c r="D508" s="5" t="str">
        <f ca="1">IFERROR(__xludf.DUMMYFUNCTION("GOOGLETRANSLATE(B508,""ja"",""vi"")"),"North Face")</f>
        <v>North Face</v>
      </c>
      <c r="E508" s="5" t="str">
        <f ca="1">IFERROR(__xludf.DUMMYFUNCTION("GOOGLETRANSLATE(C508,""ja"",""vi"")"),"Đấu giá&gt; Thời trang&gt; By Nhãn hiệu&gt; của ~&gt; North Face")</f>
        <v>Đấu giá&gt; Thời trang&gt; By Nhãn hiệu&gt; của ~&gt; North Face</v>
      </c>
      <c r="F508" t="str">
        <f t="shared" ca="1" si="7"/>
        <v>"2084057301" : "North Face",</v>
      </c>
    </row>
    <row r="509" spans="1:6" ht="15.75" customHeight="1">
      <c r="A509" s="18">
        <v>2084259967</v>
      </c>
      <c r="B509" s="18" t="s">
        <v>11316</v>
      </c>
      <c r="C509" s="18" t="s">
        <v>11317</v>
      </c>
      <c r="D509" s="5" t="str">
        <f ca="1">IFERROR(__xludf.DUMMYFUNCTION("GOOGLETRANSLATE(B509,""ja"",""vi"")"),"Nautica")</f>
        <v>Nautica</v>
      </c>
      <c r="E509" s="5" t="str">
        <f ca="1">IFERROR(__xludf.DUMMYFUNCTION("GOOGLETRANSLATE(C509,""ja"",""vi"")"),"Đấu giá&gt; Thời trang&gt; By Nhãn hiệu&gt; của ~&gt; Nautica")</f>
        <v>Đấu giá&gt; Thời trang&gt; By Nhãn hiệu&gt; của ~&gt; Nautica</v>
      </c>
      <c r="F509" t="str">
        <f t="shared" ca="1" si="7"/>
        <v>"2084259967" : "Nautica",</v>
      </c>
    </row>
    <row r="510" spans="1:6" ht="15.75" customHeight="1">
      <c r="A510" s="18">
        <v>2084259970</v>
      </c>
      <c r="B510" s="18" t="s">
        <v>11320</v>
      </c>
      <c r="C510" s="18" t="s">
        <v>11322</v>
      </c>
      <c r="D510" s="5" t="str">
        <f ca="1">IFERROR(__xludf.DUMMYFUNCTION("GOOGLETRANSLATE(B510,""ja"",""vi"")"),"KHÔNG TÊN")</f>
        <v>KHÔNG TÊN</v>
      </c>
      <c r="E510" s="5" t="str">
        <f ca="1">IFERROR(__xludf.DUMMYFUNCTION("GOOGLETRANSLATE(C510,""ja"",""vi"")"),"Đấu giá&gt; Thời trang&gt; By Nhãn hiệu&gt; của ~&gt; Không Tên")</f>
        <v>Đấu giá&gt; Thời trang&gt; By Nhãn hiệu&gt; của ~&gt; Không Tên</v>
      </c>
      <c r="F510" t="str">
        <f t="shared" ca="1" si="7"/>
        <v>"2084259970" : "KHÔNG TÊN",</v>
      </c>
    </row>
    <row r="511" spans="1:6" ht="15.75" customHeight="1">
      <c r="A511" s="18">
        <v>2084054593</v>
      </c>
      <c r="B511" s="18" t="s">
        <v>11325</v>
      </c>
      <c r="C511" s="18" t="s">
        <v>11327</v>
      </c>
      <c r="D511" s="5" t="str">
        <f ca="1">IFERROR(__xludf.DUMMYFUNCTION("GOOGLETRANSLATE(B511,""ja"",""vi"")"),"Nobesupajio")</f>
        <v>Nobesupajio</v>
      </c>
      <c r="E511" s="5" t="str">
        <f ca="1">IFERROR(__xludf.DUMMYFUNCTION("GOOGLETRANSLATE(C511,""ja"",""vi"")"),"Đấu giá&gt; Thời trang&gt; By Nhãn hiệu&gt; của ~&gt; Nobesupajio")</f>
        <v>Đấu giá&gt; Thời trang&gt; By Nhãn hiệu&gt; của ~&gt; Nobesupajio</v>
      </c>
      <c r="F511" t="str">
        <f t="shared" ca="1" si="7"/>
        <v>"2084054593" : "Nobesupajio",</v>
      </c>
    </row>
    <row r="512" spans="1:6" ht="15.75" customHeight="1">
      <c r="A512" s="18">
        <v>2084238801</v>
      </c>
      <c r="B512" s="18" t="s">
        <v>11329</v>
      </c>
      <c r="C512" s="18" t="s">
        <v>11331</v>
      </c>
      <c r="D512" s="5" t="str">
        <f ca="1">IFERROR(__xludf.DUMMYFUNCTION("GOOGLETRANSLATE(B512,""ja"",""vi"")"),"Norizu")</f>
        <v>Norizu</v>
      </c>
      <c r="E512" s="5" t="str">
        <f ca="1">IFERROR(__xludf.DUMMYFUNCTION("GOOGLETRANSLATE(C512,""ja"",""vi"")"),"Đấu giá&gt; Thời trang&gt; By Nhãn hiệu&gt; của ~&gt; Norizu")</f>
        <v>Đấu giá&gt; Thời trang&gt; By Nhãn hiệu&gt; của ~&gt; Norizu</v>
      </c>
      <c r="F512" t="str">
        <f t="shared" ca="1" si="7"/>
        <v>"2084238801" : "Norizu",</v>
      </c>
    </row>
    <row r="513" spans="1:6" ht="15.75" customHeight="1">
      <c r="A513" s="18">
        <v>2084259971</v>
      </c>
      <c r="B513" s="18" t="s">
        <v>11334</v>
      </c>
      <c r="C513" s="18" t="s">
        <v>11337</v>
      </c>
      <c r="D513" s="5" t="str">
        <f ca="1">IFERROR(__xludf.DUMMYFUNCTION("GOOGLETRANSLATE(B513,""ja"",""vi"")"),"Nozomi Ishiguro")</f>
        <v>Nozomi Ishiguro</v>
      </c>
      <c r="E513" s="5" t="str">
        <f ca="1">IFERROR(__xludf.DUMMYFUNCTION("GOOGLETRANSLATE(C513,""ja"",""vi"")"),"Đấu giá&gt; Thời trang&gt; By Nhãn hiệu&gt; của ~&gt; Nozomi Ishiguro")</f>
        <v>Đấu giá&gt; Thời trang&gt; By Nhãn hiệu&gt; của ~&gt; Nozomi Ishiguro</v>
      </c>
      <c r="F513" t="str">
        <f t="shared" ca="1" si="7"/>
        <v>"2084259971" : "Nozomi Ishiguro",</v>
      </c>
    </row>
    <row r="514" spans="1:6" ht="15.75" customHeight="1">
      <c r="A514" s="18">
        <v>2084259974</v>
      </c>
      <c r="B514" s="18" t="s">
        <v>11340</v>
      </c>
      <c r="C514" s="18" t="s">
        <v>11341</v>
      </c>
      <c r="D514" s="5" t="str">
        <f ca="1">IFERROR(__xludf.DUMMYFUNCTION("GOOGLETRANSLATE(B514,""ja"",""vi"")"),"thông báo")</f>
        <v>thông báo</v>
      </c>
      <c r="E514" s="5" t="str">
        <f ca="1">IFERROR(__xludf.DUMMYFUNCTION("GOOGLETRANSLATE(C514,""ja"",""vi"")"),"Đấu giá&gt; Thời trang&gt; By Nhãn hiệu&gt; của ~&gt; thông báo")</f>
        <v>Đấu giá&gt; Thời trang&gt; By Nhãn hiệu&gt; của ~&gt; thông báo</v>
      </c>
      <c r="F514" t="str">
        <f t="shared" ref="F514:F577" ca="1" si="8">CONCATENATE(CHAR(34)&amp;"",A514,""&amp;CHAR(34)," : ", CHAR(34)&amp;"",D514,""&amp;CHAR(34),",")</f>
        <v>"2084259974" : "thông báo",</v>
      </c>
    </row>
    <row r="515" spans="1:6" ht="15.75" customHeight="1">
      <c r="A515" s="18">
        <v>2084255898</v>
      </c>
      <c r="B515" s="18" t="s">
        <v>11343</v>
      </c>
      <c r="C515" s="18" t="s">
        <v>11344</v>
      </c>
      <c r="D515" s="5" t="str">
        <f ca="1">IFERROR(__xludf.DUMMYFUNCTION("GOOGLETRANSLATE(B515,""ja"",""vi"")"),"Không bản địa")</f>
        <v>Không bản địa</v>
      </c>
      <c r="E515" s="5" t="str">
        <f ca="1">IFERROR(__xludf.DUMMYFUNCTION("GOOGLETRANSLATE(C515,""ja"",""vi"")"),"Đấu giá&gt; Thời trang&gt; By Nhãn hiệu&gt; của -&gt; không có nguồn gốc")</f>
        <v>Đấu giá&gt; Thời trang&gt; By Nhãn hiệu&gt; của -&gt; không có nguồn gốc</v>
      </c>
      <c r="F515" t="str">
        <f t="shared" ca="1" si="8"/>
        <v>"2084255898" : "Không bản địa",</v>
      </c>
    </row>
    <row r="516" spans="1:6" ht="15.75" customHeight="1">
      <c r="A516" s="18">
        <v>2084286095</v>
      </c>
      <c r="B516" s="18" t="s">
        <v>46</v>
      </c>
      <c r="C516" s="18" t="s">
        <v>11348</v>
      </c>
      <c r="D516" s="5" t="str">
        <f ca="1">IFERROR(__xludf.DUMMYFUNCTION("GOOGLETRANSLATE(B516,""ja"",""vi"")"),"nếu không thì")</f>
        <v>nếu không thì</v>
      </c>
      <c r="E516" s="5" t="str">
        <f ca="1">IFERROR(__xludf.DUMMYFUNCTION("GOOGLETRANSLATE(C516,""ja"",""vi"")"),"Đấu giá&gt; Thời trang&gt; By Nhãn hiệu&gt; của -&gt; Khác")</f>
        <v>Đấu giá&gt; Thời trang&gt; By Nhãn hiệu&gt; của -&gt; Khác</v>
      </c>
      <c r="F516" t="str">
        <f t="shared" ca="1" si="8"/>
        <v>"2084286095" : "nếu không thì",</v>
      </c>
    </row>
    <row r="517" spans="1:6" ht="15.75" customHeight="1">
      <c r="A517" s="18">
        <v>2084302946</v>
      </c>
      <c r="B517" s="18" t="s">
        <v>11352</v>
      </c>
      <c r="C517" s="18" t="s">
        <v>11353</v>
      </c>
      <c r="D517" s="5" t="str">
        <f ca="1">IFERROR(__xludf.DUMMYFUNCTION("GOOGLETRANSLATE(B517,""ja"",""vi"")"),"Hydrogensulfate")</f>
        <v>Hydrogensulfate</v>
      </c>
      <c r="E517" s="5" t="str">
        <f ca="1">IFERROR(__xludf.DUMMYFUNCTION("GOOGLETRANSLATE(C517,""ja"",""vi"")"),"Đấu giá&gt; Thời trang&gt; By Nhãn hiệu&gt; là&gt; hydrogensulfate")</f>
        <v>Đấu giá&gt; Thời trang&gt; By Nhãn hiệu&gt; là&gt; hydrogensulfate</v>
      </c>
      <c r="F517" t="str">
        <f t="shared" ca="1" si="8"/>
        <v>"2084302946" : "Hydrogensulfate",</v>
      </c>
    </row>
    <row r="518" spans="1:6" ht="15.75" customHeight="1">
      <c r="A518" s="18">
        <v>2084230542</v>
      </c>
      <c r="B518" s="18" t="s">
        <v>11356</v>
      </c>
      <c r="C518" s="18" t="s">
        <v>11358</v>
      </c>
      <c r="D518" s="5" t="str">
        <f ca="1">IFERROR(__xludf.DUMMYFUNCTION("GOOGLETRANSLATE(B518,""ja"",""vi"")"),"Bounty Hunter")</f>
        <v>Bounty Hunter</v>
      </c>
      <c r="E518" s="5" t="str">
        <f ca="1">IFERROR(__xludf.DUMMYFUNCTION("GOOGLETRANSLATE(C518,""ja"",""vi"")"),"Đấu giá&gt; Thời trang&gt; By Nhãn hiệu&gt; là&gt; Bounty Hunter")</f>
        <v>Đấu giá&gt; Thời trang&gt; By Nhãn hiệu&gt; là&gt; Bounty Hunter</v>
      </c>
      <c r="F518" t="str">
        <f t="shared" ca="1" si="8"/>
        <v>"2084230542" : "Bounty Hunter",</v>
      </c>
    </row>
    <row r="519" spans="1:6" ht="15.75" customHeight="1">
      <c r="A519" s="18">
        <v>2084261447</v>
      </c>
      <c r="B519" s="18" t="s">
        <v>11360</v>
      </c>
      <c r="C519" s="18" t="s">
        <v>11362</v>
      </c>
      <c r="D519" s="5" t="str">
        <f ca="1">IFERROR(__xludf.DUMMYFUNCTION("GOOGLETRANSLATE(B519,""ja"",""vi"")"),"Paola Furani")</f>
        <v>Paola Furani</v>
      </c>
      <c r="E519" s="5" t="str">
        <f ca="1">IFERROR(__xludf.DUMMYFUNCTION("GOOGLETRANSLATE(C519,""ja"",""vi"")"),"Đấu giá&gt; Thời trang&gt; By Nhãn hiệu&gt; là&gt; Paola Furani")</f>
        <v>Đấu giá&gt; Thời trang&gt; By Nhãn hiệu&gt; là&gt; Paola Furani</v>
      </c>
      <c r="F519" t="str">
        <f t="shared" ca="1" si="8"/>
        <v>"2084261447" : "Paola Furani",</v>
      </c>
    </row>
    <row r="520" spans="1:6" ht="15.75" customHeight="1">
      <c r="A520" s="18">
        <v>2084054693</v>
      </c>
      <c r="B520" s="18" t="s">
        <v>11365</v>
      </c>
      <c r="C520" s="18" t="s">
        <v>11366</v>
      </c>
      <c r="D520" s="5" t="str">
        <f ca="1">IFERROR(__xludf.DUMMYFUNCTION("GOOGLETRANSLATE(B520,""ja"",""vi"")"),"Haguowa")</f>
        <v>Haguowa</v>
      </c>
      <c r="E520" s="5" t="str">
        <f ca="1">IFERROR(__xludf.DUMMYFUNCTION("GOOGLETRANSLATE(C520,""ja"",""vi"")"),"Đấu giá&gt; Thời trang&gt; By Nhãn hiệu&gt; là&gt; Haguowa")</f>
        <v>Đấu giá&gt; Thời trang&gt; By Nhãn hiệu&gt; là&gt; Haguowa</v>
      </c>
      <c r="F520" t="str">
        <f t="shared" ca="1" si="8"/>
        <v>"2084054693" : "Haguowa",</v>
      </c>
    </row>
    <row r="521" spans="1:6" ht="15.75" customHeight="1">
      <c r="A521" s="18">
        <v>2084048617</v>
      </c>
      <c r="B521" s="18" t="s">
        <v>11370</v>
      </c>
      <c r="C521" s="18" t="s">
        <v>11371</v>
      </c>
      <c r="D521" s="5" t="str">
        <f ca="1">IFERROR(__xludf.DUMMYFUNCTION("GOOGLETRANSLATE(B521,""ja"",""vi"")"),"Parsons")</f>
        <v>Parsons</v>
      </c>
      <c r="E521" s="5" t="str">
        <f ca="1">IFERROR(__xludf.DUMMYFUNCTION("GOOGLETRANSLATE(C521,""ja"",""vi"")"),"Đấu giá&gt; Thời trang&gt; By Nhãn hiệu&gt; Các&gt; Parsons")</f>
        <v>Đấu giá&gt; Thời trang&gt; By Nhãn hiệu&gt; Các&gt; Parsons</v>
      </c>
      <c r="F521" t="str">
        <f t="shared" ca="1" si="8"/>
        <v>"2084048617" : "Parsons",</v>
      </c>
    </row>
    <row r="522" spans="1:6" ht="15.75" customHeight="1">
      <c r="A522" s="18">
        <v>2084215826</v>
      </c>
      <c r="B522" s="18" t="s">
        <v>11373</v>
      </c>
      <c r="C522" s="18" t="s">
        <v>11374</v>
      </c>
      <c r="D522" s="5" t="str">
        <f ca="1">IFERROR(__xludf.DUMMYFUNCTION("GOOGLETRANSLATE(B522,""ja"",""vi"")"),"Hardy Amis")</f>
        <v>Hardy Amis</v>
      </c>
      <c r="E522" s="5" t="str">
        <f ca="1">IFERROR(__xludf.DUMMYFUNCTION("GOOGLETRANSLATE(C522,""ja"",""vi"")"),"Đấu giá&gt; Thời trang&gt; By Nhãn hiệu&gt; là&gt; Hardy Amis")</f>
        <v>Đấu giá&gt; Thời trang&gt; By Nhãn hiệu&gt; là&gt; Hardy Amis</v>
      </c>
      <c r="F522" t="str">
        <f t="shared" ca="1" si="8"/>
        <v>"2084215826" : "Hardy Amis",</v>
      </c>
    </row>
    <row r="523" spans="1:6" ht="15.75" customHeight="1">
      <c r="A523" s="18">
        <v>2084283760</v>
      </c>
      <c r="B523" s="18" t="s">
        <v>11377</v>
      </c>
      <c r="C523" s="18" t="s">
        <v>11379</v>
      </c>
      <c r="D523" s="5" t="str">
        <f ca="1">IFERROR(__xludf.DUMMYFUNCTION("GOOGLETRANSLATE(B523,""ja"",""vi"")"),"tro băm")</f>
        <v>tro băm</v>
      </c>
      <c r="E523" s="5" t="str">
        <f ca="1">IFERROR(__xludf.DUMMYFUNCTION("GOOGLETRANSLATE(C523,""ja"",""vi"")"),"Đấu giá&gt; Thời trang&gt; By Nhãn hiệu&gt; là&gt; băm Ash")</f>
        <v>Đấu giá&gt; Thời trang&gt; By Nhãn hiệu&gt; là&gt; băm Ash</v>
      </c>
      <c r="F523" t="str">
        <f t="shared" ca="1" si="8"/>
        <v>"2084283760" : "tro băm",</v>
      </c>
    </row>
    <row r="524" spans="1:6" ht="15.75" customHeight="1">
      <c r="A524" s="18">
        <v>2084259143</v>
      </c>
      <c r="B524" s="18" t="s">
        <v>11383</v>
      </c>
      <c r="C524" s="18" t="s">
        <v>11385</v>
      </c>
      <c r="D524" s="5" t="str">
        <f ca="1">IFERROR(__xludf.DUMMYFUNCTION("GOOGLETRANSLATE(B524,""ja"",""vi"")"),"xương sống")</f>
        <v>xương sống</v>
      </c>
      <c r="E524" s="5" t="str">
        <f ca="1">IFERROR(__xludf.DUMMYFUNCTION("GOOGLETRANSLATE(C524,""ja"",""vi"")"),"Đấu giá&gt; Thời trang&gt; By Nhãn hiệu&gt; là&gt; xương sống")</f>
        <v>Đấu giá&gt; Thời trang&gt; By Nhãn hiệu&gt; là&gt; xương sống</v>
      </c>
      <c r="F524" t="str">
        <f t="shared" ca="1" si="8"/>
        <v>"2084259143" : "xương sống",</v>
      </c>
    </row>
    <row r="525" spans="1:6" ht="15.75" customHeight="1">
      <c r="A525" s="18">
        <v>2084301238</v>
      </c>
      <c r="B525" s="18" t="s">
        <v>11390</v>
      </c>
      <c r="C525" s="18" t="s">
        <v>11392</v>
      </c>
      <c r="D525" s="5" t="str">
        <f ca="1">IFERROR(__xludf.DUMMYFUNCTION("GOOGLETRANSLATE(B525,""ja"",""vi"")"),"trừng trị")</f>
        <v>trừng trị</v>
      </c>
      <c r="E525" s="5" t="str">
        <f ca="1">IFERROR(__xludf.DUMMYFUNCTION("GOOGLETRANSLATE(C525,""ja"",""vi"")"),"Đấu giá&gt; Thời trang&gt; By Nhãn hiệu&gt; là&gt; trừng phạt")</f>
        <v>Đấu giá&gt; Thời trang&gt; By Nhãn hiệu&gt; là&gt; trừng phạt</v>
      </c>
      <c r="F525" t="str">
        <f t="shared" ca="1" si="8"/>
        <v>"2084301238" : "trừng trị",</v>
      </c>
    </row>
    <row r="526" spans="1:6" ht="15.75" customHeight="1">
      <c r="A526" s="18">
        <v>2084057278</v>
      </c>
      <c r="B526" s="18" t="s">
        <v>11396</v>
      </c>
      <c r="C526" s="18" t="s">
        <v>11398</v>
      </c>
      <c r="D526" s="5" t="str">
        <f ca="1">IFERROR(__xludf.DUMMYFUNCTION("GOOGLETRANSLATE(B526,""ja"",""vi"")"),"Patagonia")</f>
        <v>Patagonia</v>
      </c>
      <c r="E526" s="5" t="str">
        <f ca="1">IFERROR(__xludf.DUMMYFUNCTION("GOOGLETRANSLATE(C526,""ja"",""vi"")"),"Đấu giá&gt; Thời trang&gt; By Nhãn hiệu&gt; là&gt; Patagonia")</f>
        <v>Đấu giá&gt; Thời trang&gt; By Nhãn hiệu&gt; là&gt; Patagonia</v>
      </c>
      <c r="F526" t="str">
        <f t="shared" ca="1" si="8"/>
        <v>"2084057278" : "Patagonia",</v>
      </c>
    </row>
    <row r="527" spans="1:6" ht="15.75" customHeight="1">
      <c r="A527" s="18">
        <v>2084050278</v>
      </c>
      <c r="B527" s="18" t="s">
        <v>11402</v>
      </c>
      <c r="C527" s="18" t="s">
        <v>11404</v>
      </c>
      <c r="D527" s="5" t="str">
        <f ca="1">IFERROR(__xludf.DUMMYFUNCTION("GOOGLETRANSLATE(B527,""ja"",""vi"")"),"Patrick Cox")</f>
        <v>Patrick Cox</v>
      </c>
      <c r="E527" s="5" t="str">
        <f ca="1">IFERROR(__xludf.DUMMYFUNCTION("GOOGLETRANSLATE(C527,""ja"",""vi"")"),"Đấu giá&gt; Thời trang&gt; By Nhãn hiệu&gt; là&gt; Patrick Cox")</f>
        <v>Đấu giá&gt; Thời trang&gt; By Nhãn hiệu&gt; là&gt; Patrick Cox</v>
      </c>
      <c r="F527" t="str">
        <f t="shared" ca="1" si="8"/>
        <v>"2084050278" : "Patrick Cox",</v>
      </c>
    </row>
    <row r="528" spans="1:6" ht="15.75" customHeight="1">
      <c r="A528" s="18">
        <v>2084283773</v>
      </c>
      <c r="B528" s="18" t="s">
        <v>11406</v>
      </c>
      <c r="C528" s="18" t="s">
        <v>11409</v>
      </c>
      <c r="D528" s="5" t="str">
        <f ca="1">IFERROR(__xludf.DUMMYFUNCTION("GOOGLETRANSLATE(B528,""ja"",""vi"")"),"Pas-de-Calais")</f>
        <v>Pas-de-Calais</v>
      </c>
      <c r="E528" s="5" t="str">
        <f ca="1">IFERROR(__xludf.DUMMYFUNCTION("GOOGLETRANSLATE(C528,""ja"",""vi"")"),"Đấu giá&gt; Thời trang&gt; By Nhãn hiệu&gt; là&gt; Pas-de-Calais")</f>
        <v>Đấu giá&gt; Thời trang&gt; By Nhãn hiệu&gt; là&gt; Pas-de-Calais</v>
      </c>
      <c r="F528" t="str">
        <f t="shared" ca="1" si="8"/>
        <v>"2084283773" : "Pas-de-Calais",</v>
      </c>
    </row>
    <row r="529" spans="1:6" ht="15.75" customHeight="1">
      <c r="A529" s="18">
        <v>2084050276</v>
      </c>
      <c r="B529" s="18" t="s">
        <v>11410</v>
      </c>
      <c r="C529" s="18" t="s">
        <v>11411</v>
      </c>
      <c r="D529" s="5" t="str">
        <f ca="1">IFERROR(__xludf.DUMMYFUNCTION("GOOGLETRANSLATE(B529,""ja"",""vi"")"),"Barneys New York")</f>
        <v>Barneys New York</v>
      </c>
      <c r="E529" s="5" t="str">
        <f ca="1">IFERROR(__xludf.DUMMYFUNCTION("GOOGLETRANSLATE(C529,""ja"",""vi"")"),"Đấu giá&gt; Thời trang&gt; By Nhãn hiệu&gt; là&gt; Barneys New York")</f>
        <v>Đấu giá&gt; Thời trang&gt; By Nhãn hiệu&gt; là&gt; Barneys New York</v>
      </c>
      <c r="F529" t="str">
        <f t="shared" ca="1" si="8"/>
        <v>"2084050276" : "Barneys New York",</v>
      </c>
    </row>
    <row r="530" spans="1:6" ht="15.75" customHeight="1">
      <c r="A530" s="18">
        <v>2084230007</v>
      </c>
      <c r="B530" s="18" t="s">
        <v>11415</v>
      </c>
      <c r="C530" s="18" t="s">
        <v>11417</v>
      </c>
      <c r="D530" s="5" t="str">
        <f ca="1">IFERROR(__xludf.DUMMYFUNCTION("GOOGLETRANSLATE(B530,""ja"",""vi"")"),"Banner Barrett")</f>
        <v>Banner Barrett</v>
      </c>
      <c r="E530" s="5" t="str">
        <f ca="1">IFERROR(__xludf.DUMMYFUNCTION("GOOGLETRANSLATE(C530,""ja"",""vi"")"),"Đấu giá&gt; Thời trang&gt; By Nhãn hiệu&gt; là&gt; biểu ngữ Barrett")</f>
        <v>Đấu giá&gt; Thời trang&gt; By Nhãn hiệu&gt; là&gt; biểu ngữ Barrett</v>
      </c>
      <c r="F530" t="str">
        <f t="shared" ca="1" si="8"/>
        <v>"2084230007" : "Banner Barrett",</v>
      </c>
    </row>
    <row r="531" spans="1:6" ht="15.75" customHeight="1">
      <c r="A531" s="18">
        <v>2084206902</v>
      </c>
      <c r="B531" s="18" t="s">
        <v>11421</v>
      </c>
      <c r="C531" s="18" t="s">
        <v>11422</v>
      </c>
      <c r="D531" s="5" t="str">
        <f ca="1">IFERROR(__xludf.DUMMYFUNCTION("GOOGLETRANSLATE(B531,""ja"",""vi"")"),"chuối chiên")</f>
        <v>chuối chiên</v>
      </c>
      <c r="E531" s="5" t="str">
        <f ca="1">IFERROR(__xludf.DUMMYFUNCTION("GOOGLETRANSLATE(C531,""ja"",""vi"")"),"Đấu giá&gt; Thời trang&gt; By Nhãn hiệu&gt; là&gt; chip chuối")</f>
        <v>Đấu giá&gt; Thời trang&gt; By Nhãn hiệu&gt; là&gt; chip chuối</v>
      </c>
      <c r="F531" t="str">
        <f t="shared" ca="1" si="8"/>
        <v>"2084206902" : "chuối chiên",</v>
      </c>
    </row>
    <row r="532" spans="1:6" ht="15.75" customHeight="1">
      <c r="A532" s="18">
        <v>2084053766</v>
      </c>
      <c r="B532" s="18" t="s">
        <v>11427</v>
      </c>
      <c r="C532" s="18" t="s">
        <v>11428</v>
      </c>
      <c r="D532" s="5" t="str">
        <f ca="1">IFERROR(__xludf.DUMMYFUNCTION("GOOGLETRANSLATE(B532,""ja"",""vi"")"),"Banana Republic")</f>
        <v>Banana Republic</v>
      </c>
      <c r="E532" s="5" t="str">
        <f ca="1">IFERROR(__xludf.DUMMYFUNCTION("GOOGLETRANSLATE(C532,""ja"",""vi"")"),"Đấu giá&gt; Thời trang&gt; By Nhãn hiệu&gt; là&gt; Banana Republic")</f>
        <v>Đấu giá&gt; Thời trang&gt; By Nhãn hiệu&gt; là&gt; Banana Republic</v>
      </c>
      <c r="F532" t="str">
        <f t="shared" ca="1" si="8"/>
        <v>"2084053766" : "Banana Republic",</v>
      </c>
    </row>
    <row r="533" spans="1:6" ht="15.75" customHeight="1">
      <c r="A533" s="18">
        <v>2084050182</v>
      </c>
      <c r="B533" s="18" t="s">
        <v>11432</v>
      </c>
      <c r="C533" s="18" t="s">
        <v>11433</v>
      </c>
      <c r="D533" s="5" t="str">
        <f ca="1">IFERROR(__xludf.DUMMYFUNCTION("GOOGLETRANSLATE(B533,""ja"",""vi"")"),"Vanessa Bruno")</f>
        <v>Vanessa Bruno</v>
      </c>
      <c r="E533" s="5" t="str">
        <f ca="1">IFERROR(__xludf.DUMMYFUNCTION("GOOGLETRANSLATE(C533,""ja"",""vi"")"),"Đấu giá&gt; Thời trang&gt; By Nhãn hiệu&gt; là&gt; Vanessa Bruno")</f>
        <v>Đấu giá&gt; Thời trang&gt; By Nhãn hiệu&gt; là&gt; Vanessa Bruno</v>
      </c>
      <c r="F533" t="str">
        <f t="shared" ca="1" si="8"/>
        <v>"2084050182" : "Vanessa Bruno",</v>
      </c>
    </row>
    <row r="534" spans="1:6" ht="15.75" customHeight="1">
      <c r="A534" s="18">
        <v>2084255846</v>
      </c>
      <c r="B534" s="18" t="s">
        <v>11438</v>
      </c>
      <c r="C534" s="18" t="s">
        <v>11439</v>
      </c>
      <c r="D534" s="5" t="str">
        <f ca="1">IFERROR(__xludf.DUMMYFUNCTION("GOOGLETRANSLATE(B534,""ja"",""vi"")"),"Habasakku")</f>
        <v>Habasakku</v>
      </c>
      <c r="E534" s="5" t="str">
        <f ca="1">IFERROR(__xludf.DUMMYFUNCTION("GOOGLETRANSLATE(C534,""ja"",""vi"")"),"Đấu giá&gt; Thời trang&gt; By Nhãn hiệu&gt; là&gt; Habasakku")</f>
        <v>Đấu giá&gt; Thời trang&gt; By Nhãn hiệu&gt; là&gt; Habasakku</v>
      </c>
      <c r="F534" t="str">
        <f t="shared" ca="1" si="8"/>
        <v>"2084255846" : "Habasakku",</v>
      </c>
    </row>
    <row r="535" spans="1:6" ht="15.75" customHeight="1">
      <c r="A535" s="18">
        <v>2084048618</v>
      </c>
      <c r="B535" s="18" t="s">
        <v>11443</v>
      </c>
      <c r="C535" s="18" t="s">
        <v>11444</v>
      </c>
      <c r="D535" s="5" t="str">
        <f ca="1">IFERROR(__xludf.DUMMYFUNCTION("GOOGLETRANSLATE(B535,""ja"",""vi"")"),"chổ lồi ở cây")</f>
        <v>chổ lồi ở cây</v>
      </c>
      <c r="E535" s="5" t="str">
        <f ca="1">IFERROR(__xludf.DUMMYFUNCTION("GOOGLETRANSLATE(C535,""ja"",""vi"")"),"Đấu giá&gt; Thời trang&gt; By Nhãn hiệu&gt; là&gt; Burberry")</f>
        <v>Đấu giá&gt; Thời trang&gt; By Nhãn hiệu&gt; là&gt; Burberry</v>
      </c>
      <c r="F535" t="str">
        <f t="shared" ca="1" si="8"/>
        <v>"2084048618" : "chổ lồi ở cây",</v>
      </c>
    </row>
    <row r="536" spans="1:6" ht="15.75" customHeight="1">
      <c r="A536" s="18">
        <v>2084283756</v>
      </c>
      <c r="B536" s="18" t="s">
        <v>11448</v>
      </c>
      <c r="C536" s="18" t="s">
        <v>11449</v>
      </c>
      <c r="D536" s="5" t="str">
        <f ca="1">IFERROR(__xludf.DUMMYFUNCTION("GOOGLETRANSLATE(B536,""ja"",""vi"")"),"Burberry Black Label")</f>
        <v>Burberry Black Label</v>
      </c>
      <c r="E536" s="5" t="str">
        <f ca="1">IFERROR(__xludf.DUMMYFUNCTION("GOOGLETRANSLATE(C536,""ja"",""vi"")"),"Đấu giá&gt; Thời trang&gt; By Nhãn hiệu&gt; là&gt; Burberry Black Label")</f>
        <v>Đấu giá&gt; Thời trang&gt; By Nhãn hiệu&gt; là&gt; Burberry Black Label</v>
      </c>
      <c r="F536" t="str">
        <f t="shared" ca="1" si="8"/>
        <v>"2084283756" : "Burberry Black Label",</v>
      </c>
    </row>
    <row r="537" spans="1:6" ht="15.75" customHeight="1">
      <c r="A537" s="18">
        <v>2084283757</v>
      </c>
      <c r="B537" s="18" t="s">
        <v>11453</v>
      </c>
      <c r="C537" s="18" t="s">
        <v>11456</v>
      </c>
      <c r="D537" s="5" t="str">
        <f ca="1">IFERROR(__xludf.DUMMYFUNCTION("GOOGLETRANSLATE(B537,""ja"",""vi"")"),"Burberry Blue Label")</f>
        <v>Burberry Blue Label</v>
      </c>
      <c r="E537" s="5" t="str">
        <f ca="1">IFERROR(__xludf.DUMMYFUNCTION("GOOGLETRANSLATE(C537,""ja"",""vi"")"),"Đấu giá&gt; Thời trang&gt; By Nhãn hiệu&gt; là&gt; Burberry Blue Label")</f>
        <v>Đấu giá&gt; Thời trang&gt; By Nhãn hiệu&gt; là&gt; Burberry Blue Label</v>
      </c>
      <c r="F537" t="str">
        <f t="shared" ca="1" si="8"/>
        <v>"2084283757" : "Burberry Blue Label",</v>
      </c>
    </row>
    <row r="538" spans="1:6" ht="15.75" customHeight="1">
      <c r="A538" s="18">
        <v>2084205744</v>
      </c>
      <c r="B538" s="18" t="s">
        <v>7429</v>
      </c>
      <c r="C538" s="18" t="s">
        <v>11459</v>
      </c>
      <c r="D538" s="5" t="str">
        <f ca="1">IFERROR(__xludf.DUMMYFUNCTION("GOOGLETRANSLATE(B538,""ja"",""vi"")"),"búp bê Barbie")</f>
        <v>búp bê Barbie</v>
      </c>
      <c r="E538" s="5" t="str">
        <f ca="1">IFERROR(__xludf.DUMMYFUNCTION("GOOGLETRANSLATE(C538,""ja"",""vi"")"),"Đấu giá&gt; Thời trang&gt; By Nhãn hiệu&gt; là&gt; Barbie")</f>
        <v>Đấu giá&gt; Thời trang&gt; By Nhãn hiệu&gt; là&gt; Barbie</v>
      </c>
      <c r="F538" t="str">
        <f t="shared" ca="1" si="8"/>
        <v>"2084205744" : "búp bê Barbie",</v>
      </c>
    </row>
    <row r="539" spans="1:6" ht="15.75" customHeight="1">
      <c r="A539" s="18">
        <v>2084227889</v>
      </c>
      <c r="B539" s="18" t="s">
        <v>11464</v>
      </c>
      <c r="C539" s="18" t="s">
        <v>11465</v>
      </c>
      <c r="D539" s="5" t="str">
        <f ca="1">IFERROR(__xludf.DUMMYFUNCTION("GOOGLETRANSLATE(B539,""ja"",""vi"")"),"Babua")</f>
        <v>Babua</v>
      </c>
      <c r="E539" s="5" t="str">
        <f ca="1">IFERROR(__xludf.DUMMYFUNCTION("GOOGLETRANSLATE(C539,""ja"",""vi"")"),"Đấu giá&gt; Thời trang&gt; By Nhãn hiệu&gt; là&gt; Babua")</f>
        <v>Đấu giá&gt; Thời trang&gt; By Nhãn hiệu&gt; là&gt; Babua</v>
      </c>
      <c r="F539" t="str">
        <f t="shared" ca="1" si="8"/>
        <v>"2084227889" : "Babua",</v>
      </c>
    </row>
    <row r="540" spans="1:6" ht="15.75" customHeight="1">
      <c r="A540" s="18">
        <v>2084283761</v>
      </c>
      <c r="B540" s="18" t="s">
        <v>11469</v>
      </c>
      <c r="C540" s="18" t="s">
        <v>11470</v>
      </c>
      <c r="D540" s="5" t="str">
        <f ca="1">IFERROR(__xludf.DUMMYFUNCTION("GOOGLETRANSLATE(B540,""ja"",""vi"")"),"Papas")</f>
        <v>Papas</v>
      </c>
      <c r="E540" s="5" t="str">
        <f ca="1">IFERROR(__xludf.DUMMYFUNCTION("GOOGLETRANSLATE(C540,""ja"",""vi"")"),"Đấu giá&gt; Thời trang&gt; By Nhãn hiệu&gt; là&gt; Pappas")</f>
        <v>Đấu giá&gt; Thời trang&gt; By Nhãn hiệu&gt; là&gt; Pappas</v>
      </c>
      <c r="F540" t="str">
        <f t="shared" ca="1" si="8"/>
        <v>"2084283761" : "Papas",</v>
      </c>
    </row>
    <row r="541" spans="1:6" ht="15.75" customHeight="1">
      <c r="A541" s="18">
        <v>2084205914</v>
      </c>
      <c r="B541" s="18" t="s">
        <v>11473</v>
      </c>
      <c r="C541" s="18" t="s">
        <v>11475</v>
      </c>
      <c r="D541" s="5" t="str">
        <f ca="1">IFERROR(__xludf.DUMMYFUNCTION("GOOGLETRANSLATE(B541,""ja"",""vi"")"),"Pape")</f>
        <v>Pape</v>
      </c>
      <c r="E541" s="5" t="str">
        <f ca="1">IFERROR(__xludf.DUMMYFUNCTION("GOOGLETRANSLATE(C541,""ja"",""vi"")"),"Đấu giá&gt; Thời trang&gt; By Nhãn hiệu&gt; là&gt; Pape")</f>
        <v>Đấu giá&gt; Thời trang&gt; By Nhãn hiệu&gt; là&gt; Pape</v>
      </c>
      <c r="F541" t="str">
        <f t="shared" ca="1" si="8"/>
        <v>"2084205914" : "Pape",</v>
      </c>
    </row>
    <row r="542" spans="1:6" ht="15.75" customHeight="1">
      <c r="A542" s="18">
        <v>2084226807</v>
      </c>
      <c r="B542" s="18" t="s">
        <v>1693</v>
      </c>
      <c r="C542" s="18" t="s">
        <v>11479</v>
      </c>
      <c r="D542" s="5" t="str">
        <f ca="1">IFERROR(__xludf.DUMMYFUNCTION("GOOGLETRANSLATE(B542,""ja"",""vi"")"),"HTC")</f>
        <v>HTC</v>
      </c>
      <c r="E542" s="5" t="str">
        <f ca="1">IFERROR(__xludf.DUMMYFUNCTION("GOOGLETRANSLATE(C542,""ja"",""vi"")"),"Đấu giá&gt; Thời trang&gt; By Nhãn hiệu&gt; là&gt; HTC")</f>
        <v>Đấu giá&gt; Thời trang&gt; By Nhãn hiệu&gt; là&gt; HTC</v>
      </c>
      <c r="F542" t="str">
        <f t="shared" ca="1" si="8"/>
        <v>"2084226807" : "HTC",</v>
      </c>
    </row>
    <row r="543" spans="1:6" ht="15.75" customHeight="1">
      <c r="A543" s="18">
        <v>2084301208</v>
      </c>
      <c r="B543" s="18" t="s">
        <v>11482</v>
      </c>
      <c r="C543" s="18" t="s">
        <v>11485</v>
      </c>
      <c r="D543" s="5" t="str">
        <f ca="1">IFERROR(__xludf.DUMMYFUNCTION("GOOGLETRANSLATE(B543,""ja"",""vi"")"),"chơi quần ở ái nhỉ lan")</f>
        <v>chơi quần ở ái nhỉ lan</v>
      </c>
      <c r="E543" s="5" t="str">
        <f ca="1">IFERROR(__xludf.DUMMYFUNCTION("GOOGLETRANSLATE(C543,""ja"",""vi"")"),"Đấu giá&gt; Thời trang&gt; By Nhãn hiệu&gt; là&gt; Hurley")</f>
        <v>Đấu giá&gt; Thời trang&gt; By Nhãn hiệu&gt; là&gt; Hurley</v>
      </c>
      <c r="F543" t="str">
        <f t="shared" ca="1" si="8"/>
        <v>"2084301208" : "chơi quần ở ái nhỉ lan",</v>
      </c>
    </row>
    <row r="544" spans="1:6" ht="15.75" customHeight="1">
      <c r="A544" s="18">
        <v>2084048741</v>
      </c>
      <c r="B544" s="18" t="s">
        <v>11489</v>
      </c>
      <c r="C544" s="18" t="s">
        <v>11491</v>
      </c>
      <c r="D544" s="5" t="str">
        <f ca="1">IFERROR(__xludf.DUMMYFUNCTION("GOOGLETRANSLATE(B544,""ja"",""vi"")"),"Thị trường Hollywood Ranch")</f>
        <v>Thị trường Hollywood Ranch</v>
      </c>
      <c r="E544" s="5" t="str">
        <f ca="1">IFERROR(__xludf.DUMMYFUNCTION("GOOGLETRANSLATE(C544,""ja"",""vi"")"),"Đấu giá&gt; Thời trang&gt; By Nhãn hiệu&gt; là&gt; Thị trường Hollywood Ranch")</f>
        <v>Đấu giá&gt; Thời trang&gt; By Nhãn hiệu&gt; là&gt; Thị trường Hollywood Ranch</v>
      </c>
      <c r="F544" t="str">
        <f t="shared" ca="1" si="8"/>
        <v>"2084048741" : "Thị trường Hollywood Ranch",</v>
      </c>
    </row>
    <row r="545" spans="1:6" ht="15.75" customHeight="1">
      <c r="A545" s="18">
        <v>2084260041</v>
      </c>
      <c r="B545" s="18" t="s">
        <v>10904</v>
      </c>
      <c r="C545" s="18" t="s">
        <v>11495</v>
      </c>
      <c r="D545" s="5" t="str">
        <f ca="1">IFERROR(__xludf.DUMMYFUNCTION("GOOGLETRANSLATE(B545,""ja"",""vi"")"),"Harris")</f>
        <v>Harris</v>
      </c>
      <c r="E545" s="5" t="str">
        <f ca="1">IFERROR(__xludf.DUMMYFUNCTION("GOOGLETRANSLATE(C545,""ja"",""vi"")"),"Đấu giá&gt; Thời trang&gt; By Nhãn hiệu&gt; là&gt; Harris")</f>
        <v>Đấu giá&gt; Thời trang&gt; By Nhãn hiệu&gt; là&gt; Harris</v>
      </c>
      <c r="F545" t="str">
        <f t="shared" ca="1" si="8"/>
        <v>"2084260041" : "Harris",</v>
      </c>
    </row>
    <row r="546" spans="1:6" ht="15.75" customHeight="1">
      <c r="A546" s="18">
        <v>2084229169</v>
      </c>
      <c r="B546" s="18" t="s">
        <v>11498</v>
      </c>
      <c r="C546" s="18" t="s">
        <v>11499</v>
      </c>
      <c r="D546" s="5" t="str">
        <f ca="1">IFERROR(__xludf.DUMMYFUNCTION("GOOGLETRANSLATE(B546,""ja"",""vi"")"),"Halle")</f>
        <v>Halle</v>
      </c>
      <c r="E546" s="5" t="str">
        <f ca="1">IFERROR(__xludf.DUMMYFUNCTION("GOOGLETRANSLATE(C546,""ja"",""vi"")"),"Đấu giá&gt; Thời trang&gt; By Nhãn hiệu&gt; là&gt; Halle")</f>
        <v>Đấu giá&gt; Thời trang&gt; By Nhãn hiệu&gt; là&gt; Halle</v>
      </c>
      <c r="F546" t="str">
        <f t="shared" ca="1" si="8"/>
        <v>"2084229169" : "Halle",</v>
      </c>
    </row>
    <row r="547" spans="1:6" ht="15.75" customHeight="1">
      <c r="A547" s="18">
        <v>2084054801</v>
      </c>
      <c r="B547" s="18" t="s">
        <v>11504</v>
      </c>
      <c r="C547" s="18" t="s">
        <v>11505</v>
      </c>
      <c r="D547" s="5" t="str">
        <f ca="1">IFERROR(__xludf.DUMMYFUNCTION("GOOGLETRANSLATE(B547,""ja"",""vi"")"),"Harrods")</f>
        <v>Harrods</v>
      </c>
      <c r="E547" s="5" t="str">
        <f ca="1">IFERROR(__xludf.DUMMYFUNCTION("GOOGLETRANSLATE(C547,""ja"",""vi"")"),"Đấu giá&gt; Thời trang&gt; By Nhãn hiệu&gt; là&gt; Harrods")</f>
        <v>Đấu giá&gt; Thời trang&gt; By Nhãn hiệu&gt; là&gt; Harrods</v>
      </c>
      <c r="F547" t="str">
        <f t="shared" ca="1" si="8"/>
        <v>"2084054801" : "Harrods",</v>
      </c>
    </row>
    <row r="548" spans="1:6" ht="15.75" customHeight="1">
      <c r="A548" s="18">
        <v>2084054437</v>
      </c>
      <c r="B548" s="18" t="s">
        <v>11508</v>
      </c>
      <c r="C548" s="18" t="s">
        <v>11511</v>
      </c>
      <c r="D548" s="5" t="str">
        <f ca="1">IFERROR(__xludf.DUMMYFUNCTION("GOOGLETRANSLATE(B548,""ja"",""vi"")"),"Barry")</f>
        <v>Barry</v>
      </c>
      <c r="E548" s="5" t="str">
        <f ca="1">IFERROR(__xludf.DUMMYFUNCTION("GOOGLETRANSLATE(C548,""ja"",""vi"")"),"Đấu giá&gt; Thời trang&gt; By Nhãn hiệu&gt; là&gt; Barry")</f>
        <v>Đấu giá&gt; Thời trang&gt; By Nhãn hiệu&gt; là&gt; Barry</v>
      </c>
      <c r="F548" t="str">
        <f t="shared" ca="1" si="8"/>
        <v>"2084054437" : "Barry",</v>
      </c>
    </row>
    <row r="549" spans="1:6" ht="15.75" customHeight="1">
      <c r="A549" s="18">
        <v>2084055820</v>
      </c>
      <c r="B549" s="18" t="s">
        <v>11512</v>
      </c>
      <c r="C549" s="18" t="s">
        <v>11514</v>
      </c>
      <c r="D549" s="5" t="str">
        <f ca="1">IFERROR(__xludf.DUMMYFUNCTION("GOOGLETRANSLATE(B549,""ja"",""vi"")"),"Bal")</f>
        <v>Bal</v>
      </c>
      <c r="E549" s="5" t="str">
        <f ca="1">IFERROR(__xludf.DUMMYFUNCTION("GOOGLETRANSLATE(C549,""ja"",""vi"")"),"Đấu giá&gt; Thời trang&gt; By Nhãn hiệu&gt; là&gt; Bal")</f>
        <v>Đấu giá&gt; Thời trang&gt; By Nhãn hiệu&gt; là&gt; Bal</v>
      </c>
      <c r="F549" t="str">
        <f t="shared" ca="1" si="8"/>
        <v>"2084055820" : "Bal",</v>
      </c>
    </row>
    <row r="550" spans="1:6" ht="15.75" customHeight="1">
      <c r="A550" s="18">
        <v>2084298390</v>
      </c>
      <c r="B550" s="18" t="s">
        <v>11517</v>
      </c>
      <c r="C550" s="18" t="s">
        <v>11520</v>
      </c>
      <c r="D550" s="5" t="str">
        <f ca="1">IFERROR(__xludf.DUMMYFUNCTION("GOOGLETRANSLATE(B550,""ja"",""vi"")"),"Balmain")</f>
        <v>Balmain</v>
      </c>
      <c r="E550" s="5" t="str">
        <f ca="1">IFERROR(__xludf.DUMMYFUNCTION("GOOGLETRANSLATE(C550,""ja"",""vi"")"),"Đấu giá&gt; Thời trang&gt; By Nhãn hiệu&gt; là&gt; Balmain")</f>
        <v>Đấu giá&gt; Thời trang&gt; By Nhãn hiệu&gt; là&gt; Balmain</v>
      </c>
      <c r="F550" t="str">
        <f t="shared" ca="1" si="8"/>
        <v>"2084298390" : "Balmain",</v>
      </c>
    </row>
    <row r="551" spans="1:6" ht="15.75" customHeight="1">
      <c r="A551" s="18">
        <v>2084199123</v>
      </c>
      <c r="B551" s="18" t="s">
        <v>11523</v>
      </c>
      <c r="C551" s="18" t="s">
        <v>11524</v>
      </c>
      <c r="D551" s="5" t="str">
        <f ca="1">IFERROR(__xludf.DUMMYFUNCTION("GOOGLETRANSLATE(B551,""ja"",""vi"")"),"Balenciaga")</f>
        <v>Balenciaga</v>
      </c>
      <c r="E551" s="5" t="str">
        <f ca="1">IFERROR(__xludf.DUMMYFUNCTION("GOOGLETRANSLATE(C551,""ja"",""vi"")"),"Đấu giá&gt; Thời trang&gt; By Nhãn hiệu&gt; là&gt; Balenciaga")</f>
        <v>Đấu giá&gt; Thời trang&gt; By Nhãn hiệu&gt; là&gt; Balenciaga</v>
      </c>
      <c r="F551" t="str">
        <f t="shared" ca="1" si="8"/>
        <v>"2084199123" : "Balenciaga",</v>
      </c>
    </row>
    <row r="552" spans="1:6" ht="15.75" customHeight="1">
      <c r="A552" s="18">
        <v>2084036192</v>
      </c>
      <c r="B552" s="18" t="s">
        <v>11529</v>
      </c>
      <c r="C552" s="18" t="s">
        <v>11532</v>
      </c>
      <c r="D552" s="5" t="str">
        <f ca="1">IFERROR(__xludf.DUMMYFUNCTION("GOOGLETRANSLATE(B552,""ja"",""vi"")"),"Valentino")</f>
        <v>Valentino</v>
      </c>
      <c r="E552" s="5" t="str">
        <f ca="1">IFERROR(__xludf.DUMMYFUNCTION("GOOGLETRANSLATE(C552,""ja"",""vi"")"),"Đấu giá&gt; Thời trang&gt; By Nhãn hiệu&gt; là&gt; Valentino")</f>
        <v>Đấu giá&gt; Thời trang&gt; By Nhãn hiệu&gt; là&gt; Valentino</v>
      </c>
      <c r="F552" t="str">
        <f t="shared" ca="1" si="8"/>
        <v>"2084036192" : "Valentino",</v>
      </c>
    </row>
    <row r="553" spans="1:6" ht="15.75" customHeight="1">
      <c r="A553" s="18">
        <v>2084230009</v>
      </c>
      <c r="B553" s="18" t="s">
        <v>11537</v>
      </c>
      <c r="C553" s="18" t="s">
        <v>11538</v>
      </c>
      <c r="D553" s="5" t="str">
        <f ca="1">IFERROR(__xludf.DUMMYFUNCTION("GOOGLETRANSLATE(B553,""ja"",""vi"")"),"Parabion")</f>
        <v>Parabion</v>
      </c>
      <c r="E553" s="5" t="str">
        <f ca="1">IFERROR(__xludf.DUMMYFUNCTION("GOOGLETRANSLATE(C553,""ja"",""vi"")"),"Đấu giá&gt; Thời trang&gt; By Nhãn hiệu&gt; là&gt; Parabion")</f>
        <v>Đấu giá&gt; Thời trang&gt; By Nhãn hiệu&gt; là&gt; Parabion</v>
      </c>
      <c r="F553" t="str">
        <f t="shared" ca="1" si="8"/>
        <v>"2084230009" : "Parabion",</v>
      </c>
    </row>
    <row r="554" spans="1:6" ht="15.75" customHeight="1">
      <c r="A554" s="18">
        <v>2084232962</v>
      </c>
      <c r="B554" s="18" t="s">
        <v>11547</v>
      </c>
      <c r="C554" s="18" t="s">
        <v>11548</v>
      </c>
      <c r="D554" s="5" t="str">
        <f ca="1">IFERROR(__xludf.DUMMYFUNCTION("GOOGLETRANSLATE(B554,""ja"",""vi"")"),"Parabutsu")</f>
        <v>Parabutsu</v>
      </c>
      <c r="E554" s="5" t="str">
        <f ca="1">IFERROR(__xludf.DUMMYFUNCTION("GOOGLETRANSLATE(C554,""ja"",""vi"")"),"Đấu giá&gt; Thời trang&gt; By Nhãn hiệu&gt; là&gt; Parabutsu")</f>
        <v>Đấu giá&gt; Thời trang&gt; By Nhãn hiệu&gt; là&gt; Parabutsu</v>
      </c>
      <c r="F554" t="str">
        <f t="shared" ca="1" si="8"/>
        <v>"2084232962" : "Parabutsu",</v>
      </c>
    </row>
    <row r="555" spans="1:6" ht="15.75" customHeight="1">
      <c r="A555" s="18">
        <v>2084261574</v>
      </c>
      <c r="B555" s="18" t="s">
        <v>11549</v>
      </c>
      <c r="C555" s="18" t="s">
        <v>11551</v>
      </c>
      <c r="D555" s="5" t="str">
        <f ca="1">IFERROR(__xludf.DUMMYFUNCTION("GOOGLETRANSLATE(B555,""ja"",""vi"")"),"VANS")</f>
        <v>VANS</v>
      </c>
      <c r="E555" s="5" t="str">
        <f ca="1">IFERROR(__xludf.DUMMYFUNCTION("GOOGLETRANSLATE(C555,""ja"",""vi"")"),"Đấu giá&gt; Thời trang&gt; By Nhãn hiệu&gt; là&gt; VANS")</f>
        <v>Đấu giá&gt; Thời trang&gt; By Nhãn hiệu&gt; là&gt; VANS</v>
      </c>
      <c r="F555" t="str">
        <f t="shared" ca="1" si="8"/>
        <v>"2084261574" : "VANS",</v>
      </c>
    </row>
    <row r="556" spans="1:6" ht="15.75" customHeight="1">
      <c r="A556" s="18">
        <v>2084298393</v>
      </c>
      <c r="B556" s="18" t="s">
        <v>11555</v>
      </c>
      <c r="C556" s="18" t="s">
        <v>11557</v>
      </c>
      <c r="D556" s="5" t="str">
        <f ca="1">IFERROR(__xludf.DUMMYFUNCTION("GOOGLETRANSLATE(B556,""ja"",""vi"")"),"người đi săn")</f>
        <v>người đi săn</v>
      </c>
      <c r="E556" s="5" t="str">
        <f ca="1">IFERROR(__xludf.DUMMYFUNCTION("GOOGLETRANSLATE(C556,""ja"",""vi"")"),"Đấu giá&gt; Thời trang&gt; By Nhãn hiệu&gt; là&gt; Hunter")</f>
        <v>Đấu giá&gt; Thời trang&gt; By Nhãn hiệu&gt; là&gt; Hunter</v>
      </c>
      <c r="F556" t="str">
        <f t="shared" ca="1" si="8"/>
        <v>"2084298393" : "người đi săn",</v>
      </c>
    </row>
    <row r="557" spans="1:6" ht="15.75" customHeight="1">
      <c r="A557" s="18">
        <v>2084048619</v>
      </c>
      <c r="B557" s="18" t="s">
        <v>11561</v>
      </c>
      <c r="C557" s="18" t="s">
        <v>11563</v>
      </c>
      <c r="D557" s="5" t="str">
        <f ca="1">IFERROR(__xludf.DUMMYFUNCTION("GOOGLETRANSLATE(B557,""ja"",""vi"")"),"săn thế giới")</f>
        <v>săn thế giới</v>
      </c>
      <c r="E557" s="5" t="str">
        <f ca="1">IFERROR(__xludf.DUMMYFUNCTION("GOOGLETRANSLATE(C557,""ja"",""vi"")"),"Đấu giá&gt; Thời trang&gt; By Nhãn hiệu&gt; là&gt; Săn Thế giới")</f>
        <v>Đấu giá&gt; Thời trang&gt; By Nhãn hiệu&gt; là&gt; Săn Thế giới</v>
      </c>
      <c r="F557" t="str">
        <f t="shared" ca="1" si="8"/>
        <v>"2084048619" : "săn thế giới",</v>
      </c>
    </row>
    <row r="558" spans="1:6" ht="15.75" customHeight="1">
      <c r="A558" s="18">
        <v>2084050279</v>
      </c>
      <c r="B558" s="18" t="s">
        <v>11565</v>
      </c>
      <c r="C558" s="18" t="s">
        <v>11568</v>
      </c>
      <c r="D558" s="5" t="str">
        <f ca="1">IFERROR(__xludf.DUMMYFUNCTION("GOOGLETRANSLATE(B558,""ja"",""vi"")"),"Vanson")</f>
        <v>Vanson</v>
      </c>
      <c r="E558" s="5" t="str">
        <f ca="1">IFERROR(__xludf.DUMMYFUNCTION("GOOGLETRANSLATE(C558,""ja"",""vi"")"),"Đấu giá&gt; Thời trang&gt; By Nhãn hiệu&gt; là&gt; Vanson")</f>
        <v>Đấu giá&gt; Thời trang&gt; By Nhãn hiệu&gt; là&gt; Vanson</v>
      </c>
      <c r="F558" t="str">
        <f t="shared" ca="1" si="8"/>
        <v>"2084050279" : "Vanson",</v>
      </c>
    </row>
    <row r="559" spans="1:6" ht="15.75" customHeight="1">
      <c r="A559" s="18">
        <v>2084286296</v>
      </c>
      <c r="B559" s="18" t="s">
        <v>46</v>
      </c>
      <c r="C559" s="18" t="s">
        <v>11571</v>
      </c>
      <c r="D559" s="5" t="str">
        <f ca="1">IFERROR(__xludf.DUMMYFUNCTION("GOOGLETRANSLATE(B559,""ja"",""vi"")"),"nếu không thì")</f>
        <v>nếu không thì</v>
      </c>
      <c r="E559" s="5" t="str">
        <f ca="1">IFERROR(__xludf.DUMMYFUNCTION("GOOGLETRANSLATE(C559,""ja"",""vi"")"),"Đấu giá&gt; Thời trang&gt; By Nhãn hiệu&gt; là&gt; Khác")</f>
        <v>Đấu giá&gt; Thời trang&gt; By Nhãn hiệu&gt; là&gt; Khác</v>
      </c>
      <c r="F559" t="str">
        <f t="shared" ca="1" si="8"/>
        <v>"2084286296" : "nếu không thì",</v>
      </c>
    </row>
    <row r="560" spans="1:6" ht="15.75" customHeight="1">
      <c r="A560" s="18">
        <v>2084230010</v>
      </c>
      <c r="B560" s="18" t="s">
        <v>11576</v>
      </c>
      <c r="C560" s="18" t="s">
        <v>11577</v>
      </c>
      <c r="D560" s="5" t="str">
        <f ca="1">IFERROR(__xludf.DUMMYFUNCTION("GOOGLETRANSLATE(B560,""ja"",""vi"")"),"Biajjo xanh")</f>
        <v>Biajjo xanh</v>
      </c>
      <c r="E560" s="5" t="str">
        <f ca="1">IFERROR(__xludf.DUMMYFUNCTION("GOOGLETRANSLATE(C560,""ja"",""vi"")"),"Đấu giá&gt; Thời trang&gt; By Nhãn hiệu&gt; Fly&gt; Biajjo Xanh")</f>
        <v>Đấu giá&gt; Thời trang&gt; By Nhãn hiệu&gt; Fly&gt; Biajjo Xanh</v>
      </c>
      <c r="F560" t="str">
        <f t="shared" ca="1" si="8"/>
        <v>"2084230010" : "Biajjo xanh",</v>
      </c>
    </row>
    <row r="561" spans="1:6" ht="15.75" customHeight="1">
      <c r="A561" s="18">
        <v>2084298395</v>
      </c>
      <c r="B561" s="18" t="s">
        <v>11582</v>
      </c>
      <c r="C561" s="18" t="s">
        <v>11583</v>
      </c>
      <c r="D561" s="5" t="str">
        <f ca="1">IFERROR(__xludf.DUMMYFUNCTION("GOOGLETRANSLATE(B561,""ja"",""vi"")"),"Thể thao Peer")</f>
        <v>Thể thao Peer</v>
      </c>
      <c r="E561" s="5" t="str">
        <f ca="1">IFERROR(__xludf.DUMMYFUNCTION("GOOGLETRANSLATE(C561,""ja"",""vi"")"),"Đấu giá&gt; Thời trang&gt; By Nhãn hiệu&gt; Fly&gt; Thể Thao ngang hàng")</f>
        <v>Đấu giá&gt; Thời trang&gt; By Nhãn hiệu&gt; Fly&gt; Thể Thao ngang hàng</v>
      </c>
      <c r="F561" t="str">
        <f t="shared" ca="1" si="8"/>
        <v>"2084298395" : "Thể thao Peer",</v>
      </c>
    </row>
    <row r="562" spans="1:6" ht="15.75" customHeight="1">
      <c r="A562" s="18">
        <v>2084199096</v>
      </c>
      <c r="B562" s="18" t="s">
        <v>11587</v>
      </c>
      <c r="C562" s="18" t="s">
        <v>11588</v>
      </c>
      <c r="D562" s="5" t="str">
        <f ca="1">IFERROR(__xludf.DUMMYFUNCTION("GOOGLETRANSLATE(B562,""ja"",""vi"")"),"Victor &amp; Rolf")</f>
        <v>Victor &amp; Rolf</v>
      </c>
      <c r="E562" s="5" t="str">
        <f ca="1">IFERROR(__xludf.DUMMYFUNCTION("GOOGLETRANSLATE(C562,""ja"",""vi"")"),"Đấu giá&gt; Thời trang&gt; By Nhãn hiệu&gt; Fly&gt; Victor &amp; Rolf")</f>
        <v>Đấu giá&gt; Thời trang&gt; By Nhãn hiệu&gt; Fly&gt; Victor &amp; Rolf</v>
      </c>
      <c r="F562" t="str">
        <f t="shared" ca="1" si="8"/>
        <v>"2084199096" : "Victor &amp; Rolf",</v>
      </c>
    </row>
    <row r="563" spans="1:6" ht="15.75" customHeight="1">
      <c r="A563" s="18">
        <v>2084243975</v>
      </c>
      <c r="B563" s="18" t="s">
        <v>11593</v>
      </c>
      <c r="C563" s="18" t="s">
        <v>11594</v>
      </c>
      <c r="D563" s="5" t="str">
        <f ca="1">IFERROR(__xludf.DUMMYFUNCTION("GOOGLETRANSLATE(B563,""ja"",""vi"")"),"Victoria Secret")</f>
        <v>Victoria Secret</v>
      </c>
      <c r="E563" s="5" t="str">
        <f ca="1">IFERROR(__xludf.DUMMYFUNCTION("GOOGLETRANSLATE(C563,""ja"",""vi"")"),"Đấu giá&gt; Thời trang&gt; By Nhãn hiệu&gt; Fly&gt; Victoria Secret")</f>
        <v>Đấu giá&gt; Thời trang&gt; By Nhãn hiệu&gt; Fly&gt; Victoria Secret</v>
      </c>
      <c r="F563" t="str">
        <f t="shared" ca="1" si="8"/>
        <v>"2084243975" : "Victoria Secret",</v>
      </c>
    </row>
    <row r="564" spans="1:6" ht="15.75" customHeight="1">
      <c r="A564" s="18">
        <v>2084255906</v>
      </c>
      <c r="B564" s="18" t="s">
        <v>11599</v>
      </c>
      <c r="C564" s="18" t="s">
        <v>11600</v>
      </c>
      <c r="D564" s="5" t="str">
        <f ca="1">IFERROR(__xludf.DUMMYFUNCTION("GOOGLETRANSLATE(B564,""ja"",""vi"")"),"BCBG Max Azria")</f>
        <v>BCBG Max Azria</v>
      </c>
      <c r="E564" s="5" t="str">
        <f ca="1">IFERROR(__xludf.DUMMYFUNCTION("GOOGLETRANSLATE(C564,""ja"",""vi"")"),"Đấu giá&gt; Thời trang&gt; By Nhãn hiệu&gt; Fly&gt; BCBG Max Azria")</f>
        <v>Đấu giá&gt; Thời trang&gt; By Nhãn hiệu&gt; Fly&gt; BCBG Max Azria</v>
      </c>
      <c r="F564" t="str">
        <f t="shared" ca="1" si="8"/>
        <v>"2084255906" : "BCBG Max Azria",</v>
      </c>
    </row>
    <row r="565" spans="1:6" ht="15.75" customHeight="1">
      <c r="A565" s="18">
        <v>2084227883</v>
      </c>
      <c r="B565" s="18" t="s">
        <v>11605</v>
      </c>
      <c r="C565" s="18" t="s">
        <v>11607</v>
      </c>
      <c r="D565" s="5" t="str">
        <f ca="1">IFERROR(__xludf.DUMMYFUNCTION("GOOGLETRANSLATE(B565,""ja"",""vi"")"),"visvim")</f>
        <v>visvim</v>
      </c>
      <c r="E565" s="5" t="str">
        <f ca="1">IFERROR(__xludf.DUMMYFUNCTION("GOOGLETRANSLATE(C565,""ja"",""vi"")"),"Đấu giá&gt; Thời trang&gt; By Nhãn hiệu&gt; Fly&gt; visvim")</f>
        <v>Đấu giá&gt; Thời trang&gt; By Nhãn hiệu&gt; Fly&gt; visvim</v>
      </c>
      <c r="F565" t="str">
        <f t="shared" ca="1" si="8"/>
        <v>"2084227883" : "visvim",</v>
      </c>
    </row>
    <row r="566" spans="1:6" ht="15.75" customHeight="1">
      <c r="A566" s="18">
        <v>2084048621</v>
      </c>
      <c r="B566" s="18" t="s">
        <v>11611</v>
      </c>
      <c r="C566" s="18" t="s">
        <v>11613</v>
      </c>
      <c r="D566" s="5" t="str">
        <f ca="1">IFERROR(__xludf.DUMMYFUNCTION("GOOGLETRANSLATE(B566,""ja"",""vi"")"),"Hysteric Glamour")</f>
        <v>Hysteric Glamour</v>
      </c>
      <c r="E566" s="5" t="str">
        <f ca="1">IFERROR(__xludf.DUMMYFUNCTION("GOOGLETRANSLATE(C566,""ja"",""vi"")"),"Đấu giá&gt; Thời trang&gt; By Nhãn hiệu&gt; Fly&gt; Hysteric Glamour")</f>
        <v>Đấu giá&gt; Thời trang&gt; By Nhãn hiệu&gt; Fly&gt; Hysteric Glamour</v>
      </c>
      <c r="F566" t="str">
        <f t="shared" ca="1" si="8"/>
        <v>"2084048621" : "Hysteric Glamour",</v>
      </c>
    </row>
    <row r="567" spans="1:6" ht="15.75" customHeight="1">
      <c r="A567" s="18">
        <v>2084048622</v>
      </c>
      <c r="B567" s="18" t="s">
        <v>11616</v>
      </c>
      <c r="C567" s="18" t="s">
        <v>11618</v>
      </c>
      <c r="D567" s="5" t="str">
        <f ca="1">IFERROR(__xludf.DUMMYFUNCTION("GOOGLETRANSLATE(B567,""ja"",""vi"")"),"Hysteric Mini")</f>
        <v>Hysteric Mini</v>
      </c>
      <c r="E567" s="5" t="str">
        <f ca="1">IFERROR(__xludf.DUMMYFUNCTION("GOOGLETRANSLATE(C567,""ja"",""vi"")"),"Đấu giá&gt; Thời trang&gt; By Nhãn hiệu&gt; Fly&gt; Hysteric Mini")</f>
        <v>Đấu giá&gt; Thời trang&gt; By Nhãn hiệu&gt; Fly&gt; Hysteric Mini</v>
      </c>
      <c r="F567" t="str">
        <f t="shared" ca="1" si="8"/>
        <v>"2084048622" : "Hysteric Mini",</v>
      </c>
    </row>
    <row r="568" spans="1:6" ht="15.75" customHeight="1">
      <c r="A568" s="18">
        <v>2084050184</v>
      </c>
      <c r="B568" s="18" t="s">
        <v>11622</v>
      </c>
      <c r="C568" s="18" t="s">
        <v>11624</v>
      </c>
      <c r="D568" s="5" t="str">
        <f ca="1">IFERROR(__xludf.DUMMYFUNCTION("GOOGLETRANSLATE(B568,""ja"",""vi"")"),"thị lực")</f>
        <v>thị lực</v>
      </c>
      <c r="E568" s="5" t="str">
        <f ca="1">IFERROR(__xludf.DUMMYFUNCTION("GOOGLETRANSLATE(C568,""ja"",""vi"")"),"Đấu giá&gt; Thời trang&gt; By Nhãn hiệu&gt; Fly&gt; Vision")</f>
        <v>Đấu giá&gt; Thời trang&gt; By Nhãn hiệu&gt; Fly&gt; Vision</v>
      </c>
      <c r="F568" t="str">
        <f t="shared" ca="1" si="8"/>
        <v>"2084050184" : "thị lực",</v>
      </c>
    </row>
    <row r="569" spans="1:6" ht="15.75" customHeight="1">
      <c r="A569" s="18">
        <v>2084230015</v>
      </c>
      <c r="B569" s="18" t="s">
        <v>11627</v>
      </c>
      <c r="C569" s="18" t="s">
        <v>11629</v>
      </c>
      <c r="D569" s="5" t="str">
        <f ca="1">IFERROR(__xludf.DUMMYFUNCTION("GOOGLETRANSLATE(B569,""ja"",""vi"")"),"Pisunau")</f>
        <v>Pisunau</v>
      </c>
      <c r="E569" s="5" t="str">
        <f ca="1">IFERROR(__xludf.DUMMYFUNCTION("GOOGLETRANSLATE(C569,""ja"",""vi"")"),"Đấu giá&gt; Thời trang&gt; By Nhãn hiệu&gt; Fly&gt; Pisunau")</f>
        <v>Đấu giá&gt; Thời trang&gt; By Nhãn hiệu&gt; Fly&gt; Pisunau</v>
      </c>
      <c r="F569" t="str">
        <f t="shared" ca="1" si="8"/>
        <v>"2084230015" : "Pisunau",</v>
      </c>
    </row>
    <row r="570" spans="1:6" ht="15.75" customHeight="1">
      <c r="A570" s="18">
        <v>2084050280</v>
      </c>
      <c r="B570" s="18" t="s">
        <v>11633</v>
      </c>
      <c r="C570" s="18" t="s">
        <v>11635</v>
      </c>
      <c r="D570" s="5" t="str">
        <f ca="1">IFERROR(__xludf.DUMMYFUNCTION("GOOGLETRANSLATE(B570,""ja"",""vi"")"),"người thương thuyết hòa bình")</f>
        <v>người thương thuyết hòa bình</v>
      </c>
      <c r="E570" s="5" t="str">
        <f ca="1">IFERROR(__xludf.DUMMYFUNCTION("GOOGLETRANSLATE(C570,""ja"",""vi"")"),"Đấu giá&gt; Thời trang&gt; By Nhãn hiệu&gt; Fly&gt; hòa giải")</f>
        <v>Đấu giá&gt; Thời trang&gt; By Nhãn hiệu&gt; Fly&gt; hòa giải</v>
      </c>
      <c r="F570" t="str">
        <f t="shared" ca="1" si="8"/>
        <v>"2084050280" : "người thương thuyết hòa bình",</v>
      </c>
    </row>
    <row r="571" spans="1:6" ht="15.75" customHeight="1">
      <c r="A571" s="18">
        <v>2084282456</v>
      </c>
      <c r="B571" s="18" t="s">
        <v>11639</v>
      </c>
      <c r="C571" s="18" t="s">
        <v>11641</v>
      </c>
      <c r="D571" s="5" t="str">
        <f ca="1">IFERROR(__xludf.DUMMYFUNCTION("GOOGLETRANSLATE(B571,""ja"",""vi"")"),"Pippi")</f>
        <v>Pippi</v>
      </c>
      <c r="E571" s="5" t="str">
        <f ca="1">IFERROR(__xludf.DUMMYFUNCTION("GOOGLETRANSLATE(C571,""ja"",""vi"")"),"Đấu giá&gt; Thời trang&gt; By Nhãn hiệu&gt; Fly&gt; Pippi")</f>
        <v>Đấu giá&gt; Thời trang&gt; By Nhãn hiệu&gt; Fly&gt; Pippi</v>
      </c>
      <c r="F571" t="str">
        <f t="shared" ca="1" si="8"/>
        <v>"2084282456" : "Pippi",</v>
      </c>
    </row>
    <row r="572" spans="1:6" ht="15.75" customHeight="1">
      <c r="A572" s="18">
        <v>2084054531</v>
      </c>
      <c r="B572" s="18" t="s">
        <v>11645</v>
      </c>
      <c r="C572" s="18" t="s">
        <v>11646</v>
      </c>
      <c r="D572" s="5" t="str">
        <f ca="1">IFERROR(__xludf.DUMMYFUNCTION("GOOGLETRANSLATE(B572,""ja"",""vi"")"),"Vicky")</f>
        <v>Vicky</v>
      </c>
      <c r="E572" s="5" t="str">
        <f ca="1">IFERROR(__xludf.DUMMYFUNCTION("GOOGLETRANSLATE(C572,""ja"",""vi"")"),"Đấu giá&gt; Thời trang&gt; By Nhãn hiệu&gt; Fly&gt; Vicky")</f>
        <v>Đấu giá&gt; Thời trang&gt; By Nhãn hiệu&gt; Fly&gt; Vicky</v>
      </c>
      <c r="F572" t="str">
        <f t="shared" ca="1" si="8"/>
        <v>"2084054531" : "Vicky",</v>
      </c>
    </row>
    <row r="573" spans="1:6" ht="15.75" customHeight="1">
      <c r="A573" s="18">
        <v>2084230011</v>
      </c>
      <c r="B573" s="18" t="s">
        <v>11651</v>
      </c>
      <c r="C573" s="18" t="s">
        <v>11653</v>
      </c>
      <c r="D573" s="5" t="str">
        <f ca="1">IFERROR(__xludf.DUMMYFUNCTION("GOOGLETRANSLATE(B573,""ja"",""vi"")"),"Peach John")</f>
        <v>Peach John</v>
      </c>
      <c r="E573" s="5" t="str">
        <f ca="1">IFERROR(__xludf.DUMMYFUNCTION("GOOGLETRANSLATE(C573,""ja"",""vi"")"),"Đấu giá&gt; Thời trang&gt; By Nhãn hiệu&gt; Fly&gt; Peach John")</f>
        <v>Đấu giá&gt; Thời trang&gt; By Nhãn hiệu&gt; Fly&gt; Peach John</v>
      </c>
      <c r="F573" t="str">
        <f t="shared" ca="1" si="8"/>
        <v>"2084230011" : "Peach John",</v>
      </c>
    </row>
    <row r="574" spans="1:6" ht="15.75" customHeight="1">
      <c r="A574" s="18">
        <v>2084054127</v>
      </c>
      <c r="B574" s="18" t="s">
        <v>11657</v>
      </c>
      <c r="C574" s="18" t="s">
        <v>11659</v>
      </c>
      <c r="D574" s="5" t="str">
        <f ca="1">IFERROR(__xludf.DUMMYFUNCTION("GOOGLETRANSLATE(B574,""ja"",""vi"")"),"PPFM")</f>
        <v>PPFM</v>
      </c>
      <c r="E574" s="5" t="str">
        <f ca="1">IFERROR(__xludf.DUMMYFUNCTION("GOOGLETRANSLATE(C574,""ja"",""vi"")"),"Đấu giá&gt; Thời trang&gt; By Nhãn hiệu&gt; Fly&gt; PPFM")</f>
        <v>Đấu giá&gt; Thời trang&gt; By Nhãn hiệu&gt; Fly&gt; PPFM</v>
      </c>
      <c r="F574" t="str">
        <f t="shared" ca="1" si="8"/>
        <v>"2084054127" : "PPFM",</v>
      </c>
    </row>
    <row r="575" spans="1:6" ht="15.75" customHeight="1">
      <c r="A575" s="18">
        <v>2084048750</v>
      </c>
      <c r="B575" s="18" t="s">
        <v>11663</v>
      </c>
      <c r="C575" s="18" t="s">
        <v>11664</v>
      </c>
      <c r="D575" s="5" t="str">
        <f ca="1">IFERROR(__xludf.DUMMYFUNCTION("GOOGLETRANSLATE(B575,""ja"",""vi"")"),"Bigi")</f>
        <v>Bigi</v>
      </c>
      <c r="E575" s="5" t="str">
        <f ca="1">IFERROR(__xludf.DUMMYFUNCTION("GOOGLETRANSLATE(C575,""ja"",""vi"")"),"Đấu giá&gt; Thời trang&gt; By Nhãn hiệu&gt; Fly&gt; Bigi")</f>
        <v>Đấu giá&gt; Thời trang&gt; By Nhãn hiệu&gt; Fly&gt; Bigi</v>
      </c>
      <c r="F575" t="str">
        <f t="shared" ca="1" si="8"/>
        <v>"2084048750" : "Bigi",</v>
      </c>
    </row>
    <row r="576" spans="1:6" ht="15.75" customHeight="1">
      <c r="A576" s="18">
        <v>2084048752</v>
      </c>
      <c r="B576" s="18" t="s">
        <v>11668</v>
      </c>
      <c r="C576" s="18" t="s">
        <v>11670</v>
      </c>
      <c r="D576" s="5" t="str">
        <f ca="1">IFERROR(__xludf.DUMMYFUNCTION("GOOGLETRANSLATE(B576,""ja"",""vi"")"),"Bibayu")</f>
        <v>Bibayu</v>
      </c>
      <c r="E576" s="5" t="str">
        <f ca="1">IFERROR(__xludf.DUMMYFUNCTION("GOOGLETRANSLATE(C576,""ja"",""vi"")"),"Đấu giá&gt; Thời trang&gt; By Nhãn hiệu&gt; Fly&gt; Bibayu")</f>
        <v>Đấu giá&gt; Thời trang&gt; By Nhãn hiệu&gt; Fly&gt; Bibayu</v>
      </c>
      <c r="F576" t="str">
        <f t="shared" ca="1" si="8"/>
        <v>"2084048752" : "Bibayu",</v>
      </c>
    </row>
    <row r="577" spans="1:6" ht="15.75" customHeight="1">
      <c r="A577" s="18">
        <v>2084048595</v>
      </c>
      <c r="B577" s="18" t="s">
        <v>11673</v>
      </c>
      <c r="C577" s="18" t="s">
        <v>11674</v>
      </c>
      <c r="D577" s="5" t="str">
        <f ca="1">IFERROR(__xludf.DUMMYFUNCTION("GOOGLETRANSLATE(B577,""ja"",""vi"")"),"Vivienne Westwood")</f>
        <v>Vivienne Westwood</v>
      </c>
      <c r="E577" s="5" t="str">
        <f ca="1">IFERROR(__xludf.DUMMYFUNCTION("GOOGLETRANSLATE(C577,""ja"",""vi"")"),"Đấu giá&gt; Thời trang&gt; By Nhãn hiệu&gt; Fly&gt; Vivienne Westwood")</f>
        <v>Đấu giá&gt; Thời trang&gt; By Nhãn hiệu&gt; Fly&gt; Vivienne Westwood</v>
      </c>
      <c r="F577" t="str">
        <f t="shared" ca="1" si="8"/>
        <v>"2084048595" : "Vivienne Westwood",</v>
      </c>
    </row>
    <row r="578" spans="1:6" ht="15.75" customHeight="1">
      <c r="A578" s="18">
        <v>2084050183</v>
      </c>
      <c r="B578" s="18" t="s">
        <v>11678</v>
      </c>
      <c r="C578" s="18" t="s">
        <v>11679</v>
      </c>
      <c r="D578" s="5" t="str">
        <f ca="1">IFERROR(__xludf.DUMMYFUNCTION("GOOGLETRANSLATE(B578,""ja"",""vi"")"),"Vivienne Tam")</f>
        <v>Vivienne Tam</v>
      </c>
      <c r="E578" s="5" t="str">
        <f ca="1">IFERROR(__xludf.DUMMYFUNCTION("GOOGLETRANSLATE(C578,""ja"",""vi"")"),"Đấu giá&gt; Thời trang&gt; By Nhãn hiệu&gt; Fly&gt; Vivienne Tam")</f>
        <v>Đấu giá&gt; Thời trang&gt; By Nhãn hiệu&gt; Fly&gt; Vivienne Tam</v>
      </c>
      <c r="F578" t="str">
        <f t="shared" ref="F578:F641" ca="1" si="9">CONCATENATE(CHAR(34)&amp;"",A578,""&amp;CHAR(34)," : ", CHAR(34)&amp;"",D578,""&amp;CHAR(34),",")</f>
        <v>"2084050183" : "Vivienne Tam",</v>
      </c>
    </row>
    <row r="579" spans="1:6" ht="15.75" customHeight="1">
      <c r="A579" s="18">
        <v>2084048620</v>
      </c>
      <c r="B579" s="18" t="s">
        <v>11683</v>
      </c>
      <c r="C579" s="18" t="s">
        <v>11684</v>
      </c>
      <c r="D579" s="5" t="str">
        <f ca="1">IFERROR(__xludf.DUMMYFUNCTION("GOOGLETRANSLATE(B579,""ja"",""vi"")"),"DẦM")</f>
        <v>DẦM</v>
      </c>
      <c r="E579" s="5" t="str">
        <f ca="1">IFERROR(__xludf.DUMMYFUNCTION("GOOGLETRANSLATE(C579,""ja"",""vi"")"),"Đấu giá&gt; Thời trang&gt; By Nhãn hiệu&gt; Fly&gt; Dầm")</f>
        <v>Đấu giá&gt; Thời trang&gt; By Nhãn hiệu&gt; Fly&gt; Dầm</v>
      </c>
      <c r="F579" t="str">
        <f t="shared" ca="1" si="9"/>
        <v>"2084048620" : "DẦM",</v>
      </c>
    </row>
    <row r="580" spans="1:6" ht="15.75" customHeight="1">
      <c r="A580" s="18">
        <v>2084061381</v>
      </c>
      <c r="B580" s="18" t="s">
        <v>11688</v>
      </c>
      <c r="C580" s="18" t="s">
        <v>11690</v>
      </c>
      <c r="D580" s="5" t="str">
        <f ca="1">IFERROR(__xludf.DUMMYFUNCTION("GOOGLETRANSLATE(B580,""ja"",""vi"")"),"Himiko")</f>
        <v>Himiko</v>
      </c>
      <c r="E580" s="5" t="str">
        <f ca="1">IFERROR(__xludf.DUMMYFUNCTION("GOOGLETRANSLATE(C580,""ja"",""vi"")"),"Đấu giá&gt; Thời trang&gt; By Nhãn hiệu&gt; Fly&gt; Himiko")</f>
        <v>Đấu giá&gt; Thời trang&gt; By Nhãn hiệu&gt; Fly&gt; Himiko</v>
      </c>
      <c r="F580" t="str">
        <f t="shared" ca="1" si="9"/>
        <v>"2084061381" : "Himiko",</v>
      </c>
    </row>
    <row r="581" spans="1:6" ht="15.75" customHeight="1">
      <c r="A581" s="18">
        <v>2084036155</v>
      </c>
      <c r="B581" s="18" t="s">
        <v>11693</v>
      </c>
      <c r="C581" s="18" t="s">
        <v>11695</v>
      </c>
      <c r="D581" s="5" t="str">
        <f ca="1">IFERROR(__xludf.DUMMYFUNCTION("GOOGLETRANSLATE(B581,""ja"",""vi"")"),"Hugo Boss")</f>
        <v>Hugo Boss</v>
      </c>
      <c r="E581" s="5" t="str">
        <f ca="1">IFERROR(__xludf.DUMMYFUNCTION("GOOGLETRANSLATE(C581,""ja"",""vi"")"),"Đấu giá&gt; Thời trang&gt; By Nhãn hiệu&gt; Fly&gt; Hugo Boss")</f>
        <v>Đấu giá&gt; Thời trang&gt; By Nhãn hiệu&gt; Fly&gt; Hugo Boss</v>
      </c>
      <c r="F581" t="str">
        <f t="shared" ca="1" si="9"/>
        <v>"2084036155" : "Hugo Boss",</v>
      </c>
    </row>
    <row r="582" spans="1:6" ht="15.75" customHeight="1">
      <c r="A582" s="18">
        <v>2084243737</v>
      </c>
      <c r="B582" s="18" t="s">
        <v>11698</v>
      </c>
      <c r="C582" s="18" t="s">
        <v>11699</v>
      </c>
      <c r="D582" s="5" t="str">
        <f ca="1">IFERROR(__xludf.DUMMYFUNCTION("GOOGLETRANSLATE(B582,""ja"",""vi"")"),"nhân Woman")</f>
        <v>nhân Woman</v>
      </c>
      <c r="E582" s="5" t="str">
        <f ca="1">IFERROR(__xludf.DUMMYFUNCTION("GOOGLETRANSLATE(C582,""ja"",""vi"")"),"Đấu giá&gt; Thời trang&gt; By Nhãn hiệu&gt; Fly&gt; Nhân Woman")</f>
        <v>Đấu giá&gt; Thời trang&gt; By Nhãn hiệu&gt; Fly&gt; Nhân Woman</v>
      </c>
      <c r="F582" t="str">
        <f t="shared" ca="1" si="9"/>
        <v>"2084243737" : "nhân Woman",</v>
      </c>
    </row>
    <row r="583" spans="1:6" ht="15.75" customHeight="1">
      <c r="A583" s="18">
        <v>2084050283</v>
      </c>
      <c r="B583" s="18" t="s">
        <v>11704</v>
      </c>
      <c r="C583" s="18" t="s">
        <v>11705</v>
      </c>
      <c r="D583" s="5" t="str">
        <f ca="1">IFERROR(__xludf.DUMMYFUNCTION("GOOGLETRANSLATE(B583,""ja"",""vi"")"),"Beauty quái thú")</f>
        <v>Beauty quái thú</v>
      </c>
      <c r="E583" s="5" t="str">
        <f ca="1">IFERROR(__xludf.DUMMYFUNCTION("GOOGLETRANSLATE(C583,""ja"",""vi"")"),"Đấu giá&gt; Thời trang&gt; By Nhãn hiệu&gt; Fly&gt; Beauty quái thú")</f>
        <v>Đấu giá&gt; Thời trang&gt; By Nhãn hiệu&gt; Fly&gt; Beauty quái thú</v>
      </c>
      <c r="F583" t="str">
        <f t="shared" ca="1" si="9"/>
        <v>"2084050283" : "Beauty quái thú",</v>
      </c>
    </row>
    <row r="584" spans="1:6" ht="15.75" customHeight="1">
      <c r="A584" s="18">
        <v>2084194466</v>
      </c>
      <c r="B584" s="18" t="s">
        <v>11709</v>
      </c>
      <c r="C584" s="18" t="s">
        <v>11710</v>
      </c>
      <c r="D584" s="5" t="str">
        <f ca="1">IFERROR(__xludf.DUMMYFUNCTION("GOOGLETRANSLATE(B584,""ja"",""vi"")"),"Byurudesabon")</f>
        <v>Byurudesabon</v>
      </c>
      <c r="E584" s="5" t="str">
        <f ca="1">IFERROR(__xludf.DUMMYFUNCTION("GOOGLETRANSLATE(C584,""ja"",""vi"")"),"Đấu giá&gt; Thời trang&gt; By Nhãn hiệu&gt; Fly&gt; Byurudesabon")</f>
        <v>Đấu giá&gt; Thời trang&gt; By Nhãn hiệu&gt; Fly&gt; Byurudesabon</v>
      </c>
      <c r="F584" t="str">
        <f t="shared" ca="1" si="9"/>
        <v>"2084194466" : "Byurudesabon",</v>
      </c>
    </row>
    <row r="585" spans="1:6" ht="15.75" customHeight="1">
      <c r="A585" s="18">
        <v>2084050282</v>
      </c>
      <c r="B585" s="18" t="s">
        <v>11714</v>
      </c>
      <c r="C585" s="18" t="s">
        <v>11717</v>
      </c>
      <c r="D585" s="5" t="str">
        <f ca="1">IFERROR(__xludf.DUMMYFUNCTION("GOOGLETRANSLATE(B585,""ja"",""vi"")"),"Pyuaruseshin")</f>
        <v>Pyuaruseshin</v>
      </c>
      <c r="E585" s="5" t="str">
        <f ca="1">IFERROR(__xludf.DUMMYFUNCTION("GOOGLETRANSLATE(C585,""ja"",""vi"")"),"Đấu giá&gt; Thời trang&gt; By Nhãn hiệu&gt; Fly&gt; Pyuaruseshin")</f>
        <v>Đấu giá&gt; Thời trang&gt; By Nhãn hiệu&gt; Fly&gt; Pyuaruseshin</v>
      </c>
      <c r="F585" t="str">
        <f t="shared" ca="1" si="9"/>
        <v>"2084050282" : "Pyuaruseshin",</v>
      </c>
    </row>
    <row r="586" spans="1:6" ht="15.75" customHeight="1">
      <c r="A586" s="18">
        <v>2084205927</v>
      </c>
      <c r="B586" s="18" t="s">
        <v>11719</v>
      </c>
      <c r="C586" s="18" t="s">
        <v>11721</v>
      </c>
      <c r="D586" s="5" t="str">
        <f ca="1">IFERROR(__xludf.DUMMYFUNCTION("GOOGLETRANSLATE(B586,""ja"",""vi"")"),"Hirokokoshino")</f>
        <v>Hirokokoshino</v>
      </c>
      <c r="E586" s="5" t="str">
        <f ca="1">IFERROR(__xludf.DUMMYFUNCTION("GOOGLETRANSLATE(C586,""ja"",""vi"")"),"Đấu giá&gt; Thời trang&gt; By Nhãn hiệu&gt; Fly&gt; Hirokokoshino")</f>
        <v>Đấu giá&gt; Thời trang&gt; By Nhãn hiệu&gt; Fly&gt; Hirokokoshino</v>
      </c>
      <c r="F586" t="str">
        <f t="shared" ca="1" si="9"/>
        <v>"2084205927" : "Hirokokoshino",</v>
      </c>
    </row>
    <row r="587" spans="1:6" ht="15.75" customHeight="1">
      <c r="A587" s="18">
        <v>2084230014</v>
      </c>
      <c r="B587" s="18" t="s">
        <v>11725</v>
      </c>
      <c r="C587" s="18" t="s">
        <v>11726</v>
      </c>
      <c r="D587" s="5" t="str">
        <f ca="1">IFERROR(__xludf.DUMMYFUNCTION("GOOGLETRANSLATE(B587,""ja"",""vi"")"),"Hirofu")</f>
        <v>Hirofu</v>
      </c>
      <c r="E587" s="5" t="str">
        <f ca="1">IFERROR(__xludf.DUMMYFUNCTION("GOOGLETRANSLATE(C587,""ja"",""vi"")"),"Đấu giá&gt; Thời trang&gt; By Nhãn hiệu&gt; Fly&gt; Hirofu")</f>
        <v>Đấu giá&gt; Thời trang&gt; By Nhãn hiệu&gt; Fly&gt; Hirofu</v>
      </c>
      <c r="F587" t="str">
        <f t="shared" ca="1" si="9"/>
        <v>"2084230014" : "Hirofu",</v>
      </c>
    </row>
    <row r="588" spans="1:6" ht="15.75" customHeight="1">
      <c r="A588" s="18">
        <v>2084050284</v>
      </c>
      <c r="B588" s="18" t="s">
        <v>11731</v>
      </c>
      <c r="C588" s="18" t="s">
        <v>11732</v>
      </c>
      <c r="D588" s="5" t="str">
        <f ca="1">IFERROR(__xludf.DUMMYFUNCTION("GOOGLETRANSLATE(B588,""ja"",""vi"")"),"Billabong")</f>
        <v>Billabong</v>
      </c>
      <c r="E588" s="5" t="str">
        <f ca="1">IFERROR(__xludf.DUMMYFUNCTION("GOOGLETRANSLATE(C588,""ja"",""vi"")"),"Đấu giá&gt; Thời trang&gt; By Nhãn hiệu&gt; Fly&gt; Billabong")</f>
        <v>Đấu giá&gt; Thời trang&gt; By Nhãn hiệu&gt; Fly&gt; Billabong</v>
      </c>
      <c r="F588" t="str">
        <f t="shared" ca="1" si="9"/>
        <v>"2084050284" : "Billabong",</v>
      </c>
    </row>
    <row r="589" spans="1:6" ht="15.75" customHeight="1">
      <c r="A589" s="18">
        <v>2084301214</v>
      </c>
      <c r="B589" s="18" t="s">
        <v>11737</v>
      </c>
      <c r="C589" s="18" t="s">
        <v>11738</v>
      </c>
      <c r="D589" s="5" t="str">
        <f ca="1">IFERROR(__xludf.DUMMYFUNCTION("GOOGLETRANSLATE(B589,""ja"",""vi"")"),"Tỷ phú trai Club")</f>
        <v>Tỷ phú trai Club</v>
      </c>
      <c r="E589" s="5" t="str">
        <f ca="1">IFERROR(__xludf.DUMMYFUNCTION("GOOGLETRANSLATE(C589,""ja"",""vi"")"),"Đấu giá&gt; Thời trang&gt; By Nhãn hiệu&gt; Fly&gt; Tỷ phú trai Club")</f>
        <v>Đấu giá&gt; Thời trang&gt; By Nhãn hiệu&gt; Fly&gt; Tỷ phú trai Club</v>
      </c>
      <c r="F589" t="str">
        <f t="shared" ca="1" si="9"/>
        <v>"2084301214" : "Tỷ phú trai Club",</v>
      </c>
    </row>
    <row r="590" spans="1:6" ht="15.75" customHeight="1">
      <c r="A590" s="18">
        <v>2084050285</v>
      </c>
      <c r="B590" s="18" t="s">
        <v>11743</v>
      </c>
      <c r="C590" s="18" t="s">
        <v>11744</v>
      </c>
      <c r="D590" s="5" t="str">
        <f ca="1">IFERROR(__xludf.DUMMYFUNCTION("GOOGLETRANSLATE(B590,""ja"",""vi"")"),"Birkenstock")</f>
        <v>Birkenstock</v>
      </c>
      <c r="E590" s="5" t="str">
        <f ca="1">IFERROR(__xludf.DUMMYFUNCTION("GOOGLETRANSLATE(C590,""ja"",""vi"")"),"Đấu giá&gt; Thời trang&gt; By Nhãn hiệu&gt; Fly&gt; Birkenstock")</f>
        <v>Đấu giá&gt; Thời trang&gt; By Nhãn hiệu&gt; Fly&gt; Birkenstock</v>
      </c>
      <c r="F590" t="str">
        <f t="shared" ca="1" si="9"/>
        <v>"2084050285" : "Birkenstock",</v>
      </c>
    </row>
    <row r="591" spans="1:6" ht="15.75" customHeight="1">
      <c r="A591" s="18">
        <v>2084048757</v>
      </c>
      <c r="B591" s="18" t="s">
        <v>11748</v>
      </c>
      <c r="C591" s="18" t="s">
        <v>11752</v>
      </c>
      <c r="D591" s="5" t="str">
        <f ca="1">IFERROR(__xludf.DUMMYFUNCTION("GOOGLETRANSLATE(B591,""ja"",""vi"")"),"Pinky &amp; Dianne")</f>
        <v>Pinky &amp; Dianne</v>
      </c>
      <c r="E591" s="5" t="str">
        <f ca="1">IFERROR(__xludf.DUMMYFUNCTION("GOOGLETRANSLATE(C591,""ja"",""vi"")"),"Đấu giá&gt; Thời trang&gt; By Nhãn hiệu&gt; Fly&gt; Pinky &amp; Dianne")</f>
        <v>Đấu giá&gt; Thời trang&gt; By Nhãn hiệu&gt; Fly&gt; Pinky &amp; Dianne</v>
      </c>
      <c r="F591" t="str">
        <f t="shared" ca="1" si="9"/>
        <v>"2084048757" : "Pinky &amp; Dianne",</v>
      </c>
    </row>
    <row r="592" spans="1:6" ht="15.75" customHeight="1">
      <c r="A592" s="18">
        <v>2084054162</v>
      </c>
      <c r="B592" s="18" t="s">
        <v>11755</v>
      </c>
      <c r="C592" s="18" t="s">
        <v>11757</v>
      </c>
      <c r="D592" s="5" t="str">
        <f ca="1">IFERROR(__xludf.DUMMYFUNCTION("GOOGLETRANSLATE(B592,""ja"",""vi"")"),"Pinky girl")</f>
        <v>Pinky girl</v>
      </c>
      <c r="E592" s="5" t="str">
        <f ca="1">IFERROR(__xludf.DUMMYFUNCTION("GOOGLETRANSLATE(C592,""ja"",""vi"")"),"Đấu giá&gt; Thời trang&gt; By Nhãn hiệu&gt; Fly&gt; Pinky girl")</f>
        <v>Đấu giá&gt; Thời trang&gt; By Nhãn hiệu&gt; Fly&gt; Pinky girl</v>
      </c>
      <c r="F592" t="str">
        <f t="shared" ca="1" si="9"/>
        <v>"2084054162" : "Pinky girl",</v>
      </c>
    </row>
    <row r="593" spans="1:6" ht="15.75" customHeight="1">
      <c r="A593" s="18">
        <v>2084048623</v>
      </c>
      <c r="B593" s="18" t="s">
        <v>11762</v>
      </c>
      <c r="C593" s="18" t="s">
        <v>11764</v>
      </c>
      <c r="D593" s="5" t="str">
        <f ca="1">IFERROR(__xludf.DUMMYFUNCTION("GOOGLETRANSLATE(B593,""ja"",""vi"")"),"nhà màu hồng")</f>
        <v>nhà màu hồng</v>
      </c>
      <c r="E593" s="5" t="str">
        <f ca="1">IFERROR(__xludf.DUMMYFUNCTION("GOOGLETRANSLATE(C593,""ja"",""vi"")"),"Đấu giá&gt; Thời trang&gt; By Nhãn hiệu&gt; Fly&gt; Pink House")</f>
        <v>Đấu giá&gt; Thời trang&gt; By Nhãn hiệu&gt; Fly&gt; Pink House</v>
      </c>
      <c r="F593" t="str">
        <f t="shared" ca="1" si="9"/>
        <v>"2084048623" : "nhà màu hồng",</v>
      </c>
    </row>
    <row r="594" spans="1:6" ht="15.75" customHeight="1">
      <c r="A594" s="18">
        <v>2084286311</v>
      </c>
      <c r="B594" s="18" t="s">
        <v>46</v>
      </c>
      <c r="C594" s="18" t="s">
        <v>11769</v>
      </c>
      <c r="D594" s="5" t="str">
        <f ca="1">IFERROR(__xludf.DUMMYFUNCTION("GOOGLETRANSLATE(B594,""ja"",""vi"")"),"nếu không thì")</f>
        <v>nếu không thì</v>
      </c>
      <c r="E594" s="5" t="str">
        <f ca="1">IFERROR(__xludf.DUMMYFUNCTION("GOOGLETRANSLATE(C594,""ja"",""vi"")"),"Đấu giá&gt; Thời trang&gt; By Nhãn hiệu&gt; Fly&gt; Khác")</f>
        <v>Đấu giá&gt; Thời trang&gt; By Nhãn hiệu&gt; Fly&gt; Khác</v>
      </c>
      <c r="F594" t="str">
        <f t="shared" ca="1" si="9"/>
        <v>"2084286311" : "nếu không thì",</v>
      </c>
    </row>
    <row r="595" spans="1:6" ht="15.75" customHeight="1">
      <c r="A595" s="18">
        <v>2084050587</v>
      </c>
      <c r="B595" s="18" t="s">
        <v>11773</v>
      </c>
      <c r="C595" s="18" t="s">
        <v>11775</v>
      </c>
      <c r="D595" s="5" t="str">
        <f ca="1">IFERROR(__xludf.DUMMYFUNCTION("GOOGLETRANSLATE(B595,""ja"",""vi"")"),"45RPM")</f>
        <v>45RPM</v>
      </c>
      <c r="E595" s="5" t="str">
        <f ca="1">IFERROR(__xludf.DUMMYFUNCTION("GOOGLETRANSLATE(C595,""ja"",""vi"")"),"Đấu giá&gt; Thời trang&gt; By Nhãn hiệu&gt; fu&gt; 45RPM")</f>
        <v>Đấu giá&gt; Thời trang&gt; By Nhãn hiệu&gt; fu&gt; 45RPM</v>
      </c>
      <c r="F595" t="str">
        <f t="shared" ca="1" si="9"/>
        <v>"2084050587" : "45RPM",</v>
      </c>
    </row>
    <row r="596" spans="1:6" ht="15.75" customHeight="1">
      <c r="A596" s="18">
        <v>2084298396</v>
      </c>
      <c r="B596" s="18" t="s">
        <v>11778</v>
      </c>
      <c r="C596" s="18" t="s">
        <v>11780</v>
      </c>
      <c r="D596" s="5" t="str">
        <f ca="1">IFERROR(__xludf.DUMMYFUNCTION("GOOGLETRANSLATE(B596,""ja"",""vi"")"),"55DSL")</f>
        <v>55DSL</v>
      </c>
      <c r="E596" s="5" t="str">
        <f ca="1">IFERROR(__xludf.DUMMYFUNCTION("GOOGLETRANSLATE(C596,""ja"",""vi"")"),"Đấu giá&gt; Thời trang&gt; By Nhãn hiệu&gt; fu&gt; 55DSL")</f>
        <v>Đấu giá&gt; Thời trang&gt; By Nhãn hiệu&gt; fu&gt; 55DSL</v>
      </c>
      <c r="F596" t="str">
        <f t="shared" ca="1" si="9"/>
        <v>"2084298396" : "55DSL",</v>
      </c>
    </row>
    <row r="597" spans="1:6" ht="15.75" customHeight="1">
      <c r="A597" s="18">
        <v>2084200697</v>
      </c>
      <c r="B597" s="18" t="s">
        <v>11784</v>
      </c>
      <c r="C597" s="18" t="s">
        <v>11786</v>
      </c>
      <c r="D597" s="5" t="str">
        <f ca="1">IFERROR(__xludf.DUMMYFUNCTION("GOOGLETRANSLATE(B597,""ja"",""vi"")"),"FAD3")</f>
        <v>FAD3</v>
      </c>
      <c r="E597" s="5" t="str">
        <f ca="1">IFERROR(__xludf.DUMMYFUNCTION("GOOGLETRANSLATE(C597,""ja"",""vi"")"),"Đấu giá&gt; Thời trang&gt; By Nhãn hiệu&gt; fu&gt; FAD3")</f>
        <v>Đấu giá&gt; Thời trang&gt; By Nhãn hiệu&gt; fu&gt; FAD3</v>
      </c>
      <c r="F597" t="str">
        <f t="shared" ca="1" si="9"/>
        <v>"2084200697" : "FAD3",</v>
      </c>
    </row>
    <row r="598" spans="1:6" ht="15.75" customHeight="1">
      <c r="A598" s="18">
        <v>2084242348</v>
      </c>
      <c r="B598" s="18" t="s">
        <v>11789</v>
      </c>
      <c r="C598" s="18" t="s">
        <v>11792</v>
      </c>
      <c r="D598" s="5" t="str">
        <f ca="1">IFERROR(__xludf.DUMMYFUNCTION("GOOGLETRANSLATE(B598,""ja"",""vi"")"),"Forever21")</f>
        <v>Forever21</v>
      </c>
      <c r="E598" s="5" t="str">
        <f ca="1">IFERROR(__xludf.DUMMYFUNCTION("GOOGLETRANSLATE(C598,""ja"",""vi"")"),"Đấu giá&gt; Thời trang&gt; By Nhãn hiệu&gt; fu&gt; Forever21")</f>
        <v>Đấu giá&gt; Thời trang&gt; By Nhãn hiệu&gt; fu&gt; Forever21</v>
      </c>
      <c r="F598" t="str">
        <f t="shared" ca="1" si="9"/>
        <v>"2084242348" : "Forever21",</v>
      </c>
    </row>
    <row r="599" spans="1:6" ht="15.75" customHeight="1">
      <c r="A599" s="18">
        <v>2084284246</v>
      </c>
      <c r="B599" s="18" t="s">
        <v>11794</v>
      </c>
      <c r="C599" s="18" t="s">
        <v>11797</v>
      </c>
      <c r="D599" s="5" t="str">
        <f ca="1">IFERROR(__xludf.DUMMYFUNCTION("GOOGLETRANSLATE(B599,""ja"",""vi"")"),"Fin")</f>
        <v>Fin</v>
      </c>
      <c r="E599" s="5" t="str">
        <f ca="1">IFERROR(__xludf.DUMMYFUNCTION("GOOGLETRANSLATE(C599,""ja"",""vi"")"),"Đấu giá&gt; Thời trang&gt; By Nhãn hiệu&gt; fu&gt; Fin")</f>
        <v>Đấu giá&gt; Thời trang&gt; By Nhãn hiệu&gt; fu&gt; Fin</v>
      </c>
      <c r="F599" t="str">
        <f t="shared" ca="1" si="9"/>
        <v>"2084284246" : "Fin",</v>
      </c>
    </row>
    <row r="600" spans="1:6" ht="15.75" customHeight="1">
      <c r="A600" s="18">
        <v>2084285225</v>
      </c>
      <c r="B600" s="18" t="s">
        <v>11800</v>
      </c>
      <c r="C600" s="18" t="s">
        <v>11803</v>
      </c>
      <c r="D600" s="5" t="str">
        <f ca="1">IFERROR(__xludf.DUMMYFUNCTION("GOOGLETRANSLATE(B600,""ja"",""vi"")"),"HIỆN TƯỢNG")</f>
        <v>HIỆN TƯỢNG</v>
      </c>
      <c r="E600" s="5" t="str">
        <f ca="1">IFERROR(__xludf.DUMMYFUNCTION("GOOGLETRANSLATE(C600,""ja"",""vi"")"),"Đấu giá&gt; Thời trang&gt; By Nhãn hiệu&gt; fu&gt; HIỆN TƯỢNG")</f>
        <v>Đấu giá&gt; Thời trang&gt; By Nhãn hiệu&gt; fu&gt; HIỆN TƯỢNG</v>
      </c>
      <c r="F600" t="str">
        <f t="shared" ca="1" si="9"/>
        <v>"2084285225" : "HIỆN TƯỢNG",</v>
      </c>
    </row>
    <row r="601" spans="1:6" ht="15.75" customHeight="1">
      <c r="A601" s="18">
        <v>2084229165</v>
      </c>
      <c r="B601" s="18" t="s">
        <v>11805</v>
      </c>
      <c r="C601" s="18" t="s">
        <v>11807</v>
      </c>
      <c r="D601" s="5" t="str">
        <f ca="1">IFERROR(__xludf.DUMMYFUNCTION("GOOGLETRANSLATE(B601,""ja"",""vi"")"),"Fakutotamu")</f>
        <v>Fakutotamu</v>
      </c>
      <c r="E601" s="5" t="str">
        <f ca="1">IFERROR(__xludf.DUMMYFUNCTION("GOOGLETRANSLATE(C601,""ja"",""vi"")"),"Đấu giá&gt; Thời trang&gt; By Nhãn hiệu&gt; fu&gt; Fakutotamu")</f>
        <v>Đấu giá&gt; Thời trang&gt; By Nhãn hiệu&gt; fu&gt; Fakutotamu</v>
      </c>
      <c r="F601" t="str">
        <f t="shared" ca="1" si="9"/>
        <v>"2084229165" : "Fakutotamu",</v>
      </c>
    </row>
    <row r="602" spans="1:6" ht="15.75" customHeight="1">
      <c r="A602" s="18">
        <v>2084048624</v>
      </c>
      <c r="B602" s="18" t="s">
        <v>10895</v>
      </c>
      <c r="C602" s="18" t="s">
        <v>11810</v>
      </c>
      <c r="D602" s="5" t="str">
        <f ca="1">IFERROR(__xludf.DUMMYFUNCTION("GOOGLETRANSLATE(B602,""ja"",""vi"")"),"quen")</f>
        <v>quen</v>
      </c>
      <c r="E602" s="5" t="str">
        <f ca="1">IFERROR(__xludf.DUMMYFUNCTION("GOOGLETRANSLATE(C602,""ja"",""vi"")"),"Đấu giá&gt; Thời trang&gt; By Nhãn hiệu&gt; fu&gt; gia đình")</f>
        <v>Đấu giá&gt; Thời trang&gt; By Nhãn hiệu&gt; fu&gt; gia đình</v>
      </c>
      <c r="F602" t="str">
        <f t="shared" ca="1" si="9"/>
        <v>"2084048624" : "quen",</v>
      </c>
    </row>
    <row r="603" spans="1:6" ht="15.75" customHeight="1">
      <c r="A603" s="18">
        <v>2084205928</v>
      </c>
      <c r="B603" s="18" t="s">
        <v>11813</v>
      </c>
      <c r="C603" s="18" t="s">
        <v>11814</v>
      </c>
      <c r="D603" s="5" t="str">
        <f ca="1">IFERROR(__xludf.DUMMYFUNCTION("GOOGLETRANSLATE(B603,""ja"",""vi"")"),"Fira")</f>
        <v>Fira</v>
      </c>
      <c r="E603" s="5" t="str">
        <f ca="1">IFERROR(__xludf.DUMMYFUNCTION("GOOGLETRANSLATE(C603,""ja"",""vi"")"),"Đấu giá&gt; Thời trang&gt; By Nhãn hiệu&gt; fu&gt; Fira")</f>
        <v>Đấu giá&gt; Thời trang&gt; By Nhãn hiệu&gt; fu&gt; Fira</v>
      </c>
      <c r="F603" t="str">
        <f t="shared" ca="1" si="9"/>
        <v>"2084205928" : "Fira",</v>
      </c>
    </row>
    <row r="604" spans="1:6" ht="15.75" customHeight="1">
      <c r="A604" s="18">
        <v>2084229214</v>
      </c>
      <c r="B604" s="18" t="s">
        <v>11817</v>
      </c>
      <c r="C604" s="18" t="s">
        <v>11818</v>
      </c>
      <c r="D604" s="5" t="str">
        <f ca="1">IFERROR(__xludf.DUMMYFUNCTION("GOOGLETRANSLATE(B604,""ja"",""vi"")"),"Filson")</f>
        <v>Filson</v>
      </c>
      <c r="E604" s="5" t="str">
        <f ca="1">IFERROR(__xludf.DUMMYFUNCTION("GOOGLETRANSLATE(C604,""ja"",""vi"")"),"Đấu giá&gt; Thời trang&gt; By Nhãn hiệu&gt; fu&gt; Filson")</f>
        <v>Đấu giá&gt; Thời trang&gt; By Nhãn hiệu&gt; fu&gt; Filson</v>
      </c>
      <c r="F604" t="str">
        <f t="shared" ca="1" si="9"/>
        <v>"2084229214" : "Filson",</v>
      </c>
    </row>
    <row r="605" spans="1:6" ht="15.75" customHeight="1">
      <c r="A605" s="18">
        <v>2084261183</v>
      </c>
      <c r="B605" s="18" t="s">
        <v>11821</v>
      </c>
      <c r="C605" s="18" t="s">
        <v>11822</v>
      </c>
      <c r="D605" s="5" t="str">
        <f ca="1">IFERROR(__xludf.DUMMYFUNCTION("GOOGLETRANSLATE(B605,""ja"",""vi"")"),"thất bại")</f>
        <v>thất bại</v>
      </c>
      <c r="E605" s="5" t="str">
        <f ca="1">IFERROR(__xludf.DUMMYFUNCTION("GOOGLETRANSLATE(C605,""ja"",""vi"")"),"Đấu giá&gt; Thời trang&gt; By Nhãn hiệu&gt; fu&gt; Không")</f>
        <v>Đấu giá&gt; Thời trang&gt; By Nhãn hiệu&gt; fu&gt; Không</v>
      </c>
      <c r="F605" t="str">
        <f t="shared" ca="1" si="9"/>
        <v>"2084261183" : "thất bại",</v>
      </c>
    </row>
    <row r="606" spans="1:6" ht="15.75" customHeight="1">
      <c r="A606" s="18">
        <v>2084226713</v>
      </c>
      <c r="B606" s="18" t="s">
        <v>11825</v>
      </c>
      <c r="C606" s="18" t="s">
        <v>11826</v>
      </c>
      <c r="D606" s="5" t="str">
        <f ca="1">IFERROR(__xludf.DUMMYFUNCTION("GOOGLETRANSLATE(B606,""ja"",""vi"")"),"Phoenix")</f>
        <v>Phoenix</v>
      </c>
      <c r="E606" s="5" t="str">
        <f ca="1">IFERROR(__xludf.DUMMYFUNCTION("GOOGLETRANSLATE(C606,""ja"",""vi"")"),"Đấu giá&gt; Thời trang&gt; By Nhãn hiệu&gt; fu&gt; Phoenix")</f>
        <v>Đấu giá&gt; Thời trang&gt; By Nhãn hiệu&gt; fu&gt; Phoenix</v>
      </c>
      <c r="F606" t="str">
        <f t="shared" ca="1" si="9"/>
        <v>"2084226713" : "Phoenix",</v>
      </c>
    </row>
    <row r="607" spans="1:6" ht="15.75" customHeight="1">
      <c r="A607" s="18">
        <v>2084050227</v>
      </c>
      <c r="B607" s="18" t="s">
        <v>11829</v>
      </c>
      <c r="C607" s="18" t="s">
        <v>11830</v>
      </c>
      <c r="D607" s="5" t="str">
        <f ca="1">IFERROR(__xludf.DUMMYFUNCTION("GOOGLETRANSLATE(B607,""ja"",""vi"")"),"Ferragamo")</f>
        <v>Ferragamo</v>
      </c>
      <c r="E607" s="5" t="str">
        <f ca="1">IFERROR(__xludf.DUMMYFUNCTION("GOOGLETRANSLATE(C607,""ja"",""vi"")"),"Đấu giá&gt; Thời trang&gt; By Nhãn hiệu&gt; fu&gt; Ferragamo")</f>
        <v>Đấu giá&gt; Thời trang&gt; By Nhãn hiệu&gt; fu&gt; Ferragamo</v>
      </c>
      <c r="F607" t="str">
        <f t="shared" ca="1" si="9"/>
        <v>"2084050227" : "Ferragamo",</v>
      </c>
    </row>
    <row r="608" spans="1:6" ht="15.75" customHeight="1">
      <c r="A608" s="18">
        <v>2084050287</v>
      </c>
      <c r="B608" s="18" t="s">
        <v>11833</v>
      </c>
      <c r="C608" s="18" t="s">
        <v>11834</v>
      </c>
      <c r="D608" s="5" t="str">
        <f ca="1">IFERROR(__xludf.DUMMYFUNCTION("GOOGLETRANSLATE(B608,""ja"",""vi"")"),"Felisi")</f>
        <v>Felisi</v>
      </c>
      <c r="E608" s="5" t="str">
        <f ca="1">IFERROR(__xludf.DUMMYFUNCTION("GOOGLETRANSLATE(C608,""ja"",""vi"")"),"Đấu giá&gt; Thời trang&gt; By Nhãn hiệu&gt; fu&gt; Felisi")</f>
        <v>Đấu giá&gt; Thời trang&gt; By Nhãn hiệu&gt; fu&gt; Felisi</v>
      </c>
      <c r="F608" t="str">
        <f t="shared" ca="1" si="9"/>
        <v>"2084050287" : "Felisi",</v>
      </c>
    </row>
    <row r="609" spans="1:6" ht="15.75" customHeight="1">
      <c r="A609" s="18">
        <v>2084298397</v>
      </c>
      <c r="B609" s="18" t="s">
        <v>11835</v>
      </c>
      <c r="C609" s="18" t="s">
        <v>11836</v>
      </c>
      <c r="D609" s="5" t="str">
        <f ca="1">IFERROR(__xludf.DUMMYFUNCTION("GOOGLETRANSLATE(B609,""ja"",""vi"")"),"Feruu")</f>
        <v>Feruu</v>
      </c>
      <c r="E609" s="5" t="str">
        <f ca="1">IFERROR(__xludf.DUMMYFUNCTION("GOOGLETRANSLATE(C609,""ja"",""vi"")"),"Đấu giá&gt; Thời trang&gt; By Nhãn hiệu&gt; fu&gt; Feruu")</f>
        <v>Đấu giá&gt; Thời trang&gt; By Nhãn hiệu&gt; fu&gt; Feruu</v>
      </c>
      <c r="F609" t="str">
        <f t="shared" ca="1" si="9"/>
        <v>"2084298397" : "Feruu",</v>
      </c>
    </row>
    <row r="610" spans="1:6" ht="15.75" customHeight="1">
      <c r="A610" s="18">
        <v>2084050288</v>
      </c>
      <c r="B610" s="18" t="s">
        <v>11839</v>
      </c>
      <c r="C610" s="18" t="s">
        <v>11840</v>
      </c>
      <c r="D610" s="5" t="str">
        <f ca="1">IFERROR(__xludf.DUMMYFUNCTION("GOOGLETRANSLATE(B610,""ja"",""vi"")"),"Fellows")</f>
        <v>Fellows</v>
      </c>
      <c r="E610" s="5" t="str">
        <f ca="1">IFERROR(__xludf.DUMMYFUNCTION("GOOGLETRANSLATE(C610,""ja"",""vi"")"),"Đấu giá&gt; Thời trang&gt; By Nhãn hiệu&gt; fu&gt; Fellows")</f>
        <v>Đấu giá&gt; Thời trang&gt; By Nhãn hiệu&gt; fu&gt; Fellows</v>
      </c>
      <c r="F610" t="str">
        <f t="shared" ca="1" si="9"/>
        <v>"2084050288" : "Fellows",</v>
      </c>
    </row>
    <row r="611" spans="1:6" ht="15.75" customHeight="1">
      <c r="A611" s="18">
        <v>2084048626</v>
      </c>
      <c r="B611" s="18" t="s">
        <v>11843</v>
      </c>
      <c r="C611" s="18" t="s">
        <v>11845</v>
      </c>
      <c r="D611" s="5" t="str">
        <f ca="1">IFERROR(__xludf.DUMMYFUNCTION("GOOGLETRANSLATE(B611,""ja"",""vi"")"),"Fendi")</f>
        <v>Fendi</v>
      </c>
      <c r="E611" s="5" t="str">
        <f ca="1">IFERROR(__xludf.DUMMYFUNCTION("GOOGLETRANSLATE(C611,""ja"",""vi"")"),"Đấu giá&gt; Thời trang&gt; By Nhãn hiệu&gt; fu&gt; Fendi")</f>
        <v>Đấu giá&gt; Thời trang&gt; By Nhãn hiệu&gt; fu&gt; Fendi</v>
      </c>
      <c r="F611" t="str">
        <f t="shared" ca="1" si="9"/>
        <v>"2084048626" : "Fendi",</v>
      </c>
    </row>
    <row r="612" spans="1:6" ht="15.75" customHeight="1">
      <c r="A612" s="18">
        <v>2084054448</v>
      </c>
      <c r="B612" s="18" t="s">
        <v>11848</v>
      </c>
      <c r="C612" s="18" t="s">
        <v>11850</v>
      </c>
      <c r="D612" s="5" t="str">
        <f ca="1">IFERROR(__xludf.DUMMYFUNCTION("GOOGLETRANSLATE(B612,""ja"",""vi"")"),"xảo quyệt")</f>
        <v>xảo quyệt</v>
      </c>
      <c r="E612" s="5" t="str">
        <f ca="1">IFERROR(__xludf.DUMMYFUNCTION("GOOGLETRANSLATE(C612,""ja"",""vi"")"),"Đấu giá&gt; Thời trang&gt; By Nhãn hiệu&gt; fu&gt; Foxy")</f>
        <v>Đấu giá&gt; Thời trang&gt; By Nhãn hiệu&gt; fu&gt; Foxy</v>
      </c>
      <c r="F612" t="str">
        <f t="shared" ca="1" si="9"/>
        <v>"2084054448" : "xảo quyệt",</v>
      </c>
    </row>
    <row r="613" spans="1:6" ht="15.75" customHeight="1">
      <c r="A613" s="18">
        <v>2084203600</v>
      </c>
      <c r="B613" s="18" t="s">
        <v>11852</v>
      </c>
      <c r="C613" s="18" t="s">
        <v>11855</v>
      </c>
      <c r="D613" s="5" t="str">
        <f ca="1">IFERROR(__xludf.DUMMYFUNCTION("GOOGLETRANSLATE(B613,""ja"",""vi"")"),"FOXFIRE")</f>
        <v>FOXFIRE</v>
      </c>
      <c r="E613" s="5" t="str">
        <f ca="1">IFERROR(__xludf.DUMMYFUNCTION("GOOGLETRANSLATE(C613,""ja"",""vi"")"),"Đấu giá&gt; Thời trang&gt; By Nhãn hiệu&gt; fu&gt; FOXFIRE")</f>
        <v>Đấu giá&gt; Thời trang&gt; By Nhãn hiệu&gt; fu&gt; FOXFIRE</v>
      </c>
      <c r="F613" t="str">
        <f t="shared" ca="1" si="9"/>
        <v>"2084203600" : "FOXFIRE",</v>
      </c>
    </row>
    <row r="614" spans="1:6" ht="15.75" customHeight="1">
      <c r="A614" s="18">
        <v>2084205172</v>
      </c>
      <c r="B614" s="18" t="s">
        <v>11858</v>
      </c>
      <c r="C614" s="18" t="s">
        <v>11860</v>
      </c>
      <c r="D614" s="5" t="str">
        <f ca="1">IFERROR(__xludf.DUMMYFUNCTION("GOOGLETRANSLATE(B614,""ja"",""vi"")"),"Hussein Chalayan")</f>
        <v>Hussein Chalayan</v>
      </c>
      <c r="E614" s="5" t="str">
        <f ca="1">IFERROR(__xludf.DUMMYFUNCTION("GOOGLETRANSLATE(C614,""ja"",""vi"")"),"Đấu giá&gt; Thời trang&gt; By Nhãn hiệu&gt; fu&gt; Hussein Chalayan")</f>
        <v>Đấu giá&gt; Thời trang&gt; By Nhãn hiệu&gt; fu&gt; Hussein Chalayan</v>
      </c>
      <c r="F614" t="str">
        <f t="shared" ca="1" si="9"/>
        <v>"2084205172" : "Hussein Chalayan",</v>
      </c>
    </row>
    <row r="615" spans="1:6" ht="15.75" customHeight="1">
      <c r="A615" s="18">
        <v>2084241627</v>
      </c>
      <c r="B615" s="18" t="s">
        <v>11864</v>
      </c>
      <c r="C615" s="18" t="s">
        <v>11865</v>
      </c>
      <c r="D615" s="5" t="str">
        <f ca="1">IFERROR(__xludf.DUMMYFUNCTION("GOOGLETRANSLATE(B615,""ja"",""vi"")"),"Buttero")</f>
        <v>Buttero</v>
      </c>
      <c r="E615" s="5" t="str">
        <f ca="1">IFERROR(__xludf.DUMMYFUNCTION("GOOGLETRANSLATE(C615,""ja"",""vi"")"),"Đấu giá&gt; Thời trang&gt; By Nhãn hiệu&gt; fu&gt; Buttero")</f>
        <v>Đấu giá&gt; Thời trang&gt; By Nhãn hiệu&gt; fu&gt; Buttero</v>
      </c>
      <c r="F615" t="str">
        <f t="shared" ca="1" si="9"/>
        <v>"2084241627" : "Buttero",</v>
      </c>
    </row>
    <row r="616" spans="1:6" ht="15.75" customHeight="1">
      <c r="A616" s="18">
        <v>2084048627</v>
      </c>
      <c r="B616" s="18" t="s">
        <v>11870</v>
      </c>
      <c r="C616" s="18" t="s">
        <v>11871</v>
      </c>
      <c r="D616" s="5" t="str">
        <f ca="1">IFERROR(__xludf.DUMMYFUNCTION("GOOGLETRANSLATE(B616,""ja"",""vi"")"),"Petit Junko")</f>
        <v>Petit Junko</v>
      </c>
      <c r="E616" s="5" t="str">
        <f ca="1">IFERROR(__xludf.DUMMYFUNCTION("GOOGLETRANSLATE(C616,""ja"",""vi"")"),"Đấu giá&gt; Thời trang&gt; By Nhãn hiệu&gt; fu&gt; Petit Junko")</f>
        <v>Đấu giá&gt; Thời trang&gt; By Nhãn hiệu&gt; fu&gt; Petit Junko</v>
      </c>
      <c r="F616" t="str">
        <f t="shared" ca="1" si="9"/>
        <v>"2084048627" : "Petit Junko",</v>
      </c>
    </row>
    <row r="617" spans="1:6" ht="15.75" customHeight="1">
      <c r="A617" s="18">
        <v>2084050290</v>
      </c>
      <c r="B617" s="18" t="s">
        <v>11876</v>
      </c>
      <c r="C617" s="18" t="s">
        <v>11877</v>
      </c>
      <c r="D617" s="5" t="str">
        <f ca="1">IFERROR(__xludf.DUMMYFUNCTION("GOOGLETRANSLATE(B617,""ja"",""vi"")"),"Puchibato")</f>
        <v>Puchibato</v>
      </c>
      <c r="E617" s="5" t="str">
        <f ca="1">IFERROR(__xludf.DUMMYFUNCTION("GOOGLETRANSLATE(C617,""ja"",""vi"")"),"Đấu giá&gt; Thời trang&gt; By Nhãn hiệu&gt; fu&gt; Puchibato")</f>
        <v>Đấu giá&gt; Thời trang&gt; By Nhãn hiệu&gt; fu&gt; Puchibato</v>
      </c>
      <c r="F617" t="str">
        <f t="shared" ca="1" si="9"/>
        <v>"2084050290" : "Puchibato",</v>
      </c>
    </row>
    <row r="618" spans="1:6" ht="15.75" customHeight="1">
      <c r="A618" s="18">
        <v>2084210398</v>
      </c>
      <c r="B618" s="18" t="s">
        <v>11882</v>
      </c>
      <c r="C618" s="18" t="s">
        <v>11883</v>
      </c>
      <c r="D618" s="5" t="str">
        <f ca="1">IFERROR(__xludf.DUMMYFUNCTION("GOOGLETRANSLATE(B618,""ja"",""vi"")"),"Bufuu")</f>
        <v>Bufuu</v>
      </c>
      <c r="E618" s="5" t="str">
        <f ca="1">IFERROR(__xludf.DUMMYFUNCTION("GOOGLETRANSLATE(C618,""ja"",""vi"")"),"Đấu giá&gt; Thời trang&gt; By Nhãn hiệu&gt; fu&gt; Bufuu")</f>
        <v>Đấu giá&gt; Thời trang&gt; By Nhãn hiệu&gt; fu&gt; Bufuu</v>
      </c>
      <c r="F618" t="str">
        <f t="shared" ca="1" si="9"/>
        <v>"2084210398" : "Bufuu",</v>
      </c>
    </row>
    <row r="619" spans="1:6" ht="15.75" customHeight="1">
      <c r="A619" s="18">
        <v>2084242612</v>
      </c>
      <c r="B619" s="18" t="s">
        <v>11887</v>
      </c>
      <c r="C619" s="18" t="s">
        <v>11889</v>
      </c>
      <c r="D619" s="5" t="str">
        <f ca="1">IFERROR(__xludf.DUMMYFUNCTION("GOOGLETRANSLATE(B619,""ja"",""vi"")"),"giống cọp ở mỹ")</f>
        <v>giống cọp ở mỹ</v>
      </c>
      <c r="E619" s="5" t="str">
        <f ca="1">IFERROR(__xludf.DUMMYFUNCTION("GOOGLETRANSLATE(C619,""ja"",""vi"")"),"Đấu giá&gt; Thời trang&gt; By Nhãn hiệu&gt; fu&gt; Puma")</f>
        <v>Đấu giá&gt; Thời trang&gt; By Nhãn hiệu&gt; fu&gt; Puma</v>
      </c>
      <c r="F619" t="str">
        <f t="shared" ca="1" si="9"/>
        <v>"2084242612" : "giống cọp ở mỹ",</v>
      </c>
    </row>
    <row r="620" spans="1:6" ht="15.75" customHeight="1">
      <c r="A620" s="18">
        <v>2084244353</v>
      </c>
      <c r="B620" s="18" t="s">
        <v>11893</v>
      </c>
      <c r="C620" s="18" t="s">
        <v>11894</v>
      </c>
      <c r="D620" s="5" t="str">
        <f ca="1">IFERROR(__xludf.DUMMYFUNCTION("GOOGLETRANSLATE(B620,""ja"",""vi"")"),"Fly")</f>
        <v>Fly</v>
      </c>
      <c r="E620" s="5" t="str">
        <f ca="1">IFERROR(__xludf.DUMMYFUNCTION("GOOGLETRANSLATE(C620,""ja"",""vi"")"),"Đấu giá&gt; Thời trang&gt; By Nhãn hiệu&gt; fu&gt; Fly")</f>
        <v>Đấu giá&gt; Thời trang&gt; By Nhãn hiệu&gt; fu&gt; Fly</v>
      </c>
      <c r="F620" t="str">
        <f t="shared" ca="1" si="9"/>
        <v>"2084244353" : "Fly",</v>
      </c>
    </row>
    <row r="621" spans="1:6" ht="15.75" customHeight="1">
      <c r="A621" s="18">
        <v>2084207445</v>
      </c>
      <c r="B621" s="18" t="s">
        <v>11899</v>
      </c>
      <c r="C621" s="18" t="s">
        <v>11900</v>
      </c>
      <c r="D621" s="5" t="str">
        <f ca="1">IFERROR(__xludf.DUMMYFUNCTION("GOOGLETRANSLATE(B621,""ja"",""vi"")"),"Frazier")</f>
        <v>Frazier</v>
      </c>
      <c r="E621" s="5" t="str">
        <f ca="1">IFERROR(__xludf.DUMMYFUNCTION("GOOGLETRANSLATE(C621,""ja"",""vi"")"),"Đấu giá&gt; Thời trang&gt; By Nhãn hiệu&gt; fu&gt; Frazier")</f>
        <v>Đấu giá&gt; Thời trang&gt; By Nhãn hiệu&gt; fu&gt; Frazier</v>
      </c>
      <c r="F621" t="str">
        <f t="shared" ca="1" si="9"/>
        <v>"2084207445" : "Frazier",</v>
      </c>
    </row>
    <row r="622" spans="1:6" ht="15.75" customHeight="1">
      <c r="A622" s="18">
        <v>2084244306</v>
      </c>
      <c r="B622" s="18" t="s">
        <v>11904</v>
      </c>
      <c r="C622" s="18" t="s">
        <v>11906</v>
      </c>
      <c r="D622" s="5" t="str">
        <f ca="1">IFERROR(__xludf.DUMMYFUNCTION("GOOGLETRANSLATE(B622,""ja"",""vi"")"),"đầu phẳng")</f>
        <v>đầu phẳng</v>
      </c>
      <c r="E622" s="5" t="str">
        <f ca="1">IFERROR(__xludf.DUMMYFUNCTION("GOOGLETRANSLATE(C622,""ja"",""vi"")"),"Đấu giá&gt; Thời trang&gt; By Nhãn hiệu&gt; fu&gt; đầu phẳng")</f>
        <v>Đấu giá&gt; Thời trang&gt; By Nhãn hiệu&gt; fu&gt; đầu phẳng</v>
      </c>
      <c r="F622" t="str">
        <f t="shared" ca="1" si="9"/>
        <v>"2084244306" : "đầu phẳng",</v>
      </c>
    </row>
    <row r="623" spans="1:6" ht="15.75" customHeight="1">
      <c r="A623" s="18">
        <v>2084192991</v>
      </c>
      <c r="B623" s="18" t="s">
        <v>11909</v>
      </c>
      <c r="C623" s="18" t="s">
        <v>11910</v>
      </c>
      <c r="D623" s="5" t="str">
        <f ca="1">IFERROR(__xludf.DUMMYFUNCTION("GOOGLETRANSLATE(B623,""ja"",""vi"")"),"Furaboa")</f>
        <v>Furaboa</v>
      </c>
      <c r="E623" s="5" t="str">
        <f ca="1">IFERROR(__xludf.DUMMYFUNCTION("GOOGLETRANSLATE(C623,""ja"",""vi"")"),"Đấu giá&gt; Thời trang&gt; By Nhãn hiệu&gt; fu&gt; Furaboa")</f>
        <v>Đấu giá&gt; Thời trang&gt; By Nhãn hiệu&gt; fu&gt; Furaboa</v>
      </c>
      <c r="F623" t="str">
        <f t="shared" ca="1" si="9"/>
        <v>"2084192991" : "Furaboa",</v>
      </c>
    </row>
    <row r="624" spans="1:6" ht="15.75" customHeight="1">
      <c r="A624" s="18">
        <v>2084259884</v>
      </c>
      <c r="B624" s="18" t="s">
        <v>11914</v>
      </c>
      <c r="C624" s="18" t="s">
        <v>11915</v>
      </c>
      <c r="D624" s="5" t="str">
        <f ca="1">IFERROR(__xludf.DUMMYFUNCTION("GOOGLETRANSLATE(B624,""ja"",""vi"")"),"Franklin &amp; Marshall")</f>
        <v>Franklin &amp; Marshall</v>
      </c>
      <c r="E624" s="5" t="str">
        <f ca="1">IFERROR(__xludf.DUMMYFUNCTION("GOOGLETRANSLATE(C624,""ja"",""vi"")"),"Đấu giá&gt; Thời trang&gt; By Nhãn hiệu&gt; fu&gt; Franklin &amp; Marshall")</f>
        <v>Đấu giá&gt; Thời trang&gt; By Nhãn hiệu&gt; fu&gt; Franklin &amp; Marshall</v>
      </c>
      <c r="F624" t="str">
        <f t="shared" ca="1" si="9"/>
        <v>"2084259884" : "Franklin &amp; Marshall",</v>
      </c>
    </row>
    <row r="625" spans="1:6" ht="15.75" customHeight="1">
      <c r="A625" s="18">
        <v>2084230022</v>
      </c>
      <c r="B625" s="18" t="s">
        <v>11919</v>
      </c>
      <c r="C625" s="18" t="s">
        <v>11920</v>
      </c>
      <c r="D625" s="5" t="str">
        <f ca="1">IFERROR(__xludf.DUMMYFUNCTION("GOOGLETRANSLATE(B625,""ja"",""vi"")"),"Franschhoek Lippe")</f>
        <v>Franschhoek Lippe</v>
      </c>
      <c r="E625" s="5" t="str">
        <f ca="1">IFERROR(__xludf.DUMMYFUNCTION("GOOGLETRANSLATE(C625,""ja"",""vi"")"),"Đấu giá&gt; Thời trang&gt; By Nhãn hiệu&gt; fu&gt; Franschhoek Lippe")</f>
        <v>Đấu giá&gt; Thời trang&gt; By Nhãn hiệu&gt; fu&gt; Franschhoek Lippe</v>
      </c>
      <c r="F625" t="str">
        <f t="shared" ca="1" si="9"/>
        <v>"2084230022" : "Franschhoek Lippe",</v>
      </c>
    </row>
    <row r="626" spans="1:6" ht="15.75" customHeight="1">
      <c r="A626" s="18">
        <v>2084238792</v>
      </c>
      <c r="B626" s="18" t="s">
        <v>11925</v>
      </c>
      <c r="C626" s="18" t="s">
        <v>11926</v>
      </c>
      <c r="D626" s="5" t="str">
        <f ca="1">IFERROR(__xludf.DUMMYFUNCTION("GOOGLETRANSLATE(B626,""ja"",""vi"")"),"cửa hàng Freeze")</f>
        <v>cửa hàng Freeze</v>
      </c>
      <c r="E626" s="5" t="str">
        <f ca="1">IFERROR(__xludf.DUMMYFUNCTION("GOOGLETRANSLATE(C626,""ja"",""vi"")"),"Đấu giá&gt; Thời trang&gt; By Nhãn hiệu&gt; fu&gt; cửa hàng đóng băng")</f>
        <v>Đấu giá&gt; Thời trang&gt; By Nhãn hiệu&gt; fu&gt; cửa hàng đóng băng</v>
      </c>
      <c r="F626" t="str">
        <f t="shared" ca="1" si="9"/>
        <v>"2084238792" : "cửa hàng Freeze",</v>
      </c>
    </row>
    <row r="627" spans="1:6" ht="15.75" customHeight="1">
      <c r="A627" s="18">
        <v>2084058274</v>
      </c>
      <c r="B627" s="18" t="s">
        <v>11930</v>
      </c>
      <c r="C627" s="18" t="s">
        <v>11932</v>
      </c>
      <c r="D627" s="5" t="str">
        <f ca="1">IFERROR(__xludf.DUMMYFUNCTION("GOOGLETRANSLATE(B627,""ja"",""vi"")"),"Full đếm")</f>
        <v>Full đếm</v>
      </c>
      <c r="E627" s="5" t="str">
        <f ca="1">IFERROR(__xludf.DUMMYFUNCTION("GOOGLETRANSLATE(C627,""ja"",""vi"")"),"Đấu giá&gt; Thời trang&gt; By Nhãn hiệu&gt; fu&gt; đếm đầy đủ")</f>
        <v>Đấu giá&gt; Thời trang&gt; By Nhãn hiệu&gt; fu&gt; đếm đầy đủ</v>
      </c>
      <c r="F627" t="str">
        <f t="shared" ca="1" si="9"/>
        <v>"2084058274" : "Full đếm",</v>
      </c>
    </row>
    <row r="628" spans="1:6" ht="15.75" customHeight="1">
      <c r="A628" s="18">
        <v>2084050295</v>
      </c>
      <c r="B628" s="18" t="s">
        <v>11935</v>
      </c>
      <c r="C628" s="18" t="s">
        <v>11938</v>
      </c>
      <c r="D628" s="5" t="str">
        <f ca="1">IFERROR(__xludf.DUMMYFUNCTION("GOOGLETRANSLATE(B628,""ja"",""vi"")"),"Furla")</f>
        <v>Furla</v>
      </c>
      <c r="E628" s="5" t="str">
        <f ca="1">IFERROR(__xludf.DUMMYFUNCTION("GOOGLETRANSLATE(C628,""ja"",""vi"")"),"Đấu giá&gt; Thời trang&gt; By Nhãn hiệu&gt; fu&gt; Furla")</f>
        <v>Đấu giá&gt; Thời trang&gt; By Nhãn hiệu&gt; fu&gt; Furla</v>
      </c>
      <c r="F628" t="str">
        <f t="shared" ca="1" si="9"/>
        <v>"2084050295" : "Furla",</v>
      </c>
    </row>
    <row r="629" spans="1:6" ht="15.75" customHeight="1">
      <c r="A629" s="18">
        <v>2084283771</v>
      </c>
      <c r="B629" s="18" t="s">
        <v>11940</v>
      </c>
      <c r="C629" s="18" t="s">
        <v>11943</v>
      </c>
      <c r="D629" s="5" t="str">
        <f ca="1">IFERROR(__xludf.DUMMYFUNCTION("GOOGLETRANSLATE(B629,""ja"",""vi"")"),"khung")</f>
        <v>khung</v>
      </c>
      <c r="E629" s="5" t="str">
        <f ca="1">IFERROR(__xludf.DUMMYFUNCTION("GOOGLETRANSLATE(C629,""ja"",""vi"")"),"Đấu giá&gt; Thời trang&gt; By Nhãn hiệu&gt; fu&gt; khuôn khổ")</f>
        <v>Đấu giá&gt; Thời trang&gt; By Nhãn hiệu&gt; fu&gt; khuôn khổ</v>
      </c>
      <c r="F629" t="str">
        <f t="shared" ca="1" si="9"/>
        <v>"2084283771" : "khung",</v>
      </c>
    </row>
    <row r="630" spans="1:6" ht="15.75" customHeight="1">
      <c r="A630" s="18">
        <v>2084050296</v>
      </c>
      <c r="B630" s="18" t="s">
        <v>11946</v>
      </c>
      <c r="C630" s="18" t="s">
        <v>11948</v>
      </c>
      <c r="D630" s="5" t="str">
        <f ca="1">IFERROR(__xludf.DUMMYFUNCTION("GOOGLETRANSLATE(B630,""ja"",""vi"")"),"Fred Perry")</f>
        <v>Fred Perry</v>
      </c>
      <c r="E630" s="5" t="str">
        <f ca="1">IFERROR(__xludf.DUMMYFUNCTION("GOOGLETRANSLATE(C630,""ja"",""vi"")"),"Đấu giá&gt; Thời trang&gt; By Nhãn hiệu&gt; fu&gt; Fred Perry")</f>
        <v>Đấu giá&gt; Thời trang&gt; By Nhãn hiệu&gt; fu&gt; Fred Perry</v>
      </c>
      <c r="F630" t="str">
        <f t="shared" ca="1" si="9"/>
        <v>"2084050296" : "Fred Perry",</v>
      </c>
    </row>
    <row r="631" spans="1:6" ht="15.75" customHeight="1">
      <c r="A631" s="18">
        <v>2084298399</v>
      </c>
      <c r="B631" s="18" t="s">
        <v>11952</v>
      </c>
      <c r="C631" s="18" t="s">
        <v>11954</v>
      </c>
      <c r="D631" s="5" t="str">
        <f ca="1">IFERROR(__xludf.DUMMYFUNCTION("GOOGLETRANSLATE(B631,""ja"",""vi"")"),"Florent")</f>
        <v>Florent</v>
      </c>
      <c r="E631" s="5" t="str">
        <f ca="1">IFERROR(__xludf.DUMMYFUNCTION("GOOGLETRANSLATE(C631,""ja"",""vi"")"),"Đấu giá&gt; Thời trang&gt; By Nhãn hiệu&gt; fu&gt; Florent")</f>
        <v>Đấu giá&gt; Thời trang&gt; By Nhãn hiệu&gt; fu&gt; Florent</v>
      </c>
      <c r="F631" t="str">
        <f t="shared" ca="1" si="9"/>
        <v>"2084298399" : "Florent",</v>
      </c>
    </row>
    <row r="632" spans="1:6" ht="15.75" customHeight="1">
      <c r="A632" s="18">
        <v>2084243574</v>
      </c>
      <c r="B632" s="18" t="s">
        <v>11958</v>
      </c>
      <c r="C632" s="18" t="s">
        <v>11959</v>
      </c>
      <c r="D632" s="5" t="str">
        <f ca="1">IFERROR(__xludf.DUMMYFUNCTION("GOOGLETRANSLATE(B632,""ja"",""vi"")"),"cuộc họp")</f>
        <v>cuộc họp</v>
      </c>
      <c r="E632" s="5" t="str">
        <f ca="1">IFERROR(__xludf.DUMMYFUNCTION("GOOGLETRANSLATE(C632,""ja"",""vi"")"),"Đấu giá&gt; Thời trang&gt; By Nhãn hiệu&gt; fu&gt; cuộc họp")</f>
        <v>Đấu giá&gt; Thời trang&gt; By Nhãn hiệu&gt; fu&gt; cuộc họp</v>
      </c>
      <c r="F632" t="str">
        <f t="shared" ca="1" si="9"/>
        <v>"2084243574" : "cuộc họp",</v>
      </c>
    </row>
    <row r="633" spans="1:6" ht="15.75" customHeight="1">
      <c r="A633" s="18">
        <v>2084298431</v>
      </c>
      <c r="B633" s="18" t="s">
        <v>11963</v>
      </c>
      <c r="C633" s="18" t="s">
        <v>11966</v>
      </c>
      <c r="D633" s="5" t="str">
        <f ca="1">IFERROR(__xludf.DUMMYFUNCTION("GOOGLETRANSLATE(B633,""ja"",""vi"")"),"Brioni")</f>
        <v>Brioni</v>
      </c>
      <c r="E633" s="5" t="str">
        <f ca="1">IFERROR(__xludf.DUMMYFUNCTION("GOOGLETRANSLATE(C633,""ja"",""vi"")"),"Đấu giá&gt; Thời trang&gt; By Nhãn hiệu&gt; fu&gt; Brioni")</f>
        <v>Đấu giá&gt; Thời trang&gt; By Nhãn hiệu&gt; fu&gt; Brioni</v>
      </c>
      <c r="F633" t="str">
        <f t="shared" ca="1" si="9"/>
        <v>"2084298431" : "Brioni",</v>
      </c>
    </row>
    <row r="634" spans="1:6" ht="15.75" customHeight="1">
      <c r="A634" s="18">
        <v>2084205423</v>
      </c>
      <c r="B634" s="18" t="s">
        <v>11969</v>
      </c>
      <c r="C634" s="18" t="s">
        <v>11972</v>
      </c>
      <c r="D634" s="5" t="str">
        <f ca="1">IFERROR(__xludf.DUMMYFUNCTION("GOOGLETRANSLATE(B634,""ja"",""vi"")"),"blue Cross")</f>
        <v>blue Cross</v>
      </c>
      <c r="E634" s="5" t="str">
        <f ca="1">IFERROR(__xludf.DUMMYFUNCTION("GOOGLETRANSLATE(C634,""ja"",""vi"")"),"Đấu giá&gt; Thời trang&gt; By Nhãn hiệu&gt; fu&gt; Blue Cross")</f>
        <v>Đấu giá&gt; Thời trang&gt; By Nhãn hiệu&gt; fu&gt; Blue Cross</v>
      </c>
      <c r="F634" t="str">
        <f t="shared" ca="1" si="9"/>
        <v>"2084205423" : "blue Cross",</v>
      </c>
    </row>
    <row r="635" spans="1:6" ht="15.75" customHeight="1">
      <c r="A635" s="18">
        <v>2084284005</v>
      </c>
      <c r="B635" s="18" t="s">
        <v>11974</v>
      </c>
      <c r="C635" s="18" t="s">
        <v>11975</v>
      </c>
      <c r="D635" s="5" t="str">
        <f ca="1">IFERROR(__xludf.DUMMYFUNCTION("GOOGLETRANSLATE(B635,""ja"",""vi"")"),"Bruno Mali")</f>
        <v>Bruno Mali</v>
      </c>
      <c r="E635" s="5" t="str">
        <f ca="1">IFERROR(__xludf.DUMMYFUNCTION("GOOGLETRANSLATE(C635,""ja"",""vi"")"),"Đấu giá&gt; Thời trang&gt; By Nhãn hiệu&gt; fu&gt; Bruno Magli")</f>
        <v>Đấu giá&gt; Thời trang&gt; By Nhãn hiệu&gt; fu&gt; Bruno Magli</v>
      </c>
      <c r="F635" t="str">
        <f t="shared" ca="1" si="9"/>
        <v>"2084284005" : "Bruno Mali",</v>
      </c>
    </row>
    <row r="636" spans="1:6" ht="15.75" customHeight="1">
      <c r="A636" s="18">
        <v>2084050293</v>
      </c>
      <c r="B636" s="18" t="s">
        <v>11978</v>
      </c>
      <c r="C636" s="18" t="s">
        <v>11981</v>
      </c>
      <c r="D636" s="5" t="str">
        <f ca="1">IFERROR(__xludf.DUMMYFUNCTION("GOOGLETRANSLATE(B636,""ja"",""vi"")"),"Blue Moon xanh")</f>
        <v>Blue Moon xanh</v>
      </c>
      <c r="E636" s="5" t="str">
        <f ca="1">IFERROR(__xludf.DUMMYFUNCTION("GOOGLETRANSLATE(C636,""ja"",""vi"")"),"Đấu giá&gt; Thời trang&gt; By Nhãn hiệu&gt; fu&gt; Blue Moon Blue")</f>
        <v>Đấu giá&gt; Thời trang&gt; By Nhãn hiệu&gt; fu&gt; Blue Moon Blue</v>
      </c>
      <c r="F636" t="str">
        <f t="shared" ca="1" si="9"/>
        <v>"2084050293" : "Blue Moon xanh",</v>
      </c>
    </row>
    <row r="637" spans="1:6" ht="15.75" customHeight="1">
      <c r="A637" s="18">
        <v>2084052563</v>
      </c>
      <c r="B637" s="18" t="s">
        <v>11984</v>
      </c>
      <c r="C637" s="18" t="s">
        <v>11987</v>
      </c>
      <c r="D637" s="5" t="str">
        <f ca="1">IFERROR(__xludf.DUMMYFUNCTION("GOOGLETRANSLATE(B637,""ja"",""vi"")"),"Bulgari")</f>
        <v>Bulgari</v>
      </c>
      <c r="E637" s="5" t="str">
        <f ca="1">IFERROR(__xludf.DUMMYFUNCTION("GOOGLETRANSLATE(C637,""ja"",""vi"")"),"Đấu giá&gt; Thời trang&gt; By Nhãn hiệu&gt; fu&gt; Bulgari")</f>
        <v>Đấu giá&gt; Thời trang&gt; By Nhãn hiệu&gt; fu&gt; Bulgari</v>
      </c>
      <c r="F637" t="str">
        <f t="shared" ca="1" si="9"/>
        <v>"2084052563" : "Bulgari",</v>
      </c>
    </row>
    <row r="638" spans="1:6" ht="15.75" customHeight="1">
      <c r="A638" s="18">
        <v>2084036156</v>
      </c>
      <c r="B638" s="18" t="s">
        <v>11992</v>
      </c>
      <c r="C638" s="18" t="s">
        <v>11994</v>
      </c>
      <c r="D638" s="5" t="str">
        <f ca="1">IFERROR(__xludf.DUMMYFUNCTION("GOOGLETRANSLATE(B638,""ja"",""vi"")"),"Brooks Brothers")</f>
        <v>Brooks Brothers</v>
      </c>
      <c r="E638" s="5" t="str">
        <f ca="1">IFERROR(__xludf.DUMMYFUNCTION("GOOGLETRANSLATE(C638,""ja"",""vi"")"),"Đấu giá&gt; Thời trang&gt; By Nhãn hiệu&gt; fu&gt; Brooks Brothers")</f>
        <v>Đấu giá&gt; Thời trang&gt; By Nhãn hiệu&gt; fu&gt; Brooks Brothers</v>
      </c>
      <c r="F638" t="str">
        <f t="shared" ca="1" si="9"/>
        <v>"2084036156" : "Brooks Brothers",</v>
      </c>
    </row>
    <row r="639" spans="1:6" ht="15.75" customHeight="1">
      <c r="A639" s="18">
        <v>2084298430</v>
      </c>
      <c r="B639" s="18" t="s">
        <v>11997</v>
      </c>
      <c r="C639" s="18" t="s">
        <v>12000</v>
      </c>
      <c r="D639" s="5" t="str">
        <f ca="1">IFERROR(__xludf.DUMMYFUNCTION("GOOGLETRANSLATE(B639,""ja"",""vi"")"),"Brunello Kuchineri")</f>
        <v>Brunello Kuchineri</v>
      </c>
      <c r="E639" s="5" t="str">
        <f ca="1">IFERROR(__xludf.DUMMYFUNCTION("GOOGLETRANSLATE(C639,""ja"",""vi"")"),"Đấu giá&gt; Thời trang&gt; By Nhãn hiệu&gt; fu&gt; Brunello Kuchineri")</f>
        <v>Đấu giá&gt; Thời trang&gt; By Nhãn hiệu&gt; fu&gt; Brunello Kuchineri</v>
      </c>
      <c r="F639" t="str">
        <f t="shared" ca="1" si="9"/>
        <v>"2084298430" : "Brunello Kuchineri",</v>
      </c>
    </row>
    <row r="640" spans="1:6" ht="15.75" customHeight="1">
      <c r="A640" s="18">
        <v>2084298398</v>
      </c>
      <c r="B640" s="18" t="s">
        <v>12003</v>
      </c>
      <c r="C640" s="18" t="s">
        <v>12006</v>
      </c>
      <c r="D640" s="5" t="str">
        <f ca="1">IFERROR(__xludf.DUMMYFUNCTION("GOOGLETRANSLATE(B640,""ja"",""vi"")"),"Blumarine")</f>
        <v>Blumarine</v>
      </c>
      <c r="E640" s="5" t="str">
        <f ca="1">IFERROR(__xludf.DUMMYFUNCTION("GOOGLETRANSLATE(C640,""ja"",""vi"")"),"Đấu giá&gt; Thời trang&gt; By Nhãn hiệu&gt; fu&gt; Blumarine")</f>
        <v>Đấu giá&gt; Thời trang&gt; By Nhãn hiệu&gt; fu&gt; Blumarine</v>
      </c>
      <c r="F640" t="str">
        <f t="shared" ca="1" si="9"/>
        <v>"2084298398" : "Blumarine",</v>
      </c>
    </row>
    <row r="641" spans="1:6" ht="15.75" customHeight="1">
      <c r="A641" s="18">
        <v>2084211192</v>
      </c>
      <c r="B641" s="18" t="s">
        <v>12008</v>
      </c>
      <c r="C641" s="18" t="s">
        <v>12011</v>
      </c>
      <c r="D641" s="5" t="str">
        <f ca="1">IFERROR(__xludf.DUMMYFUNCTION("GOOGLETRANSLATE(B641,""ja"",""vi"")"),"Blondie")</f>
        <v>Blondie</v>
      </c>
      <c r="E641" s="5" t="str">
        <f ca="1">IFERROR(__xludf.DUMMYFUNCTION("GOOGLETRANSLATE(C641,""ja"",""vi"")"),"Đấu giá&gt; Thời trang&gt; By Nhãn hiệu&gt; fu&gt; Blondie")</f>
        <v>Đấu giá&gt; Thời trang&gt; By Nhãn hiệu&gt; fu&gt; Blondie</v>
      </c>
      <c r="F641" t="str">
        <f t="shared" ca="1" si="9"/>
        <v>"2084211192" : "Blondie",</v>
      </c>
    </row>
    <row r="642" spans="1:6" ht="15.75" customHeight="1">
      <c r="A642" s="18">
        <v>2084242552</v>
      </c>
      <c r="B642" s="18" t="s">
        <v>12012</v>
      </c>
      <c r="C642" s="18" t="s">
        <v>12014</v>
      </c>
      <c r="D642" s="5" t="str">
        <f ca="1">IFERROR(__xludf.DUMMYFUNCTION("GOOGLETRANSLATE(B642,""ja"",""vi"")"),"Purafurimu")</f>
        <v>Purafurimu</v>
      </c>
      <c r="E642" s="5" t="str">
        <f ca="1">IFERROR(__xludf.DUMMYFUNCTION("GOOGLETRANSLATE(C642,""ja"",""vi"")"),"Đấu giá&gt; Thời trang&gt; By Nhãn hiệu&gt; fu&gt; Purafurimu")</f>
        <v>Đấu giá&gt; Thời trang&gt; By Nhãn hiệu&gt; fu&gt; Purafurimu</v>
      </c>
      <c r="F642" t="str">
        <f t="shared" ref="F642:F705" ca="1" si="10">CONCATENATE(CHAR(34)&amp;"",A642,""&amp;CHAR(34)," : ", CHAR(34)&amp;"",D642,""&amp;CHAR(34),",")</f>
        <v>"2084242552" : "Purafurimu",</v>
      </c>
    </row>
    <row r="643" spans="1:6" ht="15.75" customHeight="1">
      <c r="A643" s="18">
        <v>2084238791</v>
      </c>
      <c r="B643" s="18" t="s">
        <v>12016</v>
      </c>
      <c r="C643" s="18" t="s">
        <v>12018</v>
      </c>
      <c r="D643" s="5" t="str">
        <f ca="1">IFERROR(__xludf.DUMMYFUNCTION("GOOGLETRANSLATE(B643,""ja"",""vi"")"),"Poolside")</f>
        <v>Poolside</v>
      </c>
      <c r="E643" s="5" t="str">
        <f ca="1">IFERROR(__xludf.DUMMYFUNCTION("GOOGLETRANSLATE(C643,""ja"",""vi"")"),"Đấu giá&gt; Thời trang&gt; By Nhãn hiệu&gt; fu&gt; Poolside")</f>
        <v>Đấu giá&gt; Thời trang&gt; By Nhãn hiệu&gt; fu&gt; Poolside</v>
      </c>
      <c r="F643" t="str">
        <f t="shared" ca="1" si="10"/>
        <v>"2084238791" : "Poolside",</v>
      </c>
    </row>
    <row r="644" spans="1:6" ht="15.75" customHeight="1">
      <c r="A644" s="18">
        <v>2084255904</v>
      </c>
      <c r="B644" s="18" t="s">
        <v>12023</v>
      </c>
      <c r="C644" s="18" t="s">
        <v>12024</v>
      </c>
      <c r="D644" s="5" t="str">
        <f ca="1">IFERROR(__xludf.DUMMYFUNCTION("GOOGLETRANSLATE(B644,""ja"",""vi"")"),"Pride lượn")</f>
        <v>Pride lượn</v>
      </c>
      <c r="E644" s="5" t="str">
        <f ca="1">IFERROR(__xludf.DUMMYFUNCTION("GOOGLETRANSLATE(C644,""ja"",""vi"")"),"Đấu giá&gt; Thời trang&gt; By Nhãn hiệu&gt; fu&gt; niềm tự hào lượn")</f>
        <v>Đấu giá&gt; Thời trang&gt; By Nhãn hiệu&gt; fu&gt; niềm tự hào lượn</v>
      </c>
      <c r="F644" t="str">
        <f t="shared" ca="1" si="10"/>
        <v>"2084255904" : "Pride lượn",</v>
      </c>
    </row>
    <row r="645" spans="1:6" ht="15.75" customHeight="1">
      <c r="A645" s="18">
        <v>2084048709</v>
      </c>
      <c r="B645" s="18" t="s">
        <v>12025</v>
      </c>
      <c r="C645" s="18" t="s">
        <v>12027</v>
      </c>
      <c r="D645" s="5" t="str">
        <f ca="1">IFERROR(__xludf.DUMMYFUNCTION("GOOGLETRANSLATE(B645,""ja"",""vi"")"),"LABEL TƯ")</f>
        <v>LABEL TƯ</v>
      </c>
      <c r="E645" s="5" t="str">
        <f ca="1">IFERROR(__xludf.DUMMYFUNCTION("GOOGLETRANSLATE(C645,""ja"",""vi"")"),"Đấu giá&gt; Thời trang&gt; By Nhãn hiệu&gt; fu&gt; nhãn hiệu riêng")</f>
        <v>Đấu giá&gt; Thời trang&gt; By Nhãn hiệu&gt; fu&gt; nhãn hiệu riêng</v>
      </c>
      <c r="F645" t="str">
        <f t="shared" ca="1" si="10"/>
        <v>"2084048709" : "LABEL TƯ",</v>
      </c>
    </row>
    <row r="646" spans="1:6" ht="15.75" customHeight="1">
      <c r="A646" s="18">
        <v>2084260044</v>
      </c>
      <c r="B646" s="18" t="s">
        <v>12030</v>
      </c>
      <c r="C646" s="18" t="s">
        <v>12031</v>
      </c>
      <c r="D646" s="5" t="str">
        <f ca="1">IFERROR(__xludf.DUMMYFUNCTION("GOOGLETRANSLATE(B646,""ja"",""vi"")"),"Purasute")</f>
        <v>Purasute</v>
      </c>
      <c r="E646" s="5" t="str">
        <f ca="1">IFERROR(__xludf.DUMMYFUNCTION("GOOGLETRANSLATE(C646,""ja"",""vi"")"),"Đấu giá&gt; Thời trang&gt; By Nhãn hiệu&gt; fu&gt; Purasute")</f>
        <v>Đấu giá&gt; Thời trang&gt; By Nhãn hiệu&gt; fu&gt; Purasute</v>
      </c>
      <c r="F646" t="str">
        <f t="shared" ca="1" si="10"/>
        <v>"2084260044" : "Purasute",</v>
      </c>
    </row>
    <row r="647" spans="1:6" ht="15.75" customHeight="1">
      <c r="A647" s="18">
        <v>2084048628</v>
      </c>
      <c r="B647" s="18" t="s">
        <v>12035</v>
      </c>
      <c r="C647" s="18" t="s">
        <v>12036</v>
      </c>
      <c r="D647" s="5" t="str">
        <f ca="1">IFERROR(__xludf.DUMMYFUNCTION("GOOGLETRANSLATE(B647,""ja"",""vi"")"),"Prada")</f>
        <v>Prada</v>
      </c>
      <c r="E647" s="5" t="str">
        <f ca="1">IFERROR(__xludf.DUMMYFUNCTION("GOOGLETRANSLATE(C647,""ja"",""vi"")"),"Đấu giá&gt; Thời trang&gt; By Nhãn hiệu&gt; fu&gt; Prada")</f>
        <v>Đấu giá&gt; Thời trang&gt; By Nhãn hiệu&gt; fu&gt; Prada</v>
      </c>
      <c r="F647" t="str">
        <f t="shared" ca="1" si="10"/>
        <v>"2084048628" : "Prada",</v>
      </c>
    </row>
    <row r="648" spans="1:6" ht="15.75" customHeight="1">
      <c r="A648" s="18">
        <v>2084050291</v>
      </c>
      <c r="B648" s="18" t="s">
        <v>12041</v>
      </c>
      <c r="C648" s="18" t="s">
        <v>12042</v>
      </c>
      <c r="D648" s="5" t="str">
        <f ca="1">IFERROR(__xludf.DUMMYFUNCTION("GOOGLETRANSLATE(B648,""ja"",""vi"")"),"Prima Classe")</f>
        <v>Prima Classe</v>
      </c>
      <c r="E648" s="5" t="str">
        <f ca="1">IFERROR(__xludf.DUMMYFUNCTION("GOOGLETRANSLATE(C648,""ja"",""vi"")"),"Đấu giá&gt; Thời trang&gt; By Nhãn hiệu&gt; fu&gt; Prima Classe")</f>
        <v>Đấu giá&gt; Thời trang&gt; By Nhãn hiệu&gt; fu&gt; Prima Classe</v>
      </c>
      <c r="F648" t="str">
        <f t="shared" ca="1" si="10"/>
        <v>"2084050291" : "Prima Classe",</v>
      </c>
    </row>
    <row r="649" spans="1:6" ht="15.75" customHeight="1">
      <c r="A649" s="18">
        <v>2084050292</v>
      </c>
      <c r="B649" s="18" t="s">
        <v>12047</v>
      </c>
      <c r="C649" s="18" t="s">
        <v>12049</v>
      </c>
      <c r="D649" s="5" t="str">
        <f ca="1">IFERROR(__xludf.DUMMYFUNCTION("GOOGLETRANSLATE(B649,""ja"",""vi"")"),"Pringle")</f>
        <v>Pringle</v>
      </c>
      <c r="E649" s="5" t="str">
        <f ca="1">IFERROR(__xludf.DUMMYFUNCTION("GOOGLETRANSLATE(C649,""ja"",""vi"")"),"Đấu giá&gt; Thời trang&gt; By Nhãn hiệu&gt; fu&gt; Pringle")</f>
        <v>Đấu giá&gt; Thời trang&gt; By Nhãn hiệu&gt; fu&gt; Pringle</v>
      </c>
      <c r="F649" t="str">
        <f t="shared" ca="1" si="10"/>
        <v>"2084050292" : "Pringle",</v>
      </c>
    </row>
    <row r="650" spans="1:6" ht="15.75" customHeight="1">
      <c r="A650" s="18">
        <v>2084055792</v>
      </c>
      <c r="B650" s="18" t="s">
        <v>12051</v>
      </c>
      <c r="C650" s="18" t="s">
        <v>12053</v>
      </c>
      <c r="D650" s="5" t="str">
        <f ca="1">IFERROR(__xludf.DUMMYFUNCTION("GOOGLETRANSLATE(B650,""ja"",""vi"")"),"chơi Boy")</f>
        <v>chơi Boy</v>
      </c>
      <c r="E650" s="5" t="str">
        <f ca="1">IFERROR(__xludf.DUMMYFUNCTION("GOOGLETRANSLATE(C650,""ja"",""vi"")"),"Đấu giá&gt; Thời trang&gt; By Nhãn hiệu&gt; fu&gt; Playboy")</f>
        <v>Đấu giá&gt; Thời trang&gt; By Nhãn hiệu&gt; fu&gt; Playboy</v>
      </c>
      <c r="F650" t="str">
        <f t="shared" ca="1" si="10"/>
        <v>"2084055792" : "chơi Boy",</v>
      </c>
    </row>
    <row r="651" spans="1:6" ht="15.75" customHeight="1">
      <c r="A651" s="18">
        <v>2084229163</v>
      </c>
      <c r="B651" s="18" t="s">
        <v>12055</v>
      </c>
      <c r="C651" s="18" t="s">
        <v>12057</v>
      </c>
      <c r="D651" s="5" t="str">
        <f ca="1">IFERROR(__xludf.DUMMYFUNCTION("GOOGLETRANSLATE(B651,""ja"",""vi"")"),"hứa")</f>
        <v>hứa</v>
      </c>
      <c r="E651" s="5" t="str">
        <f ca="1">IFERROR(__xludf.DUMMYFUNCTION("GOOGLETRANSLATE(C651,""ja"",""vi"")"),"Đấu giá&gt; Thời trang&gt; By Nhãn hiệu&gt; fu&gt; Cam kết")</f>
        <v>Đấu giá&gt; Thời trang&gt; By Nhãn hiệu&gt; fu&gt; Cam kết</v>
      </c>
      <c r="F651" t="str">
        <f t="shared" ca="1" si="10"/>
        <v>"2084229163" : "hứa",</v>
      </c>
    </row>
    <row r="652" spans="1:6" ht="15.75" customHeight="1">
      <c r="A652" s="18">
        <v>2084211362</v>
      </c>
      <c r="B652" s="18" t="s">
        <v>12059</v>
      </c>
      <c r="C652" s="18" t="s">
        <v>12060</v>
      </c>
      <c r="D652" s="5" t="str">
        <f ca="1">IFERROR(__xludf.DUMMYFUNCTION("GOOGLETRANSLATE(B652,""ja"",""vi"")"),"Puremiata")</f>
        <v>Puremiata</v>
      </c>
      <c r="E652" s="5" t="str">
        <f ca="1">IFERROR(__xludf.DUMMYFUNCTION("GOOGLETRANSLATE(C652,""ja"",""vi"")"),"Đấu giá&gt; Thời trang&gt; By Nhãn hiệu&gt; fu&gt; Puremiata")</f>
        <v>Đấu giá&gt; Thời trang&gt; By Nhãn hiệu&gt; fu&gt; Puremiata</v>
      </c>
      <c r="F652" t="str">
        <f t="shared" ca="1" si="10"/>
        <v>"2084211362" : "Puremiata",</v>
      </c>
    </row>
    <row r="653" spans="1:6" ht="15.75" customHeight="1">
      <c r="A653" s="18">
        <v>2084301230</v>
      </c>
      <c r="B653" s="18" t="s">
        <v>12063</v>
      </c>
      <c r="C653" s="18" t="s">
        <v>12066</v>
      </c>
      <c r="D653" s="5" t="str">
        <f ca="1">IFERROR(__xludf.DUMMYFUNCTION("GOOGLETRANSLATE(B653,""ja"",""vi"")"),"Hồ sơ")</f>
        <v>Hồ sơ</v>
      </c>
      <c r="E653" s="5" t="str">
        <f ca="1">IFERROR(__xludf.DUMMYFUNCTION("GOOGLETRANSLATE(C653,""ja"",""vi"")"),"Đấu giá&gt; Thời trang&gt; By Nhãn hiệu&gt; fu&gt; Hồ sơ")</f>
        <v>Đấu giá&gt; Thời trang&gt; By Nhãn hiệu&gt; fu&gt; Hồ sơ</v>
      </c>
      <c r="F653" t="str">
        <f t="shared" ca="1" si="10"/>
        <v>"2084301230" : "Hồ sơ",</v>
      </c>
    </row>
    <row r="654" spans="1:6" ht="15.75" customHeight="1">
      <c r="A654" s="18">
        <v>2084313156</v>
      </c>
      <c r="B654" s="18" t="s">
        <v>12069</v>
      </c>
      <c r="C654" s="18" t="s">
        <v>12070</v>
      </c>
      <c r="D654" s="5" t="str">
        <f ca="1">IFERROR(__xludf.DUMMYFUNCTION("GOOGLETRANSLATE(B654,""ja"",""vi"")"),"Tỷ lệ thay đồ cơ thể")</f>
        <v>Tỷ lệ thay đồ cơ thể</v>
      </c>
      <c r="E654" s="5" t="str">
        <f ca="1">IFERROR(__xludf.DUMMYFUNCTION("GOOGLETRANSLATE(C654,""ja"",""vi"")"),"Đấu giá&gt; Thời trang&gt; By Nhãn hiệu&gt; fu&gt; thay đồ tỷ lệ cơ thể")</f>
        <v>Đấu giá&gt; Thời trang&gt; By Nhãn hiệu&gt; fu&gt; thay đồ tỷ lệ cơ thể</v>
      </c>
      <c r="F654" t="str">
        <f t="shared" ca="1" si="10"/>
        <v>"2084313156" : "Tỷ lệ thay đồ cơ thể",</v>
      </c>
    </row>
    <row r="655" spans="1:6" ht="15.75" customHeight="1">
      <c r="A655" s="18">
        <v>2084286326</v>
      </c>
      <c r="B655" s="18" t="s">
        <v>46</v>
      </c>
      <c r="C655" s="18" t="s">
        <v>12073</v>
      </c>
      <c r="D655" s="5" t="str">
        <f ca="1">IFERROR(__xludf.DUMMYFUNCTION("GOOGLETRANSLATE(B655,""ja"",""vi"")"),"nếu không thì")</f>
        <v>nếu không thì</v>
      </c>
      <c r="E655" s="5" t="str">
        <f ca="1">IFERROR(__xludf.DUMMYFUNCTION("GOOGLETRANSLATE(C655,""ja"",""vi"")"),"Đấu giá&gt; Thời trang&gt; By Nhãn hiệu&gt; fu&gt; Khác")</f>
        <v>Đấu giá&gt; Thời trang&gt; By Nhãn hiệu&gt; fu&gt; Khác</v>
      </c>
      <c r="F655" t="str">
        <f t="shared" ca="1" si="10"/>
        <v>"2084286326" : "nếu không thì",</v>
      </c>
    </row>
    <row r="656" spans="1:6" ht="15.75" customHeight="1">
      <c r="A656" s="18">
        <v>2084050297</v>
      </c>
      <c r="B656" s="18" t="s">
        <v>12076</v>
      </c>
      <c r="C656" s="18" t="s">
        <v>12077</v>
      </c>
      <c r="D656" s="5" t="str">
        <f ca="1">IFERROR(__xludf.DUMMYFUNCTION("GOOGLETRANSLATE(B656,""ja"",""vi"")"),"Beipi")</f>
        <v>Beipi</v>
      </c>
      <c r="E656" s="5" t="str">
        <f ca="1">IFERROR(__xludf.DUMMYFUNCTION("GOOGLETRANSLATE(C656,""ja"",""vi"")"),"Đấu giá&gt; Thời trang&gt; By Nhãn hiệu&gt; để&gt; Beipi")</f>
        <v>Đấu giá&gt; Thời trang&gt; By Nhãn hiệu&gt; để&gt; Beipi</v>
      </c>
      <c r="F656" t="str">
        <f t="shared" ca="1" si="10"/>
        <v>"2084050297" : "Beipi",</v>
      </c>
    </row>
    <row r="657" spans="1:6" ht="15.75" customHeight="1">
      <c r="A657" s="18">
        <v>2084054126</v>
      </c>
      <c r="B657" s="18" t="s">
        <v>12080</v>
      </c>
      <c r="C657" s="18" t="s">
        <v>12082</v>
      </c>
      <c r="D657" s="5" t="str">
        <f ca="1">IFERROR(__xludf.DUMMYFUNCTION("GOOGLETRANSLATE(B657,""ja"",""vi"")"),"Peyton Nơi")</f>
        <v>Peyton Nơi</v>
      </c>
      <c r="E657" s="5" t="str">
        <f ca="1">IFERROR(__xludf.DUMMYFUNCTION("GOOGLETRANSLATE(C657,""ja"",""vi"")"),"Đấu giá&gt; Thời trang&gt; By Nhãn hiệu&gt; để&gt; Peyton Nơi")</f>
        <v>Đấu giá&gt; Thời trang&gt; By Nhãn hiệu&gt; để&gt; Peyton Nơi</v>
      </c>
      <c r="F657" t="str">
        <f t="shared" ca="1" si="10"/>
        <v>"2084054126" : "Peyton Nơi",</v>
      </c>
    </row>
    <row r="658" spans="1:6" ht="15.75" customHeight="1">
      <c r="A658" s="18">
        <v>2084301224</v>
      </c>
      <c r="B658" s="18" t="s">
        <v>12086</v>
      </c>
      <c r="C658" s="18" t="s">
        <v>12088</v>
      </c>
      <c r="D658" s="5" t="str">
        <f ca="1">IFERROR(__xludf.DUMMYFUNCTION("GOOGLETRANSLATE(B658,""ja"",""vi"")"),"Hekutiku")</f>
        <v>Hekutiku</v>
      </c>
      <c r="E658" s="5" t="str">
        <f ca="1">IFERROR(__xludf.DUMMYFUNCTION("GOOGLETRANSLATE(C658,""ja"",""vi"")"),"Đấu giá&gt; Thời trang&gt; By Nhãn hiệu&gt; để&gt; Hekutiku")</f>
        <v>Đấu giá&gt; Thời trang&gt; By Nhãn hiệu&gt; để&gt; Hekutiku</v>
      </c>
      <c r="F658" t="str">
        <f t="shared" ca="1" si="10"/>
        <v>"2084301224" : "Hekutiku",</v>
      </c>
    </row>
    <row r="659" spans="1:6" ht="15.75" customHeight="1">
      <c r="A659" s="18">
        <v>2084242555</v>
      </c>
      <c r="B659" s="18" t="s">
        <v>12091</v>
      </c>
      <c r="C659" s="18" t="s">
        <v>12092</v>
      </c>
      <c r="D659" s="5" t="str">
        <f ca="1">IFERROR(__xludf.DUMMYFUNCTION("GOOGLETRANSLATE(B659,""ja"",""vi"")"),"cây thạch thảo")</f>
        <v>cây thạch thảo</v>
      </c>
      <c r="E659" s="5" t="str">
        <f ca="1">IFERROR(__xludf.DUMMYFUNCTION("GOOGLETRANSLATE(C659,""ja"",""vi"")"),"Đấu giá&gt; Thời trang&gt; Brand &gt;&gt; Heather")</f>
        <v>Đấu giá&gt; Thời trang&gt; Brand &gt;&gt; Heather</v>
      </c>
      <c r="F659" t="str">
        <f t="shared" ca="1" si="10"/>
        <v>"2084242555" : "cây thạch thảo",</v>
      </c>
    </row>
    <row r="660" spans="1:6" ht="15.75" customHeight="1">
      <c r="A660" s="18">
        <v>2084050298</v>
      </c>
      <c r="B660" s="18" t="s">
        <v>12098</v>
      </c>
      <c r="C660" s="18" t="s">
        <v>12099</v>
      </c>
      <c r="D660" s="5" t="str">
        <f ca="1">IFERROR(__xludf.DUMMYFUNCTION("GOOGLETRANSLATE(B660,""ja"",""vi"")"),"cậu bé trang")</f>
        <v>cậu bé trang</v>
      </c>
      <c r="E660" s="5" t="str">
        <f ca="1">IFERROR(__xludf.DUMMYFUNCTION("GOOGLETRANSLATE(C660,""ja"",""vi"")"),"Đấu giá&gt; Thời trang&gt; Brand &gt;&gt; Trang Boy")</f>
        <v>Đấu giá&gt; Thời trang&gt; Brand &gt;&gt; Trang Boy</v>
      </c>
      <c r="F660" t="str">
        <f t="shared" ca="1" si="10"/>
        <v>"2084050298" : "cậu bé trang",</v>
      </c>
    </row>
    <row r="661" spans="1:6" ht="15.75" customHeight="1">
      <c r="A661" s="18">
        <v>2084288314</v>
      </c>
      <c r="B661" s="18" t="s">
        <v>12103</v>
      </c>
      <c r="C661" s="18" t="s">
        <v>12104</v>
      </c>
      <c r="D661" s="5" t="str">
        <f ca="1">IFERROR(__xludf.DUMMYFUNCTION("GOOGLETRANSLATE(B661,""ja"",""vi"")"),"BEDWIN")</f>
        <v>BEDWIN</v>
      </c>
      <c r="E661" s="5" t="str">
        <f ca="1">IFERROR(__xludf.DUMMYFUNCTION("GOOGLETRANSLATE(C661,""ja"",""vi"")"),"Đấu giá&gt; Thời trang&gt; By Nhãn hiệu&gt; để&gt; BEDWIN")</f>
        <v>Đấu giá&gt; Thời trang&gt; By Nhãn hiệu&gt; để&gt; BEDWIN</v>
      </c>
      <c r="F661" t="str">
        <f t="shared" ca="1" si="10"/>
        <v>"2084288314" : "BEDWIN",</v>
      </c>
    </row>
    <row r="662" spans="1:6" ht="15.75" customHeight="1">
      <c r="A662" s="18">
        <v>2084298400</v>
      </c>
      <c r="B662" s="18" t="s">
        <v>12107</v>
      </c>
      <c r="C662" s="18" t="s">
        <v>12109</v>
      </c>
      <c r="D662" s="5" t="str">
        <f ca="1">IFERROR(__xludf.DUMMYFUNCTION("GOOGLETRANSLATE(B662,""ja"",""vi"")"),"Betsey Johnson")</f>
        <v>Betsey Johnson</v>
      </c>
      <c r="E662" s="5" t="str">
        <f ca="1">IFERROR(__xludf.DUMMYFUNCTION("GOOGLETRANSLATE(C662,""ja"",""vi"")"),"Đấu giá&gt; Thời trang&gt; Brand &gt;&gt; Betsey Johnson")</f>
        <v>Đấu giá&gt; Thời trang&gt; Brand &gt;&gt; Betsey Johnson</v>
      </c>
      <c r="F662" t="str">
        <f t="shared" ca="1" si="10"/>
        <v>"2084298400" : "Betsey Johnson",</v>
      </c>
    </row>
    <row r="663" spans="1:6" ht="15.75" customHeight="1">
      <c r="A663" s="18">
        <v>2084048629</v>
      </c>
      <c r="B663" s="18" t="s">
        <v>12114</v>
      </c>
      <c r="C663" s="18" t="s">
        <v>12115</v>
      </c>
      <c r="D663" s="5" t="str">
        <f ca="1">IFERROR(__xludf.DUMMYFUNCTION("GOOGLETRANSLATE(B663,""ja"",""vi"")"),"Benetton")</f>
        <v>Benetton</v>
      </c>
      <c r="E663" s="5" t="str">
        <f ca="1">IFERROR(__xludf.DUMMYFUNCTION("GOOGLETRANSLATE(C663,""ja"",""vi"")"),"Đấu giá&gt; Thời trang&gt; By Nhãn hiệu&gt; để&gt; Benetton")</f>
        <v>Đấu giá&gt; Thời trang&gt; By Nhãn hiệu&gt; để&gt; Benetton</v>
      </c>
      <c r="F663" t="str">
        <f t="shared" ca="1" si="10"/>
        <v>"2084048629" : "Benetton",</v>
      </c>
    </row>
    <row r="664" spans="1:6" ht="15.75" customHeight="1">
      <c r="A664" s="18">
        <v>2084048630</v>
      </c>
      <c r="B664" s="18" t="s">
        <v>12119</v>
      </c>
      <c r="C664" s="18" t="s">
        <v>12121</v>
      </c>
      <c r="D664" s="5" t="str">
        <f ca="1">IFERROR(__xludf.DUMMYFUNCTION("GOOGLETRANSLATE(B664,""ja"",""vi"")"),"bé Dior")</f>
        <v>bé Dior</v>
      </c>
      <c r="E664" s="5" t="str">
        <f ca="1">IFERROR(__xludf.DUMMYFUNCTION("GOOGLETRANSLATE(C664,""ja"",""vi"")"),"Đấu giá&gt; Thời trang&gt; Brand &gt;&gt; Baby Dior")</f>
        <v>Đấu giá&gt; Thời trang&gt; Brand &gt;&gt; Baby Dior</v>
      </c>
      <c r="F664" t="str">
        <f t="shared" ca="1" si="10"/>
        <v>"2084048630" : "bé Dior",</v>
      </c>
    </row>
    <row r="665" spans="1:6" ht="15.75" customHeight="1">
      <c r="A665" s="18">
        <v>2084048631</v>
      </c>
      <c r="B665" s="18" t="s">
        <v>12125</v>
      </c>
      <c r="C665" s="18" t="s">
        <v>12127</v>
      </c>
      <c r="D665" s="5" t="str">
        <f ca="1">IFERROR(__xludf.DUMMYFUNCTION("GOOGLETRANSLATE(B665,""ja"",""vi"")"),"Bebe")</f>
        <v>Bebe</v>
      </c>
      <c r="E665" s="5" t="str">
        <f ca="1">IFERROR(__xludf.DUMMYFUNCTION("GOOGLETRANSLATE(C665,""ja"",""vi"")"),"Đấu giá&gt; Thời trang&gt; By Nhãn hiệu&gt; để&gt; Bebe")</f>
        <v>Đấu giá&gt; Thời trang&gt; By Nhãn hiệu&gt; để&gt; Bebe</v>
      </c>
      <c r="F665" t="str">
        <f t="shared" ca="1" si="10"/>
        <v>"2084048631" : "Bebe",</v>
      </c>
    </row>
    <row r="666" spans="1:6" ht="15.75" customHeight="1">
      <c r="A666" s="18">
        <v>2084194501</v>
      </c>
      <c r="B666" s="18" t="s">
        <v>12130</v>
      </c>
      <c r="C666" s="18" t="s">
        <v>12131</v>
      </c>
      <c r="D666" s="5" t="str">
        <f ca="1">IFERROR(__xludf.DUMMYFUNCTION("GOOGLETRANSLATE(B666,""ja"",""vi"")"),"Giấy Denim &amp; Chữ Thập")</f>
        <v>Giấy Denim &amp; Chữ Thập</v>
      </c>
      <c r="E666" s="5" t="str">
        <f ca="1">IFERROR(__xludf.DUMMYFUNCTION("GOOGLETRANSLATE(C666,""ja"",""vi"")"),"Đấu giá&gt; Thời trang&gt; By Nhãn hiệu&gt; để&gt; Giấy Denim &amp; Chữ Thập")</f>
        <v>Đấu giá&gt; Thời trang&gt; By Nhãn hiệu&gt; để&gt; Giấy Denim &amp; Chữ Thập</v>
      </c>
      <c r="F666" t="str">
        <f t="shared" ca="1" si="10"/>
        <v>"2084194501" : "Giấy Denim &amp; Chữ Thập",</v>
      </c>
    </row>
    <row r="667" spans="1:6" ht="15.75" customHeight="1">
      <c r="A667" s="18">
        <v>2084050299</v>
      </c>
      <c r="B667" s="18" t="s">
        <v>12135</v>
      </c>
      <c r="C667" s="18" t="s">
        <v>12136</v>
      </c>
      <c r="D667" s="5" t="str">
        <f ca="1">IFERROR(__xludf.DUMMYFUNCTION("GOOGLETRANSLATE(B667,""ja"",""vi"")"),"viền")</f>
        <v>viền</v>
      </c>
      <c r="E667" s="5" t="str">
        <f ca="1">IFERROR(__xludf.DUMMYFUNCTION("GOOGLETRANSLATE(C667,""ja"",""vi"")"),"Đấu giá&gt; Thời trang&gt; By Nhãn hiệu&gt; để&gt; heme")</f>
        <v>Đấu giá&gt; Thời trang&gt; By Nhãn hiệu&gt; để&gt; heme</v>
      </c>
      <c r="F667" t="str">
        <f t="shared" ca="1" si="10"/>
        <v>"2084050299" : "viền",</v>
      </c>
    </row>
    <row r="668" spans="1:6" ht="15.75" customHeight="1">
      <c r="A668" s="18">
        <v>2084203603</v>
      </c>
      <c r="B668" s="18" t="s">
        <v>12140</v>
      </c>
      <c r="C668" s="18" t="s">
        <v>12142</v>
      </c>
      <c r="D668" s="5" t="str">
        <f ca="1">IFERROR(__xludf.DUMMYFUNCTION("GOOGLETRANSLATE(B668,""ja"",""vi"")"),"Helly Hansen")</f>
        <v>Helly Hansen</v>
      </c>
      <c r="E668" s="5" t="str">
        <f ca="1">IFERROR(__xludf.DUMMYFUNCTION("GOOGLETRANSLATE(C668,""ja"",""vi"")"),"Đấu giá&gt; Thời trang&gt; By Nhãn hiệu&gt; để&gt; Helly Hansen")</f>
        <v>Đấu giá&gt; Thời trang&gt; By Nhãn hiệu&gt; để&gt; Helly Hansen</v>
      </c>
      <c r="F668" t="str">
        <f t="shared" ca="1" si="10"/>
        <v>"2084203603" : "Helly Hansen",</v>
      </c>
    </row>
    <row r="669" spans="1:6" ht="15.75" customHeight="1">
      <c r="A669" s="18">
        <v>2084048764</v>
      </c>
      <c r="B669" s="18" t="s">
        <v>12146</v>
      </c>
      <c r="C669" s="18" t="s">
        <v>12148</v>
      </c>
      <c r="D669" s="5" t="str">
        <f ca="1">IFERROR(__xludf.DUMMYFUNCTION("GOOGLETRANSLATE(B669,""ja"",""vi"")"),"Helmut Lang")</f>
        <v>Helmut Lang</v>
      </c>
      <c r="E669" s="5" t="str">
        <f ca="1">IFERROR(__xludf.DUMMYFUNCTION("GOOGLETRANSLATE(C669,""ja"",""vi"")"),"Đấu giá&gt; Thời trang&gt; By Nhãn hiệu&gt; để&gt; Helmut Lang")</f>
        <v>Đấu giá&gt; Thời trang&gt; By Nhãn hiệu&gt; để&gt; Helmut Lang</v>
      </c>
      <c r="F669" t="str">
        <f t="shared" ca="1" si="10"/>
        <v>"2084048764" : "Helmut Lang",</v>
      </c>
    </row>
    <row r="670" spans="1:6" ht="15.75" customHeight="1">
      <c r="A670" s="18">
        <v>2084054575</v>
      </c>
      <c r="B670" s="18" t="s">
        <v>12152</v>
      </c>
      <c r="C670" s="18" t="s">
        <v>12154</v>
      </c>
      <c r="D670" s="5" t="str">
        <f ca="1">IFERROR(__xludf.DUMMYFUNCTION("GOOGLETRANSLATE(B670,""ja"",""vi"")"),"Veil khiêu vũ")</f>
        <v>Veil khiêu vũ</v>
      </c>
      <c r="E670" s="5" t="str">
        <f ca="1">IFERROR(__xludf.DUMMYFUNCTION("GOOGLETRANSLATE(C670,""ja"",""vi"")"),"&gt; Veil nhảy theo đấu giá&gt; Thời trang&gt; By Nhãn hiệu&gt;")</f>
        <v>&gt; Veil nhảy theo đấu giá&gt; Thời trang&gt; By Nhãn hiệu&gt;</v>
      </c>
      <c r="F670" t="str">
        <f t="shared" ca="1" si="10"/>
        <v>"2084054575" : "Veil khiêu vũ",</v>
      </c>
    </row>
    <row r="671" spans="1:6" ht="15.75" customHeight="1">
      <c r="A671" s="18">
        <v>2084048596</v>
      </c>
      <c r="B671" s="18" t="s">
        <v>12157</v>
      </c>
      <c r="C671" s="18" t="s">
        <v>12158</v>
      </c>
      <c r="D671" s="5" t="str">
        <f ca="1">IFERROR(__xludf.DUMMYFUNCTION("GOOGLETRANSLATE(B671,""ja"",""vi"")"),"Versace")</f>
        <v>Versace</v>
      </c>
      <c r="E671" s="5" t="str">
        <f ca="1">IFERROR(__xludf.DUMMYFUNCTION("GOOGLETRANSLATE(C671,""ja"",""vi"")"),"Đấu giá&gt; Thời trang&gt; By Nhãn hiệu&gt; để&gt; Versace")</f>
        <v>Đấu giá&gt; Thời trang&gt; By Nhãn hiệu&gt; để&gt; Versace</v>
      </c>
      <c r="F671" t="str">
        <f t="shared" ca="1" si="10"/>
        <v>"2084048596" : "Versace",</v>
      </c>
    </row>
    <row r="672" spans="1:6" ht="15.75" customHeight="1">
      <c r="A672" s="18">
        <v>2084289102</v>
      </c>
      <c r="B672" s="18" t="s">
        <v>12162</v>
      </c>
      <c r="C672" s="18" t="s">
        <v>12164</v>
      </c>
      <c r="D672" s="5" t="str">
        <f ca="1">IFERROR(__xludf.DUMMYFUNCTION("GOOGLETRANSLATE(B672,""ja"",""vi"")"),"chuông Nhân viên")</f>
        <v>chuông Nhân viên</v>
      </c>
      <c r="E672" s="5" t="str">
        <f ca="1">IFERROR(__xludf.DUMMYFUNCTION("GOOGLETRANSLATE(C672,""ja"",""vi"")"),"Đấu giá&gt; Thời trang&gt; Brand &gt;&gt; nhân viên chuông")</f>
        <v>Đấu giá&gt; Thời trang&gt; Brand &gt;&gt; nhân viên chuông</v>
      </c>
      <c r="F672" t="str">
        <f t="shared" ca="1" si="10"/>
        <v>"2084289102" : "chuông Nhân viên",</v>
      </c>
    </row>
    <row r="673" spans="1:6" ht="15.75" customHeight="1">
      <c r="A673" s="18">
        <v>2084199083</v>
      </c>
      <c r="B673" s="18" t="s">
        <v>12169</v>
      </c>
      <c r="C673" s="18" t="s">
        <v>12170</v>
      </c>
      <c r="D673" s="5" t="str">
        <f ca="1">IFERROR(__xludf.DUMMYFUNCTION("GOOGLETRANSLATE(B673,""ja"",""vi"")"),"Bernhard Willhelm")</f>
        <v>Bernhard Willhelm</v>
      </c>
      <c r="E673" s="5" t="str">
        <f ca="1">IFERROR(__xludf.DUMMYFUNCTION("GOOGLETRANSLATE(C673,""ja"",""vi"")"),"Đấu giá&gt; Thời trang&gt; By Nhãn hiệu&gt; để&gt; Bernhard Willhelm")</f>
        <v>Đấu giá&gt; Thời trang&gt; By Nhãn hiệu&gt; để&gt; Bernhard Willhelm</v>
      </c>
      <c r="F673" t="str">
        <f t="shared" ca="1" si="10"/>
        <v>"2084199083" : "Bernhard Willhelm",</v>
      </c>
    </row>
    <row r="674" spans="1:6" ht="15.75" customHeight="1">
      <c r="A674" s="18">
        <v>2084205005</v>
      </c>
      <c r="B674" s="18" t="s">
        <v>12173</v>
      </c>
      <c r="C674" s="18" t="s">
        <v>12174</v>
      </c>
      <c r="D674" s="5" t="str">
        <f ca="1">IFERROR(__xludf.DUMMYFUNCTION("GOOGLETRANSLATE(B674,""ja"",""vi"")"),"Belo Nik Burankino")</f>
        <v>Belo Nik Burankino</v>
      </c>
      <c r="E674" s="5" t="str">
        <f ca="1">IFERROR(__xludf.DUMMYFUNCTION("GOOGLETRANSLATE(C674,""ja"",""vi"")"),"Đấu giá&gt; Thời trang&gt; By Nhãn hiệu&gt; để&gt; Belo Nik Burankino")</f>
        <v>Đấu giá&gt; Thời trang&gt; By Nhãn hiệu&gt; để&gt; Belo Nik Burankino</v>
      </c>
      <c r="F674" t="str">
        <f t="shared" ca="1" si="10"/>
        <v>"2084205005" : "Belo Nik Burankino",</v>
      </c>
    </row>
    <row r="675" spans="1:6" ht="15.75" customHeight="1">
      <c r="A675" s="18">
        <v>2084286341</v>
      </c>
      <c r="B675" s="18" t="s">
        <v>46</v>
      </c>
      <c r="C675" s="18" t="s">
        <v>12180</v>
      </c>
      <c r="D675" s="5" t="str">
        <f ca="1">IFERROR(__xludf.DUMMYFUNCTION("GOOGLETRANSLATE(B675,""ja"",""vi"")"),"nếu không thì")</f>
        <v>nếu không thì</v>
      </c>
      <c r="E675" s="5" t="str">
        <f ca="1">IFERROR(__xludf.DUMMYFUNCTION("GOOGLETRANSLATE(C675,""ja"",""vi"")"),"Đấu giá&gt; Thời trang&gt; By Nhãn hiệu&gt; để&gt; Khác")</f>
        <v>Đấu giá&gt; Thời trang&gt; By Nhãn hiệu&gt; để&gt; Khác</v>
      </c>
      <c r="F675" t="str">
        <f t="shared" ca="1" si="10"/>
        <v>"2084286341" : "nếu không thì",</v>
      </c>
    </row>
    <row r="676" spans="1:6" ht="15.75" customHeight="1">
      <c r="A676" s="18">
        <v>2084048770</v>
      </c>
      <c r="B676" s="18" t="s">
        <v>12184</v>
      </c>
      <c r="C676" s="18" t="s">
        <v>12185</v>
      </c>
      <c r="D676" s="5" t="str">
        <f ca="1">IFERROR(__xludf.DUMMYFUNCTION("GOOGLETRANSLATE(B676,""ja"",""vi"")"),"tẩy chay")</f>
        <v>tẩy chay</v>
      </c>
      <c r="E676" s="5" t="str">
        <f ca="1">IFERROR(__xludf.DUMMYFUNCTION("GOOGLETRANSLATE(C676,""ja"",""vi"")"),"Đấu giá&gt; Thời trang&gt; By Nhãn hiệu&gt; ho&gt; tẩy chay")</f>
        <v>Đấu giá&gt; Thời trang&gt; By Nhãn hiệu&gt; ho&gt; tẩy chay</v>
      </c>
      <c r="F676" t="str">
        <f t="shared" ca="1" si="10"/>
        <v>"2084048770" : "tẩy chay",</v>
      </c>
    </row>
    <row r="677" spans="1:6" ht="15.75" customHeight="1">
      <c r="A677" s="18">
        <v>2084203612</v>
      </c>
      <c r="B677" s="18" t="s">
        <v>12190</v>
      </c>
      <c r="C677" s="18" t="s">
        <v>12192</v>
      </c>
      <c r="D677" s="5" t="str">
        <f ca="1">IFERROR(__xludf.DUMMYFUNCTION("GOOGLETRANSLATE(B677,""ja"",""vi"")"),"Haglofs")</f>
        <v>Haglofs</v>
      </c>
      <c r="E677" s="5" t="str">
        <f ca="1">IFERROR(__xludf.DUMMYFUNCTION("GOOGLETRANSLATE(C677,""ja"",""vi"")"),"Đấu giá&gt; Thời trang&gt; By Nhãn hiệu&gt; ho&gt; haglofs")</f>
        <v>Đấu giá&gt; Thời trang&gt; By Nhãn hiệu&gt; ho&gt; haglofs</v>
      </c>
      <c r="F677" t="str">
        <f t="shared" ca="1" si="10"/>
        <v>"2084203612" : "Haglofs",</v>
      </c>
    </row>
    <row r="678" spans="1:6" ht="15.75" customHeight="1">
      <c r="A678" s="18">
        <v>2084050236</v>
      </c>
      <c r="B678" s="18" t="s">
        <v>12196</v>
      </c>
      <c r="C678" s="18" t="s">
        <v>12198</v>
      </c>
      <c r="D678" s="5" t="str">
        <f ca="1">IFERROR(__xludf.DUMMYFUNCTION("GOOGLETRANSLATE(B678,""ja"",""vi"")"),"Hokomomora")</f>
        <v>Hokomomora</v>
      </c>
      <c r="E678" s="5" t="str">
        <f ca="1">IFERROR(__xludf.DUMMYFUNCTION("GOOGLETRANSLATE(C678,""ja"",""vi"")"),"Đấu giá&gt; Thời trang&gt; By Nhãn hiệu&gt; ho&gt; Hokomomora")</f>
        <v>Đấu giá&gt; Thời trang&gt; By Nhãn hiệu&gt; ho&gt; Hokomomora</v>
      </c>
      <c r="F678" t="str">
        <f t="shared" ca="1" si="10"/>
        <v>"2084050236" : "Hokomomora",</v>
      </c>
    </row>
    <row r="679" spans="1:6" ht="15.75" customHeight="1">
      <c r="A679" s="18">
        <v>2084256953</v>
      </c>
      <c r="B679" s="18" t="s">
        <v>12201</v>
      </c>
      <c r="C679" s="18" t="s">
        <v>12203</v>
      </c>
      <c r="D679" s="5" t="str">
        <f ca="1">IFERROR(__xludf.DUMMYFUNCTION("GOOGLETRANSLATE(B679,""ja"",""vi"")"),"Posutoobaoruzu")</f>
        <v>Posutoobaoruzu</v>
      </c>
      <c r="E679" s="5" t="str">
        <f ca="1">IFERROR(__xludf.DUMMYFUNCTION("GOOGLETRANSLATE(C679,""ja"",""vi"")"),"Đấu giá&gt; Thời trang&gt; By Nhãn hiệu&gt; ho&gt; Posutoobaoruzu")</f>
        <v>Đấu giá&gt; Thời trang&gt; By Nhãn hiệu&gt; ho&gt; Posutoobaoruzu</v>
      </c>
      <c r="F679" t="str">
        <f t="shared" ca="1" si="10"/>
        <v>"2084256953" : "Posutoobaoruzu",</v>
      </c>
    </row>
    <row r="680" spans="1:6" ht="15.75" customHeight="1">
      <c r="A680" s="18">
        <v>2084050303</v>
      </c>
      <c r="B680" s="18" t="s">
        <v>12207</v>
      </c>
      <c r="C680" s="18" t="s">
        <v>12208</v>
      </c>
      <c r="D680" s="5" t="str">
        <f ca="1">IFERROR(__xludf.DUMMYFUNCTION("GOOGLETRANSLATE(B680,""ja"",""vi"")"),"Bosch")</f>
        <v>Bosch</v>
      </c>
      <c r="E680" s="5" t="str">
        <f ca="1">IFERROR(__xludf.DUMMYFUNCTION("GOOGLETRANSLATE(C680,""ja"",""vi"")"),"Đấu giá&gt; Thời trang&gt; By Nhãn hiệu&gt; ho&gt; Bosch")</f>
        <v>Đấu giá&gt; Thời trang&gt; By Nhãn hiệu&gt; ho&gt; Bosch</v>
      </c>
      <c r="F680" t="str">
        <f t="shared" ca="1" si="10"/>
        <v>"2084050303" : "Bosch",</v>
      </c>
    </row>
    <row r="681" spans="1:6" ht="15.75" customHeight="1">
      <c r="A681" s="18">
        <v>2084050304</v>
      </c>
      <c r="B681" s="18" t="s">
        <v>12211</v>
      </c>
      <c r="C681" s="18" t="s">
        <v>12213</v>
      </c>
      <c r="D681" s="5" t="str">
        <f ca="1">IFERROR(__xludf.DUMMYFUNCTION("GOOGLETRANSLATE(B681,""ja"",""vi"")"),"Bottega Veneta")</f>
        <v>Bottega Veneta</v>
      </c>
      <c r="E681" s="5" t="str">
        <f ca="1">IFERROR(__xludf.DUMMYFUNCTION("GOOGLETRANSLATE(C681,""ja"",""vi"")"),"Đấu giá&gt; Thời trang&gt; By Nhãn hiệu&gt; ho&gt; Bottega Veneta")</f>
        <v>Đấu giá&gt; Thời trang&gt; By Nhãn hiệu&gt; ho&gt; Bottega Veneta</v>
      </c>
      <c r="F681" t="str">
        <f t="shared" ca="1" si="10"/>
        <v>"2084050304" : "Bottega Veneta",</v>
      </c>
    </row>
    <row r="682" spans="1:6" ht="15.75" customHeight="1">
      <c r="A682" s="18">
        <v>2084050306</v>
      </c>
      <c r="B682" s="18" t="s">
        <v>12215</v>
      </c>
      <c r="C682" s="18" t="s">
        <v>12216</v>
      </c>
      <c r="D682" s="5" t="str">
        <f ca="1">IFERROR(__xludf.DUMMYFUNCTION("GOOGLETRANSLATE(B682,""ja"",""vi"")"),"Body mặc quần áo Phòng")</f>
        <v>Body mặc quần áo Phòng</v>
      </c>
      <c r="E682" s="5" t="str">
        <f ca="1">IFERROR(__xludf.DUMMYFUNCTION("GOOGLETRANSLATE(C682,""ja"",""vi"")"),"Đấu giá&gt; Thời trang&gt; By Nhãn hiệu&gt; ho&gt; Body Dressing Phòng")</f>
        <v>Đấu giá&gt; Thời trang&gt; By Nhãn hiệu&gt; ho&gt; Body Dressing Phòng</v>
      </c>
      <c r="F682" t="str">
        <f t="shared" ca="1" si="10"/>
        <v>"2084050306" : "Body mặc quần áo Phòng",</v>
      </c>
    </row>
    <row r="683" spans="1:6" ht="15.75" customHeight="1">
      <c r="A683" s="18">
        <v>2084024290</v>
      </c>
      <c r="B683" s="18" t="s">
        <v>10958</v>
      </c>
      <c r="C683" s="18" t="s">
        <v>12221</v>
      </c>
      <c r="D683" s="5" t="str">
        <f ca="1">IFERROR(__xludf.DUMMYFUNCTION("GOOGLETRANSLATE(B683,""ja"",""vi"")"),"nhân viên khuân vác")</f>
        <v>nhân viên khuân vác</v>
      </c>
      <c r="E683" s="5" t="str">
        <f ca="1">IFERROR(__xludf.DUMMYFUNCTION("GOOGLETRANSLATE(C683,""ja"",""vi"")"),"Đấu giá&gt; Thời trang&gt; By Nhãn hiệu&gt; ho&gt; Porter")</f>
        <v>Đấu giá&gt; Thời trang&gt; By Nhãn hiệu&gt; ho&gt; Porter</v>
      </c>
      <c r="F683" t="str">
        <f t="shared" ca="1" si="10"/>
        <v>"2084024290" : "nhân viên khuân vác",</v>
      </c>
    </row>
    <row r="684" spans="1:6" ht="15.75" customHeight="1">
      <c r="A684" s="18">
        <v>2084283762</v>
      </c>
      <c r="B684" s="18" t="s">
        <v>12225</v>
      </c>
      <c r="C684" s="18" t="s">
        <v>12226</v>
      </c>
      <c r="D684" s="5" t="str">
        <f ca="1">IFERROR(__xludf.DUMMYFUNCTION("GOOGLETRANSLATE(B684,""ja"",""vi"")"),"Bona Jorunata")</f>
        <v>Bona Jorunata</v>
      </c>
      <c r="E684" s="5" t="str">
        <f ca="1">IFERROR(__xludf.DUMMYFUNCTION("GOOGLETRANSLATE(C684,""ja"",""vi"")"),"Đấu giá&gt; Thời trang&gt; By Nhãn hiệu&gt; ho&gt; Bona Jorunata")</f>
        <v>Đấu giá&gt; Thời trang&gt; By Nhãn hiệu&gt; ho&gt; Bona Jorunata</v>
      </c>
      <c r="F684" t="str">
        <f t="shared" ca="1" si="10"/>
        <v>"2084283762" : "Bona Jorunata",</v>
      </c>
    </row>
    <row r="685" spans="1:6" ht="15.75" customHeight="1">
      <c r="A685" s="18">
        <v>2084061726</v>
      </c>
      <c r="B685" s="18" t="s">
        <v>12229</v>
      </c>
      <c r="C685" s="18" t="s">
        <v>12230</v>
      </c>
      <c r="D685" s="5" t="str">
        <f ca="1">IFERROR(__xludf.DUMMYFUNCTION("GOOGLETRANSLATE(B685,""ja"",""vi"")"),"Hollister")</f>
        <v>Hollister</v>
      </c>
      <c r="E685" s="5" t="str">
        <f ca="1">IFERROR(__xludf.DUMMYFUNCTION("GOOGLETRANSLATE(C685,""ja"",""vi"")"),"Đấu giá&gt; Thời trang&gt; By Nhãn hiệu&gt; ho&gt; Hollister")</f>
        <v>Đấu giá&gt; Thời trang&gt; By Nhãn hiệu&gt; ho&gt; Hollister</v>
      </c>
      <c r="F685" t="str">
        <f t="shared" ca="1" si="10"/>
        <v>"2084061726" : "Hollister",</v>
      </c>
    </row>
    <row r="686" spans="1:6" ht="15.75" customHeight="1">
      <c r="A686" s="18">
        <v>2084260046</v>
      </c>
      <c r="B686" s="18" t="s">
        <v>12232</v>
      </c>
      <c r="C686" s="18" t="s">
        <v>12233</v>
      </c>
      <c r="D686" s="5" t="str">
        <f ca="1">IFERROR(__xludf.DUMMYFUNCTION("GOOGLETRANSLATE(B686,""ja"",""vi"")"),"Boruji")</f>
        <v>Boruji</v>
      </c>
      <c r="E686" s="5" t="str">
        <f ca="1">IFERROR(__xludf.DUMMYFUNCTION("GOOGLETRANSLATE(C686,""ja"",""vi"")"),"Đấu giá&gt; Thời trang&gt; By Nhãn hiệu&gt; ho&gt; Boruji")</f>
        <v>Đấu giá&gt; Thời trang&gt; By Nhãn hiệu&gt; ho&gt; Boruji</v>
      </c>
      <c r="F686" t="str">
        <f t="shared" ca="1" si="10"/>
        <v>"2084260046" : "Boruji",</v>
      </c>
    </row>
    <row r="687" spans="1:6" ht="15.75" customHeight="1">
      <c r="A687" s="18">
        <v>2084050307</v>
      </c>
      <c r="B687" s="18" t="s">
        <v>12238</v>
      </c>
      <c r="C687" s="18" t="s">
        <v>12239</v>
      </c>
      <c r="D687" s="5" t="str">
        <f ca="1">IFERROR(__xludf.DUMMYFUNCTION("GOOGLETRANSLATE(B687,""ja"",""vi"")"),"Volcom")</f>
        <v>Volcom</v>
      </c>
      <c r="E687" s="5" t="str">
        <f ca="1">IFERROR(__xludf.DUMMYFUNCTION("GOOGLETRANSLATE(C687,""ja"",""vi"")"),"Đấu giá&gt; Thời trang&gt; By Nhãn hiệu&gt; ho&gt; Volcom")</f>
        <v>Đấu giá&gt; Thời trang&gt; By Nhãn hiệu&gt; ho&gt; Volcom</v>
      </c>
      <c r="F687" t="str">
        <f t="shared" ca="1" si="10"/>
        <v>"2084050307" : "Volcom",</v>
      </c>
    </row>
    <row r="688" spans="1:6" ht="15.75" customHeight="1">
      <c r="A688" s="18">
        <v>2084048632</v>
      </c>
      <c r="B688" s="18" t="s">
        <v>12242</v>
      </c>
      <c r="C688" s="18" t="s">
        <v>12244</v>
      </c>
      <c r="D688" s="5" t="str">
        <f ca="1">IFERROR(__xludf.DUMMYFUNCTION("GOOGLETRANSLATE(B688,""ja"",""vi"")"),"Paul Smith")</f>
        <v>Paul Smith</v>
      </c>
      <c r="E688" s="5" t="str">
        <f ca="1">IFERROR(__xludf.DUMMYFUNCTION("GOOGLETRANSLATE(C688,""ja"",""vi"")"),"Đấu giá&gt; Thời trang&gt; By Nhãn hiệu&gt; ho&gt; Paul Smith")</f>
        <v>Đấu giá&gt; Thời trang&gt; By Nhãn hiệu&gt; ho&gt; Paul Smith</v>
      </c>
      <c r="F688" t="str">
        <f t="shared" ca="1" si="10"/>
        <v>"2084048632" : "Paul Smith",</v>
      </c>
    </row>
    <row r="689" spans="1:6" ht="15.75" customHeight="1">
      <c r="A689" s="18">
        <v>2084255899</v>
      </c>
      <c r="B689" s="18" t="s">
        <v>12247</v>
      </c>
      <c r="C689" s="18" t="s">
        <v>12248</v>
      </c>
      <c r="D689" s="5" t="str">
        <f ca="1">IFERROR(__xludf.DUMMYFUNCTION("GOOGLETRANSLATE(B689,""ja"",""vi"")"),"Paul Stuart")</f>
        <v>Paul Stuart</v>
      </c>
      <c r="E689" s="5" t="str">
        <f ca="1">IFERROR(__xludf.DUMMYFUNCTION("GOOGLETRANSLATE(C689,""ja"",""vi"")"),"Đấu giá&gt; Thời trang&gt; By Nhãn hiệu&gt; ho&gt; Paul Stuart")</f>
        <v>Đấu giá&gt; Thời trang&gt; By Nhãn hiệu&gt; ho&gt; Paul Stuart</v>
      </c>
      <c r="F689" t="str">
        <f t="shared" ca="1" si="10"/>
        <v>"2084255899" : "Paul Stuart",</v>
      </c>
    </row>
    <row r="690" spans="1:6" ht="15.75" customHeight="1">
      <c r="A690" s="18">
        <v>2084054163</v>
      </c>
      <c r="B690" s="18" t="s">
        <v>12253</v>
      </c>
      <c r="C690" s="18" t="s">
        <v>12254</v>
      </c>
      <c r="D690" s="5" t="str">
        <f ca="1">IFERROR(__xludf.DUMMYFUNCTION("GOOGLETRANSLATE(B690,""ja"",""vi"")"),"Paul &amp; Joe")</f>
        <v>Paul &amp; Joe</v>
      </c>
      <c r="E690" s="5" t="str">
        <f ca="1">IFERROR(__xludf.DUMMYFUNCTION("GOOGLETRANSLATE(C690,""ja"",""vi"")"),"Đấu giá&gt; Thời trang&gt; By Nhãn hiệu&gt; ho&gt; Paul &amp; Joe")</f>
        <v>Đấu giá&gt; Thời trang&gt; By Nhãn hiệu&gt; ho&gt; Paul &amp; Joe</v>
      </c>
      <c r="F690" t="str">
        <f t="shared" ca="1" si="10"/>
        <v>"2084054163" : "Paul &amp; Joe",</v>
      </c>
    </row>
    <row r="691" spans="1:6" ht="15.75" customHeight="1">
      <c r="A691" s="18">
        <v>2084260045</v>
      </c>
      <c r="B691" s="18" t="s">
        <v>12258</v>
      </c>
      <c r="C691" s="18" t="s">
        <v>12259</v>
      </c>
      <c r="D691" s="5" t="str">
        <f ca="1">IFERROR(__xludf.DUMMYFUNCTION("GOOGLETRANSLATE(B691,""ja"",""vi"")"),"Poruka")</f>
        <v>Poruka</v>
      </c>
      <c r="E691" s="5" t="str">
        <f ca="1">IFERROR(__xludf.DUMMYFUNCTION("GOOGLETRANSLATE(C691,""ja"",""vi"")"),"Đấu giá&gt; Thời trang&gt; By Nhãn hiệu&gt; ho&gt; Poruka")</f>
        <v>Đấu giá&gt; Thời trang&gt; By Nhãn hiệu&gt; ho&gt; Poruka</v>
      </c>
      <c r="F691" t="str">
        <f t="shared" ca="1" si="10"/>
        <v>"2084260045" : "Poruka",</v>
      </c>
    </row>
    <row r="692" spans="1:6" ht="15.75" customHeight="1">
      <c r="A692" s="18">
        <v>2084261402</v>
      </c>
      <c r="B692" s="18" t="s">
        <v>12263</v>
      </c>
      <c r="C692" s="18" t="s">
        <v>12264</v>
      </c>
      <c r="D692" s="5" t="str">
        <f ca="1">IFERROR(__xludf.DUMMYFUNCTION("GOOGLETRANSLATE(B692,""ja"",""vi"")"),"cảnh sát")</f>
        <v>cảnh sát</v>
      </c>
      <c r="E692" s="5" t="str">
        <f ca="1">IFERROR(__xludf.DUMMYFUNCTION("GOOGLETRANSLATE(C692,""ja"",""vi"")"),"Đấu giá&gt; Thời trang&gt; By Nhãn hiệu&gt; ho&gt; Cảnh sát")</f>
        <v>Đấu giá&gt; Thời trang&gt; By Nhãn hiệu&gt; ho&gt; Cảnh sát</v>
      </c>
      <c r="F692" t="str">
        <f t="shared" ca="1" si="10"/>
        <v>"2084261402" : "cảnh sát",</v>
      </c>
    </row>
    <row r="693" spans="1:6" ht="15.75" customHeight="1">
      <c r="A693" s="18">
        <v>2084232959</v>
      </c>
      <c r="B693" s="18" t="s">
        <v>12267</v>
      </c>
      <c r="C693" s="18" t="s">
        <v>12269</v>
      </c>
      <c r="D693" s="5" t="str">
        <f ca="1">IFERROR(__xludf.DUMMYFUNCTION("GOOGLETRANSLATE(B693,""ja"",""vi"")"),"Howaitsubutsu")</f>
        <v>Howaitsubutsu</v>
      </c>
      <c r="E693" s="5" t="str">
        <f ca="1">IFERROR(__xludf.DUMMYFUNCTION("GOOGLETRANSLATE(C693,""ja"",""vi"")"),"Đấu giá&gt; Thời trang&gt; By Nhãn hiệu&gt; ho&gt; Howaitsubutsu")</f>
        <v>Đấu giá&gt; Thời trang&gt; By Nhãn hiệu&gt; ho&gt; Howaitsubutsu</v>
      </c>
      <c r="F693" t="str">
        <f t="shared" ca="1" si="10"/>
        <v>"2084232959" : "Howaitsubutsu",</v>
      </c>
    </row>
    <row r="694" spans="1:6" ht="15.75" customHeight="1">
      <c r="A694" s="18">
        <v>2084050308</v>
      </c>
      <c r="B694" s="18" t="s">
        <v>12272</v>
      </c>
      <c r="C694" s="18" t="s">
        <v>12273</v>
      </c>
      <c r="D694" s="5" t="str">
        <f ca="1">IFERROR(__xludf.DUMMYFUNCTION("GOOGLETRANSLATE(B694,""ja"",""vi"")"),"Nhà Trắng Cox")</f>
        <v>Nhà Trắng Cox</v>
      </c>
      <c r="E694" s="5" t="str">
        <f ca="1">IFERROR(__xludf.DUMMYFUNCTION("GOOGLETRANSLATE(C694,""ja"",""vi"")"),"Đấu giá&gt; Thời trang&gt; By Nhãn hiệu&gt; ho&gt; Nhà Trắng Cox")</f>
        <v>Đấu giá&gt; Thời trang&gt; By Nhãn hiệu&gt; ho&gt; Nhà Trắng Cox</v>
      </c>
      <c r="F694" t="str">
        <f t="shared" ca="1" si="10"/>
        <v>"2084050308" : "Nhà Trắng Cox",</v>
      </c>
    </row>
    <row r="695" spans="1:6" ht="15.75" customHeight="1">
      <c r="A695" s="18">
        <v>2084312251</v>
      </c>
      <c r="B695" s="18" t="s">
        <v>12278</v>
      </c>
      <c r="C695" s="18" t="s">
        <v>12279</v>
      </c>
      <c r="D695" s="5" t="str">
        <f ca="1">IFERROR(__xludf.DUMMYFUNCTION("GOOGLETRANSLATE(B695,""ja"",""vi"")"),"trắng leo núi")</f>
        <v>trắng leo núi</v>
      </c>
      <c r="E695" s="5" t="str">
        <f ca="1">IFERROR(__xludf.DUMMYFUNCTION("GOOGLETRANSLATE(C695,""ja"",""vi"")"),"Đấu giá&gt; Thời trang&gt; By Nhãn hiệu&gt; ho&gt; trắng leo núi")</f>
        <v>Đấu giá&gt; Thời trang&gt; By Nhãn hiệu&gt; ho&gt; trắng leo núi</v>
      </c>
      <c r="F695" t="str">
        <f t="shared" ca="1" si="10"/>
        <v>"2084312251" : "trắng leo núi",</v>
      </c>
    </row>
    <row r="696" spans="1:6" ht="15.75" customHeight="1">
      <c r="A696" s="18">
        <v>2084314560</v>
      </c>
      <c r="B696" s="18" t="s">
        <v>12283</v>
      </c>
      <c r="C696" s="18" t="s">
        <v>12284</v>
      </c>
      <c r="D696" s="5" t="str">
        <f ca="1">IFERROR(__xludf.DUMMYFUNCTION("GOOGLETRANSLATE(B696,""ja"",""vi"")"),"Boriori")</f>
        <v>Boriori</v>
      </c>
      <c r="E696" s="5" t="str">
        <f ca="1">IFERROR(__xludf.DUMMYFUNCTION("GOOGLETRANSLATE(C696,""ja"",""vi"")"),"Đấu giá&gt; Thời trang&gt; By Nhãn hiệu&gt; ho&gt; Boriori")</f>
        <v>Đấu giá&gt; Thời trang&gt; By Nhãn hiệu&gt; ho&gt; Boriori</v>
      </c>
      <c r="F696" t="str">
        <f t="shared" ca="1" si="10"/>
        <v>"2084314560" : "Boriori",</v>
      </c>
    </row>
    <row r="697" spans="1:6" ht="15.75" customHeight="1">
      <c r="A697" s="18">
        <v>2084050646</v>
      </c>
      <c r="B697" s="18" t="s">
        <v>12290</v>
      </c>
      <c r="C697" s="18" t="s">
        <v>12292</v>
      </c>
      <c r="D697" s="5" t="str">
        <f ca="1">IFERROR(__xludf.DUMMYFUNCTION("GOOGLETRANSLATE(B697,""ja"",""vi"")"),"Bondatchi")</f>
        <v>Bondatchi</v>
      </c>
      <c r="E697" s="5" t="str">
        <f ca="1">IFERROR(__xludf.DUMMYFUNCTION("GOOGLETRANSLATE(C697,""ja"",""vi"")"),"Đấu giá&gt; Thời trang&gt; By Nhãn hiệu&gt; ho&gt; Bondatchi")</f>
        <v>Đấu giá&gt; Thời trang&gt; By Nhãn hiệu&gt; ho&gt; Bondatchi</v>
      </c>
      <c r="F697" t="str">
        <f t="shared" ca="1" si="10"/>
        <v>"2084050646" : "Bondatchi",</v>
      </c>
    </row>
    <row r="698" spans="1:6" ht="15.75" customHeight="1">
      <c r="A698" s="18">
        <v>2084293058</v>
      </c>
      <c r="B698" s="18" t="s">
        <v>12297</v>
      </c>
      <c r="C698" s="18" t="s">
        <v>12299</v>
      </c>
      <c r="D698" s="5" t="str">
        <f ca="1">IFERROR(__xludf.DUMMYFUNCTION("GOOGLETRANSLATE(B698,""ja"",""vi"")"),"Bonpowan")</f>
        <v>Bonpowan</v>
      </c>
      <c r="E698" s="5" t="str">
        <f ca="1">IFERROR(__xludf.DUMMYFUNCTION("GOOGLETRANSLATE(C698,""ja"",""vi"")"),"Đấu giá&gt; Thời trang&gt; By Nhãn hiệu&gt; ho&gt; Bonpowan")</f>
        <v>Đấu giá&gt; Thời trang&gt; By Nhãn hiệu&gt; ho&gt; Bonpowan</v>
      </c>
      <c r="F698" t="str">
        <f t="shared" ca="1" si="10"/>
        <v>"2084293058" : "Bonpowan",</v>
      </c>
    </row>
    <row r="699" spans="1:6" ht="15.75" customHeight="1">
      <c r="A699" s="18">
        <v>2084048773</v>
      </c>
      <c r="B699" s="18" t="s">
        <v>12301</v>
      </c>
      <c r="C699" s="18" t="s">
        <v>12302</v>
      </c>
      <c r="D699" s="5" t="str">
        <f ca="1">IFERROR(__xludf.DUMMYFUNCTION("GOOGLETRANSLATE(B699,""ja"",""vi"")"),"Ponponetto")</f>
        <v>Ponponetto</v>
      </c>
      <c r="E699" s="5" t="str">
        <f ca="1">IFERROR(__xludf.DUMMYFUNCTION("GOOGLETRANSLATE(C699,""ja"",""vi"")"),"Đấu giá&gt; Thời trang&gt; By Nhãn hiệu&gt; ho&gt; Ponponetto")</f>
        <v>Đấu giá&gt; Thời trang&gt; By Nhãn hiệu&gt; ho&gt; Ponponetto</v>
      </c>
      <c r="F699" t="str">
        <f t="shared" ca="1" si="10"/>
        <v>"2084048773" : "Ponponetto",</v>
      </c>
    </row>
    <row r="700" spans="1:6" ht="15.75" customHeight="1">
      <c r="A700" s="18">
        <v>2084286356</v>
      </c>
      <c r="B700" s="18" t="s">
        <v>46</v>
      </c>
      <c r="C700" s="18" t="s">
        <v>12306</v>
      </c>
      <c r="D700" s="5" t="str">
        <f ca="1">IFERROR(__xludf.DUMMYFUNCTION("GOOGLETRANSLATE(B700,""ja"",""vi"")"),"nếu không thì")</f>
        <v>nếu không thì</v>
      </c>
      <c r="E700" s="5" t="str">
        <f ca="1">IFERROR(__xludf.DUMMYFUNCTION("GOOGLETRANSLATE(C700,""ja"",""vi"")"),"Đấu giá&gt; Thời trang&gt; By Nhãn hiệu&gt; ho&gt; Khác")</f>
        <v>Đấu giá&gt; Thời trang&gt; By Nhãn hiệu&gt; ho&gt; Khác</v>
      </c>
      <c r="F700" t="str">
        <f t="shared" ca="1" si="10"/>
        <v>"2084286356" : "nếu không thì",</v>
      </c>
    </row>
    <row r="701" spans="1:6" ht="15.75" customHeight="1">
      <c r="A701" s="18">
        <v>2084212549</v>
      </c>
      <c r="B701" s="18" t="s">
        <v>12309</v>
      </c>
      <c r="C701" s="18" t="s">
        <v>12310</v>
      </c>
      <c r="D701" s="5" t="str">
        <f ca="1">IFERROR(__xludf.DUMMYFUNCTION("GOOGLETRANSLATE(B701,""ja"",""vi"")"),"Michael Kors")</f>
        <v>Michael Kors</v>
      </c>
      <c r="E701" s="5" t="str">
        <f ca="1">IFERROR(__xludf.DUMMYFUNCTION("GOOGLETRANSLATE(C701,""ja"",""vi"")"),"Đấu giá&gt; Thời trang&gt; By Nhãn hiệu&gt; hoặc&gt; Michael Kors")</f>
        <v>Đấu giá&gt; Thời trang&gt; By Nhãn hiệu&gt; hoặc&gt; Michael Kors</v>
      </c>
      <c r="F701" t="str">
        <f t="shared" ca="1" si="10"/>
        <v>"2084212549" : "Michael Kors",</v>
      </c>
    </row>
    <row r="702" spans="1:6" ht="15.75" customHeight="1">
      <c r="A702" s="18">
        <v>2084048775</v>
      </c>
      <c r="B702" s="18" t="s">
        <v>12312</v>
      </c>
      <c r="C702" s="18" t="s">
        <v>12313</v>
      </c>
      <c r="D702" s="5" t="str">
        <f ca="1">IFERROR(__xludf.DUMMYFUNCTION("GOOGLETRANSLATE(B702,""ja"",""vi"")"),"Moussy")</f>
        <v>Moussy</v>
      </c>
      <c r="E702" s="5" t="str">
        <f ca="1">IFERROR(__xludf.DUMMYFUNCTION("GOOGLETRANSLATE(C702,""ja"",""vi"")"),"Đấu giá&gt; Thời trang&gt; By Nhãn hiệu&gt; hoặc&gt; Moussy")</f>
        <v>Đấu giá&gt; Thời trang&gt; By Nhãn hiệu&gt; hoặc&gt; Moussy</v>
      </c>
      <c r="F702" t="str">
        <f t="shared" ca="1" si="10"/>
        <v>"2084048775" : "Moussy",</v>
      </c>
    </row>
    <row r="703" spans="1:6" ht="15.75" customHeight="1">
      <c r="A703" s="18">
        <v>2084242125</v>
      </c>
      <c r="B703" s="18" t="s">
        <v>12316</v>
      </c>
      <c r="C703" s="18" t="s">
        <v>12318</v>
      </c>
      <c r="D703" s="5" t="str">
        <f ca="1">IFERROR(__xludf.DUMMYFUNCTION("GOOGLETRANSLATE(B703,""ja"",""vi"")"),"marka")</f>
        <v>marka</v>
      </c>
      <c r="E703" s="5" t="str">
        <f ca="1">IFERROR(__xludf.DUMMYFUNCTION("GOOGLETRANSLATE(C703,""ja"",""vi"")"),"Đấu giá&gt; Thời trang&gt; By Nhãn hiệu&gt; hoặc&gt; marka")</f>
        <v>Đấu giá&gt; Thời trang&gt; By Nhãn hiệu&gt; hoặc&gt; marka</v>
      </c>
      <c r="F703" t="str">
        <f t="shared" ca="1" si="10"/>
        <v>"2084242125" : "marka",</v>
      </c>
    </row>
    <row r="704" spans="1:6" ht="15.75" customHeight="1">
      <c r="A704" s="18">
        <v>2084050309</v>
      </c>
      <c r="B704" s="18" t="s">
        <v>12320</v>
      </c>
      <c r="C704" s="18" t="s">
        <v>12321</v>
      </c>
      <c r="D704" s="5" t="str">
        <f ca="1">IFERROR(__xludf.DUMMYFUNCTION("GOOGLETRANSLATE(B704,""ja"",""vi"")"),"Margaret Howell")</f>
        <v>Margaret Howell</v>
      </c>
      <c r="E704" s="5" t="str">
        <f ca="1">IFERROR(__xludf.DUMMYFUNCTION("GOOGLETRANSLATE(C704,""ja"",""vi"")"),"Đấu giá&gt; Thời trang&gt; By Nhãn hiệu&gt; hoặc&gt; Margaret Howell")</f>
        <v>Đấu giá&gt; Thời trang&gt; By Nhãn hiệu&gt; hoặc&gt; Margaret Howell</v>
      </c>
      <c r="F704" t="str">
        <f t="shared" ca="1" si="10"/>
        <v>"2084050309" : "Margaret Howell",</v>
      </c>
    </row>
    <row r="705" spans="1:6" ht="15.75" customHeight="1">
      <c r="A705" s="18">
        <v>2084260047</v>
      </c>
      <c r="B705" s="18" t="s">
        <v>12324</v>
      </c>
      <c r="C705" s="18" t="s">
        <v>12325</v>
      </c>
      <c r="D705" s="5" t="str">
        <f ca="1">IFERROR(__xludf.DUMMYFUNCTION("GOOGLETRANSLATE(B705,""ja"",""vi"")"),"Thủy đôi")</f>
        <v>Thủy đôi</v>
      </c>
      <c r="E705" s="5" t="str">
        <f ca="1">IFERROR(__xludf.DUMMYFUNCTION("GOOGLETRANSLATE(C705,""ja"",""vi"")"),"Đấu giá&gt; Thời trang&gt; By Nhãn hiệu&gt; hoặc&gt; Mercury đôi")</f>
        <v>Đấu giá&gt; Thời trang&gt; By Nhãn hiệu&gt; hoặc&gt; Mercury đôi</v>
      </c>
      <c r="F705" t="str">
        <f t="shared" ca="1" si="10"/>
        <v>"2084260047" : "Thủy đôi",</v>
      </c>
    </row>
    <row r="706" spans="1:6" ht="15.75" customHeight="1">
      <c r="A706" s="18">
        <v>2084050310</v>
      </c>
      <c r="B706" s="18" t="s">
        <v>12328</v>
      </c>
      <c r="C706" s="18" t="s">
        <v>12329</v>
      </c>
      <c r="D706" s="5" t="str">
        <f ca="1">IFERROR(__xludf.DUMMYFUNCTION("GOOGLETRANSLATE(B706,""ja"",""vi"")"),"Marc jacobs")</f>
        <v>Marc jacobs</v>
      </c>
      <c r="E706" s="5" t="str">
        <f ca="1">IFERROR(__xludf.DUMMYFUNCTION("GOOGLETRANSLATE(C706,""ja"",""vi"")"),"Đấu giá&gt; Thời trang&gt; By Nhãn hiệu&gt; hoặc&gt; Marc Jacobs")</f>
        <v>Đấu giá&gt; Thời trang&gt; By Nhãn hiệu&gt; hoặc&gt; Marc Jacobs</v>
      </c>
      <c r="F706" t="str">
        <f t="shared" ref="F706:F769" ca="1" si="11">CONCATENATE(CHAR(34)&amp;"",A706,""&amp;CHAR(34)," : ", CHAR(34)&amp;"",D706,""&amp;CHAR(34),",")</f>
        <v>"2084050310" : "Marc jacobs",</v>
      </c>
    </row>
    <row r="707" spans="1:6" ht="15.75" customHeight="1">
      <c r="A707" s="18">
        <v>2084306020</v>
      </c>
      <c r="B707" s="18" t="s">
        <v>12332</v>
      </c>
      <c r="C707" s="18" t="s">
        <v>12333</v>
      </c>
      <c r="D707" s="5" t="str">
        <f ca="1">IFERROR(__xludf.DUMMYFUNCTION("GOOGLETRANSLATE(B707,""ja"",""vi"")"),"Marc by Marc Jacobs")</f>
        <v>Marc by Marc Jacobs</v>
      </c>
      <c r="E707" s="5" t="str">
        <f ca="1">IFERROR(__xludf.DUMMYFUNCTION("GOOGLETRANSLATE(C707,""ja"",""vi"")"),"Đấu giá&gt; Thời trang&gt; By Nhãn hiệu&gt; hoặc&gt; Marc by Marc Jacobs")</f>
        <v>Đấu giá&gt; Thời trang&gt; By Nhãn hiệu&gt; hoặc&gt; Marc by Marc Jacobs</v>
      </c>
      <c r="F707" t="str">
        <f t="shared" ca="1" si="11"/>
        <v>"2084306020" : "Marc by Marc Jacobs",</v>
      </c>
    </row>
    <row r="708" spans="1:6" ht="15.75" customHeight="1">
      <c r="A708" s="18">
        <v>2084283769</v>
      </c>
      <c r="B708" s="18" t="s">
        <v>12336</v>
      </c>
      <c r="C708" s="18" t="s">
        <v>12337</v>
      </c>
      <c r="D708" s="5" t="str">
        <f ca="1">IFERROR(__xludf.DUMMYFUNCTION("GOOGLETRANSLATE(B708,""ja"",""vi"")"),"McAfee")</f>
        <v>McAfee</v>
      </c>
      <c r="E708" s="5" t="str">
        <f ca="1">IFERROR(__xludf.DUMMYFUNCTION("GOOGLETRANSLATE(C708,""ja"",""vi"")"),"Đấu giá&gt; Thời trang&gt; By Nhãn hiệu&gt; hoặc&gt; McAfee")</f>
        <v>Đấu giá&gt; Thời trang&gt; By Nhãn hiệu&gt; hoặc&gt; McAfee</v>
      </c>
      <c r="F708" t="str">
        <f t="shared" ca="1" si="11"/>
        <v>"2084283769" : "McAfee",</v>
      </c>
    </row>
    <row r="709" spans="1:6" ht="15.75" customHeight="1">
      <c r="A709" s="18">
        <v>2084261367</v>
      </c>
      <c r="B709" s="18" t="s">
        <v>12341</v>
      </c>
      <c r="C709" s="18" t="s">
        <v>12342</v>
      </c>
      <c r="D709" s="5" t="str">
        <f ca="1">IFERROR(__xludf.DUMMYFUNCTION("GOOGLETRANSLATE(B709,""ja"",""vi"")"),"Hỏa Tinh")</f>
        <v>Hỏa Tinh</v>
      </c>
      <c r="E709" s="5" t="str">
        <f ca="1">IFERROR(__xludf.DUMMYFUNCTION("GOOGLETRANSLATE(C709,""ja"",""vi"")"),"Đấu giá&gt; Thời trang&gt; By Nhãn hiệu&gt; hoặc&gt; Mars")</f>
        <v>Đấu giá&gt; Thời trang&gt; By Nhãn hiệu&gt; hoặc&gt; Mars</v>
      </c>
      <c r="F709" t="str">
        <f t="shared" ca="1" si="11"/>
        <v>"2084261367" : "Hỏa Tinh",</v>
      </c>
    </row>
    <row r="710" spans="1:6" ht="15.75" customHeight="1">
      <c r="A710" s="18">
        <v>2084283772</v>
      </c>
      <c r="B710" s="18" t="s">
        <v>12346</v>
      </c>
      <c r="C710" s="18" t="s">
        <v>12347</v>
      </c>
      <c r="D710" s="5" t="str">
        <f ca="1">IFERROR(__xludf.DUMMYFUNCTION("GOOGLETRANSLATE(B710,""ja"",""vi"")"),"Majestic Legong")</f>
        <v>Majestic Legong</v>
      </c>
      <c r="E710" s="5" t="str">
        <f ca="1">IFERROR(__xludf.DUMMYFUNCTION("GOOGLETRANSLATE(C710,""ja"",""vi"")"),"Đấu giá&gt; Thời trang&gt; By Nhãn hiệu&gt; hoặc&gt; Majestic Legong")</f>
        <v>Đấu giá&gt; Thời trang&gt; By Nhãn hiệu&gt; hoặc&gt; Majestic Legong</v>
      </c>
      <c r="F710" t="str">
        <f t="shared" ca="1" si="11"/>
        <v>"2084283772" : "Majestic Legong",</v>
      </c>
    </row>
    <row r="711" spans="1:6" ht="15.75" customHeight="1">
      <c r="A711" s="18">
        <v>2084242849</v>
      </c>
      <c r="B711" s="18" t="s">
        <v>12351</v>
      </c>
      <c r="C711" s="18" t="s">
        <v>12352</v>
      </c>
      <c r="D711" s="5" t="str">
        <f ca="1">IFERROR(__xludf.DUMMYFUNCTION("GOOGLETRANSLATE(B711,""ja"",""vi"")"),"kiệt tác")</f>
        <v>kiệt tác</v>
      </c>
      <c r="E711" s="5" t="str">
        <f ca="1">IFERROR(__xludf.DUMMYFUNCTION("GOOGLETRANSLATE(C711,""ja"",""vi"")"),"Đấu giá&gt; Thời trang&gt; By Nhãn hiệu&gt; hoặc&gt; Masterpiece")</f>
        <v>Đấu giá&gt; Thời trang&gt; By Nhãn hiệu&gt; hoặc&gt; Masterpiece</v>
      </c>
      <c r="F711" t="str">
        <f t="shared" ca="1" si="11"/>
        <v>"2084242849" : "kiệt tác",</v>
      </c>
    </row>
    <row r="712" spans="1:6" ht="15.75" customHeight="1">
      <c r="A712" s="18">
        <v>2084205183</v>
      </c>
      <c r="B712" s="18" t="s">
        <v>12356</v>
      </c>
      <c r="C712" s="18" t="s">
        <v>12357</v>
      </c>
      <c r="D712" s="5" t="str">
        <f ca="1">IFERROR(__xludf.DUMMYFUNCTION("GOOGLETRANSLATE(B712,""ja"",""vi"")"),"Mastermind Japan")</f>
        <v>Mastermind Japan</v>
      </c>
      <c r="E712" s="5" t="str">
        <f ca="1">IFERROR(__xludf.DUMMYFUNCTION("GOOGLETRANSLATE(C712,""ja"",""vi"")"),"Đấu giá&gt; Thời trang&gt; By Nhãn hiệu&gt; hoặc&gt; Mastermind Japan")</f>
        <v>Đấu giá&gt; Thời trang&gt; By Nhãn hiệu&gt; hoặc&gt; Mastermind Japan</v>
      </c>
      <c r="F712" t="str">
        <f t="shared" ca="1" si="11"/>
        <v>"2084205183" : "Mastermind Japan",</v>
      </c>
    </row>
    <row r="713" spans="1:6" ht="15.75" customHeight="1">
      <c r="A713" s="18">
        <v>2084227893</v>
      </c>
      <c r="B713" s="18" t="s">
        <v>12360</v>
      </c>
      <c r="C713" s="18" t="s">
        <v>12361</v>
      </c>
      <c r="D713" s="5" t="str">
        <f ca="1">IFERROR(__xludf.DUMMYFUNCTION("GOOGLETRANSLATE(B713,""ja"",""vi"")"),"áo tơi đi mưa")</f>
        <v>áo tơi đi mưa</v>
      </c>
      <c r="E713" s="5" t="str">
        <f ca="1">IFERROR(__xludf.DUMMYFUNCTION("GOOGLETRANSLATE(C713,""ja"",""vi"")"),"Đấu giá&gt; Thời trang&gt; By Nhãn hiệu&gt; hoặc&gt; Macintosh")</f>
        <v>Đấu giá&gt; Thời trang&gt; By Nhãn hiệu&gt; hoặc&gt; Macintosh</v>
      </c>
      <c r="F713" t="str">
        <f t="shared" ca="1" si="11"/>
        <v>"2084227893" : "áo tơi đi mưa",</v>
      </c>
    </row>
    <row r="714" spans="1:6" ht="15.75" customHeight="1">
      <c r="A714" s="18">
        <v>2084050314</v>
      </c>
      <c r="B714" s="18" t="s">
        <v>12365</v>
      </c>
      <c r="C714" s="18" t="s">
        <v>12366</v>
      </c>
      <c r="D714" s="5" t="str">
        <f ca="1">IFERROR(__xludf.DUMMYFUNCTION("GOOGLETRANSLATE(B714,""ja"",""vi"")"),"mara Max")</f>
        <v>mara Max</v>
      </c>
      <c r="E714" s="5" t="str">
        <f ca="1">IFERROR(__xludf.DUMMYFUNCTION("GOOGLETRANSLATE(C714,""ja"",""vi"")"),"Đấu giá&gt; Thời trang&gt; By Nhãn hiệu&gt; hoặc&gt; Max Mara")</f>
        <v>Đấu giá&gt; Thời trang&gt; By Nhãn hiệu&gt; hoặc&gt; Max Mara</v>
      </c>
      <c r="F714" t="str">
        <f t="shared" ca="1" si="11"/>
        <v>"2084050314" : "mara Max",</v>
      </c>
    </row>
    <row r="715" spans="1:6" ht="15.75" customHeight="1">
      <c r="A715" s="18">
        <v>2084229170</v>
      </c>
      <c r="B715" s="18" t="s">
        <v>12369</v>
      </c>
      <c r="C715" s="18" t="s">
        <v>12371</v>
      </c>
      <c r="D715" s="5" t="str">
        <f ca="1">IFERROR(__xludf.DUMMYFUNCTION("GOOGLETRANSLATE(B715,""ja"",""vi"")"),"Mac Daddy")</f>
        <v>Mac Daddy</v>
      </c>
      <c r="E715" s="5" t="str">
        <f ca="1">IFERROR(__xludf.DUMMYFUNCTION("GOOGLETRANSLATE(C715,""ja"",""vi"")"),"Đấu giá&gt; Thời trang&gt; By Nhãn hiệu&gt; hoặc&gt; Mac Daddy")</f>
        <v>Đấu giá&gt; Thời trang&gt; By Nhãn hiệu&gt; hoặc&gt; Mac Daddy</v>
      </c>
      <c r="F715" t="str">
        <f t="shared" ca="1" si="11"/>
        <v>"2084229170" : "Mac Daddy",</v>
      </c>
    </row>
    <row r="716" spans="1:6" ht="15.75" customHeight="1">
      <c r="A716" s="18">
        <v>2084050224</v>
      </c>
      <c r="B716" s="18" t="s">
        <v>12373</v>
      </c>
      <c r="C716" s="18" t="s">
        <v>12376</v>
      </c>
      <c r="D716" s="5" t="str">
        <f ca="1">IFERROR(__xludf.DUMMYFUNCTION("GOOGLETRANSLATE(B716,""ja"",""vi"")"),"McCoy")</f>
        <v>McCoy</v>
      </c>
      <c r="E716" s="5" t="str">
        <f ca="1">IFERROR(__xludf.DUMMYFUNCTION("GOOGLETRANSLATE(C716,""ja"",""vi"")"),"Đấu giá&gt; Thời trang&gt; By Nhãn hiệu&gt; hoặc&gt; McCoy")</f>
        <v>Đấu giá&gt; Thời trang&gt; By Nhãn hiệu&gt; hoặc&gt; McCoy</v>
      </c>
      <c r="F716" t="str">
        <f t="shared" ca="1" si="11"/>
        <v>"2084050224" : "McCoy",</v>
      </c>
    </row>
    <row r="717" spans="1:6" ht="15.75" customHeight="1">
      <c r="A717" s="18">
        <v>2084260048</v>
      </c>
      <c r="B717" s="18" t="s">
        <v>12380</v>
      </c>
      <c r="C717" s="18" t="s">
        <v>12382</v>
      </c>
      <c r="D717" s="5" t="str">
        <f ca="1">IFERROR(__xludf.DUMMYFUNCTION("GOOGLETRANSLATE(B717,""ja"",""vi"")"),"Materia")</f>
        <v>Materia</v>
      </c>
      <c r="E717" s="5" t="str">
        <f ca="1">IFERROR(__xludf.DUMMYFUNCTION("GOOGLETRANSLATE(C717,""ja"",""vi"")"),"Đấu giá&gt; Thời trang&gt; By Nhãn hiệu&gt; hoặc&gt; Materia")</f>
        <v>Đấu giá&gt; Thời trang&gt; By Nhãn hiệu&gt; hoặc&gt; Materia</v>
      </c>
      <c r="F717" t="str">
        <f t="shared" ca="1" si="11"/>
        <v>"2084260048" : "Materia",</v>
      </c>
    </row>
    <row r="718" spans="1:6" ht="15.75" customHeight="1">
      <c r="A718" s="18">
        <v>2084238810</v>
      </c>
      <c r="B718" s="18" t="s">
        <v>12386</v>
      </c>
      <c r="C718" s="18" t="s">
        <v>12387</v>
      </c>
      <c r="D718" s="5" t="str">
        <f ca="1">IFERROR(__xludf.DUMMYFUNCTION("GOOGLETRANSLATE(B718,""ja"",""vi"")"),"Mannix")</f>
        <v>Mannix</v>
      </c>
      <c r="E718" s="5" t="str">
        <f ca="1">IFERROR(__xludf.DUMMYFUNCTION("GOOGLETRANSLATE(C718,""ja"",""vi"")"),"Đấu giá&gt; Thời trang&gt; By Nhãn hiệu&gt; hoặc&gt; Mannix")</f>
        <v>Đấu giá&gt; Thời trang&gt; By Nhãn hiệu&gt; hoặc&gt; Mannix</v>
      </c>
      <c r="F718" t="str">
        <f t="shared" ca="1" si="11"/>
        <v>"2084238810" : "Mannix",</v>
      </c>
    </row>
    <row r="719" spans="1:6" ht="15.75" customHeight="1">
      <c r="A719" s="18">
        <v>2084061411</v>
      </c>
      <c r="B719" s="18" t="s">
        <v>12391</v>
      </c>
      <c r="C719" s="18" t="s">
        <v>12392</v>
      </c>
      <c r="D719" s="5" t="str">
        <f ca="1">IFERROR(__xludf.DUMMYFUNCTION("GOOGLETRANSLATE(B719,""ja"",""vi"")"),"Manolo Blahnik")</f>
        <v>Manolo Blahnik</v>
      </c>
      <c r="E719" s="5" t="str">
        <f ca="1">IFERROR(__xludf.DUMMYFUNCTION("GOOGLETRANSLATE(C719,""ja"",""vi"")"),"Đấu giá&gt; Thời trang&gt; By Nhãn hiệu&gt; hoặc&gt; Manolo Blahnik")</f>
        <v>Đấu giá&gt; Thời trang&gt; By Nhãn hiệu&gt; hoặc&gt; Manolo Blahnik</v>
      </c>
      <c r="F719" t="str">
        <f t="shared" ca="1" si="11"/>
        <v>"2084061411" : "Manolo Blahnik",</v>
      </c>
    </row>
    <row r="720" spans="1:6" ht="15.75" customHeight="1">
      <c r="A720" s="18">
        <v>2084203597</v>
      </c>
      <c r="B720" s="18" t="s">
        <v>12395</v>
      </c>
      <c r="C720" s="18" t="s">
        <v>12397</v>
      </c>
      <c r="D720" s="5" t="str">
        <f ca="1">IFERROR(__xludf.DUMMYFUNCTION("GOOGLETRANSLATE(B720,""ja"",""vi"")"),"một loại sóc")</f>
        <v>một loại sóc</v>
      </c>
      <c r="E720" s="5" t="str">
        <f ca="1">IFERROR(__xludf.DUMMYFUNCTION("GOOGLETRANSLATE(C720,""ja"",""vi"")"),"Đấu giá&gt; Thời trang&gt; By Nhãn hiệu&gt; hoặc&gt; Marmot")</f>
        <v>Đấu giá&gt; Thời trang&gt; By Nhãn hiệu&gt; hoặc&gt; Marmot</v>
      </c>
      <c r="F720" t="str">
        <f t="shared" ca="1" si="11"/>
        <v>"2084203597" : "một loại sóc",</v>
      </c>
    </row>
    <row r="721" spans="1:6" ht="15.75" customHeight="1">
      <c r="A721" s="18">
        <v>2084226724</v>
      </c>
      <c r="B721" s="18" t="s">
        <v>12400</v>
      </c>
      <c r="C721" s="18" t="s">
        <v>12401</v>
      </c>
      <c r="D721" s="5" t="str">
        <f ca="1">IFERROR(__xludf.DUMMYFUNCTION("GOOGLETRANSLATE(B721,""ja"",""vi"")"),"Mammut")</f>
        <v>Mammut</v>
      </c>
      <c r="E721" s="5" t="str">
        <f ca="1">IFERROR(__xludf.DUMMYFUNCTION("GOOGLETRANSLATE(C721,""ja"",""vi"")"),"Đấu giá&gt; Thời trang&gt; By Nhãn hiệu&gt; hoặc&gt; Mammut")</f>
        <v>Đấu giá&gt; Thời trang&gt; By Nhãn hiệu&gt; hoặc&gt; Mammut</v>
      </c>
      <c r="F721" t="str">
        <f t="shared" ca="1" si="11"/>
        <v>"2084226724" : "Mammut",</v>
      </c>
    </row>
    <row r="722" spans="1:6" ht="15.75" customHeight="1">
      <c r="A722" s="18">
        <v>2084054341</v>
      </c>
      <c r="B722" s="18" t="s">
        <v>12403</v>
      </c>
      <c r="C722" s="18" t="s">
        <v>12404</v>
      </c>
      <c r="D722" s="5" t="str">
        <f ca="1">IFERROR(__xludf.DUMMYFUNCTION("GOOGLETRANSLATE(B722,""ja"",""vi"")"),"Mary Quant")</f>
        <v>Mary Quant</v>
      </c>
      <c r="E722" s="5" t="str">
        <f ca="1">IFERROR(__xludf.DUMMYFUNCTION("GOOGLETRANSLATE(C722,""ja"",""vi"")"),"Đấu giá&gt; Thời trang&gt; By Nhãn hiệu&gt; hoặc&gt; Mary Quant")</f>
        <v>Đấu giá&gt; Thời trang&gt; By Nhãn hiệu&gt; hoặc&gt; Mary Quant</v>
      </c>
      <c r="F722" t="str">
        <f t="shared" ca="1" si="11"/>
        <v>"2084054341" : "Mary Quant",</v>
      </c>
    </row>
    <row r="723" spans="1:6" ht="15.75" customHeight="1">
      <c r="A723" s="18">
        <v>2084054469</v>
      </c>
      <c r="B723" s="18" t="s">
        <v>12406</v>
      </c>
      <c r="C723" s="18" t="s">
        <v>12407</v>
      </c>
      <c r="D723" s="5" t="str">
        <f ca="1">IFERROR(__xludf.DUMMYFUNCTION("GOOGLETRANSLATE(B723,""ja"",""vi"")"),"Marie Claire")</f>
        <v>Marie Claire</v>
      </c>
      <c r="E723" s="5" t="str">
        <f ca="1">IFERROR(__xludf.DUMMYFUNCTION("GOOGLETRANSLATE(C723,""ja"",""vi"")"),"Đấu giá&gt; Thời trang&gt; By Nhãn hiệu&gt; hoặc&gt; Marie Claire")</f>
        <v>Đấu giá&gt; Thời trang&gt; By Nhãn hiệu&gt; hoặc&gt; Marie Claire</v>
      </c>
      <c r="F723" t="str">
        <f t="shared" ca="1" si="11"/>
        <v>"2084054469" : "Marie Claire",</v>
      </c>
    </row>
    <row r="724" spans="1:6" ht="15.75" customHeight="1">
      <c r="A724" s="18">
        <v>2084284011</v>
      </c>
      <c r="B724" s="18" t="s">
        <v>12409</v>
      </c>
      <c r="C724" s="18" t="s">
        <v>12411</v>
      </c>
      <c r="D724" s="5" t="str">
        <f ca="1">IFERROR(__xludf.DUMMYFUNCTION("GOOGLETRANSLATE(B724,""ja"",""vi"")"),"Marite Francois Girbaud")</f>
        <v>Marite Francois Girbaud</v>
      </c>
      <c r="E724" s="5" t="str">
        <f ca="1">IFERROR(__xludf.DUMMYFUNCTION("GOOGLETRANSLATE(C724,""ja"",""vi"")"),"Đấu giá&gt; Thời trang&gt; By Nhãn hiệu&gt; hoặc&gt; Marite Francois Girbaud")</f>
        <v>Đấu giá&gt; Thời trang&gt; By Nhãn hiệu&gt; hoặc&gt; Marite Francois Girbaud</v>
      </c>
      <c r="F724" t="str">
        <f t="shared" ca="1" si="11"/>
        <v>"2084284011" : "Marite Francois Girbaud",</v>
      </c>
    </row>
    <row r="725" spans="1:6" ht="15.75" customHeight="1">
      <c r="A725" s="18">
        <v>2084050316</v>
      </c>
      <c r="B725" s="18" t="s">
        <v>12413</v>
      </c>
      <c r="C725" s="18" t="s">
        <v>12414</v>
      </c>
      <c r="D725" s="5" t="str">
        <f ca="1">IFERROR(__xludf.DUMMYFUNCTION("GOOGLETRANSLATE(B725,""ja"",""vi"")"),"Marimekko")</f>
        <v>Marimekko</v>
      </c>
      <c r="E725" s="5" t="str">
        <f ca="1">IFERROR(__xludf.DUMMYFUNCTION("GOOGLETRANSLATE(C725,""ja"",""vi"")"),"Đấu giá&gt; Thời trang&gt; By Nhãn hiệu&gt; hoặc&gt; Marimekko")</f>
        <v>Đấu giá&gt; Thời trang&gt; By Nhãn hiệu&gt; hoặc&gt; Marimekko</v>
      </c>
      <c r="F725" t="str">
        <f t="shared" ca="1" si="11"/>
        <v>"2084050316" : "Marimekko",</v>
      </c>
    </row>
    <row r="726" spans="1:6" ht="15.75" customHeight="1">
      <c r="A726" s="18">
        <v>2084050317</v>
      </c>
      <c r="B726" s="18" t="s">
        <v>12416</v>
      </c>
      <c r="C726" s="18" t="s">
        <v>12417</v>
      </c>
      <c r="D726" s="5" t="str">
        <f ca="1">IFERROR(__xludf.DUMMYFUNCTION("GOOGLETRANSLATE(B726,""ja"",""vi"")"),"Marine Française")</f>
        <v>Marine Française</v>
      </c>
      <c r="E726" s="5" t="str">
        <f ca="1">IFERROR(__xludf.DUMMYFUNCTION("GOOGLETRANSLATE(C726,""ja"",""vi"")"),"Đấu giá&gt; Thời trang&gt; By Nhãn hiệu&gt; hoặc&gt; Marine Française")</f>
        <v>Đấu giá&gt; Thời trang&gt; By Nhãn hiệu&gt; hoặc&gt; Marine Française</v>
      </c>
      <c r="F726" t="str">
        <f t="shared" ca="1" si="11"/>
        <v>"2084050317" : "Marine Française",</v>
      </c>
    </row>
    <row r="727" spans="1:6" ht="15.75" customHeight="1">
      <c r="A727" s="18">
        <v>2084050318</v>
      </c>
      <c r="B727" s="18" t="s">
        <v>12421</v>
      </c>
      <c r="C727" s="18" t="s">
        <v>12422</v>
      </c>
      <c r="D727" s="5" t="str">
        <f ca="1">IFERROR(__xludf.DUMMYFUNCTION("GOOGLETRANSLATE(B727,""ja"",""vi"")"),"Martin Margiela")</f>
        <v>Martin Margiela</v>
      </c>
      <c r="E727" s="5" t="str">
        <f ca="1">IFERROR(__xludf.DUMMYFUNCTION("GOOGLETRANSLATE(C727,""ja"",""vi"")"),"Đấu giá&gt; Thời trang&gt; By Nhãn hiệu&gt; hoặc&gt; Martin Margiela")</f>
        <v>Đấu giá&gt; Thời trang&gt; By Nhãn hiệu&gt; hoặc&gt; Martin Margiela</v>
      </c>
      <c r="F727" t="str">
        <f t="shared" ca="1" si="11"/>
        <v>"2084050318" : "Martin Margiela",</v>
      </c>
    </row>
    <row r="728" spans="1:6" ht="15.75" customHeight="1">
      <c r="A728" s="18">
        <v>2084054199</v>
      </c>
      <c r="B728" s="18" t="s">
        <v>12427</v>
      </c>
      <c r="C728" s="18" t="s">
        <v>12428</v>
      </c>
      <c r="D728" s="5" t="str">
        <f ca="1">IFERROR(__xludf.DUMMYFUNCTION("GOOGLETRANSLATE(B728,""ja"",""vi"")"),"Marni")</f>
        <v>Marni</v>
      </c>
      <c r="E728" s="5" t="str">
        <f ca="1">IFERROR(__xludf.DUMMYFUNCTION("GOOGLETRANSLATE(C728,""ja"",""vi"")"),"Đấu giá&gt; Thời trang&gt; By Nhãn hiệu&gt; hoặc&gt; Marni")</f>
        <v>Đấu giá&gt; Thời trang&gt; By Nhãn hiệu&gt; hoặc&gt; Marni</v>
      </c>
      <c r="F728" t="str">
        <f t="shared" ca="1" si="11"/>
        <v>"2084054199" : "Marni",</v>
      </c>
    </row>
    <row r="729" spans="1:6" ht="15.75" customHeight="1">
      <c r="A729" s="18">
        <v>2084286371</v>
      </c>
      <c r="B729" s="18" t="s">
        <v>46</v>
      </c>
      <c r="C729" s="18" t="s">
        <v>12433</v>
      </c>
      <c r="D729" s="5" t="str">
        <f ca="1">IFERROR(__xludf.DUMMYFUNCTION("GOOGLETRANSLATE(B729,""ja"",""vi"")"),"nếu không thì")</f>
        <v>nếu không thì</v>
      </c>
      <c r="E729" s="5" t="str">
        <f ca="1">IFERROR(__xludf.DUMMYFUNCTION("GOOGLETRANSLATE(C729,""ja"",""vi"")"),"Đấu giá&gt; Thời trang&gt; By Nhãn hiệu&gt; hoặc&gt; Khác")</f>
        <v>Đấu giá&gt; Thời trang&gt; By Nhãn hiệu&gt; hoặc&gt; Khác</v>
      </c>
      <c r="F729" t="str">
        <f t="shared" ca="1" si="11"/>
        <v>"2084286371" : "nếu không thì",</v>
      </c>
    </row>
    <row r="730" spans="1:6" ht="15.75" customHeight="1">
      <c r="A730" s="18">
        <v>2084048633</v>
      </c>
      <c r="B730" s="18" t="s">
        <v>12436</v>
      </c>
      <c r="C730" s="18" t="s">
        <v>12438</v>
      </c>
      <c r="D730" s="5" t="str">
        <f ca="1">IFERROR(__xludf.DUMMYFUNCTION("GOOGLETRANSLATE(B730,""ja"",""vi"")"),"Miki")</f>
        <v>Miki</v>
      </c>
      <c r="E730" s="5" t="str">
        <f ca="1">IFERROR(__xludf.DUMMYFUNCTION("GOOGLETRANSLATE(C730,""ja"",""vi"")"),"Đấu giá&gt; Thời trang&gt; By Nhãn hiệu&gt; chỉ&gt; Miki")</f>
        <v>Đấu giá&gt; Thời trang&gt; By Nhãn hiệu&gt; chỉ&gt; Miki</v>
      </c>
      <c r="F730" t="str">
        <f t="shared" ca="1" si="11"/>
        <v>"2084048633" : "Miki",</v>
      </c>
    </row>
    <row r="731" spans="1:6" ht="15.75" customHeight="1">
      <c r="A731" s="18">
        <v>2084048694</v>
      </c>
      <c r="B731" s="18" t="s">
        <v>12442</v>
      </c>
      <c r="C731" s="18" t="s">
        <v>12443</v>
      </c>
      <c r="D731" s="5" t="str">
        <f ca="1">IFERROR(__xludf.DUMMYFUNCTION("GOOGLETRANSLATE(B731,""ja"",""vi"")"),"Mijen")</f>
        <v>Mijen</v>
      </c>
      <c r="E731" s="5" t="str">
        <f ca="1">IFERROR(__xludf.DUMMYFUNCTION("GOOGLETRANSLATE(C731,""ja"",""vi"")"),"Đấu giá&gt; Thời trang&gt; By Nhãn hiệu&gt; chỉ&gt; Mijen")</f>
        <v>Đấu giá&gt; Thời trang&gt; By Nhãn hiệu&gt; chỉ&gt; Mijen</v>
      </c>
      <c r="F731" t="str">
        <f t="shared" ca="1" si="11"/>
        <v>"2084048694" : "Mijen",</v>
      </c>
    </row>
    <row r="732" spans="1:6" ht="15.75" customHeight="1">
      <c r="A732" s="18">
        <v>2084057954</v>
      </c>
      <c r="B732" s="18" t="s">
        <v>12448</v>
      </c>
      <c r="C732" s="18" t="s">
        <v>12449</v>
      </c>
      <c r="D732" s="5" t="str">
        <f ca="1">IFERROR(__xludf.DUMMYFUNCTION("GOOGLETRANSLATE(B732,""ja"",""vi"")"),"Ông Hollywood")</f>
        <v>Ông Hollywood</v>
      </c>
      <c r="E732" s="5" t="str">
        <f ca="1">IFERROR(__xludf.DUMMYFUNCTION("GOOGLETRANSLATE(C732,""ja"",""vi"")"),"Đấu giá&gt; Thời trang&gt; By Nhãn hiệu&gt; chỉ&gt; Ông Hollywood")</f>
        <v>Đấu giá&gt; Thời trang&gt; By Nhãn hiệu&gt; chỉ&gt; Ông Hollywood</v>
      </c>
      <c r="F732" t="str">
        <f t="shared" ca="1" si="11"/>
        <v>"2084057954" : "Ông Hollywood",</v>
      </c>
    </row>
    <row r="733" spans="1:6" ht="15.75" customHeight="1">
      <c r="A733" s="18">
        <v>2084238828</v>
      </c>
      <c r="B733" s="18" t="s">
        <v>12453</v>
      </c>
      <c r="C733" s="18" t="s">
        <v>12454</v>
      </c>
      <c r="D733" s="5" t="str">
        <f ca="1">IFERROR(__xludf.DUMMYFUNCTION("GOOGLETRANSLATE(B733,""ja"",""vi"")"),"huyền bí")</f>
        <v>huyền bí</v>
      </c>
      <c r="E733" s="5" t="str">
        <f ca="1">IFERROR(__xludf.DUMMYFUNCTION("GOOGLETRANSLATE(C733,""ja"",""vi"")"),"Đấu giá&gt; Thời trang&gt; By Nhãn hiệu&gt; chỉ&gt; Mystic")</f>
        <v>Đấu giá&gt; Thời trang&gt; By Nhãn hiệu&gt; chỉ&gt; Mystic</v>
      </c>
      <c r="F733" t="str">
        <f t="shared" ca="1" si="11"/>
        <v>"2084238828" : "huyền bí",</v>
      </c>
    </row>
    <row r="734" spans="1:6" ht="15.75" customHeight="1">
      <c r="A734" s="18">
        <v>2084258101</v>
      </c>
      <c r="B734" s="18" t="s">
        <v>12460</v>
      </c>
      <c r="C734" s="18" t="s">
        <v>12461</v>
      </c>
      <c r="D734" s="5" t="str">
        <f ca="1">IFERROR(__xludf.DUMMYFUNCTION("GOOGLETRANSLATE(B734,""ja"",""vi"")"),"Bí ẩn Ranch")</f>
        <v>Bí ẩn Ranch</v>
      </c>
      <c r="E734" s="5" t="str">
        <f ca="1">IFERROR(__xludf.DUMMYFUNCTION("GOOGLETRANSLATE(C734,""ja"",""vi"")"),"Đấu giá&gt; Thời trang&gt; By Nhãn hiệu&gt; chỉ&gt; Bí ẩn trưa")</f>
        <v>Đấu giá&gt; Thời trang&gt; By Nhãn hiệu&gt; chỉ&gt; Bí ẩn trưa</v>
      </c>
      <c r="F734" t="str">
        <f t="shared" ca="1" si="11"/>
        <v>"2084258101" : "Bí ẩn Ranch",</v>
      </c>
    </row>
    <row r="735" spans="1:6" ht="15.75" customHeight="1">
      <c r="A735" s="18">
        <v>2084048696</v>
      </c>
      <c r="B735" s="18" t="s">
        <v>12465</v>
      </c>
      <c r="C735" s="18" t="s">
        <v>12467</v>
      </c>
      <c r="D735" s="5" t="str">
        <f ca="1">IFERROR(__xludf.DUMMYFUNCTION("GOOGLETRANSLATE(B735,""ja"",""vi"")"),"Michel Klang")</f>
        <v>Michel Klang</v>
      </c>
      <c r="E735" s="5" t="str">
        <f ca="1">IFERROR(__xludf.DUMMYFUNCTION("GOOGLETRANSLATE(C735,""ja"",""vi"")"),"Đấu giá&gt; Thời trang&gt; By Nhãn hiệu&gt; chỉ&gt; Michel Klang")</f>
        <v>Đấu giá&gt; Thời trang&gt; By Nhãn hiệu&gt; chỉ&gt; Michel Klang</v>
      </c>
      <c r="F735" t="str">
        <f t="shared" ca="1" si="11"/>
        <v>"2084048696" : "Michel Klang",</v>
      </c>
    </row>
    <row r="736" spans="1:6" ht="15.75" customHeight="1">
      <c r="A736" s="18">
        <v>2084195367</v>
      </c>
      <c r="B736" s="18" t="s">
        <v>12471</v>
      </c>
      <c r="C736" s="18" t="s">
        <v>12472</v>
      </c>
      <c r="D736" s="5" t="str">
        <f ca="1">IFERROR(__xludf.DUMMYFUNCTION("GOOGLETRANSLATE(B736,""ja"",""vi"")"),"nghiền mish")</f>
        <v>nghiền mish</v>
      </c>
      <c r="E736" s="5" t="str">
        <f ca="1">IFERROR(__xludf.DUMMYFUNCTION("GOOGLETRANSLATE(C736,""ja"",""vi"")"),"Đấu giá&gt; Thời trang&gt; By Nhãn hiệu&gt; chỉ&gt; nghiền mish")</f>
        <v>Đấu giá&gt; Thời trang&gt; By Nhãn hiệu&gt; chỉ&gt; nghiền mish</v>
      </c>
      <c r="F736" t="str">
        <f t="shared" ca="1" si="11"/>
        <v>"2084195367" : "nghiền mish",</v>
      </c>
    </row>
    <row r="737" spans="1:6" ht="15.75" customHeight="1">
      <c r="A737" s="18">
        <v>2084050320</v>
      </c>
      <c r="B737" s="18" t="s">
        <v>12475</v>
      </c>
      <c r="C737" s="18" t="s">
        <v>12477</v>
      </c>
      <c r="D737" s="5" t="str">
        <f ca="1">IFERROR(__xludf.DUMMYFUNCTION("GOOGLETRANSLATE(B737,""ja"",""vi"")"),"Missoni")</f>
        <v>Missoni</v>
      </c>
      <c r="E737" s="5" t="str">
        <f ca="1">IFERROR(__xludf.DUMMYFUNCTION("GOOGLETRANSLATE(C737,""ja"",""vi"")"),"Đấu giá&gt; Thời trang&gt; By Nhãn hiệu&gt; chỉ&gt; Missoni")</f>
        <v>Đấu giá&gt; Thời trang&gt; By Nhãn hiệu&gt; chỉ&gt; Missoni</v>
      </c>
      <c r="F737" t="str">
        <f t="shared" ca="1" si="11"/>
        <v>"2084050320" : "Missoni",</v>
      </c>
    </row>
    <row r="738" spans="1:6" ht="15.75" customHeight="1">
      <c r="A738" s="18">
        <v>2084227617</v>
      </c>
      <c r="B738" s="18" t="s">
        <v>12480</v>
      </c>
      <c r="C738" s="18" t="s">
        <v>12482</v>
      </c>
      <c r="D738" s="5" t="str">
        <f ca="1">IFERROR(__xludf.DUMMYFUNCTION("GOOGLETRANSLATE(B738,""ja"",""vi"")"),"Mina perhonen")</f>
        <v>Mina perhonen</v>
      </c>
      <c r="E738" s="5" t="str">
        <f ca="1">IFERROR(__xludf.DUMMYFUNCTION("GOOGLETRANSLATE(C738,""ja"",""vi"")"),"Đấu giá&gt; Thời trang&gt; By Nhãn hiệu&gt; chỉ&gt; Mina perhonen")</f>
        <v>Đấu giá&gt; Thời trang&gt; By Nhãn hiệu&gt; chỉ&gt; Mina perhonen</v>
      </c>
      <c r="F738" t="str">
        <f t="shared" ca="1" si="11"/>
        <v>"2084227617" : "Mina perhonen",</v>
      </c>
    </row>
    <row r="739" spans="1:6" ht="15.75" customHeight="1">
      <c r="A739" s="18">
        <v>2084048634</v>
      </c>
      <c r="B739" s="18" t="s">
        <v>12486</v>
      </c>
      <c r="C739" s="18" t="s">
        <v>12487</v>
      </c>
      <c r="D739" s="5" t="str">
        <f ca="1">IFERROR(__xludf.DUMMYFUNCTION("GOOGLETRANSLATE(B739,""ja"",""vi"")"),"Mini K")</f>
        <v>Mini K</v>
      </c>
      <c r="E739" s="5" t="str">
        <f ca="1">IFERROR(__xludf.DUMMYFUNCTION("GOOGLETRANSLATE(C739,""ja"",""vi"")"),"Đấu giá&gt; Thời trang&gt; By Nhãn hiệu&gt; chỉ&gt; Mini K")</f>
        <v>Đấu giá&gt; Thời trang&gt; By Nhãn hiệu&gt; chỉ&gt; Mini K</v>
      </c>
      <c r="F739" t="str">
        <f t="shared" ca="1" si="11"/>
        <v>"2084048634" : "Mini K",</v>
      </c>
    </row>
    <row r="740" spans="1:6" ht="15.75" customHeight="1">
      <c r="A740" s="18">
        <v>2084298401</v>
      </c>
      <c r="B740" s="18" t="s">
        <v>12490</v>
      </c>
      <c r="C740" s="18" t="s">
        <v>12491</v>
      </c>
      <c r="D740" s="5" t="str">
        <f ca="1">IFERROR(__xludf.DUMMYFUNCTION("GOOGLETRANSLATE(B740,""ja"",""vi"")"),"tối thiểu")</f>
        <v>tối thiểu</v>
      </c>
      <c r="E740" s="5" t="str">
        <f ca="1">IFERROR(__xludf.DUMMYFUNCTION("GOOGLETRANSLATE(C740,""ja"",""vi"")"),"Đấu giá&gt; Thời trang&gt; By Nhãn hiệu&gt; chỉ&gt; tối thiểu")</f>
        <v>Đấu giá&gt; Thời trang&gt; By Nhãn hiệu&gt; chỉ&gt; tối thiểu</v>
      </c>
      <c r="F740" t="str">
        <f t="shared" ca="1" si="11"/>
        <v>"2084298401" : "tối thiểu",</v>
      </c>
    </row>
    <row r="741" spans="1:6" ht="15.75" customHeight="1">
      <c r="A741" s="18">
        <v>2084244352</v>
      </c>
      <c r="B741" s="18" t="s">
        <v>12494</v>
      </c>
      <c r="C741" s="18" t="s">
        <v>12495</v>
      </c>
      <c r="D741" s="5" t="str">
        <f ca="1">IFERROR(__xludf.DUMMYFUNCTION("GOOGLETRANSLATE(B741,""ja"",""vi"")"),"Minnetonka")</f>
        <v>Minnetonka</v>
      </c>
      <c r="E741" s="5" t="str">
        <f ca="1">IFERROR(__xludf.DUMMYFUNCTION("GOOGLETRANSLATE(C741,""ja"",""vi"")"),"Đấu giá&gt; Thời trang&gt; By Nhãn hiệu&gt; chỉ&gt; Minnetonka")</f>
        <v>Đấu giá&gt; Thời trang&gt; By Nhãn hiệu&gt; chỉ&gt; Minnetonka</v>
      </c>
      <c r="F741" t="str">
        <f t="shared" ca="1" si="11"/>
        <v>"2084244352" : "Minnetonka",</v>
      </c>
    </row>
    <row r="742" spans="1:6" ht="15.75" customHeight="1">
      <c r="A742" s="18">
        <v>2084050321</v>
      </c>
      <c r="B742" s="18" t="s">
        <v>12497</v>
      </c>
      <c r="C742" s="18" t="s">
        <v>12499</v>
      </c>
      <c r="D742" s="5" t="str">
        <f ca="1">IFERROR(__xludf.DUMMYFUNCTION("GOOGLETRANSLATE(B742,""ja"",""vi"")"),"Mihara Yasuhiro")</f>
        <v>Mihara Yasuhiro</v>
      </c>
      <c r="E742" s="5" t="str">
        <f ca="1">IFERROR(__xludf.DUMMYFUNCTION("GOOGLETRANSLATE(C742,""ja"",""vi"")"),"Đấu giá&gt; Thời trang&gt; By Nhãn hiệu&gt; chỉ&gt; Mihara Yasuhiro")</f>
        <v>Đấu giá&gt; Thời trang&gt; By Nhãn hiệu&gt; chỉ&gt; Mihara Yasuhiro</v>
      </c>
      <c r="F742" t="str">
        <f t="shared" ca="1" si="11"/>
        <v>"2084050321" : "Mihara Yasuhiro",</v>
      </c>
    </row>
    <row r="743" spans="1:6" ht="15.75" customHeight="1">
      <c r="A743" s="18">
        <v>2084230024</v>
      </c>
      <c r="B743" s="18" t="s">
        <v>12502</v>
      </c>
      <c r="C743" s="18" t="s">
        <v>12503</v>
      </c>
      <c r="D743" s="5" t="str">
        <f ca="1">IFERROR(__xludf.DUMMYFUNCTION("GOOGLETRANSLATE(B743,""ja"",""vi"")"),"Mimi và Roger")</f>
        <v>Mimi và Roger</v>
      </c>
      <c r="E743" s="5" t="str">
        <f ca="1">IFERROR(__xludf.DUMMYFUNCTION("GOOGLETRANSLATE(C743,""ja"",""vi"")"),"Đấu giá&gt; Thời trang&gt; By Nhãn hiệu&gt; chỉ&gt; Mimi và Roger")</f>
        <v>Đấu giá&gt; Thời trang&gt; By Nhãn hiệu&gt; chỉ&gt; Mimi và Roger</v>
      </c>
      <c r="F743" t="str">
        <f t="shared" ca="1" si="11"/>
        <v>"2084230024" : "Mimi và Roger",</v>
      </c>
    </row>
    <row r="744" spans="1:6" ht="15.75" customHeight="1">
      <c r="A744" s="18">
        <v>2084048635</v>
      </c>
      <c r="B744" s="18" t="s">
        <v>12507</v>
      </c>
      <c r="C744" s="18" t="s">
        <v>12508</v>
      </c>
      <c r="D744" s="5" t="str">
        <f ca="1">IFERROR(__xludf.DUMMYFUNCTION("GOOGLETRANSLATE(B744,""ja"",""vi"")"),"Miu Miu")</f>
        <v>Miu Miu</v>
      </c>
      <c r="E744" s="5" t="str">
        <f ca="1">IFERROR(__xludf.DUMMYFUNCTION("GOOGLETRANSLATE(C744,""ja"",""vi"")"),"Đấu giá&gt; Thời trang&gt; By Nhãn hiệu&gt; chỉ&gt; Miu Miu")</f>
        <v>Đấu giá&gt; Thời trang&gt; By Nhãn hiệu&gt; chỉ&gt; Miu Miu</v>
      </c>
      <c r="F744" t="str">
        <f t="shared" ca="1" si="11"/>
        <v>"2084048635" : "Miu Miu",</v>
      </c>
    </row>
    <row r="745" spans="1:6" ht="15.75" customHeight="1">
      <c r="A745" s="18">
        <v>2084050322</v>
      </c>
      <c r="B745" s="18" t="s">
        <v>12511</v>
      </c>
      <c r="C745" s="18" t="s">
        <v>12512</v>
      </c>
      <c r="D745" s="5" t="str">
        <f ca="1">IFERROR(__xludf.DUMMYFUNCTION("GOOGLETRANSLATE(B745,""ja"",""vi"")"),"Mila Schön")</f>
        <v>Mila Schön</v>
      </c>
      <c r="E745" s="5" t="str">
        <f ca="1">IFERROR(__xludf.DUMMYFUNCTION("GOOGLETRANSLATE(C745,""ja"",""vi"")"),"Đấu giá&gt; Thời trang&gt; By Nhãn hiệu&gt; chỉ&gt; Mila Schön")</f>
        <v>Đấu giá&gt; Thời trang&gt; By Nhãn hiệu&gt; chỉ&gt; Mila Schön</v>
      </c>
      <c r="F745" t="str">
        <f t="shared" ca="1" si="11"/>
        <v>"2084050322" : "Mila Schön",</v>
      </c>
    </row>
    <row r="746" spans="1:6" ht="15.75" customHeight="1">
      <c r="A746" s="18">
        <v>2084050323</v>
      </c>
      <c r="B746" s="18" t="s">
        <v>12515</v>
      </c>
      <c r="C746" s="18" t="s">
        <v>12516</v>
      </c>
      <c r="D746" s="5" t="str">
        <f ca="1">IFERROR(__xludf.DUMMYFUNCTION("GOOGLETRANSLATE(B746,""ja"",""vi"")"),"sữa")</f>
        <v>sữa</v>
      </c>
      <c r="E746" s="5" t="str">
        <f ca="1">IFERROR(__xludf.DUMMYFUNCTION("GOOGLETRANSLATE(C746,""ja"",""vi"")"),"Đấu giá&gt; Thời trang&gt; By Nhãn hiệu&gt; chỉ&gt; sữa")</f>
        <v>Đấu giá&gt; Thời trang&gt; By Nhãn hiệu&gt; chỉ&gt; sữa</v>
      </c>
      <c r="F746" t="str">
        <f t="shared" ca="1" si="11"/>
        <v>"2084050323" : "sữa",</v>
      </c>
    </row>
    <row r="747" spans="1:6" ht="15.75" customHeight="1">
      <c r="A747" s="18">
        <v>2084230025</v>
      </c>
      <c r="B747" s="18" t="s">
        <v>12520</v>
      </c>
      <c r="C747" s="18" t="s">
        <v>12521</v>
      </c>
      <c r="D747" s="5" t="str">
        <f ca="1">IFERROR(__xludf.DUMMYFUNCTION("GOOGLETRANSLATE(B747,""ja"",""vi"")"),"sữa Fed")</f>
        <v>sữa Fed</v>
      </c>
      <c r="E747" s="5" t="str">
        <f ca="1">IFERROR(__xludf.DUMMYFUNCTION("GOOGLETRANSLATE(C747,""ja"",""vi"")"),"Đấu giá&gt; Thời trang&gt; By Nhãn hiệu&gt; chỉ&gt; Sữa Fed")</f>
        <v>Đấu giá&gt; Thời trang&gt; By Nhãn hiệu&gt; chỉ&gt; Sữa Fed</v>
      </c>
      <c r="F747" t="str">
        <f t="shared" ca="1" si="11"/>
        <v>"2084230025" : "sữa Fed",</v>
      </c>
    </row>
    <row r="748" spans="1:6" ht="15.75" customHeight="1">
      <c r="A748" s="18">
        <v>2084048700</v>
      </c>
      <c r="B748" s="18" t="s">
        <v>12526</v>
      </c>
      <c r="C748" s="18" t="s">
        <v>12528</v>
      </c>
      <c r="D748" s="5" t="str">
        <f ca="1">IFERROR(__xludf.DUMMYFUNCTION("GOOGLETRANSLATE(B748,""ja"",""vi"")"),"sữa Boy")</f>
        <v>sữa Boy</v>
      </c>
      <c r="E748" s="5" t="str">
        <f ca="1">IFERROR(__xludf.DUMMYFUNCTION("GOOGLETRANSLATE(C748,""ja"",""vi"")"),"Đấu giá&gt; Thời trang&gt; By Nhãn hiệu&gt; chỉ&gt; Sữa Boy")</f>
        <v>Đấu giá&gt; Thời trang&gt; By Nhãn hiệu&gt; chỉ&gt; Sữa Boy</v>
      </c>
      <c r="F748" t="str">
        <f t="shared" ca="1" si="11"/>
        <v>"2084048700" : "sữa Boy",</v>
      </c>
    </row>
    <row r="749" spans="1:6" ht="15.75" customHeight="1">
      <c r="A749" s="18">
        <v>2084226709</v>
      </c>
      <c r="B749" s="18" t="s">
        <v>12531</v>
      </c>
      <c r="C749" s="18" t="s">
        <v>12533</v>
      </c>
      <c r="D749" s="5" t="str">
        <f ca="1">IFERROR(__xludf.DUMMYFUNCTION("GOOGLETRANSLATE(B749,""ja"",""vi"")"),"cây kê")</f>
        <v>cây kê</v>
      </c>
      <c r="E749" s="5" t="str">
        <f ca="1">IFERROR(__xludf.DUMMYFUNCTION("GOOGLETRANSLATE(C749,""ja"",""vi"")"),"Đấu giá&gt; Thời trang&gt; By Nhãn hiệu&gt; chỉ&gt; Millet")</f>
        <v>Đấu giá&gt; Thời trang&gt; By Nhãn hiệu&gt; chỉ&gt; Millet</v>
      </c>
      <c r="F749" t="str">
        <f t="shared" ca="1" si="11"/>
        <v>"2084226709" : "cây kê",</v>
      </c>
    </row>
    <row r="750" spans="1:6" ht="15.75" customHeight="1">
      <c r="A750" s="18">
        <v>2084286386</v>
      </c>
      <c r="B750" s="18" t="s">
        <v>46</v>
      </c>
      <c r="C750" s="18" t="s">
        <v>12538</v>
      </c>
      <c r="D750" s="5" t="str">
        <f ca="1">IFERROR(__xludf.DUMMYFUNCTION("GOOGLETRANSLATE(B750,""ja"",""vi"")"),"nếu không thì")</f>
        <v>nếu không thì</v>
      </c>
      <c r="E750" s="5" t="str">
        <f ca="1">IFERROR(__xludf.DUMMYFUNCTION("GOOGLETRANSLATE(C750,""ja"",""vi"")"),"Đấu giá&gt; Thời trang&gt; By Nhãn hiệu&gt; chỉ&gt; Khác")</f>
        <v>Đấu giá&gt; Thời trang&gt; By Nhãn hiệu&gt; chỉ&gt; Khác</v>
      </c>
      <c r="F750" t="str">
        <f t="shared" ca="1" si="11"/>
        <v>"2084286386" : "nếu không thì",</v>
      </c>
    </row>
    <row r="751" spans="1:6" ht="15.75" customHeight="1">
      <c r="A751" s="18">
        <v>2084050324</v>
      </c>
      <c r="B751" s="18" t="s">
        <v>12541</v>
      </c>
      <c r="C751" s="18" t="s">
        <v>12543</v>
      </c>
      <c r="D751" s="5" t="str">
        <f ca="1">IFERROR(__xludf.DUMMYFUNCTION("GOOGLETRANSLATE(B751,""ja"",""vi"")"),"Muji")</f>
        <v>Muji</v>
      </c>
      <c r="E751" s="5" t="str">
        <f ca="1">IFERROR(__xludf.DUMMYFUNCTION("GOOGLETRANSLATE(C751,""ja"",""vi"")"),"Đấu giá&gt; Thời trang&gt; By Nhãn hiệu&gt; Không / mắt / cũng&gt; Muji")</f>
        <v>Đấu giá&gt; Thời trang&gt; By Nhãn hiệu&gt; Không / mắt / cũng&gt; Muji</v>
      </c>
      <c r="F751" t="str">
        <f t="shared" ca="1" si="11"/>
        <v>"2084050324" : "Muji",</v>
      </c>
    </row>
    <row r="752" spans="1:6" ht="15.75" customHeight="1">
      <c r="A752" s="18">
        <v>2084261368</v>
      </c>
      <c r="B752" s="18" t="s">
        <v>12547</v>
      </c>
      <c r="C752" s="18" t="s">
        <v>12548</v>
      </c>
      <c r="D752" s="5" t="str">
        <f ca="1">IFERROR(__xludf.DUMMYFUNCTION("GOOGLETRANSLATE(B752,""ja"",""vi"")"),"MURUA")</f>
        <v>MURUA</v>
      </c>
      <c r="E752" s="5" t="str">
        <f ca="1">IFERROR(__xludf.DUMMYFUNCTION("GOOGLETRANSLATE(C752,""ja"",""vi"")"),"Đấu giá&gt; Thời trang&gt; By Nhãn hiệu&gt; Không / mắt / cũng&gt; MURUA")</f>
        <v>Đấu giá&gt; Thời trang&gt; By Nhãn hiệu&gt; Không / mắt / cũng&gt; MURUA</v>
      </c>
      <c r="F752" t="str">
        <f t="shared" ca="1" si="11"/>
        <v>"2084261368" : "MURUA",</v>
      </c>
    </row>
    <row r="753" spans="1:6" ht="15.75" customHeight="1">
      <c r="A753" s="18">
        <v>2084048636</v>
      </c>
      <c r="B753" s="18" t="s">
        <v>12552</v>
      </c>
      <c r="C753" s="18" t="s">
        <v>12553</v>
      </c>
      <c r="D753" s="5" t="str">
        <f ca="1">IFERROR(__xludf.DUMMYFUNCTION("GOOGLETRANSLATE(B753,""ja"",""vi"")"),"Mu John John")</f>
        <v>Mu John John</v>
      </c>
      <c r="E753" s="5" t="str">
        <f ca="1">IFERROR(__xludf.DUMMYFUNCTION("GOOGLETRANSLATE(C753,""ja"",""vi"")"),"Đấu giá&gt; Thời trang&gt; By Nhãn hiệu&gt; Không / mắt / cũng&gt; mu John John")</f>
        <v>Đấu giá&gt; Thời trang&gt; By Nhãn hiệu&gt; Không / mắt / cũng&gt; mu John John</v>
      </c>
      <c r="F753" t="str">
        <f t="shared" ca="1" si="11"/>
        <v>"2084048636" : "Mu John John",</v>
      </c>
    </row>
    <row r="754" spans="1:6" ht="15.75" customHeight="1">
      <c r="A754" s="18">
        <v>2084229208</v>
      </c>
      <c r="B754" s="18" t="s">
        <v>12557</v>
      </c>
      <c r="C754" s="18" t="s">
        <v>12558</v>
      </c>
      <c r="D754" s="5" t="str">
        <f ca="1">IFERROR(__xludf.DUMMYFUNCTION("GOOGLETRANSLATE(B754,""ja"",""vi"")"),"Moonstone")</f>
        <v>Moonstone</v>
      </c>
      <c r="E754" s="5" t="str">
        <f ca="1">IFERROR(__xludf.DUMMYFUNCTION("GOOGLETRANSLATE(C754,""ja"",""vi"")"),"Đấu giá&gt; Thời trang&gt; By Nhãn hiệu&gt; Không / mắt / cũng&gt; Moonstone")</f>
        <v>Đấu giá&gt; Thời trang&gt; By Nhãn hiệu&gt; Không / mắt / cũng&gt; Moonstone</v>
      </c>
      <c r="F754" t="str">
        <f t="shared" ca="1" si="11"/>
        <v>"2084229208" : "Moonstone",</v>
      </c>
    </row>
    <row r="755" spans="1:6" ht="15.75" customHeight="1">
      <c r="A755" s="18">
        <v>2084050325</v>
      </c>
      <c r="B755" s="18" t="s">
        <v>12560</v>
      </c>
      <c r="C755" s="18" t="s">
        <v>12562</v>
      </c>
      <c r="D755" s="5" t="str">
        <f ca="1">IFERROR(__xludf.DUMMYFUNCTION("GOOGLETRANSLATE(B755,""ja"",""vi"")"),"Muchacha")</f>
        <v>Muchacha</v>
      </c>
      <c r="E755" s="5" t="str">
        <f ca="1">IFERROR(__xludf.DUMMYFUNCTION("GOOGLETRANSLATE(C755,""ja"",""vi"")"),"Đấu giá&gt; Thời trang&gt; By Nhãn hiệu&gt; Không / mắt / cũng&gt; Muchacha")</f>
        <v>Đấu giá&gt; Thời trang&gt; By Nhãn hiệu&gt; Không / mắt / cũng&gt; Muchacha</v>
      </c>
      <c r="F755" t="str">
        <f t="shared" ca="1" si="11"/>
        <v>"2084050325" : "Muchacha",</v>
      </c>
    </row>
    <row r="756" spans="1:6" ht="15.75" customHeight="1">
      <c r="A756" s="18">
        <v>2084283774</v>
      </c>
      <c r="B756" s="18" t="s">
        <v>12564</v>
      </c>
      <c r="C756" s="18" t="s">
        <v>12565</v>
      </c>
      <c r="D756" s="5" t="str">
        <f ca="1">IFERROR(__xludf.DUMMYFUNCTION("GOOGLETRANSLATE(B756,""ja"",""vi"")"),"Mason Grey")</f>
        <v>Mason Grey</v>
      </c>
      <c r="E756" s="5" t="str">
        <f ca="1">IFERROR(__xludf.DUMMYFUNCTION("GOOGLETRANSLATE(C756,""ja"",""vi"")"),"Đấu giá&gt; Thời trang&gt; By Nhãn hiệu&gt; Không / mắt / cũng&gt; Mason Grey")</f>
        <v>Đấu giá&gt; Thời trang&gt; By Nhãn hiệu&gt; Không / mắt / cũng&gt; Mason Grey</v>
      </c>
      <c r="F756" t="str">
        <f t="shared" ca="1" si="11"/>
        <v>"2084283774" : "Mason Grey",</v>
      </c>
    </row>
    <row r="757" spans="1:6" ht="15.75" customHeight="1">
      <c r="A757" s="18">
        <v>2084048705</v>
      </c>
      <c r="B757" s="18" t="s">
        <v>12569</v>
      </c>
      <c r="C757" s="18" t="s">
        <v>12571</v>
      </c>
      <c r="D757" s="5" t="str">
        <f ca="1">IFERROR(__xludf.DUMMYFUNCTION("GOOGLETRANSLATE(B757,""ja"",""vi"")"),"Mezzo đàn piano")</f>
        <v>Mezzo đàn piano</v>
      </c>
      <c r="E757" s="5" t="str">
        <f ca="1">IFERROR(__xludf.DUMMYFUNCTION("GOOGLETRANSLATE(C757,""ja"",""vi"")"),"Đấu giá&gt; Thời trang&gt; By Nhãn hiệu&gt; Không / mắt / cũng&gt; mezzo đàn piano")</f>
        <v>Đấu giá&gt; Thời trang&gt; By Nhãn hiệu&gt; Không / mắt / cũng&gt; mezzo đàn piano</v>
      </c>
      <c r="F757" t="str">
        <f t="shared" ca="1" si="11"/>
        <v>"2084048705" : "Mezzo đàn piano",</v>
      </c>
    </row>
    <row r="758" spans="1:6" ht="15.75" customHeight="1">
      <c r="A758" s="18">
        <v>2084283775</v>
      </c>
      <c r="B758" s="18" t="s">
        <v>12575</v>
      </c>
      <c r="C758" s="18" t="s">
        <v>12576</v>
      </c>
      <c r="D758" s="5" t="str">
        <f ca="1">IFERROR(__xludf.DUMMYFUNCTION("GOOGLETRANSLATE(B758,""ja"",""vi"")"),"cây tía tô")</f>
        <v>cây tía tô</v>
      </c>
      <c r="E758" s="5" t="str">
        <f ca="1">IFERROR(__xludf.DUMMYFUNCTION("GOOGLETRANSLATE(C758,""ja"",""vi"")"),"Đấu giá&gt; Thời trang&gt; By Nhãn hiệu&gt; Không / mắt / cũng&gt; Melissa")</f>
        <v>Đấu giá&gt; Thời trang&gt; By Nhãn hiệu&gt; Không / mắt / cũng&gt; Melissa</v>
      </c>
      <c r="F758" t="str">
        <f t="shared" ca="1" si="11"/>
        <v>"2084283775" : "cây tía tô",</v>
      </c>
    </row>
    <row r="759" spans="1:6" ht="15.75" customHeight="1">
      <c r="A759" s="18">
        <v>2084298409</v>
      </c>
      <c r="B759" s="18" t="s">
        <v>12581</v>
      </c>
      <c r="C759" s="18" t="s">
        <v>12582</v>
      </c>
      <c r="D759" s="5" t="str">
        <f ca="1">IFERROR(__xludf.DUMMYFUNCTION("GOOGLETRANSLATE(B759,""ja"",""vi"")"),"Merci Balk trên")</f>
        <v>Merci Balk trên</v>
      </c>
      <c r="E759" s="5" t="str">
        <f ca="1">IFERROR(__xludf.DUMMYFUNCTION("GOOGLETRANSLATE(C759,""ja"",""vi"")"),"Đấu giá&gt; Thời trang&gt; By Nhãn hiệu&gt; Không / mắt / cũng&gt; Merci Balk trên")</f>
        <v>Đấu giá&gt; Thời trang&gt; By Nhãn hiệu&gt; Không / mắt / cũng&gt; Merci Balk trên</v>
      </c>
      <c r="F759" t="str">
        <f t="shared" ca="1" si="11"/>
        <v>"2084298409" : "Merci Balk trên",</v>
      </c>
    </row>
    <row r="760" spans="1:6" ht="15.75" customHeight="1">
      <c r="A760" s="18">
        <v>2084283766</v>
      </c>
      <c r="B760" s="18" t="s">
        <v>12585</v>
      </c>
      <c r="C760" s="18" t="s">
        <v>12587</v>
      </c>
      <c r="D760" s="5" t="str">
        <f ca="1">IFERROR(__xludf.DUMMYFUNCTION("GOOGLETRANSLATE(B760,""ja"",""vi"")"),"Melrose")</f>
        <v>Melrose</v>
      </c>
      <c r="E760" s="5" t="str">
        <f ca="1">IFERROR(__xludf.DUMMYFUNCTION("GOOGLETRANSLATE(C760,""ja"",""vi"")"),"Đấu giá&gt; Thời trang&gt; By Nhãn hiệu&gt; Không / mắt / cũng&gt; Melrose")</f>
        <v>Đấu giá&gt; Thời trang&gt; By Nhãn hiệu&gt; Không / mắt / cũng&gt; Melrose</v>
      </c>
      <c r="F760" t="str">
        <f t="shared" ca="1" si="11"/>
        <v>"2084283766" : "Melrose",</v>
      </c>
    </row>
    <row r="761" spans="1:6" ht="15.75" customHeight="1">
      <c r="A761" s="18">
        <v>2084284020</v>
      </c>
      <c r="B761" s="18" t="s">
        <v>12589</v>
      </c>
      <c r="C761" s="18" t="s">
        <v>12591</v>
      </c>
      <c r="D761" s="5" t="str">
        <f ca="1">IFERROR(__xludf.DUMMYFUNCTION("GOOGLETRANSLATE(B761,""ja"",""vi"")"),"Moga")</f>
        <v>Moga</v>
      </c>
      <c r="E761" s="5" t="str">
        <f ca="1">IFERROR(__xludf.DUMMYFUNCTION("GOOGLETRANSLATE(C761,""ja"",""vi"")"),"Đấu giá&gt; Thời trang&gt; By Nhãn hiệu&gt; Không / mắt / cũng&gt; Moga")</f>
        <v>Đấu giá&gt; Thời trang&gt; By Nhãn hiệu&gt; Không / mắt / cũng&gt; Moga</v>
      </c>
      <c r="F761" t="str">
        <f t="shared" ca="1" si="11"/>
        <v>"2084284020" : "Moga",</v>
      </c>
    </row>
    <row r="762" spans="1:6" ht="15.75" customHeight="1">
      <c r="A762" s="18">
        <v>2084054781</v>
      </c>
      <c r="B762" s="18" t="s">
        <v>12593</v>
      </c>
      <c r="C762" s="18" t="s">
        <v>12596</v>
      </c>
      <c r="D762" s="5" t="str">
        <f ca="1">IFERROR(__xludf.DUMMYFUNCTION("GOOGLETRANSLATE(B762,""ja"",""vi"")"),"Moschino")</f>
        <v>Moschino</v>
      </c>
      <c r="E762" s="5" t="str">
        <f ca="1">IFERROR(__xludf.DUMMYFUNCTION("GOOGLETRANSLATE(C762,""ja"",""vi"")"),"Đấu giá&gt; Thời trang&gt; By Nhãn hiệu&gt; Không / mắt / cũng&gt; Moschino")</f>
        <v>Đấu giá&gt; Thời trang&gt; By Nhãn hiệu&gt; Không / mắt / cũng&gt; Moschino</v>
      </c>
      <c r="F762" t="str">
        <f t="shared" ca="1" si="11"/>
        <v>"2084054781" : "Moschino",</v>
      </c>
    </row>
    <row r="763" spans="1:6" ht="15.75" customHeight="1">
      <c r="A763" s="18">
        <v>2084050329</v>
      </c>
      <c r="B763" s="18" t="s">
        <v>12598</v>
      </c>
      <c r="C763" s="18" t="s">
        <v>12600</v>
      </c>
      <c r="D763" s="5" t="str">
        <f ca="1">IFERROR(__xludf.DUMMYFUNCTION("GOOGLETRANSLATE(B763,""ja"",""vi"")"),"Morgan")</f>
        <v>Morgan</v>
      </c>
      <c r="E763" s="5" t="str">
        <f ca="1">IFERROR(__xludf.DUMMYFUNCTION("GOOGLETRANSLATE(C763,""ja"",""vi"")"),"Đấu giá&gt; Thời trang&gt; By Nhãn hiệu&gt; Không / mắt / cũng&gt; Morgan")</f>
        <v>Đấu giá&gt; Thời trang&gt; By Nhãn hiệu&gt; Không / mắt / cũng&gt; Morgan</v>
      </c>
      <c r="F763" t="str">
        <f t="shared" ca="1" si="11"/>
        <v>"2084050329" : "Morgan",</v>
      </c>
    </row>
    <row r="764" spans="1:6" ht="15.75" customHeight="1">
      <c r="A764" s="18">
        <v>2084050330</v>
      </c>
      <c r="B764" s="18" t="s">
        <v>12603</v>
      </c>
      <c r="C764" s="18" t="s">
        <v>12607</v>
      </c>
      <c r="D764" s="5" t="str">
        <f ca="1">IFERROR(__xludf.DUMMYFUNCTION("GOOGLETRANSLATE(B764,""ja"",""vi"")"),"Moncler")</f>
        <v>Moncler</v>
      </c>
      <c r="E764" s="5" t="str">
        <f ca="1">IFERROR(__xludf.DUMMYFUNCTION("GOOGLETRANSLATE(C764,""ja"",""vi"")"),"Đấu giá&gt; Thời trang&gt; By Nhãn hiệu&gt; Không / mắt / cũng&gt; Moncler")</f>
        <v>Đấu giá&gt; Thời trang&gt; By Nhãn hiệu&gt; Không / mắt / cũng&gt; Moncler</v>
      </c>
      <c r="F764" t="str">
        <f t="shared" ca="1" si="11"/>
        <v>"2084050330" : "Moncler",</v>
      </c>
    </row>
    <row r="765" spans="1:6" ht="15.75" customHeight="1">
      <c r="A765" s="18">
        <v>2084203594</v>
      </c>
      <c r="B765" s="18" t="s">
        <v>9455</v>
      </c>
      <c r="C765" s="18" t="s">
        <v>12610</v>
      </c>
      <c r="D765" s="5" t="str">
        <f ca="1">IFERROR(__xludf.DUMMYFUNCTION("GOOGLETRANSLATE(B765,""ja"",""vi"")"),"MontBell")</f>
        <v>MontBell</v>
      </c>
      <c r="E765" s="5" t="str">
        <f ca="1">IFERROR(__xludf.DUMMYFUNCTION("GOOGLETRANSLATE(C765,""ja"",""vi"")"),"Đấu giá&gt; Thời trang&gt; By Nhãn hiệu&gt; Không / mắt / cũng&gt; Mont-Bell")</f>
        <v>Đấu giá&gt; Thời trang&gt; By Nhãn hiệu&gt; Không / mắt / cũng&gt; Mont-Bell</v>
      </c>
      <c r="F765" t="str">
        <f t="shared" ca="1" si="11"/>
        <v>"2084203594" : "MontBell",</v>
      </c>
    </row>
    <row r="766" spans="1:6" ht="15.75" customHeight="1">
      <c r="A766" s="18">
        <v>2084286401</v>
      </c>
      <c r="B766" s="18" t="s">
        <v>46</v>
      </c>
      <c r="C766" s="18" t="s">
        <v>12615</v>
      </c>
      <c r="D766" s="5" t="str">
        <f ca="1">IFERROR(__xludf.DUMMYFUNCTION("GOOGLETRANSLATE(B766,""ja"",""vi"")"),"nếu không thì")</f>
        <v>nếu không thì</v>
      </c>
      <c r="E766" s="5" t="str">
        <f ca="1">IFERROR(__xludf.DUMMYFUNCTION("GOOGLETRANSLATE(C766,""ja"",""vi"")"),"Đấu giá&gt; Thời trang&gt; By Nhãn hiệu&gt; Không / mắt / cũng&gt; Khác")</f>
        <v>Đấu giá&gt; Thời trang&gt; By Nhãn hiệu&gt; Không / mắt / cũng&gt; Khác</v>
      </c>
      <c r="F766" t="str">
        <f t="shared" ca="1" si="11"/>
        <v>"2084286401" : "nếu không thì",</v>
      </c>
    </row>
    <row r="767" spans="1:6" ht="15.75" customHeight="1">
      <c r="A767" s="18">
        <v>2084260049</v>
      </c>
      <c r="B767" s="18" t="s">
        <v>12619</v>
      </c>
      <c r="C767" s="18" t="s">
        <v>12620</v>
      </c>
      <c r="D767" s="5" t="str">
        <f ca="1">IFERROR(__xludf.DUMMYFUNCTION("GOOGLETRANSLATE(B767,""ja"",""vi"")"),"Yaeka")</f>
        <v>Yaeka</v>
      </c>
      <c r="E767" s="5" t="str">
        <f ca="1">IFERROR(__xludf.DUMMYFUNCTION("GOOGLETRANSLATE(C767,""ja"",""vi"")"),"Đấu giá&gt; Thời trang&gt; By Nhãn hiệu&gt; và / Yu / I&gt; Yaeka")</f>
        <v>Đấu giá&gt; Thời trang&gt; By Nhãn hiệu&gt; và / Yu / I&gt; Yaeka</v>
      </c>
      <c r="F767" t="str">
        <f t="shared" ca="1" si="11"/>
        <v>"2084260049" : "Yaeka",</v>
      </c>
    </row>
    <row r="768" spans="1:6" ht="15.75" customHeight="1">
      <c r="A768" s="18">
        <v>2084260064</v>
      </c>
      <c r="B768" s="18" t="s">
        <v>12623</v>
      </c>
      <c r="C768" s="18" t="s">
        <v>12625</v>
      </c>
      <c r="D768" s="5" t="str">
        <f ca="1">IFERROR(__xludf.DUMMYFUNCTION("GOOGLETRANSLATE(B768,""ja"",""vi"")"),"Yack Gói")</f>
        <v>Yack Gói</v>
      </c>
      <c r="E768" s="5" t="str">
        <f ca="1">IFERROR(__xludf.DUMMYFUNCTION("GOOGLETRANSLATE(C768,""ja"",""vi"")"),"Đấu giá&gt; Thời trang&gt; By Nhãn hiệu&gt; và / Yu / I&gt; gói Yak")</f>
        <v>Đấu giá&gt; Thời trang&gt; By Nhãn hiệu&gt; và / Yu / I&gt; gói Yak</v>
      </c>
      <c r="F768" t="str">
        <f t="shared" ca="1" si="11"/>
        <v>"2084260064" : "Yack Gói",</v>
      </c>
    </row>
    <row r="769" spans="1:6" ht="15.75" customHeight="1">
      <c r="A769" s="18">
        <v>2084194534</v>
      </c>
      <c r="B769" s="18" t="s">
        <v>12628</v>
      </c>
      <c r="C769" s="18" t="s">
        <v>12630</v>
      </c>
      <c r="D769" s="5" t="str">
        <f ca="1">IFERROR(__xludf.DUMMYFUNCTION("GOOGLETRANSLATE(B769,""ja"",""vi"")"),"Yanuku")</f>
        <v>Yanuku</v>
      </c>
      <c r="E769" s="5" t="str">
        <f ca="1">IFERROR(__xludf.DUMMYFUNCTION("GOOGLETRANSLATE(C769,""ja"",""vi"")"),"Đấu giá&gt; Thời trang&gt; By Nhãn hiệu&gt; và / Yu / I&gt; Yanuku")</f>
        <v>Đấu giá&gt; Thời trang&gt; By Nhãn hiệu&gt; và / Yu / I&gt; Yanuku</v>
      </c>
      <c r="F769" t="str">
        <f t="shared" ca="1" si="11"/>
        <v>"2084194534" : "Yanuku",</v>
      </c>
    </row>
    <row r="770" spans="1:6" ht="15.75" customHeight="1">
      <c r="A770" s="18">
        <v>2084260052</v>
      </c>
      <c r="B770" s="18" t="s">
        <v>12633</v>
      </c>
      <c r="C770" s="18" t="s">
        <v>12634</v>
      </c>
      <c r="D770" s="5" t="str">
        <f ca="1">IFERROR(__xludf.DUMMYFUNCTION("GOOGLETRANSLATE(B770,""ja"",""vi"")"),"Yukikohanai")</f>
        <v>Yukikohanai</v>
      </c>
      <c r="E770" s="5" t="str">
        <f ca="1">IFERROR(__xludf.DUMMYFUNCTION("GOOGLETRANSLATE(C770,""ja"",""vi"")"),"Đấu giá&gt; Thời trang&gt; By Nhãn hiệu&gt; và / Yu / I&gt; Yukikohanai")</f>
        <v>Đấu giá&gt; Thời trang&gt; By Nhãn hiệu&gt; và / Yu / I&gt; Yukikohanai</v>
      </c>
      <c r="F770" t="str">
        <f t="shared" ref="F770:F833" ca="1" si="12">CONCATENATE(CHAR(34)&amp;"",A770,""&amp;CHAR(34)," : ", CHAR(34)&amp;"",D770,""&amp;CHAR(34),",")</f>
        <v>"2084260052" : "Yukikohanai",</v>
      </c>
    </row>
    <row r="771" spans="1:6" ht="15.75" customHeight="1">
      <c r="A771" s="18">
        <v>2084260055</v>
      </c>
      <c r="B771" s="18" t="s">
        <v>12638</v>
      </c>
      <c r="C771" s="18" t="s">
        <v>12639</v>
      </c>
      <c r="D771" s="5" t="str">
        <f ca="1">IFERROR(__xludf.DUMMYFUNCTION("GOOGLETRANSLATE(B771,""ja"",""vi"")"),"Yukitorii")</f>
        <v>Yukitorii</v>
      </c>
      <c r="E771" s="5" t="str">
        <f ca="1">IFERROR(__xludf.DUMMYFUNCTION("GOOGLETRANSLATE(C771,""ja"",""vi"")"),"Đấu giá&gt; Thời trang&gt; By Nhãn hiệu&gt; và / Yu / I&gt; Yukitorii")</f>
        <v>Đấu giá&gt; Thời trang&gt; By Nhãn hiệu&gt; và / Yu / I&gt; Yukitorii</v>
      </c>
      <c r="F771" t="str">
        <f t="shared" ca="1" si="12"/>
        <v>"2084260055" : "Yukitorii",</v>
      </c>
    </row>
    <row r="772" spans="1:6" ht="15.75" customHeight="1">
      <c r="A772" s="18">
        <v>2084048715</v>
      </c>
      <c r="B772" s="18" t="s">
        <v>12644</v>
      </c>
      <c r="C772" s="18" t="s">
        <v>12645</v>
      </c>
      <c r="D772" s="5" t="str">
        <f ca="1">IFERROR(__xludf.DUMMYFUNCTION("GOOGLETRANSLATE(B772,""ja"",""vi"")"),"LIÊN HIỆP mũi tên")</f>
        <v>LIÊN HIỆP mũi tên</v>
      </c>
      <c r="E772" s="5" t="str">
        <f ca="1">IFERROR(__xludf.DUMMYFUNCTION("GOOGLETRANSLATE(C772,""ja"",""vi"")"),"Đấu giá&gt; Thời trang&gt; By Nhãn hiệu&gt; và / Yu / I&gt; Vương mũi tên")</f>
        <v>Đấu giá&gt; Thời trang&gt; By Nhãn hiệu&gt; và / Yu / I&gt; Vương mũi tên</v>
      </c>
      <c r="F772" t="str">
        <f t="shared" ca="1" si="12"/>
        <v>"2084048715" : "LIÊN HIỆP mũi tên",</v>
      </c>
    </row>
    <row r="773" spans="1:6" ht="15.75" customHeight="1">
      <c r="A773" s="18">
        <v>2084260058</v>
      </c>
      <c r="B773" s="18" t="s">
        <v>12650</v>
      </c>
      <c r="C773" s="18" t="s">
        <v>12651</v>
      </c>
      <c r="D773" s="5" t="str">
        <f ca="1">IFERROR(__xludf.DUMMYFUNCTION("GOOGLETRANSLATE(B773,""ja"",""vi"")"),"United Bamboo")</f>
        <v>United Bamboo</v>
      </c>
      <c r="E773" s="5" t="str">
        <f ca="1">IFERROR(__xludf.DUMMYFUNCTION("GOOGLETRANSLATE(C773,""ja"",""vi"")"),"Đấu giá&gt; Thời trang&gt; By Nhãn hiệu&gt; và / Yu / I&gt; Vương tre")</f>
        <v>Đấu giá&gt; Thời trang&gt; By Nhãn hiệu&gt; và / Yu / I&gt; Vương tre</v>
      </c>
      <c r="F773" t="str">
        <f t="shared" ca="1" si="12"/>
        <v>"2084260058" : "United Bamboo",</v>
      </c>
    </row>
    <row r="774" spans="1:6" ht="15.75" customHeight="1">
      <c r="A774" s="18">
        <v>2084050331</v>
      </c>
      <c r="B774" s="18" t="s">
        <v>12655</v>
      </c>
      <c r="C774" s="18" t="s">
        <v>12656</v>
      </c>
      <c r="D774" s="5" t="str">
        <f ca="1">IFERROR(__xludf.DUMMYFUNCTION("GOOGLETRANSLATE(B774,""ja"",""vi"")"),"Uniqlo")</f>
        <v>Uniqlo</v>
      </c>
      <c r="E774" s="5" t="str">
        <f ca="1">IFERROR(__xludf.DUMMYFUNCTION("GOOGLETRANSLATE(C774,""ja"",""vi"")"),"Đấu giá&gt; Thời trang&gt; By Nhãn hiệu&gt; và / Yu / I&gt; Uniqlo")</f>
        <v>Đấu giá&gt; Thời trang&gt; By Nhãn hiệu&gt; và / Yu / I&gt; Uniqlo</v>
      </c>
      <c r="F774" t="str">
        <f t="shared" ca="1" si="12"/>
        <v>"2084050331" : "Uniqlo",</v>
      </c>
    </row>
    <row r="775" spans="1:6" ht="15.75" customHeight="1">
      <c r="A775" s="18">
        <v>2084205010</v>
      </c>
      <c r="B775" s="18" t="s">
        <v>12661</v>
      </c>
      <c r="C775" s="18" t="s">
        <v>12662</v>
      </c>
      <c r="D775" s="5" t="str">
        <f ca="1">IFERROR(__xludf.DUMMYFUNCTION("GOOGLETRANSLATE(B775,""ja"",""vi"")"),"Julian")</f>
        <v>Julian</v>
      </c>
      <c r="E775" s="5" t="str">
        <f ca="1">IFERROR(__xludf.DUMMYFUNCTION("GOOGLETRANSLATE(C775,""ja"",""vi"")"),"Đấu giá&gt; Thời trang&gt; By Nhãn hiệu&gt; và / Yu / I&gt; Julian")</f>
        <v>Đấu giá&gt; Thời trang&gt; By Nhãn hiệu&gt; và / Yu / I&gt; Julian</v>
      </c>
      <c r="F775" t="str">
        <f t="shared" ca="1" si="12"/>
        <v>"2084205010" : "Julian",</v>
      </c>
    </row>
    <row r="776" spans="1:6" ht="15.75" customHeight="1">
      <c r="A776" s="18">
        <v>2084283997</v>
      </c>
      <c r="B776" s="18" t="s">
        <v>12667</v>
      </c>
      <c r="C776" s="18" t="s">
        <v>12668</v>
      </c>
      <c r="D776" s="5" t="str">
        <f ca="1">IFERROR(__xludf.DUMMYFUNCTION("GOOGLETRANSLATE(B776,""ja"",""vi"")"),"Juergen đường sắt")</f>
        <v>Juergen đường sắt</v>
      </c>
      <c r="E776" s="5" t="str">
        <f ca="1">IFERROR(__xludf.DUMMYFUNCTION("GOOGLETRANSLATE(C776,""ja"",""vi"")"),"Đấu giá&gt; Thời trang&gt; By Nhãn hiệu&gt; và / Yu / I&gt; đường sắt Juergen")</f>
        <v>Đấu giá&gt; Thời trang&gt; By Nhãn hiệu&gt; và / Yu / I&gt; đường sắt Juergen</v>
      </c>
      <c r="F776" t="str">
        <f t="shared" ca="1" si="12"/>
        <v>"2084283997" : "Juergen đường sắt",</v>
      </c>
    </row>
    <row r="777" spans="1:6" ht="15.75" customHeight="1">
      <c r="A777" s="18">
        <v>2084048644</v>
      </c>
      <c r="B777" s="18" t="s">
        <v>12671</v>
      </c>
      <c r="C777" s="18" t="s">
        <v>12675</v>
      </c>
      <c r="D777" s="5" t="str">
        <f ca="1">IFERROR(__xludf.DUMMYFUNCTION("GOOGLETRANSLATE(B777,""ja"",""vi"")"),"Yohji Yamamoto, Y")</f>
        <v>Yohji Yamamoto, Y</v>
      </c>
      <c r="E777" s="5" t="str">
        <f ca="1">IFERROR(__xludf.DUMMYFUNCTION("GOOGLETRANSLATE(C777,""ja"",""vi"")"),"Đấu giá&gt; Thời trang&gt; By Nhãn hiệu&gt; và / Yu / I&gt; Yohji Yamamoto, Y")</f>
        <v>Đấu giá&gt; Thời trang&gt; By Nhãn hiệu&gt; và / Yu / I&gt; Yohji Yamamoto, Y</v>
      </c>
      <c r="F777" t="str">
        <f t="shared" ca="1" si="12"/>
        <v>"2084048644" : "Yohji Yamamoto, Y",</v>
      </c>
    </row>
    <row r="778" spans="1:6" ht="15.75" customHeight="1">
      <c r="A778" s="18">
        <v>2084283998</v>
      </c>
      <c r="B778" s="18" t="s">
        <v>12680</v>
      </c>
      <c r="C778" s="18" t="s">
        <v>12682</v>
      </c>
      <c r="D778" s="5" t="str">
        <f ca="1">IFERROR(__xludf.DUMMYFUNCTION("GOOGLETRANSLATE(B778,""ja"",""vi"")"),"Yoshieinaba")</f>
        <v>Yoshieinaba</v>
      </c>
      <c r="E778" s="5" t="str">
        <f ca="1">IFERROR(__xludf.DUMMYFUNCTION("GOOGLETRANSLATE(C778,""ja"",""vi"")"),"Đấu giá&gt; Thời trang&gt; By Nhãn hiệu&gt; và / Yu / I&gt; Yoshieinaba")</f>
        <v>Đấu giá&gt; Thời trang&gt; By Nhãn hiệu&gt; và / Yu / I&gt; Yoshieinaba</v>
      </c>
      <c r="F778" t="str">
        <f t="shared" ca="1" si="12"/>
        <v>"2084283998" : "Yoshieinaba",</v>
      </c>
    </row>
    <row r="779" spans="1:6" ht="15.75" customHeight="1">
      <c r="A779" s="18">
        <v>2084050332</v>
      </c>
      <c r="B779" s="18" t="s">
        <v>12685</v>
      </c>
      <c r="C779" s="18" t="s">
        <v>12686</v>
      </c>
      <c r="D779" s="5" t="str">
        <f ca="1">IFERROR(__xludf.DUMMYFUNCTION("GOOGLETRANSLATE(B779,""ja"",""vi"")"),"Yoshiyuki Konishi")</f>
        <v>Yoshiyuki Konishi</v>
      </c>
      <c r="E779" s="5" t="str">
        <f ca="1">IFERROR(__xludf.DUMMYFUNCTION("GOOGLETRANSLATE(C779,""ja"",""vi"")"),"Đấu giá&gt; Thời trang&gt; By Nhãn hiệu&gt; và / Yu / I&gt; Yoshiyuki Konishi")</f>
        <v>Đấu giá&gt; Thời trang&gt; By Nhãn hiệu&gt; và / Yu / I&gt; Yoshiyuki Konishi</v>
      </c>
      <c r="F779" t="str">
        <f t="shared" ca="1" si="12"/>
        <v>"2084050332" : "Yoshiyuki Konishi",</v>
      </c>
    </row>
    <row r="780" spans="1:6" ht="15.75" customHeight="1">
      <c r="A780" s="18">
        <v>2084024290</v>
      </c>
      <c r="B780" s="18" t="s">
        <v>12689</v>
      </c>
      <c r="C780" s="18" t="s">
        <v>12691</v>
      </c>
      <c r="D780" s="5" t="str">
        <f ca="1">IFERROR(__xludf.DUMMYFUNCTION("GOOGLETRANSLATE(B780,""ja"",""vi"")"),"Yoshida, porter đầu")</f>
        <v>Yoshida, porter đầu</v>
      </c>
      <c r="E780" s="5" t="str">
        <f ca="1">IFERROR(__xludf.DUMMYFUNCTION("GOOGLETRANSLATE(C780,""ja"",""vi"")"),"Đấu giá&gt; Thời trang&gt; By Nhãn hiệu&gt; và / Yu / I&gt; Yoshida, porter đầu")</f>
        <v>Đấu giá&gt; Thời trang&gt; By Nhãn hiệu&gt; và / Yu / I&gt; Yoshida, porter đầu</v>
      </c>
      <c r="F780" t="str">
        <f t="shared" ca="1" si="12"/>
        <v>"2084024290" : "Yoshida, porter đầu",</v>
      </c>
    </row>
    <row r="781" spans="1:6" ht="15.75" customHeight="1">
      <c r="A781" s="18">
        <v>2084284019</v>
      </c>
      <c r="B781" s="18" t="s">
        <v>12694</v>
      </c>
      <c r="C781" s="18" t="s">
        <v>12695</v>
      </c>
      <c r="D781" s="5" t="str">
        <f ca="1">IFERROR(__xludf.DUMMYFUNCTION("GOOGLETRANSLATE(B781,""ja"",""vi"")"),"4 ℃")</f>
        <v>4 ℃</v>
      </c>
      <c r="E781" s="5" t="str">
        <f ca="1">IFERROR(__xludf.DUMMYFUNCTION("GOOGLETRANSLATE(C781,""ja"",""vi"")"),"Đấu giá&gt; Thời trang&gt; By Nhãn hiệu&gt; và / Yu / I&gt; 4 ℃")</f>
        <v>Đấu giá&gt; Thời trang&gt; By Nhãn hiệu&gt; và / Yu / I&gt; 4 ℃</v>
      </c>
      <c r="F781" t="str">
        <f t="shared" ca="1" si="12"/>
        <v>"2084284019" : "4 ℃",</v>
      </c>
    </row>
    <row r="782" spans="1:6" ht="15.75" customHeight="1">
      <c r="A782" s="18">
        <v>2084286416</v>
      </c>
      <c r="B782" s="18" t="s">
        <v>46</v>
      </c>
      <c r="C782" s="18" t="s">
        <v>12702</v>
      </c>
      <c r="D782" s="5" t="str">
        <f ca="1">IFERROR(__xludf.DUMMYFUNCTION("GOOGLETRANSLATE(B782,""ja"",""vi"")"),"nếu không thì")</f>
        <v>nếu không thì</v>
      </c>
      <c r="E782" s="5" t="str">
        <f ca="1">IFERROR(__xludf.DUMMYFUNCTION("GOOGLETRANSLATE(C782,""ja"",""vi"")"),"Đấu giá&gt; Thời trang&gt; By Nhãn hiệu&gt; và / Yu / I&gt; Khác")</f>
        <v>Đấu giá&gt; Thời trang&gt; By Nhãn hiệu&gt; và / Yu / I&gt; Khác</v>
      </c>
      <c r="F782" t="str">
        <f t="shared" ca="1" si="12"/>
        <v>"2084286416" : "nếu không thì",</v>
      </c>
    </row>
    <row r="783" spans="1:6" ht="15.75" customHeight="1">
      <c r="A783" s="18">
        <v>2084211116</v>
      </c>
      <c r="B783" s="18" t="s">
        <v>12707</v>
      </c>
      <c r="C783" s="18" t="s">
        <v>12709</v>
      </c>
      <c r="D783" s="5" t="str">
        <f ca="1">IFERROR(__xludf.DUMMYFUNCTION("GOOGLETRANSLATE(B783,""ja"",""vi"")"),"Lounge Lizard")</f>
        <v>Lounge Lizard</v>
      </c>
      <c r="E783" s="5" t="str">
        <f ca="1">IFERROR(__xludf.DUMMYFUNCTION("GOOGLETRANSLATE(C783,""ja"",""vi"")"),"Đấu giá&gt; Thời trang&gt; By Nhãn hiệu&gt; et al.&gt; Lounge Lizard")</f>
        <v>Đấu giá&gt; Thời trang&gt; By Nhãn hiệu&gt; et al.&gt; Lounge Lizard</v>
      </c>
      <c r="F783" t="str">
        <f t="shared" ca="1" si="12"/>
        <v>"2084211116" : "Lounge Lizard",</v>
      </c>
    </row>
    <row r="784" spans="1:6" ht="15.75" customHeight="1">
      <c r="A784" s="18">
        <v>2084298412</v>
      </c>
      <c r="B784" s="18" t="s">
        <v>12714</v>
      </c>
      <c r="C784" s="18" t="s">
        <v>12716</v>
      </c>
      <c r="D784" s="5" t="str">
        <f ca="1">IFERROR(__xludf.DUMMYFUNCTION("GOOGLETRANSLATE(B784,""ja"",""vi"")"),"Laguna trăng")</f>
        <v>Laguna trăng</v>
      </c>
      <c r="E784" s="5" t="str">
        <f ca="1">IFERROR(__xludf.DUMMYFUNCTION("GOOGLETRANSLATE(C784,""ja"",""vi"")"),"Đấu giá&gt; Thời trang&gt; By Nhãn hiệu&gt; et al.&gt; Laguna trăng")</f>
        <v>Đấu giá&gt; Thời trang&gt; By Nhãn hiệu&gt; et al.&gt; Laguna trăng</v>
      </c>
      <c r="F784" t="str">
        <f t="shared" ca="1" si="12"/>
        <v>"2084298412" : "Laguna trăng",</v>
      </c>
    </row>
    <row r="785" spans="1:6" ht="15.75" customHeight="1">
      <c r="A785" s="18">
        <v>2084050333</v>
      </c>
      <c r="B785" s="18" t="s">
        <v>12724</v>
      </c>
      <c r="C785" s="18" t="s">
        <v>12725</v>
      </c>
      <c r="D785" s="5" t="str">
        <f ca="1">IFERROR(__xludf.DUMMYFUNCTION("GOOGLETRANSLATE(B785,""ja"",""vi"")"),"Lacoste")</f>
        <v>Lacoste</v>
      </c>
      <c r="E785" s="5" t="str">
        <f ca="1">IFERROR(__xludf.DUMMYFUNCTION("GOOGLETRANSLATE(C785,""ja"",""vi"")"),"Đấu giá&gt; Thời trang&gt; By Nhãn hiệu&gt; et al.&gt; Lacoste")</f>
        <v>Đấu giá&gt; Thời trang&gt; By Nhãn hiệu&gt; et al.&gt; Lacoste</v>
      </c>
      <c r="F785" t="str">
        <f t="shared" ca="1" si="12"/>
        <v>"2084050333" : "Lacoste",</v>
      </c>
    </row>
    <row r="786" spans="1:6" ht="15.75" customHeight="1">
      <c r="A786" s="18">
        <v>2084283999</v>
      </c>
      <c r="B786" s="18" t="s">
        <v>12731</v>
      </c>
      <c r="C786" s="18" t="s">
        <v>12733</v>
      </c>
      <c r="D786" s="5" t="str">
        <f ca="1">IFERROR(__xludf.DUMMYFUNCTION("GOOGLETRANSLATE(B786,""ja"",""vi"")"),"Rashitto")</f>
        <v>Rashitto</v>
      </c>
      <c r="E786" s="5" t="str">
        <f ca="1">IFERROR(__xludf.DUMMYFUNCTION("GOOGLETRANSLATE(C786,""ja"",""vi"")"),"Đấu giá&gt; Thời trang&gt; By Nhãn hiệu&gt; et al.&gt; Rashitto")</f>
        <v>Đấu giá&gt; Thời trang&gt; By Nhãn hiệu&gt; et al.&gt; Rashitto</v>
      </c>
      <c r="F786" t="str">
        <f t="shared" ca="1" si="12"/>
        <v>"2084283999" : "Rashitto",</v>
      </c>
    </row>
    <row r="787" spans="1:6" ht="15.75" customHeight="1">
      <c r="A787" s="18">
        <v>2084283579</v>
      </c>
      <c r="B787" s="18" t="s">
        <v>12739</v>
      </c>
      <c r="C787" s="18" t="s">
        <v>12742</v>
      </c>
      <c r="D787" s="5" t="str">
        <f ca="1">IFERROR(__xludf.DUMMYFUNCTION("GOOGLETRANSLATE(B787,""ja"",""vi"")"),"La Totarite")</f>
        <v>La Totarite</v>
      </c>
      <c r="E787" s="5" t="str">
        <f ca="1">IFERROR(__xludf.DUMMYFUNCTION("GOOGLETRANSLATE(C787,""ja"",""vi"")"),"Đấu giá&gt; Thời trang&gt; By Nhãn hiệu&gt; et al.&gt; La Totarite")</f>
        <v>Đấu giá&gt; Thời trang&gt; By Nhãn hiệu&gt; et al.&gt; La Totarite</v>
      </c>
      <c r="F787" t="str">
        <f t="shared" ca="1" si="12"/>
        <v>"2084283579" : "La Totarite",</v>
      </c>
    </row>
    <row r="788" spans="1:6" ht="15.75" customHeight="1">
      <c r="A788" s="18">
        <v>2084232965</v>
      </c>
      <c r="B788" s="18" t="s">
        <v>12746</v>
      </c>
      <c r="C788" s="18" t="s">
        <v>12748</v>
      </c>
      <c r="D788" s="5" t="str">
        <f ca="1">IFERROR(__xludf.DUMMYFUNCTION("GOOGLETRANSLATE(B788,""ja"",""vi"")"),"Russell Moccasin")</f>
        <v>Russell Moccasin</v>
      </c>
      <c r="E788" s="5" t="str">
        <f ca="1">IFERROR(__xludf.DUMMYFUNCTION("GOOGLETRANSLATE(C788,""ja"",""vi"")"),"Đấu giá&gt; Thời trang&gt; By Nhãn hiệu&gt; et al.&gt; Russell Moccasin")</f>
        <v>Đấu giá&gt; Thời trang&gt; By Nhãn hiệu&gt; et al.&gt; Russell Moccasin</v>
      </c>
      <c r="F788" t="str">
        <f t="shared" ca="1" si="12"/>
        <v>"2084232965" : "Russell Moccasin",</v>
      </c>
    </row>
    <row r="789" spans="1:6" ht="15.75" customHeight="1">
      <c r="A789" s="18">
        <v>2084050335</v>
      </c>
      <c r="B789" s="18" t="s">
        <v>12752</v>
      </c>
      <c r="C789" s="18" t="s">
        <v>12753</v>
      </c>
      <c r="D789" s="5" t="str">
        <f ca="1">IFERROR(__xludf.DUMMYFUNCTION("GOOGLETRANSLATE(B789,""ja"",""vi"")"),"nhạc sĩ Rudd")</f>
        <v>nhạc sĩ Rudd</v>
      </c>
      <c r="E789" s="5" t="str">
        <f ca="1">IFERROR(__xludf.DUMMYFUNCTION("GOOGLETRANSLATE(C789,""ja"",""vi"")"),"Đấu giá&gt; Thời trang&gt; By Nhãn hiệu&gt; et al.&gt; Nhạc sĩ Rudd")</f>
        <v>Đấu giá&gt; Thời trang&gt; By Nhãn hiệu&gt; et al.&gt; Nhạc sĩ Rudd</v>
      </c>
      <c r="F789" t="str">
        <f t="shared" ca="1" si="12"/>
        <v>"2084050335" : "nhạc sĩ Rudd",</v>
      </c>
    </row>
    <row r="790" spans="1:6" ht="15.75" customHeight="1">
      <c r="A790" s="18">
        <v>2084204990</v>
      </c>
      <c r="B790" s="18" t="s">
        <v>12758</v>
      </c>
      <c r="C790" s="18" t="s">
        <v>12759</v>
      </c>
      <c r="D790" s="5" t="str">
        <f ca="1">IFERROR(__xludf.DUMMYFUNCTION("GOOGLETRANSLATE(B790,""ja"",""vi"")"),"Raf Simons")</f>
        <v>Raf Simons</v>
      </c>
      <c r="E790" s="5" t="str">
        <f ca="1">IFERROR(__xludf.DUMMYFUNCTION("GOOGLETRANSLATE(C790,""ja"",""vi"")"),"Đấu giá&gt; Thời trang&gt; By Nhãn hiệu&gt; et al.&gt; Raf Simons")</f>
        <v>Đấu giá&gt; Thời trang&gt; By Nhãn hiệu&gt; et al.&gt; Raf Simons</v>
      </c>
      <c r="F790" t="str">
        <f t="shared" ca="1" si="12"/>
        <v>"2084204990" : "Raf Simons",</v>
      </c>
    </row>
    <row r="791" spans="1:6" ht="15.75" customHeight="1">
      <c r="A791" s="18">
        <v>2084048725</v>
      </c>
      <c r="B791" s="18" t="s">
        <v>12763</v>
      </c>
      <c r="C791" s="18" t="s">
        <v>12766</v>
      </c>
      <c r="D791" s="5" t="str">
        <f ca="1">IFERROR(__xludf.DUMMYFUNCTION("GOOGLETRANSLATE(B791,""ja"",""vi"")"),"Rabuboto")</f>
        <v>Rabuboto</v>
      </c>
      <c r="E791" s="5" t="str">
        <f ca="1">IFERROR(__xludf.DUMMYFUNCTION("GOOGLETRANSLATE(C791,""ja"",""vi"")"),"Đấu giá&gt; Thời trang&gt; By Nhãn hiệu&gt; et al.&gt; Rabuboto")</f>
        <v>Đấu giá&gt; Thời trang&gt; By Nhãn hiệu&gt; et al.&gt; Rabuboto</v>
      </c>
      <c r="F791" t="str">
        <f t="shared" ca="1" si="12"/>
        <v>"2084048725" : "Rabuboto",</v>
      </c>
    </row>
    <row r="792" spans="1:6" ht="15.75" customHeight="1">
      <c r="A792" s="18">
        <v>2084244278</v>
      </c>
      <c r="B792" s="18" t="s">
        <v>12769</v>
      </c>
      <c r="C792" s="18" t="s">
        <v>12770</v>
      </c>
      <c r="D792" s="5" t="str">
        <f ca="1">IFERROR(__xludf.DUMMYFUNCTION("GOOGLETRANSLATE(B792,""ja"",""vi"")"),"vô tình")</f>
        <v>vô tình</v>
      </c>
      <c r="E792" s="5" t="str">
        <f ca="1">IFERROR(__xludf.DUMMYFUNCTION("GOOGLETRANSLATE(C792,""ja"",""vi"")"),"Đấu giá&gt; Thời trang&gt; By Nhãn hiệu&gt; et al.&gt; Lovelace")</f>
        <v>Đấu giá&gt; Thời trang&gt; By Nhãn hiệu&gt; et al.&gt; Lovelace</v>
      </c>
      <c r="F792" t="str">
        <f t="shared" ca="1" si="12"/>
        <v>"2084244278" : "vô tình",</v>
      </c>
    </row>
    <row r="793" spans="1:6" ht="15.75" customHeight="1">
      <c r="A793" s="18">
        <v>2084050336</v>
      </c>
      <c r="B793" s="18" t="s">
        <v>12775</v>
      </c>
      <c r="C793" s="18" t="s">
        <v>12776</v>
      </c>
      <c r="D793" s="5" t="str">
        <f ca="1">IFERROR(__xludf.DUMMYFUNCTION("GOOGLETRANSLATE(B793,""ja"",""vi"")"),"Rabenhamu")</f>
        <v>Rabenhamu</v>
      </c>
      <c r="E793" s="5" t="str">
        <f ca="1">IFERROR(__xludf.DUMMYFUNCTION("GOOGLETRANSLATE(C793,""ja"",""vi"")"),"Đấu giá&gt; Thời trang&gt; By Nhãn hiệu&gt; et al.&gt; Rabenhamu")</f>
        <v>Đấu giá&gt; Thời trang&gt; By Nhãn hiệu&gt; et al.&gt; Rabenhamu</v>
      </c>
      <c r="F793" t="str">
        <f t="shared" ca="1" si="12"/>
        <v>"2084050336" : "Rabenhamu",</v>
      </c>
    </row>
    <row r="794" spans="1:6" ht="15.75" customHeight="1">
      <c r="A794" s="18">
        <v>2084053013</v>
      </c>
      <c r="B794" s="18" t="s">
        <v>12781</v>
      </c>
      <c r="C794" s="18" t="s">
        <v>12783</v>
      </c>
      <c r="D794" s="5" t="str">
        <f ca="1">IFERROR(__xludf.DUMMYFUNCTION("GOOGLETRANSLATE(B794,""ja"",""vi"")"),"Rarutoramoda")</f>
        <v>Rarutoramoda</v>
      </c>
      <c r="E794" s="5" t="str">
        <f ca="1">IFERROR(__xludf.DUMMYFUNCTION("GOOGLETRANSLATE(C794,""ja"",""vi"")"),"Đấu giá&gt; Thời trang&gt; By Nhãn hiệu&gt; et al.&gt; Rarutoramoda")</f>
        <v>Đấu giá&gt; Thời trang&gt; By Nhãn hiệu&gt; et al.&gt; Rarutoramoda</v>
      </c>
      <c r="F794" t="str">
        <f t="shared" ca="1" si="12"/>
        <v>"2084053013" : "Rarutoramoda",</v>
      </c>
    </row>
    <row r="795" spans="1:6" ht="15.75" customHeight="1">
      <c r="A795" s="18">
        <v>2084048637</v>
      </c>
      <c r="B795" s="18" t="s">
        <v>12786</v>
      </c>
      <c r="C795" s="18" t="s">
        <v>12788</v>
      </c>
      <c r="D795" s="5" t="str">
        <f ca="1">IFERROR(__xludf.DUMMYFUNCTION("GOOGLETRANSLATE(B795,""ja"",""vi"")"),"Ralph Lauren")</f>
        <v>Ralph Lauren</v>
      </c>
      <c r="E795" s="5" t="str">
        <f ca="1">IFERROR(__xludf.DUMMYFUNCTION("GOOGLETRANSLATE(C795,""ja"",""vi"")"),"Đấu giá&gt; Thời trang&gt; By Nhãn hiệu&gt; et al.&gt; Ralph Lauren")</f>
        <v>Đấu giá&gt; Thời trang&gt; By Nhãn hiệu&gt; et al.&gt; Ralph Lauren</v>
      </c>
      <c r="F795" t="str">
        <f t="shared" ca="1" si="12"/>
        <v>"2084048637" : "Ralph Lauren",</v>
      </c>
    </row>
    <row r="796" spans="1:6" ht="15.75" customHeight="1">
      <c r="A796" s="18">
        <v>2084227050</v>
      </c>
      <c r="B796" s="18" t="s">
        <v>12793</v>
      </c>
      <c r="C796" s="18" t="s">
        <v>12794</v>
      </c>
      <c r="D796" s="5" t="str">
        <f ca="1">IFERROR(__xludf.DUMMYFUNCTION("GOOGLETRANSLATE(B796,""ja"",""vi"")"),"người hay cải lẩy")</f>
        <v>người hay cải lẩy</v>
      </c>
      <c r="E796" s="5" t="str">
        <f ca="1">IFERROR(__xludf.DUMMYFUNCTION("GOOGLETRANSLATE(C796,""ja"",""vi"")"),"Đấu giá&gt; Thời trang&gt; By Nhãn hiệu&gt; et al.&gt; Wrangler")</f>
        <v>Đấu giá&gt; Thời trang&gt; By Nhãn hiệu&gt; et al.&gt; Wrangler</v>
      </c>
      <c r="F796" t="str">
        <f t="shared" ca="1" si="12"/>
        <v>"2084227050" : "người hay cải lẩy",</v>
      </c>
    </row>
    <row r="797" spans="1:6" ht="15.75" customHeight="1">
      <c r="A797" s="18">
        <v>2084050337</v>
      </c>
      <c r="B797" s="18" t="s">
        <v>12796</v>
      </c>
      <c r="C797" s="18" t="s">
        <v>12798</v>
      </c>
      <c r="D797" s="5" t="str">
        <f ca="1">IFERROR(__xludf.DUMMYFUNCTION("GOOGLETRANSLATE(B797,""ja"",""vi"")"),"Lang Ritz da")</f>
        <v>Lang Ritz da</v>
      </c>
      <c r="E797" s="5" t="str">
        <f ca="1">IFERROR(__xludf.DUMMYFUNCTION("GOOGLETRANSLATE(C797,""ja"",""vi"")"),"Đấu giá&gt; Thời trang&gt; By Nhãn hiệu&gt; et al.&gt; Lang Ritz Da")</f>
        <v>Đấu giá&gt; Thời trang&gt; By Nhãn hiệu&gt; et al.&gt; Lang Ritz Da</v>
      </c>
      <c r="F797" t="str">
        <f t="shared" ca="1" si="12"/>
        <v>"2084050337" : "Lang Ritz da",</v>
      </c>
    </row>
    <row r="798" spans="1:6" ht="15.75" customHeight="1">
      <c r="A798" s="18">
        <v>2084298413</v>
      </c>
      <c r="B798" s="18" t="s">
        <v>12801</v>
      </c>
      <c r="C798" s="18" t="s">
        <v>12802</v>
      </c>
      <c r="D798" s="5" t="str">
        <f ca="1">IFERROR(__xludf.DUMMYFUNCTION("GOOGLETRANSLATE(B798,""ja"",""vi"")"),"ngôn ngữ")</f>
        <v>ngôn ngữ</v>
      </c>
      <c r="E798" s="5" t="str">
        <f ca="1">IFERROR(__xludf.DUMMYFUNCTION("GOOGLETRANSLATE(C798,""ja"",""vi"")"),"Đấu giá&gt; Thời trang&gt; By Nhãn hiệu&gt; et al.&gt; Ngôn ngữ")</f>
        <v>Đấu giá&gt; Thời trang&gt; By Nhãn hiệu&gt; et al.&gt; Ngôn ngữ</v>
      </c>
      <c r="F798" t="str">
        <f t="shared" ca="1" si="12"/>
        <v>"2084298413" : "ngôn ngữ",</v>
      </c>
    </row>
    <row r="799" spans="1:6" ht="15.75" customHeight="1">
      <c r="A799" s="18">
        <v>2084261138</v>
      </c>
      <c r="B799" s="18" t="s">
        <v>12804</v>
      </c>
      <c r="C799" s="18" t="s">
        <v>12805</v>
      </c>
      <c r="D799" s="5" t="str">
        <f ca="1">IFERROR(__xludf.DUMMYFUNCTION("GOOGLETRANSLATE(B799,""ja"",""vi"")"),"Lancel")</f>
        <v>Lancel</v>
      </c>
      <c r="E799" s="5" t="str">
        <f ca="1">IFERROR(__xludf.DUMMYFUNCTION("GOOGLETRANSLATE(C799,""ja"",""vi"")"),"Đấu giá&gt; Thời trang&gt; By Nhãn hiệu&gt; et al.&gt; Lancel")</f>
        <v>Đấu giá&gt; Thời trang&gt; By Nhãn hiệu&gt; et al.&gt; Lancel</v>
      </c>
      <c r="F799" t="str">
        <f t="shared" ca="1" si="12"/>
        <v>"2084261138" : "Lancel",</v>
      </c>
    </row>
    <row r="800" spans="1:6" ht="15.75" customHeight="1">
      <c r="A800" s="18">
        <v>2084260059</v>
      </c>
      <c r="B800" s="18" t="s">
        <v>12808</v>
      </c>
      <c r="C800" s="18" t="s">
        <v>12809</v>
      </c>
      <c r="D800" s="5" t="str">
        <f ca="1">IFERROR(__xludf.DUMMYFUNCTION("GOOGLETRANSLATE(B800,""ja"",""vi"")"),"Lanvin")</f>
        <v>Lanvin</v>
      </c>
      <c r="E800" s="5" t="str">
        <f ca="1">IFERROR(__xludf.DUMMYFUNCTION("GOOGLETRANSLATE(C800,""ja"",""vi"")"),"Đấu giá&gt; Thời trang&gt; By Nhãn hiệu&gt; et al.&gt; Lanvin")</f>
        <v>Đấu giá&gt; Thời trang&gt; By Nhãn hiệu&gt; et al.&gt; Lanvin</v>
      </c>
      <c r="F800" t="str">
        <f t="shared" ca="1" si="12"/>
        <v>"2084260059" : "Lanvin",</v>
      </c>
    </row>
    <row r="801" spans="1:6" ht="15.75" customHeight="1">
      <c r="A801" s="18">
        <v>2084286431</v>
      </c>
      <c r="B801" s="18" t="s">
        <v>46</v>
      </c>
      <c r="C801" s="18" t="s">
        <v>12813</v>
      </c>
      <c r="D801" s="5" t="str">
        <f ca="1">IFERROR(__xludf.DUMMYFUNCTION("GOOGLETRANSLATE(B801,""ja"",""vi"")"),"nếu không thì")</f>
        <v>nếu không thì</v>
      </c>
      <c r="E801" s="5" t="str">
        <f ca="1">IFERROR(__xludf.DUMMYFUNCTION("GOOGLETRANSLATE(C801,""ja"",""vi"")"),"Đấu giá&gt; Thời trang&gt; By Nhãn hiệu&gt; et al.&gt; Khác")</f>
        <v>Đấu giá&gt; Thời trang&gt; By Nhãn hiệu&gt; et al.&gt; Khác</v>
      </c>
      <c r="F801" t="str">
        <f t="shared" ca="1" si="12"/>
        <v>"2084286431" : "nếu không thì",</v>
      </c>
    </row>
    <row r="802" spans="1:6" ht="15.75" customHeight="1">
      <c r="A802" s="18">
        <v>2084054489</v>
      </c>
      <c r="B802" s="18" t="s">
        <v>12816</v>
      </c>
      <c r="C802" s="18" t="s">
        <v>12818</v>
      </c>
      <c r="D802" s="5" t="str">
        <f ca="1">IFERROR(__xludf.DUMMYFUNCTION("GOOGLETRANSLATE(B802,""ja"",""vi"")"),"Lee")</f>
        <v>Lee</v>
      </c>
      <c r="E802" s="5" t="str">
        <f ca="1">IFERROR(__xludf.DUMMYFUNCTION("GOOGLETRANSLATE(C802,""ja"",""vi"")"),"Đấu giá&gt; Thời trang&gt; By Nhãn hiệu&gt; Ri&gt; Lee")</f>
        <v>Đấu giá&gt; Thời trang&gt; By Nhãn hiệu&gt; Ri&gt; Lee</v>
      </c>
      <c r="F802" t="str">
        <f t="shared" ca="1" si="12"/>
        <v>"2084054489" : "Lee",</v>
      </c>
    </row>
    <row r="803" spans="1:6" ht="15.75" customHeight="1">
      <c r="A803" s="18">
        <v>2084050224</v>
      </c>
      <c r="B803" s="18" t="s">
        <v>12820</v>
      </c>
      <c r="C803" s="18" t="s">
        <v>12822</v>
      </c>
      <c r="D803" s="5" t="str">
        <f ca="1">IFERROR(__xludf.DUMMYFUNCTION("GOOGLETRANSLATE(B803,""ja"",""vi"")"),"Riarumakkoizu")</f>
        <v>Riarumakkoizu</v>
      </c>
      <c r="E803" s="5" t="str">
        <f ca="1">IFERROR(__xludf.DUMMYFUNCTION("GOOGLETRANSLATE(C803,""ja"",""vi"")"),"Đấu giá&gt; Thời trang&gt; By Nhãn hiệu&gt; Ri&gt; Riarumakkoizu")</f>
        <v>Đấu giá&gt; Thời trang&gt; By Nhãn hiệu&gt; Ri&gt; Riarumakkoizu</v>
      </c>
      <c r="F803" t="str">
        <f t="shared" ca="1" si="12"/>
        <v>"2084050224" : "Riarumakkoizu",</v>
      </c>
    </row>
    <row r="804" spans="1:6" ht="15.75" customHeight="1">
      <c r="A804" s="18">
        <v>2084215782</v>
      </c>
      <c r="B804" s="18" t="s">
        <v>12826</v>
      </c>
      <c r="C804" s="18" t="s">
        <v>12828</v>
      </c>
      <c r="D804" s="5" t="str">
        <f ca="1">IFERROR(__xludf.DUMMYFUNCTION("GOOGLETRANSLATE(B804,""ja"",""vi"")"),"Rienda")</f>
        <v>Rienda</v>
      </c>
      <c r="E804" s="5" t="str">
        <f ca="1">IFERROR(__xludf.DUMMYFUNCTION("GOOGLETRANSLATE(C804,""ja"",""vi"")"),"Đấu giá&gt; Thời trang&gt; By Nhãn hiệu&gt; Ri&gt; Rienda")</f>
        <v>Đấu giá&gt; Thời trang&gt; By Nhãn hiệu&gt; Ri&gt; Rienda</v>
      </c>
      <c r="F804" t="str">
        <f t="shared" ca="1" si="12"/>
        <v>"2084215782" : "Rienda",</v>
      </c>
    </row>
    <row r="805" spans="1:6" ht="15.75" customHeight="1">
      <c r="A805" s="18">
        <v>2084061539</v>
      </c>
      <c r="B805" s="18" t="s">
        <v>12831</v>
      </c>
      <c r="C805" s="18" t="s">
        <v>12833</v>
      </c>
      <c r="D805" s="5" t="str">
        <f ca="1">IFERROR(__xludf.DUMMYFUNCTION("GOOGLETRANSLATE(B805,""ja"",""vi"")"),"hợp pháp")</f>
        <v>hợp pháp</v>
      </c>
      <c r="E805" s="5" t="str">
        <f ca="1">IFERROR(__xludf.DUMMYFUNCTION("GOOGLETRANSLATE(C805,""ja"",""vi"")"),"Đấu giá&gt; Thời trang&gt; By Nhãn hiệu&gt; Ri&gt; Pháp")</f>
        <v>Đấu giá&gt; Thời trang&gt; By Nhãn hiệu&gt; Ri&gt; Pháp</v>
      </c>
      <c r="F805" t="str">
        <f t="shared" ca="1" si="12"/>
        <v>"2084061539" : "hợp pháp",</v>
      </c>
    </row>
    <row r="806" spans="1:6" ht="15.75" customHeight="1">
      <c r="A806" s="18">
        <v>2084229164</v>
      </c>
      <c r="B806" s="18" t="s">
        <v>12835</v>
      </c>
      <c r="C806" s="18" t="s">
        <v>12837</v>
      </c>
      <c r="D806" s="5" t="str">
        <f ca="1">IFERROR(__xludf.DUMMYFUNCTION("GOOGLETRANSLATE(B806,""ja"",""vi"")"),"Rico")</f>
        <v>Rico</v>
      </c>
      <c r="E806" s="5" t="str">
        <f ca="1">IFERROR(__xludf.DUMMYFUNCTION("GOOGLETRANSLATE(C806,""ja"",""vi"")"),"Đấu giá&gt; Thời trang&gt; By Nhãn hiệu&gt; Ri&gt; Rico")</f>
        <v>Đấu giá&gt; Thời trang&gt; By Nhãn hiệu&gt; Ri&gt; Rico</v>
      </c>
      <c r="F806" t="str">
        <f t="shared" ca="1" si="12"/>
        <v>"2084229164" : "Rico",</v>
      </c>
    </row>
    <row r="807" spans="1:6" ht="15.75" customHeight="1">
      <c r="A807" s="18">
        <v>2084050338</v>
      </c>
      <c r="B807" s="18" t="s">
        <v>12841</v>
      </c>
      <c r="C807" s="18" t="s">
        <v>12843</v>
      </c>
      <c r="D807" s="5" t="str">
        <f ca="1">IFERROR(__xludf.DUMMYFUNCTION("GOOGLETRANSLATE(B807,""ja"",""vi"")"),"Rizurisa")</f>
        <v>Rizurisa</v>
      </c>
      <c r="E807" s="5" t="str">
        <f ca="1">IFERROR(__xludf.DUMMYFUNCTION("GOOGLETRANSLATE(C807,""ja"",""vi"")"),"Đấu giá&gt; Thời trang&gt; By Nhãn hiệu&gt; Ri&gt; Rizurisa")</f>
        <v>Đấu giá&gt; Thời trang&gt; By Nhãn hiệu&gt; Ri&gt; Rizurisa</v>
      </c>
      <c r="F807" t="str">
        <f t="shared" ca="1" si="12"/>
        <v>"2084050338" : "Rizurisa",</v>
      </c>
    </row>
    <row r="808" spans="1:6" ht="15.75" customHeight="1">
      <c r="A808" s="18">
        <v>2084199087</v>
      </c>
      <c r="B808" s="18" t="s">
        <v>12847</v>
      </c>
      <c r="C808" s="18" t="s">
        <v>12849</v>
      </c>
      <c r="D808" s="5" t="str">
        <f ca="1">IFERROR(__xludf.DUMMYFUNCTION("GOOGLETRANSLATE(B808,""ja"",""vi"")"),"Rick Owen quét")</f>
        <v>Rick Owen quét</v>
      </c>
      <c r="E808" s="5" t="str">
        <f ca="1">IFERROR(__xludf.DUMMYFUNCTION("GOOGLETRANSLATE(C808,""ja"",""vi"")"),"Đấu giá&gt; Thời trang&gt; By Nhãn hiệu&gt; Ri&gt; Rick Owen quét")</f>
        <v>Đấu giá&gt; Thời trang&gt; By Nhãn hiệu&gt; Ri&gt; Rick Owen quét</v>
      </c>
      <c r="F808" t="str">
        <f t="shared" ca="1" si="12"/>
        <v>"2084199087" : "Rick Owen quét",</v>
      </c>
    </row>
    <row r="809" spans="1:6" ht="15.75" customHeight="1">
      <c r="A809" s="18">
        <v>2084230031</v>
      </c>
      <c r="B809" s="18" t="s">
        <v>12853</v>
      </c>
      <c r="C809" s="18" t="s">
        <v>12854</v>
      </c>
      <c r="D809" s="5" t="str">
        <f ca="1">IFERROR(__xludf.DUMMYFUNCTION("GOOGLETRANSLATE(B809,""ja"",""vi"")"),"giàu có")</f>
        <v>giàu có</v>
      </c>
      <c r="E809" s="5" t="str">
        <f ca="1">IFERROR(__xludf.DUMMYFUNCTION("GOOGLETRANSLATE(C809,""ja"",""vi"")"),"Đấu giá&gt; Thời trang&gt; By Nhãn hiệu&gt; Ri&gt; giàu")</f>
        <v>Đấu giá&gt; Thời trang&gt; By Nhãn hiệu&gt; Ri&gt; giàu</v>
      </c>
      <c r="F809" t="str">
        <f t="shared" ca="1" si="12"/>
        <v>"2084230031" : "giàu có",</v>
      </c>
    </row>
    <row r="810" spans="1:6" ht="15.75" customHeight="1">
      <c r="A810" s="18">
        <v>2084215755</v>
      </c>
      <c r="B810" s="18" t="s">
        <v>12859</v>
      </c>
      <c r="C810" s="18" t="s">
        <v>12860</v>
      </c>
      <c r="D810" s="5" t="str">
        <f ca="1">IFERROR(__xludf.DUMMYFUNCTION("GOOGLETRANSLATE(B810,""ja"",""vi"")"),"dịch vụ môi")</f>
        <v>dịch vụ môi</v>
      </c>
      <c r="E810" s="5" t="str">
        <f ca="1">IFERROR(__xludf.DUMMYFUNCTION("GOOGLETRANSLATE(C810,""ja"",""vi"")"),"Đấu giá&gt; Thời trang&gt; By Nhãn hiệu&gt; Ri&gt; dịch vụ môi")</f>
        <v>Đấu giá&gt; Thời trang&gt; By Nhãn hiệu&gt; Ri&gt; dịch vụ môi</v>
      </c>
      <c r="F810" t="str">
        <f t="shared" ca="1" si="12"/>
        <v>"2084215755" : "dịch vụ môi",</v>
      </c>
    </row>
    <row r="811" spans="1:6" ht="15.75" customHeight="1">
      <c r="A811" s="18">
        <v>2084231300</v>
      </c>
      <c r="B811" s="18" t="s">
        <v>12862</v>
      </c>
      <c r="C811" s="18" t="s">
        <v>12865</v>
      </c>
      <c r="D811" s="5" t="str">
        <f ca="1">IFERROR(__xludf.DUMMYFUNCTION("GOOGLETRANSLATE(B811,""ja"",""vi"")"),"Môi Văn nháy mắt Lumpur")</f>
        <v>Môi Văn nháy mắt Lumpur</v>
      </c>
      <c r="E811" s="5" t="str">
        <f ca="1">IFERROR(__xludf.DUMMYFUNCTION("GOOGLETRANSLATE(C811,""ja"",""vi"")"),"Đấu giá&gt; Thời trang&gt; By Nhãn hiệu&gt; Ri&gt; môi Vân nháy mắt Lumpur")</f>
        <v>Đấu giá&gt; Thời trang&gt; By Nhãn hiệu&gt; Ri&gt; môi Vân nháy mắt Lumpur</v>
      </c>
      <c r="F811" t="str">
        <f t="shared" ca="1" si="12"/>
        <v>"2084231300" : "Môi Văn nháy mắt Lumpur",</v>
      </c>
    </row>
    <row r="812" spans="1:6" ht="15.75" customHeight="1">
      <c r="A812" s="18">
        <v>2084054386</v>
      </c>
      <c r="B812" s="18" t="s">
        <v>12866</v>
      </c>
      <c r="C812" s="18" t="s">
        <v>12869</v>
      </c>
      <c r="D812" s="5" t="str">
        <f ca="1">IFERROR(__xludf.DUMMYFUNCTION("GOOGLETRANSLATE(B812,""ja"",""vi"")"),"Levi của")</f>
        <v>Levi của</v>
      </c>
      <c r="E812" s="5" t="str">
        <f ca="1">IFERROR(__xludf.DUMMYFUNCTION("GOOGLETRANSLATE(C812,""ja"",""vi"")"),"Đấu giá&gt; Thời trang&gt; By Nhãn hiệu&gt; Ri&gt; Levi của")</f>
        <v>Đấu giá&gt; Thời trang&gt; By Nhãn hiệu&gt; Ri&gt; Levi của</v>
      </c>
      <c r="F812" t="str">
        <f t="shared" ca="1" si="12"/>
        <v>"2084054386" : "Levi của",</v>
      </c>
    </row>
    <row r="813" spans="1:6" ht="15.75" customHeight="1">
      <c r="A813" s="18">
        <v>2084283996</v>
      </c>
      <c r="B813" s="18" t="s">
        <v>12872</v>
      </c>
      <c r="C813" s="18" t="s">
        <v>12874</v>
      </c>
      <c r="D813" s="5" t="str">
        <f ca="1">IFERROR(__xludf.DUMMYFUNCTION("GOOGLETRANSLATE(B813,""ja"",""vi"")"),"suy nghĩ")</f>
        <v>suy nghĩ</v>
      </c>
      <c r="E813" s="5" t="str">
        <f ca="1">IFERROR(__xludf.DUMMYFUNCTION("GOOGLETRANSLATE(C813,""ja"",""vi"")"),"Đấu giá&gt; Thời trang&gt; By Nhãn hiệu&gt; Ri&gt; Reflect")</f>
        <v>Đấu giá&gt; Thời trang&gt; By Nhãn hiệu&gt; Ri&gt; Reflect</v>
      </c>
      <c r="F813" t="str">
        <f t="shared" ca="1" si="12"/>
        <v>"2084283996" : "suy nghĩ",</v>
      </c>
    </row>
    <row r="814" spans="1:6" ht="15.75" customHeight="1">
      <c r="A814" s="18">
        <v>2084230027</v>
      </c>
      <c r="B814" s="18" t="s">
        <v>12878</v>
      </c>
      <c r="C814" s="18" t="s">
        <v>12880</v>
      </c>
      <c r="D814" s="5" t="str">
        <f ca="1">IFERROR(__xludf.DUMMYFUNCTION("GOOGLETRANSLATE(B814,""ja"",""vi"")"),"súng lục")</f>
        <v>súng lục</v>
      </c>
      <c r="E814" s="5" t="str">
        <f ca="1">IFERROR(__xludf.DUMMYFUNCTION("GOOGLETRANSLATE(C814,""ja"",""vi"")"),"Đấu giá&gt; Thời trang&gt; By Nhãn hiệu&gt; Ri&gt; súng")</f>
        <v>Đấu giá&gt; Thời trang&gt; By Nhãn hiệu&gt; Ri&gt; súng</v>
      </c>
      <c r="F814" t="str">
        <f t="shared" ca="1" si="12"/>
        <v>"2084230027" : "súng lục",</v>
      </c>
    </row>
    <row r="815" spans="1:6" ht="15.75" customHeight="1">
      <c r="A815" s="18">
        <v>2084243362</v>
      </c>
      <c r="B815" s="18" t="s">
        <v>12883</v>
      </c>
      <c r="C815" s="18" t="s">
        <v>12885</v>
      </c>
      <c r="D815" s="5" t="str">
        <f ca="1">IFERROR(__xludf.DUMMYFUNCTION("GOOGLETRANSLATE(B815,""ja"",""vi"")"),"hạn chế Whew")</f>
        <v>hạn chế Whew</v>
      </c>
      <c r="E815" s="5" t="str">
        <f ca="1">IFERROR(__xludf.DUMMYFUNCTION("GOOGLETRANSLATE(C815,""ja"",""vi"")"),"Đấu giá&gt; Thời trang&gt; By Nhãn hiệu&gt; Ri&gt; TNHH Whew")</f>
        <v>Đấu giá&gt; Thời trang&gt; By Nhãn hiệu&gt; Ri&gt; TNHH Whew</v>
      </c>
      <c r="F815" t="str">
        <f t="shared" ca="1" si="12"/>
        <v>"2084243362" : "hạn chế Whew",</v>
      </c>
    </row>
    <row r="816" spans="1:6" ht="15.75" customHeight="1">
      <c r="A816" s="18">
        <v>2084062336</v>
      </c>
      <c r="B816" s="18" t="s">
        <v>12145</v>
      </c>
      <c r="C816" s="18" t="s">
        <v>12890</v>
      </c>
      <c r="D816" s="5" t="str">
        <f ca="1">IFERROR(__xludf.DUMMYFUNCTION("GOOGLETRANSLATE(B816,""ja"",""vi"")"),"Rimowa")</f>
        <v>Rimowa</v>
      </c>
      <c r="E816" s="5" t="str">
        <f ca="1">IFERROR(__xludf.DUMMYFUNCTION("GOOGLETRANSLATE(C816,""ja"",""vi"")"),"Đấu giá&gt; Thời trang&gt; By Nhãn hiệu&gt; Ri&gt; Rimowa")</f>
        <v>Đấu giá&gt; Thời trang&gt; By Nhãn hiệu&gt; Ri&gt; Rimowa</v>
      </c>
      <c r="F816" t="str">
        <f t="shared" ca="1" si="12"/>
        <v>"2084062336" : "Rimowa",</v>
      </c>
    </row>
    <row r="817" spans="1:6" ht="15.75" customHeight="1">
      <c r="A817" s="18">
        <v>2084286446</v>
      </c>
      <c r="B817" s="18" t="s">
        <v>46</v>
      </c>
      <c r="C817" s="18" t="s">
        <v>12894</v>
      </c>
      <c r="D817" s="5" t="str">
        <f ca="1">IFERROR(__xludf.DUMMYFUNCTION("GOOGLETRANSLATE(B817,""ja"",""vi"")"),"nếu không thì")</f>
        <v>nếu không thì</v>
      </c>
      <c r="E817" s="5" t="str">
        <f ca="1">IFERROR(__xludf.DUMMYFUNCTION("GOOGLETRANSLATE(C817,""ja"",""vi"")"),"Đấu giá&gt; Thời trang&gt; By Nhãn hiệu&gt; Ri&gt; Khác")</f>
        <v>Đấu giá&gt; Thời trang&gt; By Nhãn hiệu&gt; Ri&gt; Khác</v>
      </c>
      <c r="F817" t="str">
        <f t="shared" ca="1" si="12"/>
        <v>"2084286446" : "nếu không thì",</v>
      </c>
    </row>
    <row r="818" spans="1:6" ht="15.75" customHeight="1">
      <c r="A818" s="18">
        <v>2084048638</v>
      </c>
      <c r="B818" s="18" t="s">
        <v>12897</v>
      </c>
      <c r="C818" s="18" t="s">
        <v>12900</v>
      </c>
      <c r="D818" s="5" t="str">
        <f ca="1">IFERROR(__xludf.DUMMYFUNCTION("GOOGLETRANSLATE(B818,""ja"",""vi"")"),"Louis Vuitton")</f>
        <v>Louis Vuitton</v>
      </c>
      <c r="E818" s="5" t="str">
        <f ca="1">IFERROR(__xludf.DUMMYFUNCTION("GOOGLETRANSLATE(C818,""ja"",""vi"")"),"Đấu giá&gt; Thời trang&gt; By Nhãn hiệu&gt; Ru&gt; Louis Vuitton")</f>
        <v>Đấu giá&gt; Thời trang&gt; By Nhãn hiệu&gt; Ru&gt; Louis Vuitton</v>
      </c>
      <c r="F818" t="str">
        <f t="shared" ca="1" si="12"/>
        <v>"2084048638" : "Louis Vuitton",</v>
      </c>
    </row>
    <row r="819" spans="1:6" ht="15.75" customHeight="1">
      <c r="A819" s="18">
        <v>2084243669</v>
      </c>
      <c r="B819" s="18" t="s">
        <v>12903</v>
      </c>
      <c r="C819" s="18" t="s">
        <v>12904</v>
      </c>
      <c r="D819" s="5" t="str">
        <f ca="1">IFERROR(__xludf.DUMMYFUNCTION("GOOGLETRANSLATE(B819,""ja"",""vi"")"),"Luigi Borelli")</f>
        <v>Luigi Borelli</v>
      </c>
      <c r="E819" s="5" t="str">
        <f ca="1">IFERROR(__xludf.DUMMYFUNCTION("GOOGLETRANSLATE(C819,""ja"",""vi"")"),"Đấu giá&gt; Thời trang&gt; By Nhãn hiệu&gt; Ru&gt; Luigi Borelli")</f>
        <v>Đấu giá&gt; Thời trang&gt; By Nhãn hiệu&gt; Ru&gt; Luigi Borelli</v>
      </c>
      <c r="F819" t="str">
        <f t="shared" ca="1" si="12"/>
        <v>"2084243669" : "Luigi Borelli",</v>
      </c>
    </row>
    <row r="820" spans="1:6" ht="15.75" customHeight="1">
      <c r="A820" s="18">
        <v>2084244418</v>
      </c>
      <c r="B820" s="18" t="s">
        <v>12908</v>
      </c>
      <c r="C820" s="18" t="s">
        <v>12909</v>
      </c>
      <c r="D820" s="5" t="str">
        <f ca="1">IFERROR(__xludf.DUMMYFUNCTION("GOOGLETRANSLATE(B820,""ja"",""vi"")"),"Lewis Leathers")</f>
        <v>Lewis Leathers</v>
      </c>
      <c r="E820" s="5" t="str">
        <f ca="1">IFERROR(__xludf.DUMMYFUNCTION("GOOGLETRANSLATE(C820,""ja"",""vi"")"),"Đấu giá&gt; Thời trang&gt; By Nhãn hiệu&gt; Ru&gt; Lewis Da")</f>
        <v>Đấu giá&gt; Thời trang&gt; By Nhãn hiệu&gt; Ru&gt; Lewis Da</v>
      </c>
      <c r="F820" t="str">
        <f t="shared" ca="1" si="12"/>
        <v>"2084244418" : "Lewis Leathers",</v>
      </c>
    </row>
    <row r="821" spans="1:6" ht="15.75" customHeight="1">
      <c r="A821" s="18">
        <v>2084230032</v>
      </c>
      <c r="B821" s="18" t="s">
        <v>12914</v>
      </c>
      <c r="C821" s="18" t="s">
        <v>12915</v>
      </c>
      <c r="D821" s="5" t="str">
        <f ca="1">IFERROR(__xludf.DUMMYFUNCTION("GOOGLETRANSLATE(B821,""ja"",""vi"")"),"Legrand xanh")</f>
        <v>Legrand xanh</v>
      </c>
      <c r="E821" s="5" t="str">
        <f ca="1">IFERROR(__xludf.DUMMYFUNCTION("GOOGLETRANSLATE(C821,""ja"",""vi"")"),"Đấu giá&gt; Thời trang&gt; By Nhãn hiệu&gt; Ru&gt; Legrand Xanh")</f>
        <v>Đấu giá&gt; Thời trang&gt; By Nhãn hiệu&gt; Ru&gt; Legrand Xanh</v>
      </c>
      <c r="F821" t="str">
        <f t="shared" ca="1" si="12"/>
        <v>"2084230032" : "Legrand xanh",</v>
      </c>
    </row>
    <row r="822" spans="1:6" ht="15.75" customHeight="1">
      <c r="A822" s="18">
        <v>2084200730</v>
      </c>
      <c r="B822" s="18" t="s">
        <v>12920</v>
      </c>
      <c r="C822" s="18" t="s">
        <v>12921</v>
      </c>
      <c r="D822" s="5" t="str">
        <f ca="1">IFERROR(__xludf.DUMMYFUNCTION("GOOGLETRANSLATE(B822,""ja"",""vi"")"),"Lucian Perafine")</f>
        <v>Lucian Perafine</v>
      </c>
      <c r="E822" s="5" t="str">
        <f ca="1">IFERROR(__xludf.DUMMYFUNCTION("GOOGLETRANSLATE(C822,""ja"",""vi"")"),"Đấu giá&gt; Thời trang&gt; By Nhãn hiệu&gt; Ru&gt; Lucian Perafine")</f>
        <v>Đấu giá&gt; Thời trang&gt; By Nhãn hiệu&gt; Ru&gt; Lucian Perafine</v>
      </c>
      <c r="F822" t="str">
        <f t="shared" ca="1" si="12"/>
        <v>"2084200730" : "Lucian Perafine",</v>
      </c>
    </row>
    <row r="823" spans="1:6" ht="15.75" customHeight="1">
      <c r="A823" s="18">
        <v>2084298414</v>
      </c>
      <c r="B823" s="18" t="s">
        <v>12923</v>
      </c>
      <c r="C823" s="18" t="s">
        <v>12924</v>
      </c>
      <c r="D823" s="5" t="str">
        <f ca="1">IFERROR(__xludf.DUMMYFUNCTION("GOOGLETRANSLATE(B823,""ja"",""vi"")"),"Rusheru xanh")</f>
        <v>Rusheru xanh</v>
      </c>
      <c r="E823" s="5" t="str">
        <f ca="1">IFERROR(__xludf.DUMMYFUNCTION("GOOGLETRANSLATE(C823,""ja"",""vi"")"),"Đấu giá&gt; Thời trang&gt; By Nhãn hiệu&gt; Ru&gt; Rusheru Xanh")</f>
        <v>Đấu giá&gt; Thời trang&gt; By Nhãn hiệu&gt; Ru&gt; Rusheru Xanh</v>
      </c>
      <c r="F823" t="str">
        <f t="shared" ca="1" si="12"/>
        <v>"2084298414" : "Rusheru xanh",</v>
      </c>
    </row>
    <row r="824" spans="1:6" ht="15.75" customHeight="1">
      <c r="A824" s="18">
        <v>2084207943</v>
      </c>
      <c r="B824" s="18" t="s">
        <v>12927</v>
      </c>
      <c r="C824" s="18" t="s">
        <v>12928</v>
      </c>
      <c r="D824" s="5" t="str">
        <f ca="1">IFERROR(__xludf.DUMMYFUNCTION("GOOGLETRANSLATE(B824,""ja"",""vi"")"),"Rusuku")</f>
        <v>Rusuku</v>
      </c>
      <c r="E824" s="5" t="str">
        <f ca="1">IFERROR(__xludf.DUMMYFUNCTION("GOOGLETRANSLATE(C824,""ja"",""vi"")"),"Đấu giá&gt; Thời trang&gt; By Nhãn hiệu&gt; Ru&gt; Rusuku")</f>
        <v>Đấu giá&gt; Thời trang&gt; By Nhãn hiệu&gt; Ru&gt; Rusuku</v>
      </c>
      <c r="F824" t="str">
        <f t="shared" ca="1" si="12"/>
        <v>"2084207943" : "Rusuku",</v>
      </c>
    </row>
    <row r="825" spans="1:6" ht="15.75" customHeight="1">
      <c r="A825" s="18">
        <v>2084301215</v>
      </c>
      <c r="B825" s="18" t="s">
        <v>12931</v>
      </c>
      <c r="C825" s="18" t="s">
        <v>12932</v>
      </c>
      <c r="D825" s="5" t="str">
        <f ca="1">IFERROR(__xludf.DUMMYFUNCTION("GOOGLETRANSLATE(B825,""ja"",""vi"")"),"Rude Gallery")</f>
        <v>Rude Gallery</v>
      </c>
      <c r="E825" s="5" t="str">
        <f ca="1">IFERROR(__xludf.DUMMYFUNCTION("GOOGLETRANSLATE(C825,""ja"",""vi"")"),"Đấu giá&gt; Thời trang&gt; By Nhãn hiệu&gt; Ru&gt; Lourdes Gallery")</f>
        <v>Đấu giá&gt; Thời trang&gt; By Nhãn hiệu&gt; Ru&gt; Lourdes Gallery</v>
      </c>
      <c r="F825" t="str">
        <f t="shared" ca="1" si="12"/>
        <v>"2084301215" : "Rude Gallery",</v>
      </c>
    </row>
    <row r="826" spans="1:6" ht="15.75" customHeight="1">
      <c r="A826" s="18">
        <v>2084284002</v>
      </c>
      <c r="B826" s="18" t="s">
        <v>12935</v>
      </c>
      <c r="C826" s="18" t="s">
        <v>12936</v>
      </c>
      <c r="D826" s="5" t="str">
        <f ca="1">IFERROR(__xludf.DUMMYFUNCTION("GOOGLETRANSLATE(B826,""ja"",""vi"")"),"Runyi")</f>
        <v>Runyi</v>
      </c>
      <c r="E826" s="5" t="str">
        <f ca="1">IFERROR(__xludf.DUMMYFUNCTION("GOOGLETRANSLATE(C826,""ja"",""vi"")"),"Đấu giá&gt; Thời trang&gt; By Nhãn hiệu&gt; Ru&gt; Runyi")</f>
        <v>Đấu giá&gt; Thời trang&gt; By Nhãn hiệu&gt; Ru&gt; Runyi</v>
      </c>
      <c r="F826" t="str">
        <f t="shared" ca="1" si="12"/>
        <v>"2084284002" : "Runyi",</v>
      </c>
    </row>
    <row r="827" spans="1:6" ht="15.75" customHeight="1">
      <c r="A827" s="18">
        <v>2084298415</v>
      </c>
      <c r="B827" s="18" t="s">
        <v>12939</v>
      </c>
      <c r="C827" s="18" t="s">
        <v>12940</v>
      </c>
      <c r="D827" s="5" t="str">
        <f ca="1">IFERROR(__xludf.DUMMYFUNCTION("GOOGLETRANSLATE(B827,""ja"",""vi"")"),"Rene")</f>
        <v>Rene</v>
      </c>
      <c r="E827" s="5" t="str">
        <f ca="1">IFERROR(__xludf.DUMMYFUNCTION("GOOGLETRANSLATE(C827,""ja"",""vi"")"),"Đấu giá&gt; Thời trang&gt; By Nhãn hiệu&gt; Ru&gt; Rene")</f>
        <v>Đấu giá&gt; Thời trang&gt; By Nhãn hiệu&gt; Ru&gt; Rene</v>
      </c>
      <c r="F827" t="str">
        <f t="shared" ca="1" si="12"/>
        <v>"2084298415" : "Rene",</v>
      </c>
    </row>
    <row r="828" spans="1:6" ht="15.75" customHeight="1">
      <c r="A828" s="18">
        <v>2084207142</v>
      </c>
      <c r="B828" s="18" t="s">
        <v>12942</v>
      </c>
      <c r="C828" s="18" t="s">
        <v>12943</v>
      </c>
      <c r="D828" s="5" t="str">
        <f ca="1">IFERROR(__xludf.DUMMYFUNCTION("GOOGLETRANSLATE(B828,""ja"",""vi"")"),"Rupert")</f>
        <v>Rupert</v>
      </c>
      <c r="E828" s="5" t="str">
        <f ca="1">IFERROR(__xludf.DUMMYFUNCTION("GOOGLETRANSLATE(C828,""ja"",""vi"")"),"Đấu giá&gt; Thời trang&gt; By Nhãn hiệu&gt; Ru&gt; Rupert")</f>
        <v>Đấu giá&gt; Thời trang&gt; By Nhãn hiệu&gt; Ru&gt; Rupert</v>
      </c>
      <c r="F828" t="str">
        <f t="shared" ca="1" si="12"/>
        <v>"2084207142" : "Rupert",</v>
      </c>
    </row>
    <row r="829" spans="1:6" ht="15.75" customHeight="1">
      <c r="A829" s="18">
        <v>2084062165</v>
      </c>
      <c r="B829" s="18" t="s">
        <v>12946</v>
      </c>
      <c r="C829" s="18" t="s">
        <v>12947</v>
      </c>
      <c r="D829" s="5" t="str">
        <f ca="1">IFERROR(__xludf.DUMMYFUNCTION("GOOGLETRANSLATE(B829,""ja"",""vi"")"),"Louboutin")</f>
        <v>Louboutin</v>
      </c>
      <c r="E829" s="5" t="str">
        <f ca="1">IFERROR(__xludf.DUMMYFUNCTION("GOOGLETRANSLATE(C829,""ja"",""vi"")"),"Đấu giá&gt; Thời trang&gt; By Nhãn hiệu&gt; Ru&gt; Louboutin")</f>
        <v>Đấu giá&gt; Thời trang&gt; By Nhãn hiệu&gt; Ru&gt; Louboutin</v>
      </c>
      <c r="F829" t="str">
        <f t="shared" ca="1" si="12"/>
        <v>"2084062165" : "Louboutin",</v>
      </c>
    </row>
    <row r="830" spans="1:6" ht="15.75" customHeight="1">
      <c r="A830" s="18">
        <v>2084050339</v>
      </c>
      <c r="B830" s="18" t="s">
        <v>12950</v>
      </c>
      <c r="C830" s="18" t="s">
        <v>12951</v>
      </c>
      <c r="D830" s="5" t="str">
        <f ca="1">IFERROR(__xludf.DUMMYFUNCTION("GOOGLETRANSLATE(B830,""ja"",""vi"")"),"Ruminoa")</f>
        <v>Ruminoa</v>
      </c>
      <c r="E830" s="5" t="str">
        <f ca="1">IFERROR(__xludf.DUMMYFUNCTION("GOOGLETRANSLATE(C830,""ja"",""vi"")"),"Đấu giá&gt; Thời trang&gt; By Nhãn hiệu&gt; Ru&gt; Ruminoa")</f>
        <v>Đấu giá&gt; Thời trang&gt; By Nhãn hiệu&gt; Ru&gt; Ruminoa</v>
      </c>
      <c r="F830" t="str">
        <f t="shared" ca="1" si="12"/>
        <v>"2084050339" : "Ruminoa",</v>
      </c>
    </row>
    <row r="831" spans="1:6" ht="15.75" customHeight="1">
      <c r="A831" s="18">
        <v>2084260062</v>
      </c>
      <c r="B831" s="18" t="s">
        <v>12953</v>
      </c>
      <c r="C831" s="18" t="s">
        <v>12954</v>
      </c>
      <c r="D831" s="5" t="str">
        <f ca="1">IFERROR(__xludf.DUMMYFUNCTION("GOOGLETRANSLATE(B831,""ja"",""vi"")"),"Rouge von Se")</f>
        <v>Rouge von Se</v>
      </c>
      <c r="E831" s="5" t="str">
        <f ca="1">IFERROR(__xludf.DUMMYFUNCTION("GOOGLETRANSLATE(C831,""ja"",""vi"")"),"Đấu giá&gt; Thời trang&gt; By Nhãn hiệu&gt; Ru&gt; Rouge von di động")</f>
        <v>Đấu giá&gt; Thời trang&gt; By Nhãn hiệu&gt; Ru&gt; Rouge von di động</v>
      </c>
      <c r="F831" t="str">
        <f t="shared" ca="1" si="12"/>
        <v>"2084260062" : "Rouge von Se",</v>
      </c>
    </row>
    <row r="832" spans="1:6" ht="15.75" customHeight="1">
      <c r="A832" s="18">
        <v>2084284001</v>
      </c>
      <c r="B832" s="18" t="s">
        <v>12956</v>
      </c>
      <c r="C832" s="18" t="s">
        <v>12958</v>
      </c>
      <c r="D832" s="5" t="str">
        <f ca="1">IFERROR(__xludf.DUMMYFUNCTION("GOOGLETRANSLATE(B832,""ja"",""vi"")"),"Rouge Vifu")</f>
        <v>Rouge Vifu</v>
      </c>
      <c r="E832" s="5" t="str">
        <f ca="1">IFERROR(__xludf.DUMMYFUNCTION("GOOGLETRANSLATE(C832,""ja"",""vi"")"),"Đấu giá&gt; Thời trang&gt; By Nhãn hiệu&gt; Ru&gt; Rouge Vifu")</f>
        <v>Đấu giá&gt; Thời trang&gt; By Nhãn hiệu&gt; Ru&gt; Rouge Vifu</v>
      </c>
      <c r="F832" t="str">
        <f t="shared" ca="1" si="12"/>
        <v>"2084284001" : "Rouge Vifu",</v>
      </c>
    </row>
    <row r="833" spans="1:6" ht="15.75" customHeight="1">
      <c r="A833" s="18">
        <v>2084283995</v>
      </c>
      <c r="B833" s="18" t="s">
        <v>12960</v>
      </c>
      <c r="C833" s="18" t="s">
        <v>12961</v>
      </c>
      <c r="D833" s="5" t="str">
        <f ca="1">IFERROR(__xludf.DUMMYFUNCTION("GOOGLETRANSLATE(B833,""ja"",""vi"")"),"Quy tắc số 925")</f>
        <v>Quy tắc số 925</v>
      </c>
      <c r="E833" s="5" t="str">
        <f ca="1">IFERROR(__xludf.DUMMYFUNCTION("GOOGLETRANSLATE(C833,""ja"",""vi"")"),"Đấu giá&gt; Thời trang&gt; By Nhãn hiệu&gt; Ru&gt; số quy tắc 925")</f>
        <v>Đấu giá&gt; Thời trang&gt; By Nhãn hiệu&gt; Ru&gt; số quy tắc 925</v>
      </c>
      <c r="F833" t="str">
        <f t="shared" ca="1" si="12"/>
        <v>"2084283995" : "Quy tắc số 925",</v>
      </c>
    </row>
    <row r="834" spans="1:6" ht="15.75" customHeight="1">
      <c r="A834" s="18">
        <v>2084050340</v>
      </c>
      <c r="B834" s="18" t="s">
        <v>12965</v>
      </c>
      <c r="C834" s="18" t="s">
        <v>12966</v>
      </c>
      <c r="D834" s="5" t="str">
        <f ca="1">IFERROR(__xludf.DUMMYFUNCTION("GOOGLETRANSLATE(B834,""ja"",""vi"")"),"Lulu Guinness")</f>
        <v>Lulu Guinness</v>
      </c>
      <c r="E834" s="5" t="str">
        <f ca="1">IFERROR(__xludf.DUMMYFUNCTION("GOOGLETRANSLATE(C834,""ja"",""vi"")"),"Đấu giá&gt; Thời trang&gt; By Nhãn hiệu&gt; Ru&gt; Lulu Guinness")</f>
        <v>Đấu giá&gt; Thời trang&gt; By Nhãn hiệu&gt; Ru&gt; Lulu Guinness</v>
      </c>
      <c r="F834" t="str">
        <f t="shared" ref="F834:F897" ca="1" si="13">CONCATENATE(CHAR(34)&amp;"",A834,""&amp;CHAR(34)," : ", CHAR(34)&amp;"",D834,""&amp;CHAR(34),",")</f>
        <v>"2084050340" : "Lulu Guinness",</v>
      </c>
    </row>
    <row r="835" spans="1:6" ht="15.75" customHeight="1">
      <c r="A835" s="18">
        <v>2084286461</v>
      </c>
      <c r="B835" s="18" t="s">
        <v>46</v>
      </c>
      <c r="C835" s="18" t="s">
        <v>12969</v>
      </c>
      <c r="D835" s="5" t="str">
        <f ca="1">IFERROR(__xludf.DUMMYFUNCTION("GOOGLETRANSLATE(B835,""ja"",""vi"")"),"nếu không thì")</f>
        <v>nếu không thì</v>
      </c>
      <c r="E835" s="5" t="str">
        <f ca="1">IFERROR(__xludf.DUMMYFUNCTION("GOOGLETRANSLATE(C835,""ja"",""vi"")"),"Đấu giá&gt; Thời trang&gt; By Nhãn hiệu&gt; Ru&gt; Khác")</f>
        <v>Đấu giá&gt; Thời trang&gt; By Nhãn hiệu&gt; Ru&gt; Khác</v>
      </c>
      <c r="F835" t="str">
        <f t="shared" ca="1" si="13"/>
        <v>"2084286461" : "nếu không thì",</v>
      </c>
    </row>
    <row r="836" spans="1:6" ht="15.75" customHeight="1">
      <c r="A836" s="18">
        <v>2084301237</v>
      </c>
      <c r="B836" s="18" t="s">
        <v>12971</v>
      </c>
      <c r="C836" s="18" t="s">
        <v>12972</v>
      </c>
      <c r="D836" s="5" t="str">
        <f ca="1">IFERROR(__xludf.DUMMYFUNCTION("GOOGLETRANSLATE(B836,""ja"",""vi"")"),"Rage xanh")</f>
        <v>Rage xanh</v>
      </c>
      <c r="E836" s="5" t="str">
        <f ca="1">IFERROR(__xludf.DUMMYFUNCTION("GOOGLETRANSLATE(C836,""ja"",""vi"")"),"Đấu giá&gt; Thời trang&gt; By Nhãn hiệu&gt; Re&gt; Rage Xanh")</f>
        <v>Đấu giá&gt; Thời trang&gt; By Nhãn hiệu&gt; Re&gt; Rage Xanh</v>
      </c>
      <c r="F836" t="str">
        <f t="shared" ca="1" si="13"/>
        <v>"2084301237" : "Rage xanh",</v>
      </c>
    </row>
    <row r="837" spans="1:6" ht="15.75" customHeight="1">
      <c r="A837" s="18">
        <v>2084036157</v>
      </c>
      <c r="B837" s="18" t="s">
        <v>11799</v>
      </c>
      <c r="C837" s="18" t="s">
        <v>12976</v>
      </c>
      <c r="D837" s="5" t="str">
        <f ca="1">IFERROR(__xludf.DUMMYFUNCTION("GOOGLETRANSLATE(B837,""ja"",""vi"")"),"Ray-Ban")</f>
        <v>Ray-Ban</v>
      </c>
      <c r="E837" s="5" t="str">
        <f ca="1">IFERROR(__xludf.DUMMYFUNCTION("GOOGLETRANSLATE(C837,""ja"",""vi"")"),"Đấu giá&gt; Thời trang&gt; By Nhãn hiệu&gt; Re&gt; Ray-Ban")</f>
        <v>Đấu giá&gt; Thời trang&gt; By Nhãn hiệu&gt; Re&gt; Ray-Ban</v>
      </c>
      <c r="F837" t="str">
        <f t="shared" ca="1" si="13"/>
        <v>"2084036157" : "Ray-Ban",</v>
      </c>
    </row>
    <row r="838" spans="1:6" ht="15.75" customHeight="1">
      <c r="A838" s="18">
        <v>2084050342</v>
      </c>
      <c r="B838" s="18" t="s">
        <v>12979</v>
      </c>
      <c r="C838" s="18" t="s">
        <v>12981</v>
      </c>
      <c r="D838" s="5" t="str">
        <f ca="1">IFERROR(__xludf.DUMMYFUNCTION("GOOGLETRANSLATE(B838,""ja"",""vi"")"),"mưa Spooner")</f>
        <v>mưa Spooner</v>
      </c>
      <c r="E838" s="5" t="str">
        <f ca="1">IFERROR(__xludf.DUMMYFUNCTION("GOOGLETRANSLATE(C838,""ja"",""vi"")"),"Đấu giá&gt; Thời trang&gt; By Nhãn hiệu&gt; Re&gt; Spooner mưa")</f>
        <v>Đấu giá&gt; Thời trang&gt; By Nhãn hiệu&gt; Re&gt; Spooner mưa</v>
      </c>
      <c r="F838" t="str">
        <f t="shared" ca="1" si="13"/>
        <v>"2084050342" : "mưa Spooner",</v>
      </c>
    </row>
    <row r="839" spans="1:6" ht="15.75" customHeight="1">
      <c r="A839" s="18">
        <v>2084284976</v>
      </c>
      <c r="B839" s="18" t="s">
        <v>12983</v>
      </c>
      <c r="C839" s="18" t="s">
        <v>12985</v>
      </c>
      <c r="D839" s="5" t="str">
        <f ca="1">IFERROR(__xludf.DUMMYFUNCTION("GOOGLETRANSLATE(B839,""ja"",""vi"")"),"Leonard")</f>
        <v>Leonard</v>
      </c>
      <c r="E839" s="5" t="str">
        <f ca="1">IFERROR(__xludf.DUMMYFUNCTION("GOOGLETRANSLATE(C839,""ja"",""vi"")"),"Đấu giá&gt; Thời trang&gt; By Nhãn hiệu&gt; Re&gt; Leonard")</f>
        <v>Đấu giá&gt; Thời trang&gt; By Nhãn hiệu&gt; Re&gt; Leonard</v>
      </c>
      <c r="F839" t="str">
        <f t="shared" ca="1" si="13"/>
        <v>"2084284976" : "Leonard",</v>
      </c>
    </row>
    <row r="840" spans="1:6" ht="15.75" customHeight="1">
      <c r="A840" s="18">
        <v>2084050343</v>
      </c>
      <c r="B840" s="18" t="s">
        <v>12990</v>
      </c>
      <c r="C840" s="18" t="s">
        <v>12991</v>
      </c>
      <c r="D840" s="5" t="str">
        <f ca="1">IFERROR(__xludf.DUMMYFUNCTION("GOOGLETRANSLATE(B840,""ja"",""vi"")"),"nghỉ ngơi Rose")</f>
        <v>nghỉ ngơi Rose</v>
      </c>
      <c r="E840" s="5" t="str">
        <f ca="1">IFERROR(__xludf.DUMMYFUNCTION("GOOGLETRANSLATE(C840,""ja"",""vi"")"),"Đấu giá&gt; Thời trang&gt; By Nhãn hiệu&gt; Re&gt; Nghỉ ngơi Rose")</f>
        <v>Đấu giá&gt; Thời trang&gt; By Nhãn hiệu&gt; Re&gt; Nghỉ ngơi Rose</v>
      </c>
      <c r="F840" t="str">
        <f t="shared" ca="1" si="13"/>
        <v>"2084050343" : "nghỉ ngơi Rose",</v>
      </c>
    </row>
    <row r="841" spans="1:6" ht="15.75" customHeight="1">
      <c r="A841" s="18">
        <v>2084048640</v>
      </c>
      <c r="B841" s="18" t="s">
        <v>12993</v>
      </c>
      <c r="C841" s="18" t="s">
        <v>12995</v>
      </c>
      <c r="D841" s="5" t="str">
        <f ca="1">IFERROR(__xludf.DUMMYFUNCTION("GOOGLETRANSLATE(B841,""ja"",""vi"")"),"LeSportsac")</f>
        <v>LeSportsac</v>
      </c>
      <c r="E841" s="5" t="str">
        <f ca="1">IFERROR(__xludf.DUMMYFUNCTION("GOOGLETRANSLATE(C841,""ja"",""vi"")"),"Đấu giá&gt; Thời trang&gt; By Nhãn hiệu&gt; Re&gt; LeSportsac")</f>
        <v>Đấu giá&gt; Thời trang&gt; By Nhãn hiệu&gt; Re&gt; LeSportsac</v>
      </c>
      <c r="F841" t="str">
        <f t="shared" ca="1" si="13"/>
        <v>"2084048640" : "LeSportsac",</v>
      </c>
    </row>
    <row r="842" spans="1:6" ht="15.75" customHeight="1">
      <c r="A842" s="18">
        <v>2084050344</v>
      </c>
      <c r="B842" s="18" t="s">
        <v>12997</v>
      </c>
      <c r="C842" s="18" t="s">
        <v>12998</v>
      </c>
      <c r="D842" s="5" t="str">
        <f ca="1">IFERROR(__xludf.DUMMYFUNCTION("GOOGLETRANSLATE(B842,""ja"",""vi"")"),"Ressepasse")</f>
        <v>Ressepasse</v>
      </c>
      <c r="E842" s="5" t="str">
        <f ca="1">IFERROR(__xludf.DUMMYFUNCTION("GOOGLETRANSLATE(C842,""ja"",""vi"")"),"Đấu giá&gt; Thời trang&gt; By Nhãn hiệu&gt; Re&gt; Ressepasse")</f>
        <v>Đấu giá&gt; Thời trang&gt; By Nhãn hiệu&gt; Re&gt; Ressepasse</v>
      </c>
      <c r="F842" t="str">
        <f t="shared" ca="1" si="13"/>
        <v>"2084050344" : "Ressepasse",</v>
      </c>
    </row>
    <row r="843" spans="1:6" ht="15.75" customHeight="1">
      <c r="A843" s="18">
        <v>2084007816</v>
      </c>
      <c r="B843" s="18" t="s">
        <v>13002</v>
      </c>
      <c r="C843" s="18" t="s">
        <v>13004</v>
      </c>
      <c r="D843" s="5" t="str">
        <f ca="1">IFERROR(__xludf.DUMMYFUNCTION("GOOGLETRANSLATE(B843,""ja"",""vi"")"),"Red Wing")</f>
        <v>Red Wing</v>
      </c>
      <c r="E843" s="5" t="str">
        <f ca="1">IFERROR(__xludf.DUMMYFUNCTION("GOOGLETRANSLATE(C843,""ja"",""vi"")"),"Đấu giá&gt; Thời trang&gt; By Nhãn hiệu&gt; Re&gt; Red Wing")</f>
        <v>Đấu giá&gt; Thời trang&gt; By Nhãn hiệu&gt; Re&gt; Red Wing</v>
      </c>
      <c r="F843" t="str">
        <f t="shared" ca="1" si="13"/>
        <v>"2084007816" : "Red Wing",</v>
      </c>
    </row>
    <row r="844" spans="1:6" ht="15.75" customHeight="1">
      <c r="A844" s="18">
        <v>2084255835</v>
      </c>
      <c r="B844" s="18" t="s">
        <v>13006</v>
      </c>
      <c r="C844" s="18" t="s">
        <v>13007</v>
      </c>
      <c r="D844" s="5" t="str">
        <f ca="1">IFERROR(__xludf.DUMMYFUNCTION("GOOGLETRANSLATE(B844,""ja"",""vi"")"),"ớt đỏ")</f>
        <v>ớt đỏ</v>
      </c>
      <c r="E844" s="5" t="str">
        <f ca="1">IFERROR(__xludf.DUMMYFUNCTION("GOOGLETRANSLATE(C844,""ja"",""vi"")"),"Đấu giá&gt; Thời trang&gt; By Nhãn hiệu&gt; Re&gt; ớt đỏ")</f>
        <v>Đấu giá&gt; Thời trang&gt; By Nhãn hiệu&gt; Re&gt; ớt đỏ</v>
      </c>
      <c r="F844" t="str">
        <f t="shared" ca="1" si="13"/>
        <v>"2084255835" : "ớt đỏ",</v>
      </c>
    </row>
    <row r="845" spans="1:6" ht="15.75" customHeight="1">
      <c r="A845" s="18">
        <v>2084226815</v>
      </c>
      <c r="B845" s="18" t="s">
        <v>13011</v>
      </c>
      <c r="C845" s="18" t="s">
        <v>13012</v>
      </c>
      <c r="D845" s="5" t="str">
        <f ca="1">IFERROR(__xludf.DUMMYFUNCTION("GOOGLETRANSLATE(B845,""ja"",""vi"")"),"Red Moon")</f>
        <v>Red Moon</v>
      </c>
      <c r="E845" s="5" t="str">
        <f ca="1">IFERROR(__xludf.DUMMYFUNCTION("GOOGLETRANSLATE(C845,""ja"",""vi"")"),"Đấu giá&gt; Thời trang&gt; By Nhãn hiệu&gt; Re&gt; Red Moon")</f>
        <v>Đấu giá&gt; Thời trang&gt; By Nhãn hiệu&gt; Re&gt; Red Moon</v>
      </c>
      <c r="F845" t="str">
        <f t="shared" ca="1" si="13"/>
        <v>"2084226815" : "Red Moon",</v>
      </c>
    </row>
    <row r="846" spans="1:6" ht="15.75" customHeight="1">
      <c r="A846" s="18">
        <v>2084062169</v>
      </c>
      <c r="B846" s="18" t="s">
        <v>13014</v>
      </c>
      <c r="C846" s="18" t="s">
        <v>13016</v>
      </c>
      <c r="D846" s="5" t="str">
        <f ca="1">IFERROR(__xludf.DUMMYFUNCTION("GOOGLETRANSLATE(B846,""ja"",""vi"")"),"Rene Kaovira")</f>
        <v>Rene Kaovira</v>
      </c>
      <c r="E846" s="5" t="str">
        <f ca="1">IFERROR(__xludf.DUMMYFUNCTION("GOOGLETRANSLATE(C846,""ja"",""vi"")"),"Đấu giá&gt; Thời trang&gt; By Nhãn hiệu&gt; Re&gt; Rene Kaovira")</f>
        <v>Đấu giá&gt; Thời trang&gt; By Nhãn hiệu&gt; Re&gt; Rene Kaovira</v>
      </c>
      <c r="F846" t="str">
        <f t="shared" ca="1" si="13"/>
        <v>"2084062169" : "Rene Kaovira",</v>
      </c>
    </row>
    <row r="847" spans="1:6" ht="15.75" customHeight="1">
      <c r="A847" s="18">
        <v>2084036158</v>
      </c>
      <c r="B847" s="18" t="s">
        <v>13018</v>
      </c>
      <c r="C847" s="18" t="s">
        <v>13020</v>
      </c>
      <c r="D847" s="5" t="str">
        <f ca="1">IFERROR(__xludf.DUMMYFUNCTION("GOOGLETRANSLATE(B847,""ja"",""vi"")"),"Renoma")</f>
        <v>Renoma</v>
      </c>
      <c r="E847" s="5" t="str">
        <f ca="1">IFERROR(__xludf.DUMMYFUNCTION("GOOGLETRANSLATE(C847,""ja"",""vi"")"),"Đấu giá&gt; Thời trang&gt; By Nhãn hiệu&gt; Re&gt; Renoma")</f>
        <v>Đấu giá&gt; Thời trang&gt; By Nhãn hiệu&gt; Re&gt; Renoma</v>
      </c>
      <c r="F847" t="str">
        <f t="shared" ca="1" si="13"/>
        <v>"2084036158" : "Renoma",</v>
      </c>
    </row>
    <row r="848" spans="1:6" ht="15.75" customHeight="1">
      <c r="A848" s="18">
        <v>2084211721</v>
      </c>
      <c r="B848" s="18" t="s">
        <v>13023</v>
      </c>
      <c r="C848" s="18" t="s">
        <v>13024</v>
      </c>
      <c r="D848" s="5" t="str">
        <f ca="1">IFERROR(__xludf.DUMMYFUNCTION("GOOGLETRANSLATE(B848,""ja"",""vi"")"),"Rebecca Taylor")</f>
        <v>Rebecca Taylor</v>
      </c>
      <c r="E848" s="5" t="str">
        <f ca="1">IFERROR(__xludf.DUMMYFUNCTION("GOOGLETRANSLATE(C848,""ja"",""vi"")"),"Đấu giá&gt; Thời trang&gt; By Nhãn hiệu&gt; Re&gt; Rebecca Taylor")</f>
        <v>Đấu giá&gt; Thời trang&gt; By Nhãn hiệu&gt; Re&gt; Rebecca Taylor</v>
      </c>
      <c r="F848" t="str">
        <f t="shared" ca="1" si="13"/>
        <v>"2084211721" : "Rebecca Taylor",</v>
      </c>
    </row>
    <row r="849" spans="1:6" ht="15.75" customHeight="1">
      <c r="A849" s="18">
        <v>2084230033</v>
      </c>
      <c r="B849" s="18" t="s">
        <v>13029</v>
      </c>
      <c r="C849" s="18" t="s">
        <v>13030</v>
      </c>
      <c r="D849" s="5" t="str">
        <f ca="1">IFERROR(__xludf.DUMMYFUNCTION("GOOGLETRANSLATE(B849,""ja"",""vi"")"),"Repetto")</f>
        <v>Repetto</v>
      </c>
      <c r="E849" s="5" t="str">
        <f ca="1">IFERROR(__xludf.DUMMYFUNCTION("GOOGLETRANSLATE(C849,""ja"",""vi"")"),"Đấu giá&gt; Thời trang&gt; By Nhãn hiệu&gt; Re&gt; Repetto")</f>
        <v>Đấu giá&gt; Thời trang&gt; By Nhãn hiệu&gt; Re&gt; Repetto</v>
      </c>
      <c r="F849" t="str">
        <f t="shared" ca="1" si="13"/>
        <v>"2084230033" : "Repetto",</v>
      </c>
    </row>
    <row r="850" spans="1:6" ht="15.75" customHeight="1">
      <c r="A850" s="18">
        <v>2084298416</v>
      </c>
      <c r="B850" s="18" t="s">
        <v>13035</v>
      </c>
      <c r="C850" s="18" t="s">
        <v>13036</v>
      </c>
      <c r="D850" s="5" t="str">
        <f ca="1">IFERROR(__xludf.DUMMYFUNCTION("GOOGLETRANSLATE(B850,""ja"",""vi"")"),"Leilian")</f>
        <v>Leilian</v>
      </c>
      <c r="E850" s="5" t="str">
        <f ca="1">IFERROR(__xludf.DUMMYFUNCTION("GOOGLETRANSLATE(C850,""ja"",""vi"")"),"Đấu giá&gt; Thời trang&gt; By Nhãn hiệu&gt; Re&gt; Leilian")</f>
        <v>Đấu giá&gt; Thời trang&gt; By Nhãn hiệu&gt; Re&gt; Leilian</v>
      </c>
      <c r="F850" t="str">
        <f t="shared" ca="1" si="13"/>
        <v>"2084298416" : "Leilian",</v>
      </c>
    </row>
    <row r="851" spans="1:6" ht="15.75" customHeight="1">
      <c r="A851" s="18">
        <v>2084286476</v>
      </c>
      <c r="B851" s="18" t="s">
        <v>46</v>
      </c>
      <c r="C851" s="18" t="s">
        <v>13038</v>
      </c>
      <c r="D851" s="5" t="str">
        <f ca="1">IFERROR(__xludf.DUMMYFUNCTION("GOOGLETRANSLATE(B851,""ja"",""vi"")"),"nếu không thì")</f>
        <v>nếu không thì</v>
      </c>
      <c r="E851" s="5" t="str">
        <f ca="1">IFERROR(__xludf.DUMMYFUNCTION("GOOGLETRANSLATE(C851,""ja"",""vi"")"),"Đấu giá&gt; Thời trang&gt; By Nhãn hiệu&gt; Re&gt; Khác")</f>
        <v>Đấu giá&gt; Thời trang&gt; By Nhãn hiệu&gt; Re&gt; Khác</v>
      </c>
      <c r="F851" t="str">
        <f t="shared" ca="1" si="13"/>
        <v>"2084286476" : "nếu không thì",</v>
      </c>
    </row>
    <row r="852" spans="1:6" ht="15.75" customHeight="1">
      <c r="A852" s="18">
        <v>2084230547</v>
      </c>
      <c r="B852" s="18" t="s">
        <v>13041</v>
      </c>
      <c r="C852" s="18" t="s">
        <v>13043</v>
      </c>
      <c r="D852" s="5" t="str">
        <f ca="1">IFERROR(__xludf.DUMMYFUNCTION("GOOGLETRANSLATE(B852,""ja"",""vi"")"),"thấp")</f>
        <v>thấp</v>
      </c>
      <c r="E852" s="5" t="str">
        <f ca="1">IFERROR(__xludf.DUMMYFUNCTION("GOOGLETRANSLATE(C852,""ja"",""vi"")"),"Đấu giá&gt; Thời trang&gt; By Nhãn hiệu&gt; b&gt; thấp")</f>
        <v>Đấu giá&gt; Thời trang&gt; By Nhãn hiệu&gt; b&gt; thấp</v>
      </c>
      <c r="F852" t="str">
        <f t="shared" ca="1" si="13"/>
        <v>"2084230547" : "thấp",</v>
      </c>
    </row>
    <row r="853" spans="1:6" ht="15.75" customHeight="1">
      <c r="A853" s="18">
        <v>2084244055</v>
      </c>
      <c r="B853" s="18" t="s">
        <v>13044</v>
      </c>
      <c r="C853" s="18" t="s">
        <v>13046</v>
      </c>
      <c r="D853" s="5" t="str">
        <f ca="1">IFERROR(__xludf.DUMMYFUNCTION("GOOGLETRANSLATE(B853,""ja"",""vi"")"),"Lois crayon")</f>
        <v>Lois crayon</v>
      </c>
      <c r="E853" s="5" t="str">
        <f ca="1">IFERROR(__xludf.DUMMYFUNCTION("GOOGLETRANSLATE(C853,""ja"",""vi"")"),"Đấu giá&gt; Thời trang&gt; By Nhãn hiệu&gt; b&gt; Lois crayon")</f>
        <v>Đấu giá&gt; Thời trang&gt; By Nhãn hiệu&gt; b&gt; Lois crayon</v>
      </c>
      <c r="F853" t="str">
        <f t="shared" ca="1" si="13"/>
        <v>"2084244055" : "Lois crayon",</v>
      </c>
    </row>
    <row r="854" spans="1:6" ht="15.75" customHeight="1">
      <c r="A854" s="18">
        <v>2084050346</v>
      </c>
      <c r="B854" s="18" t="s">
        <v>13048</v>
      </c>
      <c r="C854" s="18" t="s">
        <v>13050</v>
      </c>
      <c r="D854" s="5" t="str">
        <f ca="1">IFERROR(__xludf.DUMMYFUNCTION("GOOGLETRANSLATE(B854,""ja"",""vi"")"),"Loewe")</f>
        <v>Loewe</v>
      </c>
      <c r="E854" s="5" t="str">
        <f ca="1">IFERROR(__xludf.DUMMYFUNCTION("GOOGLETRANSLATE(C854,""ja"",""vi"")"),"Đấu giá&gt; Thời trang&gt; By Nhãn hiệu&gt; b&gt; Loewe")</f>
        <v>Đấu giá&gt; Thời trang&gt; By Nhãn hiệu&gt; b&gt; Loewe</v>
      </c>
      <c r="F854" t="str">
        <f t="shared" ca="1" si="13"/>
        <v>"2084050346" : "Loewe",</v>
      </c>
    </row>
    <row r="855" spans="1:6" ht="15.75" customHeight="1">
      <c r="A855" s="18">
        <v>2084205177</v>
      </c>
      <c r="B855" s="18" t="s">
        <v>13054</v>
      </c>
      <c r="C855" s="18" t="s">
        <v>13055</v>
      </c>
      <c r="D855" s="5" t="str">
        <f ca="1">IFERROR(__xludf.DUMMYFUNCTION("GOOGLETRANSLATE(B855,""ja"",""vi"")"),"Roen")</f>
        <v>Roen</v>
      </c>
      <c r="E855" s="5" t="str">
        <f ca="1">IFERROR(__xludf.DUMMYFUNCTION("GOOGLETRANSLATE(C855,""ja"",""vi"")"),"Đấu giá&gt; Thời trang&gt; By Nhãn hiệu&gt; b&gt; Roen")</f>
        <v>Đấu giá&gt; Thời trang&gt; By Nhãn hiệu&gt; b&gt; Roen</v>
      </c>
      <c r="F855" t="str">
        <f t="shared" ca="1" si="13"/>
        <v>"2084205177" : "Roen",</v>
      </c>
    </row>
    <row r="856" spans="1:6" ht="15.75" customHeight="1">
      <c r="A856" s="18">
        <v>2084200715</v>
      </c>
      <c r="B856" s="18" t="s">
        <v>13057</v>
      </c>
      <c r="C856" s="18" t="s">
        <v>13058</v>
      </c>
      <c r="D856" s="5" t="str">
        <f ca="1">IFERROR(__xludf.DUMMYFUNCTION("GOOGLETRANSLATE(B856,""ja"",""vi"")"),"Logan")</f>
        <v>Logan</v>
      </c>
      <c r="E856" s="5" t="str">
        <f ca="1">IFERROR(__xludf.DUMMYFUNCTION("GOOGLETRANSLATE(C856,""ja"",""vi"")"),"Đấu giá&gt; Thời trang&gt; By Nhãn hiệu&gt; b&gt; Logan")</f>
        <v>Đấu giá&gt; Thời trang&gt; By Nhãn hiệu&gt; b&gt; Logan</v>
      </c>
      <c r="F856" t="str">
        <f t="shared" ca="1" si="13"/>
        <v>"2084200715" : "Logan",</v>
      </c>
    </row>
    <row r="857" spans="1:6" ht="15.75" customHeight="1">
      <c r="A857" s="18">
        <v>2084050348</v>
      </c>
      <c r="B857" s="18" t="s">
        <v>13062</v>
      </c>
      <c r="C857" s="18" t="s">
        <v>13063</v>
      </c>
      <c r="D857" s="5" t="str">
        <f ca="1">IFERROR(__xludf.DUMMYFUNCTION("GOOGLETRANSLATE(B857,""ja"",""vi"")"),"Roxy")</f>
        <v>Roxy</v>
      </c>
      <c r="E857" s="5" t="str">
        <f ca="1">IFERROR(__xludf.DUMMYFUNCTION("GOOGLETRANSLATE(C857,""ja"",""vi"")"),"Đấu giá&gt; Thời trang&gt; By Nhãn hiệu&gt; b&gt; Roxy")</f>
        <v>Đấu giá&gt; Thời trang&gt; By Nhãn hiệu&gt; b&gt; Roxy</v>
      </c>
      <c r="F857" t="str">
        <f t="shared" ca="1" si="13"/>
        <v>"2084050348" : "Roxy",</v>
      </c>
    </row>
    <row r="858" spans="1:6" ht="15.75" customHeight="1">
      <c r="A858" s="18">
        <v>2084050347</v>
      </c>
      <c r="B858" s="18" t="s">
        <v>13067</v>
      </c>
      <c r="C858" s="18" t="s">
        <v>13069</v>
      </c>
      <c r="D858" s="5" t="str">
        <f ca="1">IFERROR(__xludf.DUMMYFUNCTION("GOOGLETRANSLATE(B858,""ja"",""vi"")"),"nụ hoa hồng")</f>
        <v>nụ hoa hồng</v>
      </c>
      <c r="E858" s="5" t="str">
        <f ca="1">IFERROR(__xludf.DUMMYFUNCTION("GOOGLETRANSLATE(C858,""ja"",""vi"")"),"Đấu giá&gt; Thời trang&gt; By Nhãn hiệu&gt; b&gt; Rosebud")</f>
        <v>Đấu giá&gt; Thời trang&gt; By Nhãn hiệu&gt; b&gt; Rosebud</v>
      </c>
      <c r="F858" t="str">
        <f t="shared" ca="1" si="13"/>
        <v>"2084050347" : "nụ hoa hồng",</v>
      </c>
    </row>
    <row r="859" spans="1:6" ht="15.75" customHeight="1">
      <c r="A859" s="18">
        <v>2084230026</v>
      </c>
      <c r="B859" s="18" t="s">
        <v>13070</v>
      </c>
      <c r="C859" s="18" t="s">
        <v>13072</v>
      </c>
      <c r="D859" s="5" t="str">
        <f ca="1">IFERROR(__xludf.DUMMYFUNCTION("GOOGLETRANSLATE(B859,""ja"",""vi"")"),"Rose Fan Fan")</f>
        <v>Rose Fan Fan</v>
      </c>
      <c r="E859" s="5" t="str">
        <f ca="1">IFERROR(__xludf.DUMMYFUNCTION("GOOGLETRANSLATE(C859,""ja"",""vi"")"),"Đấu giá&gt; Thời trang&gt; By Nhãn hiệu&gt; b&gt; Rose Fan Fan")</f>
        <v>Đấu giá&gt; Thời trang&gt; By Nhãn hiệu&gt; b&gt; Rose Fan Fan</v>
      </c>
      <c r="F859" t="str">
        <f t="shared" ca="1" si="13"/>
        <v>"2084230026" : "Rose Fan Fan",</v>
      </c>
    </row>
    <row r="860" spans="1:6" ht="15.75" customHeight="1">
      <c r="A860" s="18">
        <v>2084260063</v>
      </c>
      <c r="B860" s="18" t="s">
        <v>13075</v>
      </c>
      <c r="C860" s="18" t="s">
        <v>13076</v>
      </c>
      <c r="D860" s="5" t="str">
        <f ca="1">IFERROR(__xludf.DUMMYFUNCTION("GOOGLETRANSLATE(B860,""ja"",""vi"")"),"Rose Brit")</f>
        <v>Rose Brit</v>
      </c>
      <c r="E860" s="5" t="str">
        <f ca="1">IFERROR(__xludf.DUMMYFUNCTION("GOOGLETRANSLATE(C860,""ja"",""vi"")"),"Đấu giá&gt; Thời trang&gt; By Nhãn hiệu&gt; b&gt; Rose Brit")</f>
        <v>Đấu giá&gt; Thời trang&gt; By Nhãn hiệu&gt; b&gt; Rose Brit</v>
      </c>
      <c r="F860" t="str">
        <f t="shared" ca="1" si="13"/>
        <v>"2084260063" : "Rose Brit",</v>
      </c>
    </row>
    <row r="861" spans="1:6" ht="15.75" customHeight="1">
      <c r="A861" s="18">
        <v>2084261355</v>
      </c>
      <c r="B861" s="18" t="s">
        <v>13080</v>
      </c>
      <c r="C861" s="18" t="s">
        <v>13083</v>
      </c>
      <c r="D861" s="5" t="str">
        <f ca="1">IFERROR(__xludf.DUMMYFUNCTION("GOOGLETRANSLATE(B861,""ja"",""vi"")"),"Rosita")</f>
        <v>Rosita</v>
      </c>
      <c r="E861" s="5" t="str">
        <f ca="1">IFERROR(__xludf.DUMMYFUNCTION("GOOGLETRANSLATE(C861,""ja"",""vi"")"),"Đấu giá&gt; Thời trang&gt; By Nhãn hiệu&gt; b&gt; Rosita")</f>
        <v>Đấu giá&gt; Thời trang&gt; By Nhãn hiệu&gt; b&gt; Rosita</v>
      </c>
      <c r="F861" t="str">
        <f t="shared" ca="1" si="13"/>
        <v>"2084261355" : "Rosita",</v>
      </c>
    </row>
    <row r="862" spans="1:6" ht="15.75" customHeight="1">
      <c r="A862" s="18">
        <v>2084193026</v>
      </c>
      <c r="B862" s="18" t="s">
        <v>13087</v>
      </c>
      <c r="C862" s="18" t="s">
        <v>13088</v>
      </c>
      <c r="D862" s="5" t="str">
        <f ca="1">IFERROR(__xludf.DUMMYFUNCTION("GOOGLETRANSLATE(B862,""ja"",""vi"")"),"Rotore Amon")</f>
        <v>Rotore Amon</v>
      </c>
      <c r="E862" s="5" t="str">
        <f ca="1">IFERROR(__xludf.DUMMYFUNCTION("GOOGLETRANSLATE(C862,""ja"",""vi"")"),"Đấu giá&gt; Thời trang&gt; By Nhãn hiệu&gt; b&gt; Rotore Amon")</f>
        <v>Đấu giá&gt; Thời trang&gt; By Nhãn hiệu&gt; b&gt; Rotore Amon</v>
      </c>
      <c r="F862" t="str">
        <f t="shared" ca="1" si="13"/>
        <v>"2084193026" : "Rotore Amon",</v>
      </c>
    </row>
    <row r="863" spans="1:6" ht="15.75" customHeight="1">
      <c r="A863" s="18">
        <v>2084238782</v>
      </c>
      <c r="B863" s="18" t="s">
        <v>13093</v>
      </c>
      <c r="C863" s="18" t="s">
        <v>13095</v>
      </c>
      <c r="D863" s="5" t="str">
        <f ca="1">IFERROR(__xludf.DUMMYFUNCTION("GOOGLETRANSLATE(B863,""ja"",""vi"")"),"Rodeo Crowns")</f>
        <v>Rodeo Crowns</v>
      </c>
      <c r="E863" s="5" t="str">
        <f ca="1">IFERROR(__xludf.DUMMYFUNCTION("GOOGLETRANSLATE(C863,""ja"",""vi"")"),"Đấu giá&gt; Thời trang&gt; By Nhãn hiệu&gt; b&gt; Rodeo Crowns")</f>
        <v>Đấu giá&gt; Thời trang&gt; By Nhãn hiệu&gt; b&gt; Rodeo Crowns</v>
      </c>
      <c r="F863" t="str">
        <f t="shared" ca="1" si="13"/>
        <v>"2084238782" : "Rodeo Crowns",</v>
      </c>
    </row>
    <row r="864" spans="1:6" ht="15.75" customHeight="1">
      <c r="A864" s="18">
        <v>2084293071</v>
      </c>
      <c r="B864" s="18" t="s">
        <v>13102</v>
      </c>
      <c r="C864" s="18" t="s">
        <v>13104</v>
      </c>
      <c r="D864" s="5" t="str">
        <f ca="1">IFERROR(__xludf.DUMMYFUNCTION("GOOGLETRANSLATE(B864,""ja"",""vi"")"),"Roni")</f>
        <v>Roni</v>
      </c>
      <c r="E864" s="5" t="str">
        <f ca="1">IFERROR(__xludf.DUMMYFUNCTION("GOOGLETRANSLATE(C864,""ja"",""vi"")"),"Đấu giá&gt; Thời trang&gt; By Nhãn hiệu&gt; lọc&gt; Roni")</f>
        <v>Đấu giá&gt; Thời trang&gt; By Nhãn hiệu&gt; lọc&gt; Roni</v>
      </c>
      <c r="F864" t="str">
        <f t="shared" ca="1" si="13"/>
        <v>"2084293071" : "Roni",</v>
      </c>
    </row>
    <row r="865" spans="1:6" ht="15.75" customHeight="1">
      <c r="A865" s="18">
        <v>2084050349</v>
      </c>
      <c r="B865" s="18" t="s">
        <v>13108</v>
      </c>
      <c r="C865" s="18" t="s">
        <v>13111</v>
      </c>
      <c r="D865" s="5" t="str">
        <f ca="1">IFERROR(__xludf.DUMMYFUNCTION("GOOGLETRANSLATE(B865,""ja"",""vi"")"),"Roberta di Camerino")</f>
        <v>Roberta di Camerino</v>
      </c>
      <c r="E865" s="5" t="str">
        <f ca="1">IFERROR(__xludf.DUMMYFUNCTION("GOOGLETRANSLATE(C865,""ja"",""vi"")"),"Đấu giá&gt; Thời trang&gt; By Nhãn hiệu&gt; b&gt; Roberta di Camerino")</f>
        <v>Đấu giá&gt; Thời trang&gt; By Nhãn hiệu&gt; b&gt; Roberta di Camerino</v>
      </c>
      <c r="F865" t="str">
        <f t="shared" ca="1" si="13"/>
        <v>"2084050349" : "Roberta di Camerino",</v>
      </c>
    </row>
    <row r="866" spans="1:6" ht="15.75" customHeight="1">
      <c r="A866" s="18">
        <v>2084048737</v>
      </c>
      <c r="B866" s="18" t="s">
        <v>13116</v>
      </c>
      <c r="C866" s="18" t="s">
        <v>13118</v>
      </c>
      <c r="D866" s="5" t="str">
        <f ca="1">IFERROR(__xludf.DUMMYFUNCTION("GOOGLETRANSLATE(B866,""ja"",""vi"")"),"bước chạy dài")</f>
        <v>bước chạy dài</v>
      </c>
      <c r="E866" s="5" t="str">
        <f ca="1">IFERROR(__xludf.DUMMYFUNCTION("GOOGLETRANSLATE(C866,""ja"",""vi"")"),"Đấu giá&gt; Thời trang&gt; By Nhãn hiệu&gt; b&gt; Lope")</f>
        <v>Đấu giá&gt; Thời trang&gt; By Nhãn hiệu&gt; b&gt; Lope</v>
      </c>
      <c r="F866" t="str">
        <f t="shared" ca="1" si="13"/>
        <v>"2084048737" : "bước chạy dài",</v>
      </c>
    </row>
    <row r="867" spans="1:6" ht="15.75" customHeight="1">
      <c r="A867" s="18">
        <v>2084313157</v>
      </c>
      <c r="B867" s="18" t="s">
        <v>13122</v>
      </c>
      <c r="C867" s="18" t="s">
        <v>13125</v>
      </c>
      <c r="D867" s="5" t="str">
        <f ca="1">IFERROR(__xludf.DUMMYFUNCTION("GOOGLETRANSLATE(B867,""ja"",""vi"")"),"Lope dã ngoại")</f>
        <v>Lope dã ngoại</v>
      </c>
      <c r="E867" s="5" t="str">
        <f ca="1">IFERROR(__xludf.DUMMYFUNCTION("GOOGLETRANSLATE(C867,""ja"",""vi"")"),"Đấu giá&gt; Thời trang&gt; By Nhãn hiệu&gt; b&gt; Lope dã ngoại")</f>
        <v>Đấu giá&gt; Thời trang&gt; By Nhãn hiệu&gt; b&gt; Lope dã ngoại</v>
      </c>
      <c r="F867" t="str">
        <f t="shared" ca="1" si="13"/>
        <v>"2084313157" : "Lope dã ngoại",</v>
      </c>
    </row>
    <row r="868" spans="1:6" ht="15.75" customHeight="1">
      <c r="A868" s="18">
        <v>2084061969</v>
      </c>
      <c r="B868" s="18" t="s">
        <v>13129</v>
      </c>
      <c r="C868" s="18" t="s">
        <v>13131</v>
      </c>
      <c r="D868" s="5" t="str">
        <f ca="1">IFERROR(__xludf.DUMMYFUNCTION("GOOGLETRANSLATE(B868,""ja"",""vi"")"),"Laura Ashley")</f>
        <v>Laura Ashley</v>
      </c>
      <c r="E868" s="5" t="str">
        <f ca="1">IFERROR(__xludf.DUMMYFUNCTION("GOOGLETRANSLATE(C868,""ja"",""vi"")"),"Đấu giá&gt; Thời trang&gt; By Nhãn hiệu&gt; b&gt; Laura Ashley")</f>
        <v>Đấu giá&gt; Thời trang&gt; By Nhãn hiệu&gt; b&gt; Laura Ashley</v>
      </c>
      <c r="F868" t="str">
        <f t="shared" ca="1" si="13"/>
        <v>"2084061969" : "Laura Ashley",</v>
      </c>
    </row>
    <row r="869" spans="1:6" ht="15.75" customHeight="1">
      <c r="A869" s="18">
        <v>2084062086</v>
      </c>
      <c r="B869" s="18" t="s">
        <v>13136</v>
      </c>
      <c r="C869" s="18" t="s">
        <v>13138</v>
      </c>
      <c r="D869" s="5" t="str">
        <f ca="1">IFERROR(__xludf.DUMMYFUNCTION("GOOGLETRANSLATE(B869,""ja"",""vi"")"),"trang trại LOWRYS")</f>
        <v>trang trại LOWRYS</v>
      </c>
      <c r="E869" s="5" t="str">
        <f ca="1">IFERROR(__xludf.DUMMYFUNCTION("GOOGLETRANSLATE(C869,""ja"",""vi"")"),"Đấu giá&gt; Thời trang&gt; By Nhãn hiệu&gt; b&gt; trang trại LOWRYS")</f>
        <v>Đấu giá&gt; Thời trang&gt; By Nhãn hiệu&gt; b&gt; trang trại LOWRYS</v>
      </c>
      <c r="F869" t="str">
        <f t="shared" ca="1" si="13"/>
        <v>"2084062086" : "trang trại LOWRYS",</v>
      </c>
    </row>
    <row r="870" spans="1:6" ht="15.75" customHeight="1">
      <c r="A870" s="18">
        <v>2084298424</v>
      </c>
      <c r="B870" s="18" t="s">
        <v>13145</v>
      </c>
      <c r="C870" s="18" t="s">
        <v>13147</v>
      </c>
      <c r="D870" s="5" t="str">
        <f ca="1">IFERROR(__xludf.DUMMYFUNCTION("GOOGLETRANSLATE(B870,""ja"",""vi"")"),"Roropiana")</f>
        <v>Roropiana</v>
      </c>
      <c r="E870" s="5" t="str">
        <f ca="1">IFERROR(__xludf.DUMMYFUNCTION("GOOGLETRANSLATE(C870,""ja"",""vi"")"),"Đấu giá&gt; Thời trang&gt; By Nhãn hiệu&gt; b&gt; Roropiana")</f>
        <v>Đấu giá&gt; Thời trang&gt; By Nhãn hiệu&gt; b&gt; Roropiana</v>
      </c>
      <c r="F870" t="str">
        <f t="shared" ca="1" si="13"/>
        <v>"2084298424" : "Roropiana",</v>
      </c>
    </row>
    <row r="871" spans="1:6" ht="15.75" customHeight="1">
      <c r="A871" s="18">
        <v>2084050351</v>
      </c>
      <c r="B871" s="18" t="s">
        <v>13152</v>
      </c>
      <c r="C871" s="18" t="s">
        <v>13153</v>
      </c>
      <c r="D871" s="5" t="str">
        <f ca="1">IFERROR(__xludf.DUMMYFUNCTION("GOOGLETRANSLATE(B871,""ja"",""vi"")"),"Longchamp")</f>
        <v>Longchamp</v>
      </c>
      <c r="E871" s="5" t="str">
        <f ca="1">IFERROR(__xludf.DUMMYFUNCTION("GOOGLETRANSLATE(C871,""ja"",""vi"")"),"Đấu giá&gt; Thời trang&gt; By Nhãn hiệu&gt; b&gt; Longchamp")</f>
        <v>Đấu giá&gt; Thời trang&gt; By Nhãn hiệu&gt; b&gt; Longchamp</v>
      </c>
      <c r="F871" t="str">
        <f t="shared" ca="1" si="13"/>
        <v>"2084050351" : "Longchamp",</v>
      </c>
    </row>
    <row r="872" spans="1:6" ht="15.75" customHeight="1">
      <c r="A872" s="18">
        <v>2084305452</v>
      </c>
      <c r="B872" s="18" t="s">
        <v>13158</v>
      </c>
      <c r="C872" s="18" t="s">
        <v>13162</v>
      </c>
      <c r="D872" s="5" t="str">
        <f ca="1">IFERROR(__xludf.DUMMYFUNCTION("GOOGLETRANSLATE(B872,""ja"",""vi"")"),"Ron Herman")</f>
        <v>Ron Herman</v>
      </c>
      <c r="E872" s="5" t="str">
        <f ca="1">IFERROR(__xludf.DUMMYFUNCTION("GOOGLETRANSLATE(C872,""ja"",""vi"")"),"Đấu giá&gt; Thời trang&gt; By Nhãn hiệu&gt; b&gt; Ron Herman")</f>
        <v>Đấu giá&gt; Thời trang&gt; By Nhãn hiệu&gt; b&gt; Ron Herman</v>
      </c>
      <c r="F872" t="str">
        <f t="shared" ca="1" si="13"/>
        <v>"2084305452" : "Ron Herman",</v>
      </c>
    </row>
    <row r="873" spans="1:6" ht="15.75" customHeight="1">
      <c r="A873" s="18">
        <v>2084286491</v>
      </c>
      <c r="B873" s="18" t="s">
        <v>46</v>
      </c>
      <c r="C873" s="18" t="s">
        <v>13168</v>
      </c>
      <c r="D873" s="5" t="str">
        <f ca="1">IFERROR(__xludf.DUMMYFUNCTION("GOOGLETRANSLATE(B873,""ja"",""vi"")"),"nếu không thì")</f>
        <v>nếu không thì</v>
      </c>
      <c r="E873" s="5" t="str">
        <f ca="1">IFERROR(__xludf.DUMMYFUNCTION("GOOGLETRANSLATE(C873,""ja"",""vi"")"),"Đấu giá&gt; Thời trang&gt; By Nhãn hiệu&gt; b&gt; Khác")</f>
        <v>Đấu giá&gt; Thời trang&gt; By Nhãn hiệu&gt; b&gt; Khác</v>
      </c>
      <c r="F873" t="str">
        <f t="shared" ca="1" si="13"/>
        <v>"2084286491" : "nếu không thì",</v>
      </c>
    </row>
    <row r="874" spans="1:6" ht="15.75" customHeight="1">
      <c r="A874" s="18">
        <v>2084048644</v>
      </c>
      <c r="B874" s="18" t="s">
        <v>13173</v>
      </c>
      <c r="C874" s="18" t="s">
        <v>13174</v>
      </c>
      <c r="D874" s="5" t="str">
        <f ca="1">IFERROR(__xludf.DUMMYFUNCTION("GOOGLETRANSLATE(B874,""ja"",""vi"")"),"Y, Yohji Yamamoto")</f>
        <v>Y, Yohji Yamamoto</v>
      </c>
      <c r="E874" s="5" t="str">
        <f ca="1">IFERROR(__xludf.DUMMYFUNCTION("GOOGLETRANSLATE(C874,""ja"",""vi"")"),"Đấu giá&gt; Thời trang&gt; By Nhãn hiệu&gt; Tôi&gt; Y, Yohji Yamamoto")</f>
        <v>Đấu giá&gt; Thời trang&gt; By Nhãn hiệu&gt; Tôi&gt; Y, Yohji Yamamoto</v>
      </c>
      <c r="F874" t="str">
        <f t="shared" ca="1" si="13"/>
        <v>"2084048644" : "Y, Yohji Yamamoto",</v>
      </c>
    </row>
    <row r="875" spans="1:6" ht="15.75" customHeight="1">
      <c r="A875" s="18">
        <v>2084048739</v>
      </c>
      <c r="B875" s="18" t="s">
        <v>13179</v>
      </c>
      <c r="C875" s="18" t="s">
        <v>13181</v>
      </c>
      <c r="D875" s="5" t="str">
        <f ca="1">IFERROR(__xludf.DUMMYFUNCTION("GOOGLETRANSLATE(B875,""ja"",""vi"")"),"World Wide Tình yêu!")</f>
        <v>World Wide Tình yêu!</v>
      </c>
      <c r="E875" s="5" t="str">
        <f ca="1">IFERROR(__xludf.DUMMYFUNCTION("GOOGLETRANSLATE(C875,""ja"",""vi"")"),"Đấu giá&gt; Thời trang&gt; By Nhãn hiệu&gt; Tôi&gt; World Wide Tình yêu!")</f>
        <v>Đấu giá&gt; Thời trang&gt; By Nhãn hiệu&gt; Tôi&gt; World Wide Tình yêu!</v>
      </c>
      <c r="F875" t="str">
        <f t="shared" ca="1" si="13"/>
        <v>"2084048739" : "World Wide Tình yêu!",</v>
      </c>
    </row>
    <row r="876" spans="1:6" ht="15.75" customHeight="1">
      <c r="A876" s="18">
        <v>2084050352</v>
      </c>
      <c r="B876" s="18" t="s">
        <v>13187</v>
      </c>
      <c r="C876" s="18" t="s">
        <v>13188</v>
      </c>
      <c r="D876" s="5" t="str">
        <f ca="1">IFERROR(__xludf.DUMMYFUNCTION("GOOGLETRANSLATE(B876,""ja"",""vi"")"),"wild Things")</f>
        <v>wild Things</v>
      </c>
      <c r="E876" s="5" t="str">
        <f ca="1">IFERROR(__xludf.DUMMYFUNCTION("GOOGLETRANSLATE(C876,""ja"",""vi"")"),"Đấu giá&gt; Thời trang&gt; By Nhãn hiệu&gt; Tôi&gt; Wild Things")</f>
        <v>Đấu giá&gt; Thời trang&gt; By Nhãn hiệu&gt; Tôi&gt; Wild Things</v>
      </c>
      <c r="F876" t="str">
        <f t="shared" ca="1" si="13"/>
        <v>"2084050352" : "wild Things",</v>
      </c>
    </row>
    <row r="877" spans="1:6" ht="15.75" customHeight="1">
      <c r="A877" s="18">
        <v>2084243360</v>
      </c>
      <c r="B877" s="18" t="s">
        <v>13192</v>
      </c>
      <c r="C877" s="18" t="s">
        <v>13195</v>
      </c>
      <c r="D877" s="5" t="str">
        <f ca="1">IFERROR(__xludf.DUMMYFUNCTION("GOOGLETRANSLATE(B877,""ja"",""vi"")"),"Wakomaria")</f>
        <v>Wakomaria</v>
      </c>
      <c r="E877" s="5" t="str">
        <f ca="1">IFERROR(__xludf.DUMMYFUNCTION("GOOGLETRANSLATE(C877,""ja"",""vi"")"),"Đấu giá&gt; Thời trang&gt; By Nhãn hiệu&gt; Tôi&gt; Wakomaria")</f>
        <v>Đấu giá&gt; Thời trang&gt; By Nhãn hiệu&gt; Tôi&gt; Wakomaria</v>
      </c>
      <c r="F877" t="str">
        <f t="shared" ca="1" si="13"/>
        <v>"2084243360" : "Wakomaria",</v>
      </c>
    </row>
    <row r="878" spans="1:6" ht="15.75" customHeight="1">
      <c r="A878" s="18">
        <v>2084284014</v>
      </c>
      <c r="B878" s="18" t="s">
        <v>13201</v>
      </c>
      <c r="C878" s="18" t="s">
        <v>13202</v>
      </c>
      <c r="D878" s="5" t="str">
        <f ca="1">IFERROR(__xludf.DUMMYFUNCTION("GOOGLETRANSLATE(B878,""ja"",""vi"")"),"Washington")</f>
        <v>Washington</v>
      </c>
      <c r="E878" s="5" t="str">
        <f ca="1">IFERROR(__xludf.DUMMYFUNCTION("GOOGLETRANSLATE(C878,""ja"",""vi"")"),"Đấu giá&gt; Thời trang&gt; By Nhãn hiệu&gt; Tôi&gt; Washington")</f>
        <v>Đấu giá&gt; Thời trang&gt; By Nhãn hiệu&gt; Tôi&gt; Washington</v>
      </c>
      <c r="F878" t="str">
        <f t="shared" ca="1" si="13"/>
        <v>"2084284014" : "Washington",</v>
      </c>
    </row>
    <row r="879" spans="1:6" ht="15.75" customHeight="1">
      <c r="A879" s="18">
        <v>2084205947</v>
      </c>
      <c r="B879" s="18" t="s">
        <v>13207</v>
      </c>
      <c r="C879" s="18" t="s">
        <v>13208</v>
      </c>
      <c r="D879" s="5" t="str">
        <f ca="1">IFERROR(__xludf.DUMMYFUNCTION("GOOGLETRANSLATE(B879,""ja"",""vi"")"),"Wasque")</f>
        <v>Wasque</v>
      </c>
      <c r="E879" s="5" t="str">
        <f ca="1">IFERROR(__xludf.DUMMYFUNCTION("GOOGLETRANSLATE(C879,""ja"",""vi"")"),"Đấu giá&gt; Thời trang&gt; By Nhãn hiệu&gt; Tôi&gt; Wasque")</f>
        <v>Đấu giá&gt; Thời trang&gt; By Nhãn hiệu&gt; Tôi&gt; Wasque</v>
      </c>
      <c r="F879" t="str">
        <f t="shared" ca="1" si="13"/>
        <v>"2084205947" : "Wasque",</v>
      </c>
    </row>
    <row r="880" spans="1:6" ht="15.75" customHeight="1">
      <c r="A880" s="18">
        <v>2084259185</v>
      </c>
      <c r="B880" s="18" t="s">
        <v>13214</v>
      </c>
      <c r="C880" s="18" t="s">
        <v>13215</v>
      </c>
      <c r="D880" s="5" t="str">
        <f ca="1">IFERROR(__xludf.DUMMYFUNCTION("GOOGLETRANSLATE(B880,""ja"",""vi"")"),"Waffu Ailen waffle")</f>
        <v>Waffu Ailen waffle</v>
      </c>
      <c r="E880" s="5" t="str">
        <f ca="1">IFERROR(__xludf.DUMMYFUNCTION("GOOGLETRANSLATE(C880,""ja"",""vi"")"),"Đấu giá&gt; Thời trang&gt; By Nhãn hiệu&gt; Tôi&gt; Waffu Ailen waffle")</f>
        <v>Đấu giá&gt; Thời trang&gt; By Nhãn hiệu&gt; Tôi&gt; Waffu Ailen waffle</v>
      </c>
      <c r="F880" t="str">
        <f t="shared" ca="1" si="13"/>
        <v>"2084259185" : "Waffu Ailen waffle",</v>
      </c>
    </row>
    <row r="881" spans="1:6" ht="15.75" customHeight="1">
      <c r="A881" s="18">
        <v>2084230039</v>
      </c>
      <c r="B881" s="18" t="s">
        <v>13218</v>
      </c>
      <c r="C881" s="18" t="s">
        <v>13220</v>
      </c>
      <c r="D881" s="5" t="str">
        <f ca="1">IFERROR(__xludf.DUMMYFUNCTION("GOOGLETRANSLATE(B881,""ja"",""vi"")"),"Một chiều")</f>
        <v>Một chiều</v>
      </c>
      <c r="E881" s="5" t="str">
        <f ca="1">IFERROR(__xludf.DUMMYFUNCTION("GOOGLETRANSLATE(C881,""ja"",""vi"")"),"Đấu giá&gt; Thời trang&gt; By Nhãn hiệu&gt; Tôi&gt; một chiều")</f>
        <v>Đấu giá&gt; Thời trang&gt; By Nhãn hiệu&gt; Tôi&gt; một chiều</v>
      </c>
      <c r="F881" t="str">
        <f t="shared" ca="1" si="13"/>
        <v>"2084230039" : "Một chiều",</v>
      </c>
    </row>
    <row r="882" spans="1:6" ht="15.75" customHeight="1">
      <c r="A882" s="18">
        <v>2084286506</v>
      </c>
      <c r="B882" s="18" t="s">
        <v>46</v>
      </c>
      <c r="C882" s="18" t="s">
        <v>13226</v>
      </c>
      <c r="D882" s="5" t="str">
        <f ca="1">IFERROR(__xludf.DUMMYFUNCTION("GOOGLETRANSLATE(B882,""ja"",""vi"")"),"nếu không thì")</f>
        <v>nếu không thì</v>
      </c>
      <c r="E882" s="5" t="str">
        <f ca="1">IFERROR(__xludf.DUMMYFUNCTION("GOOGLETRANSLATE(C882,""ja"",""vi"")"),"Đấu giá&gt; Thời trang&gt; By Nhãn hiệu&gt; Tôi&gt; Khác")</f>
        <v>Đấu giá&gt; Thời trang&gt; By Nhãn hiệu&gt; Tôi&gt; Khác</v>
      </c>
      <c r="F882" t="str">
        <f t="shared" ca="1" si="13"/>
        <v>"2084286506" : "nếu không thì",</v>
      </c>
    </row>
    <row r="883" spans="1:6" ht="15.75" customHeight="1">
      <c r="A883" s="18">
        <v>2084007187</v>
      </c>
      <c r="B883" s="18" t="s">
        <v>13230</v>
      </c>
      <c r="C883" s="18" t="s">
        <v>13231</v>
      </c>
      <c r="D883" s="5" t="str">
        <f ca="1">IFERROR(__xludf.DUMMYFUNCTION("GOOGLETRANSLATE(B883,""ja"",""vi"")"),"chung tòa án")</f>
        <v>chung tòa án</v>
      </c>
      <c r="E883" s="5" t="str">
        <f ca="1">IFERROR(__xludf.DUMMYFUNCTION("GOOGLETRANSLATE(C883,""ja"",""vi"")"),"Đấu giá&gt; Thời trang&gt; thời trang&gt; áo&gt; chung áo nữ")</f>
        <v>Đấu giá&gt; Thời trang&gt; thời trang&gt; áo&gt; chung áo nữ</v>
      </c>
      <c r="F883" t="str">
        <f t="shared" ca="1" si="13"/>
        <v>"2084007187" : "chung tòa án",</v>
      </c>
    </row>
    <row r="884" spans="1:6" ht="15.75" customHeight="1">
      <c r="A884" s="18">
        <v>2084007185</v>
      </c>
      <c r="B884" s="18" t="s">
        <v>13235</v>
      </c>
      <c r="C884" s="18" t="s">
        <v>13236</v>
      </c>
      <c r="D884" s="5" t="str">
        <f ca="1">IFERROR(__xludf.DUMMYFUNCTION("GOOGLETRANSLATE(B884,""ja"",""vi"")"),"Balmacaan")</f>
        <v>Balmacaan</v>
      </c>
      <c r="E884" s="5" t="str">
        <f ca="1">IFERROR(__xludf.DUMMYFUNCTION("GOOGLETRANSLATE(C884,""ja"",""vi"")"),"Đấu giá&gt; Thời trang&gt; Phụ nữ thời trang&gt; áo&gt; Balmacaan")</f>
        <v>Đấu giá&gt; Thời trang&gt; Phụ nữ thời trang&gt; áo&gt; Balmacaan</v>
      </c>
      <c r="F884" t="str">
        <f t="shared" ca="1" si="13"/>
        <v>"2084007185" : "Balmacaan",</v>
      </c>
    </row>
    <row r="885" spans="1:6" ht="15.75" customHeight="1">
      <c r="A885" s="18">
        <v>2084007186</v>
      </c>
      <c r="B885" s="18" t="s">
        <v>13238</v>
      </c>
      <c r="C885" s="18" t="s">
        <v>13240</v>
      </c>
      <c r="D885" s="5" t="str">
        <f ca="1">IFERROR(__xludf.DUMMYFUNCTION("GOOGLETRANSLATE(B885,""ja"",""vi"")"),"áo mùa xuân")</f>
        <v>áo mùa xuân</v>
      </c>
      <c r="E885" s="5" t="str">
        <f ca="1">IFERROR(__xludf.DUMMYFUNCTION("GOOGLETRANSLATE(C885,""ja"",""vi"")"),"Đấu giá&gt; Thời trang&gt; thời trang&gt; áo&gt; áo mùa xuân của phụ nữ")</f>
        <v>Đấu giá&gt; Thời trang&gt; thời trang&gt; áo&gt; áo mùa xuân của phụ nữ</v>
      </c>
      <c r="F885" t="str">
        <f t="shared" ca="1" si="13"/>
        <v>"2084007186" : "áo mùa xuân",</v>
      </c>
    </row>
    <row r="886" spans="1:6" ht="15.75" customHeight="1">
      <c r="A886" s="18">
        <v>2084309556</v>
      </c>
      <c r="B886" s="18" t="s">
        <v>13244</v>
      </c>
      <c r="C886" s="18" t="s">
        <v>13246</v>
      </c>
      <c r="D886" s="5" t="str">
        <f ca="1">IFERROR(__xludf.DUMMYFUNCTION("GOOGLETRANSLATE(B886,""ja"",""vi"")"),"xuống Coat")</f>
        <v>xuống Coat</v>
      </c>
      <c r="E886" s="5" t="str">
        <f ca="1">IFERROR(__xludf.DUMMYFUNCTION("GOOGLETRANSLATE(C886,""ja"",""vi"")"),"Đấu giá&gt; Thời trang&gt; Thời trang nữ&gt; áo&gt; áo xuống")</f>
        <v>Đấu giá&gt; Thời trang&gt; Thời trang nữ&gt; áo&gt; áo xuống</v>
      </c>
      <c r="F886" t="str">
        <f t="shared" ca="1" si="13"/>
        <v>"2084309556" : "xuống Coat",</v>
      </c>
    </row>
    <row r="887" spans="1:6" ht="15.75" customHeight="1">
      <c r="A887" s="18">
        <v>2084007188</v>
      </c>
      <c r="B887" s="18" t="s">
        <v>13248</v>
      </c>
      <c r="C887" s="18" t="s">
        <v>13249</v>
      </c>
      <c r="D887" s="5" t="str">
        <f ca="1">IFERROR(__xludf.DUMMYFUNCTION("GOOGLETRANSLATE(B887,""ja"",""vi"")"),"áo che bằng vải thô")</f>
        <v>áo che bằng vải thô</v>
      </c>
      <c r="E887" s="5" t="str">
        <f ca="1">IFERROR(__xludf.DUMMYFUNCTION("GOOGLETRANSLATE(C887,""ja"",""vi"")"),"Đấu giá&gt; Thời trang&gt; Thời trang nữ&gt; áo&gt; áo duffel")</f>
        <v>Đấu giá&gt; Thời trang&gt; Thời trang nữ&gt; áo&gt; áo duffel</v>
      </c>
      <c r="F887" t="str">
        <f t="shared" ca="1" si="13"/>
        <v>"2084007188" : "áo che bằng vải thô",</v>
      </c>
    </row>
    <row r="888" spans="1:6" ht="15.75" customHeight="1">
      <c r="A888" s="18">
        <v>2084052235</v>
      </c>
      <c r="B888" s="18" t="s">
        <v>13254</v>
      </c>
      <c r="C888" s="18" t="s">
        <v>13255</v>
      </c>
      <c r="D888" s="5" t="str">
        <f ca="1">IFERROR(__xludf.DUMMYFUNCTION("GOOGLETRANSLATE(B888,""ja"",""vi"")"),"áo khoác Trench")</f>
        <v>áo khoác Trench</v>
      </c>
      <c r="E888" s="5" t="str">
        <f ca="1">IFERROR(__xludf.DUMMYFUNCTION("GOOGLETRANSLATE(C888,""ja"",""vi"")"),"Đấu giá&gt; Thời trang&gt; thời trang&gt; áo&gt; áo khoác nữ")</f>
        <v>Đấu giá&gt; Thời trang&gt; thời trang&gt; áo&gt; áo khoác nữ</v>
      </c>
      <c r="F888" t="str">
        <f t="shared" ca="1" si="13"/>
        <v>"2084052235" : "áo khoác Trench",</v>
      </c>
    </row>
    <row r="889" spans="1:6" ht="15.75" customHeight="1">
      <c r="A889" s="18">
        <v>2084007190</v>
      </c>
      <c r="B889" s="18" t="s">
        <v>13258</v>
      </c>
      <c r="C889" s="18" t="s">
        <v>13259</v>
      </c>
      <c r="D889" s="5" t="str">
        <f ca="1">IFERROR(__xludf.DUMMYFUNCTION("GOOGLETRANSLATE(B889,""ja"",""vi"")"),"áo khoác Pea")</f>
        <v>áo khoác Pea</v>
      </c>
      <c r="E889" s="5" t="str">
        <f ca="1">IFERROR(__xludf.DUMMYFUNCTION("GOOGLETRANSLATE(C889,""ja"",""vi"")"),"Đấu giá&gt; Thời trang&gt; thời trang&gt; áo&gt; áo hạt đậu phụ nữ")</f>
        <v>Đấu giá&gt; Thời trang&gt; thời trang&gt; áo&gt; áo hạt đậu phụ nữ</v>
      </c>
      <c r="F889" t="str">
        <f t="shared" ca="1" si="13"/>
        <v>"2084007190" : "áo khoác Pea",</v>
      </c>
    </row>
    <row r="890" spans="1:6" ht="15.75" customHeight="1">
      <c r="A890" s="18">
        <v>2084245289</v>
      </c>
      <c r="B890" s="18" t="s">
        <v>13263</v>
      </c>
      <c r="C890" s="18" t="s">
        <v>13264</v>
      </c>
      <c r="D890" s="5" t="str">
        <f ca="1">IFERROR(__xludf.DUMMYFUNCTION("GOOGLETRANSLATE(B890,""ja"",""vi"")"),"mods")</f>
        <v>mods</v>
      </c>
      <c r="E890" s="5" t="str">
        <f ca="1">IFERROR(__xludf.DUMMYFUNCTION("GOOGLETRANSLATE(C890,""ja"",""vi"")"),"Đấu giá&gt; Thời trang&gt; Phụ nữ thời trang&gt; áo&gt; mods")</f>
        <v>Đấu giá&gt; Thời trang&gt; Phụ nữ thời trang&gt; áo&gt; mods</v>
      </c>
      <c r="F890" t="str">
        <f t="shared" ca="1" si="13"/>
        <v>"2084245289" : "mods",</v>
      </c>
    </row>
    <row r="891" spans="1:6" ht="15.75" customHeight="1">
      <c r="A891" s="18">
        <v>2084007189</v>
      </c>
      <c r="B891" s="18" t="s">
        <v>13269</v>
      </c>
      <c r="C891" s="18" t="s">
        <v>13270</v>
      </c>
      <c r="D891" s="5" t="str">
        <f ca="1">IFERROR(__xludf.DUMMYFUNCTION("GOOGLETRANSLATE(B891,""ja"",""vi"")"),"áo mưa")</f>
        <v>áo mưa</v>
      </c>
      <c r="E891" s="5" t="str">
        <f ca="1">IFERROR(__xludf.DUMMYFUNCTION("GOOGLETRANSLATE(C891,""ja"",""vi"")"),"Đấu giá&gt; Thời trang&gt; Phụ nữ thời trang&gt; áo&gt; áo mưa")</f>
        <v>Đấu giá&gt; Thời trang&gt; Phụ nữ thời trang&gt; áo&gt; áo mưa</v>
      </c>
      <c r="F891" t="str">
        <f t="shared" ca="1" si="13"/>
        <v>"2084007189" : "áo mưa",</v>
      </c>
    </row>
    <row r="892" spans="1:6" ht="15.75" customHeight="1">
      <c r="A892" s="18">
        <v>2084008981</v>
      </c>
      <c r="B892" s="18" t="s">
        <v>13277</v>
      </c>
      <c r="C892" s="18" t="s">
        <v>13278</v>
      </c>
      <c r="D892" s="5" t="str">
        <f ca="1">IFERROR(__xludf.DUMMYFUNCTION("GOOGLETRANSLATE(B892,""ja"",""vi"")"),"Lông, lông thú")</f>
        <v>Lông, lông thú</v>
      </c>
      <c r="E892" s="5" t="str">
        <f ca="1">IFERROR(__xludf.DUMMYFUNCTION("GOOGLETRANSLATE(C892,""ja"",""vi"")"),"Đấu giá&gt; Thời trang&gt; Phụ nữ thời trang&gt; áo&gt; lông, lông thú")</f>
        <v>Đấu giá&gt; Thời trang&gt; Phụ nữ thời trang&gt; áo&gt; lông, lông thú</v>
      </c>
      <c r="F892" t="str">
        <f t="shared" ca="1" si="13"/>
        <v>"2084008981" : "Lông, lông thú",</v>
      </c>
    </row>
    <row r="893" spans="1:6" ht="15.75" customHeight="1">
      <c r="A893" s="18">
        <v>2084047646</v>
      </c>
      <c r="B893" s="18" t="s">
        <v>13280</v>
      </c>
      <c r="C893" s="18" t="s">
        <v>13281</v>
      </c>
      <c r="D893" s="5" t="str">
        <f ca="1">IFERROR(__xludf.DUMMYFUNCTION("GOOGLETRANSLATE(B893,""ja"",""vi"")"),"Mẹ Tòa án")</f>
        <v>Mẹ Tòa án</v>
      </c>
      <c r="E893" s="5" t="str">
        <f ca="1">IFERROR(__xludf.DUMMYFUNCTION("GOOGLETRANSLATE(C893,""ja"",""vi"")"),"Đấu giá&gt; Thời trang&gt; thời trang&gt; áo&gt; áo mama nữ")</f>
        <v>Đấu giá&gt; Thời trang&gt; thời trang&gt; áo&gt; áo mama nữ</v>
      </c>
      <c r="F893" t="str">
        <f t="shared" ca="1" si="13"/>
        <v>"2084047646" : "Mẹ Tòa án",</v>
      </c>
    </row>
    <row r="894" spans="1:6" ht="15.75" customHeight="1">
      <c r="A894" s="18">
        <v>2084052540</v>
      </c>
      <c r="B894" s="18" t="s">
        <v>13287</v>
      </c>
      <c r="C894" s="18" t="s">
        <v>13288</v>
      </c>
      <c r="D894" s="5" t="str">
        <f ca="1">IFERROR(__xludf.DUMMYFUNCTION("GOOGLETRANSLATE(B894,""ja"",""vi"")"),"sân vận động nhảy")</f>
        <v>sân vận động nhảy</v>
      </c>
      <c r="E894" s="5" t="str">
        <f ca="1">IFERROR(__xludf.DUMMYFUNCTION("GOOGLETRANSLATE(C894,""ja"",""vi"")"),"Đấu giá&gt; Thời trang&gt; thời trang&gt; áo&gt; sân vận động nhảy nữ")</f>
        <v>Đấu giá&gt; Thời trang&gt; thời trang&gt; áo&gt; sân vận động nhảy nữ</v>
      </c>
      <c r="F894" t="str">
        <f t="shared" ca="1" si="13"/>
        <v>"2084052540" : "sân vận động nhảy",</v>
      </c>
    </row>
    <row r="895" spans="1:6" ht="15.75" customHeight="1">
      <c r="A895" s="18">
        <v>2084007179</v>
      </c>
      <c r="B895" s="18" t="s">
        <v>13292</v>
      </c>
      <c r="C895" s="18" t="s">
        <v>13294</v>
      </c>
      <c r="D895" s="5" t="str">
        <f ca="1">IFERROR(__xludf.DUMMYFUNCTION("GOOGLETRANSLATE(B895,""ja"",""vi"")"),"xuống áo khoác")</f>
        <v>xuống áo khoác</v>
      </c>
      <c r="E895" s="5" t="str">
        <f ca="1">IFERROR(__xludf.DUMMYFUNCTION("GOOGLETRANSLATE(C895,""ja"",""vi"")"),"Đấu giá&gt; Thời trang&gt; thời trang&gt; áo&gt; áo khoác xuống của phụ nữ")</f>
        <v>Đấu giá&gt; Thời trang&gt; thời trang&gt; áo&gt; áo khoác xuống của phụ nữ</v>
      </c>
      <c r="F895" t="str">
        <f t="shared" ca="1" si="13"/>
        <v>"2084007179" : "xuống áo khoác",</v>
      </c>
    </row>
    <row r="896" spans="1:6" ht="15.75" customHeight="1">
      <c r="A896" s="18">
        <v>2084243901</v>
      </c>
      <c r="B896" s="18" t="s">
        <v>13299</v>
      </c>
      <c r="C896" s="18" t="s">
        <v>13300</v>
      </c>
      <c r="D896" s="5" t="str">
        <f ca="1">IFERROR(__xludf.DUMMYFUNCTION("GOOGLETRANSLATE(B896,""ja"",""vi"")"),"loại áo chồng đầu vào")</f>
        <v>loại áo chồng đầu vào</v>
      </c>
      <c r="E896" s="5" t="str">
        <f ca="1">IFERROR(__xludf.DUMMYFUNCTION("GOOGLETRANSLATE(C896,""ja"",""vi"")"),"Đấu giá&gt; Thời trang&gt; Phụ nữ thời trang&gt; áo&gt; poncho")</f>
        <v>Đấu giá&gt; Thời trang&gt; Phụ nữ thời trang&gt; áo&gt; poncho</v>
      </c>
      <c r="F896" t="str">
        <f t="shared" ca="1" si="13"/>
        <v>"2084243901" : "loại áo chồng đầu vào",</v>
      </c>
    </row>
    <row r="897" spans="1:6" ht="15.75" customHeight="1">
      <c r="A897" s="18">
        <v>2084243900</v>
      </c>
      <c r="B897" s="18" t="s">
        <v>13305</v>
      </c>
      <c r="C897" s="18" t="s">
        <v>13306</v>
      </c>
      <c r="D897" s="5" t="str">
        <f ca="1">IFERROR(__xludf.DUMMYFUNCTION("GOOGLETRANSLATE(B897,""ja"",""vi"")"),"Riders")</f>
        <v>Riders</v>
      </c>
      <c r="E897" s="5" t="str">
        <f ca="1">IFERROR(__xludf.DUMMYFUNCTION("GOOGLETRANSLATE(C897,""ja"",""vi"")"),"Đấu giá&gt; thời trang&gt; áo&gt; Riders thời trang&gt; Phụ nữ")</f>
        <v>Đấu giá&gt; thời trang&gt; áo&gt; Riders thời trang&gt; Phụ nữ</v>
      </c>
      <c r="F897" t="str">
        <f t="shared" ca="1" si="13"/>
        <v>"2084243900" : "Riders",</v>
      </c>
    </row>
    <row r="898" spans="1:6" ht="15.75" customHeight="1">
      <c r="A898" s="18">
        <v>2084005209</v>
      </c>
      <c r="B898" s="18" t="s">
        <v>13309</v>
      </c>
      <c r="C898" s="18" t="s">
        <v>13311</v>
      </c>
      <c r="D898" s="5" t="str">
        <f ca="1">IFERROR(__xludf.DUMMYFUNCTION("GOOGLETRANSLATE(B898,""ja"",""vi"")"),"Áo khoác, áo cộc tay")</f>
        <v>Áo khoác, áo cộc tay</v>
      </c>
      <c r="E898" s="5" t="str">
        <f ca="1">IFERROR(__xludf.DUMMYFUNCTION("GOOGLETRANSLATE(C898,""ja"",""vi"")"),"Đấu giá&gt; Thời trang&gt; Phụ nữ thời trang&gt; áo khoác, áo&gt; áo khoác, áo cộc tay")</f>
        <v>Đấu giá&gt; Thời trang&gt; Phụ nữ thời trang&gt; áo khoác, áo&gt; áo khoác, áo cộc tay</v>
      </c>
      <c r="F898" t="str">
        <f t="shared" ref="F898:F961" ca="1" si="14">CONCATENATE(CHAR(34)&amp;"",A898,""&amp;CHAR(34)," : ", CHAR(34)&amp;"",D898,""&amp;CHAR(34),",")</f>
        <v>"2084005209" : "Áo khoác, áo cộc tay",</v>
      </c>
    </row>
    <row r="899" spans="1:6" ht="15.75" customHeight="1">
      <c r="A899" s="18">
        <v>2084005210</v>
      </c>
      <c r="B899" s="18" t="s">
        <v>13313</v>
      </c>
      <c r="C899" s="18" t="s">
        <v>13315</v>
      </c>
      <c r="D899" s="5" t="str">
        <f ca="1">IFERROR(__xludf.DUMMYFUNCTION("GOOGLETRANSLATE(B899,""ja"",""vi"")"),"Jumper, blouson")</f>
        <v>Jumper, blouson</v>
      </c>
      <c r="E899" s="5" t="str">
        <f ca="1">IFERROR(__xludf.DUMMYFUNCTION("GOOGLETRANSLATE(C899,""ja"",""vi"")"),"Đấu giá&gt; Thời trang&gt; Phụ nữ thời trang&gt; áo khoác, áo&gt; jumper, blouson")</f>
        <v>Đấu giá&gt; Thời trang&gt; Phụ nữ thời trang&gt; áo khoác, áo&gt; jumper, blouson</v>
      </c>
      <c r="F899" t="str">
        <f t="shared" ca="1" si="14"/>
        <v>"2084005210" : "Jumper, blouson",</v>
      </c>
    </row>
    <row r="900" spans="1:6" ht="15.75" customHeight="1">
      <c r="A900" s="18">
        <v>2084007179</v>
      </c>
      <c r="B900" s="18" t="s">
        <v>13292</v>
      </c>
      <c r="C900" s="18" t="s">
        <v>13317</v>
      </c>
      <c r="D900" s="5" t="str">
        <f ca="1">IFERROR(__xludf.DUMMYFUNCTION("GOOGLETRANSLATE(B900,""ja"",""vi"")"),"xuống áo khoác")</f>
        <v>xuống áo khoác</v>
      </c>
      <c r="E900" s="5" t="str">
        <f ca="1">IFERROR(__xludf.DUMMYFUNCTION("GOOGLETRANSLATE(C900,""ja"",""vi"")"),"Đấu giá&gt; Thời trang&gt; thời trang&gt; áo khoác, áo&gt; áo khoác xuống của phụ nữ")</f>
        <v>Đấu giá&gt; Thời trang&gt; thời trang&gt; áo khoác, áo&gt; áo khoác xuống của phụ nữ</v>
      </c>
      <c r="F900" t="str">
        <f t="shared" ca="1" si="14"/>
        <v>"2084007179" : "xuống áo khoác",</v>
      </c>
    </row>
    <row r="901" spans="1:6" ht="15.75" customHeight="1">
      <c r="A901" s="18">
        <v>2084064438</v>
      </c>
      <c r="B901" s="18" t="s">
        <v>13320</v>
      </c>
      <c r="C901" s="18" t="s">
        <v>13321</v>
      </c>
      <c r="D901" s="5" t="str">
        <f ca="1">IFERROR(__xludf.DUMMYFUNCTION("GOOGLETRANSLATE(B901,""ja"",""vi"")"),"xuống vest")</f>
        <v>xuống vest</v>
      </c>
      <c r="E901" s="5" t="str">
        <f ca="1">IFERROR(__xludf.DUMMYFUNCTION("GOOGLETRANSLATE(C901,""ja"",""vi"")"),"Đấu giá&gt; Thời trang&gt; Thời trang nữ&gt; áo khoác, áo&gt; xuống vest")</f>
        <v>Đấu giá&gt; Thời trang&gt; Thời trang nữ&gt; áo khoác, áo&gt; xuống vest</v>
      </c>
      <c r="F901" t="str">
        <f t="shared" ca="1" si="14"/>
        <v>"2084064438" : "xuống vest",</v>
      </c>
    </row>
    <row r="902" spans="1:6" ht="15.75" customHeight="1">
      <c r="A902" s="18">
        <v>2084007180</v>
      </c>
      <c r="B902" s="18" t="s">
        <v>13324</v>
      </c>
      <c r="C902" s="18" t="s">
        <v>13326</v>
      </c>
      <c r="D902" s="5" t="str">
        <f ca="1">IFERROR(__xludf.DUMMYFUNCTION("GOOGLETRANSLATE(B902,""ja"",""vi"")"),"qụa khoan")</f>
        <v>qụa khoan</v>
      </c>
      <c r="E902" s="5" t="str">
        <f ca="1">IFERROR(__xludf.DUMMYFUNCTION("GOOGLETRANSLATE(C902,""ja"",""vi"")"),"Đấu giá&gt; Thời trang&gt; Phụ nữ thời trang&gt; áo khoác, áo&gt; parka")</f>
        <v>Đấu giá&gt; Thời trang&gt; Phụ nữ thời trang&gt; áo khoác, áo&gt; parka</v>
      </c>
      <c r="F902" t="str">
        <f t="shared" ca="1" si="14"/>
        <v>"2084007180" : "qụa khoan",</v>
      </c>
    </row>
    <row r="903" spans="1:6" ht="15.75" customHeight="1">
      <c r="A903" s="18">
        <v>2084243901</v>
      </c>
      <c r="B903" s="18" t="s">
        <v>13299</v>
      </c>
      <c r="C903" s="18" t="s">
        <v>13329</v>
      </c>
      <c r="D903" s="5" t="str">
        <f ca="1">IFERROR(__xludf.DUMMYFUNCTION("GOOGLETRANSLATE(B903,""ja"",""vi"")"),"loại áo chồng đầu vào")</f>
        <v>loại áo chồng đầu vào</v>
      </c>
      <c r="E903" s="5" t="str">
        <f ca="1">IFERROR(__xludf.DUMMYFUNCTION("GOOGLETRANSLATE(C903,""ja"",""vi"")"),"Đấu giá&gt; Thời trang&gt; Phụ nữ thời trang&gt; áo khoác, áo&gt; poncho")</f>
        <v>Đấu giá&gt; Thời trang&gt; Phụ nữ thời trang&gt; áo khoác, áo&gt; poncho</v>
      </c>
      <c r="F903" t="str">
        <f t="shared" ca="1" si="14"/>
        <v>"2084243901" : "loại áo chồng đầu vào",</v>
      </c>
    </row>
    <row r="904" spans="1:6" ht="15.75" customHeight="1">
      <c r="A904" s="18">
        <v>2084243900</v>
      </c>
      <c r="B904" s="18" t="s">
        <v>13305</v>
      </c>
      <c r="C904" s="18" t="s">
        <v>13332</v>
      </c>
      <c r="D904" s="5" t="str">
        <f ca="1">IFERROR(__xludf.DUMMYFUNCTION("GOOGLETRANSLATE(B904,""ja"",""vi"")"),"Riders")</f>
        <v>Riders</v>
      </c>
      <c r="E904" s="5" t="str">
        <f ca="1">IFERROR(__xludf.DUMMYFUNCTION("GOOGLETRANSLATE(C904,""ja"",""vi"")"),"Đấu giá&gt; Thời trang&gt; Phụ nữ thời trang&gt; áo khoác, áo&gt; Riders")</f>
        <v>Đấu giá&gt; Thời trang&gt; Phụ nữ thời trang&gt; áo khoác, áo&gt; Riders</v>
      </c>
      <c r="F904" t="str">
        <f t="shared" ca="1" si="14"/>
        <v>"2084243900" : "Riders",</v>
      </c>
    </row>
    <row r="905" spans="1:6" ht="15.75" customHeight="1">
      <c r="A905" s="18">
        <v>2084007153</v>
      </c>
      <c r="B905" s="18" t="s">
        <v>13334</v>
      </c>
      <c r="C905" s="18" t="s">
        <v>13335</v>
      </c>
      <c r="D905" s="5" t="str">
        <f ca="1">IFERROR(__xludf.DUMMYFUNCTION("GOOGLETRANSLATE(B905,""ja"",""vi"")"),"bộ đồ")</f>
        <v>bộ đồ</v>
      </c>
      <c r="E905" s="5" t="str">
        <f ca="1">IFERROR(__xludf.DUMMYFUNCTION("GOOGLETRANSLATE(C905,""ja"",""vi"")"),"Đấu giá&gt; Thời trang&gt; Phụ nữ thời trang&gt; áo khoác, áo&gt; Suit")</f>
        <v>Đấu giá&gt; Thời trang&gt; Phụ nữ thời trang&gt; áo khoác, áo&gt; Suit</v>
      </c>
      <c r="F905" t="str">
        <f t="shared" ca="1" si="14"/>
        <v>"2084007153" : "bộ đồ",</v>
      </c>
    </row>
    <row r="906" spans="1:6" ht="15.75" customHeight="1">
      <c r="A906" s="18">
        <v>2084005208</v>
      </c>
      <c r="B906" s="18" t="s">
        <v>46</v>
      </c>
      <c r="C906" s="18" t="s">
        <v>13337</v>
      </c>
      <c r="D906" s="5" t="str">
        <f ca="1">IFERROR(__xludf.DUMMYFUNCTION("GOOGLETRANSLATE(B906,""ja"",""vi"")"),"nếu không thì")</f>
        <v>nếu không thì</v>
      </c>
      <c r="E906" s="5" t="str">
        <f ca="1">IFERROR(__xludf.DUMMYFUNCTION("GOOGLETRANSLATE(C906,""ja"",""vi"")"),"Đấu giá&gt; Thời trang&gt; Phụ nữ thời trang&gt; áo khoác, áo&gt; Khác")</f>
        <v>Đấu giá&gt; Thời trang&gt; Phụ nữ thời trang&gt; áo khoác, áo&gt; Khác</v>
      </c>
      <c r="F906" t="str">
        <f t="shared" ca="1" si="14"/>
        <v>"2084005208" : "nếu không thì",</v>
      </c>
    </row>
    <row r="907" spans="1:6" ht="15.75" customHeight="1">
      <c r="A907" s="18">
        <v>2084064207</v>
      </c>
      <c r="B907" s="18" t="s">
        <v>13341</v>
      </c>
      <c r="C907" s="18" t="s">
        <v>13342</v>
      </c>
      <c r="D907" s="5" t="str">
        <f ca="1">IFERROR(__xludf.DUMMYFUNCTION("GOOGLETRANSLATE(B907,""ja"",""vi"")"),"kích thước XS dưới đây")</f>
        <v>kích thước XS dưới đây</v>
      </c>
      <c r="E907" s="5" t="str">
        <f ca="1">IFERROR(__xludf.DUMMYFUNCTION("GOOGLETRANSLATE(C907,""ja"",""vi"")"),"Đấu giá&gt; thời trang thời trang&gt; Phụ nữ&gt; cardigan&gt; kích thước XS dưới đây")</f>
        <v>Đấu giá&gt; thời trang thời trang&gt; Phụ nữ&gt; cardigan&gt; kích thước XS dưới đây</v>
      </c>
      <c r="F907" t="str">
        <f t="shared" ca="1" si="14"/>
        <v>"2084064207" : "kích thước XS dưới đây",</v>
      </c>
    </row>
    <row r="908" spans="1:6" ht="15.75" customHeight="1">
      <c r="A908" s="18">
        <v>2084064208</v>
      </c>
      <c r="B908" s="18" t="s">
        <v>13345</v>
      </c>
      <c r="C908" s="18" t="s">
        <v>13347</v>
      </c>
      <c r="D908" s="5" t="str">
        <f ca="1">IFERROR(__xludf.DUMMYFUNCTION("GOOGLETRANSLATE(B908,""ja"",""vi"")"),"size S")</f>
        <v>size S</v>
      </c>
      <c r="E908" s="5" t="str">
        <f ca="1">IFERROR(__xludf.DUMMYFUNCTION("GOOGLETRANSLATE(C908,""ja"",""vi"")"),"Đấu giá&gt; Thời trang&gt; Thời trang nữ&gt; cardigan&gt; S kích thước")</f>
        <v>Đấu giá&gt; Thời trang&gt; Thời trang nữ&gt; cardigan&gt; S kích thước</v>
      </c>
      <c r="F908" t="str">
        <f t="shared" ca="1" si="14"/>
        <v>"2084064208" : "size S",</v>
      </c>
    </row>
    <row r="909" spans="1:6" ht="15.75" customHeight="1">
      <c r="A909" s="18">
        <v>2084064209</v>
      </c>
      <c r="B909" s="18" t="s">
        <v>13351</v>
      </c>
      <c r="C909" s="18" t="s">
        <v>13352</v>
      </c>
      <c r="D909" s="5" t="str">
        <f ca="1">IFERROR(__xludf.DUMMYFUNCTION("GOOGLETRANSLATE(B909,""ja"",""vi"")"),"size M")</f>
        <v>size M</v>
      </c>
      <c r="E909" s="5" t="str">
        <f ca="1">IFERROR(__xludf.DUMMYFUNCTION("GOOGLETRANSLATE(C909,""ja"",""vi"")"),"Đấu giá&gt; Thời trang&gt; Thời trang nữ&gt; cardigan&gt; size M")</f>
        <v>Đấu giá&gt; Thời trang&gt; Thời trang nữ&gt; cardigan&gt; size M</v>
      </c>
      <c r="F909" t="str">
        <f t="shared" ca="1" si="14"/>
        <v>"2084064209" : "size M",</v>
      </c>
    </row>
    <row r="910" spans="1:6" ht="15.75" customHeight="1">
      <c r="A910" s="18">
        <v>2084064210</v>
      </c>
      <c r="B910" s="18" t="s">
        <v>13355</v>
      </c>
      <c r="C910" s="18" t="s">
        <v>13356</v>
      </c>
      <c r="D910" s="5" t="str">
        <f ca="1">IFERROR(__xludf.DUMMYFUNCTION("GOOGLETRANSLATE(B910,""ja"",""vi"")"),"size L")</f>
        <v>size L</v>
      </c>
      <c r="E910" s="5" t="str">
        <f ca="1">IFERROR(__xludf.DUMMYFUNCTION("GOOGLETRANSLATE(C910,""ja"",""vi"")"),"Đấu giá&gt; Thời trang&gt; Phụ nữ thời trang&gt; cardigan&gt; L kích thước")</f>
        <v>Đấu giá&gt; Thời trang&gt; Phụ nữ thời trang&gt; cardigan&gt; L kích thước</v>
      </c>
      <c r="F910" t="str">
        <f t="shared" ca="1" si="14"/>
        <v>"2084064210" : "size L",</v>
      </c>
    </row>
    <row r="911" spans="1:6" ht="15.75" customHeight="1">
      <c r="A911" s="18">
        <v>2084064211</v>
      </c>
      <c r="B911" s="18" t="s">
        <v>13360</v>
      </c>
      <c r="C911" s="18" t="s">
        <v>13362</v>
      </c>
      <c r="D911" s="5" t="str">
        <f ca="1">IFERROR(__xludf.DUMMYFUNCTION("GOOGLETRANSLATE(B911,""ja"",""vi"")"),"kích thước XL hoặc lớn hơn")</f>
        <v>kích thước XL hoặc lớn hơn</v>
      </c>
      <c r="E911" s="5" t="str">
        <f ca="1">IFERROR(__xludf.DUMMYFUNCTION("GOOGLETRANSLATE(C911,""ja"",""vi"")"),"Đấu giá&gt; Thời trang&gt; Thời trang nữ&gt; cardigan&gt; kích thước XL hơn")</f>
        <v>Đấu giá&gt; Thời trang&gt; Thời trang nữ&gt; cardigan&gt; kích thước XL hơn</v>
      </c>
      <c r="F911" t="str">
        <f t="shared" ca="1" si="14"/>
        <v>"2084064211" : "kích thước XL hoặc lớn hơn",</v>
      </c>
    </row>
    <row r="912" spans="1:6" ht="15.75" customHeight="1">
      <c r="A912" s="18">
        <v>2084027321</v>
      </c>
      <c r="B912" s="18" t="s">
        <v>8840</v>
      </c>
      <c r="C912" s="18" t="s">
        <v>13364</v>
      </c>
      <c r="D912" s="5" t="str">
        <f ca="1">IFERROR(__xludf.DUMMYFUNCTION("GOOGLETRANSLATE(B912,""ja"",""vi"")"),"Apese")</f>
        <v>Apese</v>
      </c>
      <c r="E912" s="5" t="str">
        <f ca="1">IFERROR(__xludf.DUMMYFUNCTION("GOOGLETRANSLATE(C912,""ja"",""vi"")"),"Đấu giá&gt; thời trang thời trang&gt; Phụ nữ&gt; cardigan&gt; Apese")</f>
        <v>Đấu giá&gt; thời trang thời trang&gt; Phụ nữ&gt; cardigan&gt; Apese</v>
      </c>
      <c r="F912" t="str">
        <f t="shared" ca="1" si="14"/>
        <v>"2084027321" : "Apese",</v>
      </c>
    </row>
    <row r="913" spans="1:6" ht="15.75" customHeight="1">
      <c r="A913" s="18">
        <v>2084027322</v>
      </c>
      <c r="B913" s="18" t="s">
        <v>13367</v>
      </c>
      <c r="C913" s="18" t="s">
        <v>13369</v>
      </c>
      <c r="D913" s="5" t="str">
        <f ca="1">IFERROR(__xludf.DUMMYFUNCTION("GOOGLETRANSLATE(B913,""ja"",""vi"")"),"Agnes b.")</f>
        <v>Agnes b.</v>
      </c>
      <c r="E913" s="5" t="str">
        <f ca="1">IFERROR(__xludf.DUMMYFUNCTION("GOOGLETRANSLATE(C913,""ja"",""vi"")"),"Đấu giá&gt; thời trang thời trang&gt; Phụ nữ&gt; cardigan&gt; Agnes b.")</f>
        <v>Đấu giá&gt; thời trang thời trang&gt; Phụ nữ&gt; cardigan&gt; Agnes b.</v>
      </c>
      <c r="F913" t="str">
        <f t="shared" ca="1" si="14"/>
        <v>"2084027322" : "Agnes b.",</v>
      </c>
    </row>
    <row r="914" spans="1:6" ht="15.75" customHeight="1">
      <c r="A914" s="18">
        <v>2084027323</v>
      </c>
      <c r="B914" s="18" t="s">
        <v>8896</v>
      </c>
      <c r="C914" s="18" t="s">
        <v>13372</v>
      </c>
      <c r="D914" s="5" t="str">
        <f ca="1">IFERROR(__xludf.DUMMYFUNCTION("GOOGLETRANSLATE(B914,""ja"",""vi"")"),"Alba Rosa")</f>
        <v>Alba Rosa</v>
      </c>
      <c r="E914" s="5" t="str">
        <f ca="1">IFERROR(__xludf.DUMMYFUNCTION("GOOGLETRANSLATE(C914,""ja"",""vi"")"),"Đấu giá&gt; thời trang thời trang&gt; Phụ nữ&gt; cardigan&gt; Alba Rosa")</f>
        <v>Đấu giá&gt; thời trang thời trang&gt; Phụ nữ&gt; cardigan&gt; Alba Rosa</v>
      </c>
      <c r="F914" t="str">
        <f t="shared" ca="1" si="14"/>
        <v>"2084027323" : "Alba Rosa",</v>
      </c>
    </row>
    <row r="915" spans="1:6" ht="15.75" customHeight="1">
      <c r="A915" s="18">
        <v>2084027324</v>
      </c>
      <c r="B915" s="18" t="s">
        <v>8916</v>
      </c>
      <c r="C915" s="18" t="s">
        <v>13375</v>
      </c>
      <c r="D915" s="5" t="str">
        <f ca="1">IFERROR(__xludf.DUMMYFUNCTION("GOOGLETRANSLATE(B915,""ja"",""vi"")"),"Armani")</f>
        <v>Armani</v>
      </c>
      <c r="E915" s="5" t="str">
        <f ca="1">IFERROR(__xludf.DUMMYFUNCTION("GOOGLETRANSLATE(C915,""ja"",""vi"")"),"Đấu giá&gt; thời trang thời trang&gt; Phụ nữ&gt; cardigan&gt; Armani")</f>
        <v>Đấu giá&gt; thời trang thời trang&gt; Phụ nữ&gt; cardigan&gt; Armani</v>
      </c>
      <c r="F915" t="str">
        <f t="shared" ca="1" si="14"/>
        <v>"2084027324" : "Armani",</v>
      </c>
    </row>
    <row r="916" spans="1:6" ht="15.75" customHeight="1">
      <c r="A916" s="18">
        <v>2084027325</v>
      </c>
      <c r="B916" s="18" t="s">
        <v>8976</v>
      </c>
      <c r="C916" s="18" t="s">
        <v>13380</v>
      </c>
      <c r="D916" s="5" t="str">
        <f ca="1">IFERROR(__xludf.DUMMYFUNCTION("GOOGLETRANSLATE(B916,""ja"",""vi"")"),"Untitled")</f>
        <v>Untitled</v>
      </c>
      <c r="E916" s="5" t="str">
        <f ca="1">IFERROR(__xludf.DUMMYFUNCTION("GOOGLETRANSLATE(C916,""ja"",""vi"")"),"Đấu giá&gt; thời trang thời trang&gt; Phụ nữ&gt; cardigan&gt; Untitled")</f>
        <v>Đấu giá&gt; thời trang thời trang&gt; Phụ nữ&gt; cardigan&gt; Untitled</v>
      </c>
      <c r="F916" t="str">
        <f t="shared" ca="1" si="14"/>
        <v>"2084027325" : "Untitled",</v>
      </c>
    </row>
    <row r="917" spans="1:6" ht="15.75" customHeight="1">
      <c r="A917" s="18">
        <v>2084027326</v>
      </c>
      <c r="B917" s="18" t="s">
        <v>9044</v>
      </c>
      <c r="C917" s="18" t="s">
        <v>13384</v>
      </c>
      <c r="D917" s="5" t="str">
        <f ca="1">IFERROR(__xludf.DUMMYFUNCTION("GOOGLETRANSLATE(B917,""ja"",""vi"")"),"Inedo")</f>
        <v>Inedo</v>
      </c>
      <c r="E917" s="5" t="str">
        <f ca="1">IFERROR(__xludf.DUMMYFUNCTION("GOOGLETRANSLATE(C917,""ja"",""vi"")"),"Đấu giá&gt; thời trang thời trang&gt; Phụ nữ&gt; cardigan&gt; Inedo")</f>
        <v>Đấu giá&gt; thời trang thời trang&gt; Phụ nữ&gt; cardigan&gt; Inedo</v>
      </c>
      <c r="F917" t="str">
        <f t="shared" ca="1" si="14"/>
        <v>"2084027326" : "Inedo",</v>
      </c>
    </row>
    <row r="918" spans="1:6" ht="15.75" customHeight="1">
      <c r="A918" s="18">
        <v>2084027327</v>
      </c>
      <c r="B918" s="18" t="s">
        <v>9065</v>
      </c>
      <c r="C918" s="18" t="s">
        <v>13386</v>
      </c>
      <c r="D918" s="5" t="str">
        <f ca="1">IFERROR(__xludf.DUMMYFUNCTION("GOOGLETRANSLATE(B918,""ja"",""vi"")"),"In'e")</f>
        <v>In'e</v>
      </c>
      <c r="E918" s="5" t="str">
        <f ca="1">IFERROR(__xludf.DUMMYFUNCTION("GOOGLETRANSLATE(C918,""ja"",""vi"")"),"Đấu giá&gt; thời trang thời trang&gt; Phụ nữ&gt; cardigan&gt; In'e")</f>
        <v>Đấu giá&gt; thời trang thời trang&gt; Phụ nữ&gt; cardigan&gt; In'e</v>
      </c>
      <c r="F918" t="str">
        <f t="shared" ca="1" si="14"/>
        <v>"2084027327" : "In'e",</v>
      </c>
    </row>
    <row r="919" spans="1:6" ht="15.75" customHeight="1">
      <c r="A919" s="18">
        <v>2084027328</v>
      </c>
      <c r="B919" s="18" t="s">
        <v>9096</v>
      </c>
      <c r="C919" s="18" t="s">
        <v>13391</v>
      </c>
      <c r="D919" s="5" t="str">
        <f ca="1">IFERROR(__xludf.DUMMYFUNCTION("GOOGLETRANSLATE(B919,""ja"",""vi"")"),"Indivi")</f>
        <v>Indivi</v>
      </c>
      <c r="E919" s="5" t="str">
        <f ca="1">IFERROR(__xludf.DUMMYFUNCTION("GOOGLETRANSLATE(C919,""ja"",""vi"")"),"Đấu giá&gt; thời trang thời trang&gt; Phụ nữ&gt; cardigan&gt; Indivi")</f>
        <v>Đấu giá&gt; thời trang thời trang&gt; Phụ nữ&gt; cardigan&gt; Indivi</v>
      </c>
      <c r="F919" t="str">
        <f t="shared" ca="1" si="14"/>
        <v>"2084027328" : "Indivi",</v>
      </c>
    </row>
    <row r="920" spans="1:6" ht="15.75" customHeight="1">
      <c r="A920" s="18">
        <v>2084027330</v>
      </c>
      <c r="B920" s="18" t="s">
        <v>9261</v>
      </c>
      <c r="C920" s="18" t="s">
        <v>13393</v>
      </c>
      <c r="D920" s="5" t="str">
        <f ca="1">IFERROR(__xludf.DUMMYFUNCTION("GOOGLETRANSLATE(B920,""ja"",""vi"")"),"người vị kỷ")</f>
        <v>người vị kỷ</v>
      </c>
      <c r="E920" s="5" t="str">
        <f ca="1">IFERROR(__xludf.DUMMYFUNCTION("GOOGLETRANSLATE(C920,""ja"",""vi"")"),"Đấu giá&gt; thời trang thời trang&gt; Phụ nữ&gt; cardigan&gt; ích kỷ")</f>
        <v>Đấu giá&gt; thời trang thời trang&gt; Phụ nữ&gt; cardigan&gt; ích kỷ</v>
      </c>
      <c r="F920" t="str">
        <f t="shared" ca="1" si="14"/>
        <v>"2084027330" : "người vị kỷ",</v>
      </c>
    </row>
    <row r="921" spans="1:6" ht="15.75" customHeight="1">
      <c r="A921" s="18">
        <v>2084027331</v>
      </c>
      <c r="B921" s="18" t="s">
        <v>9300</v>
      </c>
      <c r="C921" s="18" t="s">
        <v>13398</v>
      </c>
      <c r="D921" s="5" t="str">
        <f ca="1">IFERROR(__xludf.DUMMYFUNCTION("GOOGLETRANSLATE(B921,""ja"",""vi"")"),"X-Girl")</f>
        <v>X-Girl</v>
      </c>
      <c r="E921" s="5" t="str">
        <f ca="1">IFERROR(__xludf.DUMMYFUNCTION("GOOGLETRANSLATE(C921,""ja"",""vi"")"),"Đấu giá&gt; thời trang thời trang&gt; Phụ nữ&gt; cardigan&gt; X-Girl")</f>
        <v>Đấu giá&gt; thời trang thời trang&gt; Phụ nữ&gt; cardigan&gt; X-Girl</v>
      </c>
      <c r="F921" t="str">
        <f t="shared" ca="1" si="14"/>
        <v>"2084027331" : "X-Girl",</v>
      </c>
    </row>
    <row r="922" spans="1:6" ht="15.75" customHeight="1">
      <c r="A922" s="18">
        <v>2084027332</v>
      </c>
      <c r="B922" s="18" t="s">
        <v>9463</v>
      </c>
      <c r="C922" s="18" t="s">
        <v>13404</v>
      </c>
      <c r="D922" s="5" t="str">
        <f ca="1">IFERROR(__xludf.DUMMYFUNCTION("GOOGLETRANSLATE(B922,""ja"",""vi"")"),"El")</f>
        <v>El</v>
      </c>
      <c r="E922" s="5" t="str">
        <f ca="1">IFERROR(__xludf.DUMMYFUNCTION("GOOGLETRANSLATE(C922,""ja"",""vi"")"),"Đấu giá&gt; thời trang thời trang&gt; Phụ nữ&gt; cardigan&gt; El")</f>
        <v>Đấu giá&gt; thời trang thời trang&gt; Phụ nữ&gt; cardigan&gt; El</v>
      </c>
      <c r="F922" t="str">
        <f t="shared" ca="1" si="14"/>
        <v>"2084027332" : "El",</v>
      </c>
    </row>
    <row r="923" spans="1:6" ht="15.75" customHeight="1">
      <c r="A923" s="18">
        <v>2084027333</v>
      </c>
      <c r="B923" s="18" t="s">
        <v>9475</v>
      </c>
      <c r="C923" s="18" t="s">
        <v>13410</v>
      </c>
      <c r="D923" s="5" t="str">
        <f ca="1">IFERROR(__xludf.DUMMYFUNCTION("GOOGLETRANSLATE(B923,""ja"",""vi"")"),"Hermes")</f>
        <v>Hermes</v>
      </c>
      <c r="E923" s="5" t="str">
        <f ca="1">IFERROR(__xludf.DUMMYFUNCTION("GOOGLETRANSLATE(C923,""ja"",""vi"")"),"Đấu giá&gt; thời trang thời trang&gt; Phụ nữ&gt; cardigan&gt; Hermes")</f>
        <v>Đấu giá&gt; thời trang thời trang&gt; Phụ nữ&gt; cardigan&gt; Hermes</v>
      </c>
      <c r="F923" t="str">
        <f t="shared" ca="1" si="14"/>
        <v>"2084027333" : "Hermes",</v>
      </c>
    </row>
    <row r="924" spans="1:6" ht="15.75" customHeight="1">
      <c r="A924" s="18">
        <v>2084027334</v>
      </c>
      <c r="B924" s="18" t="s">
        <v>9537</v>
      </c>
      <c r="C924" s="18" t="s">
        <v>13415</v>
      </c>
      <c r="D924" s="5" t="str">
        <f ca="1">IFERROR(__xludf.DUMMYFUNCTION("GOOGLETRANSLATE(B924,""ja"",""vi"")"),"cộng đồng ozone")</f>
        <v>cộng đồng ozone</v>
      </c>
      <c r="E924" s="5" t="str">
        <f ca="1">IFERROR(__xludf.DUMMYFUNCTION("GOOGLETRANSLATE(C924,""ja"",""vi"")"),"Đấu giá&gt; Thời trang&gt; thời trang&gt; cardigan&gt; cộng đồng ozone nữ")</f>
        <v>Đấu giá&gt; Thời trang&gt; thời trang&gt; cardigan&gt; cộng đồng ozone nữ</v>
      </c>
      <c r="F924" t="str">
        <f t="shared" ca="1" si="14"/>
        <v>"2084027334" : "cộng đồng ozone",</v>
      </c>
    </row>
    <row r="925" spans="1:6" ht="15.75" customHeight="1">
      <c r="A925" s="18">
        <v>2084027335</v>
      </c>
      <c r="B925" s="18" t="s">
        <v>9633</v>
      </c>
      <c r="C925" s="18" t="s">
        <v>13419</v>
      </c>
      <c r="D925" s="5" t="str">
        <f ca="1">IFERROR(__xludf.DUMMYFUNCTION("GOOGLETRANSLATE(B925,""ja"",""vi"")"),"Kapalua")</f>
        <v>Kapalua</v>
      </c>
      <c r="E925" s="5" t="str">
        <f ca="1">IFERROR(__xludf.DUMMYFUNCTION("GOOGLETRANSLATE(C925,""ja"",""vi"")"),"Đấu giá&gt; thời trang thời trang&gt; Phụ nữ&gt; cardigan&gt; Kapalua")</f>
        <v>Đấu giá&gt; thời trang thời trang&gt; Phụ nữ&gt; cardigan&gt; Kapalua</v>
      </c>
      <c r="F925" t="str">
        <f t="shared" ca="1" si="14"/>
        <v>"2084027335" : "Kapalua",</v>
      </c>
    </row>
    <row r="926" spans="1:6" ht="15.75" customHeight="1">
      <c r="A926" s="18">
        <v>2084027336</v>
      </c>
      <c r="B926" s="18" t="s">
        <v>9751</v>
      </c>
      <c r="C926" s="18" t="s">
        <v>13425</v>
      </c>
      <c r="D926" s="5" t="str">
        <f ca="1">IFERROR(__xludf.DUMMYFUNCTION("GOOGLETRANSLATE(B926,""ja"",""vi"")"),"khoảng trống")</f>
        <v>khoảng trống</v>
      </c>
      <c r="E926" s="5" t="str">
        <f ca="1">IFERROR(__xludf.DUMMYFUNCTION("GOOGLETRANSLATE(C926,""ja"",""vi"")"),"Đấu giá&gt; Thời trang&gt; Phụ nữ thời trang&gt; cardigan&gt; khoảng cách")</f>
        <v>Đấu giá&gt; Thời trang&gt; Phụ nữ thời trang&gt; cardigan&gt; khoảng cách</v>
      </c>
      <c r="F926" t="str">
        <f t="shared" ca="1" si="14"/>
        <v>"2084027336" : "khoảng trống",</v>
      </c>
    </row>
    <row r="927" spans="1:6" ht="15.75" customHeight="1">
      <c r="A927" s="18">
        <v>2084027338</v>
      </c>
      <c r="B927" s="18" t="s">
        <v>9858</v>
      </c>
      <c r="C927" s="18" t="s">
        <v>13428</v>
      </c>
      <c r="D927" s="5" t="str">
        <f ca="1">IFERROR(__xludf.DUMMYFUNCTION("GOOGLETRANSLATE(B927,""ja"",""vi"")"),"Christian Dior")</f>
        <v>Christian Dior</v>
      </c>
      <c r="E927" s="5" t="str">
        <f ca="1">IFERROR(__xludf.DUMMYFUNCTION("GOOGLETRANSLATE(C927,""ja"",""vi"")"),"Đấu giá&gt; thời trang thời trang&gt; Phụ nữ&gt; cardigan&gt; Christian Dior")</f>
        <v>Đấu giá&gt; thời trang thời trang&gt; Phụ nữ&gt; cardigan&gt; Christian Dior</v>
      </c>
      <c r="F927" t="str">
        <f t="shared" ca="1" si="14"/>
        <v>"2084027338" : "Christian Dior",</v>
      </c>
    </row>
    <row r="928" spans="1:6" ht="15.75" customHeight="1">
      <c r="A928" s="18">
        <v>2084027339</v>
      </c>
      <c r="B928" s="18" t="s">
        <v>9921</v>
      </c>
      <c r="C928" s="18" t="s">
        <v>13432</v>
      </c>
      <c r="D928" s="5" t="str">
        <f ca="1">IFERROR(__xludf.DUMMYFUNCTION("GOOGLETRANSLATE(B928,""ja"",""vi"")"),"Courreges")</f>
        <v>Courreges</v>
      </c>
      <c r="E928" s="5" t="str">
        <f ca="1">IFERROR(__xludf.DUMMYFUNCTION("GOOGLETRANSLATE(C928,""ja"",""vi"")"),"Đấu giá&gt; thời trang thời trang&gt; Phụ nữ&gt; cardigan&gt; Courreges")</f>
        <v>Đấu giá&gt; thời trang thời trang&gt; Phụ nữ&gt; cardigan&gt; Courreges</v>
      </c>
      <c r="F928" t="str">
        <f t="shared" ca="1" si="14"/>
        <v>"2084027339" : "Courreges",</v>
      </c>
    </row>
    <row r="929" spans="1:6" ht="15.75" customHeight="1">
      <c r="A929" s="18">
        <v>2084027337</v>
      </c>
      <c r="B929" s="18" t="s">
        <v>9815</v>
      </c>
      <c r="C929" s="18" t="s">
        <v>13436</v>
      </c>
      <c r="D929" s="5" t="str">
        <f ca="1">IFERROR(__xludf.DUMMYFUNCTION("GOOGLETRANSLATE(B929,""ja"",""vi"")"),"Gucci")</f>
        <v>Gucci</v>
      </c>
      <c r="E929" s="5" t="str">
        <f ca="1">IFERROR(__xludf.DUMMYFUNCTION("GOOGLETRANSLATE(C929,""ja"",""vi"")"),"Đấu giá&gt; thời trang thời trang&gt; Phụ nữ&gt; cardigan&gt; Gucci")</f>
        <v>Đấu giá&gt; thời trang thời trang&gt; Phụ nữ&gt; cardigan&gt; Gucci</v>
      </c>
      <c r="F929" t="str">
        <f t="shared" ca="1" si="14"/>
        <v>"2084027337" : "Gucci",</v>
      </c>
    </row>
    <row r="930" spans="1:6" ht="15.75" customHeight="1">
      <c r="A930" s="18">
        <v>2084027290</v>
      </c>
      <c r="B930" s="18" t="s">
        <v>10020</v>
      </c>
      <c r="C930" s="18" t="s">
        <v>13440</v>
      </c>
      <c r="D930" s="5" t="str">
        <f ca="1">IFERROR(__xludf.DUMMYFUNCTION("GOOGLETRANSLATE(B930,""ja"",""vi"")"),"Kokoruru")</f>
        <v>Kokoruru</v>
      </c>
      <c r="E930" s="5" t="str">
        <f ca="1">IFERROR(__xludf.DUMMYFUNCTION("GOOGLETRANSLATE(C930,""ja"",""vi"")"),"Đấu giá&gt; thời trang thời trang&gt; Phụ nữ&gt; cardigan&gt; Kokoruru")</f>
        <v>Đấu giá&gt; thời trang thời trang&gt; Phụ nữ&gt; cardigan&gt; Kokoruru</v>
      </c>
      <c r="F930" t="str">
        <f t="shared" ca="1" si="14"/>
        <v>"2084027290" : "Kokoruru",</v>
      </c>
    </row>
    <row r="931" spans="1:6" ht="15.75" customHeight="1">
      <c r="A931" s="18">
        <v>2084027291</v>
      </c>
      <c r="B931" s="18" t="s">
        <v>10041</v>
      </c>
      <c r="C931" s="18" t="s">
        <v>13443</v>
      </c>
      <c r="D931" s="5" t="str">
        <f ca="1">IFERROR(__xludf.DUMMYFUNCTION("GOOGLETRANSLATE(B931,""ja"",""vi"")"),"Com de chế độ")</f>
        <v>Com de chế độ</v>
      </c>
      <c r="E931" s="5" t="str">
        <f ca="1">IFERROR(__xludf.DUMMYFUNCTION("GOOGLETRANSLATE(C931,""ja"",""vi"")"),"Đấu giá&gt; Thời trang&gt; Thời trang nữ&gt; cardigan&gt; com de chế độ")</f>
        <v>Đấu giá&gt; Thời trang&gt; Thời trang nữ&gt; cardigan&gt; com de chế độ</v>
      </c>
      <c r="F931" t="str">
        <f t="shared" ca="1" si="14"/>
        <v>"2084027291" : "Com de chế độ",</v>
      </c>
    </row>
    <row r="932" spans="1:6" ht="15.75" customHeight="1">
      <c r="A932" s="18">
        <v>2084027292</v>
      </c>
      <c r="B932" s="18" t="s">
        <v>10044</v>
      </c>
      <c r="C932" s="18" t="s">
        <v>13449</v>
      </c>
      <c r="D932" s="5" t="str">
        <f ca="1">IFERROR(__xludf.DUMMYFUNCTION("GOOGLETRANSLATE(B932,""ja"",""vi"")"),"Comme des Garcons")</f>
        <v>Comme des Garcons</v>
      </c>
      <c r="E932" s="5" t="str">
        <f ca="1">IFERROR(__xludf.DUMMYFUNCTION("GOOGLETRANSLATE(C932,""ja"",""vi"")"),"Đấu giá&gt; Thời trang&gt; Thời trang nữ&gt; cardigan&gt; Comme des Garcons")</f>
        <v>Đấu giá&gt; Thời trang&gt; Thời trang nữ&gt; cardigan&gt; Comme des Garcons</v>
      </c>
      <c r="F932" t="str">
        <f t="shared" ca="1" si="14"/>
        <v>"2084027292" : "Comme des Garcons",</v>
      </c>
    </row>
    <row r="933" spans="1:6" ht="15.75" customHeight="1">
      <c r="A933" s="18">
        <v>2084027293</v>
      </c>
      <c r="B933" s="18" t="s">
        <v>10229</v>
      </c>
      <c r="C933" s="18" t="s">
        <v>13455</v>
      </c>
      <c r="D933" s="5" t="str">
        <f ca="1">IFERROR(__xludf.DUMMYFUNCTION("GOOGLETRANSLATE(B933,""ja"",""vi"")"),"tàu")</f>
        <v>tàu</v>
      </c>
      <c r="E933" s="5" t="str">
        <f ca="1">IFERROR(__xludf.DUMMYFUNCTION("GOOGLETRANSLATE(C933,""ja"",""vi"")"),"Đấu giá&gt; Thời trang&gt; Phụ nữ thời trang&gt; cardigan&gt; Tàu")</f>
        <v>Đấu giá&gt; Thời trang&gt; Phụ nữ thời trang&gt; cardigan&gt; Tàu</v>
      </c>
      <c r="F933" t="str">
        <f t="shared" ca="1" si="14"/>
        <v>"2084027293" : "tàu",</v>
      </c>
    </row>
    <row r="934" spans="1:6" ht="15.75" customHeight="1">
      <c r="A934" s="18">
        <v>2084027294</v>
      </c>
      <c r="B934" s="18" t="s">
        <v>10288</v>
      </c>
      <c r="C934" s="18" t="s">
        <v>13461</v>
      </c>
      <c r="D934" s="5" t="str">
        <f ca="1">IFERROR(__xludf.DUMMYFUNCTION("GOOGLETRANSLATE(B934,""ja"",""vi"")"),"Chanel")</f>
        <v>Chanel</v>
      </c>
      <c r="E934" s="5" t="str">
        <f ca="1">IFERROR(__xludf.DUMMYFUNCTION("GOOGLETRANSLATE(C934,""ja"",""vi"")"),"Đấu giá&gt; thời trang thời trang&gt; Phụ nữ&gt; cardigan&gt; Chanel")</f>
        <v>Đấu giá&gt; thời trang thời trang&gt; Phụ nữ&gt; cardigan&gt; Chanel</v>
      </c>
      <c r="F934" t="str">
        <f t="shared" ca="1" si="14"/>
        <v>"2084027294" : "Chanel",</v>
      </c>
    </row>
    <row r="935" spans="1:6" ht="15.75" customHeight="1">
      <c r="A935" s="18">
        <v>2084027295</v>
      </c>
      <c r="B935" s="18" t="s">
        <v>10446</v>
      </c>
      <c r="C935" s="18" t="s">
        <v>13464</v>
      </c>
      <c r="D935" s="5" t="str">
        <f ca="1">IFERROR(__xludf.DUMMYFUNCTION("GOOGLETRANSLATE(B935,""ja"",""vi"")"),"Jill Stuart")</f>
        <v>Jill Stuart</v>
      </c>
      <c r="E935" s="5" t="str">
        <f ca="1">IFERROR(__xludf.DUMMYFUNCTION("GOOGLETRANSLATE(C935,""ja"",""vi"")"),"Đấu giá&gt; thời trang thời trang&gt; Phụ nữ&gt; cardigan&gt; Jill Stuart")</f>
        <v>Đấu giá&gt; thời trang thời trang&gt; Phụ nữ&gt; cardigan&gt; Jill Stuart</v>
      </c>
      <c r="F935" t="str">
        <f t="shared" ca="1" si="14"/>
        <v>"2084027295" : "Jill Stuart",</v>
      </c>
    </row>
    <row r="936" spans="1:6" ht="15.75" customHeight="1">
      <c r="A936" s="18">
        <v>2084027296</v>
      </c>
      <c r="B936" s="18" t="s">
        <v>10476</v>
      </c>
      <c r="C936" s="18" t="s">
        <v>13472</v>
      </c>
      <c r="D936" s="5" t="str">
        <f ca="1">IFERROR(__xludf.DUMMYFUNCTION("GOOGLETRANSLATE(B936,""ja"",""vi"")"),"Zucca")</f>
        <v>Zucca</v>
      </c>
      <c r="E936" s="5" t="str">
        <f ca="1">IFERROR(__xludf.DUMMYFUNCTION("GOOGLETRANSLATE(C936,""ja"",""vi"")"),"Đấu giá&gt; thời trang thời trang&gt; Phụ nữ&gt; cardigan&gt; Zucca")</f>
        <v>Đấu giá&gt; thời trang thời trang&gt; Phụ nữ&gt; cardigan&gt; Zucca</v>
      </c>
      <c r="F936" t="str">
        <f t="shared" ca="1" si="14"/>
        <v>"2084027296" : "Zucca",</v>
      </c>
    </row>
    <row r="937" spans="1:6" ht="15.75" customHeight="1">
      <c r="A937" s="18">
        <v>2084027297</v>
      </c>
      <c r="B937" s="18" t="s">
        <v>10601</v>
      </c>
      <c r="C937" s="18" t="s">
        <v>13480</v>
      </c>
      <c r="D937" s="5" t="str">
        <f ca="1">IFERROR(__xludf.DUMMYFUNCTION("GOOGLETRANSLATE(B937,""ja"",""vi"")"),"Cecil McBee")</f>
        <v>Cecil McBee</v>
      </c>
      <c r="E937" s="5" t="str">
        <f ca="1">IFERROR(__xludf.DUMMYFUNCTION("GOOGLETRANSLATE(C937,""ja"",""vi"")"),"Đấu giá&gt; thời trang thời trang&gt; Phụ nữ&gt; cardigan&gt; Cecil McBee")</f>
        <v>Đấu giá&gt; thời trang thời trang&gt; Phụ nữ&gt; cardigan&gt; Cecil McBee</v>
      </c>
      <c r="F937" t="str">
        <f t="shared" ca="1" si="14"/>
        <v>"2084027297" : "Cecil McBee",</v>
      </c>
    </row>
    <row r="938" spans="1:6" ht="15.75" customHeight="1">
      <c r="A938" s="18">
        <v>2084027298</v>
      </c>
      <c r="B938" s="18" t="s">
        <v>13486</v>
      </c>
      <c r="C938" s="18" t="s">
        <v>13489</v>
      </c>
      <c r="D938" s="5" t="str">
        <f ca="1">IFERROR(__xludf.DUMMYFUNCTION("GOOGLETRANSLATE(B938,""ja"",""vi"")"),"Donna Karan, DKNY")</f>
        <v>Donna Karan, DKNY</v>
      </c>
      <c r="E938" s="5" t="str">
        <f ca="1">IFERROR(__xludf.DUMMYFUNCTION("GOOGLETRANSLATE(C938,""ja"",""vi"")"),"Đấu giá&gt; Thời trang&gt; Thời trang nữ&gt; cardigan&gt; Donna Karan, DKNY")</f>
        <v>Đấu giá&gt; Thời trang&gt; Thời trang nữ&gt; cardigan&gt; Donna Karan, DKNY</v>
      </c>
      <c r="F938" t="str">
        <f t="shared" ca="1" si="14"/>
        <v>"2084027298" : "Donna Karan, DKNY",</v>
      </c>
    </row>
    <row r="939" spans="1:6" ht="15.75" customHeight="1">
      <c r="A939" s="18">
        <v>2084027299</v>
      </c>
      <c r="B939" s="18" t="s">
        <v>10819</v>
      </c>
      <c r="C939" s="18" t="s">
        <v>13498</v>
      </c>
      <c r="D939" s="5" t="str">
        <f ca="1">IFERROR(__xludf.DUMMYFUNCTION("GOOGLETRANSLATE(B939,""ja"",""vi"")"),"Tsumori Chisato")</f>
        <v>Tsumori Chisato</v>
      </c>
      <c r="E939" s="5" t="str">
        <f ca="1">IFERROR(__xludf.DUMMYFUNCTION("GOOGLETRANSLATE(C939,""ja"",""vi"")"),"Đấu giá&gt; thời trang thời trang&gt; Phụ nữ&gt; cardigan&gt; Tsumori Chisato")</f>
        <v>Đấu giá&gt; thời trang thời trang&gt; Phụ nữ&gt; cardigan&gt; Tsumori Chisato</v>
      </c>
      <c r="F939" t="str">
        <f t="shared" ca="1" si="14"/>
        <v>"2084027299" : "Tsumori Chisato",</v>
      </c>
    </row>
    <row r="940" spans="1:6" ht="15.75" customHeight="1">
      <c r="A940" s="18">
        <v>2084027300</v>
      </c>
      <c r="B940" s="18" t="s">
        <v>11150</v>
      </c>
      <c r="C940" s="18" t="s">
        <v>13508</v>
      </c>
      <c r="D940" s="5" t="str">
        <f ca="1">IFERROR(__xludf.DUMMYFUNCTION("GOOGLETRANSLATE(B940,""ja"",""vi"")"),"phế liệu Nai")</f>
        <v>phế liệu Nai</v>
      </c>
      <c r="E940" s="5" t="str">
        <f ca="1">IFERROR(__xludf.DUMMYFUNCTION("GOOGLETRANSLATE(C940,""ja"",""vi"")"),"Đấu giá&gt; Thời trang&gt; Thời trang nữ&gt; cardigan&gt; phế liệu Nai")</f>
        <v>Đấu giá&gt; Thời trang&gt; Thời trang nữ&gt; cardigan&gt; phế liệu Nai</v>
      </c>
      <c r="F940" t="str">
        <f t="shared" ca="1" si="14"/>
        <v>"2084027300" : "phế liệu Nai",</v>
      </c>
    </row>
    <row r="941" spans="1:6" ht="15.75" customHeight="1">
      <c r="A941" s="18">
        <v>2084027301</v>
      </c>
      <c r="B941" s="18" t="s">
        <v>11443</v>
      </c>
      <c r="C941" s="18" t="s">
        <v>13516</v>
      </c>
      <c r="D941" s="5" t="str">
        <f ca="1">IFERROR(__xludf.DUMMYFUNCTION("GOOGLETRANSLATE(B941,""ja"",""vi"")"),"chổ lồi ở cây")</f>
        <v>chổ lồi ở cây</v>
      </c>
      <c r="E941" s="5" t="str">
        <f ca="1">IFERROR(__xludf.DUMMYFUNCTION("GOOGLETRANSLATE(C941,""ja"",""vi"")"),"Đấu giá&gt; thời trang thời trang&gt; Phụ nữ&gt; cardigan&gt; Burberry")</f>
        <v>Đấu giá&gt; thời trang thời trang&gt; Phụ nữ&gt; cardigan&gt; Burberry</v>
      </c>
      <c r="F941" t="str">
        <f t="shared" ca="1" si="14"/>
        <v>"2084027301" : "chổ lồi ở cây",</v>
      </c>
    </row>
    <row r="942" spans="1:6" ht="15.75" customHeight="1">
      <c r="A942" s="18">
        <v>2084027303</v>
      </c>
      <c r="B942" s="18" t="s">
        <v>11611</v>
      </c>
      <c r="C942" s="18" t="s">
        <v>13522</v>
      </c>
      <c r="D942" s="5" t="str">
        <f ca="1">IFERROR(__xludf.DUMMYFUNCTION("GOOGLETRANSLATE(B942,""ja"",""vi"")"),"Hysteric Glamour")</f>
        <v>Hysteric Glamour</v>
      </c>
      <c r="E942" s="5" t="str">
        <f ca="1">IFERROR(__xludf.DUMMYFUNCTION("GOOGLETRANSLATE(C942,""ja"",""vi"")"),"Đấu giá&gt; thời trang thời trang&gt; Phụ nữ&gt; cardigan&gt; Hysteric Glamour")</f>
        <v>Đấu giá&gt; thời trang thời trang&gt; Phụ nữ&gt; cardigan&gt; Hysteric Glamour</v>
      </c>
      <c r="F942" t="str">
        <f t="shared" ca="1" si="14"/>
        <v>"2084027303" : "Hysteric Glamour",</v>
      </c>
    </row>
    <row r="943" spans="1:6" ht="15.75" customHeight="1">
      <c r="A943" s="18">
        <v>2084027302</v>
      </c>
      <c r="B943" s="18" t="s">
        <v>11683</v>
      </c>
      <c r="C943" s="18" t="s">
        <v>13528</v>
      </c>
      <c r="D943" s="5" t="str">
        <f ca="1">IFERROR(__xludf.DUMMYFUNCTION("GOOGLETRANSLATE(B943,""ja"",""vi"")"),"DẦM")</f>
        <v>DẦM</v>
      </c>
      <c r="E943" s="5" t="str">
        <f ca="1">IFERROR(__xludf.DUMMYFUNCTION("GOOGLETRANSLATE(C943,""ja"",""vi"")"),"Đấu giá&gt; Thời trang&gt; Thời trang nữ&gt; cardigan&gt; Dầm")</f>
        <v>Đấu giá&gt; Thời trang&gt; Thời trang nữ&gt; cardigan&gt; Dầm</v>
      </c>
      <c r="F943" t="str">
        <f t="shared" ca="1" si="14"/>
        <v>"2084027302" : "DẦM",</v>
      </c>
    </row>
    <row r="944" spans="1:6" ht="15.75" customHeight="1">
      <c r="A944" s="18">
        <v>2084027304</v>
      </c>
      <c r="B944" s="18" t="s">
        <v>11668</v>
      </c>
      <c r="C944" s="18" t="s">
        <v>13533</v>
      </c>
      <c r="D944" s="5" t="str">
        <f ca="1">IFERROR(__xludf.DUMMYFUNCTION("GOOGLETRANSLATE(B944,""ja"",""vi"")"),"Bibayu")</f>
        <v>Bibayu</v>
      </c>
      <c r="E944" s="5" t="str">
        <f ca="1">IFERROR(__xludf.DUMMYFUNCTION("GOOGLETRANSLATE(C944,""ja"",""vi"")"),"Đấu giá&gt; thời trang thời trang&gt; Phụ nữ&gt; cardigan&gt; Bibayu")</f>
        <v>Đấu giá&gt; thời trang thời trang&gt; Phụ nữ&gt; cardigan&gt; Bibayu</v>
      </c>
      <c r="F944" t="str">
        <f t="shared" ca="1" si="14"/>
        <v>"2084027304" : "Bibayu",</v>
      </c>
    </row>
    <row r="945" spans="1:6" ht="15.75" customHeight="1">
      <c r="A945" s="18">
        <v>2084027305</v>
      </c>
      <c r="B945" s="18" t="s">
        <v>11748</v>
      </c>
      <c r="C945" s="18" t="s">
        <v>13539</v>
      </c>
      <c r="D945" s="5" t="str">
        <f ca="1">IFERROR(__xludf.DUMMYFUNCTION("GOOGLETRANSLATE(B945,""ja"",""vi"")"),"Pinky &amp; Dianne")</f>
        <v>Pinky &amp; Dianne</v>
      </c>
      <c r="E945" s="5" t="str">
        <f ca="1">IFERROR(__xludf.DUMMYFUNCTION("GOOGLETRANSLATE(C945,""ja"",""vi"")"),"Đấu giá&gt; thời trang thời trang&gt; Phụ nữ&gt; cardigan&gt; Pinky &amp; Dianne")</f>
        <v>Đấu giá&gt; thời trang thời trang&gt; Phụ nữ&gt; cardigan&gt; Pinky &amp; Dianne</v>
      </c>
      <c r="F945" t="str">
        <f t="shared" ca="1" si="14"/>
        <v>"2084027305" : "Pinky &amp; Dianne",</v>
      </c>
    </row>
    <row r="946" spans="1:6" ht="15.75" customHeight="1">
      <c r="A946" s="18">
        <v>2084027306</v>
      </c>
      <c r="B946" s="18" t="s">
        <v>11762</v>
      </c>
      <c r="C946" s="18" t="s">
        <v>13544</v>
      </c>
      <c r="D946" s="5" t="str">
        <f ca="1">IFERROR(__xludf.DUMMYFUNCTION("GOOGLETRANSLATE(B946,""ja"",""vi"")"),"nhà màu hồng")</f>
        <v>nhà màu hồng</v>
      </c>
      <c r="E946" s="5" t="str">
        <f ca="1">IFERROR(__xludf.DUMMYFUNCTION("GOOGLETRANSLATE(C946,""ja"",""vi"")"),"Đấu giá&gt; thời trang thời trang&gt; Phụ nữ&gt; cardigan&gt; Pink House")</f>
        <v>Đấu giá&gt; thời trang thời trang&gt; Phụ nữ&gt; cardigan&gt; Pink House</v>
      </c>
      <c r="F946" t="str">
        <f t="shared" ca="1" si="14"/>
        <v>"2084027306" : "nhà màu hồng",</v>
      </c>
    </row>
    <row r="947" spans="1:6" ht="15.75" customHeight="1">
      <c r="A947" s="18">
        <v>2084027307</v>
      </c>
      <c r="B947" s="18" t="s">
        <v>11843</v>
      </c>
      <c r="C947" s="18" t="s">
        <v>13547</v>
      </c>
      <c r="D947" s="5" t="str">
        <f ca="1">IFERROR(__xludf.DUMMYFUNCTION("GOOGLETRANSLATE(B947,""ja"",""vi"")"),"Fendi")</f>
        <v>Fendi</v>
      </c>
      <c r="E947" s="5" t="str">
        <f ca="1">IFERROR(__xludf.DUMMYFUNCTION("GOOGLETRANSLATE(C947,""ja"",""vi"")"),"Đấu giá&gt; thời trang thời trang&gt; Phụ nữ&gt; cardigan&gt; Fendi")</f>
        <v>Đấu giá&gt; thời trang thời trang&gt; Phụ nữ&gt; cardigan&gt; Fendi</v>
      </c>
      <c r="F947" t="str">
        <f t="shared" ca="1" si="14"/>
        <v>"2084027307" : "Fendi",</v>
      </c>
    </row>
    <row r="948" spans="1:6" ht="15.75" customHeight="1">
      <c r="A948" s="18">
        <v>2084027308</v>
      </c>
      <c r="B948" s="18" t="s">
        <v>12025</v>
      </c>
      <c r="C948" s="18" t="s">
        <v>13553</v>
      </c>
      <c r="D948" s="5" t="str">
        <f ca="1">IFERROR(__xludf.DUMMYFUNCTION("GOOGLETRANSLATE(B948,""ja"",""vi"")"),"LABEL TƯ")</f>
        <v>LABEL TƯ</v>
      </c>
      <c r="E948" s="5" t="str">
        <f ca="1">IFERROR(__xludf.DUMMYFUNCTION("GOOGLETRANSLATE(C948,""ja"",""vi"")"),"Đấu giá&gt; Thời trang&gt; Thời trang nữ&gt; cardigan&gt; nhãn hiệu riêng")</f>
        <v>Đấu giá&gt; Thời trang&gt; Thời trang nữ&gt; cardigan&gt; nhãn hiệu riêng</v>
      </c>
      <c r="F948" t="str">
        <f t="shared" ca="1" si="14"/>
        <v>"2084027308" : "LABEL TƯ",</v>
      </c>
    </row>
    <row r="949" spans="1:6" ht="15.75" customHeight="1">
      <c r="A949" s="18">
        <v>2084027309</v>
      </c>
      <c r="B949" s="18" t="s">
        <v>12035</v>
      </c>
      <c r="C949" s="18" t="s">
        <v>13559</v>
      </c>
      <c r="D949" s="5" t="str">
        <f ca="1">IFERROR(__xludf.DUMMYFUNCTION("GOOGLETRANSLATE(B949,""ja"",""vi"")"),"Prada")</f>
        <v>Prada</v>
      </c>
      <c r="E949" s="5" t="str">
        <f ca="1">IFERROR(__xludf.DUMMYFUNCTION("GOOGLETRANSLATE(C949,""ja"",""vi"")"),"Đấu giá&gt; thời trang thời trang&gt; Phụ nữ&gt; cardigan&gt; Prada")</f>
        <v>Đấu giá&gt; thời trang thời trang&gt; Phụ nữ&gt; cardigan&gt; Prada</v>
      </c>
      <c r="F949" t="str">
        <f t="shared" ca="1" si="14"/>
        <v>"2084027309" : "Prada",</v>
      </c>
    </row>
    <row r="950" spans="1:6" ht="15.75" customHeight="1">
      <c r="A950" s="18">
        <v>2084027311</v>
      </c>
      <c r="B950" s="18" t="s">
        <v>12114</v>
      </c>
      <c r="C950" s="18" t="s">
        <v>13563</v>
      </c>
      <c r="D950" s="5" t="str">
        <f ca="1">IFERROR(__xludf.DUMMYFUNCTION("GOOGLETRANSLATE(B950,""ja"",""vi"")"),"Benetton")</f>
        <v>Benetton</v>
      </c>
      <c r="E950" s="5" t="str">
        <f ca="1">IFERROR(__xludf.DUMMYFUNCTION("GOOGLETRANSLATE(C950,""ja"",""vi"")"),"Đấu giá&gt; thời trang thời trang&gt; Phụ nữ&gt; cardigan&gt; Benetton")</f>
        <v>Đấu giá&gt; thời trang thời trang&gt; Phụ nữ&gt; cardigan&gt; Benetton</v>
      </c>
      <c r="F950" t="str">
        <f t="shared" ca="1" si="14"/>
        <v>"2084027311" : "Benetton",</v>
      </c>
    </row>
    <row r="951" spans="1:6" ht="15.75" customHeight="1">
      <c r="A951" s="18">
        <v>2084027312</v>
      </c>
      <c r="B951" s="18" t="s">
        <v>12312</v>
      </c>
      <c r="C951" s="18" t="s">
        <v>13568</v>
      </c>
      <c r="D951" s="5" t="str">
        <f ca="1">IFERROR(__xludf.DUMMYFUNCTION("GOOGLETRANSLATE(B951,""ja"",""vi"")"),"Moussy")</f>
        <v>Moussy</v>
      </c>
      <c r="E951" s="5" t="str">
        <f ca="1">IFERROR(__xludf.DUMMYFUNCTION("GOOGLETRANSLATE(C951,""ja"",""vi"")"),"Đấu giá&gt; thời trang thời trang&gt; Phụ nữ&gt; cardigan&gt; Moussy")</f>
        <v>Đấu giá&gt; thời trang thời trang&gt; Phụ nữ&gt; cardigan&gt; Moussy</v>
      </c>
      <c r="F951" t="str">
        <f t="shared" ca="1" si="14"/>
        <v>"2084027312" : "Moussy",</v>
      </c>
    </row>
    <row r="952" spans="1:6" ht="15.75" customHeight="1">
      <c r="A952" s="18">
        <v>2084027313</v>
      </c>
      <c r="B952" s="18" t="s">
        <v>12442</v>
      </c>
      <c r="C952" s="18" t="s">
        <v>13573</v>
      </c>
      <c r="D952" s="5" t="str">
        <f ca="1">IFERROR(__xludf.DUMMYFUNCTION("GOOGLETRANSLATE(B952,""ja"",""vi"")"),"Mijen")</f>
        <v>Mijen</v>
      </c>
      <c r="E952" s="5" t="str">
        <f ca="1">IFERROR(__xludf.DUMMYFUNCTION("GOOGLETRANSLATE(C952,""ja"",""vi"")"),"Đấu giá&gt; thời trang thời trang&gt; Phụ nữ&gt; cardigan&gt; Mijen")</f>
        <v>Đấu giá&gt; thời trang thời trang&gt; Phụ nữ&gt; cardigan&gt; Mijen</v>
      </c>
      <c r="F952" t="str">
        <f t="shared" ca="1" si="14"/>
        <v>"2084027313" : "Mijen",</v>
      </c>
    </row>
    <row r="953" spans="1:6" ht="15.75" customHeight="1">
      <c r="A953" s="18">
        <v>2084027314</v>
      </c>
      <c r="B953" s="18" t="s">
        <v>12465</v>
      </c>
      <c r="C953" s="18" t="s">
        <v>13579</v>
      </c>
      <c r="D953" s="5" t="str">
        <f ca="1">IFERROR(__xludf.DUMMYFUNCTION("GOOGLETRANSLATE(B953,""ja"",""vi"")"),"Michel Klang")</f>
        <v>Michel Klang</v>
      </c>
      <c r="E953" s="5" t="str">
        <f ca="1">IFERROR(__xludf.DUMMYFUNCTION("GOOGLETRANSLATE(C953,""ja"",""vi"")"),"Đấu giá&gt; thời trang thời trang&gt; Phụ nữ&gt; cardigan&gt; Michel Klang")</f>
        <v>Đấu giá&gt; thời trang thời trang&gt; Phụ nữ&gt; cardigan&gt; Michel Klang</v>
      </c>
      <c r="F953" t="str">
        <f t="shared" ca="1" si="14"/>
        <v>"2084027314" : "Michel Klang",</v>
      </c>
    </row>
    <row r="954" spans="1:6" ht="15.75" customHeight="1">
      <c r="A954" s="18">
        <v>2084027315</v>
      </c>
      <c r="B954" s="18" t="s">
        <v>12763</v>
      </c>
      <c r="C954" s="18" t="s">
        <v>13583</v>
      </c>
      <c r="D954" s="5" t="str">
        <f ca="1">IFERROR(__xludf.DUMMYFUNCTION("GOOGLETRANSLATE(B954,""ja"",""vi"")"),"Rabuboto")</f>
        <v>Rabuboto</v>
      </c>
      <c r="E954" s="5" t="str">
        <f ca="1">IFERROR(__xludf.DUMMYFUNCTION("GOOGLETRANSLATE(C954,""ja"",""vi"")"),"Đấu giá&gt; thời trang thời trang&gt; Phụ nữ&gt; cardigan&gt; Rabuboto")</f>
        <v>Đấu giá&gt; thời trang thời trang&gt; Phụ nữ&gt; cardigan&gt; Rabuboto</v>
      </c>
      <c r="F954" t="str">
        <f t="shared" ca="1" si="14"/>
        <v>"2084027315" : "Rabuboto",</v>
      </c>
    </row>
    <row r="955" spans="1:6" ht="15.75" customHeight="1">
      <c r="A955" s="18">
        <v>2084027316</v>
      </c>
      <c r="B955" s="18" t="s">
        <v>12786</v>
      </c>
      <c r="C955" s="18" t="s">
        <v>13587</v>
      </c>
      <c r="D955" s="5" t="str">
        <f ca="1">IFERROR(__xludf.DUMMYFUNCTION("GOOGLETRANSLATE(B955,""ja"",""vi"")"),"Ralph Lauren")</f>
        <v>Ralph Lauren</v>
      </c>
      <c r="E955" s="5" t="str">
        <f ca="1">IFERROR(__xludf.DUMMYFUNCTION("GOOGLETRANSLATE(C955,""ja"",""vi"")"),"Đấu giá&gt; thời trang thời trang&gt; Phụ nữ&gt; cardigan&gt; Ralph Lauren")</f>
        <v>Đấu giá&gt; thời trang thời trang&gt; Phụ nữ&gt; cardigan&gt; Ralph Lauren</v>
      </c>
      <c r="F955" t="str">
        <f t="shared" ca="1" si="14"/>
        <v>"2084027316" : "Ralph Lauren",</v>
      </c>
    </row>
    <row r="956" spans="1:6" ht="15.75" customHeight="1">
      <c r="A956" s="18">
        <v>2084027318</v>
      </c>
      <c r="B956" s="18" t="s">
        <v>13116</v>
      </c>
      <c r="C956" s="18" t="s">
        <v>13592</v>
      </c>
      <c r="D956" s="5" t="str">
        <f ca="1">IFERROR(__xludf.DUMMYFUNCTION("GOOGLETRANSLATE(B956,""ja"",""vi"")"),"bước chạy dài")</f>
        <v>bước chạy dài</v>
      </c>
      <c r="E956" s="5" t="str">
        <f ca="1">IFERROR(__xludf.DUMMYFUNCTION("GOOGLETRANSLATE(C956,""ja"",""vi"")"),"Đấu giá&gt; thời trang thời trang&gt; Phụ nữ&gt; cardigan&gt; Lope")</f>
        <v>Đấu giá&gt; thời trang thời trang&gt; Phụ nữ&gt; cardigan&gt; Lope</v>
      </c>
      <c r="F956" t="str">
        <f t="shared" ca="1" si="14"/>
        <v>"2084027318" : "bước chạy dài",</v>
      </c>
    </row>
    <row r="957" spans="1:6" ht="15.75" customHeight="1">
      <c r="A957" s="18">
        <v>2084027329</v>
      </c>
      <c r="B957" s="18" t="s">
        <v>13594</v>
      </c>
      <c r="C957" s="18" t="s">
        <v>13597</v>
      </c>
      <c r="D957" s="5" t="str">
        <f ca="1">IFERROR(__xludf.DUMMYFUNCTION("GOOGLETRANSLATE(B957,""ja"",""vi"")"),"Vivienne Westwood")</f>
        <v>Vivienne Westwood</v>
      </c>
      <c r="E957" s="5" t="str">
        <f ca="1">IFERROR(__xludf.DUMMYFUNCTION("GOOGLETRANSLATE(C957,""ja"",""vi"")"),"Đấu giá&gt; thời trang thời trang&gt; Phụ nữ&gt; cardigan&gt; Vivienne Westwood")</f>
        <v>Đấu giá&gt; thời trang thời trang&gt; Phụ nữ&gt; cardigan&gt; Vivienne Westwood</v>
      </c>
      <c r="F957" t="str">
        <f t="shared" ca="1" si="14"/>
        <v>"2084027329" : "Vivienne Westwood",</v>
      </c>
    </row>
    <row r="958" spans="1:6" ht="15.75" customHeight="1">
      <c r="A958" s="18">
        <v>2084027320</v>
      </c>
      <c r="B958" s="18" t="s">
        <v>9826</v>
      </c>
      <c r="C958" s="18" t="s">
        <v>13601</v>
      </c>
      <c r="D958" s="5" t="str">
        <f ca="1">IFERROR(__xludf.DUMMYFUNCTION("GOOGLETRANSLATE(B958,""ja"",""vi"")"),"bộ")</f>
        <v>bộ</v>
      </c>
      <c r="E958" s="5" t="str">
        <f ca="1">IFERROR(__xludf.DUMMYFUNCTION("GOOGLETRANSLATE(C958,""ja"",""vi"")"),"Đấu giá&gt; Thời trang&gt; Thời trang nữ&gt; cardigan&gt; Suite")</f>
        <v>Đấu giá&gt; Thời trang&gt; Thời trang nữ&gt; cardigan&gt; Suite</v>
      </c>
      <c r="F958" t="str">
        <f t="shared" ca="1" si="14"/>
        <v>"2084027320" : "bộ",</v>
      </c>
    </row>
    <row r="959" spans="1:6" ht="15.75" customHeight="1">
      <c r="A959" s="18">
        <v>2084027846</v>
      </c>
      <c r="B959" s="18" t="s">
        <v>13609</v>
      </c>
      <c r="C959" s="18" t="s">
        <v>13610</v>
      </c>
      <c r="D959" s="5" t="str">
        <f ca="1">IFERROR(__xludf.DUMMYFUNCTION("GOOGLETRANSLATE(B959,""ja"",""vi"")"),"Twin đan, tổng giám dệt kim quần")</f>
        <v>Twin đan, tổng giám dệt kim quần</v>
      </c>
      <c r="E959" s="5" t="str">
        <f ca="1">IFERROR(__xludf.DUMMYFUNCTION("GOOGLETRANSLATE(C959,""ja"",""vi"")"),"Đấu giá&gt; Thời trang&gt; Thời trang nữ&gt; quần dệt kim&gt; đôi dệt kim, quần dệt kim chung")</f>
        <v>Đấu giá&gt; Thời trang&gt; Thời trang nữ&gt; quần dệt kim&gt; đôi dệt kim, quần dệt kim chung</v>
      </c>
      <c r="F959" t="str">
        <f t="shared" ca="1" si="14"/>
        <v>"2084027846" : "Twin đan, tổng giám dệt kim quần",</v>
      </c>
    </row>
    <row r="960" spans="1:6" ht="15.75" customHeight="1">
      <c r="A960" s="18">
        <v>2084027888</v>
      </c>
      <c r="B960" s="18" t="s">
        <v>8840</v>
      </c>
      <c r="C960" s="18" t="s">
        <v>13616</v>
      </c>
      <c r="D960" s="5" t="str">
        <f ca="1">IFERROR(__xludf.DUMMYFUNCTION("GOOGLETRANSLATE(B960,""ja"",""vi"")"),"Apese")</f>
        <v>Apese</v>
      </c>
      <c r="E960" s="5" t="str">
        <f ca="1">IFERROR(__xludf.DUMMYFUNCTION("GOOGLETRANSLATE(C960,""ja"",""vi"")"),"Đấu giá&gt; Thời trang&gt; Thời trang nữ&gt; quần dệt kim&gt; Apese")</f>
        <v>Đấu giá&gt; Thời trang&gt; Thời trang nữ&gt; quần dệt kim&gt; Apese</v>
      </c>
      <c r="F960" t="str">
        <f t="shared" ca="1" si="14"/>
        <v>"2084027888" : "Apese",</v>
      </c>
    </row>
    <row r="961" spans="1:6" ht="15.75" customHeight="1">
      <c r="A961" s="18">
        <v>2084027889</v>
      </c>
      <c r="B961" s="18" t="s">
        <v>13367</v>
      </c>
      <c r="C961" s="18" t="s">
        <v>13623</v>
      </c>
      <c r="D961" s="5" t="str">
        <f ca="1">IFERROR(__xludf.DUMMYFUNCTION("GOOGLETRANSLATE(B961,""ja"",""vi"")"),"Agnes b.")</f>
        <v>Agnes b.</v>
      </c>
      <c r="E961" s="5" t="str">
        <f ca="1">IFERROR(__xludf.DUMMYFUNCTION("GOOGLETRANSLATE(C961,""ja"",""vi"")"),"Đấu giá&gt; Thời trang&gt; Phụ nữ thời trang&gt; quần dệt kim&gt; Agnes b.")</f>
        <v>Đấu giá&gt; Thời trang&gt; Phụ nữ thời trang&gt; quần dệt kim&gt; Agnes b.</v>
      </c>
      <c r="F961" t="str">
        <f t="shared" ca="1" si="14"/>
        <v>"2084027889" : "Agnes b.",</v>
      </c>
    </row>
    <row r="962" spans="1:6" ht="15.75" customHeight="1">
      <c r="A962" s="18">
        <v>2084027848</v>
      </c>
      <c r="B962" s="18" t="s">
        <v>8896</v>
      </c>
      <c r="C962" s="18" t="s">
        <v>13628</v>
      </c>
      <c r="D962" s="5" t="str">
        <f ca="1">IFERROR(__xludf.DUMMYFUNCTION("GOOGLETRANSLATE(B962,""ja"",""vi"")"),"Alba Rosa")</f>
        <v>Alba Rosa</v>
      </c>
      <c r="E962" s="5" t="str">
        <f ca="1">IFERROR(__xludf.DUMMYFUNCTION("GOOGLETRANSLATE(C962,""ja"",""vi"")"),"Đấu giá&gt; Thời trang&gt; Thời trang nữ&gt; quần dệt kim&gt; Alba Rosa")</f>
        <v>Đấu giá&gt; Thời trang&gt; Thời trang nữ&gt; quần dệt kim&gt; Alba Rosa</v>
      </c>
      <c r="F962" t="str">
        <f t="shared" ref="F962:F1025" ca="1" si="15">CONCATENATE(CHAR(34)&amp;"",A962,""&amp;CHAR(34)," : ", CHAR(34)&amp;"",D962,""&amp;CHAR(34),",")</f>
        <v>"2084027848" : "Alba Rosa",</v>
      </c>
    </row>
    <row r="963" spans="1:6" ht="15.75" customHeight="1">
      <c r="A963" s="18">
        <v>2084027849</v>
      </c>
      <c r="B963" s="18" t="s">
        <v>8916</v>
      </c>
      <c r="C963" s="18" t="s">
        <v>13632</v>
      </c>
      <c r="D963" s="5" t="str">
        <f ca="1">IFERROR(__xludf.DUMMYFUNCTION("GOOGLETRANSLATE(B963,""ja"",""vi"")"),"Armani")</f>
        <v>Armani</v>
      </c>
      <c r="E963" s="5" t="str">
        <f ca="1">IFERROR(__xludf.DUMMYFUNCTION("GOOGLETRANSLATE(C963,""ja"",""vi"")"),"Đấu giá&gt; Thời trang&gt; Thời trang nữ&gt; quần dệt kim&gt; Armani")</f>
        <v>Đấu giá&gt; Thời trang&gt; Thời trang nữ&gt; quần dệt kim&gt; Armani</v>
      </c>
      <c r="F963" t="str">
        <f t="shared" ca="1" si="15"/>
        <v>"2084027849" : "Armani",</v>
      </c>
    </row>
    <row r="964" spans="1:6" ht="15.75" customHeight="1">
      <c r="A964" s="18">
        <v>2084027850</v>
      </c>
      <c r="B964" s="18" t="s">
        <v>8976</v>
      </c>
      <c r="C964" s="18" t="s">
        <v>13637</v>
      </c>
      <c r="D964" s="5" t="str">
        <f ca="1">IFERROR(__xludf.DUMMYFUNCTION("GOOGLETRANSLATE(B964,""ja"",""vi"")"),"Untitled")</f>
        <v>Untitled</v>
      </c>
      <c r="E964" s="5" t="str">
        <f ca="1">IFERROR(__xludf.DUMMYFUNCTION("GOOGLETRANSLATE(C964,""ja"",""vi"")"),"Đấu giá&gt; Thời trang&gt; Thời trang nữ&gt; quần dệt kim&gt; Untitled")</f>
        <v>Đấu giá&gt; Thời trang&gt; Thời trang nữ&gt; quần dệt kim&gt; Untitled</v>
      </c>
      <c r="F964" t="str">
        <f t="shared" ca="1" si="15"/>
        <v>"2084027850" : "Untitled",</v>
      </c>
    </row>
    <row r="965" spans="1:6" ht="15.75" customHeight="1">
      <c r="A965" s="18">
        <v>2084027851</v>
      </c>
      <c r="B965" s="18" t="s">
        <v>9044</v>
      </c>
      <c r="C965" s="18" t="s">
        <v>13641</v>
      </c>
      <c r="D965" s="5" t="str">
        <f ca="1">IFERROR(__xludf.DUMMYFUNCTION("GOOGLETRANSLATE(B965,""ja"",""vi"")"),"Inedo")</f>
        <v>Inedo</v>
      </c>
      <c r="E965" s="5" t="str">
        <f ca="1">IFERROR(__xludf.DUMMYFUNCTION("GOOGLETRANSLATE(C965,""ja"",""vi"")"),"Đấu giá&gt; Thời trang&gt; Thời trang nữ&gt; quần dệt kim&gt; Inedo")</f>
        <v>Đấu giá&gt; Thời trang&gt; Thời trang nữ&gt; quần dệt kim&gt; Inedo</v>
      </c>
      <c r="F965" t="str">
        <f t="shared" ca="1" si="15"/>
        <v>"2084027851" : "Inedo",</v>
      </c>
    </row>
    <row r="966" spans="1:6" ht="15.75" customHeight="1">
      <c r="A966" s="18">
        <v>2084027852</v>
      </c>
      <c r="B966" s="18" t="s">
        <v>9065</v>
      </c>
      <c r="C966" s="18" t="s">
        <v>13645</v>
      </c>
      <c r="D966" s="5" t="str">
        <f ca="1">IFERROR(__xludf.DUMMYFUNCTION("GOOGLETRANSLATE(B966,""ja"",""vi"")"),"In'e")</f>
        <v>In'e</v>
      </c>
      <c r="E966" s="5" t="str">
        <f ca="1">IFERROR(__xludf.DUMMYFUNCTION("GOOGLETRANSLATE(C966,""ja"",""vi"")"),"Đấu giá&gt; Thời trang&gt; Thời trang nữ&gt; quần dệt kim&gt; In'e")</f>
        <v>Đấu giá&gt; Thời trang&gt; Thời trang nữ&gt; quần dệt kim&gt; In'e</v>
      </c>
      <c r="F966" t="str">
        <f t="shared" ca="1" si="15"/>
        <v>"2084027852" : "In'e",</v>
      </c>
    </row>
    <row r="967" spans="1:6" ht="15.75" customHeight="1">
      <c r="A967" s="18">
        <v>2084027853</v>
      </c>
      <c r="B967" s="18" t="s">
        <v>9096</v>
      </c>
      <c r="C967" s="18" t="s">
        <v>13651</v>
      </c>
      <c r="D967" s="5" t="str">
        <f ca="1">IFERROR(__xludf.DUMMYFUNCTION("GOOGLETRANSLATE(B967,""ja"",""vi"")"),"Indivi")</f>
        <v>Indivi</v>
      </c>
      <c r="E967" s="5" t="str">
        <f ca="1">IFERROR(__xludf.DUMMYFUNCTION("GOOGLETRANSLATE(C967,""ja"",""vi"")"),"Đấu giá&gt; Thời trang&gt; Thời trang nữ&gt; quần dệt kim&gt; Indivi")</f>
        <v>Đấu giá&gt; Thời trang&gt; Thời trang nữ&gt; quần dệt kim&gt; Indivi</v>
      </c>
      <c r="F967" t="str">
        <f t="shared" ca="1" si="15"/>
        <v>"2084027853" : "Indivi",</v>
      </c>
    </row>
    <row r="968" spans="1:6" ht="15.75" customHeight="1">
      <c r="A968" s="18">
        <v>2084027855</v>
      </c>
      <c r="B968" s="18" t="s">
        <v>9261</v>
      </c>
      <c r="C968" s="18" t="s">
        <v>13656</v>
      </c>
      <c r="D968" s="5" t="str">
        <f ca="1">IFERROR(__xludf.DUMMYFUNCTION("GOOGLETRANSLATE(B968,""ja"",""vi"")"),"người vị kỷ")</f>
        <v>người vị kỷ</v>
      </c>
      <c r="E968" s="5" t="str">
        <f ca="1">IFERROR(__xludf.DUMMYFUNCTION("GOOGLETRANSLATE(C968,""ja"",""vi"")"),"Đấu giá&gt; Thời trang&gt; Thời trang nữ&gt; quần dệt kim&gt; ích kỷ")</f>
        <v>Đấu giá&gt; Thời trang&gt; Thời trang nữ&gt; quần dệt kim&gt; ích kỷ</v>
      </c>
      <c r="F968" t="str">
        <f t="shared" ca="1" si="15"/>
        <v>"2084027855" : "người vị kỷ",</v>
      </c>
    </row>
    <row r="969" spans="1:6" ht="15.75" customHeight="1">
      <c r="A969" s="18">
        <v>2084027856</v>
      </c>
      <c r="B969" s="18" t="s">
        <v>9300</v>
      </c>
      <c r="C969" s="18" t="s">
        <v>13660</v>
      </c>
      <c r="D969" s="5" t="str">
        <f ca="1">IFERROR(__xludf.DUMMYFUNCTION("GOOGLETRANSLATE(B969,""ja"",""vi"")"),"X-Girl")</f>
        <v>X-Girl</v>
      </c>
      <c r="E969" s="5" t="str">
        <f ca="1">IFERROR(__xludf.DUMMYFUNCTION("GOOGLETRANSLATE(C969,""ja"",""vi"")"),"Đấu giá&gt; Thời trang&gt; Phụ nữ thời trang&gt; quần dệt kim&gt; X-Girl")</f>
        <v>Đấu giá&gt; Thời trang&gt; Phụ nữ thời trang&gt; quần dệt kim&gt; X-Girl</v>
      </c>
      <c r="F969" t="str">
        <f t="shared" ca="1" si="15"/>
        <v>"2084027856" : "X-Girl",</v>
      </c>
    </row>
    <row r="970" spans="1:6" ht="15.75" customHeight="1">
      <c r="A970" s="18">
        <v>2084027857</v>
      </c>
      <c r="B970" s="18" t="s">
        <v>9463</v>
      </c>
      <c r="C970" s="18" t="s">
        <v>13666</v>
      </c>
      <c r="D970" s="5" t="str">
        <f ca="1">IFERROR(__xludf.DUMMYFUNCTION("GOOGLETRANSLATE(B970,""ja"",""vi"")"),"El")</f>
        <v>El</v>
      </c>
      <c r="E970" s="5" t="str">
        <f ca="1">IFERROR(__xludf.DUMMYFUNCTION("GOOGLETRANSLATE(C970,""ja"",""vi"")"),"Đấu giá&gt; Thời trang&gt; Thời trang nữ&gt; quần dệt kim&gt; El")</f>
        <v>Đấu giá&gt; Thời trang&gt; Thời trang nữ&gt; quần dệt kim&gt; El</v>
      </c>
      <c r="F970" t="str">
        <f t="shared" ca="1" si="15"/>
        <v>"2084027857" : "El",</v>
      </c>
    </row>
    <row r="971" spans="1:6" ht="15.75" customHeight="1">
      <c r="A971" s="18">
        <v>2084027858</v>
      </c>
      <c r="B971" s="18" t="s">
        <v>9475</v>
      </c>
      <c r="C971" s="18" t="s">
        <v>13672</v>
      </c>
      <c r="D971" s="5" t="str">
        <f ca="1">IFERROR(__xludf.DUMMYFUNCTION("GOOGLETRANSLATE(B971,""ja"",""vi"")"),"Hermes")</f>
        <v>Hermes</v>
      </c>
      <c r="E971" s="5" t="str">
        <f ca="1">IFERROR(__xludf.DUMMYFUNCTION("GOOGLETRANSLATE(C971,""ja"",""vi"")"),"Đấu giá&gt; Thời trang&gt; Thời trang nữ&gt; quần dệt kim&gt; Hermes")</f>
        <v>Đấu giá&gt; Thời trang&gt; Thời trang nữ&gt; quần dệt kim&gt; Hermes</v>
      </c>
      <c r="F971" t="str">
        <f t="shared" ca="1" si="15"/>
        <v>"2084027858" : "Hermes",</v>
      </c>
    </row>
    <row r="972" spans="1:6" ht="15.75" customHeight="1">
      <c r="A972" s="18">
        <v>2084027859</v>
      </c>
      <c r="B972" s="18" t="s">
        <v>9537</v>
      </c>
      <c r="C972" s="18" t="s">
        <v>13678</v>
      </c>
      <c r="D972" s="5" t="str">
        <f ca="1">IFERROR(__xludf.DUMMYFUNCTION("GOOGLETRANSLATE(B972,""ja"",""vi"")"),"cộng đồng ozone")</f>
        <v>cộng đồng ozone</v>
      </c>
      <c r="E972" s="5" t="str">
        <f ca="1">IFERROR(__xludf.DUMMYFUNCTION("GOOGLETRANSLATE(C972,""ja"",""vi"")"),"Đấu giá&gt; Thời trang&gt; Thời trang nữ&gt; quần dệt kim&gt; cộng đồng ozone")</f>
        <v>Đấu giá&gt; Thời trang&gt; Thời trang nữ&gt; quần dệt kim&gt; cộng đồng ozone</v>
      </c>
      <c r="F972" t="str">
        <f t="shared" ca="1" si="15"/>
        <v>"2084027859" : "cộng đồng ozone",</v>
      </c>
    </row>
    <row r="973" spans="1:6" ht="15.75" customHeight="1">
      <c r="A973" s="18">
        <v>2084027860</v>
      </c>
      <c r="B973" s="18" t="s">
        <v>9633</v>
      </c>
      <c r="C973" s="18" t="s">
        <v>13685</v>
      </c>
      <c r="D973" s="5" t="str">
        <f ca="1">IFERROR(__xludf.DUMMYFUNCTION("GOOGLETRANSLATE(B973,""ja"",""vi"")"),"Kapalua")</f>
        <v>Kapalua</v>
      </c>
      <c r="E973" s="5" t="str">
        <f ca="1">IFERROR(__xludf.DUMMYFUNCTION("GOOGLETRANSLATE(C973,""ja"",""vi"")"),"Đấu giá&gt; Thời trang&gt; Thời trang nữ&gt; quần dệt kim&gt; Kapalua")</f>
        <v>Đấu giá&gt; Thời trang&gt; Thời trang nữ&gt; quần dệt kim&gt; Kapalua</v>
      </c>
      <c r="F973" t="str">
        <f t="shared" ca="1" si="15"/>
        <v>"2084027860" : "Kapalua",</v>
      </c>
    </row>
    <row r="974" spans="1:6" ht="15.75" customHeight="1">
      <c r="A974" s="18">
        <v>2084027861</v>
      </c>
      <c r="B974" s="18" t="s">
        <v>9751</v>
      </c>
      <c r="C974" s="18" t="s">
        <v>13690</v>
      </c>
      <c r="D974" s="5" t="str">
        <f ca="1">IFERROR(__xludf.DUMMYFUNCTION("GOOGLETRANSLATE(B974,""ja"",""vi"")"),"khoảng trống")</f>
        <v>khoảng trống</v>
      </c>
      <c r="E974" s="5" t="str">
        <f ca="1">IFERROR(__xludf.DUMMYFUNCTION("GOOGLETRANSLATE(C974,""ja"",""vi"")"),"Đấu giá&gt; Thời trang&gt; Thời trang nữ&gt; quần dệt kim&gt; khoảng cách")</f>
        <v>Đấu giá&gt; Thời trang&gt; Thời trang nữ&gt; quần dệt kim&gt; khoảng cách</v>
      </c>
      <c r="F974" t="str">
        <f t="shared" ca="1" si="15"/>
        <v>"2084027861" : "khoảng trống",</v>
      </c>
    </row>
    <row r="975" spans="1:6" ht="15.75" customHeight="1">
      <c r="A975" s="18">
        <v>2084027863</v>
      </c>
      <c r="B975" s="18" t="s">
        <v>9858</v>
      </c>
      <c r="C975" s="18" t="s">
        <v>13695</v>
      </c>
      <c r="D975" s="5" t="str">
        <f ca="1">IFERROR(__xludf.DUMMYFUNCTION("GOOGLETRANSLATE(B975,""ja"",""vi"")"),"Christian Dior")</f>
        <v>Christian Dior</v>
      </c>
      <c r="E975" s="5" t="str">
        <f ca="1">IFERROR(__xludf.DUMMYFUNCTION("GOOGLETRANSLATE(C975,""ja"",""vi"")"),"Đấu giá&gt; Thời trang&gt; Thời trang nữ&gt; quần dệt kim&gt; Christian Dior")</f>
        <v>Đấu giá&gt; Thời trang&gt; Thời trang nữ&gt; quần dệt kim&gt; Christian Dior</v>
      </c>
      <c r="F975" t="str">
        <f t="shared" ca="1" si="15"/>
        <v>"2084027863" : "Christian Dior",</v>
      </c>
    </row>
    <row r="976" spans="1:6" ht="15.75" customHeight="1">
      <c r="A976" s="18">
        <v>2084027864</v>
      </c>
      <c r="B976" s="18" t="s">
        <v>9921</v>
      </c>
      <c r="C976" s="18" t="s">
        <v>13702</v>
      </c>
      <c r="D976" s="5" t="str">
        <f ca="1">IFERROR(__xludf.DUMMYFUNCTION("GOOGLETRANSLATE(B976,""ja"",""vi"")"),"Courreges")</f>
        <v>Courreges</v>
      </c>
      <c r="E976" s="5" t="str">
        <f ca="1">IFERROR(__xludf.DUMMYFUNCTION("GOOGLETRANSLATE(C976,""ja"",""vi"")"),"Đấu giá&gt; Thời trang&gt; Thời trang nữ&gt; quần dệt kim&gt; Courreges")</f>
        <v>Đấu giá&gt; Thời trang&gt; Thời trang nữ&gt; quần dệt kim&gt; Courreges</v>
      </c>
      <c r="F976" t="str">
        <f t="shared" ca="1" si="15"/>
        <v>"2084027864" : "Courreges",</v>
      </c>
    </row>
    <row r="977" spans="1:6" ht="15.75" customHeight="1">
      <c r="A977" s="18">
        <v>2084027862</v>
      </c>
      <c r="B977" s="18" t="s">
        <v>9815</v>
      </c>
      <c r="C977" s="18" t="s">
        <v>13707</v>
      </c>
      <c r="D977" s="5" t="str">
        <f ca="1">IFERROR(__xludf.DUMMYFUNCTION("GOOGLETRANSLATE(B977,""ja"",""vi"")"),"Gucci")</f>
        <v>Gucci</v>
      </c>
      <c r="E977" s="5" t="str">
        <f ca="1">IFERROR(__xludf.DUMMYFUNCTION("GOOGLETRANSLATE(C977,""ja"",""vi"")"),"Đấu giá&gt; Thời trang&gt; Thời trang nữ&gt; quần dệt kim&gt; Gucci")</f>
        <v>Đấu giá&gt; Thời trang&gt; Thời trang nữ&gt; quần dệt kim&gt; Gucci</v>
      </c>
      <c r="F977" t="str">
        <f t="shared" ca="1" si="15"/>
        <v>"2084027862" : "Gucci",</v>
      </c>
    </row>
    <row r="978" spans="1:6" ht="15.75" customHeight="1">
      <c r="A978" s="18">
        <v>2084027865</v>
      </c>
      <c r="B978" s="18" t="s">
        <v>10020</v>
      </c>
      <c r="C978" s="18" t="s">
        <v>13713</v>
      </c>
      <c r="D978" s="5" t="str">
        <f ca="1">IFERROR(__xludf.DUMMYFUNCTION("GOOGLETRANSLATE(B978,""ja"",""vi"")"),"Kokoruru")</f>
        <v>Kokoruru</v>
      </c>
      <c r="E978" s="5" t="str">
        <f ca="1">IFERROR(__xludf.DUMMYFUNCTION("GOOGLETRANSLATE(C978,""ja"",""vi"")"),"Đấu giá&gt; Thời trang&gt; Thời trang nữ&gt; quần dệt kim&gt; Kokoruru")</f>
        <v>Đấu giá&gt; Thời trang&gt; Thời trang nữ&gt; quần dệt kim&gt; Kokoruru</v>
      </c>
      <c r="F978" t="str">
        <f t="shared" ca="1" si="15"/>
        <v>"2084027865" : "Kokoruru",</v>
      </c>
    </row>
    <row r="979" spans="1:6" ht="15.75" customHeight="1">
      <c r="A979" s="18">
        <v>2084027866</v>
      </c>
      <c r="B979" s="18" t="s">
        <v>10041</v>
      </c>
      <c r="C979" s="18" t="s">
        <v>13721</v>
      </c>
      <c r="D979" s="5" t="str">
        <f ca="1">IFERROR(__xludf.DUMMYFUNCTION("GOOGLETRANSLATE(B979,""ja"",""vi"")"),"Com de chế độ")</f>
        <v>Com de chế độ</v>
      </c>
      <c r="E979" s="5" t="str">
        <f ca="1">IFERROR(__xludf.DUMMYFUNCTION("GOOGLETRANSLATE(C979,""ja"",""vi"")"),"Đấu giá&gt; Thời trang&gt; Thời trang nữ&gt; quần dệt kim&gt; com de chế độ")</f>
        <v>Đấu giá&gt; Thời trang&gt; Thời trang nữ&gt; quần dệt kim&gt; com de chế độ</v>
      </c>
      <c r="F979" t="str">
        <f t="shared" ca="1" si="15"/>
        <v>"2084027866" : "Com de chế độ",</v>
      </c>
    </row>
    <row r="980" spans="1:6" ht="15.75" customHeight="1">
      <c r="A980" s="18">
        <v>2084027867</v>
      </c>
      <c r="B980" s="18" t="s">
        <v>10044</v>
      </c>
      <c r="C980" s="18" t="s">
        <v>13728</v>
      </c>
      <c r="D980" s="5" t="str">
        <f ca="1">IFERROR(__xludf.DUMMYFUNCTION("GOOGLETRANSLATE(B980,""ja"",""vi"")"),"Comme des Garcons")</f>
        <v>Comme des Garcons</v>
      </c>
      <c r="E980" s="5" t="str">
        <f ca="1">IFERROR(__xludf.DUMMYFUNCTION("GOOGLETRANSLATE(C980,""ja"",""vi"")"),"Đấu giá&gt; Thời trang&gt; Phụ nữ thời trang&gt; quần dệt kim&gt; Comme des Garcons")</f>
        <v>Đấu giá&gt; Thời trang&gt; Phụ nữ thời trang&gt; quần dệt kim&gt; Comme des Garcons</v>
      </c>
      <c r="F980" t="str">
        <f t="shared" ca="1" si="15"/>
        <v>"2084027867" : "Comme des Garcons",</v>
      </c>
    </row>
    <row r="981" spans="1:6" ht="15.75" customHeight="1">
      <c r="A981" s="18">
        <v>2084027868</v>
      </c>
      <c r="B981" s="18" t="s">
        <v>10229</v>
      </c>
      <c r="C981" s="18" t="s">
        <v>13737</v>
      </c>
      <c r="D981" s="5" t="str">
        <f ca="1">IFERROR(__xludf.DUMMYFUNCTION("GOOGLETRANSLATE(B981,""ja"",""vi"")"),"tàu")</f>
        <v>tàu</v>
      </c>
      <c r="E981" s="5" t="str">
        <f ca="1">IFERROR(__xludf.DUMMYFUNCTION("GOOGLETRANSLATE(C981,""ja"",""vi"")"),"Đấu giá&gt; Thời trang&gt; Thời trang nữ&gt; quần dệt kim&gt; Tàu")</f>
        <v>Đấu giá&gt; Thời trang&gt; Thời trang nữ&gt; quần dệt kim&gt; Tàu</v>
      </c>
      <c r="F981" t="str">
        <f t="shared" ca="1" si="15"/>
        <v>"2084027868" : "tàu",</v>
      </c>
    </row>
    <row r="982" spans="1:6" ht="15.75" customHeight="1">
      <c r="A982" s="18">
        <v>2084027869</v>
      </c>
      <c r="B982" s="18" t="s">
        <v>10288</v>
      </c>
      <c r="C982" s="18" t="s">
        <v>13743</v>
      </c>
      <c r="D982" s="5" t="str">
        <f ca="1">IFERROR(__xludf.DUMMYFUNCTION("GOOGLETRANSLATE(B982,""ja"",""vi"")"),"Chanel")</f>
        <v>Chanel</v>
      </c>
      <c r="E982" s="5" t="str">
        <f ca="1">IFERROR(__xludf.DUMMYFUNCTION("GOOGLETRANSLATE(C982,""ja"",""vi"")"),"Đấu giá&gt; Thời trang&gt; Thời trang nữ&gt; quần dệt kim&gt; Chanel")</f>
        <v>Đấu giá&gt; Thời trang&gt; Thời trang nữ&gt; quần dệt kim&gt; Chanel</v>
      </c>
      <c r="F982" t="str">
        <f t="shared" ca="1" si="15"/>
        <v>"2084027869" : "Chanel",</v>
      </c>
    </row>
    <row r="983" spans="1:6" ht="15.75" customHeight="1">
      <c r="A983" s="18">
        <v>2084027870</v>
      </c>
      <c r="B983" s="18" t="s">
        <v>10446</v>
      </c>
      <c r="C983" s="18" t="s">
        <v>13749</v>
      </c>
      <c r="D983" s="5" t="str">
        <f ca="1">IFERROR(__xludf.DUMMYFUNCTION("GOOGLETRANSLATE(B983,""ja"",""vi"")"),"Jill Stuart")</f>
        <v>Jill Stuart</v>
      </c>
      <c r="E983" s="5" t="str">
        <f ca="1">IFERROR(__xludf.DUMMYFUNCTION("GOOGLETRANSLATE(C983,""ja"",""vi"")"),"Đấu giá&gt; Thời trang&gt; Thời trang nữ&gt; quần dệt kim&gt; Jill Stuart")</f>
        <v>Đấu giá&gt; Thời trang&gt; Thời trang nữ&gt; quần dệt kim&gt; Jill Stuart</v>
      </c>
      <c r="F983" t="str">
        <f t="shared" ca="1" si="15"/>
        <v>"2084027870" : "Jill Stuart",</v>
      </c>
    </row>
    <row r="984" spans="1:6" ht="15.75" customHeight="1">
      <c r="A984" s="18">
        <v>2084027871</v>
      </c>
      <c r="B984" s="18" t="s">
        <v>10476</v>
      </c>
      <c r="C984" s="18" t="s">
        <v>13755</v>
      </c>
      <c r="D984" s="5" t="str">
        <f ca="1">IFERROR(__xludf.DUMMYFUNCTION("GOOGLETRANSLATE(B984,""ja"",""vi"")"),"Zucca")</f>
        <v>Zucca</v>
      </c>
      <c r="E984" s="5" t="str">
        <f ca="1">IFERROR(__xludf.DUMMYFUNCTION("GOOGLETRANSLATE(C984,""ja"",""vi"")"),"Đấu giá&gt; Thời trang&gt; Thời trang nữ&gt; quần dệt kim&gt; Zucca")</f>
        <v>Đấu giá&gt; Thời trang&gt; Thời trang nữ&gt; quần dệt kim&gt; Zucca</v>
      </c>
      <c r="F984" t="str">
        <f t="shared" ca="1" si="15"/>
        <v>"2084027871" : "Zucca",</v>
      </c>
    </row>
    <row r="985" spans="1:6" ht="15.75" customHeight="1">
      <c r="A985" s="18">
        <v>2084027872</v>
      </c>
      <c r="B985" s="18" t="s">
        <v>10601</v>
      </c>
      <c r="C985" s="18" t="s">
        <v>13762</v>
      </c>
      <c r="D985" s="5" t="str">
        <f ca="1">IFERROR(__xludf.DUMMYFUNCTION("GOOGLETRANSLATE(B985,""ja"",""vi"")"),"Cecil McBee")</f>
        <v>Cecil McBee</v>
      </c>
      <c r="E985" s="5" t="str">
        <f ca="1">IFERROR(__xludf.DUMMYFUNCTION("GOOGLETRANSLATE(C985,""ja"",""vi"")"),"Đấu giá&gt; Thời trang&gt; Thời trang nữ&gt; quần dệt kim&gt; Cecil McBee")</f>
        <v>Đấu giá&gt; Thời trang&gt; Thời trang nữ&gt; quần dệt kim&gt; Cecil McBee</v>
      </c>
      <c r="F985" t="str">
        <f t="shared" ca="1" si="15"/>
        <v>"2084027872" : "Cecil McBee",</v>
      </c>
    </row>
    <row r="986" spans="1:6" ht="15.75" customHeight="1">
      <c r="A986" s="18">
        <v>2084027873</v>
      </c>
      <c r="B986" s="18" t="s">
        <v>13486</v>
      </c>
      <c r="C986" s="18" t="s">
        <v>13768</v>
      </c>
      <c r="D986" s="5" t="str">
        <f ca="1">IFERROR(__xludf.DUMMYFUNCTION("GOOGLETRANSLATE(B986,""ja"",""vi"")"),"Donna Karan, DKNY")</f>
        <v>Donna Karan, DKNY</v>
      </c>
      <c r="E986" s="5" t="str">
        <f ca="1">IFERROR(__xludf.DUMMYFUNCTION("GOOGLETRANSLATE(C986,""ja"",""vi"")"),"Đấu giá&gt; Thời trang&gt; Thời trang nữ&gt; quần dệt kim&gt; Donna Karan, DKNY")</f>
        <v>Đấu giá&gt; Thời trang&gt; Thời trang nữ&gt; quần dệt kim&gt; Donna Karan, DKNY</v>
      </c>
      <c r="F986" t="str">
        <f t="shared" ca="1" si="15"/>
        <v>"2084027873" : "Donna Karan, DKNY",</v>
      </c>
    </row>
    <row r="987" spans="1:6" ht="15.75" customHeight="1">
      <c r="A987" s="18">
        <v>2084027874</v>
      </c>
      <c r="B987" s="18" t="s">
        <v>10819</v>
      </c>
      <c r="C987" s="18" t="s">
        <v>13773</v>
      </c>
      <c r="D987" s="5" t="str">
        <f ca="1">IFERROR(__xludf.DUMMYFUNCTION("GOOGLETRANSLATE(B987,""ja"",""vi"")"),"Tsumori Chisato")</f>
        <v>Tsumori Chisato</v>
      </c>
      <c r="E987" s="5" t="str">
        <f ca="1">IFERROR(__xludf.DUMMYFUNCTION("GOOGLETRANSLATE(C987,""ja"",""vi"")"),"Đấu giá&gt; Thời trang&gt; Thời trang nữ&gt; quần dệt kim&gt; Tsumori Chisato")</f>
        <v>Đấu giá&gt; Thời trang&gt; Thời trang nữ&gt; quần dệt kim&gt; Tsumori Chisato</v>
      </c>
      <c r="F987" t="str">
        <f t="shared" ca="1" si="15"/>
        <v>"2084027874" : "Tsumori Chisato",</v>
      </c>
    </row>
    <row r="988" spans="1:6" ht="15.75" customHeight="1">
      <c r="A988" s="18">
        <v>2084027875</v>
      </c>
      <c r="B988" s="18" t="s">
        <v>11150</v>
      </c>
      <c r="C988" s="18" t="s">
        <v>13778</v>
      </c>
      <c r="D988" s="5" t="str">
        <f ca="1">IFERROR(__xludf.DUMMYFUNCTION("GOOGLETRANSLATE(B988,""ja"",""vi"")"),"phế liệu Nai")</f>
        <v>phế liệu Nai</v>
      </c>
      <c r="E988" s="5" t="str">
        <f ca="1">IFERROR(__xludf.DUMMYFUNCTION("GOOGLETRANSLATE(C988,""ja"",""vi"")"),"Đấu giá&gt; Thời trang&gt; Thời trang nữ&gt; quần dệt kim&gt; phế liệu Nai")</f>
        <v>Đấu giá&gt; Thời trang&gt; Thời trang nữ&gt; quần dệt kim&gt; phế liệu Nai</v>
      </c>
      <c r="F988" t="str">
        <f t="shared" ca="1" si="15"/>
        <v>"2084027875" : "phế liệu Nai",</v>
      </c>
    </row>
    <row r="989" spans="1:6" ht="15.75" customHeight="1">
      <c r="A989" s="18">
        <v>2084027876</v>
      </c>
      <c r="B989" s="18" t="s">
        <v>11443</v>
      </c>
      <c r="C989" s="18" t="s">
        <v>13783</v>
      </c>
      <c r="D989" s="5" t="str">
        <f ca="1">IFERROR(__xludf.DUMMYFUNCTION("GOOGLETRANSLATE(B989,""ja"",""vi"")"),"chổ lồi ở cây")</f>
        <v>chổ lồi ở cây</v>
      </c>
      <c r="E989" s="5" t="str">
        <f ca="1">IFERROR(__xludf.DUMMYFUNCTION("GOOGLETRANSLATE(C989,""ja"",""vi"")"),"Đấu giá&gt; Thời trang&gt; Thời trang nữ&gt; quần dệt kim&gt; Burberry")</f>
        <v>Đấu giá&gt; Thời trang&gt; Thời trang nữ&gt; quần dệt kim&gt; Burberry</v>
      </c>
      <c r="F989" t="str">
        <f t="shared" ca="1" si="15"/>
        <v>"2084027876" : "chổ lồi ở cây",</v>
      </c>
    </row>
    <row r="990" spans="1:6" ht="15.75" customHeight="1">
      <c r="A990" s="18">
        <v>2084027878</v>
      </c>
      <c r="B990" s="18" t="s">
        <v>11611</v>
      </c>
      <c r="C990" s="18" t="s">
        <v>13789</v>
      </c>
      <c r="D990" s="5" t="str">
        <f ca="1">IFERROR(__xludf.DUMMYFUNCTION("GOOGLETRANSLATE(B990,""ja"",""vi"")"),"Hysteric Glamour")</f>
        <v>Hysteric Glamour</v>
      </c>
      <c r="E990" s="5" t="str">
        <f ca="1">IFERROR(__xludf.DUMMYFUNCTION("GOOGLETRANSLATE(C990,""ja"",""vi"")"),"Đấu giá&gt; Thời trang&gt; Thời trang nữ&gt; quần dệt kim&gt; Hysteric Glamour")</f>
        <v>Đấu giá&gt; Thời trang&gt; Thời trang nữ&gt; quần dệt kim&gt; Hysteric Glamour</v>
      </c>
      <c r="F990" t="str">
        <f t="shared" ca="1" si="15"/>
        <v>"2084027878" : "Hysteric Glamour",</v>
      </c>
    </row>
    <row r="991" spans="1:6" ht="15.75" customHeight="1">
      <c r="A991" s="18">
        <v>2084027877</v>
      </c>
      <c r="B991" s="18" t="s">
        <v>11683</v>
      </c>
      <c r="C991" s="18" t="s">
        <v>13796</v>
      </c>
      <c r="D991" s="5" t="str">
        <f ca="1">IFERROR(__xludf.DUMMYFUNCTION("GOOGLETRANSLATE(B991,""ja"",""vi"")"),"DẦM")</f>
        <v>DẦM</v>
      </c>
      <c r="E991" s="5" t="str">
        <f ca="1">IFERROR(__xludf.DUMMYFUNCTION("GOOGLETRANSLATE(C991,""ja"",""vi"")"),"Đấu giá&gt; Thời trang&gt; Thời trang nữ&gt; quần dệt kim&gt; Dầm")</f>
        <v>Đấu giá&gt; Thời trang&gt; Thời trang nữ&gt; quần dệt kim&gt; Dầm</v>
      </c>
      <c r="F991" t="str">
        <f t="shared" ca="1" si="15"/>
        <v>"2084027877" : "DẦM",</v>
      </c>
    </row>
    <row r="992" spans="1:6" ht="15.75" customHeight="1">
      <c r="A992" s="18">
        <v>2084027879</v>
      </c>
      <c r="B992" s="18" t="s">
        <v>11668</v>
      </c>
      <c r="C992" s="18" t="s">
        <v>13804</v>
      </c>
      <c r="D992" s="5" t="str">
        <f ca="1">IFERROR(__xludf.DUMMYFUNCTION("GOOGLETRANSLATE(B992,""ja"",""vi"")"),"Bibayu")</f>
        <v>Bibayu</v>
      </c>
      <c r="E992" s="5" t="str">
        <f ca="1">IFERROR(__xludf.DUMMYFUNCTION("GOOGLETRANSLATE(C992,""ja"",""vi"")"),"Đấu giá&gt; Thời trang&gt; Thời trang nữ&gt; quần dệt kim&gt; Bibayu")</f>
        <v>Đấu giá&gt; Thời trang&gt; Thời trang nữ&gt; quần dệt kim&gt; Bibayu</v>
      </c>
      <c r="F992" t="str">
        <f t="shared" ca="1" si="15"/>
        <v>"2084027879" : "Bibayu",</v>
      </c>
    </row>
    <row r="993" spans="1:6" ht="15.75" customHeight="1">
      <c r="A993" s="18">
        <v>2084027880</v>
      </c>
      <c r="B993" s="18" t="s">
        <v>11748</v>
      </c>
      <c r="C993" s="18" t="s">
        <v>13807</v>
      </c>
      <c r="D993" s="5" t="str">
        <f ca="1">IFERROR(__xludf.DUMMYFUNCTION("GOOGLETRANSLATE(B993,""ja"",""vi"")"),"Pinky &amp; Dianne")</f>
        <v>Pinky &amp; Dianne</v>
      </c>
      <c r="E993" s="5" t="str">
        <f ca="1">IFERROR(__xludf.DUMMYFUNCTION("GOOGLETRANSLATE(C993,""ja"",""vi"")"),"Đấu giá&gt; Thời trang&gt; Thời trang nữ&gt; Ensemble dệt kim&gt; Pinky &amp; Dianne")</f>
        <v>Đấu giá&gt; Thời trang&gt; Thời trang nữ&gt; Ensemble dệt kim&gt; Pinky &amp; Dianne</v>
      </c>
      <c r="F993" t="str">
        <f t="shared" ca="1" si="15"/>
        <v>"2084027880" : "Pinky &amp; Dianne",</v>
      </c>
    </row>
    <row r="994" spans="1:6" ht="15.75" customHeight="1">
      <c r="A994" s="18">
        <v>2084027881</v>
      </c>
      <c r="B994" s="18" t="s">
        <v>11762</v>
      </c>
      <c r="C994" s="18" t="s">
        <v>13812</v>
      </c>
      <c r="D994" s="5" t="str">
        <f ca="1">IFERROR(__xludf.DUMMYFUNCTION("GOOGLETRANSLATE(B994,""ja"",""vi"")"),"nhà màu hồng")</f>
        <v>nhà màu hồng</v>
      </c>
      <c r="E994" s="5" t="str">
        <f ca="1">IFERROR(__xludf.DUMMYFUNCTION("GOOGLETRANSLATE(C994,""ja"",""vi"")"),"Đấu giá&gt; Thời trang&gt; Thời trang nữ&gt; quần dệt kim&gt; Pink House")</f>
        <v>Đấu giá&gt; Thời trang&gt; Thời trang nữ&gt; quần dệt kim&gt; Pink House</v>
      </c>
      <c r="F994" t="str">
        <f t="shared" ca="1" si="15"/>
        <v>"2084027881" : "nhà màu hồng",</v>
      </c>
    </row>
    <row r="995" spans="1:6" ht="15.75" customHeight="1">
      <c r="A995" s="18">
        <v>2084027882</v>
      </c>
      <c r="B995" s="18" t="s">
        <v>11843</v>
      </c>
      <c r="C995" s="18" t="s">
        <v>13815</v>
      </c>
      <c r="D995" s="5" t="str">
        <f ca="1">IFERROR(__xludf.DUMMYFUNCTION("GOOGLETRANSLATE(B995,""ja"",""vi"")"),"Fendi")</f>
        <v>Fendi</v>
      </c>
      <c r="E995" s="5" t="str">
        <f ca="1">IFERROR(__xludf.DUMMYFUNCTION("GOOGLETRANSLATE(C995,""ja"",""vi"")"),"Đấu giá&gt; Thời trang&gt; Thời trang nữ&gt; quần dệt kim&gt; Fendi")</f>
        <v>Đấu giá&gt; Thời trang&gt; Thời trang nữ&gt; quần dệt kim&gt; Fendi</v>
      </c>
      <c r="F995" t="str">
        <f t="shared" ca="1" si="15"/>
        <v>"2084027882" : "Fendi",</v>
      </c>
    </row>
    <row r="996" spans="1:6" ht="15.75" customHeight="1">
      <c r="A996" s="18">
        <v>2084027883</v>
      </c>
      <c r="B996" s="18" t="s">
        <v>12025</v>
      </c>
      <c r="C996" s="18" t="s">
        <v>13818</v>
      </c>
      <c r="D996" s="5" t="str">
        <f ca="1">IFERROR(__xludf.DUMMYFUNCTION("GOOGLETRANSLATE(B996,""ja"",""vi"")"),"LABEL TƯ")</f>
        <v>LABEL TƯ</v>
      </c>
      <c r="E996" s="5" t="str">
        <f ca="1">IFERROR(__xludf.DUMMYFUNCTION("GOOGLETRANSLATE(C996,""ja"",""vi"")"),"Đấu giá&gt; Thời trang&gt; Thời trang nữ&gt; quần dệt kim&gt; nhãn hiệu riêng")</f>
        <v>Đấu giá&gt; Thời trang&gt; Thời trang nữ&gt; quần dệt kim&gt; nhãn hiệu riêng</v>
      </c>
      <c r="F996" t="str">
        <f t="shared" ca="1" si="15"/>
        <v>"2084027883" : "LABEL TƯ",</v>
      </c>
    </row>
    <row r="997" spans="1:6" ht="15.75" customHeight="1">
      <c r="A997" s="18">
        <v>2084027884</v>
      </c>
      <c r="B997" s="18" t="s">
        <v>12035</v>
      </c>
      <c r="C997" s="18" t="s">
        <v>13824</v>
      </c>
      <c r="D997" s="5" t="str">
        <f ca="1">IFERROR(__xludf.DUMMYFUNCTION("GOOGLETRANSLATE(B997,""ja"",""vi"")"),"Prada")</f>
        <v>Prada</v>
      </c>
      <c r="E997" s="5" t="str">
        <f ca="1">IFERROR(__xludf.DUMMYFUNCTION("GOOGLETRANSLATE(C997,""ja"",""vi"")"),"Đấu giá&gt; Thời trang&gt; Thời trang nữ&gt; quần dệt kim&gt; Prada")</f>
        <v>Đấu giá&gt; Thời trang&gt; Thời trang nữ&gt; quần dệt kim&gt; Prada</v>
      </c>
      <c r="F997" t="str">
        <f t="shared" ca="1" si="15"/>
        <v>"2084027884" : "Prada",</v>
      </c>
    </row>
    <row r="998" spans="1:6" ht="15.75" customHeight="1">
      <c r="A998" s="18">
        <v>2084027886</v>
      </c>
      <c r="B998" s="18" t="s">
        <v>12114</v>
      </c>
      <c r="C998" s="18" t="s">
        <v>13832</v>
      </c>
      <c r="D998" s="5" t="str">
        <f ca="1">IFERROR(__xludf.DUMMYFUNCTION("GOOGLETRANSLATE(B998,""ja"",""vi"")"),"Benetton")</f>
        <v>Benetton</v>
      </c>
      <c r="E998" s="5" t="str">
        <f ca="1">IFERROR(__xludf.DUMMYFUNCTION("GOOGLETRANSLATE(C998,""ja"",""vi"")"),"Đấu giá&gt; Thời trang&gt; Thời trang nữ&gt; quần dệt kim&gt; Benetton")</f>
        <v>Đấu giá&gt; Thời trang&gt; Thời trang nữ&gt; quần dệt kim&gt; Benetton</v>
      </c>
      <c r="F998" t="str">
        <f t="shared" ca="1" si="15"/>
        <v>"2084027886" : "Benetton",</v>
      </c>
    </row>
    <row r="999" spans="1:6" ht="15.75" customHeight="1">
      <c r="A999" s="18">
        <v>2084027887</v>
      </c>
      <c r="B999" s="18" t="s">
        <v>12312</v>
      </c>
      <c r="C999" s="18" t="s">
        <v>13838</v>
      </c>
      <c r="D999" s="5" t="str">
        <f ca="1">IFERROR(__xludf.DUMMYFUNCTION("GOOGLETRANSLATE(B999,""ja"",""vi"")"),"Moussy")</f>
        <v>Moussy</v>
      </c>
      <c r="E999" s="5" t="str">
        <f ca="1">IFERROR(__xludf.DUMMYFUNCTION("GOOGLETRANSLATE(C999,""ja"",""vi"")"),"Đấu giá&gt; Thời trang&gt; Thời trang nữ&gt; quần dệt kim&gt; Moussy")</f>
        <v>Đấu giá&gt; Thời trang&gt; Thời trang nữ&gt; quần dệt kim&gt; Moussy</v>
      </c>
      <c r="F999" t="str">
        <f t="shared" ca="1" si="15"/>
        <v>"2084027887" : "Moussy",</v>
      </c>
    </row>
    <row r="1000" spans="1:6" ht="15.75" customHeight="1">
      <c r="A1000" s="18">
        <v>2084027840</v>
      </c>
      <c r="B1000" s="18" t="s">
        <v>12442</v>
      </c>
      <c r="C1000" s="18" t="s">
        <v>13844</v>
      </c>
      <c r="D1000" s="5" t="str">
        <f ca="1">IFERROR(__xludf.DUMMYFUNCTION("GOOGLETRANSLATE(B1000,""ja"",""vi"")"),"Mijen")</f>
        <v>Mijen</v>
      </c>
      <c r="E1000" s="5" t="str">
        <f ca="1">IFERROR(__xludf.DUMMYFUNCTION("GOOGLETRANSLATE(C1000,""ja"",""vi"")"),"Đấu giá&gt; Thời trang&gt; Thời trang nữ&gt; quần dệt kim&gt; Mijen")</f>
        <v>Đấu giá&gt; Thời trang&gt; Thời trang nữ&gt; quần dệt kim&gt; Mijen</v>
      </c>
      <c r="F1000" t="str">
        <f t="shared" ca="1" si="15"/>
        <v>"2084027840" : "Mijen",</v>
      </c>
    </row>
    <row r="1001" spans="1:6" ht="15.75" customHeight="1">
      <c r="A1001" s="18">
        <v>2084027841</v>
      </c>
      <c r="B1001" s="18" t="s">
        <v>12465</v>
      </c>
      <c r="C1001" s="18" t="s">
        <v>13848</v>
      </c>
      <c r="D1001" s="5" t="str">
        <f ca="1">IFERROR(__xludf.DUMMYFUNCTION("GOOGLETRANSLATE(B1001,""ja"",""vi"")"),"Michel Klang")</f>
        <v>Michel Klang</v>
      </c>
      <c r="E1001" s="5" t="str">
        <f ca="1">IFERROR(__xludf.DUMMYFUNCTION("GOOGLETRANSLATE(C1001,""ja"",""vi"")"),"Đấu giá&gt; Thời trang&gt; Thời trang nữ&gt; quần dệt kim&gt; Michel Klang")</f>
        <v>Đấu giá&gt; Thời trang&gt; Thời trang nữ&gt; quần dệt kim&gt; Michel Klang</v>
      </c>
      <c r="F1001" t="str">
        <f t="shared" ca="1" si="15"/>
        <v>"2084027841" : "Michel Klang",</v>
      </c>
    </row>
    <row r="1002" spans="1:6" ht="15.75" customHeight="1">
      <c r="A1002" s="18">
        <v>2084027842</v>
      </c>
      <c r="B1002" s="18" t="s">
        <v>12763</v>
      </c>
      <c r="C1002" s="18" t="s">
        <v>13855</v>
      </c>
      <c r="D1002" s="5" t="str">
        <f ca="1">IFERROR(__xludf.DUMMYFUNCTION("GOOGLETRANSLATE(B1002,""ja"",""vi"")"),"Rabuboto")</f>
        <v>Rabuboto</v>
      </c>
      <c r="E1002" s="5" t="str">
        <f ca="1">IFERROR(__xludf.DUMMYFUNCTION("GOOGLETRANSLATE(C1002,""ja"",""vi"")"),"Đấu giá&gt; Thời trang&gt; Thời trang nữ&gt; quần dệt kim&gt; Rabuboto")</f>
        <v>Đấu giá&gt; Thời trang&gt; Thời trang nữ&gt; quần dệt kim&gt; Rabuboto</v>
      </c>
      <c r="F1002" t="str">
        <f t="shared" ca="1" si="15"/>
        <v>"2084027842" : "Rabuboto",</v>
      </c>
    </row>
    <row r="1003" spans="1:6" ht="15.75" customHeight="1">
      <c r="A1003" s="18">
        <v>2084027843</v>
      </c>
      <c r="B1003" s="18" t="s">
        <v>12786</v>
      </c>
      <c r="C1003" s="18" t="s">
        <v>13860</v>
      </c>
      <c r="D1003" s="5" t="str">
        <f ca="1">IFERROR(__xludf.DUMMYFUNCTION("GOOGLETRANSLATE(B1003,""ja"",""vi"")"),"Ralph Lauren")</f>
        <v>Ralph Lauren</v>
      </c>
      <c r="E1003" s="5" t="str">
        <f ca="1">IFERROR(__xludf.DUMMYFUNCTION("GOOGLETRANSLATE(C1003,""ja"",""vi"")"),"Đấu giá&gt; Thời trang&gt; Thời trang nữ&gt; quần dệt kim&gt; Ralph Lauren")</f>
        <v>Đấu giá&gt; Thời trang&gt; Thời trang nữ&gt; quần dệt kim&gt; Ralph Lauren</v>
      </c>
      <c r="F1003" t="str">
        <f t="shared" ca="1" si="15"/>
        <v>"2084027843" : "Ralph Lauren",</v>
      </c>
    </row>
    <row r="1004" spans="1:6" ht="15.75" customHeight="1">
      <c r="A1004" s="18">
        <v>2084027845</v>
      </c>
      <c r="B1004" s="18" t="s">
        <v>13116</v>
      </c>
      <c r="C1004" s="18" t="s">
        <v>13866</v>
      </c>
      <c r="D1004" s="5" t="str">
        <f ca="1">IFERROR(__xludf.DUMMYFUNCTION("GOOGLETRANSLATE(B1004,""ja"",""vi"")"),"bước chạy dài")</f>
        <v>bước chạy dài</v>
      </c>
      <c r="E1004" s="5" t="str">
        <f ca="1">IFERROR(__xludf.DUMMYFUNCTION("GOOGLETRANSLATE(C1004,""ja"",""vi"")"),"Đấu giá&gt; Thời trang&gt; Thời trang nữ&gt; quần dệt kim&gt; Lope")</f>
        <v>Đấu giá&gt; Thời trang&gt; Thời trang nữ&gt; quần dệt kim&gt; Lope</v>
      </c>
      <c r="F1004" t="str">
        <f t="shared" ca="1" si="15"/>
        <v>"2084027845" : "bước chạy dài",</v>
      </c>
    </row>
    <row r="1005" spans="1:6" ht="15.75" customHeight="1">
      <c r="A1005" s="18">
        <v>2084027854</v>
      </c>
      <c r="B1005" s="18" t="s">
        <v>13594</v>
      </c>
      <c r="C1005" s="18" t="s">
        <v>13871</v>
      </c>
      <c r="D1005" s="5" t="str">
        <f ca="1">IFERROR(__xludf.DUMMYFUNCTION("GOOGLETRANSLATE(B1005,""ja"",""vi"")"),"Vivienne Westwood")</f>
        <v>Vivienne Westwood</v>
      </c>
      <c r="E1005" s="5" t="str">
        <f ca="1">IFERROR(__xludf.DUMMYFUNCTION("GOOGLETRANSLATE(C1005,""ja"",""vi"")"),"Đấu giá&gt; Thời trang&gt; Thời trang nữ&gt; quần dệt kim&gt; Vivienne Westwood")</f>
        <v>Đấu giá&gt; Thời trang&gt; Thời trang nữ&gt; quần dệt kim&gt; Vivienne Westwood</v>
      </c>
      <c r="F1005" t="str">
        <f t="shared" ca="1" si="15"/>
        <v>"2084027854" : "Vivienne Westwood",</v>
      </c>
    </row>
    <row r="1006" spans="1:6" ht="15.75" customHeight="1">
      <c r="A1006" s="18">
        <v>2084027847</v>
      </c>
      <c r="B1006" s="18" t="s">
        <v>9826</v>
      </c>
      <c r="C1006" s="18" t="s">
        <v>13878</v>
      </c>
      <c r="D1006" s="5" t="str">
        <f ca="1">IFERROR(__xludf.DUMMYFUNCTION("GOOGLETRANSLATE(B1006,""ja"",""vi"")"),"bộ")</f>
        <v>bộ</v>
      </c>
      <c r="E1006" s="5" t="str">
        <f ca="1">IFERROR(__xludf.DUMMYFUNCTION("GOOGLETRANSLATE(C1006,""ja"",""vi"")"),"Đấu giá&gt; Thời trang&gt; Thời trang nữ&gt; quần đan&gt; Suite")</f>
        <v>Đấu giá&gt; Thời trang&gt; Thời trang nữ&gt; quần đan&gt; Suite</v>
      </c>
      <c r="F1006" t="str">
        <f t="shared" ca="1" si="15"/>
        <v>"2084027847" : "bộ",</v>
      </c>
    </row>
    <row r="1007" spans="1:6" ht="15.75" customHeight="1">
      <c r="A1007" s="18">
        <v>2084007139</v>
      </c>
      <c r="B1007" s="18" t="s">
        <v>13882</v>
      </c>
      <c r="C1007" s="18" t="s">
        <v>13884</v>
      </c>
      <c r="D1007" s="5" t="str">
        <f ca="1">IFERROR(__xludf.DUMMYFUNCTION("GOOGLETRANSLATE(B1007,""ja"",""vi"")"),"Twin đan, đan quần")</f>
        <v>Twin đan, đan quần</v>
      </c>
      <c r="E1007" s="5" t="str">
        <f ca="1">IFERROR(__xludf.DUMMYFUNCTION("GOOGLETRANSLATE(C1007,""ja"",""vi"")"),"Đấu giá&gt; thời trang thời trang&gt; Phụ nữ&gt; dệt kim, áo len&gt; đôi dệt kim, quần dệt kim")</f>
        <v>Đấu giá&gt; thời trang thời trang&gt; Phụ nữ&gt; dệt kim, áo len&gt; đôi dệt kim, quần dệt kim</v>
      </c>
      <c r="F1007" t="str">
        <f t="shared" ca="1" si="15"/>
        <v>"2084007139" : "Twin đan, đan quần",</v>
      </c>
    </row>
    <row r="1008" spans="1:6" ht="15.75" customHeight="1">
      <c r="A1008" s="18">
        <v>2084007138</v>
      </c>
      <c r="B1008" s="18" t="s">
        <v>13888</v>
      </c>
      <c r="C1008" s="18" t="s">
        <v>13891</v>
      </c>
      <c r="D1008" s="5" t="str">
        <f ca="1">IFERROR(__xludf.DUMMYFUNCTION("GOOGLETRANSLATE(B1008,""ja"",""vi"")"),"Không tay, không tay")</f>
        <v>Không tay, không tay</v>
      </c>
      <c r="E1008" s="5" t="str">
        <f ca="1">IFERROR(__xludf.DUMMYFUNCTION("GOOGLETRANSLATE(C1008,""ja"",""vi"")"),"Đấu giá&gt; Thời trang&gt; Thời trang nữ&gt; dệt kim, áo len&gt; không tay, không tay")</f>
        <v>Đấu giá&gt; Thời trang&gt; Thời trang nữ&gt; dệt kim, áo len&gt; không tay, không tay</v>
      </c>
      <c r="F1008" t="str">
        <f t="shared" ca="1" si="15"/>
        <v>"2084007138" : "Không tay, không tay",</v>
      </c>
    </row>
    <row r="1009" spans="1:6" ht="15.75" customHeight="1">
      <c r="A1009" s="18">
        <v>2084007137</v>
      </c>
      <c r="B1009" s="18" t="s">
        <v>13897</v>
      </c>
      <c r="C1009" s="18" t="s">
        <v>13899</v>
      </c>
      <c r="D1009" s="5" t="str">
        <f ca="1">IFERROR(__xludf.DUMMYFUNCTION("GOOGLETRANSLATE(B1009,""ja"",""vi"")"),"áo dài tay")</f>
        <v>áo dài tay</v>
      </c>
      <c r="E1009" s="5" t="str">
        <f ca="1">IFERROR(__xludf.DUMMYFUNCTION("GOOGLETRANSLATE(C1009,""ja"",""vi"")"),"Đấu giá&gt; Thời trang&gt; Thời trang nữ&gt; dệt kim, áo len&gt; dài tay")</f>
        <v>Đấu giá&gt; Thời trang&gt; Thời trang nữ&gt; dệt kim, áo len&gt; dài tay</v>
      </c>
      <c r="F1009" t="str">
        <f t="shared" ca="1" si="15"/>
        <v>"2084007137" : "áo dài tay",</v>
      </c>
    </row>
    <row r="1010" spans="1:6" ht="15.75" customHeight="1">
      <c r="A1010" s="18">
        <v>2084007136</v>
      </c>
      <c r="B1010" s="18" t="s">
        <v>13905</v>
      </c>
      <c r="C1010" s="18" t="s">
        <v>13907</v>
      </c>
      <c r="D1010" s="5" t="str">
        <f ca="1">IFERROR(__xludf.DUMMYFUNCTION("GOOGLETRANSLATE(B1010,""ja"",""vi"")"),"tay áo ngắn")</f>
        <v>tay áo ngắn</v>
      </c>
      <c r="E1010" s="5" t="str">
        <f ca="1">IFERROR(__xludf.DUMMYFUNCTION("GOOGLETRANSLATE(C1010,""ja"",""vi"")"),"Đấu giá&gt; Thời trang&gt; Thời trang nữ&gt; dệt kim, áo len&gt; ngắn tay")</f>
        <v>Đấu giá&gt; Thời trang&gt; Thời trang nữ&gt; dệt kim, áo len&gt; ngắn tay</v>
      </c>
      <c r="F1010" t="str">
        <f t="shared" ca="1" si="15"/>
        <v>"2084007136" : "tay áo ngắn",</v>
      </c>
    </row>
    <row r="1011" spans="1:6" ht="15.75" customHeight="1">
      <c r="A1011" s="18">
        <v>2084054035</v>
      </c>
      <c r="B1011" s="18" t="s">
        <v>13912</v>
      </c>
      <c r="C1011" s="18" t="s">
        <v>13914</v>
      </c>
      <c r="D1011" s="5" t="str">
        <f ca="1">IFERROR(__xludf.DUMMYFUNCTION("GOOGLETRANSLATE(B1011,""ja"",""vi"")"),"Sleeve khác")</f>
        <v>Sleeve khác</v>
      </c>
      <c r="E1011" s="5" t="str">
        <f ca="1">IFERROR(__xludf.DUMMYFUNCTION("GOOGLETRANSLATE(C1011,""ja"",""vi"")"),"Đấu giá&gt; Thời trang&gt; Thời trang nữ&gt; dệt kim, áo len&gt; Sleeve khác")</f>
        <v>Đấu giá&gt; Thời trang&gt; Thời trang nữ&gt; dệt kim, áo len&gt; Sleeve khác</v>
      </c>
      <c r="F1011" t="str">
        <f t="shared" ca="1" si="15"/>
        <v>"2084054035" : "Sleeve khác",</v>
      </c>
    </row>
    <row r="1012" spans="1:6" ht="15.75" customHeight="1">
      <c r="A1012" s="18">
        <v>2084064264</v>
      </c>
      <c r="B1012" s="18" t="s">
        <v>13341</v>
      </c>
      <c r="C1012" s="18" t="s">
        <v>13919</v>
      </c>
      <c r="D1012" s="5" t="str">
        <f ca="1">IFERROR(__xludf.DUMMYFUNCTION("GOOGLETRANSLATE(B1012,""ja"",""vi"")"),"kích thước XS dưới đây")</f>
        <v>kích thước XS dưới đây</v>
      </c>
      <c r="E1012" s="5" t="str">
        <f ca="1">IFERROR(__xludf.DUMMYFUNCTION("GOOGLETRANSLATE(C1012,""ja"",""vi"")"),"Đấu giá&gt; Thời trang&gt; Thời trang nữ&gt; Best&gt; kích thước XS dưới đây")</f>
        <v>Đấu giá&gt; Thời trang&gt; Thời trang nữ&gt; Best&gt; kích thước XS dưới đây</v>
      </c>
      <c r="F1012" t="str">
        <f t="shared" ca="1" si="15"/>
        <v>"2084064264" : "kích thước XS dưới đây",</v>
      </c>
    </row>
    <row r="1013" spans="1:6" ht="15.75" customHeight="1">
      <c r="A1013" s="18">
        <v>2084064265</v>
      </c>
      <c r="B1013" s="18" t="s">
        <v>13345</v>
      </c>
      <c r="C1013" s="18" t="s">
        <v>13925</v>
      </c>
      <c r="D1013" s="5" t="str">
        <f ca="1">IFERROR(__xludf.DUMMYFUNCTION("GOOGLETRANSLATE(B1013,""ja"",""vi"")"),"size S")</f>
        <v>size S</v>
      </c>
      <c r="E1013" s="5" t="str">
        <f ca="1">IFERROR(__xludf.DUMMYFUNCTION("GOOGLETRANSLATE(C1013,""ja"",""vi"")"),"Đấu giá&gt; Thời trang&gt; Thời trang&gt; Best&gt; S kích thước của phụ nữ")</f>
        <v>Đấu giá&gt; Thời trang&gt; Thời trang&gt; Best&gt; S kích thước của phụ nữ</v>
      </c>
      <c r="F1013" t="str">
        <f t="shared" ca="1" si="15"/>
        <v>"2084064265" : "size S",</v>
      </c>
    </row>
    <row r="1014" spans="1:6" ht="15.75" customHeight="1">
      <c r="A1014" s="18">
        <v>2084064266</v>
      </c>
      <c r="B1014" s="18" t="s">
        <v>13351</v>
      </c>
      <c r="C1014" s="18" t="s">
        <v>13928</v>
      </c>
      <c r="D1014" s="5" t="str">
        <f ca="1">IFERROR(__xludf.DUMMYFUNCTION("GOOGLETRANSLATE(B1014,""ja"",""vi"")"),"size M")</f>
        <v>size M</v>
      </c>
      <c r="E1014" s="5" t="str">
        <f ca="1">IFERROR(__xludf.DUMMYFUNCTION("GOOGLETRANSLATE(C1014,""ja"",""vi"")"),"Đấu giá&gt; Thời trang&gt; Thời trang&gt; Best&gt; size M nữ")</f>
        <v>Đấu giá&gt; Thời trang&gt; Thời trang&gt; Best&gt; size M nữ</v>
      </c>
      <c r="F1014" t="str">
        <f t="shared" ca="1" si="15"/>
        <v>"2084064266" : "size M",</v>
      </c>
    </row>
    <row r="1015" spans="1:6" ht="15.75" customHeight="1">
      <c r="A1015" s="18">
        <v>2084064267</v>
      </c>
      <c r="B1015" s="18" t="s">
        <v>13355</v>
      </c>
      <c r="C1015" s="18" t="s">
        <v>13932</v>
      </c>
      <c r="D1015" s="5" t="str">
        <f ca="1">IFERROR(__xludf.DUMMYFUNCTION("GOOGLETRANSLATE(B1015,""ja"",""vi"")"),"size L")</f>
        <v>size L</v>
      </c>
      <c r="E1015" s="5" t="str">
        <f ca="1">IFERROR(__xludf.DUMMYFUNCTION("GOOGLETRANSLATE(C1015,""ja"",""vi"")"),"Đấu giá&gt; Thời trang&gt; Thời trang nữ&gt; Best&gt; L kích thước")</f>
        <v>Đấu giá&gt; Thời trang&gt; Thời trang nữ&gt; Best&gt; L kích thước</v>
      </c>
      <c r="F1015" t="str">
        <f t="shared" ca="1" si="15"/>
        <v>"2084064267" : "size L",</v>
      </c>
    </row>
    <row r="1016" spans="1:6" ht="15.75" customHeight="1">
      <c r="A1016" s="18">
        <v>2084064268</v>
      </c>
      <c r="B1016" s="18" t="s">
        <v>13360</v>
      </c>
      <c r="C1016" s="18" t="s">
        <v>13938</v>
      </c>
      <c r="D1016" s="5" t="str">
        <f ca="1">IFERROR(__xludf.DUMMYFUNCTION("GOOGLETRANSLATE(B1016,""ja"",""vi"")"),"kích thước XL hoặc lớn hơn")</f>
        <v>kích thước XL hoặc lớn hơn</v>
      </c>
      <c r="E1016" s="5" t="str">
        <f ca="1">IFERROR(__xludf.DUMMYFUNCTION("GOOGLETRANSLATE(C1016,""ja"",""vi"")"),"Đấu giá&gt; Thời trang&gt; Thời trang nữ&gt; Best&gt; kích thước XL hơn")</f>
        <v>Đấu giá&gt; Thời trang&gt; Thời trang nữ&gt; Best&gt; kích thước XL hơn</v>
      </c>
      <c r="F1016" t="str">
        <f t="shared" ca="1" si="15"/>
        <v>"2084064268" : "kích thước XL hoặc lớn hơn",</v>
      </c>
    </row>
    <row r="1017" spans="1:6" ht="15.75" customHeight="1">
      <c r="A1017" s="18">
        <v>2084064438</v>
      </c>
      <c r="B1017" s="18" t="s">
        <v>13320</v>
      </c>
      <c r="C1017" s="18" t="s">
        <v>13942</v>
      </c>
      <c r="D1017" s="5" t="str">
        <f ca="1">IFERROR(__xludf.DUMMYFUNCTION("GOOGLETRANSLATE(B1017,""ja"",""vi"")"),"xuống vest")</f>
        <v>xuống vest</v>
      </c>
      <c r="E1017" s="5" t="str">
        <f ca="1">IFERROR(__xludf.DUMMYFUNCTION("GOOGLETRANSLATE(C1017,""ja"",""vi"")"),"Đấu giá&gt; quần áo thời trang&gt; Phụ nữ&gt; vest&gt; vest")</f>
        <v>Đấu giá&gt; quần áo thời trang&gt; Phụ nữ&gt; vest&gt; vest</v>
      </c>
      <c r="F1017" t="str">
        <f t="shared" ca="1" si="15"/>
        <v>"2084064438" : "xuống vest",</v>
      </c>
    </row>
    <row r="1018" spans="1:6" ht="15.75" customHeight="1">
      <c r="A1018" s="18">
        <v>2084027982</v>
      </c>
      <c r="B1018" s="18" t="s">
        <v>8840</v>
      </c>
      <c r="C1018" s="18" t="s">
        <v>13946</v>
      </c>
      <c r="D1018" s="5" t="str">
        <f ca="1">IFERROR(__xludf.DUMMYFUNCTION("GOOGLETRANSLATE(B1018,""ja"",""vi"")"),"Apese")</f>
        <v>Apese</v>
      </c>
      <c r="E1018" s="5" t="str">
        <f ca="1">IFERROR(__xludf.DUMMYFUNCTION("GOOGLETRANSLATE(C1018,""ja"",""vi"")"),"Đấu giá&gt; Thời trang&gt; Thời trang nữ&gt; Best&gt; Apese")</f>
        <v>Đấu giá&gt; Thời trang&gt; Thời trang nữ&gt; Best&gt; Apese</v>
      </c>
      <c r="F1018" t="str">
        <f t="shared" ca="1" si="15"/>
        <v>"2084027982" : "Apese",</v>
      </c>
    </row>
    <row r="1019" spans="1:6" ht="15.75" customHeight="1">
      <c r="A1019" s="18">
        <v>2084027983</v>
      </c>
      <c r="B1019" s="18" t="s">
        <v>13367</v>
      </c>
      <c r="C1019" s="18" t="s">
        <v>13951</v>
      </c>
      <c r="D1019" s="5" t="str">
        <f ca="1">IFERROR(__xludf.DUMMYFUNCTION("GOOGLETRANSLATE(B1019,""ja"",""vi"")"),"Agnes b.")</f>
        <v>Agnes b.</v>
      </c>
      <c r="E1019" s="5" t="str">
        <f ca="1">IFERROR(__xludf.DUMMYFUNCTION("GOOGLETRANSLATE(C1019,""ja"",""vi"")"),"Đấu giá&gt; Thời trang&gt; Thời trang nữ&gt; Best&gt; Agnes b.")</f>
        <v>Đấu giá&gt; Thời trang&gt; Thời trang nữ&gt; Best&gt; Agnes b.</v>
      </c>
      <c r="F1019" t="str">
        <f t="shared" ca="1" si="15"/>
        <v>"2084027983" : "Agnes b.",</v>
      </c>
    </row>
    <row r="1020" spans="1:6" ht="15.75" customHeight="1">
      <c r="A1020" s="18">
        <v>2084027984</v>
      </c>
      <c r="B1020" s="18" t="s">
        <v>8896</v>
      </c>
      <c r="C1020" s="18" t="s">
        <v>13955</v>
      </c>
      <c r="D1020" s="5" t="str">
        <f ca="1">IFERROR(__xludf.DUMMYFUNCTION("GOOGLETRANSLATE(B1020,""ja"",""vi"")"),"Alba Rosa")</f>
        <v>Alba Rosa</v>
      </c>
      <c r="E1020" s="5" t="str">
        <f ca="1">IFERROR(__xludf.DUMMYFUNCTION("GOOGLETRANSLATE(C1020,""ja"",""vi"")"),"Đấu giá&gt; Thời trang&gt; Thời trang&gt; Best&gt; Alba Rosa nữ")</f>
        <v>Đấu giá&gt; Thời trang&gt; Thời trang&gt; Best&gt; Alba Rosa nữ</v>
      </c>
      <c r="F1020" t="str">
        <f t="shared" ca="1" si="15"/>
        <v>"2084027984" : "Alba Rosa",</v>
      </c>
    </row>
    <row r="1021" spans="1:6" ht="15.75" customHeight="1">
      <c r="A1021" s="18">
        <v>2084027985</v>
      </c>
      <c r="B1021" s="18" t="s">
        <v>8916</v>
      </c>
      <c r="C1021" s="18" t="s">
        <v>13957</v>
      </c>
      <c r="D1021" s="5" t="str">
        <f ca="1">IFERROR(__xludf.DUMMYFUNCTION("GOOGLETRANSLATE(B1021,""ja"",""vi"")"),"Armani")</f>
        <v>Armani</v>
      </c>
      <c r="E1021" s="5" t="str">
        <f ca="1">IFERROR(__xludf.DUMMYFUNCTION("GOOGLETRANSLATE(C1021,""ja"",""vi"")"),"Đấu giá&gt; Thời trang&gt; Thời trang nữ&gt; Best&gt; Armani")</f>
        <v>Đấu giá&gt; Thời trang&gt; Thời trang nữ&gt; Best&gt; Armani</v>
      </c>
      <c r="F1021" t="str">
        <f t="shared" ca="1" si="15"/>
        <v>"2084027985" : "Armani",</v>
      </c>
    </row>
    <row r="1022" spans="1:6" ht="15.75" customHeight="1">
      <c r="A1022" s="18">
        <v>2084027986</v>
      </c>
      <c r="B1022" s="18" t="s">
        <v>8976</v>
      </c>
      <c r="C1022" s="18" t="s">
        <v>13959</v>
      </c>
      <c r="D1022" s="5" t="str">
        <f ca="1">IFERROR(__xludf.DUMMYFUNCTION("GOOGLETRANSLATE(B1022,""ja"",""vi"")"),"Untitled")</f>
        <v>Untitled</v>
      </c>
      <c r="E1022" s="5" t="str">
        <f ca="1">IFERROR(__xludf.DUMMYFUNCTION("GOOGLETRANSLATE(C1022,""ja"",""vi"")"),"Đấu giá&gt; Thời trang&gt; Thời trang nữ&gt; Best&gt; Untitled")</f>
        <v>Đấu giá&gt; Thời trang&gt; Thời trang nữ&gt; Best&gt; Untitled</v>
      </c>
      <c r="F1022" t="str">
        <f t="shared" ca="1" si="15"/>
        <v>"2084027986" : "Untitled",</v>
      </c>
    </row>
    <row r="1023" spans="1:6" ht="15.75" customHeight="1">
      <c r="A1023" s="18">
        <v>2084027987</v>
      </c>
      <c r="B1023" s="18" t="s">
        <v>9044</v>
      </c>
      <c r="C1023" s="18" t="s">
        <v>13963</v>
      </c>
      <c r="D1023" s="5" t="str">
        <f ca="1">IFERROR(__xludf.DUMMYFUNCTION("GOOGLETRANSLATE(B1023,""ja"",""vi"")"),"Inedo")</f>
        <v>Inedo</v>
      </c>
      <c r="E1023" s="5" t="str">
        <f ca="1">IFERROR(__xludf.DUMMYFUNCTION("GOOGLETRANSLATE(C1023,""ja"",""vi"")"),"Đấu giá&gt; Thời trang&gt; Thời trang nữ&gt; Best&gt; Inedo")</f>
        <v>Đấu giá&gt; Thời trang&gt; Thời trang nữ&gt; Best&gt; Inedo</v>
      </c>
      <c r="F1023" t="str">
        <f t="shared" ca="1" si="15"/>
        <v>"2084027987" : "Inedo",</v>
      </c>
    </row>
    <row r="1024" spans="1:6" ht="15.75" customHeight="1">
      <c r="A1024" s="18">
        <v>2084027988</v>
      </c>
      <c r="B1024" s="18" t="s">
        <v>9065</v>
      </c>
      <c r="C1024" s="18" t="s">
        <v>13966</v>
      </c>
      <c r="D1024" s="5" t="str">
        <f ca="1">IFERROR(__xludf.DUMMYFUNCTION("GOOGLETRANSLATE(B1024,""ja"",""vi"")"),"In'e")</f>
        <v>In'e</v>
      </c>
      <c r="E1024" s="5" t="str">
        <f ca="1">IFERROR(__xludf.DUMMYFUNCTION("GOOGLETRANSLATE(C1024,""ja"",""vi"")"),"Đấu giá&gt; Thời trang&gt; Thời trang nữ&gt; Best&gt; In'e")</f>
        <v>Đấu giá&gt; Thời trang&gt; Thời trang nữ&gt; Best&gt; In'e</v>
      </c>
      <c r="F1024" t="str">
        <f t="shared" ca="1" si="15"/>
        <v>"2084027988" : "In'e",</v>
      </c>
    </row>
    <row r="1025" spans="1:6" ht="15.75" customHeight="1">
      <c r="A1025" s="18">
        <v>2084027989</v>
      </c>
      <c r="B1025" s="18" t="s">
        <v>9096</v>
      </c>
      <c r="C1025" s="18" t="s">
        <v>13967</v>
      </c>
      <c r="D1025" s="5" t="str">
        <f ca="1">IFERROR(__xludf.DUMMYFUNCTION("GOOGLETRANSLATE(B1025,""ja"",""vi"")"),"Indivi")</f>
        <v>Indivi</v>
      </c>
      <c r="E1025" s="5" t="str">
        <f ca="1">IFERROR(__xludf.DUMMYFUNCTION("GOOGLETRANSLATE(C1025,""ja"",""vi"")"),"Đấu giá&gt; Thời trang&gt; Thời trang nữ&gt; Best&gt; Indivi")</f>
        <v>Đấu giá&gt; Thời trang&gt; Thời trang nữ&gt; Best&gt; Indivi</v>
      </c>
      <c r="F1025" t="str">
        <f t="shared" ca="1" si="15"/>
        <v>"2084027989" : "Indivi",</v>
      </c>
    </row>
    <row r="1026" spans="1:6" ht="15.75" customHeight="1">
      <c r="A1026" s="18">
        <v>2084027965</v>
      </c>
      <c r="B1026" s="18" t="s">
        <v>9261</v>
      </c>
      <c r="C1026" s="18" t="s">
        <v>13972</v>
      </c>
      <c r="D1026" s="5" t="str">
        <f ca="1">IFERROR(__xludf.DUMMYFUNCTION("GOOGLETRANSLATE(B1026,""ja"",""vi"")"),"người vị kỷ")</f>
        <v>người vị kỷ</v>
      </c>
      <c r="E1026" s="5" t="str">
        <f ca="1">IFERROR(__xludf.DUMMYFUNCTION("GOOGLETRANSLATE(C1026,""ja"",""vi"")"),"Đấu giá&gt; Thời trang&gt; Thời trang nữ&gt; Best&gt; ích kỷ")</f>
        <v>Đấu giá&gt; Thời trang&gt; Thời trang nữ&gt; Best&gt; ích kỷ</v>
      </c>
      <c r="F1026" t="str">
        <f t="shared" ref="F1026:F1089" ca="1" si="16">CONCATENATE(CHAR(34)&amp;"",A1026,""&amp;CHAR(34)," : ", CHAR(34)&amp;"",D1026,""&amp;CHAR(34),",")</f>
        <v>"2084027965" : "người vị kỷ",</v>
      </c>
    </row>
    <row r="1027" spans="1:6" ht="15.75" customHeight="1">
      <c r="A1027" s="18">
        <v>2084027966</v>
      </c>
      <c r="B1027" s="18" t="s">
        <v>9300</v>
      </c>
      <c r="C1027" s="18" t="s">
        <v>13976</v>
      </c>
      <c r="D1027" s="5" t="str">
        <f ca="1">IFERROR(__xludf.DUMMYFUNCTION("GOOGLETRANSLATE(B1027,""ja"",""vi"")"),"X-Girl")</f>
        <v>X-Girl</v>
      </c>
      <c r="E1027" s="5" t="str">
        <f ca="1">IFERROR(__xludf.DUMMYFUNCTION("GOOGLETRANSLATE(C1027,""ja"",""vi"")"),"Đấu giá&gt; Thời trang&gt; Thời trang nữ&gt; Best&gt; X-Girl")</f>
        <v>Đấu giá&gt; Thời trang&gt; Thời trang nữ&gt; Best&gt; X-Girl</v>
      </c>
      <c r="F1027" t="str">
        <f t="shared" ca="1" si="16"/>
        <v>"2084027966" : "X-Girl",</v>
      </c>
    </row>
    <row r="1028" spans="1:6" ht="15.75" customHeight="1">
      <c r="A1028" s="18">
        <v>2084027967</v>
      </c>
      <c r="B1028" s="18" t="s">
        <v>9463</v>
      </c>
      <c r="C1028" s="18" t="s">
        <v>13980</v>
      </c>
      <c r="D1028" s="5" t="str">
        <f ca="1">IFERROR(__xludf.DUMMYFUNCTION("GOOGLETRANSLATE(B1028,""ja"",""vi"")"),"El")</f>
        <v>El</v>
      </c>
      <c r="E1028" s="5" t="str">
        <f ca="1">IFERROR(__xludf.DUMMYFUNCTION("GOOGLETRANSLATE(C1028,""ja"",""vi"")"),"Đấu giá&gt; Thời trang&gt; Thời trang nữ&gt; Best&gt; El")</f>
        <v>Đấu giá&gt; Thời trang&gt; Thời trang nữ&gt; Best&gt; El</v>
      </c>
      <c r="F1028" t="str">
        <f t="shared" ca="1" si="16"/>
        <v>"2084027967" : "El",</v>
      </c>
    </row>
    <row r="1029" spans="1:6" ht="15.75" customHeight="1">
      <c r="A1029" s="18">
        <v>2084027968</v>
      </c>
      <c r="B1029" s="18" t="s">
        <v>9475</v>
      </c>
      <c r="C1029" s="18" t="s">
        <v>13984</v>
      </c>
      <c r="D1029" s="5" t="str">
        <f ca="1">IFERROR(__xludf.DUMMYFUNCTION("GOOGLETRANSLATE(B1029,""ja"",""vi"")"),"Hermes")</f>
        <v>Hermes</v>
      </c>
      <c r="E1029" s="5" t="str">
        <f ca="1">IFERROR(__xludf.DUMMYFUNCTION("GOOGLETRANSLATE(C1029,""ja"",""vi"")"),"Đấu giá&gt; Thời trang&gt; Thời trang nữ&gt; Best&gt; Hermes")</f>
        <v>Đấu giá&gt; Thời trang&gt; Thời trang nữ&gt; Best&gt; Hermes</v>
      </c>
      <c r="F1029" t="str">
        <f t="shared" ca="1" si="16"/>
        <v>"2084027968" : "Hermes",</v>
      </c>
    </row>
    <row r="1030" spans="1:6" ht="15.75" customHeight="1">
      <c r="A1030" s="18">
        <v>2084027969</v>
      </c>
      <c r="B1030" s="18" t="s">
        <v>9537</v>
      </c>
      <c r="C1030" s="18" t="s">
        <v>13991</v>
      </c>
      <c r="D1030" s="5" t="str">
        <f ca="1">IFERROR(__xludf.DUMMYFUNCTION("GOOGLETRANSLATE(B1030,""ja"",""vi"")"),"cộng đồng ozone")</f>
        <v>cộng đồng ozone</v>
      </c>
      <c r="E1030" s="5" t="str">
        <f ca="1">IFERROR(__xludf.DUMMYFUNCTION("GOOGLETRANSLATE(C1030,""ja"",""vi"")"),"Đấu giá&gt; Thời trang&gt; Thời trang&gt; Best&gt; cộng đồng ozone nữ")</f>
        <v>Đấu giá&gt; Thời trang&gt; Thời trang&gt; Best&gt; cộng đồng ozone nữ</v>
      </c>
      <c r="F1030" t="str">
        <f t="shared" ca="1" si="16"/>
        <v>"2084027969" : "cộng đồng ozone",</v>
      </c>
    </row>
    <row r="1031" spans="1:6" ht="15.75" customHeight="1">
      <c r="A1031" s="18">
        <v>2084027970</v>
      </c>
      <c r="B1031" s="18" t="s">
        <v>9633</v>
      </c>
      <c r="C1031" s="18" t="s">
        <v>13998</v>
      </c>
      <c r="D1031" s="5" t="str">
        <f ca="1">IFERROR(__xludf.DUMMYFUNCTION("GOOGLETRANSLATE(B1031,""ja"",""vi"")"),"Kapalua")</f>
        <v>Kapalua</v>
      </c>
      <c r="E1031" s="5" t="str">
        <f ca="1">IFERROR(__xludf.DUMMYFUNCTION("GOOGLETRANSLATE(C1031,""ja"",""vi"")"),"Đấu giá&gt; Thời trang&gt; Thời trang nữ&gt; Best&gt; Kapalua")</f>
        <v>Đấu giá&gt; Thời trang&gt; Thời trang nữ&gt; Best&gt; Kapalua</v>
      </c>
      <c r="F1031" t="str">
        <f t="shared" ca="1" si="16"/>
        <v>"2084027970" : "Kapalua",</v>
      </c>
    </row>
    <row r="1032" spans="1:6" ht="15.75" customHeight="1">
      <c r="A1032" s="18">
        <v>2084027971</v>
      </c>
      <c r="B1032" s="18" t="s">
        <v>9751</v>
      </c>
      <c r="C1032" s="18" t="s">
        <v>14004</v>
      </c>
      <c r="D1032" s="5" t="str">
        <f ca="1">IFERROR(__xludf.DUMMYFUNCTION("GOOGLETRANSLATE(B1032,""ja"",""vi"")"),"khoảng trống")</f>
        <v>khoảng trống</v>
      </c>
      <c r="E1032" s="5" t="str">
        <f ca="1">IFERROR(__xludf.DUMMYFUNCTION("GOOGLETRANSLATE(C1032,""ja"",""vi"")"),"Đấu giá&gt; Thời trang&gt; Thời trang&gt; Best&gt; khoảng cách của phụ nữ")</f>
        <v>Đấu giá&gt; Thời trang&gt; Thời trang&gt; Best&gt; khoảng cách của phụ nữ</v>
      </c>
      <c r="F1032" t="str">
        <f t="shared" ca="1" si="16"/>
        <v>"2084027971" : "khoảng trống",</v>
      </c>
    </row>
    <row r="1033" spans="1:6" ht="15.75" customHeight="1">
      <c r="A1033" s="18">
        <v>2084027973</v>
      </c>
      <c r="B1033" s="18" t="s">
        <v>9858</v>
      </c>
      <c r="C1033" s="18" t="s">
        <v>14011</v>
      </c>
      <c r="D1033" s="5" t="str">
        <f ca="1">IFERROR(__xludf.DUMMYFUNCTION("GOOGLETRANSLATE(B1033,""ja"",""vi"")"),"Christian Dior")</f>
        <v>Christian Dior</v>
      </c>
      <c r="E1033" s="5" t="str">
        <f ca="1">IFERROR(__xludf.DUMMYFUNCTION("GOOGLETRANSLATE(C1033,""ja"",""vi"")"),"Đấu giá&gt; Thời trang&gt; Thời trang&gt; Best&gt; Christian Dior nữ")</f>
        <v>Đấu giá&gt; Thời trang&gt; Thời trang&gt; Best&gt; Christian Dior nữ</v>
      </c>
      <c r="F1033" t="str">
        <f t="shared" ca="1" si="16"/>
        <v>"2084027973" : "Christian Dior",</v>
      </c>
    </row>
    <row r="1034" spans="1:6" ht="15.75" customHeight="1">
      <c r="A1034" s="18">
        <v>2084027974</v>
      </c>
      <c r="B1034" s="18" t="s">
        <v>9921</v>
      </c>
      <c r="C1034" s="18" t="s">
        <v>14019</v>
      </c>
      <c r="D1034" s="5" t="str">
        <f ca="1">IFERROR(__xludf.DUMMYFUNCTION("GOOGLETRANSLATE(B1034,""ja"",""vi"")"),"Courreges")</f>
        <v>Courreges</v>
      </c>
      <c r="E1034" s="5" t="str">
        <f ca="1">IFERROR(__xludf.DUMMYFUNCTION("GOOGLETRANSLATE(C1034,""ja"",""vi"")"),"Đấu giá&gt; Thời trang&gt; Thời trang nữ&gt; Best&gt; Courreges")</f>
        <v>Đấu giá&gt; Thời trang&gt; Thời trang nữ&gt; Best&gt; Courreges</v>
      </c>
      <c r="F1034" t="str">
        <f t="shared" ca="1" si="16"/>
        <v>"2084027974" : "Courreges",</v>
      </c>
    </row>
    <row r="1035" spans="1:6" ht="15.75" customHeight="1">
      <c r="A1035" s="18">
        <v>2084027972</v>
      </c>
      <c r="B1035" s="18" t="s">
        <v>9815</v>
      </c>
      <c r="C1035" s="18" t="s">
        <v>14023</v>
      </c>
      <c r="D1035" s="5" t="str">
        <f ca="1">IFERROR(__xludf.DUMMYFUNCTION("GOOGLETRANSLATE(B1035,""ja"",""vi"")"),"Gucci")</f>
        <v>Gucci</v>
      </c>
      <c r="E1035" s="5" t="str">
        <f ca="1">IFERROR(__xludf.DUMMYFUNCTION("GOOGLETRANSLATE(C1035,""ja"",""vi"")"),"Đấu giá&gt; Thời trang&gt; Thời trang nữ&gt; Best&gt; Gucci")</f>
        <v>Đấu giá&gt; Thời trang&gt; Thời trang nữ&gt; Best&gt; Gucci</v>
      </c>
      <c r="F1035" t="str">
        <f t="shared" ca="1" si="16"/>
        <v>"2084027972" : "Gucci",</v>
      </c>
    </row>
    <row r="1036" spans="1:6" ht="15.75" customHeight="1">
      <c r="A1036" s="18">
        <v>2084027975</v>
      </c>
      <c r="B1036" s="18" t="s">
        <v>10020</v>
      </c>
      <c r="C1036" s="18" t="s">
        <v>14030</v>
      </c>
      <c r="D1036" s="5" t="str">
        <f ca="1">IFERROR(__xludf.DUMMYFUNCTION("GOOGLETRANSLATE(B1036,""ja"",""vi"")"),"Kokoruru")</f>
        <v>Kokoruru</v>
      </c>
      <c r="E1036" s="5" t="str">
        <f ca="1">IFERROR(__xludf.DUMMYFUNCTION("GOOGLETRANSLATE(C1036,""ja"",""vi"")"),"Đấu giá&gt; Thời trang&gt; Thời trang nữ&gt; Best&gt; Kokoruru")</f>
        <v>Đấu giá&gt; Thời trang&gt; Thời trang nữ&gt; Best&gt; Kokoruru</v>
      </c>
      <c r="F1036" t="str">
        <f t="shared" ca="1" si="16"/>
        <v>"2084027975" : "Kokoruru",</v>
      </c>
    </row>
    <row r="1037" spans="1:6" ht="15.75" customHeight="1">
      <c r="A1037" s="18">
        <v>2084027976</v>
      </c>
      <c r="B1037" s="18" t="s">
        <v>10041</v>
      </c>
      <c r="C1037" s="18" t="s">
        <v>14035</v>
      </c>
      <c r="D1037" s="5" t="str">
        <f ca="1">IFERROR(__xludf.DUMMYFUNCTION("GOOGLETRANSLATE(B1037,""ja"",""vi"")"),"Com de chế độ")</f>
        <v>Com de chế độ</v>
      </c>
      <c r="E1037" s="5" t="str">
        <f ca="1">IFERROR(__xludf.DUMMYFUNCTION("GOOGLETRANSLATE(C1037,""ja"",""vi"")"),"Đấu giá&gt; Thời trang&gt; Thời trang nữ&gt; Best&gt; com de chế độ")</f>
        <v>Đấu giá&gt; Thời trang&gt; Thời trang nữ&gt; Best&gt; com de chế độ</v>
      </c>
      <c r="F1037" t="str">
        <f t="shared" ca="1" si="16"/>
        <v>"2084027976" : "Com de chế độ",</v>
      </c>
    </row>
    <row r="1038" spans="1:6" ht="15.75" customHeight="1">
      <c r="A1038" s="18">
        <v>2084027977</v>
      </c>
      <c r="B1038" s="18" t="s">
        <v>10044</v>
      </c>
      <c r="C1038" s="18" t="s">
        <v>14043</v>
      </c>
      <c r="D1038" s="5" t="str">
        <f ca="1">IFERROR(__xludf.DUMMYFUNCTION("GOOGLETRANSLATE(B1038,""ja"",""vi"")"),"Comme des Garcons")</f>
        <v>Comme des Garcons</v>
      </c>
      <c r="E1038" s="5" t="str">
        <f ca="1">IFERROR(__xludf.DUMMYFUNCTION("GOOGLETRANSLATE(C1038,""ja"",""vi"")"),"Đấu giá&gt; Thời trang&gt; Thời trang nữ&gt; Best&gt; Comme des Garcons")</f>
        <v>Đấu giá&gt; Thời trang&gt; Thời trang nữ&gt; Best&gt; Comme des Garcons</v>
      </c>
      <c r="F1038" t="str">
        <f t="shared" ca="1" si="16"/>
        <v>"2084027977" : "Comme des Garcons",</v>
      </c>
    </row>
    <row r="1039" spans="1:6" ht="15.75" customHeight="1">
      <c r="A1039" s="18">
        <v>2084027978</v>
      </c>
      <c r="B1039" s="18" t="s">
        <v>10229</v>
      </c>
      <c r="C1039" s="18" t="s">
        <v>14049</v>
      </c>
      <c r="D1039" s="5" t="str">
        <f ca="1">IFERROR(__xludf.DUMMYFUNCTION("GOOGLETRANSLATE(B1039,""ja"",""vi"")"),"tàu")</f>
        <v>tàu</v>
      </c>
      <c r="E1039" s="5" t="str">
        <f ca="1">IFERROR(__xludf.DUMMYFUNCTION("GOOGLETRANSLATE(C1039,""ja"",""vi"")"),"Đấu giá&gt; Thời trang&gt; Thời trang nữ&gt; Best&gt; Tàu")</f>
        <v>Đấu giá&gt; Thời trang&gt; Thời trang nữ&gt; Best&gt; Tàu</v>
      </c>
      <c r="F1039" t="str">
        <f t="shared" ca="1" si="16"/>
        <v>"2084027978" : "tàu",</v>
      </c>
    </row>
    <row r="1040" spans="1:6" ht="15.75" customHeight="1">
      <c r="A1040" s="18">
        <v>2084027979</v>
      </c>
      <c r="B1040" s="18" t="s">
        <v>10288</v>
      </c>
      <c r="C1040" s="18" t="s">
        <v>14054</v>
      </c>
      <c r="D1040" s="5" t="str">
        <f ca="1">IFERROR(__xludf.DUMMYFUNCTION("GOOGLETRANSLATE(B1040,""ja"",""vi"")"),"Chanel")</f>
        <v>Chanel</v>
      </c>
      <c r="E1040" s="5" t="str">
        <f ca="1">IFERROR(__xludf.DUMMYFUNCTION("GOOGLETRANSLATE(C1040,""ja"",""vi"")"),"Đấu giá&gt; Thời trang&gt; Thời trang nữ&gt; Best&gt; Chanel")</f>
        <v>Đấu giá&gt; Thời trang&gt; Thời trang nữ&gt; Best&gt; Chanel</v>
      </c>
      <c r="F1040" t="str">
        <f t="shared" ca="1" si="16"/>
        <v>"2084027979" : "Chanel",</v>
      </c>
    </row>
    <row r="1041" spans="1:6" ht="15.75" customHeight="1">
      <c r="A1041" s="18">
        <v>2084027980</v>
      </c>
      <c r="B1041" s="18" t="s">
        <v>10446</v>
      </c>
      <c r="C1041" s="18" t="s">
        <v>14059</v>
      </c>
      <c r="D1041" s="5" t="str">
        <f ca="1">IFERROR(__xludf.DUMMYFUNCTION("GOOGLETRANSLATE(B1041,""ja"",""vi"")"),"Jill Stuart")</f>
        <v>Jill Stuart</v>
      </c>
      <c r="E1041" s="5" t="str">
        <f ca="1">IFERROR(__xludf.DUMMYFUNCTION("GOOGLETRANSLATE(C1041,""ja"",""vi"")"),"Đấu giá&gt; Thời trang&gt; Thời trang&gt; Best&gt; Jill Stuart nữ")</f>
        <v>Đấu giá&gt; Thời trang&gt; Thời trang&gt; Best&gt; Jill Stuart nữ</v>
      </c>
      <c r="F1041" t="str">
        <f t="shared" ca="1" si="16"/>
        <v>"2084027980" : "Jill Stuart",</v>
      </c>
    </row>
    <row r="1042" spans="1:6" ht="15.75" customHeight="1">
      <c r="A1042" s="18">
        <v>2084027981</v>
      </c>
      <c r="B1042" s="18" t="s">
        <v>10476</v>
      </c>
      <c r="C1042" s="18" t="s">
        <v>14062</v>
      </c>
      <c r="D1042" s="5" t="str">
        <f ca="1">IFERROR(__xludf.DUMMYFUNCTION("GOOGLETRANSLATE(B1042,""ja"",""vi"")"),"Zucca")</f>
        <v>Zucca</v>
      </c>
      <c r="E1042" s="5" t="str">
        <f ca="1">IFERROR(__xludf.DUMMYFUNCTION("GOOGLETRANSLATE(C1042,""ja"",""vi"")"),"Đấu giá&gt; Thời trang&gt; Thời trang nữ&gt; Best&gt; Zucca")</f>
        <v>Đấu giá&gt; Thời trang&gt; Thời trang nữ&gt; Best&gt; Zucca</v>
      </c>
      <c r="F1042" t="str">
        <f t="shared" ca="1" si="16"/>
        <v>"2084027981" : "Zucca",</v>
      </c>
    </row>
    <row r="1043" spans="1:6" ht="15.75" customHeight="1">
      <c r="A1043" s="18">
        <v>2084027940</v>
      </c>
      <c r="B1043" s="18" t="s">
        <v>10601</v>
      </c>
      <c r="C1043" s="18" t="s">
        <v>14070</v>
      </c>
      <c r="D1043" s="5" t="str">
        <f ca="1">IFERROR(__xludf.DUMMYFUNCTION("GOOGLETRANSLATE(B1043,""ja"",""vi"")"),"Cecil McBee")</f>
        <v>Cecil McBee</v>
      </c>
      <c r="E1043" s="5" t="str">
        <f ca="1">IFERROR(__xludf.DUMMYFUNCTION("GOOGLETRANSLATE(C1043,""ja"",""vi"")"),"Đấu giá&gt; Thời trang&gt; Thời trang&gt; Best&gt; Cecil McBee nữ")</f>
        <v>Đấu giá&gt; Thời trang&gt; Thời trang&gt; Best&gt; Cecil McBee nữ</v>
      </c>
      <c r="F1043" t="str">
        <f t="shared" ca="1" si="16"/>
        <v>"2084027940" : "Cecil McBee",</v>
      </c>
    </row>
    <row r="1044" spans="1:6" ht="15.75" customHeight="1">
      <c r="A1044" s="18">
        <v>2084027941</v>
      </c>
      <c r="B1044" s="18" t="s">
        <v>13486</v>
      </c>
      <c r="C1044" s="18" t="s">
        <v>14075</v>
      </c>
      <c r="D1044" s="5" t="str">
        <f ca="1">IFERROR(__xludf.DUMMYFUNCTION("GOOGLETRANSLATE(B1044,""ja"",""vi"")"),"Donna Karan, DKNY")</f>
        <v>Donna Karan, DKNY</v>
      </c>
      <c r="E1044" s="5" t="str">
        <f ca="1">IFERROR(__xludf.DUMMYFUNCTION("GOOGLETRANSLATE(C1044,""ja"",""vi"")"),"Đấu giá&gt; Thời trang&gt; Thời trang nữ&gt; Best&gt; Donna Karan, DKNY")</f>
        <v>Đấu giá&gt; Thời trang&gt; Thời trang nữ&gt; Best&gt; Donna Karan, DKNY</v>
      </c>
      <c r="F1044" t="str">
        <f t="shared" ca="1" si="16"/>
        <v>"2084027941" : "Donna Karan, DKNY",</v>
      </c>
    </row>
    <row r="1045" spans="1:6" ht="15.75" customHeight="1">
      <c r="A1045" s="18">
        <v>2084027942</v>
      </c>
      <c r="B1045" s="18" t="s">
        <v>10819</v>
      </c>
      <c r="C1045" s="18" t="s">
        <v>14080</v>
      </c>
      <c r="D1045" s="5" t="str">
        <f ca="1">IFERROR(__xludf.DUMMYFUNCTION("GOOGLETRANSLATE(B1045,""ja"",""vi"")"),"Tsumori Chisato")</f>
        <v>Tsumori Chisato</v>
      </c>
      <c r="E1045" s="5" t="str">
        <f ca="1">IFERROR(__xludf.DUMMYFUNCTION("GOOGLETRANSLATE(C1045,""ja"",""vi"")"),"Đấu giá&gt; Thời trang&gt; Thời trang&gt; Best&gt; Tsumori Chisato nữ")</f>
        <v>Đấu giá&gt; Thời trang&gt; Thời trang&gt; Best&gt; Tsumori Chisato nữ</v>
      </c>
      <c r="F1045" t="str">
        <f t="shared" ca="1" si="16"/>
        <v>"2084027942" : "Tsumori Chisato",</v>
      </c>
    </row>
    <row r="1046" spans="1:6" ht="15.75" customHeight="1">
      <c r="A1046" s="18">
        <v>2084027943</v>
      </c>
      <c r="B1046" s="18" t="s">
        <v>11150</v>
      </c>
      <c r="C1046" s="18" t="s">
        <v>14085</v>
      </c>
      <c r="D1046" s="5" t="str">
        <f ca="1">IFERROR(__xludf.DUMMYFUNCTION("GOOGLETRANSLATE(B1046,""ja"",""vi"")"),"phế liệu Nai")</f>
        <v>phế liệu Nai</v>
      </c>
      <c r="E1046" s="5" t="str">
        <f ca="1">IFERROR(__xludf.DUMMYFUNCTION("GOOGLETRANSLATE(C1046,""ja"",""vi"")"),"Đấu giá&gt; Thời trang&gt; Thời trang&gt; Best&gt; phế liệu Nai nữ")</f>
        <v>Đấu giá&gt; Thời trang&gt; Thời trang&gt; Best&gt; phế liệu Nai nữ</v>
      </c>
      <c r="F1046" t="str">
        <f t="shared" ca="1" si="16"/>
        <v>"2084027943" : "phế liệu Nai",</v>
      </c>
    </row>
    <row r="1047" spans="1:6" ht="15.75" customHeight="1">
      <c r="A1047" s="18">
        <v>2084027944</v>
      </c>
      <c r="B1047" s="18" t="s">
        <v>11443</v>
      </c>
      <c r="C1047" s="18" t="s">
        <v>14089</v>
      </c>
      <c r="D1047" s="5" t="str">
        <f ca="1">IFERROR(__xludf.DUMMYFUNCTION("GOOGLETRANSLATE(B1047,""ja"",""vi"")"),"chổ lồi ở cây")</f>
        <v>chổ lồi ở cây</v>
      </c>
      <c r="E1047" s="5" t="str">
        <f ca="1">IFERROR(__xludf.DUMMYFUNCTION("GOOGLETRANSLATE(C1047,""ja"",""vi"")"),"Đấu giá&gt; Thời trang&gt; Thời trang nữ&gt; Best&gt; Burberry")</f>
        <v>Đấu giá&gt; Thời trang&gt; Thời trang nữ&gt; Best&gt; Burberry</v>
      </c>
      <c r="F1047" t="str">
        <f t="shared" ca="1" si="16"/>
        <v>"2084027944" : "chổ lồi ở cây",</v>
      </c>
    </row>
    <row r="1048" spans="1:6" ht="15.75" customHeight="1">
      <c r="A1048" s="18">
        <v>2084027946</v>
      </c>
      <c r="B1048" s="18" t="s">
        <v>11611</v>
      </c>
      <c r="C1048" s="18" t="s">
        <v>14093</v>
      </c>
      <c r="D1048" s="5" t="str">
        <f ca="1">IFERROR(__xludf.DUMMYFUNCTION("GOOGLETRANSLATE(B1048,""ja"",""vi"")"),"Hysteric Glamour")</f>
        <v>Hysteric Glamour</v>
      </c>
      <c r="E1048" s="5" t="str">
        <f ca="1">IFERROR(__xludf.DUMMYFUNCTION("GOOGLETRANSLATE(C1048,""ja"",""vi"")"),"Đấu giá&gt; Thời trang&gt; Thời trang&gt; Best&gt; Hysteric Glamour nữ")</f>
        <v>Đấu giá&gt; Thời trang&gt; Thời trang&gt; Best&gt; Hysteric Glamour nữ</v>
      </c>
      <c r="F1048" t="str">
        <f t="shared" ca="1" si="16"/>
        <v>"2084027946" : "Hysteric Glamour",</v>
      </c>
    </row>
    <row r="1049" spans="1:6" ht="15.75" customHeight="1">
      <c r="A1049" s="18">
        <v>2084027945</v>
      </c>
      <c r="B1049" s="18" t="s">
        <v>11683</v>
      </c>
      <c r="C1049" s="18" t="s">
        <v>14098</v>
      </c>
      <c r="D1049" s="5" t="str">
        <f ca="1">IFERROR(__xludf.DUMMYFUNCTION("GOOGLETRANSLATE(B1049,""ja"",""vi"")"),"DẦM")</f>
        <v>DẦM</v>
      </c>
      <c r="E1049" s="5" t="str">
        <f ca="1">IFERROR(__xludf.DUMMYFUNCTION("GOOGLETRANSLATE(C1049,""ja"",""vi"")"),"Đấu giá&gt; Thời trang&gt; Thời trang nữ&gt; Best&gt; Dầm")</f>
        <v>Đấu giá&gt; Thời trang&gt; Thời trang nữ&gt; Best&gt; Dầm</v>
      </c>
      <c r="F1049" t="str">
        <f t="shared" ca="1" si="16"/>
        <v>"2084027945" : "DẦM",</v>
      </c>
    </row>
    <row r="1050" spans="1:6" ht="15.75" customHeight="1">
      <c r="A1050" s="18">
        <v>2084027947</v>
      </c>
      <c r="B1050" s="18" t="s">
        <v>11668</v>
      </c>
      <c r="C1050" s="18" t="s">
        <v>14102</v>
      </c>
      <c r="D1050" s="5" t="str">
        <f ca="1">IFERROR(__xludf.DUMMYFUNCTION("GOOGLETRANSLATE(B1050,""ja"",""vi"")"),"Bibayu")</f>
        <v>Bibayu</v>
      </c>
      <c r="E1050" s="5" t="str">
        <f ca="1">IFERROR(__xludf.DUMMYFUNCTION("GOOGLETRANSLATE(C1050,""ja"",""vi"")"),"Đấu giá&gt; Thời trang&gt; Thời trang nữ&gt; Best&gt; Bibayu")</f>
        <v>Đấu giá&gt; Thời trang&gt; Thời trang nữ&gt; Best&gt; Bibayu</v>
      </c>
      <c r="F1050" t="str">
        <f t="shared" ca="1" si="16"/>
        <v>"2084027947" : "Bibayu",</v>
      </c>
    </row>
    <row r="1051" spans="1:6" ht="15.75" customHeight="1">
      <c r="A1051" s="18">
        <v>2084027948</v>
      </c>
      <c r="B1051" s="18" t="s">
        <v>11748</v>
      </c>
      <c r="C1051" s="18" t="s">
        <v>14107</v>
      </c>
      <c r="D1051" s="5" t="str">
        <f ca="1">IFERROR(__xludf.DUMMYFUNCTION("GOOGLETRANSLATE(B1051,""ja"",""vi"")"),"Pinky &amp; Dianne")</f>
        <v>Pinky &amp; Dianne</v>
      </c>
      <c r="E1051" s="5" t="str">
        <f ca="1">IFERROR(__xludf.DUMMYFUNCTION("GOOGLETRANSLATE(C1051,""ja"",""vi"")"),"Đấu giá&gt; Thời trang&gt; Thời trang nữ&gt; Best&gt; Pinky &amp; Dianne")</f>
        <v>Đấu giá&gt; Thời trang&gt; Thời trang nữ&gt; Best&gt; Pinky &amp; Dianne</v>
      </c>
      <c r="F1051" t="str">
        <f t="shared" ca="1" si="16"/>
        <v>"2084027948" : "Pinky &amp; Dianne",</v>
      </c>
    </row>
    <row r="1052" spans="1:6" ht="15.75" customHeight="1">
      <c r="A1052" s="18">
        <v>2084027949</v>
      </c>
      <c r="B1052" s="18" t="s">
        <v>11762</v>
      </c>
      <c r="C1052" s="18" t="s">
        <v>14111</v>
      </c>
      <c r="D1052" s="5" t="str">
        <f ca="1">IFERROR(__xludf.DUMMYFUNCTION("GOOGLETRANSLATE(B1052,""ja"",""vi"")"),"nhà màu hồng")</f>
        <v>nhà màu hồng</v>
      </c>
      <c r="E1052" s="5" t="str">
        <f ca="1">IFERROR(__xludf.DUMMYFUNCTION("GOOGLETRANSLATE(C1052,""ja"",""vi"")"),"Đấu giá&gt; Thời trang&gt; Thời trang&gt; Best&gt; Pink House nữ")</f>
        <v>Đấu giá&gt; Thời trang&gt; Thời trang&gt; Best&gt; Pink House nữ</v>
      </c>
      <c r="F1052" t="str">
        <f t="shared" ca="1" si="16"/>
        <v>"2084027949" : "nhà màu hồng",</v>
      </c>
    </row>
    <row r="1053" spans="1:6" ht="15.75" customHeight="1">
      <c r="A1053" s="18">
        <v>2084027950</v>
      </c>
      <c r="B1053" s="18" t="s">
        <v>11843</v>
      </c>
      <c r="C1053" s="18" t="s">
        <v>14115</v>
      </c>
      <c r="D1053" s="5" t="str">
        <f ca="1">IFERROR(__xludf.DUMMYFUNCTION("GOOGLETRANSLATE(B1053,""ja"",""vi"")"),"Fendi")</f>
        <v>Fendi</v>
      </c>
      <c r="E1053" s="5" t="str">
        <f ca="1">IFERROR(__xludf.DUMMYFUNCTION("GOOGLETRANSLATE(C1053,""ja"",""vi"")"),"Đấu giá&gt; Thời trang&gt; Thời trang nữ&gt; Best&gt; Fendi")</f>
        <v>Đấu giá&gt; Thời trang&gt; Thời trang nữ&gt; Best&gt; Fendi</v>
      </c>
      <c r="F1053" t="str">
        <f t="shared" ca="1" si="16"/>
        <v>"2084027950" : "Fendi",</v>
      </c>
    </row>
    <row r="1054" spans="1:6" ht="15.75" customHeight="1">
      <c r="A1054" s="18">
        <v>2084027951</v>
      </c>
      <c r="B1054" s="18" t="s">
        <v>12025</v>
      </c>
      <c r="C1054" s="18" t="s">
        <v>14118</v>
      </c>
      <c r="D1054" s="5" t="str">
        <f ca="1">IFERROR(__xludf.DUMMYFUNCTION("GOOGLETRANSLATE(B1054,""ja"",""vi"")"),"LABEL TƯ")</f>
        <v>LABEL TƯ</v>
      </c>
      <c r="E1054" s="5" t="str">
        <f ca="1">IFERROR(__xludf.DUMMYFUNCTION("GOOGLETRANSLATE(C1054,""ja"",""vi"")"),"Đấu giá&gt; Thời trang&gt; Thời trang&gt; Best&gt; nhãn hiệu riêng của phụ nữ")</f>
        <v>Đấu giá&gt; Thời trang&gt; Thời trang&gt; Best&gt; nhãn hiệu riêng của phụ nữ</v>
      </c>
      <c r="F1054" t="str">
        <f t="shared" ca="1" si="16"/>
        <v>"2084027951" : "LABEL TƯ",</v>
      </c>
    </row>
    <row r="1055" spans="1:6" ht="15.75" customHeight="1">
      <c r="A1055" s="18">
        <v>2084027952</v>
      </c>
      <c r="B1055" s="18" t="s">
        <v>12035</v>
      </c>
      <c r="C1055" s="18" t="s">
        <v>14120</v>
      </c>
      <c r="D1055" s="5" t="str">
        <f ca="1">IFERROR(__xludf.DUMMYFUNCTION("GOOGLETRANSLATE(B1055,""ja"",""vi"")"),"Prada")</f>
        <v>Prada</v>
      </c>
      <c r="E1055" s="5" t="str">
        <f ca="1">IFERROR(__xludf.DUMMYFUNCTION("GOOGLETRANSLATE(C1055,""ja"",""vi"")"),"Đấu giá&gt; Thời trang&gt; Thời trang nữ&gt; Best&gt; Prada")</f>
        <v>Đấu giá&gt; Thời trang&gt; Thời trang nữ&gt; Best&gt; Prada</v>
      </c>
      <c r="F1055" t="str">
        <f t="shared" ca="1" si="16"/>
        <v>"2084027952" : "Prada",</v>
      </c>
    </row>
    <row r="1056" spans="1:6" ht="15.75" customHeight="1">
      <c r="A1056" s="18">
        <v>2084027954</v>
      </c>
      <c r="B1056" s="18" t="s">
        <v>12114</v>
      </c>
      <c r="C1056" s="18" t="s">
        <v>14124</v>
      </c>
      <c r="D1056" s="5" t="str">
        <f ca="1">IFERROR(__xludf.DUMMYFUNCTION("GOOGLETRANSLATE(B1056,""ja"",""vi"")"),"Benetton")</f>
        <v>Benetton</v>
      </c>
      <c r="E1056" s="5" t="str">
        <f ca="1">IFERROR(__xludf.DUMMYFUNCTION("GOOGLETRANSLATE(C1056,""ja"",""vi"")"),"Đấu giá&gt; Thời trang&gt; Thời trang nữ&gt; Best&gt; Benetton")</f>
        <v>Đấu giá&gt; Thời trang&gt; Thời trang nữ&gt; Best&gt; Benetton</v>
      </c>
      <c r="F1056" t="str">
        <f t="shared" ca="1" si="16"/>
        <v>"2084027954" : "Benetton",</v>
      </c>
    </row>
    <row r="1057" spans="1:6" ht="15.75" customHeight="1">
      <c r="A1057" s="18">
        <v>2084027955</v>
      </c>
      <c r="B1057" s="18" t="s">
        <v>12312</v>
      </c>
      <c r="C1057" s="18" t="s">
        <v>14128</v>
      </c>
      <c r="D1057" s="5" t="str">
        <f ca="1">IFERROR(__xludf.DUMMYFUNCTION("GOOGLETRANSLATE(B1057,""ja"",""vi"")"),"Moussy")</f>
        <v>Moussy</v>
      </c>
      <c r="E1057" s="5" t="str">
        <f ca="1">IFERROR(__xludf.DUMMYFUNCTION("GOOGLETRANSLATE(C1057,""ja"",""vi"")"),"Đấu giá&gt; Thời trang&gt; Thời trang nữ&gt; Best&gt; Moussy")</f>
        <v>Đấu giá&gt; Thời trang&gt; Thời trang nữ&gt; Best&gt; Moussy</v>
      </c>
      <c r="F1057" t="str">
        <f t="shared" ca="1" si="16"/>
        <v>"2084027955" : "Moussy",</v>
      </c>
    </row>
    <row r="1058" spans="1:6" ht="15.75" customHeight="1">
      <c r="A1058" s="18">
        <v>2084027956</v>
      </c>
      <c r="B1058" s="18" t="s">
        <v>12442</v>
      </c>
      <c r="C1058" s="18" t="s">
        <v>14131</v>
      </c>
      <c r="D1058" s="5" t="str">
        <f ca="1">IFERROR(__xludf.DUMMYFUNCTION("GOOGLETRANSLATE(B1058,""ja"",""vi"")"),"Mijen")</f>
        <v>Mijen</v>
      </c>
      <c r="E1058" s="5" t="str">
        <f ca="1">IFERROR(__xludf.DUMMYFUNCTION("GOOGLETRANSLATE(C1058,""ja"",""vi"")"),"Đấu giá&gt; Thời trang&gt; Thời trang nữ&gt; Best&gt; Mijen")</f>
        <v>Đấu giá&gt; Thời trang&gt; Thời trang nữ&gt; Best&gt; Mijen</v>
      </c>
      <c r="F1058" t="str">
        <f t="shared" ca="1" si="16"/>
        <v>"2084027956" : "Mijen",</v>
      </c>
    </row>
    <row r="1059" spans="1:6" ht="15.75" customHeight="1">
      <c r="A1059" s="18">
        <v>2084027957</v>
      </c>
      <c r="B1059" s="18" t="s">
        <v>12465</v>
      </c>
      <c r="C1059" s="18" t="s">
        <v>14135</v>
      </c>
      <c r="D1059" s="5" t="str">
        <f ca="1">IFERROR(__xludf.DUMMYFUNCTION("GOOGLETRANSLATE(B1059,""ja"",""vi"")"),"Michel Klang")</f>
        <v>Michel Klang</v>
      </c>
      <c r="E1059" s="5" t="str">
        <f ca="1">IFERROR(__xludf.DUMMYFUNCTION("GOOGLETRANSLATE(C1059,""ja"",""vi"")"),"Đấu giá&gt; Thời trang&gt; Thời trang&gt; Best&gt; Michel Klang nữ")</f>
        <v>Đấu giá&gt; Thời trang&gt; Thời trang&gt; Best&gt; Michel Klang nữ</v>
      </c>
      <c r="F1059" t="str">
        <f t="shared" ca="1" si="16"/>
        <v>"2084027957" : "Michel Klang",</v>
      </c>
    </row>
    <row r="1060" spans="1:6" ht="15.75" customHeight="1">
      <c r="A1060" s="18">
        <v>2084027958</v>
      </c>
      <c r="B1060" s="18" t="s">
        <v>12763</v>
      </c>
      <c r="C1060" s="18" t="s">
        <v>14139</v>
      </c>
      <c r="D1060" s="5" t="str">
        <f ca="1">IFERROR(__xludf.DUMMYFUNCTION("GOOGLETRANSLATE(B1060,""ja"",""vi"")"),"Rabuboto")</f>
        <v>Rabuboto</v>
      </c>
      <c r="E1060" s="5" t="str">
        <f ca="1">IFERROR(__xludf.DUMMYFUNCTION("GOOGLETRANSLATE(C1060,""ja"",""vi"")"),"Đấu giá&gt; Thời trang&gt; Thời trang nữ&gt; Best&gt; Rabuboto")</f>
        <v>Đấu giá&gt; Thời trang&gt; Thời trang nữ&gt; Best&gt; Rabuboto</v>
      </c>
      <c r="F1060" t="str">
        <f t="shared" ca="1" si="16"/>
        <v>"2084027958" : "Rabuboto",</v>
      </c>
    </row>
    <row r="1061" spans="1:6" ht="15.75" customHeight="1">
      <c r="A1061" s="18">
        <v>2084027959</v>
      </c>
      <c r="B1061" s="18" t="s">
        <v>12786</v>
      </c>
      <c r="C1061" s="18" t="s">
        <v>14143</v>
      </c>
      <c r="D1061" s="5" t="str">
        <f ca="1">IFERROR(__xludf.DUMMYFUNCTION("GOOGLETRANSLATE(B1061,""ja"",""vi"")"),"Ralph Lauren")</f>
        <v>Ralph Lauren</v>
      </c>
      <c r="E1061" s="5" t="str">
        <f ca="1">IFERROR(__xludf.DUMMYFUNCTION("GOOGLETRANSLATE(C1061,""ja"",""vi"")"),"Đấu giá&gt; Thời trang&gt; Thời trang&gt; Best&gt; Ralph Lauren nữ")</f>
        <v>Đấu giá&gt; Thời trang&gt; Thời trang&gt; Best&gt; Ralph Lauren nữ</v>
      </c>
      <c r="F1061" t="str">
        <f t="shared" ca="1" si="16"/>
        <v>"2084027959" : "Ralph Lauren",</v>
      </c>
    </row>
    <row r="1062" spans="1:6" ht="15.75" customHeight="1">
      <c r="A1062" s="18">
        <v>2084027961</v>
      </c>
      <c r="B1062" s="18" t="s">
        <v>13116</v>
      </c>
      <c r="C1062" s="18" t="s">
        <v>14147</v>
      </c>
      <c r="D1062" s="5" t="str">
        <f ca="1">IFERROR(__xludf.DUMMYFUNCTION("GOOGLETRANSLATE(B1062,""ja"",""vi"")"),"bước chạy dài")</f>
        <v>bước chạy dài</v>
      </c>
      <c r="E1062" s="5" t="str">
        <f ca="1">IFERROR(__xludf.DUMMYFUNCTION("GOOGLETRANSLATE(C1062,""ja"",""vi"")"),"Đấu giá&gt; Thời trang&gt; Thời trang nữ&gt; Best&gt; Lope")</f>
        <v>Đấu giá&gt; Thời trang&gt; Thời trang nữ&gt; Best&gt; Lope</v>
      </c>
      <c r="F1062" t="str">
        <f t="shared" ca="1" si="16"/>
        <v>"2084027961" : "bước chạy dài",</v>
      </c>
    </row>
    <row r="1063" spans="1:6" ht="15.75" customHeight="1">
      <c r="A1063" s="18">
        <v>2084027964</v>
      </c>
      <c r="B1063" s="18" t="s">
        <v>13594</v>
      </c>
      <c r="C1063" s="18" t="s">
        <v>14149</v>
      </c>
      <c r="D1063" s="5" t="str">
        <f ca="1">IFERROR(__xludf.DUMMYFUNCTION("GOOGLETRANSLATE(B1063,""ja"",""vi"")"),"Vivienne Westwood")</f>
        <v>Vivienne Westwood</v>
      </c>
      <c r="E1063" s="5" t="str">
        <f ca="1">IFERROR(__xludf.DUMMYFUNCTION("GOOGLETRANSLATE(C1063,""ja"",""vi"")"),"Đấu giá&gt; Thời trang&gt; Thời trang&gt; Best&gt; Vivienne Westwood nữ")</f>
        <v>Đấu giá&gt; Thời trang&gt; Thời trang&gt; Best&gt; Vivienne Westwood nữ</v>
      </c>
      <c r="F1063" t="str">
        <f t="shared" ca="1" si="16"/>
        <v>"2084027964" : "Vivienne Westwood",</v>
      </c>
    </row>
    <row r="1064" spans="1:6" ht="15.75" customHeight="1">
      <c r="A1064" s="18">
        <v>2084027963</v>
      </c>
      <c r="B1064" s="18" t="s">
        <v>9826</v>
      </c>
      <c r="C1064" s="18" t="s">
        <v>14152</v>
      </c>
      <c r="D1064" s="5" t="str">
        <f ca="1">IFERROR(__xludf.DUMMYFUNCTION("GOOGLETRANSLATE(B1064,""ja"",""vi"")"),"bộ")</f>
        <v>bộ</v>
      </c>
      <c r="E1064" s="5" t="str">
        <f ca="1">IFERROR(__xludf.DUMMYFUNCTION("GOOGLETRANSLATE(C1064,""ja"",""vi"")"),"Đấu giá&gt; Thời trang&gt; Thời trang nữ&gt; Best&gt; Suite")</f>
        <v>Đấu giá&gt; Thời trang&gt; Thời trang nữ&gt; Best&gt; Suite</v>
      </c>
      <c r="F1064" t="str">
        <f t="shared" ca="1" si="16"/>
        <v>"2084027963" : "bộ",</v>
      </c>
    </row>
    <row r="1065" spans="1:6" ht="15.75" customHeight="1">
      <c r="A1065" s="18">
        <v>2084064259</v>
      </c>
      <c r="B1065" s="18" t="s">
        <v>13341</v>
      </c>
      <c r="C1065" s="18" t="s">
        <v>14156</v>
      </c>
      <c r="D1065" s="5" t="str">
        <f ca="1">IFERROR(__xludf.DUMMYFUNCTION("GOOGLETRANSLATE(B1065,""ja"",""vi"")"),"kích thước XS dưới đây")</f>
        <v>kích thước XS dưới đây</v>
      </c>
      <c r="E1065" s="5" t="str">
        <f ca="1">IFERROR(__xludf.DUMMYFUNCTION("GOOGLETRANSLATE(C1065,""ja"",""vi"")"),"Đấu giá&gt; Thời trang&gt; Phụ nữ thời trang&gt; Trainer&gt; XS kích thước bên dưới")</f>
        <v>Đấu giá&gt; Thời trang&gt; Phụ nữ thời trang&gt; Trainer&gt; XS kích thước bên dưới</v>
      </c>
      <c r="F1065" t="str">
        <f t="shared" ca="1" si="16"/>
        <v>"2084064259" : "kích thước XS dưới đây",</v>
      </c>
    </row>
    <row r="1066" spans="1:6" ht="15.75" customHeight="1">
      <c r="A1066" s="18">
        <v>2084064260</v>
      </c>
      <c r="B1066" s="18" t="s">
        <v>13345</v>
      </c>
      <c r="C1066" s="18" t="s">
        <v>14160</v>
      </c>
      <c r="D1066" s="5" t="str">
        <f ca="1">IFERROR(__xludf.DUMMYFUNCTION("GOOGLETRANSLATE(B1066,""ja"",""vi"")"),"size S")</f>
        <v>size S</v>
      </c>
      <c r="E1066" s="5" t="str">
        <f ca="1">IFERROR(__xludf.DUMMYFUNCTION("GOOGLETRANSLATE(C1066,""ja"",""vi"")"),"Đấu giá&gt; Thời trang&gt; Thời trang nữ&gt; áo&gt; S kích thước")</f>
        <v>Đấu giá&gt; Thời trang&gt; Thời trang nữ&gt; áo&gt; S kích thước</v>
      </c>
      <c r="F1066" t="str">
        <f t="shared" ca="1" si="16"/>
        <v>"2084064260" : "size S",</v>
      </c>
    </row>
    <row r="1067" spans="1:6" ht="15.75" customHeight="1">
      <c r="A1067" s="18">
        <v>2084064261</v>
      </c>
      <c r="B1067" s="18" t="s">
        <v>13351</v>
      </c>
      <c r="C1067" s="18" t="s">
        <v>14169</v>
      </c>
      <c r="D1067" s="5" t="str">
        <f ca="1">IFERROR(__xludf.DUMMYFUNCTION("GOOGLETRANSLATE(B1067,""ja"",""vi"")"),"size M")</f>
        <v>size M</v>
      </c>
      <c r="E1067" s="5" t="str">
        <f ca="1">IFERROR(__xludf.DUMMYFUNCTION("GOOGLETRANSLATE(C1067,""ja"",""vi"")"),"Đấu giá&gt; Thời trang&gt; Thời trang nữ&gt; áo&gt; size M")</f>
        <v>Đấu giá&gt; Thời trang&gt; Thời trang nữ&gt; áo&gt; size M</v>
      </c>
      <c r="F1067" t="str">
        <f t="shared" ca="1" si="16"/>
        <v>"2084064261" : "size M",</v>
      </c>
    </row>
    <row r="1068" spans="1:6" ht="15.75" customHeight="1">
      <c r="A1068" s="18">
        <v>2084064262</v>
      </c>
      <c r="B1068" s="18" t="s">
        <v>13355</v>
      </c>
      <c r="C1068" s="18" t="s">
        <v>14173</v>
      </c>
      <c r="D1068" s="5" t="str">
        <f ca="1">IFERROR(__xludf.DUMMYFUNCTION("GOOGLETRANSLATE(B1068,""ja"",""vi"")"),"size L")</f>
        <v>size L</v>
      </c>
      <c r="E1068" s="5" t="str">
        <f ca="1">IFERROR(__xludf.DUMMYFUNCTION("GOOGLETRANSLATE(C1068,""ja"",""vi"")"),"Đấu giá&gt; Thời trang&gt; Phụ nữ thời trang&gt; Trainer&gt; L kích thước")</f>
        <v>Đấu giá&gt; Thời trang&gt; Phụ nữ thời trang&gt; Trainer&gt; L kích thước</v>
      </c>
      <c r="F1068" t="str">
        <f t="shared" ca="1" si="16"/>
        <v>"2084064262" : "size L",</v>
      </c>
    </row>
    <row r="1069" spans="1:6" ht="15.75" customHeight="1">
      <c r="A1069" s="18">
        <v>2084064263</v>
      </c>
      <c r="B1069" s="18" t="s">
        <v>13360</v>
      </c>
      <c r="C1069" s="18" t="s">
        <v>14178</v>
      </c>
      <c r="D1069" s="5" t="str">
        <f ca="1">IFERROR(__xludf.DUMMYFUNCTION("GOOGLETRANSLATE(B1069,""ja"",""vi"")"),"kích thước XL hoặc lớn hơn")</f>
        <v>kích thước XL hoặc lớn hơn</v>
      </c>
      <c r="E1069" s="5" t="str">
        <f ca="1">IFERROR(__xludf.DUMMYFUNCTION("GOOGLETRANSLATE(C1069,""ja"",""vi"")"),"Đấu giá&gt; Thời trang&gt; Phụ nữ thời trang&gt; Trainer&gt; kích thước XL hơn")</f>
        <v>Đấu giá&gt; Thời trang&gt; Phụ nữ thời trang&gt; Trainer&gt; kích thước XL hơn</v>
      </c>
      <c r="F1069" t="str">
        <f t="shared" ca="1" si="16"/>
        <v>"2084064263" : "kích thước XL hoặc lớn hơn",</v>
      </c>
    </row>
    <row r="1070" spans="1:6" ht="15.75" customHeight="1">
      <c r="A1070" s="18">
        <v>2084027926</v>
      </c>
      <c r="B1070" s="18" t="s">
        <v>8840</v>
      </c>
      <c r="C1070" s="18" t="s">
        <v>14183</v>
      </c>
      <c r="D1070" s="5" t="str">
        <f ca="1">IFERROR(__xludf.DUMMYFUNCTION("GOOGLETRANSLATE(B1070,""ja"",""vi"")"),"Apese")</f>
        <v>Apese</v>
      </c>
      <c r="E1070" s="5" t="str">
        <f ca="1">IFERROR(__xludf.DUMMYFUNCTION("GOOGLETRANSLATE(C1070,""ja"",""vi"")"),"Đấu giá&gt; Thời trang&gt; Phụ nữ thời trang&gt; Trainer&gt; Apese")</f>
        <v>Đấu giá&gt; Thời trang&gt; Phụ nữ thời trang&gt; Trainer&gt; Apese</v>
      </c>
      <c r="F1070" t="str">
        <f t="shared" ca="1" si="16"/>
        <v>"2084027926" : "Apese",</v>
      </c>
    </row>
    <row r="1071" spans="1:6" ht="15.75" customHeight="1">
      <c r="A1071" s="18">
        <v>2084027927</v>
      </c>
      <c r="B1071" s="18" t="s">
        <v>13367</v>
      </c>
      <c r="C1071" s="18" t="s">
        <v>14187</v>
      </c>
      <c r="D1071" s="5" t="str">
        <f ca="1">IFERROR(__xludf.DUMMYFUNCTION("GOOGLETRANSLATE(B1071,""ja"",""vi"")"),"Agnes b.")</f>
        <v>Agnes b.</v>
      </c>
      <c r="E1071" s="5" t="str">
        <f ca="1">IFERROR(__xludf.DUMMYFUNCTION("GOOGLETRANSLATE(C1071,""ja"",""vi"")"),"Đấu giá&gt; Thời trang&gt; Trainer&gt; Agnes thời trang&gt; Phụ nữ của b.")</f>
        <v>Đấu giá&gt; Thời trang&gt; Trainer&gt; Agnes thời trang&gt; Phụ nữ của b.</v>
      </c>
      <c r="F1071" t="str">
        <f t="shared" ca="1" si="16"/>
        <v>"2084027927" : "Agnes b.",</v>
      </c>
    </row>
    <row r="1072" spans="1:6" ht="15.75" customHeight="1">
      <c r="A1072" s="18">
        <v>2084027928</v>
      </c>
      <c r="B1072" s="18" t="s">
        <v>8896</v>
      </c>
      <c r="C1072" s="18" t="s">
        <v>14193</v>
      </c>
      <c r="D1072" s="5" t="str">
        <f ca="1">IFERROR(__xludf.DUMMYFUNCTION("GOOGLETRANSLATE(B1072,""ja"",""vi"")"),"Alba Rosa")</f>
        <v>Alba Rosa</v>
      </c>
      <c r="E1072" s="5" t="str">
        <f ca="1">IFERROR(__xludf.DUMMYFUNCTION("GOOGLETRANSLATE(C1072,""ja"",""vi"")"),"Đấu giá&gt; Thời trang&gt; Phụ nữ thời trang&gt; Trainer&gt; Alba Rosa")</f>
        <v>Đấu giá&gt; Thời trang&gt; Phụ nữ thời trang&gt; Trainer&gt; Alba Rosa</v>
      </c>
      <c r="F1072" t="str">
        <f t="shared" ca="1" si="16"/>
        <v>"2084027928" : "Alba Rosa",</v>
      </c>
    </row>
    <row r="1073" spans="1:6" ht="15.75" customHeight="1">
      <c r="A1073" s="18">
        <v>2084027929</v>
      </c>
      <c r="B1073" s="18" t="s">
        <v>8916</v>
      </c>
      <c r="C1073" s="18" t="s">
        <v>14197</v>
      </c>
      <c r="D1073" s="5" t="str">
        <f ca="1">IFERROR(__xludf.DUMMYFUNCTION("GOOGLETRANSLATE(B1073,""ja"",""vi"")"),"Armani")</f>
        <v>Armani</v>
      </c>
      <c r="E1073" s="5" t="str">
        <f ca="1">IFERROR(__xludf.DUMMYFUNCTION("GOOGLETRANSLATE(C1073,""ja"",""vi"")"),"Đấu giá&gt; Thời trang&gt; Phụ nữ thời trang&gt; Trainer&gt; Armani")</f>
        <v>Đấu giá&gt; Thời trang&gt; Phụ nữ thời trang&gt; Trainer&gt; Armani</v>
      </c>
      <c r="F1073" t="str">
        <f t="shared" ca="1" si="16"/>
        <v>"2084027929" : "Armani",</v>
      </c>
    </row>
    <row r="1074" spans="1:6" ht="15.75" customHeight="1">
      <c r="A1074" s="18">
        <v>2084027930</v>
      </c>
      <c r="B1074" s="18" t="s">
        <v>8976</v>
      </c>
      <c r="C1074" s="18" t="s">
        <v>14201</v>
      </c>
      <c r="D1074" s="5" t="str">
        <f ca="1">IFERROR(__xludf.DUMMYFUNCTION("GOOGLETRANSLATE(B1074,""ja"",""vi"")"),"Untitled")</f>
        <v>Untitled</v>
      </c>
      <c r="E1074" s="5" t="str">
        <f ca="1">IFERROR(__xludf.DUMMYFUNCTION("GOOGLETRANSLATE(C1074,""ja"",""vi"")"),"Đấu giá&gt; Thời trang&gt; Thời trang nữ&gt; Trainer&gt; Untitled")</f>
        <v>Đấu giá&gt; Thời trang&gt; Thời trang nữ&gt; Trainer&gt; Untitled</v>
      </c>
      <c r="F1074" t="str">
        <f t="shared" ca="1" si="16"/>
        <v>"2084027930" : "Untitled",</v>
      </c>
    </row>
    <row r="1075" spans="1:6" ht="15.75" customHeight="1">
      <c r="A1075" s="18">
        <v>2084027931</v>
      </c>
      <c r="B1075" s="18" t="s">
        <v>9044</v>
      </c>
      <c r="C1075" s="18" t="s">
        <v>14204</v>
      </c>
      <c r="D1075" s="5" t="str">
        <f ca="1">IFERROR(__xludf.DUMMYFUNCTION("GOOGLETRANSLATE(B1075,""ja"",""vi"")"),"Inedo")</f>
        <v>Inedo</v>
      </c>
      <c r="E1075" s="5" t="str">
        <f ca="1">IFERROR(__xludf.DUMMYFUNCTION("GOOGLETRANSLATE(C1075,""ja"",""vi"")"),"Đấu giá&gt; Thời trang&gt; Phụ nữ thời trang&gt; Trainer&gt; Inedo")</f>
        <v>Đấu giá&gt; Thời trang&gt; Phụ nữ thời trang&gt; Trainer&gt; Inedo</v>
      </c>
      <c r="F1075" t="str">
        <f t="shared" ca="1" si="16"/>
        <v>"2084027931" : "Inedo",</v>
      </c>
    </row>
    <row r="1076" spans="1:6" ht="15.75" customHeight="1">
      <c r="A1076" s="18">
        <v>2084027932</v>
      </c>
      <c r="B1076" s="18" t="s">
        <v>9065</v>
      </c>
      <c r="C1076" s="18" t="s">
        <v>14207</v>
      </c>
      <c r="D1076" s="5" t="str">
        <f ca="1">IFERROR(__xludf.DUMMYFUNCTION("GOOGLETRANSLATE(B1076,""ja"",""vi"")"),"In'e")</f>
        <v>In'e</v>
      </c>
      <c r="E1076" s="5" t="str">
        <f ca="1">IFERROR(__xludf.DUMMYFUNCTION("GOOGLETRANSLATE(C1076,""ja"",""vi"")"),"Đấu giá&gt; Thời trang&gt; Phụ nữ thời trang&gt; Trainer&gt; In'e")</f>
        <v>Đấu giá&gt; Thời trang&gt; Phụ nữ thời trang&gt; Trainer&gt; In'e</v>
      </c>
      <c r="F1076" t="str">
        <f t="shared" ca="1" si="16"/>
        <v>"2084027932" : "In'e",</v>
      </c>
    </row>
    <row r="1077" spans="1:6" ht="15.75" customHeight="1">
      <c r="A1077" s="18">
        <v>2084027933</v>
      </c>
      <c r="B1077" s="18" t="s">
        <v>9096</v>
      </c>
      <c r="C1077" s="18" t="s">
        <v>14209</v>
      </c>
      <c r="D1077" s="5" t="str">
        <f ca="1">IFERROR(__xludf.DUMMYFUNCTION("GOOGLETRANSLATE(B1077,""ja"",""vi"")"),"Indivi")</f>
        <v>Indivi</v>
      </c>
      <c r="E1077" s="5" t="str">
        <f ca="1">IFERROR(__xludf.DUMMYFUNCTION("GOOGLETRANSLATE(C1077,""ja"",""vi"")"),"Đấu giá&gt; Thời trang&gt; Thời trang nữ&gt; Trainer&gt; Indivi")</f>
        <v>Đấu giá&gt; Thời trang&gt; Thời trang nữ&gt; Trainer&gt; Indivi</v>
      </c>
      <c r="F1077" t="str">
        <f t="shared" ca="1" si="16"/>
        <v>"2084027933" : "Indivi",</v>
      </c>
    </row>
    <row r="1078" spans="1:6" ht="15.75" customHeight="1">
      <c r="A1078" s="18">
        <v>2084027935</v>
      </c>
      <c r="B1078" s="18" t="s">
        <v>9261</v>
      </c>
      <c r="C1078" s="18" t="s">
        <v>14213</v>
      </c>
      <c r="D1078" s="5" t="str">
        <f ca="1">IFERROR(__xludf.DUMMYFUNCTION("GOOGLETRANSLATE(B1078,""ja"",""vi"")"),"người vị kỷ")</f>
        <v>người vị kỷ</v>
      </c>
      <c r="E1078" s="5" t="str">
        <f ca="1">IFERROR(__xludf.DUMMYFUNCTION("GOOGLETRANSLATE(C1078,""ja"",""vi"")"),"Đấu giá&gt; Thời trang&gt; Thời trang nữ&gt; Trainer&gt; ích kỷ")</f>
        <v>Đấu giá&gt; Thời trang&gt; Thời trang nữ&gt; Trainer&gt; ích kỷ</v>
      </c>
      <c r="F1078" t="str">
        <f t="shared" ca="1" si="16"/>
        <v>"2084027935" : "người vị kỷ",</v>
      </c>
    </row>
    <row r="1079" spans="1:6" ht="15.75" customHeight="1">
      <c r="A1079" s="18">
        <v>2084027936</v>
      </c>
      <c r="B1079" s="18" t="s">
        <v>9300</v>
      </c>
      <c r="C1079" s="18" t="s">
        <v>14216</v>
      </c>
      <c r="D1079" s="5" t="str">
        <f ca="1">IFERROR(__xludf.DUMMYFUNCTION("GOOGLETRANSLATE(B1079,""ja"",""vi"")"),"X-Girl")</f>
        <v>X-Girl</v>
      </c>
      <c r="E1079" s="5" t="str">
        <f ca="1">IFERROR(__xludf.DUMMYFUNCTION("GOOGLETRANSLATE(C1079,""ja"",""vi"")"),"Đấu giá&gt; Thời trang&gt; Thời trang nữ&gt; Trainer&gt; X-Girl")</f>
        <v>Đấu giá&gt; Thời trang&gt; Thời trang nữ&gt; Trainer&gt; X-Girl</v>
      </c>
      <c r="F1079" t="str">
        <f t="shared" ca="1" si="16"/>
        <v>"2084027936" : "X-Girl",</v>
      </c>
    </row>
    <row r="1080" spans="1:6" ht="15.75" customHeight="1">
      <c r="A1080" s="18">
        <v>2084027937</v>
      </c>
      <c r="B1080" s="18" t="s">
        <v>9463</v>
      </c>
      <c r="C1080" s="18" t="s">
        <v>14219</v>
      </c>
      <c r="D1080" s="5" t="str">
        <f ca="1">IFERROR(__xludf.DUMMYFUNCTION("GOOGLETRANSLATE(B1080,""ja"",""vi"")"),"El")</f>
        <v>El</v>
      </c>
      <c r="E1080" s="5" t="str">
        <f ca="1">IFERROR(__xludf.DUMMYFUNCTION("GOOGLETRANSLATE(C1080,""ja"",""vi"")"),"Đấu giá&gt; Thời trang&gt; Phụ nữ thời trang&gt; Trainer&gt; El")</f>
        <v>Đấu giá&gt; Thời trang&gt; Phụ nữ thời trang&gt; Trainer&gt; El</v>
      </c>
      <c r="F1080" t="str">
        <f t="shared" ca="1" si="16"/>
        <v>"2084027937" : "El",</v>
      </c>
    </row>
    <row r="1081" spans="1:6" ht="15.75" customHeight="1">
      <c r="A1081" s="18">
        <v>2084027938</v>
      </c>
      <c r="B1081" s="18" t="s">
        <v>9475</v>
      </c>
      <c r="C1081" s="18" t="s">
        <v>14222</v>
      </c>
      <c r="D1081" s="5" t="str">
        <f ca="1">IFERROR(__xludf.DUMMYFUNCTION("GOOGLETRANSLATE(B1081,""ja"",""vi"")"),"Hermes")</f>
        <v>Hermes</v>
      </c>
      <c r="E1081" s="5" t="str">
        <f ca="1">IFERROR(__xludf.DUMMYFUNCTION("GOOGLETRANSLATE(C1081,""ja"",""vi"")"),"Đấu giá&gt; Thời trang&gt; Thời trang nữ&gt; Trainer&gt; Hermes")</f>
        <v>Đấu giá&gt; Thời trang&gt; Thời trang nữ&gt; Trainer&gt; Hermes</v>
      </c>
      <c r="F1081" t="str">
        <f t="shared" ca="1" si="16"/>
        <v>"2084027938" : "Hermes",</v>
      </c>
    </row>
    <row r="1082" spans="1:6" ht="15.75" customHeight="1">
      <c r="A1082" s="18">
        <v>2084027939</v>
      </c>
      <c r="B1082" s="18" t="s">
        <v>9537</v>
      </c>
      <c r="C1082" s="18" t="s">
        <v>14225</v>
      </c>
      <c r="D1082" s="5" t="str">
        <f ca="1">IFERROR(__xludf.DUMMYFUNCTION("GOOGLETRANSLATE(B1082,""ja"",""vi"")"),"cộng đồng ozone")</f>
        <v>cộng đồng ozone</v>
      </c>
      <c r="E1082" s="5" t="str">
        <f ca="1">IFERROR(__xludf.DUMMYFUNCTION("GOOGLETRANSLATE(C1082,""ja"",""vi"")"),"Đấu giá&gt; Thời trang&gt; Thời trang&gt; Trainer&gt; cộng đồng ozone nữ")</f>
        <v>Đấu giá&gt; Thời trang&gt; Thời trang&gt; Trainer&gt; cộng đồng ozone nữ</v>
      </c>
      <c r="F1082" t="str">
        <f t="shared" ca="1" si="16"/>
        <v>"2084027939" : "cộng đồng ozone",</v>
      </c>
    </row>
    <row r="1083" spans="1:6" ht="15.75" customHeight="1">
      <c r="A1083" s="18">
        <v>2084027890</v>
      </c>
      <c r="B1083" s="18" t="s">
        <v>9633</v>
      </c>
      <c r="C1083" s="18" t="s">
        <v>14227</v>
      </c>
      <c r="D1083" s="5" t="str">
        <f ca="1">IFERROR(__xludf.DUMMYFUNCTION("GOOGLETRANSLATE(B1083,""ja"",""vi"")"),"Kapalua")</f>
        <v>Kapalua</v>
      </c>
      <c r="E1083" s="5" t="str">
        <f ca="1">IFERROR(__xludf.DUMMYFUNCTION("GOOGLETRANSLATE(C1083,""ja"",""vi"")"),"Đấu giá&gt; Thời trang&gt; Phụ nữ thời trang&gt; Trainer&gt; Kapalua")</f>
        <v>Đấu giá&gt; Thời trang&gt; Phụ nữ thời trang&gt; Trainer&gt; Kapalua</v>
      </c>
      <c r="F1083" t="str">
        <f t="shared" ca="1" si="16"/>
        <v>"2084027890" : "Kapalua",</v>
      </c>
    </row>
    <row r="1084" spans="1:6" ht="15.75" customHeight="1">
      <c r="A1084" s="18">
        <v>2084027891</v>
      </c>
      <c r="B1084" s="18" t="s">
        <v>9751</v>
      </c>
      <c r="C1084" s="18" t="s">
        <v>14228</v>
      </c>
      <c r="D1084" s="5" t="str">
        <f ca="1">IFERROR(__xludf.DUMMYFUNCTION("GOOGLETRANSLATE(B1084,""ja"",""vi"")"),"khoảng trống")</f>
        <v>khoảng trống</v>
      </c>
      <c r="E1084" s="5" t="str">
        <f ca="1">IFERROR(__xludf.DUMMYFUNCTION("GOOGLETRANSLATE(C1084,""ja"",""vi"")"),"Đấu giá&gt; Thời trang&gt; Thời trang&gt; Trainer&gt; khoảng cách của phụ nữ")</f>
        <v>Đấu giá&gt; Thời trang&gt; Thời trang&gt; Trainer&gt; khoảng cách của phụ nữ</v>
      </c>
      <c r="F1084" t="str">
        <f t="shared" ca="1" si="16"/>
        <v>"2084027891" : "khoảng trống",</v>
      </c>
    </row>
    <row r="1085" spans="1:6" ht="15.75" customHeight="1">
      <c r="A1085" s="18">
        <v>2084027893</v>
      </c>
      <c r="B1085" s="18" t="s">
        <v>9858</v>
      </c>
      <c r="C1085" s="18" t="s">
        <v>14232</v>
      </c>
      <c r="D1085" s="5" t="str">
        <f ca="1">IFERROR(__xludf.DUMMYFUNCTION("GOOGLETRANSLATE(B1085,""ja"",""vi"")"),"Christian Dior")</f>
        <v>Christian Dior</v>
      </c>
      <c r="E1085" s="5" t="str">
        <f ca="1">IFERROR(__xludf.DUMMYFUNCTION("GOOGLETRANSLATE(C1085,""ja"",""vi"")"),"Đấu giá&gt; Thời trang&gt; Phụ nữ thời trang&gt; Trainer&gt; Christian Dior")</f>
        <v>Đấu giá&gt; Thời trang&gt; Phụ nữ thời trang&gt; Trainer&gt; Christian Dior</v>
      </c>
      <c r="F1085" t="str">
        <f t="shared" ca="1" si="16"/>
        <v>"2084027893" : "Christian Dior",</v>
      </c>
    </row>
    <row r="1086" spans="1:6" ht="15.75" customHeight="1">
      <c r="A1086" s="18">
        <v>2084027894</v>
      </c>
      <c r="B1086" s="18" t="s">
        <v>9921</v>
      </c>
      <c r="C1086" s="18" t="s">
        <v>14234</v>
      </c>
      <c r="D1086" s="5" t="str">
        <f ca="1">IFERROR(__xludf.DUMMYFUNCTION("GOOGLETRANSLATE(B1086,""ja"",""vi"")"),"Courreges")</f>
        <v>Courreges</v>
      </c>
      <c r="E1086" s="5" t="str">
        <f ca="1">IFERROR(__xludf.DUMMYFUNCTION("GOOGLETRANSLATE(C1086,""ja"",""vi"")"),"Đấu giá&gt; Thời trang&gt; Phụ nữ thời trang&gt; Trainer&gt; Courreges")</f>
        <v>Đấu giá&gt; Thời trang&gt; Phụ nữ thời trang&gt; Trainer&gt; Courreges</v>
      </c>
      <c r="F1086" t="str">
        <f t="shared" ca="1" si="16"/>
        <v>"2084027894" : "Courreges",</v>
      </c>
    </row>
    <row r="1087" spans="1:6" ht="15.75" customHeight="1">
      <c r="A1087" s="18">
        <v>2084027892</v>
      </c>
      <c r="B1087" s="18" t="s">
        <v>9815</v>
      </c>
      <c r="C1087" s="18" t="s">
        <v>14236</v>
      </c>
      <c r="D1087" s="5" t="str">
        <f ca="1">IFERROR(__xludf.DUMMYFUNCTION("GOOGLETRANSLATE(B1087,""ja"",""vi"")"),"Gucci")</f>
        <v>Gucci</v>
      </c>
      <c r="E1087" s="5" t="str">
        <f ca="1">IFERROR(__xludf.DUMMYFUNCTION("GOOGLETRANSLATE(C1087,""ja"",""vi"")"),"Đấu giá&gt; Thời trang&gt; Phụ nữ thời trang&gt; Trainer&gt; Gucci")</f>
        <v>Đấu giá&gt; Thời trang&gt; Phụ nữ thời trang&gt; Trainer&gt; Gucci</v>
      </c>
      <c r="F1087" t="str">
        <f t="shared" ca="1" si="16"/>
        <v>"2084027892" : "Gucci",</v>
      </c>
    </row>
    <row r="1088" spans="1:6" ht="15.75" customHeight="1">
      <c r="A1088" s="18">
        <v>2084027895</v>
      </c>
      <c r="B1088" s="18" t="s">
        <v>10020</v>
      </c>
      <c r="C1088" s="18" t="s">
        <v>14239</v>
      </c>
      <c r="D1088" s="5" t="str">
        <f ca="1">IFERROR(__xludf.DUMMYFUNCTION("GOOGLETRANSLATE(B1088,""ja"",""vi"")"),"Kokoruru")</f>
        <v>Kokoruru</v>
      </c>
      <c r="E1088" s="5" t="str">
        <f ca="1">IFERROR(__xludf.DUMMYFUNCTION("GOOGLETRANSLATE(C1088,""ja"",""vi"")"),"Đấu giá&gt; Thời trang&gt; Thời trang nữ&gt; Trainer&gt; Kokoruru")</f>
        <v>Đấu giá&gt; Thời trang&gt; Thời trang nữ&gt; Trainer&gt; Kokoruru</v>
      </c>
      <c r="F1088" t="str">
        <f t="shared" ca="1" si="16"/>
        <v>"2084027895" : "Kokoruru",</v>
      </c>
    </row>
    <row r="1089" spans="1:6" ht="15.75" customHeight="1">
      <c r="A1089" s="18">
        <v>2084027896</v>
      </c>
      <c r="B1089" s="18" t="s">
        <v>10041</v>
      </c>
      <c r="C1089" s="18" t="s">
        <v>14243</v>
      </c>
      <c r="D1089" s="5" t="str">
        <f ca="1">IFERROR(__xludf.DUMMYFUNCTION("GOOGLETRANSLATE(B1089,""ja"",""vi"")"),"Com de chế độ")</f>
        <v>Com de chế độ</v>
      </c>
      <c r="E1089" s="5" t="str">
        <f ca="1">IFERROR(__xludf.DUMMYFUNCTION("GOOGLETRANSLATE(C1089,""ja"",""vi"")"),"Đấu giá&gt; Thời trang&gt; Thời trang nữ&gt; Trainer&gt; com de chế độ")</f>
        <v>Đấu giá&gt; Thời trang&gt; Thời trang nữ&gt; Trainer&gt; com de chế độ</v>
      </c>
      <c r="F1089" t="str">
        <f t="shared" ca="1" si="16"/>
        <v>"2084027896" : "Com de chế độ",</v>
      </c>
    </row>
    <row r="1090" spans="1:6" ht="15.75" customHeight="1">
      <c r="A1090" s="18">
        <v>2084027897</v>
      </c>
      <c r="B1090" s="18" t="s">
        <v>10044</v>
      </c>
      <c r="C1090" s="18" t="s">
        <v>14246</v>
      </c>
      <c r="D1090" s="5" t="str">
        <f ca="1">IFERROR(__xludf.DUMMYFUNCTION("GOOGLETRANSLATE(B1090,""ja"",""vi"")"),"Comme des Garcons")</f>
        <v>Comme des Garcons</v>
      </c>
      <c r="E1090" s="5" t="str">
        <f ca="1">IFERROR(__xludf.DUMMYFUNCTION("GOOGLETRANSLATE(C1090,""ja"",""vi"")"),"Đấu giá&gt; Thời trang&gt; Phụ nữ thời trang&gt; Trainer&gt; Comme des Garcons")</f>
        <v>Đấu giá&gt; Thời trang&gt; Phụ nữ thời trang&gt; Trainer&gt; Comme des Garcons</v>
      </c>
      <c r="F1090" t="str">
        <f t="shared" ref="F1090:F1153" ca="1" si="17">CONCATENATE(CHAR(34)&amp;"",A1090,""&amp;CHAR(34)," : ", CHAR(34)&amp;"",D1090,""&amp;CHAR(34),",")</f>
        <v>"2084027897" : "Comme des Garcons",</v>
      </c>
    </row>
    <row r="1091" spans="1:6" ht="15.75" customHeight="1">
      <c r="A1091" s="18">
        <v>2084027898</v>
      </c>
      <c r="B1091" s="18" t="s">
        <v>10229</v>
      </c>
      <c r="C1091" s="18" t="s">
        <v>14251</v>
      </c>
      <c r="D1091" s="5" t="str">
        <f ca="1">IFERROR(__xludf.DUMMYFUNCTION("GOOGLETRANSLATE(B1091,""ja"",""vi"")"),"tàu")</f>
        <v>tàu</v>
      </c>
      <c r="E1091" s="5" t="str">
        <f ca="1">IFERROR(__xludf.DUMMYFUNCTION("GOOGLETRANSLATE(C1091,""ja"",""vi"")"),"Đấu giá&gt; Thời trang&gt; Phụ nữ thời trang&gt; Trainer&gt; Tàu")</f>
        <v>Đấu giá&gt; Thời trang&gt; Phụ nữ thời trang&gt; Trainer&gt; Tàu</v>
      </c>
      <c r="F1091" t="str">
        <f t="shared" ca="1" si="17"/>
        <v>"2084027898" : "tàu",</v>
      </c>
    </row>
    <row r="1092" spans="1:6" ht="15.75" customHeight="1">
      <c r="A1092" s="18">
        <v>2084027899</v>
      </c>
      <c r="B1092" s="18" t="s">
        <v>10288</v>
      </c>
      <c r="C1092" s="18" t="s">
        <v>14255</v>
      </c>
      <c r="D1092" s="5" t="str">
        <f ca="1">IFERROR(__xludf.DUMMYFUNCTION("GOOGLETRANSLATE(B1092,""ja"",""vi"")"),"Chanel")</f>
        <v>Chanel</v>
      </c>
      <c r="E1092" s="5" t="str">
        <f ca="1">IFERROR(__xludf.DUMMYFUNCTION("GOOGLETRANSLATE(C1092,""ja"",""vi"")"),"Đấu giá&gt; Thời trang&gt; Thời trang nữ&gt; Trainer&gt; Chanel")</f>
        <v>Đấu giá&gt; Thời trang&gt; Thời trang nữ&gt; Trainer&gt; Chanel</v>
      </c>
      <c r="F1092" t="str">
        <f t="shared" ca="1" si="17"/>
        <v>"2084027899" : "Chanel",</v>
      </c>
    </row>
    <row r="1093" spans="1:6" ht="15.75" customHeight="1">
      <c r="A1093" s="18">
        <v>2084027900</v>
      </c>
      <c r="B1093" s="18" t="s">
        <v>10446</v>
      </c>
      <c r="C1093" s="18" t="s">
        <v>14257</v>
      </c>
      <c r="D1093" s="5" t="str">
        <f ca="1">IFERROR(__xludf.DUMMYFUNCTION("GOOGLETRANSLATE(B1093,""ja"",""vi"")"),"Jill Stuart")</f>
        <v>Jill Stuart</v>
      </c>
      <c r="E1093" s="5" t="str">
        <f ca="1">IFERROR(__xludf.DUMMYFUNCTION("GOOGLETRANSLATE(C1093,""ja"",""vi"")"),"Đấu giá&gt; Thời trang&gt; Thời trang&gt; huấn luyện viên&gt; Jill Stuart nữ")</f>
        <v>Đấu giá&gt; Thời trang&gt; Thời trang&gt; huấn luyện viên&gt; Jill Stuart nữ</v>
      </c>
      <c r="F1093" t="str">
        <f t="shared" ca="1" si="17"/>
        <v>"2084027900" : "Jill Stuart",</v>
      </c>
    </row>
    <row r="1094" spans="1:6" ht="15.75" customHeight="1">
      <c r="A1094" s="18">
        <v>2084027901</v>
      </c>
      <c r="B1094" s="18" t="s">
        <v>10476</v>
      </c>
      <c r="C1094" s="18" t="s">
        <v>14260</v>
      </c>
      <c r="D1094" s="5" t="str">
        <f ca="1">IFERROR(__xludf.DUMMYFUNCTION("GOOGLETRANSLATE(B1094,""ja"",""vi"")"),"Zucca")</f>
        <v>Zucca</v>
      </c>
      <c r="E1094" s="5" t="str">
        <f ca="1">IFERROR(__xludf.DUMMYFUNCTION("GOOGLETRANSLATE(C1094,""ja"",""vi"")"),"Đấu giá&gt; Thời trang&gt; Phụ nữ thời trang&gt; Trainer&gt; Zucca")</f>
        <v>Đấu giá&gt; Thời trang&gt; Phụ nữ thời trang&gt; Trainer&gt; Zucca</v>
      </c>
      <c r="F1094" t="str">
        <f t="shared" ca="1" si="17"/>
        <v>"2084027901" : "Zucca",</v>
      </c>
    </row>
    <row r="1095" spans="1:6" ht="15.75" customHeight="1">
      <c r="A1095" s="18">
        <v>2084027902</v>
      </c>
      <c r="B1095" s="18" t="s">
        <v>10601</v>
      </c>
      <c r="C1095" s="18" t="s">
        <v>14262</v>
      </c>
      <c r="D1095" s="5" t="str">
        <f ca="1">IFERROR(__xludf.DUMMYFUNCTION("GOOGLETRANSLATE(B1095,""ja"",""vi"")"),"Cecil McBee")</f>
        <v>Cecil McBee</v>
      </c>
      <c r="E1095" s="5" t="str">
        <f ca="1">IFERROR(__xludf.DUMMYFUNCTION("GOOGLETRANSLATE(C1095,""ja"",""vi"")"),"Đấu giá&gt; Thời trang&gt; Phụ nữ thời trang&gt; Trainer&gt; Cecil McBee")</f>
        <v>Đấu giá&gt; Thời trang&gt; Phụ nữ thời trang&gt; Trainer&gt; Cecil McBee</v>
      </c>
      <c r="F1095" t="str">
        <f t="shared" ca="1" si="17"/>
        <v>"2084027902" : "Cecil McBee",</v>
      </c>
    </row>
    <row r="1096" spans="1:6" ht="15.75" customHeight="1">
      <c r="A1096" s="18">
        <v>2084027903</v>
      </c>
      <c r="B1096" s="18" t="s">
        <v>13486</v>
      </c>
      <c r="C1096" s="18" t="s">
        <v>14264</v>
      </c>
      <c r="D1096" s="5" t="str">
        <f ca="1">IFERROR(__xludf.DUMMYFUNCTION("GOOGLETRANSLATE(B1096,""ja"",""vi"")"),"Donna Karan, DKNY")</f>
        <v>Donna Karan, DKNY</v>
      </c>
      <c r="E1096" s="5" t="str">
        <f ca="1">IFERROR(__xludf.DUMMYFUNCTION("GOOGLETRANSLATE(C1096,""ja"",""vi"")"),"Đấu giá&gt; Thời trang&gt; Phụ nữ thời trang&gt; Trainer&gt; Donna Karan, DKNY")</f>
        <v>Đấu giá&gt; Thời trang&gt; Phụ nữ thời trang&gt; Trainer&gt; Donna Karan, DKNY</v>
      </c>
      <c r="F1096" t="str">
        <f t="shared" ca="1" si="17"/>
        <v>"2084027903" : "Donna Karan, DKNY",</v>
      </c>
    </row>
    <row r="1097" spans="1:6" ht="15.75" customHeight="1">
      <c r="A1097" s="18">
        <v>2084027904</v>
      </c>
      <c r="B1097" s="18" t="s">
        <v>10819</v>
      </c>
      <c r="C1097" s="18" t="s">
        <v>14266</v>
      </c>
      <c r="D1097" s="5" t="str">
        <f ca="1">IFERROR(__xludf.DUMMYFUNCTION("GOOGLETRANSLATE(B1097,""ja"",""vi"")"),"Tsumori Chisato")</f>
        <v>Tsumori Chisato</v>
      </c>
      <c r="E1097" s="5" t="str">
        <f ca="1">IFERROR(__xludf.DUMMYFUNCTION("GOOGLETRANSLATE(C1097,""ja"",""vi"")"),"Đấu giá&gt; Thời trang&gt; Phụ nữ thời trang&gt; Trainer&gt; Tsumori Chisato")</f>
        <v>Đấu giá&gt; Thời trang&gt; Phụ nữ thời trang&gt; Trainer&gt; Tsumori Chisato</v>
      </c>
      <c r="F1097" t="str">
        <f t="shared" ca="1" si="17"/>
        <v>"2084027904" : "Tsumori Chisato",</v>
      </c>
    </row>
    <row r="1098" spans="1:6" ht="15.75" customHeight="1">
      <c r="A1098" s="18">
        <v>2084027905</v>
      </c>
      <c r="B1098" s="18" t="s">
        <v>11150</v>
      </c>
      <c r="C1098" s="18" t="s">
        <v>14268</v>
      </c>
      <c r="D1098" s="5" t="str">
        <f ca="1">IFERROR(__xludf.DUMMYFUNCTION("GOOGLETRANSLATE(B1098,""ja"",""vi"")"),"phế liệu Nai")</f>
        <v>phế liệu Nai</v>
      </c>
      <c r="E1098" s="5" t="str">
        <f ca="1">IFERROR(__xludf.DUMMYFUNCTION("GOOGLETRANSLATE(C1098,""ja"",""vi"")"),"Đấu giá&gt; Thời trang&gt; Phụ nữ thời trang&gt; Trainer&gt; phế liệu Nai")</f>
        <v>Đấu giá&gt; Thời trang&gt; Phụ nữ thời trang&gt; Trainer&gt; phế liệu Nai</v>
      </c>
      <c r="F1098" t="str">
        <f t="shared" ca="1" si="17"/>
        <v>"2084027905" : "phế liệu Nai",</v>
      </c>
    </row>
    <row r="1099" spans="1:6" ht="15.75" customHeight="1">
      <c r="A1099" s="18">
        <v>2084027906</v>
      </c>
      <c r="B1099" s="18" t="s">
        <v>11443</v>
      </c>
      <c r="C1099" s="18" t="s">
        <v>14271</v>
      </c>
      <c r="D1099" s="5" t="str">
        <f ca="1">IFERROR(__xludf.DUMMYFUNCTION("GOOGLETRANSLATE(B1099,""ja"",""vi"")"),"chổ lồi ở cây")</f>
        <v>chổ lồi ở cây</v>
      </c>
      <c r="E1099" s="5" t="str">
        <f ca="1">IFERROR(__xludf.DUMMYFUNCTION("GOOGLETRANSLATE(C1099,""ja"",""vi"")"),"Đấu giá&gt; Thời trang&gt; Thời trang nữ&gt; Trainer&gt; Burberry")</f>
        <v>Đấu giá&gt; Thời trang&gt; Thời trang nữ&gt; Trainer&gt; Burberry</v>
      </c>
      <c r="F1099" t="str">
        <f t="shared" ca="1" si="17"/>
        <v>"2084027906" : "chổ lồi ở cây",</v>
      </c>
    </row>
    <row r="1100" spans="1:6" ht="15.75" customHeight="1">
      <c r="A1100" s="18">
        <v>2084027908</v>
      </c>
      <c r="B1100" s="18" t="s">
        <v>11611</v>
      </c>
      <c r="C1100" s="18" t="s">
        <v>14274</v>
      </c>
      <c r="D1100" s="5" t="str">
        <f ca="1">IFERROR(__xludf.DUMMYFUNCTION("GOOGLETRANSLATE(B1100,""ja"",""vi"")"),"Hysteric Glamour")</f>
        <v>Hysteric Glamour</v>
      </c>
      <c r="E1100" s="5" t="str">
        <f ca="1">IFERROR(__xludf.DUMMYFUNCTION("GOOGLETRANSLATE(C1100,""ja"",""vi"")"),"Đấu giá&gt; Thời trang&gt; Phụ nữ thời trang&gt; Trainer&gt; Hysteric Glamour")</f>
        <v>Đấu giá&gt; Thời trang&gt; Phụ nữ thời trang&gt; Trainer&gt; Hysteric Glamour</v>
      </c>
      <c r="F1100" t="str">
        <f t="shared" ca="1" si="17"/>
        <v>"2084027908" : "Hysteric Glamour",</v>
      </c>
    </row>
    <row r="1101" spans="1:6" ht="15.75" customHeight="1">
      <c r="A1101" s="18">
        <v>2084027907</v>
      </c>
      <c r="B1101" s="18" t="s">
        <v>11683</v>
      </c>
      <c r="C1101" s="18" t="s">
        <v>14277</v>
      </c>
      <c r="D1101" s="5" t="str">
        <f ca="1">IFERROR(__xludf.DUMMYFUNCTION("GOOGLETRANSLATE(B1101,""ja"",""vi"")"),"DẦM")</f>
        <v>DẦM</v>
      </c>
      <c r="E1101" s="5" t="str">
        <f ca="1">IFERROR(__xludf.DUMMYFUNCTION("GOOGLETRANSLATE(C1101,""ja"",""vi"")"),"Đấu giá&gt; Thời trang&gt; Phụ nữ thời trang&gt; Trainer&gt; Dầm")</f>
        <v>Đấu giá&gt; Thời trang&gt; Phụ nữ thời trang&gt; Trainer&gt; Dầm</v>
      </c>
      <c r="F1101" t="str">
        <f t="shared" ca="1" si="17"/>
        <v>"2084027907" : "DẦM",</v>
      </c>
    </row>
    <row r="1102" spans="1:6" ht="15.75" customHeight="1">
      <c r="A1102" s="18">
        <v>2084027909</v>
      </c>
      <c r="B1102" s="18" t="s">
        <v>11668</v>
      </c>
      <c r="C1102" s="18" t="s">
        <v>14280</v>
      </c>
      <c r="D1102" s="5" t="str">
        <f ca="1">IFERROR(__xludf.DUMMYFUNCTION("GOOGLETRANSLATE(B1102,""ja"",""vi"")"),"Bibayu")</f>
        <v>Bibayu</v>
      </c>
      <c r="E1102" s="5" t="str">
        <f ca="1">IFERROR(__xludf.DUMMYFUNCTION("GOOGLETRANSLATE(C1102,""ja"",""vi"")"),"Đấu giá&gt; Thời trang&gt; Phụ nữ thời trang&gt; Trainer&gt; Bibayu")</f>
        <v>Đấu giá&gt; Thời trang&gt; Phụ nữ thời trang&gt; Trainer&gt; Bibayu</v>
      </c>
      <c r="F1102" t="str">
        <f t="shared" ca="1" si="17"/>
        <v>"2084027909" : "Bibayu",</v>
      </c>
    </row>
    <row r="1103" spans="1:6" ht="15.75" customHeight="1">
      <c r="A1103" s="18">
        <v>2084027910</v>
      </c>
      <c r="B1103" s="18" t="s">
        <v>11748</v>
      </c>
      <c r="C1103" s="18" t="s">
        <v>14283</v>
      </c>
      <c r="D1103" s="5" t="str">
        <f ca="1">IFERROR(__xludf.DUMMYFUNCTION("GOOGLETRANSLATE(B1103,""ja"",""vi"")"),"Pinky &amp; Dianne")</f>
        <v>Pinky &amp; Dianne</v>
      </c>
      <c r="E1103" s="5" t="str">
        <f ca="1">IFERROR(__xludf.DUMMYFUNCTION("GOOGLETRANSLATE(C1103,""ja"",""vi"")"),"Đấu giá&gt; Thời trang&gt; Phụ nữ thời trang&gt; Trainer&gt; Pinky &amp; Dianne")</f>
        <v>Đấu giá&gt; Thời trang&gt; Phụ nữ thời trang&gt; Trainer&gt; Pinky &amp; Dianne</v>
      </c>
      <c r="F1103" t="str">
        <f t="shared" ca="1" si="17"/>
        <v>"2084027910" : "Pinky &amp; Dianne",</v>
      </c>
    </row>
    <row r="1104" spans="1:6" ht="15.75" customHeight="1">
      <c r="A1104" s="18">
        <v>2084027911</v>
      </c>
      <c r="B1104" s="18" t="s">
        <v>11762</v>
      </c>
      <c r="C1104" s="18" t="s">
        <v>14285</v>
      </c>
      <c r="D1104" s="5" t="str">
        <f ca="1">IFERROR(__xludf.DUMMYFUNCTION("GOOGLETRANSLATE(B1104,""ja"",""vi"")"),"nhà màu hồng")</f>
        <v>nhà màu hồng</v>
      </c>
      <c r="E1104" s="5" t="str">
        <f ca="1">IFERROR(__xludf.DUMMYFUNCTION("GOOGLETRANSLATE(C1104,""ja"",""vi"")"),"Thời trang&gt; Trainer&gt; Pink House Đấu giá&gt; Thời trang&gt; Phụ nữ")</f>
        <v>Thời trang&gt; Trainer&gt; Pink House Đấu giá&gt; Thời trang&gt; Phụ nữ</v>
      </c>
      <c r="F1104" t="str">
        <f t="shared" ca="1" si="17"/>
        <v>"2084027911" : "nhà màu hồng",</v>
      </c>
    </row>
    <row r="1105" spans="1:6" ht="15.75" customHeight="1">
      <c r="A1105" s="18">
        <v>2084027912</v>
      </c>
      <c r="B1105" s="18" t="s">
        <v>11843</v>
      </c>
      <c r="C1105" s="18" t="s">
        <v>14287</v>
      </c>
      <c r="D1105" s="5" t="str">
        <f ca="1">IFERROR(__xludf.DUMMYFUNCTION("GOOGLETRANSLATE(B1105,""ja"",""vi"")"),"Fendi")</f>
        <v>Fendi</v>
      </c>
      <c r="E1105" s="5" t="str">
        <f ca="1">IFERROR(__xludf.DUMMYFUNCTION("GOOGLETRANSLATE(C1105,""ja"",""vi"")"),"Đấu giá&gt; Thời trang&gt; Phụ nữ thời trang&gt; Trainer&gt; Fendi")</f>
        <v>Đấu giá&gt; Thời trang&gt; Phụ nữ thời trang&gt; Trainer&gt; Fendi</v>
      </c>
      <c r="F1105" t="str">
        <f t="shared" ca="1" si="17"/>
        <v>"2084027912" : "Fendi",</v>
      </c>
    </row>
    <row r="1106" spans="1:6" ht="15.75" customHeight="1">
      <c r="A1106" s="18">
        <v>2084027913</v>
      </c>
      <c r="B1106" s="18" t="s">
        <v>12025</v>
      </c>
      <c r="C1106" s="18" t="s">
        <v>14289</v>
      </c>
      <c r="D1106" s="5" t="str">
        <f ca="1">IFERROR(__xludf.DUMMYFUNCTION("GOOGLETRANSLATE(B1106,""ja"",""vi"")"),"LABEL TƯ")</f>
        <v>LABEL TƯ</v>
      </c>
      <c r="E1106" s="5" t="str">
        <f ca="1">IFERROR(__xludf.DUMMYFUNCTION("GOOGLETRANSLATE(C1106,""ja"",""vi"")"),"Đấu giá&gt; Thời trang&gt; Phụ nữ thời trang&gt; Trainer&gt; nhãn hiệu riêng")</f>
        <v>Đấu giá&gt; Thời trang&gt; Phụ nữ thời trang&gt; Trainer&gt; nhãn hiệu riêng</v>
      </c>
      <c r="F1106" t="str">
        <f t="shared" ca="1" si="17"/>
        <v>"2084027913" : "LABEL TƯ",</v>
      </c>
    </row>
    <row r="1107" spans="1:6" ht="15.75" customHeight="1">
      <c r="A1107" s="18">
        <v>2084027914</v>
      </c>
      <c r="B1107" s="18" t="s">
        <v>12035</v>
      </c>
      <c r="C1107" s="18" t="s">
        <v>14292</v>
      </c>
      <c r="D1107" s="5" t="str">
        <f ca="1">IFERROR(__xludf.DUMMYFUNCTION("GOOGLETRANSLATE(B1107,""ja"",""vi"")"),"Prada")</f>
        <v>Prada</v>
      </c>
      <c r="E1107" s="5" t="str">
        <f ca="1">IFERROR(__xludf.DUMMYFUNCTION("GOOGLETRANSLATE(C1107,""ja"",""vi"")"),"Đấu giá&gt; Thời trang&gt; Phụ nữ thời trang&gt; Trainer&gt; Prada")</f>
        <v>Đấu giá&gt; Thời trang&gt; Phụ nữ thời trang&gt; Trainer&gt; Prada</v>
      </c>
      <c r="F1107" t="str">
        <f t="shared" ca="1" si="17"/>
        <v>"2084027914" : "Prada",</v>
      </c>
    </row>
    <row r="1108" spans="1:6" ht="15.75" customHeight="1">
      <c r="A1108" s="18">
        <v>2084027916</v>
      </c>
      <c r="B1108" s="18" t="s">
        <v>12114</v>
      </c>
      <c r="C1108" s="18" t="s">
        <v>14294</v>
      </c>
      <c r="D1108" s="5" t="str">
        <f ca="1">IFERROR(__xludf.DUMMYFUNCTION("GOOGLETRANSLATE(B1108,""ja"",""vi"")"),"Benetton")</f>
        <v>Benetton</v>
      </c>
      <c r="E1108" s="5" t="str">
        <f ca="1">IFERROR(__xludf.DUMMYFUNCTION("GOOGLETRANSLATE(C1108,""ja"",""vi"")"),"Đấu giá&gt; Thời trang&gt; Phụ nữ thời trang&gt; Trainer&gt; Benetton")</f>
        <v>Đấu giá&gt; Thời trang&gt; Phụ nữ thời trang&gt; Trainer&gt; Benetton</v>
      </c>
      <c r="F1108" t="str">
        <f t="shared" ca="1" si="17"/>
        <v>"2084027916" : "Benetton",</v>
      </c>
    </row>
    <row r="1109" spans="1:6" ht="15.75" customHeight="1">
      <c r="A1109" s="18">
        <v>2084027917</v>
      </c>
      <c r="B1109" s="18" t="s">
        <v>12312</v>
      </c>
      <c r="C1109" s="18" t="s">
        <v>14295</v>
      </c>
      <c r="D1109" s="5" t="str">
        <f ca="1">IFERROR(__xludf.DUMMYFUNCTION("GOOGLETRANSLATE(B1109,""ja"",""vi"")"),"Moussy")</f>
        <v>Moussy</v>
      </c>
      <c r="E1109" s="5" t="str">
        <f ca="1">IFERROR(__xludf.DUMMYFUNCTION("GOOGLETRANSLATE(C1109,""ja"",""vi"")"),"Đấu giá&gt; Thời trang&gt; Phụ nữ thời trang&gt; Trainer&gt; Moussy")</f>
        <v>Đấu giá&gt; Thời trang&gt; Phụ nữ thời trang&gt; Trainer&gt; Moussy</v>
      </c>
      <c r="F1109" t="str">
        <f t="shared" ca="1" si="17"/>
        <v>"2084027917" : "Moussy",</v>
      </c>
    </row>
    <row r="1110" spans="1:6" ht="15.75" customHeight="1">
      <c r="A1110" s="18">
        <v>2084027918</v>
      </c>
      <c r="B1110" s="18" t="s">
        <v>12442</v>
      </c>
      <c r="C1110" s="18" t="s">
        <v>14297</v>
      </c>
      <c r="D1110" s="5" t="str">
        <f ca="1">IFERROR(__xludf.DUMMYFUNCTION("GOOGLETRANSLATE(B1110,""ja"",""vi"")"),"Mijen")</f>
        <v>Mijen</v>
      </c>
      <c r="E1110" s="5" t="str">
        <f ca="1">IFERROR(__xludf.DUMMYFUNCTION("GOOGLETRANSLATE(C1110,""ja"",""vi"")"),"Đấu giá&gt; Thời trang&gt; Phụ nữ thời trang&gt; Trainer&gt; Mijen")</f>
        <v>Đấu giá&gt; Thời trang&gt; Phụ nữ thời trang&gt; Trainer&gt; Mijen</v>
      </c>
      <c r="F1110" t="str">
        <f t="shared" ca="1" si="17"/>
        <v>"2084027918" : "Mijen",</v>
      </c>
    </row>
    <row r="1111" spans="1:6" ht="15.75" customHeight="1">
      <c r="A1111" s="18">
        <v>2084027919</v>
      </c>
      <c r="B1111" s="18" t="s">
        <v>12465</v>
      </c>
      <c r="C1111" s="18" t="s">
        <v>14300</v>
      </c>
      <c r="D1111" s="5" t="str">
        <f ca="1">IFERROR(__xludf.DUMMYFUNCTION("GOOGLETRANSLATE(B1111,""ja"",""vi"")"),"Michel Klang")</f>
        <v>Michel Klang</v>
      </c>
      <c r="E1111" s="5" t="str">
        <f ca="1">IFERROR(__xludf.DUMMYFUNCTION("GOOGLETRANSLATE(C1111,""ja"",""vi"")"),"Đấu giá&gt; Thời trang&gt; Phụ nữ thời trang&gt; Trainer&gt; Michel Klang")</f>
        <v>Đấu giá&gt; Thời trang&gt; Phụ nữ thời trang&gt; Trainer&gt; Michel Klang</v>
      </c>
      <c r="F1111" t="str">
        <f t="shared" ca="1" si="17"/>
        <v>"2084027919" : "Michel Klang",</v>
      </c>
    </row>
    <row r="1112" spans="1:6" ht="15.75" customHeight="1">
      <c r="A1112" s="18">
        <v>2084027920</v>
      </c>
      <c r="B1112" s="18" t="s">
        <v>12763</v>
      </c>
      <c r="C1112" s="18" t="s">
        <v>14302</v>
      </c>
      <c r="D1112" s="5" t="str">
        <f ca="1">IFERROR(__xludf.DUMMYFUNCTION("GOOGLETRANSLATE(B1112,""ja"",""vi"")"),"Rabuboto")</f>
        <v>Rabuboto</v>
      </c>
      <c r="E1112" s="5" t="str">
        <f ca="1">IFERROR(__xludf.DUMMYFUNCTION("GOOGLETRANSLATE(C1112,""ja"",""vi"")"),"Đấu giá&gt; Thời trang&gt; Phụ nữ thời trang&gt; Trainer&gt; Rabuboto")</f>
        <v>Đấu giá&gt; Thời trang&gt; Phụ nữ thời trang&gt; Trainer&gt; Rabuboto</v>
      </c>
      <c r="F1112" t="str">
        <f t="shared" ca="1" si="17"/>
        <v>"2084027920" : "Rabuboto",</v>
      </c>
    </row>
    <row r="1113" spans="1:6" ht="15.75" customHeight="1">
      <c r="A1113" s="18">
        <v>2084027921</v>
      </c>
      <c r="B1113" s="18" t="s">
        <v>12786</v>
      </c>
      <c r="C1113" s="18" t="s">
        <v>14305</v>
      </c>
      <c r="D1113" s="5" t="str">
        <f ca="1">IFERROR(__xludf.DUMMYFUNCTION("GOOGLETRANSLATE(B1113,""ja"",""vi"")"),"Ralph Lauren")</f>
        <v>Ralph Lauren</v>
      </c>
      <c r="E1113" s="5" t="str">
        <f ca="1">IFERROR(__xludf.DUMMYFUNCTION("GOOGLETRANSLATE(C1113,""ja"",""vi"")"),"Đấu giá&gt; Thời trang&gt; Phụ nữ thời trang&gt; Trainer&gt; Ralph Lauren")</f>
        <v>Đấu giá&gt; Thời trang&gt; Phụ nữ thời trang&gt; Trainer&gt; Ralph Lauren</v>
      </c>
      <c r="F1113" t="str">
        <f t="shared" ca="1" si="17"/>
        <v>"2084027921" : "Ralph Lauren",</v>
      </c>
    </row>
    <row r="1114" spans="1:6" ht="15.75" customHeight="1">
      <c r="A1114" s="18">
        <v>2084027923</v>
      </c>
      <c r="B1114" s="18" t="s">
        <v>13116</v>
      </c>
      <c r="C1114" s="18" t="s">
        <v>14308</v>
      </c>
      <c r="D1114" s="5" t="str">
        <f ca="1">IFERROR(__xludf.DUMMYFUNCTION("GOOGLETRANSLATE(B1114,""ja"",""vi"")"),"bước chạy dài")</f>
        <v>bước chạy dài</v>
      </c>
      <c r="E1114" s="5" t="str">
        <f ca="1">IFERROR(__xludf.DUMMYFUNCTION("GOOGLETRANSLATE(C1114,""ja"",""vi"")"),"Đấu giá&gt; Thời trang&gt; Thời trang nữ&gt; Trainer&gt; Lope")</f>
        <v>Đấu giá&gt; Thời trang&gt; Thời trang nữ&gt; Trainer&gt; Lope</v>
      </c>
      <c r="F1114" t="str">
        <f t="shared" ca="1" si="17"/>
        <v>"2084027923" : "bước chạy dài",</v>
      </c>
    </row>
    <row r="1115" spans="1:6" ht="15.75" customHeight="1">
      <c r="A1115" s="18">
        <v>2084027934</v>
      </c>
      <c r="B1115" s="18" t="s">
        <v>13594</v>
      </c>
      <c r="C1115" s="18" t="s">
        <v>14311</v>
      </c>
      <c r="D1115" s="5" t="str">
        <f ca="1">IFERROR(__xludf.DUMMYFUNCTION("GOOGLETRANSLATE(B1115,""ja"",""vi"")"),"Vivienne Westwood")</f>
        <v>Vivienne Westwood</v>
      </c>
      <c r="E1115" s="5" t="str">
        <f ca="1">IFERROR(__xludf.DUMMYFUNCTION("GOOGLETRANSLATE(C1115,""ja"",""vi"")"),"Đấu giá&gt; Thời trang&gt; Phụ nữ thời trang&gt; Trainer&gt; Vivienne Westwood")</f>
        <v>Đấu giá&gt; Thời trang&gt; Phụ nữ thời trang&gt; Trainer&gt; Vivienne Westwood</v>
      </c>
      <c r="F1115" t="str">
        <f t="shared" ca="1" si="17"/>
        <v>"2084027934" : "Vivienne Westwood",</v>
      </c>
    </row>
    <row r="1116" spans="1:6" ht="15.75" customHeight="1">
      <c r="A1116" s="18">
        <v>2084027925</v>
      </c>
      <c r="B1116" s="18" t="s">
        <v>9826</v>
      </c>
      <c r="C1116" s="18" t="s">
        <v>14314</v>
      </c>
      <c r="D1116" s="5" t="str">
        <f ca="1">IFERROR(__xludf.DUMMYFUNCTION("GOOGLETRANSLATE(B1116,""ja"",""vi"")"),"bộ")</f>
        <v>bộ</v>
      </c>
      <c r="E1116" s="5" t="str">
        <f ca="1">IFERROR(__xludf.DUMMYFUNCTION("GOOGLETRANSLATE(C1116,""ja"",""vi"")"),"Đấu giá&gt; Thời trang&gt; Phụ nữ thời trang&gt; Trainer&gt; Suite")</f>
        <v>Đấu giá&gt; Thời trang&gt; Phụ nữ thời trang&gt; Trainer&gt; Suite</v>
      </c>
      <c r="F1116" t="str">
        <f t="shared" ca="1" si="17"/>
        <v>"2084027925" : "bộ",</v>
      </c>
    </row>
    <row r="1117" spans="1:6" ht="15.75" customHeight="1">
      <c r="A1117" s="18">
        <v>2084007130</v>
      </c>
      <c r="B1117" s="18" t="s">
        <v>14315</v>
      </c>
      <c r="C1117" s="18" t="s">
        <v>14316</v>
      </c>
      <c r="D1117" s="5" t="str">
        <f ca="1">IFERROR(__xludf.DUMMYFUNCTION("GOOGLETRANSLATE(B1117,""ja"",""vi"")"),"Twin, cụm công")</f>
        <v>Twin, cụm công</v>
      </c>
      <c r="E1117" s="5" t="str">
        <f ca="1">IFERROR(__xludf.DUMMYFUNCTION("GOOGLETRANSLATE(C1117,""ja"",""vi"")"),"Đấu giá&gt; Thời trang&gt; Phụ nữ thời trang&gt; khâu&gt; đôi, cụm công")</f>
        <v>Đấu giá&gt; Thời trang&gt; Phụ nữ thời trang&gt; khâu&gt; đôi, cụm công</v>
      </c>
      <c r="F1117" t="str">
        <f t="shared" ca="1" si="17"/>
        <v>"2084007130" : "Twin, cụm công",</v>
      </c>
    </row>
    <row r="1118" spans="1:6" ht="15.75" customHeight="1">
      <c r="A1118" s="18">
        <v>2084007134</v>
      </c>
      <c r="B1118" s="18" t="s">
        <v>13888</v>
      </c>
      <c r="C1118" s="18" t="s">
        <v>14322</v>
      </c>
      <c r="D1118" s="5" t="str">
        <f ca="1">IFERROR(__xludf.DUMMYFUNCTION("GOOGLETRANSLATE(B1118,""ja"",""vi"")"),"Không tay, không tay")</f>
        <v>Không tay, không tay</v>
      </c>
      <c r="E1118" s="5" t="str">
        <f ca="1">IFERROR(__xludf.DUMMYFUNCTION("GOOGLETRANSLATE(C1118,""ja"",""vi"")"),"Đấu giá&gt; Thời trang&gt; Phụ nữ Quần áo&gt; Tops&gt; không tay, không tay")</f>
        <v>Đấu giá&gt; Thời trang&gt; Phụ nữ Quần áo&gt; Tops&gt; không tay, không tay</v>
      </c>
      <c r="F1118" t="str">
        <f t="shared" ca="1" si="17"/>
        <v>"2084007134" : "Không tay, không tay",</v>
      </c>
    </row>
    <row r="1119" spans="1:6" ht="15.75" customHeight="1">
      <c r="A1119" s="18">
        <v>2084007129</v>
      </c>
      <c r="B1119" s="18" t="s">
        <v>13897</v>
      </c>
      <c r="C1119" s="18" t="s">
        <v>14325</v>
      </c>
      <c r="D1119" s="5" t="str">
        <f ca="1">IFERROR(__xludf.DUMMYFUNCTION("GOOGLETRANSLATE(B1119,""ja"",""vi"")"),"áo dài tay")</f>
        <v>áo dài tay</v>
      </c>
      <c r="E1119" s="5" t="str">
        <f ca="1">IFERROR(__xludf.DUMMYFUNCTION("GOOGLETRANSLATE(C1119,""ja"",""vi"")"),"Đấu giá&gt; Thời trang&gt; Phụ nữ thời trang&gt; Cut&gt; dài tay")</f>
        <v>Đấu giá&gt; Thời trang&gt; Phụ nữ thời trang&gt; Cut&gt; dài tay</v>
      </c>
      <c r="F1119" t="str">
        <f t="shared" ca="1" si="17"/>
        <v>"2084007129" : "áo dài tay",</v>
      </c>
    </row>
    <row r="1120" spans="1:6" ht="15.75" customHeight="1">
      <c r="A1120" s="18">
        <v>2084007128</v>
      </c>
      <c r="B1120" s="18" t="s">
        <v>13905</v>
      </c>
      <c r="C1120" s="18" t="s">
        <v>14330</v>
      </c>
      <c r="D1120" s="5" t="str">
        <f ca="1">IFERROR(__xludf.DUMMYFUNCTION("GOOGLETRANSLATE(B1120,""ja"",""vi"")"),"tay áo ngắn")</f>
        <v>tay áo ngắn</v>
      </c>
      <c r="E1120" s="5" t="str">
        <f ca="1">IFERROR(__xludf.DUMMYFUNCTION("GOOGLETRANSLATE(C1120,""ja"",""vi"")"),"Đấu giá&gt; Thời trang&gt; Phụ nữ Quần áo&gt; Tops&gt; ngắn tay")</f>
        <v>Đấu giá&gt; Thời trang&gt; Phụ nữ Quần áo&gt; Tops&gt; ngắn tay</v>
      </c>
      <c r="F1120" t="str">
        <f t="shared" ca="1" si="17"/>
        <v>"2084007128" : "tay áo ngắn",</v>
      </c>
    </row>
    <row r="1121" spans="1:6" ht="15.75" customHeight="1">
      <c r="A1121" s="18">
        <v>2084054033</v>
      </c>
      <c r="B1121" s="18" t="s">
        <v>13912</v>
      </c>
      <c r="C1121" s="18" t="s">
        <v>14335</v>
      </c>
      <c r="D1121" s="5" t="str">
        <f ca="1">IFERROR(__xludf.DUMMYFUNCTION("GOOGLETRANSLATE(B1121,""ja"",""vi"")"),"Sleeve khác")</f>
        <v>Sleeve khác</v>
      </c>
      <c r="E1121" s="5" t="str">
        <f ca="1">IFERROR(__xludf.DUMMYFUNCTION("GOOGLETRANSLATE(C1121,""ja"",""vi"")"),"Đấu giá&gt; Thời trang&gt; Phụ nữ thời trang&gt; cắt&gt; Sleeve khác")</f>
        <v>Đấu giá&gt; Thời trang&gt; Phụ nữ thời trang&gt; cắt&gt; Sleeve khác</v>
      </c>
      <c r="F1121" t="str">
        <f t="shared" ca="1" si="17"/>
        <v>"2084054033" : "Sleeve khác",</v>
      </c>
    </row>
    <row r="1122" spans="1:6" ht="15.75" customHeight="1">
      <c r="A1122" s="18">
        <v>2084007135</v>
      </c>
      <c r="B1122" s="18" t="s">
        <v>13888</v>
      </c>
      <c r="C1122" s="18" t="s">
        <v>14339</v>
      </c>
      <c r="D1122" s="5" t="str">
        <f ca="1">IFERROR(__xludf.DUMMYFUNCTION("GOOGLETRANSLATE(B1122,""ja"",""vi"")"),"Không tay, không tay")</f>
        <v>Không tay, không tay</v>
      </c>
      <c r="E1122" s="5" t="str">
        <f ca="1">IFERROR(__xludf.DUMMYFUNCTION("GOOGLETRANSLATE(C1122,""ja"",""vi"")"),"Đấu giá&gt; Thời trang&gt; Phụ nữ thời trang&gt; áo sơ mi, áo&gt; không tay, không tay")</f>
        <v>Đấu giá&gt; Thời trang&gt; Phụ nữ thời trang&gt; áo sơ mi, áo&gt; không tay, không tay</v>
      </c>
      <c r="F1122" t="str">
        <f t="shared" ca="1" si="17"/>
        <v>"2084007135" : "Không tay, không tay",</v>
      </c>
    </row>
    <row r="1123" spans="1:6" ht="15.75" customHeight="1">
      <c r="A1123" s="18">
        <v>2084007133</v>
      </c>
      <c r="B1123" s="18" t="s">
        <v>13897</v>
      </c>
      <c r="C1123" s="18" t="s">
        <v>14343</v>
      </c>
      <c r="D1123" s="5" t="str">
        <f ca="1">IFERROR(__xludf.DUMMYFUNCTION("GOOGLETRANSLATE(B1123,""ja"",""vi"")"),"áo dài tay")</f>
        <v>áo dài tay</v>
      </c>
      <c r="E1123" s="5" t="str">
        <f ca="1">IFERROR(__xludf.DUMMYFUNCTION("GOOGLETRANSLATE(C1123,""ja"",""vi"")"),"Đấu giá&gt; Thời trang&gt; Phụ nữ thời trang&gt; áo sơ mi, áo&gt; dài tay")</f>
        <v>Đấu giá&gt; Thời trang&gt; Phụ nữ thời trang&gt; áo sơ mi, áo&gt; dài tay</v>
      </c>
      <c r="F1123" t="str">
        <f t="shared" ca="1" si="17"/>
        <v>"2084007133" : "áo dài tay",</v>
      </c>
    </row>
    <row r="1124" spans="1:6" ht="15.75" customHeight="1">
      <c r="A1124" s="18">
        <v>2084007132</v>
      </c>
      <c r="B1124" s="18" t="s">
        <v>13905</v>
      </c>
      <c r="C1124" s="18" t="s">
        <v>14347</v>
      </c>
      <c r="D1124" s="5" t="str">
        <f ca="1">IFERROR(__xludf.DUMMYFUNCTION("GOOGLETRANSLATE(B1124,""ja"",""vi"")"),"tay áo ngắn")</f>
        <v>tay áo ngắn</v>
      </c>
      <c r="E1124" s="5" t="str">
        <f ca="1">IFERROR(__xludf.DUMMYFUNCTION("GOOGLETRANSLATE(C1124,""ja"",""vi"")"),"Đấu giá&gt; Thời trang&gt; thời trang&gt; áo sơ mi, áo&gt; tay áo ngắn nữ")</f>
        <v>Đấu giá&gt; Thời trang&gt; thời trang&gt; áo sơ mi, áo&gt; tay áo ngắn nữ</v>
      </c>
      <c r="F1124" t="str">
        <f t="shared" ca="1" si="17"/>
        <v>"2084007132" : "tay áo ngắn",</v>
      </c>
    </row>
    <row r="1125" spans="1:6" ht="15.75" customHeight="1">
      <c r="A1125" s="18">
        <v>2084054034</v>
      </c>
      <c r="B1125" s="18" t="s">
        <v>13912</v>
      </c>
      <c r="C1125" s="18" t="s">
        <v>14354</v>
      </c>
      <c r="D1125" s="5" t="str">
        <f ca="1">IFERROR(__xludf.DUMMYFUNCTION("GOOGLETRANSLATE(B1125,""ja"",""vi"")"),"Sleeve khác")</f>
        <v>Sleeve khác</v>
      </c>
      <c r="E1125" s="5" t="str">
        <f ca="1">IFERROR(__xludf.DUMMYFUNCTION("GOOGLETRANSLATE(C1125,""ja"",""vi"")"),"Đấu giá&gt; Thời trang&gt; Phụ nữ thời trang&gt; áo sơ mi, áo&gt; tay khác")</f>
        <v>Đấu giá&gt; Thời trang&gt; Phụ nữ thời trang&gt; áo sơ mi, áo&gt; tay khác</v>
      </c>
      <c r="F1125" t="str">
        <f t="shared" ca="1" si="17"/>
        <v>"2084054034" : "Sleeve khác",</v>
      </c>
    </row>
    <row r="1126" spans="1:6" ht="15.75" customHeight="1">
      <c r="A1126" s="18">
        <v>2084231769</v>
      </c>
      <c r="B1126" s="18" t="s">
        <v>13888</v>
      </c>
      <c r="C1126" s="18" t="s">
        <v>14358</v>
      </c>
      <c r="D1126" s="5" t="str">
        <f ca="1">IFERROR(__xludf.DUMMYFUNCTION("GOOGLETRANSLATE(B1126,""ja"",""vi"")"),"Không tay, không tay")</f>
        <v>Không tay, không tay</v>
      </c>
      <c r="E1126" s="5" t="str">
        <f ca="1">IFERROR(__xludf.DUMMYFUNCTION("GOOGLETRANSLATE(C1126,""ja"",""vi"")"),"Đấu giá&gt; Thời trang&gt; Thời trang nữ&gt; áo dài&gt; không tay, không tay")</f>
        <v>Đấu giá&gt; Thời trang&gt; Thời trang nữ&gt; áo dài&gt; không tay, không tay</v>
      </c>
      <c r="F1126" t="str">
        <f t="shared" ca="1" si="17"/>
        <v>"2084231769" : "Không tay, không tay",</v>
      </c>
    </row>
    <row r="1127" spans="1:6" ht="15.75" customHeight="1">
      <c r="A1127" s="18">
        <v>2084231775</v>
      </c>
      <c r="B1127" s="18" t="s">
        <v>13897</v>
      </c>
      <c r="C1127" s="18" t="s">
        <v>14362</v>
      </c>
      <c r="D1127" s="5" t="str">
        <f ca="1">IFERROR(__xludf.DUMMYFUNCTION("GOOGLETRANSLATE(B1127,""ja"",""vi"")"),"áo dài tay")</f>
        <v>áo dài tay</v>
      </c>
      <c r="E1127" s="5" t="str">
        <f ca="1">IFERROR(__xludf.DUMMYFUNCTION("GOOGLETRANSLATE(C1127,""ja"",""vi"")"),"Đấu giá&gt; thời trang thời trang&gt; Phụ nữ&gt; áo dài&gt; dài tay")</f>
        <v>Đấu giá&gt; thời trang thời trang&gt; Phụ nữ&gt; áo dài&gt; dài tay</v>
      </c>
      <c r="F1127" t="str">
        <f t="shared" ca="1" si="17"/>
        <v>"2084231775" : "áo dài tay",</v>
      </c>
    </row>
    <row r="1128" spans="1:6" ht="15.75" customHeight="1">
      <c r="A1128" s="18">
        <v>2084231781</v>
      </c>
      <c r="B1128" s="18" t="s">
        <v>13905</v>
      </c>
      <c r="C1128" s="18" t="s">
        <v>14366</v>
      </c>
      <c r="D1128" s="5" t="str">
        <f ca="1">IFERROR(__xludf.DUMMYFUNCTION("GOOGLETRANSLATE(B1128,""ja"",""vi"")"),"tay áo ngắn")</f>
        <v>tay áo ngắn</v>
      </c>
      <c r="E1128" s="5" t="str">
        <f ca="1">IFERROR(__xludf.DUMMYFUNCTION("GOOGLETRANSLATE(C1128,""ja"",""vi"")"),"Đấu giá&gt; Thời trang&gt; Thời trang nữ&gt; áo dài&gt; tay áo ngắn")</f>
        <v>Đấu giá&gt; Thời trang&gt; Thời trang nữ&gt; áo dài&gt; tay áo ngắn</v>
      </c>
      <c r="F1128" t="str">
        <f t="shared" ca="1" si="17"/>
        <v>"2084231781" : "tay áo ngắn",</v>
      </c>
    </row>
    <row r="1129" spans="1:6" ht="15.75" customHeight="1">
      <c r="A1129" s="18">
        <v>2084231787</v>
      </c>
      <c r="B1129" s="18" t="s">
        <v>13912</v>
      </c>
      <c r="C1129" s="18" t="s">
        <v>14369</v>
      </c>
      <c r="D1129" s="5" t="str">
        <f ca="1">IFERROR(__xludf.DUMMYFUNCTION("GOOGLETRANSLATE(B1129,""ja"",""vi"")"),"Sleeve khác")</f>
        <v>Sleeve khác</v>
      </c>
      <c r="E1129" s="5" t="str">
        <f ca="1">IFERROR(__xludf.DUMMYFUNCTION("GOOGLETRANSLATE(C1129,""ja"",""vi"")"),"Đấu giá&gt; Thời trang&gt; Thời trang nữ&gt; áo dài&gt; tay khác")</f>
        <v>Đấu giá&gt; Thời trang&gt; Thời trang nữ&gt; áo dài&gt; tay khác</v>
      </c>
      <c r="F1129" t="str">
        <f t="shared" ca="1" si="17"/>
        <v>"2084231787" : "Sleeve khác",</v>
      </c>
    </row>
    <row r="1130" spans="1:6" ht="15.75" customHeight="1">
      <c r="A1130" s="18">
        <v>2084027282</v>
      </c>
      <c r="B1130" s="18" t="s">
        <v>13897</v>
      </c>
      <c r="C1130" s="18" t="s">
        <v>14371</v>
      </c>
      <c r="D1130" s="5" t="str">
        <f ca="1">IFERROR(__xludf.DUMMYFUNCTION("GOOGLETRANSLATE(B1130,""ja"",""vi"")"),"áo dài tay")</f>
        <v>áo dài tay</v>
      </c>
      <c r="E1130" s="5" t="str">
        <f ca="1">IFERROR(__xludf.DUMMYFUNCTION("GOOGLETRANSLATE(C1130,""ja"",""vi"")"),"Đấu giá&gt; Thời trang&gt; Phụ nữ Quần áo&gt; T-Shirts&gt; dài tay")</f>
        <v>Đấu giá&gt; Thời trang&gt; Phụ nữ Quần áo&gt; T-Shirts&gt; dài tay</v>
      </c>
      <c r="F1130" t="str">
        <f t="shared" ca="1" si="17"/>
        <v>"2084027282" : "áo dài tay",</v>
      </c>
    </row>
    <row r="1131" spans="1:6" ht="15.75" customHeight="1">
      <c r="A1131" s="18">
        <v>2084007219</v>
      </c>
      <c r="B1131" s="18" t="s">
        <v>13905</v>
      </c>
      <c r="C1131" s="18" t="s">
        <v>14374</v>
      </c>
      <c r="D1131" s="5" t="str">
        <f ca="1">IFERROR(__xludf.DUMMYFUNCTION("GOOGLETRANSLATE(B1131,""ja"",""vi"")"),"tay áo ngắn")</f>
        <v>tay áo ngắn</v>
      </c>
      <c r="E1131" s="5" t="str">
        <f ca="1">IFERROR(__xludf.DUMMYFUNCTION("GOOGLETRANSLATE(C1131,""ja"",""vi"")"),"Đấu giá&gt; Thời trang&gt; Phụ nữ Quần áo&gt; T-Shirts&gt; Short Sleeve")</f>
        <v>Đấu giá&gt; Thời trang&gt; Phụ nữ Quần áo&gt; T-Shirts&gt; Short Sleeve</v>
      </c>
      <c r="F1131" t="str">
        <f t="shared" ca="1" si="17"/>
        <v>"2084007219" : "tay áo ngắn",</v>
      </c>
    </row>
    <row r="1132" spans="1:6" ht="15.75" customHeight="1">
      <c r="A1132" s="18">
        <v>2084054032</v>
      </c>
      <c r="B1132" s="18" t="s">
        <v>13912</v>
      </c>
      <c r="C1132" s="18" t="s">
        <v>14376</v>
      </c>
      <c r="D1132" s="5" t="str">
        <f ca="1">IFERROR(__xludf.DUMMYFUNCTION("GOOGLETRANSLATE(B1132,""ja"",""vi"")"),"Sleeve khác")</f>
        <v>Sleeve khác</v>
      </c>
      <c r="E1132" s="5" t="str">
        <f ca="1">IFERROR(__xludf.DUMMYFUNCTION("GOOGLETRANSLATE(C1132,""ja"",""vi"")"),"Đấu giá&gt; Thời trang&gt; Phụ nữ Quần áo&gt; T-Shirts&gt; Khác Sleeve")</f>
        <v>Đấu giá&gt; Thời trang&gt; Phụ nữ Quần áo&gt; T-Shirts&gt; Khác Sleeve</v>
      </c>
      <c r="F1132" t="str">
        <f t="shared" ca="1" si="17"/>
        <v>"2084054032" : "Sleeve khác",</v>
      </c>
    </row>
    <row r="1133" spans="1:6" ht="15.75" customHeight="1">
      <c r="A1133" s="18">
        <v>2084007145</v>
      </c>
      <c r="B1133" s="18" t="s">
        <v>13888</v>
      </c>
      <c r="C1133" s="18" t="s">
        <v>14379</v>
      </c>
      <c r="D1133" s="5" t="str">
        <f ca="1">IFERROR(__xludf.DUMMYFUNCTION("GOOGLETRANSLATE(B1133,""ja"",""vi"")"),"Không tay, không tay")</f>
        <v>Không tay, không tay</v>
      </c>
      <c r="E1133" s="5" t="str">
        <f ca="1">IFERROR(__xludf.DUMMYFUNCTION("GOOGLETRANSLATE(C1133,""ja"",""vi"")"),"Đấu giá&gt; Thời trang&gt; Thời trang nữ&gt; áo polo&gt; không tay, không tay")</f>
        <v>Đấu giá&gt; Thời trang&gt; Thời trang nữ&gt; áo polo&gt; không tay, không tay</v>
      </c>
      <c r="F1133" t="str">
        <f t="shared" ca="1" si="17"/>
        <v>"2084007145" : "Không tay, không tay",</v>
      </c>
    </row>
    <row r="1134" spans="1:6" ht="15.75" customHeight="1">
      <c r="A1134" s="18">
        <v>2084007144</v>
      </c>
      <c r="B1134" s="18" t="s">
        <v>13897</v>
      </c>
      <c r="C1134" s="18" t="s">
        <v>14382</v>
      </c>
      <c r="D1134" s="5" t="str">
        <f ca="1">IFERROR(__xludf.DUMMYFUNCTION("GOOGLETRANSLATE(B1134,""ja"",""vi"")"),"áo dài tay")</f>
        <v>áo dài tay</v>
      </c>
      <c r="E1134" s="5" t="str">
        <f ca="1">IFERROR(__xludf.DUMMYFUNCTION("GOOGLETRANSLATE(C1134,""ja"",""vi"")"),"Đấu giá&gt; Thời trang&gt; Phụ nữ thời trang&gt; Polo&gt; Long Sleeve")</f>
        <v>Đấu giá&gt; Thời trang&gt; Phụ nữ thời trang&gt; Polo&gt; Long Sleeve</v>
      </c>
      <c r="F1134" t="str">
        <f t="shared" ca="1" si="17"/>
        <v>"2084007144" : "áo dài tay",</v>
      </c>
    </row>
    <row r="1135" spans="1:6" ht="15.75" customHeight="1">
      <c r="A1135" s="18">
        <v>2084007143</v>
      </c>
      <c r="B1135" s="18" t="s">
        <v>13905</v>
      </c>
      <c r="C1135" s="18" t="s">
        <v>14386</v>
      </c>
      <c r="D1135" s="5" t="str">
        <f ca="1">IFERROR(__xludf.DUMMYFUNCTION("GOOGLETRANSLATE(B1135,""ja"",""vi"")"),"tay áo ngắn")</f>
        <v>tay áo ngắn</v>
      </c>
      <c r="E1135" s="5" t="str">
        <f ca="1">IFERROR(__xludf.DUMMYFUNCTION("GOOGLETRANSLATE(C1135,""ja"",""vi"")"),"Đấu giá&gt; Thời trang&gt; Phụ nữ thời trang&gt; Polo&gt; ngắn tay")</f>
        <v>Đấu giá&gt; Thời trang&gt; Phụ nữ thời trang&gt; Polo&gt; ngắn tay</v>
      </c>
      <c r="F1135" t="str">
        <f t="shared" ca="1" si="17"/>
        <v>"2084007143" : "tay áo ngắn",</v>
      </c>
    </row>
    <row r="1136" spans="1:6" ht="15.75" customHeight="1">
      <c r="A1136" s="18">
        <v>2084054036</v>
      </c>
      <c r="B1136" s="18" t="s">
        <v>13912</v>
      </c>
      <c r="C1136" s="18" t="s">
        <v>14388</v>
      </c>
      <c r="D1136" s="5" t="str">
        <f ca="1">IFERROR(__xludf.DUMMYFUNCTION("GOOGLETRANSLATE(B1136,""ja"",""vi"")"),"Sleeve khác")</f>
        <v>Sleeve khác</v>
      </c>
      <c r="E1136" s="5" t="str">
        <f ca="1">IFERROR(__xludf.DUMMYFUNCTION("GOOGLETRANSLATE(C1136,""ja"",""vi"")"),"Đấu giá&gt; Thời trang&gt; Phụ nữ thời trang&gt; Polo&gt; Sleeve khác")</f>
        <v>Đấu giá&gt; Thời trang&gt; Phụ nữ thời trang&gt; Polo&gt; Sleeve khác</v>
      </c>
      <c r="F1136" t="str">
        <f t="shared" ca="1" si="17"/>
        <v>"2084054036" : "Sleeve khác",</v>
      </c>
    </row>
    <row r="1137" spans="1:6" ht="15.75" customHeight="1">
      <c r="A1137" s="18">
        <v>2084007183</v>
      </c>
      <c r="B1137" s="18" t="s">
        <v>14392</v>
      </c>
      <c r="C1137" s="18" t="s">
        <v>14393</v>
      </c>
      <c r="D1137" s="5" t="str">
        <f ca="1">IFERROR(__xludf.DUMMYFUNCTION("GOOGLETRANSLATE(B1137,""ja"",""vi"")"),"miniskirt")</f>
        <v>miniskirt</v>
      </c>
      <c r="E1137" s="5" t="str">
        <f ca="1">IFERROR(__xludf.DUMMYFUNCTION("GOOGLETRANSLATE(C1137,""ja"",""vi"")"),"Đấu giá&gt; Thời trang&gt; Thời trang nữ&gt; Dress&gt; miniskirt")</f>
        <v>Đấu giá&gt; Thời trang&gt; Thời trang nữ&gt; Dress&gt; miniskirt</v>
      </c>
      <c r="F1137" t="str">
        <f t="shared" ca="1" si="17"/>
        <v>"2084007183" : "miniskirt",</v>
      </c>
    </row>
    <row r="1138" spans="1:6" ht="15.75" customHeight="1">
      <c r="A1138" s="18">
        <v>2084054013</v>
      </c>
      <c r="B1138" s="18" t="s">
        <v>14397</v>
      </c>
      <c r="C1138" s="18" t="s">
        <v>14399</v>
      </c>
      <c r="D1138" s="5" t="str">
        <f ca="1">IFERROR(__xludf.DUMMYFUNCTION("GOOGLETRANSLATE(B1138,""ja"",""vi"")"),"Đầu gối dài váy")</f>
        <v>Đầu gối dài váy</v>
      </c>
      <c r="E1138" s="5" t="str">
        <f ca="1">IFERROR(__xludf.DUMMYFUNCTION("GOOGLETRANSLATE(C1138,""ja"",""vi"")"),"Đấu giá&gt; Thời trang&gt; Thời trang nữ&gt; Dress&gt; váy dài đến đầu gối")</f>
        <v>Đấu giá&gt; Thời trang&gt; Thời trang nữ&gt; Dress&gt; váy dài đến đầu gối</v>
      </c>
      <c r="F1138" t="str">
        <f t="shared" ca="1" si="17"/>
        <v>"2084054013" : "Đầu gối dài váy",</v>
      </c>
    </row>
    <row r="1139" spans="1:6" ht="15.75" customHeight="1">
      <c r="A1139" s="18">
        <v>2084007184</v>
      </c>
      <c r="B1139" s="18" t="s">
        <v>14401</v>
      </c>
      <c r="C1139" s="18" t="s">
        <v>14402</v>
      </c>
      <c r="D1139" s="5" t="str">
        <f ca="1">IFERROR(__xludf.DUMMYFUNCTION("GOOGLETRANSLATE(B1139,""ja"",""vi"")"),"váy dài")</f>
        <v>váy dài</v>
      </c>
      <c r="E1139" s="5" t="str">
        <f ca="1">IFERROR(__xludf.DUMMYFUNCTION("GOOGLETRANSLATE(C1139,""ja"",""vi"")"),"Đấu giá&gt; Thời trang&gt; Thời trang&gt; Dress&gt; váy nữ dài")</f>
        <v>Đấu giá&gt; Thời trang&gt; Thời trang&gt; Dress&gt; váy nữ dài</v>
      </c>
      <c r="F1139" t="str">
        <f t="shared" ca="1" si="17"/>
        <v>"2084007184" : "váy dài",</v>
      </c>
    </row>
    <row r="1140" spans="1:6" ht="15.75" customHeight="1">
      <c r="A1140" s="18">
        <v>2084231768</v>
      </c>
      <c r="B1140" s="18" t="s">
        <v>14406</v>
      </c>
      <c r="C1140" s="18" t="s">
        <v>14407</v>
      </c>
      <c r="D1140" s="5" t="str">
        <f ca="1">IFERROR(__xludf.DUMMYFUNCTION("GOOGLETRANSLATE(B1140,""ja"",""vi"")"),"áo của giám mục")</f>
        <v>áo của giám mục</v>
      </c>
      <c r="E1140" s="5" t="str">
        <f ca="1">IFERROR(__xludf.DUMMYFUNCTION("GOOGLETRANSLATE(C1140,""ja"",""vi"")"),"Đấu giá&gt; Thời trang&gt; Thời trang nữ&gt; Dress&gt; áo dài")</f>
        <v>Đấu giá&gt; Thời trang&gt; Thời trang nữ&gt; Dress&gt; áo dài</v>
      </c>
      <c r="F1140" t="str">
        <f t="shared" ca="1" si="17"/>
        <v>"2084231768" : "áo của giám mục",</v>
      </c>
    </row>
    <row r="1141" spans="1:6" ht="15.75" customHeight="1">
      <c r="A1141" s="18">
        <v>2084007164</v>
      </c>
      <c r="B1141" s="18" t="s">
        <v>14392</v>
      </c>
      <c r="C1141" s="18" t="s">
        <v>14411</v>
      </c>
      <c r="D1141" s="5" t="str">
        <f ca="1">IFERROR(__xludf.DUMMYFUNCTION("GOOGLETRANSLATE(B1141,""ja"",""vi"")"),"miniskirt")</f>
        <v>miniskirt</v>
      </c>
      <c r="E1141" s="5" t="str">
        <f ca="1">IFERROR(__xludf.DUMMYFUNCTION("GOOGLETRANSLATE(C1141,""ja"",""vi"")"),"Đấu giá&gt; thời trang thời trang&gt; Phụ nữ&gt; váy&gt; miniskirt")</f>
        <v>Đấu giá&gt; thời trang thời trang&gt; Phụ nữ&gt; váy&gt; miniskirt</v>
      </c>
      <c r="F1141" t="str">
        <f t="shared" ca="1" si="17"/>
        <v>"2084007164" : "miniskirt",</v>
      </c>
    </row>
    <row r="1142" spans="1:6" ht="15.75" customHeight="1">
      <c r="A1142" s="18">
        <v>2084054007</v>
      </c>
      <c r="B1142" s="18" t="s">
        <v>14397</v>
      </c>
      <c r="C1142" s="18" t="s">
        <v>14415</v>
      </c>
      <c r="D1142" s="5" t="str">
        <f ca="1">IFERROR(__xludf.DUMMYFUNCTION("GOOGLETRANSLATE(B1142,""ja"",""vi"")"),"Đầu gối dài váy")</f>
        <v>Đầu gối dài váy</v>
      </c>
      <c r="E1142" s="5" t="str">
        <f ca="1">IFERROR(__xludf.DUMMYFUNCTION("GOOGLETRANSLATE(C1142,""ja"",""vi"")"),"Đấu giá&gt; Thời trang&gt; Thời trang nữ&gt; váy&gt; váy dài đến đầu gối")</f>
        <v>Đấu giá&gt; Thời trang&gt; Thời trang nữ&gt; váy&gt; váy dài đến đầu gối</v>
      </c>
      <c r="F1142" t="str">
        <f t="shared" ca="1" si="17"/>
        <v>"2084054007" : "Đầu gối dài váy",</v>
      </c>
    </row>
    <row r="1143" spans="1:6" ht="15.75" customHeight="1">
      <c r="A1143" s="18">
        <v>2084007165</v>
      </c>
      <c r="B1143" s="18" t="s">
        <v>14401</v>
      </c>
      <c r="C1143" s="18" t="s">
        <v>14418</v>
      </c>
      <c r="D1143" s="5" t="str">
        <f ca="1">IFERROR(__xludf.DUMMYFUNCTION("GOOGLETRANSLATE(B1143,""ja"",""vi"")"),"váy dài")</f>
        <v>váy dài</v>
      </c>
      <c r="E1143" s="5" t="str">
        <f ca="1">IFERROR(__xludf.DUMMYFUNCTION("GOOGLETRANSLATE(C1143,""ja"",""vi"")"),"Đấu giá&gt; Thời trang&gt; Phụ nữ Quần áo&gt; Váy&gt; váy dài")</f>
        <v>Đấu giá&gt; Thời trang&gt; Phụ nữ Quần áo&gt; Váy&gt; váy dài</v>
      </c>
      <c r="F1143" t="str">
        <f t="shared" ca="1" si="17"/>
        <v>"2084007165" : "váy dài",</v>
      </c>
    </row>
    <row r="1144" spans="1:6" ht="15.75" customHeight="1">
      <c r="A1144" s="18">
        <v>2084224588</v>
      </c>
      <c r="B1144" s="18" t="s">
        <v>13341</v>
      </c>
      <c r="C1144" s="18" t="s">
        <v>14424</v>
      </c>
      <c r="D1144" s="5" t="str">
        <f ca="1">IFERROR(__xludf.DUMMYFUNCTION("GOOGLETRANSLATE(B1144,""ja"",""vi"")"),"kích thước XS dưới đây")</f>
        <v>kích thước XS dưới đây</v>
      </c>
      <c r="E1144" s="5" t="str">
        <f ca="1">IFERROR(__xludf.DUMMYFUNCTION("GOOGLETRANSLATE(C1144,""ja"",""vi"")"),"Đấu giá&gt; thời trang thời trang&gt; Phụ nữ&gt; quần, quần&gt; kích thước XS dưới đây")</f>
        <v>Đấu giá&gt; thời trang thời trang&gt; Phụ nữ&gt; quần, quần&gt; kích thước XS dưới đây</v>
      </c>
      <c r="F1144" t="str">
        <f t="shared" ca="1" si="17"/>
        <v>"2084224588" : "kích thước XS dưới đây",</v>
      </c>
    </row>
    <row r="1145" spans="1:6" ht="15.75" customHeight="1">
      <c r="A1145" s="18">
        <v>2084224589</v>
      </c>
      <c r="B1145" s="18" t="s">
        <v>13345</v>
      </c>
      <c r="C1145" s="18" t="s">
        <v>14429</v>
      </c>
      <c r="D1145" s="5" t="str">
        <f ca="1">IFERROR(__xludf.DUMMYFUNCTION("GOOGLETRANSLATE(B1145,""ja"",""vi"")"),"size S")</f>
        <v>size S</v>
      </c>
      <c r="E1145" s="5" t="str">
        <f ca="1">IFERROR(__xludf.DUMMYFUNCTION("GOOGLETRANSLATE(C1145,""ja"",""vi"")"),"Đấu giá&gt; Thời trang&gt; Thời trang nữ&gt; quần, quần&gt; S kích thước")</f>
        <v>Đấu giá&gt; Thời trang&gt; Thời trang nữ&gt; quần, quần&gt; S kích thước</v>
      </c>
      <c r="F1145" t="str">
        <f t="shared" ca="1" si="17"/>
        <v>"2084224589" : "size S",</v>
      </c>
    </row>
    <row r="1146" spans="1:6" ht="15.75" customHeight="1">
      <c r="A1146" s="18">
        <v>2084224590</v>
      </c>
      <c r="B1146" s="18" t="s">
        <v>13351</v>
      </c>
      <c r="C1146" s="18" t="s">
        <v>14433</v>
      </c>
      <c r="D1146" s="5" t="str">
        <f ca="1">IFERROR(__xludf.DUMMYFUNCTION("GOOGLETRANSLATE(B1146,""ja"",""vi"")"),"size M")</f>
        <v>size M</v>
      </c>
      <c r="E1146" s="5" t="str">
        <f ca="1">IFERROR(__xludf.DUMMYFUNCTION("GOOGLETRANSLATE(C1146,""ja"",""vi"")"),"Đấu giá&gt; Thời trang&gt; thời trang&gt; quần, quần&gt; size M nữ")</f>
        <v>Đấu giá&gt; Thời trang&gt; thời trang&gt; quần, quần&gt; size M nữ</v>
      </c>
      <c r="F1146" t="str">
        <f t="shared" ca="1" si="17"/>
        <v>"2084224590" : "size M",</v>
      </c>
    </row>
    <row r="1147" spans="1:6" ht="15.75" customHeight="1">
      <c r="A1147" s="18">
        <v>2084224591</v>
      </c>
      <c r="B1147" s="18" t="s">
        <v>13355</v>
      </c>
      <c r="C1147" s="18" t="s">
        <v>14438</v>
      </c>
      <c r="D1147" s="5" t="str">
        <f ca="1">IFERROR(__xludf.DUMMYFUNCTION("GOOGLETRANSLATE(B1147,""ja"",""vi"")"),"size L")</f>
        <v>size L</v>
      </c>
      <c r="E1147" s="5" t="str">
        <f ca="1">IFERROR(__xludf.DUMMYFUNCTION("GOOGLETRANSLATE(C1147,""ja"",""vi"")"),"Đấu giá&gt; Thời trang&gt; Phụ nữ thời trang&gt; quần, quần&gt; L kích thước")</f>
        <v>Đấu giá&gt; Thời trang&gt; Phụ nữ thời trang&gt; quần, quần&gt; L kích thước</v>
      </c>
      <c r="F1147" t="str">
        <f t="shared" ca="1" si="17"/>
        <v>"2084224591" : "size L",</v>
      </c>
    </row>
    <row r="1148" spans="1:6" ht="15.75" customHeight="1">
      <c r="A1148" s="18">
        <v>2084224592</v>
      </c>
      <c r="B1148" s="18" t="s">
        <v>13360</v>
      </c>
      <c r="C1148" s="18" t="s">
        <v>14443</v>
      </c>
      <c r="D1148" s="5" t="str">
        <f ca="1">IFERROR(__xludf.DUMMYFUNCTION("GOOGLETRANSLATE(B1148,""ja"",""vi"")"),"kích thước XL hoặc lớn hơn")</f>
        <v>kích thước XL hoặc lớn hơn</v>
      </c>
      <c r="E1148" s="5" t="str">
        <f ca="1">IFERROR(__xludf.DUMMYFUNCTION("GOOGLETRANSLATE(C1148,""ja"",""vi"")"),"Đấu giá&gt; Thời trang&gt; thời trang&gt; quần, quần&gt; kích thước XL hơn phụ nữ")</f>
        <v>Đấu giá&gt; Thời trang&gt; thời trang&gt; quần, quần&gt; kích thước XL hơn phụ nữ</v>
      </c>
      <c r="F1148" t="str">
        <f t="shared" ca="1" si="17"/>
        <v>"2084224592" : "kích thước XL hoặc lớn hơn",</v>
      </c>
    </row>
    <row r="1149" spans="1:6" ht="15.75" customHeight="1">
      <c r="A1149" s="18">
        <v>2084028090</v>
      </c>
      <c r="B1149" s="18" t="s">
        <v>8840</v>
      </c>
      <c r="C1149" s="18" t="s">
        <v>14448</v>
      </c>
      <c r="D1149" s="5" t="str">
        <f ca="1">IFERROR(__xludf.DUMMYFUNCTION("GOOGLETRANSLATE(B1149,""ja"",""vi"")"),"Apese")</f>
        <v>Apese</v>
      </c>
      <c r="E1149" s="5" t="str">
        <f ca="1">IFERROR(__xludf.DUMMYFUNCTION("GOOGLETRANSLATE(C1149,""ja"",""vi"")"),"Đấu giá&gt; Thời trang&gt; Thời trang nữ&gt; quần, quần&gt; Apese")</f>
        <v>Đấu giá&gt; Thời trang&gt; Thời trang nữ&gt; quần, quần&gt; Apese</v>
      </c>
      <c r="F1149" t="str">
        <f t="shared" ca="1" si="17"/>
        <v>"2084028090" : "Apese",</v>
      </c>
    </row>
    <row r="1150" spans="1:6" ht="15.75" customHeight="1">
      <c r="A1150" s="18">
        <v>2084028091</v>
      </c>
      <c r="B1150" s="18" t="s">
        <v>13367</v>
      </c>
      <c r="C1150" s="18" t="s">
        <v>14453</v>
      </c>
      <c r="D1150" s="5" t="str">
        <f ca="1">IFERROR(__xludf.DUMMYFUNCTION("GOOGLETRANSLATE(B1150,""ja"",""vi"")"),"Agnes b.")</f>
        <v>Agnes b.</v>
      </c>
      <c r="E1150" s="5" t="str">
        <f ca="1">IFERROR(__xludf.DUMMYFUNCTION("GOOGLETRANSLATE(C1150,""ja"",""vi"")"),"Đấu giá&gt; Thời trang&gt; Phụ nữ thời trang&gt; quần, quần&gt; Agnes b.")</f>
        <v>Đấu giá&gt; Thời trang&gt; Phụ nữ thời trang&gt; quần, quần&gt; Agnes b.</v>
      </c>
      <c r="F1150" t="str">
        <f t="shared" ca="1" si="17"/>
        <v>"2084028091" : "Agnes b.",</v>
      </c>
    </row>
    <row r="1151" spans="1:6" ht="15.75" customHeight="1">
      <c r="A1151" s="18">
        <v>2084028092</v>
      </c>
      <c r="B1151" s="18" t="s">
        <v>8896</v>
      </c>
      <c r="C1151" s="18" t="s">
        <v>14454</v>
      </c>
      <c r="D1151" s="5" t="str">
        <f ca="1">IFERROR(__xludf.DUMMYFUNCTION("GOOGLETRANSLATE(B1151,""ja"",""vi"")"),"Alba Rosa")</f>
        <v>Alba Rosa</v>
      </c>
      <c r="E1151" s="5" t="str">
        <f ca="1">IFERROR(__xludf.DUMMYFUNCTION("GOOGLETRANSLATE(C1151,""ja"",""vi"")"),"Đấu giá&gt; Thời trang&gt; Thời trang nữ&gt; quần, quần&gt; Alba Rosa")</f>
        <v>Đấu giá&gt; Thời trang&gt; Thời trang nữ&gt; quần, quần&gt; Alba Rosa</v>
      </c>
      <c r="F1151" t="str">
        <f t="shared" ca="1" si="17"/>
        <v>"2084028092" : "Alba Rosa",</v>
      </c>
    </row>
    <row r="1152" spans="1:6" ht="15.75" customHeight="1">
      <c r="A1152" s="18">
        <v>2084028093</v>
      </c>
      <c r="B1152" s="18" t="s">
        <v>8916</v>
      </c>
      <c r="C1152" s="18" t="s">
        <v>14457</v>
      </c>
      <c r="D1152" s="5" t="str">
        <f ca="1">IFERROR(__xludf.DUMMYFUNCTION("GOOGLETRANSLATE(B1152,""ja"",""vi"")"),"Armani")</f>
        <v>Armani</v>
      </c>
      <c r="E1152" s="5" t="str">
        <f ca="1">IFERROR(__xludf.DUMMYFUNCTION("GOOGLETRANSLATE(C1152,""ja"",""vi"")"),"Đấu giá&gt; Thời trang&gt; Thời trang nữ&gt; quần, quần&gt; Armani")</f>
        <v>Đấu giá&gt; Thời trang&gt; Thời trang nữ&gt; quần, quần&gt; Armani</v>
      </c>
      <c r="F1152" t="str">
        <f t="shared" ca="1" si="17"/>
        <v>"2084028093" : "Armani",</v>
      </c>
    </row>
    <row r="1153" spans="1:6" ht="15.75" customHeight="1">
      <c r="A1153" s="18">
        <v>2084028094</v>
      </c>
      <c r="B1153" s="18" t="s">
        <v>8976</v>
      </c>
      <c r="C1153" s="18" t="s">
        <v>14460</v>
      </c>
      <c r="D1153" s="5" t="str">
        <f ca="1">IFERROR(__xludf.DUMMYFUNCTION("GOOGLETRANSLATE(B1153,""ja"",""vi"")"),"Untitled")</f>
        <v>Untitled</v>
      </c>
      <c r="E1153" s="5" t="str">
        <f ca="1">IFERROR(__xludf.DUMMYFUNCTION("GOOGLETRANSLATE(C1153,""ja"",""vi"")"),"Đấu giá&gt; Thời trang&gt; Phụ nữ thời trang&gt; quần, quần&gt; Untitled")</f>
        <v>Đấu giá&gt; Thời trang&gt; Phụ nữ thời trang&gt; quần, quần&gt; Untitled</v>
      </c>
      <c r="F1153" t="str">
        <f t="shared" ca="1" si="17"/>
        <v>"2084028094" : "Untitled",</v>
      </c>
    </row>
    <row r="1154" spans="1:6" ht="15.75" customHeight="1">
      <c r="A1154" s="18">
        <v>2084028095</v>
      </c>
      <c r="B1154" s="18" t="s">
        <v>9044</v>
      </c>
      <c r="C1154" s="18" t="s">
        <v>14463</v>
      </c>
      <c r="D1154" s="5" t="str">
        <f ca="1">IFERROR(__xludf.DUMMYFUNCTION("GOOGLETRANSLATE(B1154,""ja"",""vi"")"),"Inedo")</f>
        <v>Inedo</v>
      </c>
      <c r="E1154" s="5" t="str">
        <f ca="1">IFERROR(__xludf.DUMMYFUNCTION("GOOGLETRANSLATE(C1154,""ja"",""vi"")"),"Đấu giá&gt; Thời trang&gt; Thời trang nữ&gt; quần, quần&gt; Inedo")</f>
        <v>Đấu giá&gt; Thời trang&gt; Thời trang nữ&gt; quần, quần&gt; Inedo</v>
      </c>
      <c r="F1154" t="str">
        <f t="shared" ref="F1154:F1217" ca="1" si="18">CONCATENATE(CHAR(34)&amp;"",A1154,""&amp;CHAR(34)," : ", CHAR(34)&amp;"",D1154,""&amp;CHAR(34),",")</f>
        <v>"2084028095" : "Inedo",</v>
      </c>
    </row>
    <row r="1155" spans="1:6" ht="15.75" customHeight="1">
      <c r="A1155" s="18">
        <v>2084028096</v>
      </c>
      <c r="B1155" s="18" t="s">
        <v>9065</v>
      </c>
      <c r="C1155" s="18" t="s">
        <v>14466</v>
      </c>
      <c r="D1155" s="5" t="str">
        <f ca="1">IFERROR(__xludf.DUMMYFUNCTION("GOOGLETRANSLATE(B1155,""ja"",""vi"")"),"In'e")</f>
        <v>In'e</v>
      </c>
      <c r="E1155" s="5" t="str">
        <f ca="1">IFERROR(__xludf.DUMMYFUNCTION("GOOGLETRANSLATE(C1155,""ja"",""vi"")"),"Đấu giá&gt; Thời trang&gt; Thời trang nữ&gt; quần, quần&gt; In'e")</f>
        <v>Đấu giá&gt; Thời trang&gt; Thời trang nữ&gt; quần, quần&gt; In'e</v>
      </c>
      <c r="F1155" t="str">
        <f t="shared" ca="1" si="18"/>
        <v>"2084028096" : "In'e",</v>
      </c>
    </row>
    <row r="1156" spans="1:6" ht="15.75" customHeight="1">
      <c r="A1156" s="18">
        <v>2084028097</v>
      </c>
      <c r="B1156" s="18" t="s">
        <v>9096</v>
      </c>
      <c r="C1156" s="18" t="s">
        <v>14469</v>
      </c>
      <c r="D1156" s="5" t="str">
        <f ca="1">IFERROR(__xludf.DUMMYFUNCTION("GOOGLETRANSLATE(B1156,""ja"",""vi"")"),"Indivi")</f>
        <v>Indivi</v>
      </c>
      <c r="E1156" s="5" t="str">
        <f ca="1">IFERROR(__xludf.DUMMYFUNCTION("GOOGLETRANSLATE(C1156,""ja"",""vi"")"),"Đấu giá&gt; Thời trang&gt; Thời trang nữ&gt; quần, quần&gt; Indivi")</f>
        <v>Đấu giá&gt; Thời trang&gt; Thời trang nữ&gt; quần, quần&gt; Indivi</v>
      </c>
      <c r="F1156" t="str">
        <f t="shared" ca="1" si="18"/>
        <v>"2084028097" : "Indivi",</v>
      </c>
    </row>
    <row r="1157" spans="1:6" ht="15.75" customHeight="1">
      <c r="A1157" s="18">
        <v>2084028099</v>
      </c>
      <c r="B1157" s="18" t="s">
        <v>9261</v>
      </c>
      <c r="C1157" s="18" t="s">
        <v>14472</v>
      </c>
      <c r="D1157" s="5" t="str">
        <f ca="1">IFERROR(__xludf.DUMMYFUNCTION("GOOGLETRANSLATE(B1157,""ja"",""vi"")"),"người vị kỷ")</f>
        <v>người vị kỷ</v>
      </c>
      <c r="E1157" s="5" t="str">
        <f ca="1">IFERROR(__xludf.DUMMYFUNCTION("GOOGLETRANSLATE(C1157,""ja"",""vi"")"),"Đấu giá&gt; Thời trang&gt; Phụ nữ thời trang&gt; quần, quần&gt; ích kỷ")</f>
        <v>Đấu giá&gt; Thời trang&gt; Phụ nữ thời trang&gt; quần, quần&gt; ích kỷ</v>
      </c>
      <c r="F1157" t="str">
        <f t="shared" ca="1" si="18"/>
        <v>"2084028099" : "người vị kỷ",</v>
      </c>
    </row>
    <row r="1158" spans="1:6" ht="15.75" customHeight="1">
      <c r="A1158" s="18">
        <v>2084028100</v>
      </c>
      <c r="B1158" s="18" t="s">
        <v>9300</v>
      </c>
      <c r="C1158" s="18" t="s">
        <v>14476</v>
      </c>
      <c r="D1158" s="5" t="str">
        <f ca="1">IFERROR(__xludf.DUMMYFUNCTION("GOOGLETRANSLATE(B1158,""ja"",""vi"")"),"X-Girl")</f>
        <v>X-Girl</v>
      </c>
      <c r="E1158" s="5" t="str">
        <f ca="1">IFERROR(__xludf.DUMMYFUNCTION("GOOGLETRANSLATE(C1158,""ja"",""vi"")"),"Đấu giá&gt; thời trang thời trang&gt; Phụ nữ&gt; quần, quần&gt; X-Girl")</f>
        <v>Đấu giá&gt; thời trang thời trang&gt; Phụ nữ&gt; quần, quần&gt; X-Girl</v>
      </c>
      <c r="F1158" t="str">
        <f t="shared" ca="1" si="18"/>
        <v>"2084028100" : "X-Girl",</v>
      </c>
    </row>
    <row r="1159" spans="1:6" ht="15.75" customHeight="1">
      <c r="A1159" s="18">
        <v>2084028101</v>
      </c>
      <c r="B1159" s="18" t="s">
        <v>9463</v>
      </c>
      <c r="C1159" s="18" t="s">
        <v>14479</v>
      </c>
      <c r="D1159" s="5" t="str">
        <f ca="1">IFERROR(__xludf.DUMMYFUNCTION("GOOGLETRANSLATE(B1159,""ja"",""vi"")"),"El")</f>
        <v>El</v>
      </c>
      <c r="E1159" s="5" t="str">
        <f ca="1">IFERROR(__xludf.DUMMYFUNCTION("GOOGLETRANSLATE(C1159,""ja"",""vi"")"),"Đấu giá&gt; Thời trang&gt; Thời trang nữ&gt; quần, quần&gt; El")</f>
        <v>Đấu giá&gt; Thời trang&gt; Thời trang nữ&gt; quần, quần&gt; El</v>
      </c>
      <c r="F1159" t="str">
        <f t="shared" ca="1" si="18"/>
        <v>"2084028101" : "El",</v>
      </c>
    </row>
    <row r="1160" spans="1:6" ht="15.75" customHeight="1">
      <c r="A1160" s="18">
        <v>2084028102</v>
      </c>
      <c r="B1160" s="18" t="s">
        <v>9475</v>
      </c>
      <c r="C1160" s="18" t="s">
        <v>14484</v>
      </c>
      <c r="D1160" s="5" t="str">
        <f ca="1">IFERROR(__xludf.DUMMYFUNCTION("GOOGLETRANSLATE(B1160,""ja"",""vi"")"),"Hermes")</f>
        <v>Hermes</v>
      </c>
      <c r="E1160" s="5" t="str">
        <f ca="1">IFERROR(__xludf.DUMMYFUNCTION("GOOGLETRANSLATE(C1160,""ja"",""vi"")"),"Đấu giá&gt; Thời trang&gt; Thời trang nữ&gt; quần, quần&gt; Hermes")</f>
        <v>Đấu giá&gt; Thời trang&gt; Thời trang nữ&gt; quần, quần&gt; Hermes</v>
      </c>
      <c r="F1160" t="str">
        <f t="shared" ca="1" si="18"/>
        <v>"2084028102" : "Hermes",</v>
      </c>
    </row>
    <row r="1161" spans="1:6" ht="15.75" customHeight="1">
      <c r="A1161" s="18">
        <v>2084028103</v>
      </c>
      <c r="B1161" s="18" t="s">
        <v>9537</v>
      </c>
      <c r="C1161" s="18" t="s">
        <v>14486</v>
      </c>
      <c r="D1161" s="5" t="str">
        <f ca="1">IFERROR(__xludf.DUMMYFUNCTION("GOOGLETRANSLATE(B1161,""ja"",""vi"")"),"cộng đồng ozone")</f>
        <v>cộng đồng ozone</v>
      </c>
      <c r="E1161" s="5" t="str">
        <f ca="1">IFERROR(__xludf.DUMMYFUNCTION("GOOGLETRANSLATE(C1161,""ja"",""vi"")"),"Đấu giá&gt; Thời trang&gt; thời trang&gt; quần, quần&gt; cộng đồng ozone nữ")</f>
        <v>Đấu giá&gt; Thời trang&gt; thời trang&gt; quần, quần&gt; cộng đồng ozone nữ</v>
      </c>
      <c r="F1161" t="str">
        <f t="shared" ca="1" si="18"/>
        <v>"2084028103" : "cộng đồng ozone",</v>
      </c>
    </row>
    <row r="1162" spans="1:6" ht="15.75" customHeight="1">
      <c r="A1162" s="18">
        <v>2084028104</v>
      </c>
      <c r="B1162" s="18" t="s">
        <v>9633</v>
      </c>
      <c r="C1162" s="18" t="s">
        <v>14490</v>
      </c>
      <c r="D1162" s="5" t="str">
        <f ca="1">IFERROR(__xludf.DUMMYFUNCTION("GOOGLETRANSLATE(B1162,""ja"",""vi"")"),"Kapalua")</f>
        <v>Kapalua</v>
      </c>
      <c r="E1162" s="5" t="str">
        <f ca="1">IFERROR(__xludf.DUMMYFUNCTION("GOOGLETRANSLATE(C1162,""ja"",""vi"")"),"Đấu giá&gt; Thời trang&gt; Thời trang nữ&gt; quần, quần&gt; Kapalua")</f>
        <v>Đấu giá&gt; Thời trang&gt; Thời trang nữ&gt; quần, quần&gt; Kapalua</v>
      </c>
      <c r="F1162" t="str">
        <f t="shared" ca="1" si="18"/>
        <v>"2084028104" : "Kapalua",</v>
      </c>
    </row>
    <row r="1163" spans="1:6" ht="15.75" customHeight="1">
      <c r="A1163" s="18">
        <v>2084028105</v>
      </c>
      <c r="B1163" s="18" t="s">
        <v>9751</v>
      </c>
      <c r="C1163" s="18" t="s">
        <v>14494</v>
      </c>
      <c r="D1163" s="5" t="str">
        <f ca="1">IFERROR(__xludf.DUMMYFUNCTION("GOOGLETRANSLATE(B1163,""ja"",""vi"")"),"khoảng trống")</f>
        <v>khoảng trống</v>
      </c>
      <c r="E1163" s="5" t="str">
        <f ca="1">IFERROR(__xludf.DUMMYFUNCTION("GOOGLETRANSLATE(C1163,""ja"",""vi"")"),"Đấu giá&gt; Thời trang&gt; Phụ nữ thời trang&gt; quần, quần&gt; khoảng cách")</f>
        <v>Đấu giá&gt; Thời trang&gt; Phụ nữ thời trang&gt; quần, quần&gt; khoảng cách</v>
      </c>
      <c r="F1163" t="str">
        <f t="shared" ca="1" si="18"/>
        <v>"2084028105" : "khoảng trống",</v>
      </c>
    </row>
    <row r="1164" spans="1:6" ht="15.75" customHeight="1">
      <c r="A1164" s="18">
        <v>2084028107</v>
      </c>
      <c r="B1164" s="18" t="s">
        <v>9858</v>
      </c>
      <c r="C1164" s="18" t="s">
        <v>14496</v>
      </c>
      <c r="D1164" s="5" t="str">
        <f ca="1">IFERROR(__xludf.DUMMYFUNCTION("GOOGLETRANSLATE(B1164,""ja"",""vi"")"),"Christian Dior")</f>
        <v>Christian Dior</v>
      </c>
      <c r="E1164" s="5" t="str">
        <f ca="1">IFERROR(__xludf.DUMMYFUNCTION("GOOGLETRANSLATE(C1164,""ja"",""vi"")"),"Đấu giá&gt; Thời trang&gt; Thời trang nữ&gt; quần, quần&gt; Christian Dior")</f>
        <v>Đấu giá&gt; Thời trang&gt; Thời trang nữ&gt; quần, quần&gt; Christian Dior</v>
      </c>
      <c r="F1164" t="str">
        <f t="shared" ca="1" si="18"/>
        <v>"2084028107" : "Christian Dior",</v>
      </c>
    </row>
    <row r="1165" spans="1:6" ht="15.75" customHeight="1">
      <c r="A1165" s="18">
        <v>2084028108</v>
      </c>
      <c r="B1165" s="18" t="s">
        <v>9921</v>
      </c>
      <c r="C1165" s="18" t="s">
        <v>14497</v>
      </c>
      <c r="D1165" s="5" t="str">
        <f ca="1">IFERROR(__xludf.DUMMYFUNCTION("GOOGLETRANSLATE(B1165,""ja"",""vi"")"),"Courreges")</f>
        <v>Courreges</v>
      </c>
      <c r="E1165" s="5" t="str">
        <f ca="1">IFERROR(__xludf.DUMMYFUNCTION("GOOGLETRANSLATE(C1165,""ja"",""vi"")"),"Đấu giá&gt; thời trang&gt; quần, quần&gt; Courreges thời trang&gt; Phụ nữ")</f>
        <v>Đấu giá&gt; thời trang&gt; quần, quần&gt; Courreges thời trang&gt; Phụ nữ</v>
      </c>
      <c r="F1165" t="str">
        <f t="shared" ca="1" si="18"/>
        <v>"2084028108" : "Courreges",</v>
      </c>
    </row>
    <row r="1166" spans="1:6" ht="15.75" customHeight="1">
      <c r="A1166" s="18">
        <v>2084028106</v>
      </c>
      <c r="B1166" s="18" t="s">
        <v>9815</v>
      </c>
      <c r="C1166" s="18" t="s">
        <v>14498</v>
      </c>
      <c r="D1166" s="5" t="str">
        <f ca="1">IFERROR(__xludf.DUMMYFUNCTION("GOOGLETRANSLATE(B1166,""ja"",""vi"")"),"Gucci")</f>
        <v>Gucci</v>
      </c>
      <c r="E1166" s="5" t="str">
        <f ca="1">IFERROR(__xludf.DUMMYFUNCTION("GOOGLETRANSLATE(C1166,""ja"",""vi"")"),"Đấu giá&gt; Thời trang&gt; Thời trang nữ&gt; quần, quần&gt; Gucci")</f>
        <v>Đấu giá&gt; Thời trang&gt; Thời trang nữ&gt; quần, quần&gt; Gucci</v>
      </c>
      <c r="F1166" t="str">
        <f t="shared" ca="1" si="18"/>
        <v>"2084028106" : "Gucci",</v>
      </c>
    </row>
    <row r="1167" spans="1:6" ht="15.75" customHeight="1">
      <c r="A1167" s="18">
        <v>2084028109</v>
      </c>
      <c r="B1167" s="18" t="s">
        <v>10020</v>
      </c>
      <c r="C1167" s="18" t="s">
        <v>14499</v>
      </c>
      <c r="D1167" s="5" t="str">
        <f ca="1">IFERROR(__xludf.DUMMYFUNCTION("GOOGLETRANSLATE(B1167,""ja"",""vi"")"),"Kokoruru")</f>
        <v>Kokoruru</v>
      </c>
      <c r="E1167" s="5" t="str">
        <f ca="1">IFERROR(__xludf.DUMMYFUNCTION("GOOGLETRANSLATE(C1167,""ja"",""vi"")"),"Đấu giá&gt; Thời trang&gt; Thời trang nữ&gt; quần, quần&gt; Kokoruru")</f>
        <v>Đấu giá&gt; Thời trang&gt; Thời trang nữ&gt; quần, quần&gt; Kokoruru</v>
      </c>
      <c r="F1167" t="str">
        <f t="shared" ca="1" si="18"/>
        <v>"2084028109" : "Kokoruru",</v>
      </c>
    </row>
    <row r="1168" spans="1:6" ht="15.75" customHeight="1">
      <c r="A1168" s="18">
        <v>2084028110</v>
      </c>
      <c r="B1168" s="18" t="s">
        <v>10041</v>
      </c>
      <c r="C1168" s="18" t="s">
        <v>14501</v>
      </c>
      <c r="D1168" s="5" t="str">
        <f ca="1">IFERROR(__xludf.DUMMYFUNCTION("GOOGLETRANSLATE(B1168,""ja"",""vi"")"),"Com de chế độ")</f>
        <v>Com de chế độ</v>
      </c>
      <c r="E1168" s="5" t="str">
        <f ca="1">IFERROR(__xludf.DUMMYFUNCTION("GOOGLETRANSLATE(C1168,""ja"",""vi"")"),"Đấu giá&gt; Thời trang&gt; Phụ nữ thời trang&gt; quần, quần&gt; com de chế độ")</f>
        <v>Đấu giá&gt; Thời trang&gt; Phụ nữ thời trang&gt; quần, quần&gt; com de chế độ</v>
      </c>
      <c r="F1168" t="str">
        <f t="shared" ca="1" si="18"/>
        <v>"2084028110" : "Com de chế độ",</v>
      </c>
    </row>
    <row r="1169" spans="1:6" ht="15.75" customHeight="1">
      <c r="A1169" s="18">
        <v>2084028111</v>
      </c>
      <c r="B1169" s="18" t="s">
        <v>10044</v>
      </c>
      <c r="C1169" s="18" t="s">
        <v>14503</v>
      </c>
      <c r="D1169" s="5" t="str">
        <f ca="1">IFERROR(__xludf.DUMMYFUNCTION("GOOGLETRANSLATE(B1169,""ja"",""vi"")"),"Comme des Garcons")</f>
        <v>Comme des Garcons</v>
      </c>
      <c r="E1169" s="5" t="str">
        <f ca="1">IFERROR(__xludf.DUMMYFUNCTION("GOOGLETRANSLATE(C1169,""ja"",""vi"")"),"Đấu giá&gt; Thời trang&gt; Phụ nữ thời trang&gt; quần, quần&gt; Comme des Garcons")</f>
        <v>Đấu giá&gt; Thời trang&gt; Phụ nữ thời trang&gt; quần, quần&gt; Comme des Garcons</v>
      </c>
      <c r="F1169" t="str">
        <f t="shared" ca="1" si="18"/>
        <v>"2084028111" : "Comme des Garcons",</v>
      </c>
    </row>
    <row r="1170" spans="1:6" ht="15.75" customHeight="1">
      <c r="A1170" s="18">
        <v>2084028112</v>
      </c>
      <c r="B1170" s="18" t="s">
        <v>10229</v>
      </c>
      <c r="C1170" s="18" t="s">
        <v>14505</v>
      </c>
      <c r="D1170" s="5" t="str">
        <f ca="1">IFERROR(__xludf.DUMMYFUNCTION("GOOGLETRANSLATE(B1170,""ja"",""vi"")"),"tàu")</f>
        <v>tàu</v>
      </c>
      <c r="E1170" s="5" t="str">
        <f ca="1">IFERROR(__xludf.DUMMYFUNCTION("GOOGLETRANSLATE(C1170,""ja"",""vi"")"),"Đấu giá&gt; thời trang&gt; quần, quần&gt; Tàu Thời trang&gt; Phụ nữ")</f>
        <v>Đấu giá&gt; thời trang&gt; quần, quần&gt; Tàu Thời trang&gt; Phụ nữ</v>
      </c>
      <c r="F1170" t="str">
        <f t="shared" ca="1" si="18"/>
        <v>"2084028112" : "tàu",</v>
      </c>
    </row>
    <row r="1171" spans="1:6" ht="15.75" customHeight="1">
      <c r="A1171" s="18">
        <v>2084028113</v>
      </c>
      <c r="B1171" s="18" t="s">
        <v>10288</v>
      </c>
      <c r="C1171" s="18" t="s">
        <v>14507</v>
      </c>
      <c r="D1171" s="5" t="str">
        <f ca="1">IFERROR(__xludf.DUMMYFUNCTION("GOOGLETRANSLATE(B1171,""ja"",""vi"")"),"Chanel")</f>
        <v>Chanel</v>
      </c>
      <c r="E1171" s="5" t="str">
        <f ca="1">IFERROR(__xludf.DUMMYFUNCTION("GOOGLETRANSLATE(C1171,""ja"",""vi"")"),"Đấu giá&gt; Thời trang&gt; Thời trang nữ&gt; quần, quần&gt; Chanel")</f>
        <v>Đấu giá&gt; Thời trang&gt; Thời trang nữ&gt; quần, quần&gt; Chanel</v>
      </c>
      <c r="F1171" t="str">
        <f t="shared" ca="1" si="18"/>
        <v>"2084028113" : "Chanel",</v>
      </c>
    </row>
    <row r="1172" spans="1:6" ht="15.75" customHeight="1">
      <c r="A1172" s="18">
        <v>2084028114</v>
      </c>
      <c r="B1172" s="18" t="s">
        <v>10446</v>
      </c>
      <c r="C1172" s="18" t="s">
        <v>14509</v>
      </c>
      <c r="D1172" s="5" t="str">
        <f ca="1">IFERROR(__xludf.DUMMYFUNCTION("GOOGLETRANSLATE(B1172,""ja"",""vi"")"),"Jill Stuart")</f>
        <v>Jill Stuart</v>
      </c>
      <c r="E1172" s="5" t="str">
        <f ca="1">IFERROR(__xludf.DUMMYFUNCTION("GOOGLETRANSLATE(C1172,""ja"",""vi"")"),"Đấu giá&gt; Thời trang&gt; Thời trang nữ&gt; quần, quần&gt; Jill Stuart")</f>
        <v>Đấu giá&gt; Thời trang&gt; Thời trang nữ&gt; quần, quần&gt; Jill Stuart</v>
      </c>
      <c r="F1172" t="str">
        <f t="shared" ca="1" si="18"/>
        <v>"2084028114" : "Jill Stuart",</v>
      </c>
    </row>
    <row r="1173" spans="1:6" ht="15.75" customHeight="1">
      <c r="A1173" s="18">
        <v>2084028115</v>
      </c>
      <c r="B1173" s="18" t="s">
        <v>10476</v>
      </c>
      <c r="C1173" s="18" t="s">
        <v>14510</v>
      </c>
      <c r="D1173" s="5" t="str">
        <f ca="1">IFERROR(__xludf.DUMMYFUNCTION("GOOGLETRANSLATE(B1173,""ja"",""vi"")"),"Zucca")</f>
        <v>Zucca</v>
      </c>
      <c r="E1173" s="5" t="str">
        <f ca="1">IFERROR(__xludf.DUMMYFUNCTION("GOOGLETRANSLATE(C1173,""ja"",""vi"")"),"Đấu giá&gt; Thời trang&gt; Thời trang nữ&gt; quần, quần&gt; Zucca")</f>
        <v>Đấu giá&gt; Thời trang&gt; Thời trang nữ&gt; quần, quần&gt; Zucca</v>
      </c>
      <c r="F1173" t="str">
        <f t="shared" ca="1" si="18"/>
        <v>"2084028115" : "Zucca",</v>
      </c>
    </row>
    <row r="1174" spans="1:6" ht="15.75" customHeight="1">
      <c r="A1174" s="18">
        <v>2084028116</v>
      </c>
      <c r="B1174" s="18" t="s">
        <v>10601</v>
      </c>
      <c r="C1174" s="18" t="s">
        <v>14511</v>
      </c>
      <c r="D1174" s="5" t="str">
        <f ca="1">IFERROR(__xludf.DUMMYFUNCTION("GOOGLETRANSLATE(B1174,""ja"",""vi"")"),"Cecil McBee")</f>
        <v>Cecil McBee</v>
      </c>
      <c r="E1174" s="5" t="str">
        <f ca="1">IFERROR(__xludf.DUMMYFUNCTION("GOOGLETRANSLATE(C1174,""ja"",""vi"")"),"Đấu giá&gt; Thời trang&gt; Thời trang nữ&gt; quần, quần&gt; Cecil McBee")</f>
        <v>Đấu giá&gt; Thời trang&gt; Thời trang nữ&gt; quần, quần&gt; Cecil McBee</v>
      </c>
      <c r="F1174" t="str">
        <f t="shared" ca="1" si="18"/>
        <v>"2084028116" : "Cecil McBee",</v>
      </c>
    </row>
    <row r="1175" spans="1:6" ht="15.75" customHeight="1">
      <c r="A1175" s="18">
        <v>2084028117</v>
      </c>
      <c r="B1175" s="18" t="s">
        <v>13486</v>
      </c>
      <c r="C1175" s="18" t="s">
        <v>14512</v>
      </c>
      <c r="D1175" s="5" t="str">
        <f ca="1">IFERROR(__xludf.DUMMYFUNCTION("GOOGLETRANSLATE(B1175,""ja"",""vi"")"),"Donna Karan, DKNY")</f>
        <v>Donna Karan, DKNY</v>
      </c>
      <c r="E1175" s="5" t="str">
        <f ca="1">IFERROR(__xludf.DUMMYFUNCTION("GOOGLETRANSLATE(C1175,""ja"",""vi"")"),"Đấu giá&gt; Thời trang&gt; Phụ nữ thời trang&gt; quần, quần&gt; Donna Karan, DKNY")</f>
        <v>Đấu giá&gt; Thời trang&gt; Phụ nữ thời trang&gt; quần, quần&gt; Donna Karan, DKNY</v>
      </c>
      <c r="F1175" t="str">
        <f t="shared" ca="1" si="18"/>
        <v>"2084028117" : "Donna Karan, DKNY",</v>
      </c>
    </row>
    <row r="1176" spans="1:6" ht="15.75" customHeight="1">
      <c r="A1176" s="18">
        <v>2084028118</v>
      </c>
      <c r="B1176" s="18" t="s">
        <v>10819</v>
      </c>
      <c r="C1176" s="18" t="s">
        <v>14513</v>
      </c>
      <c r="D1176" s="5" t="str">
        <f ca="1">IFERROR(__xludf.DUMMYFUNCTION("GOOGLETRANSLATE(B1176,""ja"",""vi"")"),"Tsumori Chisato")</f>
        <v>Tsumori Chisato</v>
      </c>
      <c r="E1176" s="5" t="str">
        <f ca="1">IFERROR(__xludf.DUMMYFUNCTION("GOOGLETRANSLATE(C1176,""ja"",""vi"")"),"Đấu giá&gt; Thời trang&gt; Thời trang nữ&gt; quần, quần&gt; Tsumori Chisato")</f>
        <v>Đấu giá&gt; Thời trang&gt; Thời trang nữ&gt; quần, quần&gt; Tsumori Chisato</v>
      </c>
      <c r="F1176" t="str">
        <f t="shared" ca="1" si="18"/>
        <v>"2084028118" : "Tsumori Chisato",</v>
      </c>
    </row>
    <row r="1177" spans="1:6" ht="15.75" customHeight="1">
      <c r="A1177" s="18">
        <v>2084028119</v>
      </c>
      <c r="B1177" s="18" t="s">
        <v>11150</v>
      </c>
      <c r="C1177" s="18" t="s">
        <v>14514</v>
      </c>
      <c r="D1177" s="5" t="str">
        <f ca="1">IFERROR(__xludf.DUMMYFUNCTION("GOOGLETRANSLATE(B1177,""ja"",""vi"")"),"phế liệu Nai")</f>
        <v>phế liệu Nai</v>
      </c>
      <c r="E1177" s="5" t="str">
        <f ca="1">IFERROR(__xludf.DUMMYFUNCTION("GOOGLETRANSLATE(C1177,""ja"",""vi"")"),"Đấu giá&gt; Thời trang&gt; thời trang&gt; quần, quần&gt; phế liệu Nai nữ")</f>
        <v>Đấu giá&gt; Thời trang&gt; thời trang&gt; quần, quần&gt; phế liệu Nai nữ</v>
      </c>
      <c r="F1177" t="str">
        <f t="shared" ca="1" si="18"/>
        <v>"2084028119" : "phế liệu Nai",</v>
      </c>
    </row>
    <row r="1178" spans="1:6" ht="15.75" customHeight="1">
      <c r="A1178" s="18">
        <v>2084028120</v>
      </c>
      <c r="B1178" s="18" t="s">
        <v>11443</v>
      </c>
      <c r="C1178" s="18" t="s">
        <v>14515</v>
      </c>
      <c r="D1178" s="5" t="str">
        <f ca="1">IFERROR(__xludf.DUMMYFUNCTION("GOOGLETRANSLATE(B1178,""ja"",""vi"")"),"chổ lồi ở cây")</f>
        <v>chổ lồi ở cây</v>
      </c>
      <c r="E1178" s="5" t="str">
        <f ca="1">IFERROR(__xludf.DUMMYFUNCTION("GOOGLETRANSLATE(C1178,""ja"",""vi"")"),"Đấu giá&gt; Thời trang&gt; Thời trang nữ&gt; quần, quần&gt; Burberry")</f>
        <v>Đấu giá&gt; Thời trang&gt; Thời trang nữ&gt; quần, quần&gt; Burberry</v>
      </c>
      <c r="F1178" t="str">
        <f t="shared" ca="1" si="18"/>
        <v>"2084028120" : "chổ lồi ở cây",</v>
      </c>
    </row>
    <row r="1179" spans="1:6" ht="15.75" customHeight="1">
      <c r="A1179" s="18">
        <v>2084028122</v>
      </c>
      <c r="B1179" s="18" t="s">
        <v>11611</v>
      </c>
      <c r="C1179" s="18" t="s">
        <v>14516</v>
      </c>
      <c r="D1179" s="5" t="str">
        <f ca="1">IFERROR(__xludf.DUMMYFUNCTION("GOOGLETRANSLATE(B1179,""ja"",""vi"")"),"Hysteric Glamour")</f>
        <v>Hysteric Glamour</v>
      </c>
      <c r="E1179" s="5" t="str">
        <f ca="1">IFERROR(__xludf.DUMMYFUNCTION("GOOGLETRANSLATE(C1179,""ja"",""vi"")"),"Đấu giá&gt; Thời trang&gt; Thời trang nữ&gt; quần, quần&gt; Hysteric Glamour")</f>
        <v>Đấu giá&gt; Thời trang&gt; Thời trang nữ&gt; quần, quần&gt; Hysteric Glamour</v>
      </c>
      <c r="F1179" t="str">
        <f t="shared" ca="1" si="18"/>
        <v>"2084028122" : "Hysteric Glamour",</v>
      </c>
    </row>
    <row r="1180" spans="1:6" ht="15.75" customHeight="1">
      <c r="A1180" s="18">
        <v>2084028121</v>
      </c>
      <c r="B1180" s="18" t="s">
        <v>11683</v>
      </c>
      <c r="C1180" s="18" t="s">
        <v>14517</v>
      </c>
      <c r="D1180" s="5" t="str">
        <f ca="1">IFERROR(__xludf.DUMMYFUNCTION("GOOGLETRANSLATE(B1180,""ja"",""vi"")"),"DẦM")</f>
        <v>DẦM</v>
      </c>
      <c r="E1180" s="5" t="str">
        <f ca="1">IFERROR(__xludf.DUMMYFUNCTION("GOOGLETRANSLATE(C1180,""ja"",""vi"")"),"Đấu giá&gt; Thời trang&gt; Phụ nữ thời trang&gt; quần, quần&gt; Dầm")</f>
        <v>Đấu giá&gt; Thời trang&gt; Phụ nữ thời trang&gt; quần, quần&gt; Dầm</v>
      </c>
      <c r="F1180" t="str">
        <f t="shared" ca="1" si="18"/>
        <v>"2084028121" : "DẦM",</v>
      </c>
    </row>
    <row r="1181" spans="1:6" ht="15.75" customHeight="1">
      <c r="A1181" s="18">
        <v>2084028123</v>
      </c>
      <c r="B1181" s="18" t="s">
        <v>11668</v>
      </c>
      <c r="C1181" s="18" t="s">
        <v>14518</v>
      </c>
      <c r="D1181" s="5" t="str">
        <f ca="1">IFERROR(__xludf.DUMMYFUNCTION("GOOGLETRANSLATE(B1181,""ja"",""vi"")"),"Bibayu")</f>
        <v>Bibayu</v>
      </c>
      <c r="E1181" s="5" t="str">
        <f ca="1">IFERROR(__xludf.DUMMYFUNCTION("GOOGLETRANSLATE(C1181,""ja"",""vi"")"),"Đấu giá&gt; Thời trang&gt; Thời trang nữ&gt; quần, quần&gt; Bibayu")</f>
        <v>Đấu giá&gt; Thời trang&gt; Thời trang nữ&gt; quần, quần&gt; Bibayu</v>
      </c>
      <c r="F1181" t="str">
        <f t="shared" ca="1" si="18"/>
        <v>"2084028123" : "Bibayu",</v>
      </c>
    </row>
    <row r="1182" spans="1:6" ht="15.75" customHeight="1">
      <c r="A1182" s="18">
        <v>2084028124</v>
      </c>
      <c r="B1182" s="18" t="s">
        <v>11748</v>
      </c>
      <c r="C1182" s="18" t="s">
        <v>14519</v>
      </c>
      <c r="D1182" s="5" t="str">
        <f ca="1">IFERROR(__xludf.DUMMYFUNCTION("GOOGLETRANSLATE(B1182,""ja"",""vi"")"),"Pinky &amp; Dianne")</f>
        <v>Pinky &amp; Dianne</v>
      </c>
      <c r="E1182" s="5" t="str">
        <f ca="1">IFERROR(__xludf.DUMMYFUNCTION("GOOGLETRANSLATE(C1182,""ja"",""vi"")"),"Đấu giá&gt; Thời trang&gt; Phụ nữ thời trang&gt; quần, quần&gt; Pinky &amp; Dianne")</f>
        <v>Đấu giá&gt; Thời trang&gt; Phụ nữ thời trang&gt; quần, quần&gt; Pinky &amp; Dianne</v>
      </c>
      <c r="F1182" t="str">
        <f t="shared" ca="1" si="18"/>
        <v>"2084028124" : "Pinky &amp; Dianne",</v>
      </c>
    </row>
    <row r="1183" spans="1:6" ht="15.75" customHeight="1">
      <c r="A1183" s="18">
        <v>2084028125</v>
      </c>
      <c r="B1183" s="18" t="s">
        <v>11762</v>
      </c>
      <c r="C1183" s="18" t="s">
        <v>14520</v>
      </c>
      <c r="D1183" s="5" t="str">
        <f ca="1">IFERROR(__xludf.DUMMYFUNCTION("GOOGLETRANSLATE(B1183,""ja"",""vi"")"),"nhà màu hồng")</f>
        <v>nhà màu hồng</v>
      </c>
      <c r="E1183" s="5" t="str">
        <f ca="1">IFERROR(__xludf.DUMMYFUNCTION("GOOGLETRANSLATE(C1183,""ja"",""vi"")"),"Đấu giá&gt; Thời trang&gt; Thời trang nữ&gt; quần, quần&gt; Pink House")</f>
        <v>Đấu giá&gt; Thời trang&gt; Thời trang nữ&gt; quần, quần&gt; Pink House</v>
      </c>
      <c r="F1183" t="str">
        <f t="shared" ca="1" si="18"/>
        <v>"2084028125" : "nhà màu hồng",</v>
      </c>
    </row>
    <row r="1184" spans="1:6" ht="15.75" customHeight="1">
      <c r="A1184" s="18">
        <v>2084028126</v>
      </c>
      <c r="B1184" s="18" t="s">
        <v>11843</v>
      </c>
      <c r="C1184" s="18" t="s">
        <v>14521</v>
      </c>
      <c r="D1184" s="5" t="str">
        <f ca="1">IFERROR(__xludf.DUMMYFUNCTION("GOOGLETRANSLATE(B1184,""ja"",""vi"")"),"Fendi")</f>
        <v>Fendi</v>
      </c>
      <c r="E1184" s="5" t="str">
        <f ca="1">IFERROR(__xludf.DUMMYFUNCTION("GOOGLETRANSLATE(C1184,""ja"",""vi"")"),"Đấu giá&gt; Thời trang&gt; Thời trang nữ&gt; quần, quần&gt; Fendi")</f>
        <v>Đấu giá&gt; Thời trang&gt; Thời trang nữ&gt; quần, quần&gt; Fendi</v>
      </c>
      <c r="F1184" t="str">
        <f t="shared" ca="1" si="18"/>
        <v>"2084028126" : "Fendi",</v>
      </c>
    </row>
    <row r="1185" spans="1:6" ht="15.75" customHeight="1">
      <c r="A1185" s="18">
        <v>2084028127</v>
      </c>
      <c r="B1185" s="18" t="s">
        <v>12025</v>
      </c>
      <c r="C1185" s="18" t="s">
        <v>14522</v>
      </c>
      <c r="D1185" s="5" t="str">
        <f ca="1">IFERROR(__xludf.DUMMYFUNCTION("GOOGLETRANSLATE(B1185,""ja"",""vi"")"),"LABEL TƯ")</f>
        <v>LABEL TƯ</v>
      </c>
      <c r="E1185" s="5" t="str">
        <f ca="1">IFERROR(__xludf.DUMMYFUNCTION("GOOGLETRANSLATE(C1185,""ja"",""vi"")"),"Đấu giá&gt; Thời trang&gt; thời trang&gt; quần, quần&gt; nhãn hiệu riêng của phụ nữ")</f>
        <v>Đấu giá&gt; Thời trang&gt; thời trang&gt; quần, quần&gt; nhãn hiệu riêng của phụ nữ</v>
      </c>
      <c r="F1185" t="str">
        <f t="shared" ca="1" si="18"/>
        <v>"2084028127" : "LABEL TƯ",</v>
      </c>
    </row>
    <row r="1186" spans="1:6" ht="15.75" customHeight="1">
      <c r="A1186" s="18">
        <v>2084028128</v>
      </c>
      <c r="B1186" s="18" t="s">
        <v>12035</v>
      </c>
      <c r="C1186" s="18" t="s">
        <v>14523</v>
      </c>
      <c r="D1186" s="5" t="str">
        <f ca="1">IFERROR(__xludf.DUMMYFUNCTION("GOOGLETRANSLATE(B1186,""ja"",""vi"")"),"Prada")</f>
        <v>Prada</v>
      </c>
      <c r="E1186" s="5" t="str">
        <f ca="1">IFERROR(__xludf.DUMMYFUNCTION("GOOGLETRANSLATE(C1186,""ja"",""vi"")"),"Đấu giá&gt; Thời trang&gt; Thời trang nữ&gt; quần, quần&gt; Prada")</f>
        <v>Đấu giá&gt; Thời trang&gt; Thời trang nữ&gt; quần, quần&gt; Prada</v>
      </c>
      <c r="F1186" t="str">
        <f t="shared" ca="1" si="18"/>
        <v>"2084028128" : "Prada",</v>
      </c>
    </row>
    <row r="1187" spans="1:6" ht="15.75" customHeight="1">
      <c r="A1187" s="18">
        <v>2084028130</v>
      </c>
      <c r="B1187" s="18" t="s">
        <v>12114</v>
      </c>
      <c r="C1187" s="18" t="s">
        <v>14524</v>
      </c>
      <c r="D1187" s="5" t="str">
        <f ca="1">IFERROR(__xludf.DUMMYFUNCTION("GOOGLETRANSLATE(B1187,""ja"",""vi"")"),"Benetton")</f>
        <v>Benetton</v>
      </c>
      <c r="E1187" s="5" t="str">
        <f ca="1">IFERROR(__xludf.DUMMYFUNCTION("GOOGLETRANSLATE(C1187,""ja"",""vi"")"),"Đấu giá&gt; Thời trang&gt; Thời trang nữ&gt; quần, quần&gt; Benetton")</f>
        <v>Đấu giá&gt; Thời trang&gt; Thời trang nữ&gt; quần, quần&gt; Benetton</v>
      </c>
      <c r="F1187" t="str">
        <f t="shared" ca="1" si="18"/>
        <v>"2084028130" : "Benetton",</v>
      </c>
    </row>
    <row r="1188" spans="1:6" ht="15.75" customHeight="1">
      <c r="A1188" s="18">
        <v>2084028131</v>
      </c>
      <c r="B1188" s="18" t="s">
        <v>12312</v>
      </c>
      <c r="C1188" s="18" t="s">
        <v>14525</v>
      </c>
      <c r="D1188" s="5" t="str">
        <f ca="1">IFERROR(__xludf.DUMMYFUNCTION("GOOGLETRANSLATE(B1188,""ja"",""vi"")"),"Moussy")</f>
        <v>Moussy</v>
      </c>
      <c r="E1188" s="5" t="str">
        <f ca="1">IFERROR(__xludf.DUMMYFUNCTION("GOOGLETRANSLATE(C1188,""ja"",""vi"")"),"Đấu giá&gt; Thời trang&gt; Phụ nữ thời trang&gt; quần, quần&gt; Moussy")</f>
        <v>Đấu giá&gt; Thời trang&gt; Phụ nữ thời trang&gt; quần, quần&gt; Moussy</v>
      </c>
      <c r="F1188" t="str">
        <f t="shared" ca="1" si="18"/>
        <v>"2084028131" : "Moussy",</v>
      </c>
    </row>
    <row r="1189" spans="1:6" ht="15.75" customHeight="1">
      <c r="A1189" s="18">
        <v>2084028132</v>
      </c>
      <c r="B1189" s="18" t="s">
        <v>12442</v>
      </c>
      <c r="C1189" s="18" t="s">
        <v>14526</v>
      </c>
      <c r="D1189" s="5" t="str">
        <f ca="1">IFERROR(__xludf.DUMMYFUNCTION("GOOGLETRANSLATE(B1189,""ja"",""vi"")"),"Mijen")</f>
        <v>Mijen</v>
      </c>
      <c r="E1189" s="5" t="str">
        <f ca="1">IFERROR(__xludf.DUMMYFUNCTION("GOOGLETRANSLATE(C1189,""ja"",""vi"")"),"Đấu giá&gt; Thời trang&gt; Thời trang nữ&gt; quần, quần&gt; Mijen")</f>
        <v>Đấu giá&gt; Thời trang&gt; Thời trang nữ&gt; quần, quần&gt; Mijen</v>
      </c>
      <c r="F1189" t="str">
        <f t="shared" ca="1" si="18"/>
        <v>"2084028132" : "Mijen",</v>
      </c>
    </row>
    <row r="1190" spans="1:6" ht="15.75" customHeight="1">
      <c r="A1190" s="18">
        <v>2084028133</v>
      </c>
      <c r="B1190" s="18" t="s">
        <v>12465</v>
      </c>
      <c r="C1190" s="18" t="s">
        <v>14527</v>
      </c>
      <c r="D1190" s="5" t="str">
        <f ca="1">IFERROR(__xludf.DUMMYFUNCTION("GOOGLETRANSLATE(B1190,""ja"",""vi"")"),"Michel Klang")</f>
        <v>Michel Klang</v>
      </c>
      <c r="E1190" s="5" t="str">
        <f ca="1">IFERROR(__xludf.DUMMYFUNCTION("GOOGLETRANSLATE(C1190,""ja"",""vi"")"),"Đấu giá&gt; Thời trang&gt; Thời trang nữ&gt; quần, quần&gt; Michel Klang")</f>
        <v>Đấu giá&gt; Thời trang&gt; Thời trang nữ&gt; quần, quần&gt; Michel Klang</v>
      </c>
      <c r="F1190" t="str">
        <f t="shared" ca="1" si="18"/>
        <v>"2084028133" : "Michel Klang",</v>
      </c>
    </row>
    <row r="1191" spans="1:6" ht="15.75" customHeight="1">
      <c r="A1191" s="18">
        <v>2084028134</v>
      </c>
      <c r="B1191" s="18" t="s">
        <v>12763</v>
      </c>
      <c r="C1191" s="18" t="s">
        <v>14528</v>
      </c>
      <c r="D1191" s="5" t="str">
        <f ca="1">IFERROR(__xludf.DUMMYFUNCTION("GOOGLETRANSLATE(B1191,""ja"",""vi"")"),"Rabuboto")</f>
        <v>Rabuboto</v>
      </c>
      <c r="E1191" s="5" t="str">
        <f ca="1">IFERROR(__xludf.DUMMYFUNCTION("GOOGLETRANSLATE(C1191,""ja"",""vi"")"),"Đấu giá&gt; Thời trang&gt; Phụ nữ thời trang&gt; quần, quần&gt; Rabuboto")</f>
        <v>Đấu giá&gt; Thời trang&gt; Phụ nữ thời trang&gt; quần, quần&gt; Rabuboto</v>
      </c>
      <c r="F1191" t="str">
        <f t="shared" ca="1" si="18"/>
        <v>"2084028134" : "Rabuboto",</v>
      </c>
    </row>
    <row r="1192" spans="1:6" ht="15.75" customHeight="1">
      <c r="A1192" s="18">
        <v>2084028135</v>
      </c>
      <c r="B1192" s="18" t="s">
        <v>12786</v>
      </c>
      <c r="C1192" s="18" t="s">
        <v>14529</v>
      </c>
      <c r="D1192" s="5" t="str">
        <f ca="1">IFERROR(__xludf.DUMMYFUNCTION("GOOGLETRANSLATE(B1192,""ja"",""vi"")"),"Ralph Lauren")</f>
        <v>Ralph Lauren</v>
      </c>
      <c r="E1192" s="5" t="str">
        <f ca="1">IFERROR(__xludf.DUMMYFUNCTION("GOOGLETRANSLATE(C1192,""ja"",""vi"")"),"Đấu giá&gt; Thời trang&gt; Thời trang nữ&gt; quần, quần&gt; Ralph Lauren")</f>
        <v>Đấu giá&gt; Thời trang&gt; Thời trang nữ&gt; quần, quần&gt; Ralph Lauren</v>
      </c>
      <c r="F1192" t="str">
        <f t="shared" ca="1" si="18"/>
        <v>"2084028135" : "Ralph Lauren",</v>
      </c>
    </row>
    <row r="1193" spans="1:6" ht="15.75" customHeight="1">
      <c r="A1193" s="18">
        <v>2084028137</v>
      </c>
      <c r="B1193" s="18" t="s">
        <v>13116</v>
      </c>
      <c r="C1193" s="18" t="s">
        <v>14530</v>
      </c>
      <c r="D1193" s="5" t="str">
        <f ca="1">IFERROR(__xludf.DUMMYFUNCTION("GOOGLETRANSLATE(B1193,""ja"",""vi"")"),"bước chạy dài")</f>
        <v>bước chạy dài</v>
      </c>
      <c r="E1193" s="5" t="str">
        <f ca="1">IFERROR(__xludf.DUMMYFUNCTION("GOOGLETRANSLATE(C1193,""ja"",""vi"")"),"Đấu giá&gt; Thời trang&gt; Thời trang nữ&gt; quần, quần&gt; Lope")</f>
        <v>Đấu giá&gt; Thời trang&gt; Thời trang nữ&gt; quần, quần&gt; Lope</v>
      </c>
      <c r="F1193" t="str">
        <f t="shared" ca="1" si="18"/>
        <v>"2084028137" : "bước chạy dài",</v>
      </c>
    </row>
    <row r="1194" spans="1:6" ht="15.75" customHeight="1">
      <c r="A1194" s="18">
        <v>2084028098</v>
      </c>
      <c r="B1194" s="18" t="s">
        <v>13594</v>
      </c>
      <c r="C1194" s="18" t="s">
        <v>14531</v>
      </c>
      <c r="D1194" s="5" t="str">
        <f ca="1">IFERROR(__xludf.DUMMYFUNCTION("GOOGLETRANSLATE(B1194,""ja"",""vi"")"),"Vivienne Westwood")</f>
        <v>Vivienne Westwood</v>
      </c>
      <c r="E1194" s="5" t="str">
        <f ca="1">IFERROR(__xludf.DUMMYFUNCTION("GOOGLETRANSLATE(C1194,""ja"",""vi"")"),"Đấu giá&gt; Thời trang&gt; Thời trang nữ&gt; quần, quần&gt; Vivienne Westwood")</f>
        <v>Đấu giá&gt; Thời trang&gt; Thời trang nữ&gt; quần, quần&gt; Vivienne Westwood</v>
      </c>
      <c r="F1194" t="str">
        <f t="shared" ca="1" si="18"/>
        <v>"2084028098" : "Vivienne Westwood",</v>
      </c>
    </row>
    <row r="1195" spans="1:6" ht="15.75" customHeight="1">
      <c r="A1195" s="18">
        <v>2084028139</v>
      </c>
      <c r="B1195" s="18" t="s">
        <v>9826</v>
      </c>
      <c r="C1195" s="18" t="s">
        <v>14532</v>
      </c>
      <c r="D1195" s="5" t="str">
        <f ca="1">IFERROR(__xludf.DUMMYFUNCTION("GOOGLETRANSLATE(B1195,""ja"",""vi"")"),"bộ")</f>
        <v>bộ</v>
      </c>
      <c r="E1195" s="5" t="str">
        <f ca="1">IFERROR(__xludf.DUMMYFUNCTION("GOOGLETRANSLATE(C1195,""ja"",""vi"")"),"Đấu giá&gt; Thời trang&gt; Phụ nữ thời trang&gt; quần, quần&gt; Suite")</f>
        <v>Đấu giá&gt; Thời trang&gt; Phụ nữ thời trang&gt; quần, quần&gt; Suite</v>
      </c>
      <c r="F1195" t="str">
        <f t="shared" ca="1" si="18"/>
        <v>"2084028139" : "bộ",</v>
      </c>
    </row>
    <row r="1196" spans="1:6" ht="15.75" customHeight="1">
      <c r="A1196" s="18">
        <v>2084050610</v>
      </c>
      <c r="B1196" s="18" t="s">
        <v>11773</v>
      </c>
      <c r="C1196" s="18" t="s">
        <v>14533</v>
      </c>
      <c r="D1196" s="5" t="str">
        <f ca="1">IFERROR(__xludf.DUMMYFUNCTION("GOOGLETRANSLATE(B1196,""ja"",""vi"")"),"45RPM")</f>
        <v>45RPM</v>
      </c>
      <c r="E1196" s="5" t="str">
        <f ca="1">IFERROR(__xludf.DUMMYFUNCTION("GOOGLETRANSLATE(C1196,""ja"",""vi"")"),"Đấu giá&gt; Thời trang&gt; Phụ nữ thời trang&gt; denim, quần jean&gt; 45RPM")</f>
        <v>Đấu giá&gt; Thời trang&gt; Phụ nữ thời trang&gt; denim, quần jean&gt; 45RPM</v>
      </c>
      <c r="F1196" t="str">
        <f t="shared" ca="1" si="18"/>
        <v>"2084050610" : "45RPM",</v>
      </c>
    </row>
    <row r="1197" spans="1:6" ht="15.75" customHeight="1">
      <c r="A1197" s="18">
        <v>2084056822</v>
      </c>
      <c r="B1197" s="18" t="s">
        <v>14534</v>
      </c>
      <c r="C1197" s="18" t="s">
        <v>14535</v>
      </c>
      <c r="D1197" s="5" t="str">
        <f ca="1">IFERROR(__xludf.DUMMYFUNCTION("GOOGLETRANSLATE(B1197,""ja"",""vi"")"),"D &amp; G")</f>
        <v>D &amp; G</v>
      </c>
      <c r="E1197" s="5" t="str">
        <f ca="1">IFERROR(__xludf.DUMMYFUNCTION("GOOGLETRANSLATE(C1197,""ja"",""vi"")"),"Đấu giá&gt; Thời trang&gt; Phụ nữ thời trang&gt; denim, quần jean&gt; D &amp; G")</f>
        <v>Đấu giá&gt; Thời trang&gt; Phụ nữ thời trang&gt; denim, quần jean&gt; D &amp; G</v>
      </c>
      <c r="F1197" t="str">
        <f t="shared" ca="1" si="18"/>
        <v>"2084056822" : "D &amp; G",</v>
      </c>
    </row>
    <row r="1198" spans="1:6" ht="15.75" customHeight="1">
      <c r="A1198" s="18">
        <v>2084036974</v>
      </c>
      <c r="B1198" s="18" t="s">
        <v>14537</v>
      </c>
      <c r="C1198" s="18" t="s">
        <v>14539</v>
      </c>
      <c r="D1198" s="5" t="str">
        <f ca="1">IFERROR(__xludf.DUMMYFUNCTION("GOOGLETRANSLATE(B1198,""ja"",""vi"")"),"X- gái")</f>
        <v>X- gái</v>
      </c>
      <c r="E1198" s="5" t="str">
        <f ca="1">IFERROR(__xludf.DUMMYFUNCTION("GOOGLETRANSLATE(C1198,""ja"",""vi"")"),"Đấu giá&gt; Thời trang&gt; Thời trang nữ&gt; denim, quần jean&gt; X- gái")</f>
        <v>Đấu giá&gt; Thời trang&gt; Thời trang nữ&gt; denim, quần jean&gt; X- gái</v>
      </c>
      <c r="F1198" t="str">
        <f t="shared" ca="1" si="18"/>
        <v>"2084036974" : "X- gái",</v>
      </c>
    </row>
    <row r="1199" spans="1:6" ht="15.75" customHeight="1">
      <c r="A1199" s="18">
        <v>2084036975</v>
      </c>
      <c r="B1199" s="18" t="s">
        <v>14541</v>
      </c>
      <c r="C1199" s="18" t="s">
        <v>14544</v>
      </c>
      <c r="D1199" s="5" t="str">
        <f ca="1">IFERROR(__xludf.DUMMYFUNCTION("GOOGLETRANSLATE(B1199,""ja"",""vi"")"),"Earl Jean")</f>
        <v>Earl Jean</v>
      </c>
      <c r="E1199" s="5" t="str">
        <f ca="1">IFERROR(__xludf.DUMMYFUNCTION("GOOGLETRANSLATE(C1199,""ja"",""vi"")"),"Đấu giá&gt; Thời trang&gt; Thời trang nữ&gt; denim, quần jean&gt; Earl Jean")</f>
        <v>Đấu giá&gt; Thời trang&gt; Thời trang nữ&gt; denim, quần jean&gt; Earl Jean</v>
      </c>
      <c r="F1199" t="str">
        <f t="shared" ca="1" si="18"/>
        <v>"2084036975" : "Earl Jean",</v>
      </c>
    </row>
    <row r="1200" spans="1:6" ht="15.75" customHeight="1">
      <c r="A1200" s="18">
        <v>2084050554</v>
      </c>
      <c r="B1200" s="18" t="s">
        <v>8848</v>
      </c>
      <c r="C1200" s="18" t="s">
        <v>14547</v>
      </c>
      <c r="D1200" s="5" t="str">
        <f ca="1">IFERROR(__xludf.DUMMYFUNCTION("GOOGLETRANSLATE(B1200,""ja"",""vi"")"),"Abercrombie &amp; Fitch")</f>
        <v>Abercrombie &amp; Fitch</v>
      </c>
      <c r="E1200" s="5" t="str">
        <f ca="1">IFERROR(__xludf.DUMMYFUNCTION("GOOGLETRANSLATE(C1200,""ja"",""vi"")"),"Đấu giá&gt; Thời trang&gt; Phụ nữ thời trang&gt; denim, quần jean&gt; Abercrombie &amp; Fitch")</f>
        <v>Đấu giá&gt; Thời trang&gt; Phụ nữ thời trang&gt; denim, quần jean&gt; Abercrombie &amp; Fitch</v>
      </c>
      <c r="F1200" t="str">
        <f t="shared" ca="1" si="18"/>
        <v>"2084050554" : "Abercrombie &amp; Fitch",</v>
      </c>
    </row>
    <row r="1201" spans="1:6" ht="15.75" customHeight="1">
      <c r="A1201" s="18">
        <v>2084036966</v>
      </c>
      <c r="B1201" s="18" t="s">
        <v>9331</v>
      </c>
      <c r="C1201" s="18" t="s">
        <v>14550</v>
      </c>
      <c r="D1201" s="5" t="str">
        <f ca="1">IFERROR(__xludf.DUMMYFUNCTION("GOOGLETRANSLATE(B1201,""ja"",""vi"")"),"Edwin")</f>
        <v>Edwin</v>
      </c>
      <c r="E1201" s="5" t="str">
        <f ca="1">IFERROR(__xludf.DUMMYFUNCTION("GOOGLETRANSLATE(C1201,""ja"",""vi"")"),"Đấu giá&gt; Thời trang&gt; Thời trang nữ&gt; denim, quần jean&gt; Edwin")</f>
        <v>Đấu giá&gt; Thời trang&gt; Thời trang nữ&gt; denim, quần jean&gt; Edwin</v>
      </c>
      <c r="F1201" t="str">
        <f t="shared" ca="1" si="18"/>
        <v>"2084036966" : "Edwin",</v>
      </c>
    </row>
    <row r="1202" spans="1:6" ht="15.75" customHeight="1">
      <c r="A1202" s="18">
        <v>2084056260</v>
      </c>
      <c r="B1202" s="18" t="s">
        <v>9383</v>
      </c>
      <c r="C1202" s="18" t="s">
        <v>14556</v>
      </c>
      <c r="D1202" s="5" t="str">
        <f ca="1">IFERROR(__xludf.DUMMYFUNCTION("GOOGLETRANSLATE(B1202,""ja"",""vi"")"),"Evisu")</f>
        <v>Evisu</v>
      </c>
      <c r="E1202" s="5" t="str">
        <f ca="1">IFERROR(__xludf.DUMMYFUNCTION("GOOGLETRANSLATE(C1202,""ja"",""vi"")"),"Đấu giá&gt; Thời trang&gt; Thời trang nữ&gt; denim, quần jean&gt; Evisu")</f>
        <v>Đấu giá&gt; Thời trang&gt; Thời trang nữ&gt; denim, quần jean&gt; Evisu</v>
      </c>
      <c r="F1202" t="str">
        <f t="shared" ca="1" si="18"/>
        <v>"2084056260" : "Evisu",</v>
      </c>
    </row>
    <row r="1203" spans="1:6" ht="15.75" customHeight="1">
      <c r="A1203" s="18">
        <v>2084036978</v>
      </c>
      <c r="B1203" s="18" t="s">
        <v>9751</v>
      </c>
      <c r="C1203" s="18" t="s">
        <v>14558</v>
      </c>
      <c r="D1203" s="5" t="str">
        <f ca="1">IFERROR(__xludf.DUMMYFUNCTION("GOOGLETRANSLATE(B1203,""ja"",""vi"")"),"khoảng trống")</f>
        <v>khoảng trống</v>
      </c>
      <c r="E1203" s="5" t="str">
        <f ca="1">IFERROR(__xludf.DUMMYFUNCTION("GOOGLETRANSLATE(C1203,""ja"",""vi"")"),"Đấu giá&gt; Thời trang&gt; Phụ nữ thời trang&gt; denim, quần jean&gt; khoảng cách")</f>
        <v>Đấu giá&gt; Thời trang&gt; Phụ nữ thời trang&gt; denim, quần jean&gt; khoảng cách</v>
      </c>
      <c r="F1203" t="str">
        <f t="shared" ca="1" si="18"/>
        <v>"2084036978" : "khoảng trống",</v>
      </c>
    </row>
    <row r="1204" spans="1:6" ht="15.75" customHeight="1">
      <c r="A1204" s="18">
        <v>2084036977</v>
      </c>
      <c r="B1204" s="18" t="s">
        <v>14562</v>
      </c>
      <c r="C1204" s="18" t="s">
        <v>14564</v>
      </c>
      <c r="D1204" s="5" t="str">
        <f ca="1">IFERROR(__xludf.DUMMYFUNCTION("GOOGLETRANSLATE(B1204,""ja"",""vi"")"),"Một cái gì đó")</f>
        <v>Một cái gì đó</v>
      </c>
      <c r="E1204" s="5" t="str">
        <f ca="1">IFERROR(__xludf.DUMMYFUNCTION("GOOGLETRANSLATE(C1204,""ja"",""vi"")"),"Đấu giá&gt; Thời trang&gt; Phụ nữ thời trang&gt; denim, quần jean&gt; Something")</f>
        <v>Đấu giá&gt; Thời trang&gt; Phụ nữ thời trang&gt; denim, quần jean&gt; Something</v>
      </c>
      <c r="F1204" t="str">
        <f t="shared" ca="1" si="18"/>
        <v>"2084036977" : "Một cái gì đó",</v>
      </c>
    </row>
    <row r="1205" spans="1:6" ht="15.75" customHeight="1">
      <c r="A1205" s="18">
        <v>2084036973</v>
      </c>
      <c r="B1205" s="18" t="s">
        <v>10253</v>
      </c>
      <c r="C1205" s="18" t="s">
        <v>14568</v>
      </c>
      <c r="D1205" s="5" t="str">
        <f ca="1">IFERROR(__xludf.DUMMYFUNCTION("GOOGLETRANSLATE(B1205,""ja"",""vi"")"),"Cimarron")</f>
        <v>Cimarron</v>
      </c>
      <c r="E1205" s="5" t="str">
        <f ca="1">IFERROR(__xludf.DUMMYFUNCTION("GOOGLETRANSLATE(C1205,""ja"",""vi"")"),"Đấu giá&gt; Thời trang&gt; Thời trang nữ&gt; denim, quần jean&gt; Cimarron")</f>
        <v>Đấu giá&gt; Thời trang&gt; Thời trang nữ&gt; denim, quần jean&gt; Cimarron</v>
      </c>
      <c r="F1205" t="str">
        <f t="shared" ca="1" si="18"/>
        <v>"2084036973" : "Cimarron",</v>
      </c>
    </row>
    <row r="1206" spans="1:6" ht="15.75" customHeight="1">
      <c r="A1206" s="18">
        <v>2084194512</v>
      </c>
      <c r="B1206" s="18" t="s">
        <v>10617</v>
      </c>
      <c r="C1206" s="18" t="s">
        <v>14573</v>
      </c>
      <c r="D1206" s="5" t="str">
        <f ca="1">IFERROR(__xludf.DUMMYFUNCTION("GOOGLETRANSLATE(B1206,""ja"",""vi"")"),"Bảy cho All Mankind")</f>
        <v>Bảy cho All Mankind</v>
      </c>
      <c r="E1206" s="5" t="str">
        <f ca="1">IFERROR(__xludf.DUMMYFUNCTION("GOOGLETRANSLATE(C1206,""ja"",""vi"")"),"Đấu giá&gt; Thời trang&gt; Thời trang nữ&gt; denim, quần jean&gt; Bảy cho All Mankind")</f>
        <v>Đấu giá&gt; Thời trang&gt; Thời trang nữ&gt; denim, quần jean&gt; Bảy cho All Mankind</v>
      </c>
      <c r="F1206" t="str">
        <f t="shared" ca="1" si="18"/>
        <v>"2084194512" : "Bảy cho All Mankind",</v>
      </c>
    </row>
    <row r="1207" spans="1:6" ht="15.75" customHeight="1">
      <c r="A1207" s="18">
        <v>2084051070</v>
      </c>
      <c r="B1207" s="18" t="s">
        <v>10876</v>
      </c>
      <c r="C1207" s="18" t="s">
        <v>14577</v>
      </c>
      <c r="D1207" s="5" t="str">
        <f ca="1">IFERROR(__xludf.DUMMYFUNCTION("GOOGLETRANSLATE(B1207,""ja"",""vi"")"),"Dsquared")</f>
        <v>Dsquared</v>
      </c>
      <c r="E1207" s="5" t="str">
        <f ca="1">IFERROR(__xludf.DUMMYFUNCTION("GOOGLETRANSLATE(C1207,""ja"",""vi"")"),"Đấu giá&gt; Thời trang&gt; Thời trang nữ&gt; denim, quần jean&gt; Dsquared")</f>
        <v>Đấu giá&gt; Thời trang&gt; Thời trang nữ&gt; denim, quần jean&gt; Dsquared</v>
      </c>
      <c r="F1207" t="str">
        <f t="shared" ca="1" si="18"/>
        <v>"2084051070" : "Dsquared",</v>
      </c>
    </row>
    <row r="1208" spans="1:6" ht="15.75" customHeight="1">
      <c r="A1208" s="18">
        <v>2084055220</v>
      </c>
      <c r="B1208" s="18" t="s">
        <v>10883</v>
      </c>
      <c r="C1208" s="18" t="s">
        <v>14581</v>
      </c>
      <c r="D1208" s="5" t="str">
        <f ca="1">IFERROR(__xludf.DUMMYFUNCTION("GOOGLETRANSLATE(B1208,""ja"",""vi"")"),"dầu diesel")</f>
        <v>dầu diesel</v>
      </c>
      <c r="E1208" s="5" t="str">
        <f ca="1">IFERROR(__xludf.DUMMYFUNCTION("GOOGLETRANSLATE(C1208,""ja"",""vi"")"),"Đấu giá&gt; Thời trang&gt; Phụ nữ thời trang&gt; denim, quần jean&gt; diesel")</f>
        <v>Đấu giá&gt; Thời trang&gt; Phụ nữ thời trang&gt; denim, quần jean&gt; diesel</v>
      </c>
      <c r="F1208" t="str">
        <f t="shared" ca="1" si="18"/>
        <v>"2084055220" : "dầu diesel",</v>
      </c>
    </row>
    <row r="1209" spans="1:6" ht="15.75" customHeight="1">
      <c r="A1209" s="18">
        <v>2084194529</v>
      </c>
      <c r="B1209" s="18" t="s">
        <v>10976</v>
      </c>
      <c r="C1209" s="18" t="s">
        <v>14587</v>
      </c>
      <c r="D1209" s="5" t="str">
        <f ca="1">IFERROR(__xludf.DUMMYFUNCTION("GOOGLETRANSLATE(B1209,""ja"",""vi"")"),"true Religion")</f>
        <v>true Religion</v>
      </c>
      <c r="E1209" s="5" t="str">
        <f ca="1">IFERROR(__xludf.DUMMYFUNCTION("GOOGLETRANSLATE(C1209,""ja"",""vi"")"),"Đấu giá&gt; Thời trang&gt; Phụ nữ thời trang&gt; denim, quần jean&gt; True Religion")</f>
        <v>Đấu giá&gt; Thời trang&gt; Phụ nữ thời trang&gt; denim, quần jean&gt; True Religion</v>
      </c>
      <c r="F1209" t="str">
        <f t="shared" ca="1" si="18"/>
        <v>"2084194529" : "true Religion",</v>
      </c>
    </row>
    <row r="1210" spans="1:6" ht="15.75" customHeight="1">
      <c r="A1210" s="18">
        <v>2084050575</v>
      </c>
      <c r="B1210" s="18" t="s">
        <v>11111</v>
      </c>
      <c r="C1210" s="18" t="s">
        <v>14591</v>
      </c>
      <c r="D1210" s="5" t="str">
        <f ca="1">IFERROR(__xludf.DUMMYFUNCTION("GOOGLETRANSLATE(B1210,""ja"",""vi"")"),"Dolce &amp; Gabbana")</f>
        <v>Dolce &amp; Gabbana</v>
      </c>
      <c r="E1210" s="5" t="str">
        <f ca="1">IFERROR(__xludf.DUMMYFUNCTION("GOOGLETRANSLATE(C1210,""ja"",""vi"")"),"Đấu giá&gt; Thời trang&gt; Phụ nữ thời trang&gt; denim, quần jean&gt; Dolce &amp; Gabbana")</f>
        <v>Đấu giá&gt; Thời trang&gt; Phụ nữ thời trang&gt; denim, quần jean&gt; Dolce &amp; Gabbana</v>
      </c>
      <c r="F1210" t="str">
        <f t="shared" ca="1" si="18"/>
        <v>"2084050575" : "Dolce &amp; Gabbana",</v>
      </c>
    </row>
    <row r="1211" spans="1:6" ht="15.75" customHeight="1">
      <c r="A1211" s="18">
        <v>2084036976</v>
      </c>
      <c r="B1211" s="18" t="s">
        <v>14595</v>
      </c>
      <c r="C1211" s="18" t="s">
        <v>14597</v>
      </c>
      <c r="D1211" s="5" t="str">
        <f ca="1">IFERROR(__xludf.DUMMYFUNCTION("GOOGLETRANSLATE(B1211,""ja"",""vi"")"),"Piccadilly")</f>
        <v>Piccadilly</v>
      </c>
      <c r="E1211" s="5" t="str">
        <f ca="1">IFERROR(__xludf.DUMMYFUNCTION("GOOGLETRANSLATE(C1211,""ja"",""vi"")"),"Đấu giá&gt; Thời trang&gt; Thời trang nữ&gt; denim, quần jean&gt; Piccadilly")</f>
        <v>Đấu giá&gt; Thời trang&gt; Thời trang nữ&gt; denim, quần jean&gt; Piccadilly</v>
      </c>
      <c r="F1211" t="str">
        <f t="shared" ca="1" si="18"/>
        <v>"2084036976" : "Piccadilly",</v>
      </c>
    </row>
    <row r="1212" spans="1:6" ht="15.75" customHeight="1">
      <c r="A1212" s="18">
        <v>2084194504</v>
      </c>
      <c r="B1212" s="18" t="s">
        <v>12130</v>
      </c>
      <c r="C1212" s="18" t="s">
        <v>14602</v>
      </c>
      <c r="D1212" s="5" t="str">
        <f ca="1">IFERROR(__xludf.DUMMYFUNCTION("GOOGLETRANSLATE(B1212,""ja"",""vi"")"),"Giấy Denim &amp; Chữ Thập")</f>
        <v>Giấy Denim &amp; Chữ Thập</v>
      </c>
      <c r="E1212" s="5" t="str">
        <f ca="1">IFERROR(__xludf.DUMMYFUNCTION("GOOGLETRANSLATE(C1212,""ja"",""vi"")"),"Đấu giá&gt; Thời trang&gt; Phụ nữ thời trang&gt; denim, quần jean&gt; Giấy Denim &amp; Chữ Thập")</f>
        <v>Đấu giá&gt; Thời trang&gt; Phụ nữ thời trang&gt; denim, quần jean&gt; Giấy Denim &amp; Chữ Thập</v>
      </c>
      <c r="F1212" t="str">
        <f t="shared" ca="1" si="18"/>
        <v>"2084194504" : "Giấy Denim &amp; Chữ Thập",</v>
      </c>
    </row>
    <row r="1213" spans="1:6" ht="15.75" customHeight="1">
      <c r="A1213" s="18">
        <v>2084036972</v>
      </c>
      <c r="B1213" s="18" t="s">
        <v>14604</v>
      </c>
      <c r="C1213" s="18" t="s">
        <v>14606</v>
      </c>
      <c r="D1213" s="5" t="str">
        <f ca="1">IFERROR(__xludf.DUMMYFUNCTION("GOOGLETRANSLATE(B1213,""ja"",""vi"")"),"Bobuson")</f>
        <v>Bobuson</v>
      </c>
      <c r="E1213" s="5" t="str">
        <f ca="1">IFERROR(__xludf.DUMMYFUNCTION("GOOGLETRANSLATE(C1213,""ja"",""vi"")"),"Đấu giá&gt; Thời trang&gt; Thời trang nữ&gt; denim, quần jean&gt; Bobuson")</f>
        <v>Đấu giá&gt; Thời trang&gt; Thời trang nữ&gt; denim, quần jean&gt; Bobuson</v>
      </c>
      <c r="F1213" t="str">
        <f t="shared" ca="1" si="18"/>
        <v>"2084036972" : "Bobuson",</v>
      </c>
    </row>
    <row r="1214" spans="1:6" ht="15.75" customHeight="1">
      <c r="A1214" s="18">
        <v>2084050657</v>
      </c>
      <c r="B1214" s="18" t="s">
        <v>12290</v>
      </c>
      <c r="C1214" s="18" t="s">
        <v>14610</v>
      </c>
      <c r="D1214" s="5" t="str">
        <f ca="1">IFERROR(__xludf.DUMMYFUNCTION("GOOGLETRANSLATE(B1214,""ja"",""vi"")"),"Bondatchi")</f>
        <v>Bondatchi</v>
      </c>
      <c r="E1214" s="5" t="str">
        <f ca="1">IFERROR(__xludf.DUMMYFUNCTION("GOOGLETRANSLATE(C1214,""ja"",""vi"")"),"Đấu giá&gt; Thời trang&gt; Thời trang nữ&gt; denim, quần jean&gt; Bondatchi")</f>
        <v>Đấu giá&gt; Thời trang&gt; Thời trang nữ&gt; denim, quần jean&gt; Bondatchi</v>
      </c>
      <c r="F1214" t="str">
        <f t="shared" ca="1" si="18"/>
        <v>"2084050657" : "Bondatchi",</v>
      </c>
    </row>
    <row r="1215" spans="1:6" ht="15.75" customHeight="1">
      <c r="A1215" s="18">
        <v>2084194536</v>
      </c>
      <c r="B1215" s="18" t="s">
        <v>12628</v>
      </c>
      <c r="C1215" s="18" t="s">
        <v>14614</v>
      </c>
      <c r="D1215" s="5" t="str">
        <f ca="1">IFERROR(__xludf.DUMMYFUNCTION("GOOGLETRANSLATE(B1215,""ja"",""vi"")"),"Yanuku")</f>
        <v>Yanuku</v>
      </c>
      <c r="E1215" s="5" t="str">
        <f ca="1">IFERROR(__xludf.DUMMYFUNCTION("GOOGLETRANSLATE(C1215,""ja"",""vi"")"),"Đấu giá&gt; Thời trang&gt; Thời trang nữ&gt; denim, quần jean&gt; Yanuku")</f>
        <v>Đấu giá&gt; Thời trang&gt; Thời trang nữ&gt; denim, quần jean&gt; Yanuku</v>
      </c>
      <c r="F1215" t="str">
        <f t="shared" ca="1" si="18"/>
        <v>"2084194536" : "Yanuku",</v>
      </c>
    </row>
    <row r="1216" spans="1:6" ht="15.75" customHeight="1">
      <c r="A1216" s="18">
        <v>2084053027</v>
      </c>
      <c r="B1216" s="18" t="s">
        <v>12781</v>
      </c>
      <c r="C1216" s="18" t="s">
        <v>14621</v>
      </c>
      <c r="D1216" s="5" t="str">
        <f ca="1">IFERROR(__xludf.DUMMYFUNCTION("GOOGLETRANSLATE(B1216,""ja"",""vi"")"),"Rarutoramoda")</f>
        <v>Rarutoramoda</v>
      </c>
      <c r="E1216" s="5" t="str">
        <f ca="1">IFERROR(__xludf.DUMMYFUNCTION("GOOGLETRANSLATE(C1216,""ja"",""vi"")"),"Đấu giá&gt; Thời trang&gt; Thời trang nữ&gt; denim, quần jean&gt; Rarutoramoda")</f>
        <v>Đấu giá&gt; Thời trang&gt; Thời trang nữ&gt; denim, quần jean&gt; Rarutoramoda</v>
      </c>
      <c r="F1216" t="str">
        <f t="shared" ca="1" si="18"/>
        <v>"2084053027" : "Rarutoramoda",</v>
      </c>
    </row>
    <row r="1217" spans="1:6" ht="15.75" customHeight="1">
      <c r="A1217" s="18">
        <v>2084036967</v>
      </c>
      <c r="B1217" s="18" t="s">
        <v>12793</v>
      </c>
      <c r="C1217" s="18" t="s">
        <v>14626</v>
      </c>
      <c r="D1217" s="5" t="str">
        <f ca="1">IFERROR(__xludf.DUMMYFUNCTION("GOOGLETRANSLATE(B1217,""ja"",""vi"")"),"người hay cải lẩy")</f>
        <v>người hay cải lẩy</v>
      </c>
      <c r="E1217" s="5" t="str">
        <f ca="1">IFERROR(__xludf.DUMMYFUNCTION("GOOGLETRANSLATE(C1217,""ja"",""vi"")"),"Đấu giá&gt; Thời trang&gt; Thời trang nữ&gt; denim, quần jean&gt; Wrangler")</f>
        <v>Đấu giá&gt; Thời trang&gt; Thời trang nữ&gt; denim, quần jean&gt; Wrangler</v>
      </c>
      <c r="F1217" t="str">
        <f t="shared" ca="1" si="18"/>
        <v>"2084036967" : "người hay cải lẩy",</v>
      </c>
    </row>
    <row r="1218" spans="1:6" ht="15.75" customHeight="1">
      <c r="A1218" s="18">
        <v>2084036968</v>
      </c>
      <c r="B1218" s="18" t="s">
        <v>12816</v>
      </c>
      <c r="C1218" s="18" t="s">
        <v>14631</v>
      </c>
      <c r="D1218" s="5" t="str">
        <f ca="1">IFERROR(__xludf.DUMMYFUNCTION("GOOGLETRANSLATE(B1218,""ja"",""vi"")"),"Lee")</f>
        <v>Lee</v>
      </c>
      <c r="E1218" s="5" t="str">
        <f ca="1">IFERROR(__xludf.DUMMYFUNCTION("GOOGLETRANSLATE(C1218,""ja"",""vi"")"),"Đấu giá&gt; Thời trang&gt; Thời trang nữ&gt; denim, quần jean&gt; Lee")</f>
        <v>Đấu giá&gt; Thời trang&gt; Thời trang nữ&gt; denim, quần jean&gt; Lee</v>
      </c>
      <c r="F1218" t="str">
        <f t="shared" ref="F1218:F1281" ca="1" si="19">CONCATENATE(CHAR(34)&amp;"",A1218,""&amp;CHAR(34)," : ", CHAR(34)&amp;"",D1218,""&amp;CHAR(34),",")</f>
        <v>"2084036968" : "Lee",</v>
      </c>
    </row>
    <row r="1219" spans="1:6" ht="15.75" customHeight="1">
      <c r="A1219" s="18">
        <v>2084036969</v>
      </c>
      <c r="B1219" s="18" t="s">
        <v>12866</v>
      </c>
      <c r="C1219" s="18" t="s">
        <v>14636</v>
      </c>
      <c r="D1219" s="5" t="str">
        <f ca="1">IFERROR(__xludf.DUMMYFUNCTION("GOOGLETRANSLATE(B1219,""ja"",""vi"")"),"Levi của")</f>
        <v>Levi của</v>
      </c>
      <c r="E1219" s="5" t="str">
        <f ca="1">IFERROR(__xludf.DUMMYFUNCTION("GOOGLETRANSLATE(C1219,""ja"",""vi"")"),"Đấu giá&gt; Thời trang&gt; Phụ nữ thời trang&gt; denim, quần jean&gt; Levi của")</f>
        <v>Đấu giá&gt; Thời trang&gt; Phụ nữ thời trang&gt; denim, quần jean&gt; Levi của</v>
      </c>
      <c r="F1219" t="str">
        <f t="shared" ca="1" si="19"/>
        <v>"2084036969" : "Levi của",</v>
      </c>
    </row>
    <row r="1220" spans="1:6" ht="15.75" customHeight="1">
      <c r="A1220" s="18">
        <v>2084255837</v>
      </c>
      <c r="B1220" s="18" t="s">
        <v>13006</v>
      </c>
      <c r="C1220" s="18" t="s">
        <v>14639</v>
      </c>
      <c r="D1220" s="5" t="str">
        <f ca="1">IFERROR(__xludf.DUMMYFUNCTION("GOOGLETRANSLATE(B1220,""ja"",""vi"")"),"ớt đỏ")</f>
        <v>ớt đỏ</v>
      </c>
      <c r="E1220" s="5" t="str">
        <f ca="1">IFERROR(__xludf.DUMMYFUNCTION("GOOGLETRANSLATE(C1220,""ja"",""vi"")"),"Đấu giá&gt; Thời trang&gt; Phụ nữ thời trang&gt; denim, quần jean&gt; ớt đỏ")</f>
        <v>Đấu giá&gt; Thời trang&gt; Phụ nữ thời trang&gt; denim, quần jean&gt; ớt đỏ</v>
      </c>
      <c r="F1220" t="str">
        <f t="shared" ca="1" si="19"/>
        <v>"2084255837" : "ớt đỏ",</v>
      </c>
    </row>
    <row r="1221" spans="1:6" ht="15.75" customHeight="1">
      <c r="A1221" s="18">
        <v>2084200717</v>
      </c>
      <c r="B1221" s="18" t="s">
        <v>13057</v>
      </c>
      <c r="C1221" s="18" t="s">
        <v>14645</v>
      </c>
      <c r="D1221" s="5" t="str">
        <f ca="1">IFERROR(__xludf.DUMMYFUNCTION("GOOGLETRANSLATE(B1221,""ja"",""vi"")"),"Logan")</f>
        <v>Logan</v>
      </c>
      <c r="E1221" s="5" t="str">
        <f ca="1">IFERROR(__xludf.DUMMYFUNCTION("GOOGLETRANSLATE(C1221,""ja"",""vi"")"),"Đấu giá&gt; Thời trang&gt; Thời trang nữ&gt; denim, quần jean&gt; Logan")</f>
        <v>Đấu giá&gt; Thời trang&gt; Thời trang nữ&gt; denim, quần jean&gt; Logan</v>
      </c>
      <c r="F1221" t="str">
        <f t="shared" ca="1" si="19"/>
        <v>"2084200717" : "Logan",</v>
      </c>
    </row>
    <row r="1222" spans="1:6" ht="15.75" customHeight="1">
      <c r="A1222" s="18">
        <v>2084036970</v>
      </c>
      <c r="B1222" s="18" t="s">
        <v>46</v>
      </c>
      <c r="C1222" s="18" t="s">
        <v>14651</v>
      </c>
      <c r="D1222" s="5" t="str">
        <f ca="1">IFERROR(__xludf.DUMMYFUNCTION("GOOGLETRANSLATE(B1222,""ja"",""vi"")"),"nếu không thì")</f>
        <v>nếu không thì</v>
      </c>
      <c r="E1222" s="5" t="str">
        <f ca="1">IFERROR(__xludf.DUMMYFUNCTION("GOOGLETRANSLATE(C1222,""ja"",""vi"")"),"Đấu giá&gt; Thời trang&gt; Thời trang nữ&gt; denim, quần jean&gt; Khác")</f>
        <v>Đấu giá&gt; Thời trang&gt; Thời trang nữ&gt; denim, quần jean&gt; Khác</v>
      </c>
      <c r="F1222" t="str">
        <f t="shared" ca="1" si="19"/>
        <v>"2084036970" : "nếu không thì",</v>
      </c>
    </row>
    <row r="1223" spans="1:6" ht="15.75" customHeight="1">
      <c r="A1223" s="18">
        <v>2084224603</v>
      </c>
      <c r="B1223" s="18" t="s">
        <v>13341</v>
      </c>
      <c r="C1223" s="18" t="s">
        <v>14655</v>
      </c>
      <c r="D1223" s="5" t="str">
        <f ca="1">IFERROR(__xludf.DUMMYFUNCTION("GOOGLETRANSLATE(B1223,""ja"",""vi"")"),"kích thước XS dưới đây")</f>
        <v>kích thước XS dưới đây</v>
      </c>
      <c r="E1223" s="5" t="str">
        <f ca="1">IFERROR(__xludf.DUMMYFUNCTION("GOOGLETRANSLATE(C1223,""ja"",""vi"")"),"Đấu giá&gt; Thời trang&gt; Thời trang nữ&gt; quần làm việc, quần họa sĩ&gt; kích thước XS dưới đây")</f>
        <v>Đấu giá&gt; Thời trang&gt; Thời trang nữ&gt; quần làm việc, quần họa sĩ&gt; kích thước XS dưới đây</v>
      </c>
      <c r="F1223" t="str">
        <f t="shared" ca="1" si="19"/>
        <v>"2084224603" : "kích thước XS dưới đây",</v>
      </c>
    </row>
    <row r="1224" spans="1:6" ht="15.75" customHeight="1">
      <c r="A1224" s="18">
        <v>2084224604</v>
      </c>
      <c r="B1224" s="18" t="s">
        <v>13345</v>
      </c>
      <c r="C1224" s="18" t="s">
        <v>14658</v>
      </c>
      <c r="D1224" s="5" t="str">
        <f ca="1">IFERROR(__xludf.DUMMYFUNCTION("GOOGLETRANSLATE(B1224,""ja"",""vi"")"),"size S")</f>
        <v>size S</v>
      </c>
      <c r="E1224" s="5" t="str">
        <f ca="1">IFERROR(__xludf.DUMMYFUNCTION("GOOGLETRANSLATE(C1224,""ja"",""vi"")"),"Đấu giá&gt; Thời trang&gt; Thời trang nữ&gt; quần làm việc, họa sĩ quần&gt; S kích thước")</f>
        <v>Đấu giá&gt; Thời trang&gt; Thời trang nữ&gt; quần làm việc, họa sĩ quần&gt; S kích thước</v>
      </c>
      <c r="F1224" t="str">
        <f t="shared" ca="1" si="19"/>
        <v>"2084224604" : "size S",</v>
      </c>
    </row>
    <row r="1225" spans="1:6" ht="15.75" customHeight="1">
      <c r="A1225" s="18">
        <v>2084224605</v>
      </c>
      <c r="B1225" s="18" t="s">
        <v>13351</v>
      </c>
      <c r="C1225" s="18" t="s">
        <v>14662</v>
      </c>
      <c r="D1225" s="5" t="str">
        <f ca="1">IFERROR(__xludf.DUMMYFUNCTION("GOOGLETRANSLATE(B1225,""ja"",""vi"")"),"size M")</f>
        <v>size M</v>
      </c>
      <c r="E1225" s="5" t="str">
        <f ca="1">IFERROR(__xludf.DUMMYFUNCTION("GOOGLETRANSLATE(C1225,""ja"",""vi"")"),"Đấu giá&gt; Thời trang&gt; Thời trang nữ&gt; quần làm việc, họa sĩ quần&gt; size M")</f>
        <v>Đấu giá&gt; Thời trang&gt; Thời trang nữ&gt; quần làm việc, họa sĩ quần&gt; size M</v>
      </c>
      <c r="F1225" t="str">
        <f t="shared" ca="1" si="19"/>
        <v>"2084224605" : "size M",</v>
      </c>
    </row>
    <row r="1226" spans="1:6" ht="15.75" customHeight="1">
      <c r="A1226" s="18">
        <v>2084224606</v>
      </c>
      <c r="B1226" s="18" t="s">
        <v>13355</v>
      </c>
      <c r="C1226" s="18" t="s">
        <v>14666</v>
      </c>
      <c r="D1226" s="5" t="str">
        <f ca="1">IFERROR(__xludf.DUMMYFUNCTION("GOOGLETRANSLATE(B1226,""ja"",""vi"")"),"size L")</f>
        <v>size L</v>
      </c>
      <c r="E1226" s="5" t="str">
        <f ca="1">IFERROR(__xludf.DUMMYFUNCTION("GOOGLETRANSLATE(C1226,""ja"",""vi"")"),"Đấu giá&gt; Thời trang&gt; Thời trang nữ&gt; quần làm việc, họa sĩ quần&gt; L kích thước")</f>
        <v>Đấu giá&gt; Thời trang&gt; Thời trang nữ&gt; quần làm việc, họa sĩ quần&gt; L kích thước</v>
      </c>
      <c r="F1226" t="str">
        <f t="shared" ca="1" si="19"/>
        <v>"2084224606" : "size L",</v>
      </c>
    </row>
    <row r="1227" spans="1:6" ht="15.75" customHeight="1">
      <c r="A1227" s="18">
        <v>2084224607</v>
      </c>
      <c r="B1227" s="18" t="s">
        <v>13360</v>
      </c>
      <c r="C1227" s="18" t="s">
        <v>14669</v>
      </c>
      <c r="D1227" s="5" t="str">
        <f ca="1">IFERROR(__xludf.DUMMYFUNCTION("GOOGLETRANSLATE(B1227,""ja"",""vi"")"),"kích thước XL hoặc lớn hơn")</f>
        <v>kích thước XL hoặc lớn hơn</v>
      </c>
      <c r="E1227" s="5" t="str">
        <f ca="1">IFERROR(__xludf.DUMMYFUNCTION("GOOGLETRANSLATE(C1227,""ja"",""vi"")"),"Đấu giá&gt; Thời trang&gt; Thời trang nữ&gt; quần làm việc, quần họa sĩ&gt; XL kích thước hơn")</f>
        <v>Đấu giá&gt; Thời trang&gt; Thời trang nữ&gt; quần làm việc, quần họa sĩ&gt; XL kích thước hơn</v>
      </c>
      <c r="F1227" t="str">
        <f t="shared" ca="1" si="19"/>
        <v>"2084224607" : "kích thước XL hoặc lớn hơn",</v>
      </c>
    </row>
    <row r="1228" spans="1:6" ht="15.75" customHeight="1">
      <c r="A1228" s="18">
        <v>2084224593</v>
      </c>
      <c r="B1228" s="18" t="s">
        <v>13341</v>
      </c>
      <c r="C1228" s="18" t="s">
        <v>14675</v>
      </c>
      <c r="D1228" s="5" t="str">
        <f ca="1">IFERROR(__xludf.DUMMYFUNCTION("GOOGLETRANSLATE(B1228,""ja"",""vi"")"),"kích thước XS dưới đây")</f>
        <v>kích thước XS dưới đây</v>
      </c>
      <c r="E1228" s="5" t="str">
        <f ca="1">IFERROR(__xludf.DUMMYFUNCTION("GOOGLETRANSLATE(C1228,""ja"",""vi"")"),"Đấu giá&gt; Thời trang&gt; Phụ nữ Quần áo&gt; Quần soóc&gt; kích thước XS dưới đây")</f>
        <v>Đấu giá&gt; Thời trang&gt; Phụ nữ Quần áo&gt; Quần soóc&gt; kích thước XS dưới đây</v>
      </c>
      <c r="F1228" t="str">
        <f t="shared" ca="1" si="19"/>
        <v>"2084224593" : "kích thước XS dưới đây",</v>
      </c>
    </row>
    <row r="1229" spans="1:6" ht="15.75" customHeight="1">
      <c r="A1229" s="18">
        <v>2084224594</v>
      </c>
      <c r="B1229" s="18" t="s">
        <v>13345</v>
      </c>
      <c r="C1229" s="18" t="s">
        <v>14678</v>
      </c>
      <c r="D1229" s="5" t="str">
        <f ca="1">IFERROR(__xludf.DUMMYFUNCTION("GOOGLETRANSLATE(B1229,""ja"",""vi"")"),"size S")</f>
        <v>size S</v>
      </c>
      <c r="E1229" s="5" t="str">
        <f ca="1">IFERROR(__xludf.DUMMYFUNCTION("GOOGLETRANSLATE(C1229,""ja"",""vi"")"),"Đấu giá&gt; Thời trang&gt; Quần áo&gt; Quần soóc&gt; S kích thước của phụ nữ")</f>
        <v>Đấu giá&gt; Thời trang&gt; Quần áo&gt; Quần soóc&gt; S kích thước của phụ nữ</v>
      </c>
      <c r="F1229" t="str">
        <f t="shared" ca="1" si="19"/>
        <v>"2084224594" : "size S",</v>
      </c>
    </row>
    <row r="1230" spans="1:6" ht="15.75" customHeight="1">
      <c r="A1230" s="18">
        <v>2084224595</v>
      </c>
      <c r="B1230" s="18" t="s">
        <v>13351</v>
      </c>
      <c r="C1230" s="18" t="s">
        <v>14681</v>
      </c>
      <c r="D1230" s="5" t="str">
        <f ca="1">IFERROR(__xludf.DUMMYFUNCTION("GOOGLETRANSLATE(B1230,""ja"",""vi"")"),"size M")</f>
        <v>size M</v>
      </c>
      <c r="E1230" s="5" t="str">
        <f ca="1">IFERROR(__xludf.DUMMYFUNCTION("GOOGLETRANSLATE(C1230,""ja"",""vi"")"),"Đấu giá&gt; Thời trang&gt; Quần áo&gt; Quần soóc&gt; size M nữ")</f>
        <v>Đấu giá&gt; Thời trang&gt; Quần áo&gt; Quần soóc&gt; size M nữ</v>
      </c>
      <c r="F1230" t="str">
        <f t="shared" ca="1" si="19"/>
        <v>"2084224595" : "size M",</v>
      </c>
    </row>
    <row r="1231" spans="1:6" ht="15.75" customHeight="1">
      <c r="A1231" s="18">
        <v>2084224596</v>
      </c>
      <c r="B1231" s="18" t="s">
        <v>13355</v>
      </c>
      <c r="C1231" s="18" t="s">
        <v>14686</v>
      </c>
      <c r="D1231" s="5" t="str">
        <f ca="1">IFERROR(__xludf.DUMMYFUNCTION("GOOGLETRANSLATE(B1231,""ja"",""vi"")"),"size L")</f>
        <v>size L</v>
      </c>
      <c r="E1231" s="5" t="str">
        <f ca="1">IFERROR(__xludf.DUMMYFUNCTION("GOOGLETRANSLATE(C1231,""ja"",""vi"")"),"Đấu giá&gt; Thời trang&gt; Phụ nữ Quần áo&gt; Quần soóc&gt; L kích thước")</f>
        <v>Đấu giá&gt; Thời trang&gt; Phụ nữ Quần áo&gt; Quần soóc&gt; L kích thước</v>
      </c>
      <c r="F1231" t="str">
        <f t="shared" ca="1" si="19"/>
        <v>"2084224596" : "size L",</v>
      </c>
    </row>
    <row r="1232" spans="1:6" ht="15.75" customHeight="1">
      <c r="A1232" s="18">
        <v>2084224597</v>
      </c>
      <c r="B1232" s="18" t="s">
        <v>13360</v>
      </c>
      <c r="C1232" s="18" t="s">
        <v>14689</v>
      </c>
      <c r="D1232" s="5" t="str">
        <f ca="1">IFERROR(__xludf.DUMMYFUNCTION("GOOGLETRANSLATE(B1232,""ja"",""vi"")"),"kích thước XL hoặc lớn hơn")</f>
        <v>kích thước XL hoặc lớn hơn</v>
      </c>
      <c r="E1232" s="5" t="str">
        <f ca="1">IFERROR(__xludf.DUMMYFUNCTION("GOOGLETRANSLATE(C1232,""ja"",""vi"")"),"Đấu giá&gt; Thời trang&gt; Phụ nữ Quần áo&gt; Quần soóc&gt; XL kích thước hơn")</f>
        <v>Đấu giá&gt; Thời trang&gt; Phụ nữ Quần áo&gt; Quần soóc&gt; XL kích thước hơn</v>
      </c>
      <c r="F1232" t="str">
        <f t="shared" ca="1" si="19"/>
        <v>"2084224597" : "kích thước XL hoặc lớn hơn",</v>
      </c>
    </row>
    <row r="1233" spans="1:6" ht="15.75" customHeight="1">
      <c r="A1233" s="18">
        <v>2084028051</v>
      </c>
      <c r="B1233" s="18" t="s">
        <v>8840</v>
      </c>
      <c r="C1233" s="18" t="s">
        <v>14692</v>
      </c>
      <c r="D1233" s="5" t="str">
        <f ca="1">IFERROR(__xludf.DUMMYFUNCTION("GOOGLETRANSLATE(B1233,""ja"",""vi"")"),"Apese")</f>
        <v>Apese</v>
      </c>
      <c r="E1233" s="5" t="str">
        <f ca="1">IFERROR(__xludf.DUMMYFUNCTION("GOOGLETRANSLATE(C1233,""ja"",""vi"")"),"Đấu giá&gt; Thời trang&gt; Phụ nữ Quần áo&gt; Quần soóc&gt; Apese")</f>
        <v>Đấu giá&gt; Thời trang&gt; Phụ nữ Quần áo&gt; Quần soóc&gt; Apese</v>
      </c>
      <c r="F1233" t="str">
        <f t="shared" ca="1" si="19"/>
        <v>"2084028051" : "Apese",</v>
      </c>
    </row>
    <row r="1234" spans="1:6" ht="15.75" customHeight="1">
      <c r="A1234" s="18">
        <v>2084028052</v>
      </c>
      <c r="B1234" s="18" t="s">
        <v>13367</v>
      </c>
      <c r="C1234" s="18" t="s">
        <v>14696</v>
      </c>
      <c r="D1234" s="5" t="str">
        <f ca="1">IFERROR(__xludf.DUMMYFUNCTION("GOOGLETRANSLATE(B1234,""ja"",""vi"")"),"Agnes b.")</f>
        <v>Agnes b.</v>
      </c>
      <c r="E1234" s="5" t="str">
        <f ca="1">IFERROR(__xludf.DUMMYFUNCTION("GOOGLETRANSLATE(C1234,""ja"",""vi"")"),"Đấu giá&gt; Thời trang&gt; Quần áo&gt; Quần soóc&gt; Agnes nữ b.")</f>
        <v>Đấu giá&gt; Thời trang&gt; Quần áo&gt; Quần soóc&gt; Agnes nữ b.</v>
      </c>
      <c r="F1234" t="str">
        <f t="shared" ca="1" si="19"/>
        <v>"2084028052" : "Agnes b.",</v>
      </c>
    </row>
    <row r="1235" spans="1:6" ht="15.75" customHeight="1">
      <c r="A1235" s="18">
        <v>2084028053</v>
      </c>
      <c r="B1235" s="18" t="s">
        <v>8896</v>
      </c>
      <c r="C1235" s="18" t="s">
        <v>14700</v>
      </c>
      <c r="D1235" s="5" t="str">
        <f ca="1">IFERROR(__xludf.DUMMYFUNCTION("GOOGLETRANSLATE(B1235,""ja"",""vi"")"),"Alba Rosa")</f>
        <v>Alba Rosa</v>
      </c>
      <c r="E1235" s="5" t="str">
        <f ca="1">IFERROR(__xludf.DUMMYFUNCTION("GOOGLETRANSLATE(C1235,""ja"",""vi"")"),"Đấu giá&gt; Thời trang&gt; Quần áo&gt; Quần soóc&gt; Alba Rosa nữ")</f>
        <v>Đấu giá&gt; Thời trang&gt; Quần áo&gt; Quần soóc&gt; Alba Rosa nữ</v>
      </c>
      <c r="F1235" t="str">
        <f t="shared" ca="1" si="19"/>
        <v>"2084028053" : "Alba Rosa",</v>
      </c>
    </row>
    <row r="1236" spans="1:6" ht="15.75" customHeight="1">
      <c r="A1236" s="18">
        <v>2084028054</v>
      </c>
      <c r="B1236" s="18" t="s">
        <v>8916</v>
      </c>
      <c r="C1236" s="18" t="s">
        <v>14704</v>
      </c>
      <c r="D1236" s="5" t="str">
        <f ca="1">IFERROR(__xludf.DUMMYFUNCTION("GOOGLETRANSLATE(B1236,""ja"",""vi"")"),"Armani")</f>
        <v>Armani</v>
      </c>
      <c r="E1236" s="5" t="str">
        <f ca="1">IFERROR(__xludf.DUMMYFUNCTION("GOOGLETRANSLATE(C1236,""ja"",""vi"")"),"Đấu giá&gt; Thời trang&gt; Phụ nữ Quần áo&gt; Quần soóc&gt; Armani")</f>
        <v>Đấu giá&gt; Thời trang&gt; Phụ nữ Quần áo&gt; Quần soóc&gt; Armani</v>
      </c>
      <c r="F1236" t="str">
        <f t="shared" ca="1" si="19"/>
        <v>"2084028054" : "Armani",</v>
      </c>
    </row>
    <row r="1237" spans="1:6" ht="15.75" customHeight="1">
      <c r="A1237" s="18">
        <v>2084028055</v>
      </c>
      <c r="B1237" s="18" t="s">
        <v>8976</v>
      </c>
      <c r="C1237" s="18" t="s">
        <v>14708</v>
      </c>
      <c r="D1237" s="5" t="str">
        <f ca="1">IFERROR(__xludf.DUMMYFUNCTION("GOOGLETRANSLATE(B1237,""ja"",""vi"")"),"Untitled")</f>
        <v>Untitled</v>
      </c>
      <c r="E1237" s="5" t="str">
        <f ca="1">IFERROR(__xludf.DUMMYFUNCTION("GOOGLETRANSLATE(C1237,""ja"",""vi"")"),"Đấu giá&gt; Thời trang&gt; Phụ nữ Quần áo&gt; Quần soóc&gt; Untitled")</f>
        <v>Đấu giá&gt; Thời trang&gt; Phụ nữ Quần áo&gt; Quần soóc&gt; Untitled</v>
      </c>
      <c r="F1237" t="str">
        <f t="shared" ca="1" si="19"/>
        <v>"2084028055" : "Untitled",</v>
      </c>
    </row>
    <row r="1238" spans="1:6" ht="15.75" customHeight="1">
      <c r="A1238" s="18">
        <v>2084028056</v>
      </c>
      <c r="B1238" s="18" t="s">
        <v>9044</v>
      </c>
      <c r="C1238" s="18" t="s">
        <v>14712</v>
      </c>
      <c r="D1238" s="5" t="str">
        <f ca="1">IFERROR(__xludf.DUMMYFUNCTION("GOOGLETRANSLATE(B1238,""ja"",""vi"")"),"Inedo")</f>
        <v>Inedo</v>
      </c>
      <c r="E1238" s="5" t="str">
        <f ca="1">IFERROR(__xludf.DUMMYFUNCTION("GOOGLETRANSLATE(C1238,""ja"",""vi"")"),"Đấu giá&gt; Thời trang&gt; Phụ nữ Quần áo&gt; Quần soóc&gt; Inedo")</f>
        <v>Đấu giá&gt; Thời trang&gt; Phụ nữ Quần áo&gt; Quần soóc&gt; Inedo</v>
      </c>
      <c r="F1238" t="str">
        <f t="shared" ca="1" si="19"/>
        <v>"2084028056" : "Inedo",</v>
      </c>
    </row>
    <row r="1239" spans="1:6" ht="15.75" customHeight="1">
      <c r="A1239" s="18">
        <v>2084028057</v>
      </c>
      <c r="B1239" s="18" t="s">
        <v>9065</v>
      </c>
      <c r="C1239" s="18" t="s">
        <v>14715</v>
      </c>
      <c r="D1239" s="5" t="str">
        <f ca="1">IFERROR(__xludf.DUMMYFUNCTION("GOOGLETRANSLATE(B1239,""ja"",""vi"")"),"In'e")</f>
        <v>In'e</v>
      </c>
      <c r="E1239" s="5" t="str">
        <f ca="1">IFERROR(__xludf.DUMMYFUNCTION("GOOGLETRANSLATE(C1239,""ja"",""vi"")"),"Đấu giá&gt; Thời trang&gt; Phụ nữ Quần áo&gt; Quần soóc&gt; In'e")</f>
        <v>Đấu giá&gt; Thời trang&gt; Phụ nữ Quần áo&gt; Quần soóc&gt; In'e</v>
      </c>
      <c r="F1239" t="str">
        <f t="shared" ca="1" si="19"/>
        <v>"2084028057" : "In'e",</v>
      </c>
    </row>
    <row r="1240" spans="1:6" ht="15.75" customHeight="1">
      <c r="A1240" s="18">
        <v>2084028058</v>
      </c>
      <c r="B1240" s="18" t="s">
        <v>9096</v>
      </c>
      <c r="C1240" s="18" t="s">
        <v>14719</v>
      </c>
      <c r="D1240" s="5" t="str">
        <f ca="1">IFERROR(__xludf.DUMMYFUNCTION("GOOGLETRANSLATE(B1240,""ja"",""vi"")"),"Indivi")</f>
        <v>Indivi</v>
      </c>
      <c r="E1240" s="5" t="str">
        <f ca="1">IFERROR(__xludf.DUMMYFUNCTION("GOOGLETRANSLATE(C1240,""ja"",""vi"")"),"Đấu giá&gt; Thời trang&gt; Phụ nữ Quần áo&gt; Quần soóc&gt; Indivi")</f>
        <v>Đấu giá&gt; Thời trang&gt; Phụ nữ Quần áo&gt; Quần soóc&gt; Indivi</v>
      </c>
      <c r="F1240" t="str">
        <f t="shared" ca="1" si="19"/>
        <v>"2084028058" : "Indivi",</v>
      </c>
    </row>
    <row r="1241" spans="1:6" ht="15.75" customHeight="1">
      <c r="A1241" s="18">
        <v>2084028060</v>
      </c>
      <c r="B1241" s="18" t="s">
        <v>9261</v>
      </c>
      <c r="C1241" s="18" t="s">
        <v>14723</v>
      </c>
      <c r="D1241" s="5" t="str">
        <f ca="1">IFERROR(__xludf.DUMMYFUNCTION("GOOGLETRANSLATE(B1241,""ja"",""vi"")"),"người vị kỷ")</f>
        <v>người vị kỷ</v>
      </c>
      <c r="E1241" s="5" t="str">
        <f ca="1">IFERROR(__xludf.DUMMYFUNCTION("GOOGLETRANSLATE(C1241,""ja"",""vi"")"),"Đấu giá&gt; Thời trang&gt; Phụ nữ Quần áo&gt; Quần soóc&gt; ích kỷ")</f>
        <v>Đấu giá&gt; Thời trang&gt; Phụ nữ Quần áo&gt; Quần soóc&gt; ích kỷ</v>
      </c>
      <c r="F1241" t="str">
        <f t="shared" ca="1" si="19"/>
        <v>"2084028060" : "người vị kỷ",</v>
      </c>
    </row>
    <row r="1242" spans="1:6" ht="15.75" customHeight="1">
      <c r="A1242" s="18">
        <v>2084028061</v>
      </c>
      <c r="B1242" s="18" t="s">
        <v>9300</v>
      </c>
      <c r="C1242" s="18" t="s">
        <v>14728</v>
      </c>
      <c r="D1242" s="5" t="str">
        <f ca="1">IFERROR(__xludf.DUMMYFUNCTION("GOOGLETRANSLATE(B1242,""ja"",""vi"")"),"X-Girl")</f>
        <v>X-Girl</v>
      </c>
      <c r="E1242" s="5" t="str">
        <f ca="1">IFERROR(__xludf.DUMMYFUNCTION("GOOGLETRANSLATE(C1242,""ja"",""vi"")"),"Đấu giá&gt; Thời trang&gt; Phụ nữ Quần áo&gt; Quần soóc&gt; X-Girl")</f>
        <v>Đấu giá&gt; Thời trang&gt; Phụ nữ Quần áo&gt; Quần soóc&gt; X-Girl</v>
      </c>
      <c r="F1242" t="str">
        <f t="shared" ca="1" si="19"/>
        <v>"2084028061" : "X-Girl",</v>
      </c>
    </row>
    <row r="1243" spans="1:6" ht="15.75" customHeight="1">
      <c r="A1243" s="18">
        <v>2084028062</v>
      </c>
      <c r="B1243" s="18" t="s">
        <v>9463</v>
      </c>
      <c r="C1243" s="18" t="s">
        <v>14731</v>
      </c>
      <c r="D1243" s="5" t="str">
        <f ca="1">IFERROR(__xludf.DUMMYFUNCTION("GOOGLETRANSLATE(B1243,""ja"",""vi"")"),"El")</f>
        <v>El</v>
      </c>
      <c r="E1243" s="5" t="str">
        <f ca="1">IFERROR(__xludf.DUMMYFUNCTION("GOOGLETRANSLATE(C1243,""ja"",""vi"")"),"Đấu giá&gt; Thời trang&gt; Phụ nữ Quần áo&gt; Quần soóc&gt; El")</f>
        <v>Đấu giá&gt; Thời trang&gt; Phụ nữ Quần áo&gt; Quần soóc&gt; El</v>
      </c>
      <c r="F1243" t="str">
        <f t="shared" ca="1" si="19"/>
        <v>"2084028062" : "El",</v>
      </c>
    </row>
    <row r="1244" spans="1:6" ht="15.75" customHeight="1">
      <c r="A1244" s="18">
        <v>2084028063</v>
      </c>
      <c r="B1244" s="18" t="s">
        <v>9475</v>
      </c>
      <c r="C1244" s="18" t="s">
        <v>14736</v>
      </c>
      <c r="D1244" s="5" t="str">
        <f ca="1">IFERROR(__xludf.DUMMYFUNCTION("GOOGLETRANSLATE(B1244,""ja"",""vi"")"),"Hermes")</f>
        <v>Hermes</v>
      </c>
      <c r="E1244" s="5" t="str">
        <f ca="1">IFERROR(__xludf.DUMMYFUNCTION("GOOGLETRANSLATE(C1244,""ja"",""vi"")"),"Đấu giá&gt; Thời trang&gt; Phụ nữ Quần áo&gt; Quần soóc&gt; Hermes")</f>
        <v>Đấu giá&gt; Thời trang&gt; Phụ nữ Quần áo&gt; Quần soóc&gt; Hermes</v>
      </c>
      <c r="F1244" t="str">
        <f t="shared" ca="1" si="19"/>
        <v>"2084028063" : "Hermes",</v>
      </c>
    </row>
    <row r="1245" spans="1:6" ht="15.75" customHeight="1">
      <c r="A1245" s="18">
        <v>2084028064</v>
      </c>
      <c r="B1245" s="18" t="s">
        <v>9537</v>
      </c>
      <c r="C1245" s="18" t="s">
        <v>14741</v>
      </c>
      <c r="D1245" s="5" t="str">
        <f ca="1">IFERROR(__xludf.DUMMYFUNCTION("GOOGLETRANSLATE(B1245,""ja"",""vi"")"),"cộng đồng ozone")</f>
        <v>cộng đồng ozone</v>
      </c>
      <c r="E1245" s="5" t="str">
        <f ca="1">IFERROR(__xludf.DUMMYFUNCTION("GOOGLETRANSLATE(C1245,""ja"",""vi"")"),"Đấu giá&gt; Thời trang&gt; Quần áo&gt; Quần soóc&gt; cộng đồng ozone nữ")</f>
        <v>Đấu giá&gt; Thời trang&gt; Quần áo&gt; Quần soóc&gt; cộng đồng ozone nữ</v>
      </c>
      <c r="F1245" t="str">
        <f t="shared" ca="1" si="19"/>
        <v>"2084028064" : "cộng đồng ozone",</v>
      </c>
    </row>
    <row r="1246" spans="1:6" ht="15.75" customHeight="1">
      <c r="A1246" s="18">
        <v>2084028065</v>
      </c>
      <c r="B1246" s="18" t="s">
        <v>9633</v>
      </c>
      <c r="C1246" s="18" t="s">
        <v>14743</v>
      </c>
      <c r="D1246" s="5" t="str">
        <f ca="1">IFERROR(__xludf.DUMMYFUNCTION("GOOGLETRANSLATE(B1246,""ja"",""vi"")"),"Kapalua")</f>
        <v>Kapalua</v>
      </c>
      <c r="E1246" s="5" t="str">
        <f ca="1">IFERROR(__xludf.DUMMYFUNCTION("GOOGLETRANSLATE(C1246,""ja"",""vi"")"),"Đấu giá&gt; Thời trang&gt; Phụ nữ Quần áo&gt; Quần soóc&gt; Kapalua")</f>
        <v>Đấu giá&gt; Thời trang&gt; Phụ nữ Quần áo&gt; Quần soóc&gt; Kapalua</v>
      </c>
      <c r="F1246" t="str">
        <f t="shared" ca="1" si="19"/>
        <v>"2084028065" : "Kapalua",</v>
      </c>
    </row>
    <row r="1247" spans="1:6" ht="15.75" customHeight="1">
      <c r="A1247" s="18">
        <v>2084028066</v>
      </c>
      <c r="B1247" s="18" t="s">
        <v>9751</v>
      </c>
      <c r="C1247" s="18" t="s">
        <v>14747</v>
      </c>
      <c r="D1247" s="5" t="str">
        <f ca="1">IFERROR(__xludf.DUMMYFUNCTION("GOOGLETRANSLATE(B1247,""ja"",""vi"")"),"khoảng trống")</f>
        <v>khoảng trống</v>
      </c>
      <c r="E1247" s="5" t="str">
        <f ca="1">IFERROR(__xludf.DUMMYFUNCTION("GOOGLETRANSLATE(C1247,""ja"",""vi"")"),"Đấu giá&gt; Thời trang&gt; Quần áo&gt; Quần soóc&gt; khoảng cách của phụ nữ")</f>
        <v>Đấu giá&gt; Thời trang&gt; Quần áo&gt; Quần soóc&gt; khoảng cách của phụ nữ</v>
      </c>
      <c r="F1247" t="str">
        <f t="shared" ca="1" si="19"/>
        <v>"2084028066" : "khoảng trống",</v>
      </c>
    </row>
    <row r="1248" spans="1:6" ht="15.75" customHeight="1">
      <c r="A1248" s="18">
        <v>2084028068</v>
      </c>
      <c r="B1248" s="18" t="s">
        <v>9858</v>
      </c>
      <c r="C1248" s="18" t="s">
        <v>14751</v>
      </c>
      <c r="D1248" s="5" t="str">
        <f ca="1">IFERROR(__xludf.DUMMYFUNCTION("GOOGLETRANSLATE(B1248,""ja"",""vi"")"),"Christian Dior")</f>
        <v>Christian Dior</v>
      </c>
      <c r="E1248" s="5" t="str">
        <f ca="1">IFERROR(__xludf.DUMMYFUNCTION("GOOGLETRANSLATE(C1248,""ja"",""vi"")"),"Đấu giá&gt; Thời trang&gt; Phụ nữ Quần áo&gt; Quần soóc&gt; Christian Dior")</f>
        <v>Đấu giá&gt; Thời trang&gt; Phụ nữ Quần áo&gt; Quần soóc&gt; Christian Dior</v>
      </c>
      <c r="F1248" t="str">
        <f t="shared" ca="1" si="19"/>
        <v>"2084028068" : "Christian Dior",</v>
      </c>
    </row>
    <row r="1249" spans="1:6" ht="15.75" customHeight="1">
      <c r="A1249" s="18">
        <v>2084028069</v>
      </c>
      <c r="B1249" s="18" t="s">
        <v>9921</v>
      </c>
      <c r="C1249" s="18" t="s">
        <v>14755</v>
      </c>
      <c r="D1249" s="5" t="str">
        <f ca="1">IFERROR(__xludf.DUMMYFUNCTION("GOOGLETRANSLATE(B1249,""ja"",""vi"")"),"Courreges")</f>
        <v>Courreges</v>
      </c>
      <c r="E1249" s="5" t="str">
        <f ca="1">IFERROR(__xludf.DUMMYFUNCTION("GOOGLETRANSLATE(C1249,""ja"",""vi"")"),"Đấu giá&gt; Thời trang&gt; Phụ nữ Quần áo&gt; Quần soóc&gt; Courreges")</f>
        <v>Đấu giá&gt; Thời trang&gt; Phụ nữ Quần áo&gt; Quần soóc&gt; Courreges</v>
      </c>
      <c r="F1249" t="str">
        <f t="shared" ca="1" si="19"/>
        <v>"2084028069" : "Courreges",</v>
      </c>
    </row>
    <row r="1250" spans="1:6" ht="15.75" customHeight="1">
      <c r="A1250" s="18">
        <v>2084028067</v>
      </c>
      <c r="B1250" s="18" t="s">
        <v>9815</v>
      </c>
      <c r="C1250" s="18" t="s">
        <v>14757</v>
      </c>
      <c r="D1250" s="5" t="str">
        <f ca="1">IFERROR(__xludf.DUMMYFUNCTION("GOOGLETRANSLATE(B1250,""ja"",""vi"")"),"Gucci")</f>
        <v>Gucci</v>
      </c>
      <c r="E1250" s="5" t="str">
        <f ca="1">IFERROR(__xludf.DUMMYFUNCTION("GOOGLETRANSLATE(C1250,""ja"",""vi"")"),"Đấu giá&gt; Thời trang&gt; Phụ nữ Quần áo&gt; Quần soóc&gt; Gucci")</f>
        <v>Đấu giá&gt; Thời trang&gt; Phụ nữ Quần áo&gt; Quần soóc&gt; Gucci</v>
      </c>
      <c r="F1250" t="str">
        <f t="shared" ca="1" si="19"/>
        <v>"2084028067" : "Gucci",</v>
      </c>
    </row>
    <row r="1251" spans="1:6" ht="15.75" customHeight="1">
      <c r="A1251" s="18">
        <v>2084028070</v>
      </c>
      <c r="B1251" s="18" t="s">
        <v>10020</v>
      </c>
      <c r="C1251" s="18" t="s">
        <v>14761</v>
      </c>
      <c r="D1251" s="5" t="str">
        <f ca="1">IFERROR(__xludf.DUMMYFUNCTION("GOOGLETRANSLATE(B1251,""ja"",""vi"")"),"Kokoruru")</f>
        <v>Kokoruru</v>
      </c>
      <c r="E1251" s="5" t="str">
        <f ca="1">IFERROR(__xludf.DUMMYFUNCTION("GOOGLETRANSLATE(C1251,""ja"",""vi"")"),"Đấu giá&gt; Thời trang&gt; Phụ nữ Quần áo&gt; Quần soóc&gt; Kokoruru")</f>
        <v>Đấu giá&gt; Thời trang&gt; Phụ nữ Quần áo&gt; Quần soóc&gt; Kokoruru</v>
      </c>
      <c r="F1251" t="str">
        <f t="shared" ca="1" si="19"/>
        <v>"2084028070" : "Kokoruru",</v>
      </c>
    </row>
    <row r="1252" spans="1:6" ht="15.75" customHeight="1">
      <c r="A1252" s="18">
        <v>2084028071</v>
      </c>
      <c r="B1252" s="18" t="s">
        <v>10041</v>
      </c>
      <c r="C1252" s="18" t="s">
        <v>14765</v>
      </c>
      <c r="D1252" s="5" t="str">
        <f ca="1">IFERROR(__xludf.DUMMYFUNCTION("GOOGLETRANSLATE(B1252,""ja"",""vi"")"),"Com de chế độ")</f>
        <v>Com de chế độ</v>
      </c>
      <c r="E1252" s="5" t="str">
        <f ca="1">IFERROR(__xludf.DUMMYFUNCTION("GOOGLETRANSLATE(C1252,""ja"",""vi"")"),"Đấu giá&gt; Thời trang&gt; Phụ nữ Quần áo&gt; Quần soóc&gt; com de chế độ")</f>
        <v>Đấu giá&gt; Thời trang&gt; Phụ nữ Quần áo&gt; Quần soóc&gt; com de chế độ</v>
      </c>
      <c r="F1252" t="str">
        <f t="shared" ca="1" si="19"/>
        <v>"2084028071" : "Com de chế độ",</v>
      </c>
    </row>
    <row r="1253" spans="1:6" ht="15.75" customHeight="1">
      <c r="A1253" s="18">
        <v>2084028072</v>
      </c>
      <c r="B1253" s="18" t="s">
        <v>10044</v>
      </c>
      <c r="C1253" s="18" t="s">
        <v>14767</v>
      </c>
      <c r="D1253" s="5" t="str">
        <f ca="1">IFERROR(__xludf.DUMMYFUNCTION("GOOGLETRANSLATE(B1253,""ja"",""vi"")"),"Comme des Garcons")</f>
        <v>Comme des Garcons</v>
      </c>
      <c r="E1253" s="5" t="str">
        <f ca="1">IFERROR(__xludf.DUMMYFUNCTION("GOOGLETRANSLATE(C1253,""ja"",""vi"")"),"Đấu giá&gt; Thời trang&gt; Phụ nữ Quần áo&gt; Quần soóc&gt; Comme des Garcons")</f>
        <v>Đấu giá&gt; Thời trang&gt; Phụ nữ Quần áo&gt; Quần soóc&gt; Comme des Garcons</v>
      </c>
      <c r="F1253" t="str">
        <f t="shared" ca="1" si="19"/>
        <v>"2084028072" : "Comme des Garcons",</v>
      </c>
    </row>
    <row r="1254" spans="1:6" ht="15.75" customHeight="1">
      <c r="A1254" s="18">
        <v>2084028073</v>
      </c>
      <c r="B1254" s="18" t="s">
        <v>10229</v>
      </c>
      <c r="C1254" s="18" t="s">
        <v>14771</v>
      </c>
      <c r="D1254" s="5" t="str">
        <f ca="1">IFERROR(__xludf.DUMMYFUNCTION("GOOGLETRANSLATE(B1254,""ja"",""vi"")"),"tàu")</f>
        <v>tàu</v>
      </c>
      <c r="E1254" s="5" t="str">
        <f ca="1">IFERROR(__xludf.DUMMYFUNCTION("GOOGLETRANSLATE(C1254,""ja"",""vi"")"),"Đấu giá&gt; Thời trang&gt; Phụ nữ Quần áo&gt; Quần soóc&gt; Tàu")</f>
        <v>Đấu giá&gt; Thời trang&gt; Phụ nữ Quần áo&gt; Quần soóc&gt; Tàu</v>
      </c>
      <c r="F1254" t="str">
        <f t="shared" ca="1" si="19"/>
        <v>"2084028073" : "tàu",</v>
      </c>
    </row>
    <row r="1255" spans="1:6" ht="15.75" customHeight="1">
      <c r="A1255" s="18">
        <v>2084028074</v>
      </c>
      <c r="B1255" s="18" t="s">
        <v>10288</v>
      </c>
      <c r="C1255" s="18" t="s">
        <v>14775</v>
      </c>
      <c r="D1255" s="5" t="str">
        <f ca="1">IFERROR(__xludf.DUMMYFUNCTION("GOOGLETRANSLATE(B1255,""ja"",""vi"")"),"Chanel")</f>
        <v>Chanel</v>
      </c>
      <c r="E1255" s="5" t="str">
        <f ca="1">IFERROR(__xludf.DUMMYFUNCTION("GOOGLETRANSLATE(C1255,""ja"",""vi"")"),"Đấu giá&gt; Thời trang&gt; Phụ nữ Quần áo&gt; Quần soóc&gt; Chanel")</f>
        <v>Đấu giá&gt; Thời trang&gt; Phụ nữ Quần áo&gt; Quần soóc&gt; Chanel</v>
      </c>
      <c r="F1255" t="str">
        <f t="shared" ca="1" si="19"/>
        <v>"2084028074" : "Chanel",</v>
      </c>
    </row>
    <row r="1256" spans="1:6" ht="15.75" customHeight="1">
      <c r="A1256" s="18">
        <v>2084028075</v>
      </c>
      <c r="B1256" s="18" t="s">
        <v>10446</v>
      </c>
      <c r="C1256" s="18" t="s">
        <v>14779</v>
      </c>
      <c r="D1256" s="5" t="str">
        <f ca="1">IFERROR(__xludf.DUMMYFUNCTION("GOOGLETRANSLATE(B1256,""ja"",""vi"")"),"Jill Stuart")</f>
        <v>Jill Stuart</v>
      </c>
      <c r="E1256" s="5" t="str">
        <f ca="1">IFERROR(__xludf.DUMMYFUNCTION("GOOGLETRANSLATE(C1256,""ja"",""vi"")"),"Đấu giá&gt; Thời trang&gt; Quần áo&gt; Quần soóc&gt; Jill Stuart nữ")</f>
        <v>Đấu giá&gt; Thời trang&gt; Quần áo&gt; Quần soóc&gt; Jill Stuart nữ</v>
      </c>
      <c r="F1256" t="str">
        <f t="shared" ca="1" si="19"/>
        <v>"2084028075" : "Jill Stuart",</v>
      </c>
    </row>
    <row r="1257" spans="1:6" ht="15.75" customHeight="1">
      <c r="A1257" s="18">
        <v>2084028076</v>
      </c>
      <c r="B1257" s="18" t="s">
        <v>10476</v>
      </c>
      <c r="C1257" s="18" t="s">
        <v>14781</v>
      </c>
      <c r="D1257" s="5" t="str">
        <f ca="1">IFERROR(__xludf.DUMMYFUNCTION("GOOGLETRANSLATE(B1257,""ja"",""vi"")"),"Zucca")</f>
        <v>Zucca</v>
      </c>
      <c r="E1257" s="5" t="str">
        <f ca="1">IFERROR(__xludf.DUMMYFUNCTION("GOOGLETRANSLATE(C1257,""ja"",""vi"")"),"Đấu giá&gt; Thời trang&gt; Phụ nữ Quần áo&gt; Quần soóc&gt; Zucca")</f>
        <v>Đấu giá&gt; Thời trang&gt; Phụ nữ Quần áo&gt; Quần soóc&gt; Zucca</v>
      </c>
      <c r="F1257" t="str">
        <f t="shared" ca="1" si="19"/>
        <v>"2084028076" : "Zucca",</v>
      </c>
    </row>
    <row r="1258" spans="1:6" ht="15.75" customHeight="1">
      <c r="A1258" s="18">
        <v>2084028077</v>
      </c>
      <c r="B1258" s="18" t="s">
        <v>10601</v>
      </c>
      <c r="C1258" s="18" t="s">
        <v>14783</v>
      </c>
      <c r="D1258" s="5" t="str">
        <f ca="1">IFERROR(__xludf.DUMMYFUNCTION("GOOGLETRANSLATE(B1258,""ja"",""vi"")"),"Cecil McBee")</f>
        <v>Cecil McBee</v>
      </c>
      <c r="E1258" s="5" t="str">
        <f ca="1">IFERROR(__xludf.DUMMYFUNCTION("GOOGLETRANSLATE(C1258,""ja"",""vi"")"),"Đấu giá&gt; Thời trang&gt; Quần áo&gt; Quần soóc&gt; Cecil McBee nữ")</f>
        <v>Đấu giá&gt; Thời trang&gt; Quần áo&gt; Quần soóc&gt; Cecil McBee nữ</v>
      </c>
      <c r="F1258" t="str">
        <f t="shared" ca="1" si="19"/>
        <v>"2084028077" : "Cecil McBee",</v>
      </c>
    </row>
    <row r="1259" spans="1:6" ht="15.75" customHeight="1">
      <c r="A1259" s="18">
        <v>2084028078</v>
      </c>
      <c r="B1259" s="18" t="s">
        <v>13486</v>
      </c>
      <c r="C1259" s="18" t="s">
        <v>14785</v>
      </c>
      <c r="D1259" s="5" t="str">
        <f ca="1">IFERROR(__xludf.DUMMYFUNCTION("GOOGLETRANSLATE(B1259,""ja"",""vi"")"),"Donna Karan, DKNY")</f>
        <v>Donna Karan, DKNY</v>
      </c>
      <c r="E1259" s="5" t="str">
        <f ca="1">IFERROR(__xludf.DUMMYFUNCTION("GOOGLETRANSLATE(C1259,""ja"",""vi"")"),"Đấu giá&gt; Thời trang&gt; Phụ nữ Quần áo&gt; Quần soóc&gt; Donna Karan, DKNY")</f>
        <v>Đấu giá&gt; Thời trang&gt; Phụ nữ Quần áo&gt; Quần soóc&gt; Donna Karan, DKNY</v>
      </c>
      <c r="F1259" t="str">
        <f t="shared" ca="1" si="19"/>
        <v>"2084028078" : "Donna Karan, DKNY",</v>
      </c>
    </row>
    <row r="1260" spans="1:6" ht="15.75" customHeight="1">
      <c r="A1260" s="18">
        <v>2084028079</v>
      </c>
      <c r="B1260" s="18" t="s">
        <v>10819</v>
      </c>
      <c r="C1260" s="18" t="s">
        <v>14787</v>
      </c>
      <c r="D1260" s="5" t="str">
        <f ca="1">IFERROR(__xludf.DUMMYFUNCTION("GOOGLETRANSLATE(B1260,""ja"",""vi"")"),"Tsumori Chisato")</f>
        <v>Tsumori Chisato</v>
      </c>
      <c r="E1260" s="5" t="str">
        <f ca="1">IFERROR(__xludf.DUMMYFUNCTION("GOOGLETRANSLATE(C1260,""ja"",""vi"")"),"Đấu giá&gt; Thời trang&gt; Quần áo&gt; Quần soóc&gt; Tsumori Chisato nữ")</f>
        <v>Đấu giá&gt; Thời trang&gt; Quần áo&gt; Quần soóc&gt; Tsumori Chisato nữ</v>
      </c>
      <c r="F1260" t="str">
        <f t="shared" ca="1" si="19"/>
        <v>"2084028079" : "Tsumori Chisato",</v>
      </c>
    </row>
    <row r="1261" spans="1:6" ht="15.75" customHeight="1">
      <c r="A1261" s="18">
        <v>2084028080</v>
      </c>
      <c r="B1261" s="18" t="s">
        <v>11150</v>
      </c>
      <c r="C1261" s="18" t="s">
        <v>14788</v>
      </c>
      <c r="D1261" s="5" t="str">
        <f ca="1">IFERROR(__xludf.DUMMYFUNCTION("GOOGLETRANSLATE(B1261,""ja"",""vi"")"),"phế liệu Nai")</f>
        <v>phế liệu Nai</v>
      </c>
      <c r="E1261" s="5" t="str">
        <f ca="1">IFERROR(__xludf.DUMMYFUNCTION("GOOGLETRANSLATE(C1261,""ja"",""vi"")"),"Đấu giá&gt; Thời trang&gt; Quần áo&gt; Quần soóc&gt; phế liệu Nai nữ")</f>
        <v>Đấu giá&gt; Thời trang&gt; Quần áo&gt; Quần soóc&gt; phế liệu Nai nữ</v>
      </c>
      <c r="F1261" t="str">
        <f t="shared" ca="1" si="19"/>
        <v>"2084028080" : "phế liệu Nai",</v>
      </c>
    </row>
    <row r="1262" spans="1:6" ht="15.75" customHeight="1">
      <c r="A1262" s="18">
        <v>2084028081</v>
      </c>
      <c r="B1262" s="18" t="s">
        <v>11443</v>
      </c>
      <c r="C1262" s="18" t="s">
        <v>14790</v>
      </c>
      <c r="D1262" s="5" t="str">
        <f ca="1">IFERROR(__xludf.DUMMYFUNCTION("GOOGLETRANSLATE(B1262,""ja"",""vi"")"),"chổ lồi ở cây")</f>
        <v>chổ lồi ở cây</v>
      </c>
      <c r="E1262" s="5" t="str">
        <f ca="1">IFERROR(__xludf.DUMMYFUNCTION("GOOGLETRANSLATE(C1262,""ja"",""vi"")"),"Đấu giá&gt; Thời trang&gt; Phụ nữ Quần áo&gt; Quần soóc&gt; Burberry")</f>
        <v>Đấu giá&gt; Thời trang&gt; Phụ nữ Quần áo&gt; Quần soóc&gt; Burberry</v>
      </c>
      <c r="F1262" t="str">
        <f t="shared" ca="1" si="19"/>
        <v>"2084028081" : "chổ lồi ở cây",</v>
      </c>
    </row>
    <row r="1263" spans="1:6" ht="15.75" customHeight="1">
      <c r="A1263" s="18">
        <v>2084028083</v>
      </c>
      <c r="B1263" s="18" t="s">
        <v>11611</v>
      </c>
      <c r="C1263" s="18" t="s">
        <v>14792</v>
      </c>
      <c r="D1263" s="5" t="str">
        <f ca="1">IFERROR(__xludf.DUMMYFUNCTION("GOOGLETRANSLATE(B1263,""ja"",""vi"")"),"Hysteric Glamour")</f>
        <v>Hysteric Glamour</v>
      </c>
      <c r="E1263" s="5" t="str">
        <f ca="1">IFERROR(__xludf.DUMMYFUNCTION("GOOGLETRANSLATE(C1263,""ja"",""vi"")"),"Đấu giá&gt; Thời trang&gt; Quần áo&gt; Quần soóc&gt; Hysteric Glamour nữ")</f>
        <v>Đấu giá&gt; Thời trang&gt; Quần áo&gt; Quần soóc&gt; Hysteric Glamour nữ</v>
      </c>
      <c r="F1263" t="str">
        <f t="shared" ca="1" si="19"/>
        <v>"2084028083" : "Hysteric Glamour",</v>
      </c>
    </row>
    <row r="1264" spans="1:6" ht="15.75" customHeight="1">
      <c r="A1264" s="18">
        <v>2084028082</v>
      </c>
      <c r="B1264" s="18" t="s">
        <v>11683</v>
      </c>
      <c r="C1264" s="18" t="s">
        <v>14794</v>
      </c>
      <c r="D1264" s="5" t="str">
        <f ca="1">IFERROR(__xludf.DUMMYFUNCTION("GOOGLETRANSLATE(B1264,""ja"",""vi"")"),"DẦM")</f>
        <v>DẦM</v>
      </c>
      <c r="E1264" s="5" t="str">
        <f ca="1">IFERROR(__xludf.DUMMYFUNCTION("GOOGLETRANSLATE(C1264,""ja"",""vi"")"),"Đấu giá&gt; Thời trang&gt; Phụ nữ Quần áo&gt; Quần soóc&gt; Dầm")</f>
        <v>Đấu giá&gt; Thời trang&gt; Phụ nữ Quần áo&gt; Quần soóc&gt; Dầm</v>
      </c>
      <c r="F1264" t="str">
        <f t="shared" ca="1" si="19"/>
        <v>"2084028082" : "DẦM",</v>
      </c>
    </row>
    <row r="1265" spans="1:6" ht="15.75" customHeight="1">
      <c r="A1265" s="18">
        <v>2084028084</v>
      </c>
      <c r="B1265" s="18" t="s">
        <v>11668</v>
      </c>
      <c r="C1265" s="18" t="s">
        <v>14795</v>
      </c>
      <c r="D1265" s="5" t="str">
        <f ca="1">IFERROR(__xludf.DUMMYFUNCTION("GOOGLETRANSLATE(B1265,""ja"",""vi"")"),"Bibayu")</f>
        <v>Bibayu</v>
      </c>
      <c r="E1265" s="5" t="str">
        <f ca="1">IFERROR(__xludf.DUMMYFUNCTION("GOOGLETRANSLATE(C1265,""ja"",""vi"")"),"Đấu giá&gt; Thời trang&gt; Phụ nữ Quần áo&gt; Quần soóc&gt; Bibayu")</f>
        <v>Đấu giá&gt; Thời trang&gt; Phụ nữ Quần áo&gt; Quần soóc&gt; Bibayu</v>
      </c>
      <c r="F1265" t="str">
        <f t="shared" ca="1" si="19"/>
        <v>"2084028084" : "Bibayu",</v>
      </c>
    </row>
    <row r="1266" spans="1:6" ht="15.75" customHeight="1">
      <c r="A1266" s="18">
        <v>2084028085</v>
      </c>
      <c r="B1266" s="18" t="s">
        <v>11748</v>
      </c>
      <c r="C1266" s="18" t="s">
        <v>14797</v>
      </c>
      <c r="D1266" s="5" t="str">
        <f ca="1">IFERROR(__xludf.DUMMYFUNCTION("GOOGLETRANSLATE(B1266,""ja"",""vi"")"),"Pinky &amp; Dianne")</f>
        <v>Pinky &amp; Dianne</v>
      </c>
      <c r="E1266" s="5" t="str">
        <f ca="1">IFERROR(__xludf.DUMMYFUNCTION("GOOGLETRANSLATE(C1266,""ja"",""vi"")"),"Đấu giá&gt; Thời trang&gt; Phụ nữ Quần áo&gt; Quần soóc&gt; Pinky &amp; Dianne")</f>
        <v>Đấu giá&gt; Thời trang&gt; Phụ nữ Quần áo&gt; Quần soóc&gt; Pinky &amp; Dianne</v>
      </c>
      <c r="F1266" t="str">
        <f t="shared" ca="1" si="19"/>
        <v>"2084028085" : "Pinky &amp; Dianne",</v>
      </c>
    </row>
    <row r="1267" spans="1:6" ht="15.75" customHeight="1">
      <c r="A1267" s="18">
        <v>2084028086</v>
      </c>
      <c r="B1267" s="18" t="s">
        <v>11762</v>
      </c>
      <c r="C1267" s="18" t="s">
        <v>14799</v>
      </c>
      <c r="D1267" s="5" t="str">
        <f ca="1">IFERROR(__xludf.DUMMYFUNCTION("GOOGLETRANSLATE(B1267,""ja"",""vi"")"),"nhà màu hồng")</f>
        <v>nhà màu hồng</v>
      </c>
      <c r="E1267" s="5" t="str">
        <f ca="1">IFERROR(__xludf.DUMMYFUNCTION("GOOGLETRANSLATE(C1267,""ja"",""vi"")"),"Đấu giá&gt; Thời trang&gt; Phụ nữ Quần áo&gt; Quần soóc&gt; Pink House")</f>
        <v>Đấu giá&gt; Thời trang&gt; Phụ nữ Quần áo&gt; Quần soóc&gt; Pink House</v>
      </c>
      <c r="F1267" t="str">
        <f t="shared" ca="1" si="19"/>
        <v>"2084028086" : "nhà màu hồng",</v>
      </c>
    </row>
    <row r="1268" spans="1:6" ht="15.75" customHeight="1">
      <c r="A1268" s="18">
        <v>2084028087</v>
      </c>
      <c r="B1268" s="18" t="s">
        <v>11843</v>
      </c>
      <c r="C1268" s="18" t="s">
        <v>14801</v>
      </c>
      <c r="D1268" s="5" t="str">
        <f ca="1">IFERROR(__xludf.DUMMYFUNCTION("GOOGLETRANSLATE(B1268,""ja"",""vi"")"),"Fendi")</f>
        <v>Fendi</v>
      </c>
      <c r="E1268" s="5" t="str">
        <f ca="1">IFERROR(__xludf.DUMMYFUNCTION("GOOGLETRANSLATE(C1268,""ja"",""vi"")"),"Đấu giá&gt; Thời trang&gt; Phụ nữ Quần áo&gt; Quần soóc&gt; Fendi")</f>
        <v>Đấu giá&gt; Thời trang&gt; Phụ nữ Quần áo&gt; Quần soóc&gt; Fendi</v>
      </c>
      <c r="F1268" t="str">
        <f t="shared" ca="1" si="19"/>
        <v>"2084028087" : "Fendi",</v>
      </c>
    </row>
    <row r="1269" spans="1:6" ht="15.75" customHeight="1">
      <c r="A1269" s="18">
        <v>2084028088</v>
      </c>
      <c r="B1269" s="18" t="s">
        <v>12025</v>
      </c>
      <c r="C1269" s="18" t="s">
        <v>14804</v>
      </c>
      <c r="D1269" s="5" t="str">
        <f ca="1">IFERROR(__xludf.DUMMYFUNCTION("GOOGLETRANSLATE(B1269,""ja"",""vi"")"),"LABEL TƯ")</f>
        <v>LABEL TƯ</v>
      </c>
      <c r="E1269" s="5" t="str">
        <f ca="1">IFERROR(__xludf.DUMMYFUNCTION("GOOGLETRANSLATE(C1269,""ja"",""vi"")"),"Đấu giá&gt; Thời trang&gt; Quần áo&gt; Quần soóc&gt; nhãn hiệu riêng của phụ nữ")</f>
        <v>Đấu giá&gt; Thời trang&gt; Quần áo&gt; Quần soóc&gt; nhãn hiệu riêng của phụ nữ</v>
      </c>
      <c r="F1269" t="str">
        <f t="shared" ca="1" si="19"/>
        <v>"2084028088" : "LABEL TƯ",</v>
      </c>
    </row>
    <row r="1270" spans="1:6" ht="15.75" customHeight="1">
      <c r="A1270" s="18">
        <v>2084028089</v>
      </c>
      <c r="B1270" s="18" t="s">
        <v>12035</v>
      </c>
      <c r="C1270" s="18" t="s">
        <v>14806</v>
      </c>
      <c r="D1270" s="5" t="str">
        <f ca="1">IFERROR(__xludf.DUMMYFUNCTION("GOOGLETRANSLATE(B1270,""ja"",""vi"")"),"Prada")</f>
        <v>Prada</v>
      </c>
      <c r="E1270" s="5" t="str">
        <f ca="1">IFERROR(__xludf.DUMMYFUNCTION("GOOGLETRANSLATE(C1270,""ja"",""vi"")"),"Đấu giá&gt; Thời trang&gt; Phụ nữ Quần áo&gt; Quần soóc&gt; Prada")</f>
        <v>Đấu giá&gt; Thời trang&gt; Phụ nữ Quần áo&gt; Quần soóc&gt; Prada</v>
      </c>
      <c r="F1270" t="str">
        <f t="shared" ca="1" si="19"/>
        <v>"2084028089" : "Prada",</v>
      </c>
    </row>
    <row r="1271" spans="1:6" ht="15.75" customHeight="1">
      <c r="A1271" s="18">
        <v>2084028049</v>
      </c>
      <c r="B1271" s="18" t="s">
        <v>12114</v>
      </c>
      <c r="C1271" s="18" t="s">
        <v>14809</v>
      </c>
      <c r="D1271" s="5" t="str">
        <f ca="1">IFERROR(__xludf.DUMMYFUNCTION("GOOGLETRANSLATE(B1271,""ja"",""vi"")"),"Benetton")</f>
        <v>Benetton</v>
      </c>
      <c r="E1271" s="5" t="str">
        <f ca="1">IFERROR(__xludf.DUMMYFUNCTION("GOOGLETRANSLATE(C1271,""ja"",""vi"")"),"Đấu giá&gt; Thời trang&gt; Phụ nữ Quần áo&gt; Quần soóc&gt; Benetton")</f>
        <v>Đấu giá&gt; Thời trang&gt; Phụ nữ Quần áo&gt; Quần soóc&gt; Benetton</v>
      </c>
      <c r="F1271" t="str">
        <f t="shared" ca="1" si="19"/>
        <v>"2084028049" : "Benetton",</v>
      </c>
    </row>
    <row r="1272" spans="1:6" ht="15.75" customHeight="1">
      <c r="A1272" s="18">
        <v>2084028050</v>
      </c>
      <c r="B1272" s="18" t="s">
        <v>12312</v>
      </c>
      <c r="C1272" s="18" t="s">
        <v>14810</v>
      </c>
      <c r="D1272" s="5" t="str">
        <f ca="1">IFERROR(__xludf.DUMMYFUNCTION("GOOGLETRANSLATE(B1272,""ja"",""vi"")"),"Moussy")</f>
        <v>Moussy</v>
      </c>
      <c r="E1272" s="5" t="str">
        <f ca="1">IFERROR(__xludf.DUMMYFUNCTION("GOOGLETRANSLATE(C1272,""ja"",""vi"")"),"Đấu giá&gt; Thời trang&gt; Phụ nữ Quần áo&gt; Quần soóc&gt; Moussy")</f>
        <v>Đấu giá&gt; Thời trang&gt; Phụ nữ Quần áo&gt; Quần soóc&gt; Moussy</v>
      </c>
      <c r="F1272" t="str">
        <f t="shared" ca="1" si="19"/>
        <v>"2084028050" : "Moussy",</v>
      </c>
    </row>
    <row r="1273" spans="1:6" ht="15.75" customHeight="1">
      <c r="A1273" s="18">
        <v>2084028040</v>
      </c>
      <c r="B1273" s="18" t="s">
        <v>12442</v>
      </c>
      <c r="C1273" s="18" t="s">
        <v>14812</v>
      </c>
      <c r="D1273" s="5" t="str">
        <f ca="1">IFERROR(__xludf.DUMMYFUNCTION("GOOGLETRANSLATE(B1273,""ja"",""vi"")"),"Mijen")</f>
        <v>Mijen</v>
      </c>
      <c r="E1273" s="5" t="str">
        <f ca="1">IFERROR(__xludf.DUMMYFUNCTION("GOOGLETRANSLATE(C1273,""ja"",""vi"")"),"Đấu giá&gt; Thời trang&gt; Phụ nữ Quần áo&gt; Quần soóc&gt; Mijen")</f>
        <v>Đấu giá&gt; Thời trang&gt; Phụ nữ Quần áo&gt; Quần soóc&gt; Mijen</v>
      </c>
      <c r="F1273" t="str">
        <f t="shared" ca="1" si="19"/>
        <v>"2084028040" : "Mijen",</v>
      </c>
    </row>
    <row r="1274" spans="1:6" ht="15.75" customHeight="1">
      <c r="A1274" s="18">
        <v>2084028041</v>
      </c>
      <c r="B1274" s="18" t="s">
        <v>12465</v>
      </c>
      <c r="C1274" s="18" t="s">
        <v>14814</v>
      </c>
      <c r="D1274" s="5" t="str">
        <f ca="1">IFERROR(__xludf.DUMMYFUNCTION("GOOGLETRANSLATE(B1274,""ja"",""vi"")"),"Michel Klang")</f>
        <v>Michel Klang</v>
      </c>
      <c r="E1274" s="5" t="str">
        <f ca="1">IFERROR(__xludf.DUMMYFUNCTION("GOOGLETRANSLATE(C1274,""ja"",""vi"")"),"Đấu giá&gt; Thời trang&gt; Quần áo&gt; Quần soóc&gt; Michel Klang nữ")</f>
        <v>Đấu giá&gt; Thời trang&gt; Quần áo&gt; Quần soóc&gt; Michel Klang nữ</v>
      </c>
      <c r="F1274" t="str">
        <f t="shared" ca="1" si="19"/>
        <v>"2084028041" : "Michel Klang",</v>
      </c>
    </row>
    <row r="1275" spans="1:6" ht="15.75" customHeight="1">
      <c r="A1275" s="18">
        <v>2084028042</v>
      </c>
      <c r="B1275" s="18" t="s">
        <v>12763</v>
      </c>
      <c r="C1275" s="18" t="s">
        <v>14817</v>
      </c>
      <c r="D1275" s="5" t="str">
        <f ca="1">IFERROR(__xludf.DUMMYFUNCTION("GOOGLETRANSLATE(B1275,""ja"",""vi"")"),"Rabuboto")</f>
        <v>Rabuboto</v>
      </c>
      <c r="E1275" s="5" t="str">
        <f ca="1">IFERROR(__xludf.DUMMYFUNCTION("GOOGLETRANSLATE(C1275,""ja"",""vi"")"),"Đấu giá&gt; Thời trang&gt; Phụ nữ Quần áo&gt; Quần soóc&gt; Rabuboto")</f>
        <v>Đấu giá&gt; Thời trang&gt; Phụ nữ Quần áo&gt; Quần soóc&gt; Rabuboto</v>
      </c>
      <c r="F1275" t="str">
        <f t="shared" ca="1" si="19"/>
        <v>"2084028042" : "Rabuboto",</v>
      </c>
    </row>
    <row r="1276" spans="1:6" ht="15.75" customHeight="1">
      <c r="A1276" s="18">
        <v>2084028043</v>
      </c>
      <c r="B1276" s="18" t="s">
        <v>12786</v>
      </c>
      <c r="C1276" s="18" t="s">
        <v>14820</v>
      </c>
      <c r="D1276" s="5" t="str">
        <f ca="1">IFERROR(__xludf.DUMMYFUNCTION("GOOGLETRANSLATE(B1276,""ja"",""vi"")"),"Ralph Lauren")</f>
        <v>Ralph Lauren</v>
      </c>
      <c r="E1276" s="5" t="str">
        <f ca="1">IFERROR(__xludf.DUMMYFUNCTION("GOOGLETRANSLATE(C1276,""ja"",""vi"")"),"Đấu giá&gt; Thời trang&gt; Quần áo&gt; Quần soóc&gt; Ralph Lauren nữ")</f>
        <v>Đấu giá&gt; Thời trang&gt; Quần áo&gt; Quần soóc&gt; Ralph Lauren nữ</v>
      </c>
      <c r="F1276" t="str">
        <f t="shared" ca="1" si="19"/>
        <v>"2084028043" : "Ralph Lauren",</v>
      </c>
    </row>
    <row r="1277" spans="1:6" ht="15.75" customHeight="1">
      <c r="A1277" s="18">
        <v>2084028045</v>
      </c>
      <c r="B1277" s="18" t="s">
        <v>13116</v>
      </c>
      <c r="C1277" s="18" t="s">
        <v>14823</v>
      </c>
      <c r="D1277" s="5" t="str">
        <f ca="1">IFERROR(__xludf.DUMMYFUNCTION("GOOGLETRANSLATE(B1277,""ja"",""vi"")"),"bước chạy dài")</f>
        <v>bước chạy dài</v>
      </c>
      <c r="E1277" s="5" t="str">
        <f ca="1">IFERROR(__xludf.DUMMYFUNCTION("GOOGLETRANSLATE(C1277,""ja"",""vi"")"),"Đấu giá&gt; Thời trang&gt; Phụ nữ Quần áo&gt; Quần soóc&gt; Lope")</f>
        <v>Đấu giá&gt; Thời trang&gt; Phụ nữ Quần áo&gt; Quần soóc&gt; Lope</v>
      </c>
      <c r="F1277" t="str">
        <f t="shared" ca="1" si="19"/>
        <v>"2084028045" : "bước chạy dài",</v>
      </c>
    </row>
    <row r="1278" spans="1:6" ht="15.75" customHeight="1">
      <c r="A1278" s="18">
        <v>2084028059</v>
      </c>
      <c r="B1278" s="18" t="s">
        <v>13594</v>
      </c>
      <c r="C1278" s="18" t="s">
        <v>14827</v>
      </c>
      <c r="D1278" s="5" t="str">
        <f ca="1">IFERROR(__xludf.DUMMYFUNCTION("GOOGLETRANSLATE(B1278,""ja"",""vi"")"),"Vivienne Westwood")</f>
        <v>Vivienne Westwood</v>
      </c>
      <c r="E1278" s="5" t="str">
        <f ca="1">IFERROR(__xludf.DUMMYFUNCTION("GOOGLETRANSLATE(C1278,""ja"",""vi"")"),"Đấu giá&gt; Thời trang&gt; Quần áo&gt; Quần soóc&gt; Vivienne Westwood nữ")</f>
        <v>Đấu giá&gt; Thời trang&gt; Quần áo&gt; Quần soóc&gt; Vivienne Westwood nữ</v>
      </c>
      <c r="F1278" t="str">
        <f t="shared" ca="1" si="19"/>
        <v>"2084028059" : "Vivienne Westwood",</v>
      </c>
    </row>
    <row r="1279" spans="1:6" ht="15.75" customHeight="1">
      <c r="A1279" s="18">
        <v>2084028047</v>
      </c>
      <c r="B1279" s="18" t="s">
        <v>9826</v>
      </c>
      <c r="C1279" s="18" t="s">
        <v>14831</v>
      </c>
      <c r="D1279" s="5" t="str">
        <f ca="1">IFERROR(__xludf.DUMMYFUNCTION("GOOGLETRANSLATE(B1279,""ja"",""vi"")"),"bộ")</f>
        <v>bộ</v>
      </c>
      <c r="E1279" s="5" t="str">
        <f ca="1">IFERROR(__xludf.DUMMYFUNCTION("GOOGLETRANSLATE(C1279,""ja"",""vi"")"),"Đấu giá&gt; Thời trang&gt; Phụ nữ Quần áo&gt; Quần soóc&gt; Suite")</f>
        <v>Đấu giá&gt; Thời trang&gt; Phụ nữ Quần áo&gt; Quần soóc&gt; Suite</v>
      </c>
      <c r="F1279" t="str">
        <f t="shared" ca="1" si="19"/>
        <v>"2084028047" : "bộ",</v>
      </c>
    </row>
    <row r="1280" spans="1:6" ht="15.75" customHeight="1">
      <c r="A1280" s="18">
        <v>2084028000</v>
      </c>
      <c r="B1280" s="18" t="s">
        <v>14834</v>
      </c>
      <c r="C1280" s="18" t="s">
        <v>14835</v>
      </c>
      <c r="D1280" s="5" t="str">
        <f ca="1">IFERROR(__xludf.DUMMYFUNCTION("GOOGLETRANSLATE(B1280,""ja"",""vi"")"),"culottes chung")</f>
        <v>culottes chung</v>
      </c>
      <c r="E1280" s="5" t="str">
        <f ca="1">IFERROR(__xludf.DUMMYFUNCTION("GOOGLETRANSLATE(C1280,""ja"",""vi"")"),"Đấu giá&gt; Thời trang&gt; Phụ nữ Quần áo&gt; culottes&gt; culottes chung")</f>
        <v>Đấu giá&gt; Thời trang&gt; Phụ nữ Quần áo&gt; culottes&gt; culottes chung</v>
      </c>
      <c r="F1280" t="str">
        <f t="shared" ca="1" si="19"/>
        <v>"2084028000" : "culottes chung",</v>
      </c>
    </row>
    <row r="1281" spans="1:6" ht="15.75" customHeight="1">
      <c r="A1281" s="18">
        <v>2084028016</v>
      </c>
      <c r="B1281" s="18" t="s">
        <v>8840</v>
      </c>
      <c r="C1281" s="18" t="s">
        <v>14839</v>
      </c>
      <c r="D1281" s="5" t="str">
        <f ca="1">IFERROR(__xludf.DUMMYFUNCTION("GOOGLETRANSLATE(B1281,""ja"",""vi"")"),"Apese")</f>
        <v>Apese</v>
      </c>
      <c r="E1281" s="5" t="str">
        <f ca="1">IFERROR(__xludf.DUMMYFUNCTION("GOOGLETRANSLATE(C1281,""ja"",""vi"")"),"Đấu giá&gt; Thời trang&gt; Phụ nữ Quần áo&gt; culottes&gt; Apese")</f>
        <v>Đấu giá&gt; Thời trang&gt; Phụ nữ Quần áo&gt; culottes&gt; Apese</v>
      </c>
      <c r="F1281" t="str">
        <f t="shared" ca="1" si="19"/>
        <v>"2084028016" : "Apese",</v>
      </c>
    </row>
    <row r="1282" spans="1:6" ht="15.75" customHeight="1">
      <c r="A1282" s="18">
        <v>2084028017</v>
      </c>
      <c r="B1282" s="18" t="s">
        <v>13367</v>
      </c>
      <c r="C1282" s="18" t="s">
        <v>14841</v>
      </c>
      <c r="D1282" s="5" t="str">
        <f ca="1">IFERROR(__xludf.DUMMYFUNCTION("GOOGLETRANSLATE(B1282,""ja"",""vi"")"),"Agnes b.")</f>
        <v>Agnes b.</v>
      </c>
      <c r="E1282" s="5" t="str">
        <f ca="1">IFERROR(__xludf.DUMMYFUNCTION("GOOGLETRANSLATE(C1282,""ja"",""vi"")"),"Đấu giá&gt; Thời trang&gt; Phụ nữ Quần áo&gt; culottes&gt; Agnes b.")</f>
        <v>Đấu giá&gt; Thời trang&gt; Phụ nữ Quần áo&gt; culottes&gt; Agnes b.</v>
      </c>
      <c r="F1282" t="str">
        <f t="shared" ref="F1282:F1345" ca="1" si="20">CONCATENATE(CHAR(34)&amp;"",A1282,""&amp;CHAR(34)," : ", CHAR(34)&amp;"",D1282,""&amp;CHAR(34),",")</f>
        <v>"2084028017" : "Agnes b.",</v>
      </c>
    </row>
    <row r="1283" spans="1:6" ht="15.75" customHeight="1">
      <c r="A1283" s="18">
        <v>2084028019</v>
      </c>
      <c r="B1283" s="18" t="s">
        <v>8916</v>
      </c>
      <c r="C1283" s="18" t="s">
        <v>14843</v>
      </c>
      <c r="D1283" s="5" t="str">
        <f ca="1">IFERROR(__xludf.DUMMYFUNCTION("GOOGLETRANSLATE(B1283,""ja"",""vi"")"),"Armani")</f>
        <v>Armani</v>
      </c>
      <c r="E1283" s="5" t="str">
        <f ca="1">IFERROR(__xludf.DUMMYFUNCTION("GOOGLETRANSLATE(C1283,""ja"",""vi"")"),"Đấu giá&gt; Thời trang&gt; Phụ nữ Quần áo&gt; culottes&gt; Armani")</f>
        <v>Đấu giá&gt; Thời trang&gt; Phụ nữ Quần áo&gt; culottes&gt; Armani</v>
      </c>
      <c r="F1283" t="str">
        <f t="shared" ca="1" si="20"/>
        <v>"2084028019" : "Armani",</v>
      </c>
    </row>
    <row r="1284" spans="1:6" ht="15.75" customHeight="1">
      <c r="A1284" s="18">
        <v>2084028020</v>
      </c>
      <c r="B1284" s="18" t="s">
        <v>8976</v>
      </c>
      <c r="C1284" s="18" t="s">
        <v>14845</v>
      </c>
      <c r="D1284" s="5" t="str">
        <f ca="1">IFERROR(__xludf.DUMMYFUNCTION("GOOGLETRANSLATE(B1284,""ja"",""vi"")"),"Untitled")</f>
        <v>Untitled</v>
      </c>
      <c r="E1284" s="5" t="str">
        <f ca="1">IFERROR(__xludf.DUMMYFUNCTION("GOOGLETRANSLATE(C1284,""ja"",""vi"")"),"Đấu giá&gt; Thời trang&gt; Phụ nữ Quần áo&gt; culottes&gt; Untitled")</f>
        <v>Đấu giá&gt; Thời trang&gt; Phụ nữ Quần áo&gt; culottes&gt; Untitled</v>
      </c>
      <c r="F1284" t="str">
        <f t="shared" ca="1" si="20"/>
        <v>"2084028020" : "Untitled",</v>
      </c>
    </row>
    <row r="1285" spans="1:6" ht="15.75" customHeight="1">
      <c r="A1285" s="18">
        <v>2084028021</v>
      </c>
      <c r="B1285" s="18" t="s">
        <v>9044</v>
      </c>
      <c r="C1285" s="18" t="s">
        <v>14847</v>
      </c>
      <c r="D1285" s="5" t="str">
        <f ca="1">IFERROR(__xludf.DUMMYFUNCTION("GOOGLETRANSLATE(B1285,""ja"",""vi"")"),"Inedo")</f>
        <v>Inedo</v>
      </c>
      <c r="E1285" s="5" t="str">
        <f ca="1">IFERROR(__xludf.DUMMYFUNCTION("GOOGLETRANSLATE(C1285,""ja"",""vi"")"),"Đấu giá&gt; Thời trang&gt; Phụ nữ Quần áo&gt; culottes&gt; Inedo")</f>
        <v>Đấu giá&gt; Thời trang&gt; Phụ nữ Quần áo&gt; culottes&gt; Inedo</v>
      </c>
      <c r="F1285" t="str">
        <f t="shared" ca="1" si="20"/>
        <v>"2084028021" : "Inedo",</v>
      </c>
    </row>
    <row r="1286" spans="1:6" ht="15.75" customHeight="1">
      <c r="A1286" s="18">
        <v>2084028022</v>
      </c>
      <c r="B1286" s="18" t="s">
        <v>9065</v>
      </c>
      <c r="C1286" s="18" t="s">
        <v>14850</v>
      </c>
      <c r="D1286" s="5" t="str">
        <f ca="1">IFERROR(__xludf.DUMMYFUNCTION("GOOGLETRANSLATE(B1286,""ja"",""vi"")"),"In'e")</f>
        <v>In'e</v>
      </c>
      <c r="E1286" s="5" t="str">
        <f ca="1">IFERROR(__xludf.DUMMYFUNCTION("GOOGLETRANSLATE(C1286,""ja"",""vi"")"),"Đấu giá&gt; Thời trang&gt; Phụ nữ Quần áo&gt; culottes&gt; In'e")</f>
        <v>Đấu giá&gt; Thời trang&gt; Phụ nữ Quần áo&gt; culottes&gt; In'e</v>
      </c>
      <c r="F1286" t="str">
        <f t="shared" ca="1" si="20"/>
        <v>"2084028022" : "In'e",</v>
      </c>
    </row>
    <row r="1287" spans="1:6" ht="15.75" customHeight="1">
      <c r="A1287" s="18">
        <v>2084028023</v>
      </c>
      <c r="B1287" s="18" t="s">
        <v>9096</v>
      </c>
      <c r="C1287" s="18" t="s">
        <v>14852</v>
      </c>
      <c r="D1287" s="5" t="str">
        <f ca="1">IFERROR(__xludf.DUMMYFUNCTION("GOOGLETRANSLATE(B1287,""ja"",""vi"")"),"Indivi")</f>
        <v>Indivi</v>
      </c>
      <c r="E1287" s="5" t="str">
        <f ca="1">IFERROR(__xludf.DUMMYFUNCTION("GOOGLETRANSLATE(C1287,""ja"",""vi"")"),"Đấu giá&gt; Thời trang&gt; Phụ nữ Quần áo&gt; culottes&gt; Indivi")</f>
        <v>Đấu giá&gt; Thời trang&gt; Phụ nữ Quần áo&gt; culottes&gt; Indivi</v>
      </c>
      <c r="F1287" t="str">
        <f t="shared" ca="1" si="20"/>
        <v>"2084028023" : "Indivi",</v>
      </c>
    </row>
    <row r="1288" spans="1:6" ht="15.75" customHeight="1">
      <c r="A1288" s="18">
        <v>2084028027</v>
      </c>
      <c r="B1288" s="18" t="s">
        <v>9463</v>
      </c>
      <c r="C1288" s="18" t="s">
        <v>14854</v>
      </c>
      <c r="D1288" s="5" t="str">
        <f ca="1">IFERROR(__xludf.DUMMYFUNCTION("GOOGLETRANSLATE(B1288,""ja"",""vi"")"),"El")</f>
        <v>El</v>
      </c>
      <c r="E1288" s="5" t="str">
        <f ca="1">IFERROR(__xludf.DUMMYFUNCTION("GOOGLETRANSLATE(C1288,""ja"",""vi"")"),"Đấu giá&gt; Thời trang&gt; Phụ nữ Quần áo&gt; culottes&gt; El")</f>
        <v>Đấu giá&gt; Thời trang&gt; Phụ nữ Quần áo&gt; culottes&gt; El</v>
      </c>
      <c r="F1288" t="str">
        <f t="shared" ca="1" si="20"/>
        <v>"2084028027" : "El",</v>
      </c>
    </row>
    <row r="1289" spans="1:6" ht="15.75" customHeight="1">
      <c r="A1289" s="18">
        <v>2084028029</v>
      </c>
      <c r="B1289" s="18" t="s">
        <v>9537</v>
      </c>
      <c r="C1289" s="18" t="s">
        <v>14855</v>
      </c>
      <c r="D1289" s="5" t="str">
        <f ca="1">IFERROR(__xludf.DUMMYFUNCTION("GOOGLETRANSLATE(B1289,""ja"",""vi"")"),"cộng đồng ozone")</f>
        <v>cộng đồng ozone</v>
      </c>
      <c r="E1289" s="5" t="str">
        <f ca="1">IFERROR(__xludf.DUMMYFUNCTION("GOOGLETRANSLATE(C1289,""ja"",""vi"")"),"Đấu giá&gt; Thời trang&gt; Quần áo&gt; culottes&gt; cộng đồng ozone nữ")</f>
        <v>Đấu giá&gt; Thời trang&gt; Quần áo&gt; culottes&gt; cộng đồng ozone nữ</v>
      </c>
      <c r="F1289" t="str">
        <f t="shared" ca="1" si="20"/>
        <v>"2084028029" : "cộng đồng ozone",</v>
      </c>
    </row>
    <row r="1290" spans="1:6" ht="15.75" customHeight="1">
      <c r="A1290" s="18">
        <v>2084028031</v>
      </c>
      <c r="B1290" s="18" t="s">
        <v>9751</v>
      </c>
      <c r="C1290" s="18" t="s">
        <v>14857</v>
      </c>
      <c r="D1290" s="5" t="str">
        <f ca="1">IFERROR(__xludf.DUMMYFUNCTION("GOOGLETRANSLATE(B1290,""ja"",""vi"")"),"khoảng trống")</f>
        <v>khoảng trống</v>
      </c>
      <c r="E1290" s="5" t="str">
        <f ca="1">IFERROR(__xludf.DUMMYFUNCTION("GOOGLETRANSLATE(C1290,""ja"",""vi"")"),"Đấu giá&gt; Thời trang&gt; Quần áo&gt; culottes&gt; khoảng cách của phụ nữ")</f>
        <v>Đấu giá&gt; Thời trang&gt; Quần áo&gt; culottes&gt; khoảng cách của phụ nữ</v>
      </c>
      <c r="F1290" t="str">
        <f t="shared" ca="1" si="20"/>
        <v>"2084028031" : "khoảng trống",</v>
      </c>
    </row>
    <row r="1291" spans="1:6" ht="15.75" customHeight="1">
      <c r="A1291" s="18">
        <v>2084028033</v>
      </c>
      <c r="B1291" s="18" t="s">
        <v>9858</v>
      </c>
      <c r="C1291" s="18" t="s">
        <v>14859</v>
      </c>
      <c r="D1291" s="5" t="str">
        <f ca="1">IFERROR(__xludf.DUMMYFUNCTION("GOOGLETRANSLATE(B1291,""ja"",""vi"")"),"Christian Dior")</f>
        <v>Christian Dior</v>
      </c>
      <c r="E1291" s="5" t="str">
        <f ca="1">IFERROR(__xludf.DUMMYFUNCTION("GOOGLETRANSLATE(C1291,""ja"",""vi"")"),"Đấu giá&gt; Thời trang&gt; Phụ nữ Quần áo&gt; culottes&gt; Christian Dior")</f>
        <v>Đấu giá&gt; Thời trang&gt; Phụ nữ Quần áo&gt; culottes&gt; Christian Dior</v>
      </c>
      <c r="F1291" t="str">
        <f t="shared" ca="1" si="20"/>
        <v>"2084028033" : "Christian Dior",</v>
      </c>
    </row>
    <row r="1292" spans="1:6" ht="15.75" customHeight="1">
      <c r="A1292" s="18">
        <v>2084028034</v>
      </c>
      <c r="B1292" s="18" t="s">
        <v>9921</v>
      </c>
      <c r="C1292" s="18" t="s">
        <v>14861</v>
      </c>
      <c r="D1292" s="5" t="str">
        <f ca="1">IFERROR(__xludf.DUMMYFUNCTION("GOOGLETRANSLATE(B1292,""ja"",""vi"")"),"Courreges")</f>
        <v>Courreges</v>
      </c>
      <c r="E1292" s="5" t="str">
        <f ca="1">IFERROR(__xludf.DUMMYFUNCTION("GOOGLETRANSLATE(C1292,""ja"",""vi"")"),"Đấu giá&gt; Thời trang&gt; Phụ nữ Quần áo&gt; culottes&gt; Courreges")</f>
        <v>Đấu giá&gt; Thời trang&gt; Phụ nữ Quần áo&gt; culottes&gt; Courreges</v>
      </c>
      <c r="F1292" t="str">
        <f t="shared" ca="1" si="20"/>
        <v>"2084028034" : "Courreges",</v>
      </c>
    </row>
    <row r="1293" spans="1:6" ht="15.75" customHeight="1">
      <c r="A1293" s="18">
        <v>2084028032</v>
      </c>
      <c r="B1293" s="18" t="s">
        <v>9815</v>
      </c>
      <c r="C1293" s="18" t="s">
        <v>14863</v>
      </c>
      <c r="D1293" s="5" t="str">
        <f ca="1">IFERROR(__xludf.DUMMYFUNCTION("GOOGLETRANSLATE(B1293,""ja"",""vi"")"),"Gucci")</f>
        <v>Gucci</v>
      </c>
      <c r="E1293" s="5" t="str">
        <f ca="1">IFERROR(__xludf.DUMMYFUNCTION("GOOGLETRANSLATE(C1293,""ja"",""vi"")"),"Đấu giá&gt; Thời trang&gt; Phụ nữ Quần áo&gt; culottes&gt; Gucci")</f>
        <v>Đấu giá&gt; Thời trang&gt; Phụ nữ Quần áo&gt; culottes&gt; Gucci</v>
      </c>
      <c r="F1293" t="str">
        <f t="shared" ca="1" si="20"/>
        <v>"2084028032" : "Gucci",</v>
      </c>
    </row>
    <row r="1294" spans="1:6" ht="15.75" customHeight="1">
      <c r="A1294" s="18">
        <v>2084028036</v>
      </c>
      <c r="B1294" s="18" t="s">
        <v>10041</v>
      </c>
      <c r="C1294" s="18" t="s">
        <v>14865</v>
      </c>
      <c r="D1294" s="5" t="str">
        <f ca="1">IFERROR(__xludf.DUMMYFUNCTION("GOOGLETRANSLATE(B1294,""ja"",""vi"")"),"Com de chế độ")</f>
        <v>Com de chế độ</v>
      </c>
      <c r="E1294" s="5" t="str">
        <f ca="1">IFERROR(__xludf.DUMMYFUNCTION("GOOGLETRANSLATE(C1294,""ja"",""vi"")"),"Đấu giá&gt; Thời trang&gt; Phụ nữ Quần áo&gt; culottes&gt; com de chế độ")</f>
        <v>Đấu giá&gt; Thời trang&gt; Phụ nữ Quần áo&gt; culottes&gt; com de chế độ</v>
      </c>
      <c r="F1294" t="str">
        <f t="shared" ca="1" si="20"/>
        <v>"2084028036" : "Com de chế độ",</v>
      </c>
    </row>
    <row r="1295" spans="1:6" ht="15.75" customHeight="1">
      <c r="A1295" s="18">
        <v>2084028037</v>
      </c>
      <c r="B1295" s="18" t="s">
        <v>10044</v>
      </c>
      <c r="C1295" s="18" t="s">
        <v>14867</v>
      </c>
      <c r="D1295" s="5" t="str">
        <f ca="1">IFERROR(__xludf.DUMMYFUNCTION("GOOGLETRANSLATE(B1295,""ja"",""vi"")"),"Comme des Garcons")</f>
        <v>Comme des Garcons</v>
      </c>
      <c r="E1295" s="5" t="str">
        <f ca="1">IFERROR(__xludf.DUMMYFUNCTION("GOOGLETRANSLATE(C1295,""ja"",""vi"")"),"Đấu giá&gt; Thời trang&gt; Phụ nữ Quần áo&gt; culottes&gt; Comme des Garcons")</f>
        <v>Đấu giá&gt; Thời trang&gt; Phụ nữ Quần áo&gt; culottes&gt; Comme des Garcons</v>
      </c>
      <c r="F1295" t="str">
        <f t="shared" ca="1" si="20"/>
        <v>"2084028037" : "Comme des Garcons",</v>
      </c>
    </row>
    <row r="1296" spans="1:6" ht="15.75" customHeight="1">
      <c r="A1296" s="18">
        <v>2084028038</v>
      </c>
      <c r="B1296" s="18" t="s">
        <v>10229</v>
      </c>
      <c r="C1296" s="18" t="s">
        <v>14869</v>
      </c>
      <c r="D1296" s="5" t="str">
        <f ca="1">IFERROR(__xludf.DUMMYFUNCTION("GOOGLETRANSLATE(B1296,""ja"",""vi"")"),"tàu")</f>
        <v>tàu</v>
      </c>
      <c r="E1296" s="5" t="str">
        <f ca="1">IFERROR(__xludf.DUMMYFUNCTION("GOOGLETRANSLATE(C1296,""ja"",""vi"")"),"Đấu giá&gt; Thời trang&gt; Phụ nữ Quần áo&gt; culottes&gt; Tàu")</f>
        <v>Đấu giá&gt; Thời trang&gt; Phụ nữ Quần áo&gt; culottes&gt; Tàu</v>
      </c>
      <c r="F1296" t="str">
        <f t="shared" ca="1" si="20"/>
        <v>"2084028038" : "tàu",</v>
      </c>
    </row>
    <row r="1297" spans="1:6" ht="15.75" customHeight="1">
      <c r="A1297" s="18">
        <v>2084028039</v>
      </c>
      <c r="B1297" s="18" t="s">
        <v>10288</v>
      </c>
      <c r="C1297" s="18" t="s">
        <v>14872</v>
      </c>
      <c r="D1297" s="5" t="str">
        <f ca="1">IFERROR(__xludf.DUMMYFUNCTION("GOOGLETRANSLATE(B1297,""ja"",""vi"")"),"Chanel")</f>
        <v>Chanel</v>
      </c>
      <c r="E1297" s="5" t="str">
        <f ca="1">IFERROR(__xludf.DUMMYFUNCTION("GOOGLETRANSLATE(C1297,""ja"",""vi"")"),"Đấu giá&gt; Thời trang&gt; Phụ nữ Quần áo&gt; culottes&gt; Chanel")</f>
        <v>Đấu giá&gt; Thời trang&gt; Phụ nữ Quần áo&gt; culottes&gt; Chanel</v>
      </c>
      <c r="F1297" t="str">
        <f t="shared" ca="1" si="20"/>
        <v>"2084028039" : "Chanel",</v>
      </c>
    </row>
    <row r="1298" spans="1:6" ht="15.75" customHeight="1">
      <c r="A1298" s="18">
        <v>2084028003</v>
      </c>
      <c r="B1298" s="18" t="s">
        <v>10476</v>
      </c>
      <c r="C1298" s="18" t="s">
        <v>14873</v>
      </c>
      <c r="D1298" s="5" t="str">
        <f ca="1">IFERROR(__xludf.DUMMYFUNCTION("GOOGLETRANSLATE(B1298,""ja"",""vi"")"),"Zucca")</f>
        <v>Zucca</v>
      </c>
      <c r="E1298" s="5" t="str">
        <f ca="1">IFERROR(__xludf.DUMMYFUNCTION("GOOGLETRANSLATE(C1298,""ja"",""vi"")"),"Đấu giá&gt; Thời trang&gt; Phụ nữ Quần áo&gt; culottes&gt; Zucca")</f>
        <v>Đấu giá&gt; Thời trang&gt; Phụ nữ Quần áo&gt; culottes&gt; Zucca</v>
      </c>
      <c r="F1298" t="str">
        <f t="shared" ca="1" si="20"/>
        <v>"2084028003" : "Zucca",</v>
      </c>
    </row>
    <row r="1299" spans="1:6" ht="15.75" customHeight="1">
      <c r="A1299" s="18">
        <v>2084028004</v>
      </c>
      <c r="B1299" s="18" t="s">
        <v>10601</v>
      </c>
      <c r="C1299" s="18" t="s">
        <v>14875</v>
      </c>
      <c r="D1299" s="5" t="str">
        <f ca="1">IFERROR(__xludf.DUMMYFUNCTION("GOOGLETRANSLATE(B1299,""ja"",""vi"")"),"Cecil McBee")</f>
        <v>Cecil McBee</v>
      </c>
      <c r="E1299" s="5" t="str">
        <f ca="1">IFERROR(__xludf.DUMMYFUNCTION("GOOGLETRANSLATE(C1299,""ja"",""vi"")"),"Đấu giá&gt; Thời trang&gt; Phụ nữ Quần áo&gt; culottes&gt; Cecil McBee")</f>
        <v>Đấu giá&gt; Thời trang&gt; Phụ nữ Quần áo&gt; culottes&gt; Cecil McBee</v>
      </c>
      <c r="F1299" t="str">
        <f t="shared" ca="1" si="20"/>
        <v>"2084028004" : "Cecil McBee",</v>
      </c>
    </row>
    <row r="1300" spans="1:6" ht="15.75" customHeight="1">
      <c r="A1300" s="18">
        <v>2084028005</v>
      </c>
      <c r="B1300" s="18" t="s">
        <v>13486</v>
      </c>
      <c r="C1300" s="18" t="s">
        <v>14879</v>
      </c>
      <c r="D1300" s="5" t="str">
        <f ca="1">IFERROR(__xludf.DUMMYFUNCTION("GOOGLETRANSLATE(B1300,""ja"",""vi"")"),"Donna Karan, DKNY")</f>
        <v>Donna Karan, DKNY</v>
      </c>
      <c r="E1300" s="5" t="str">
        <f ca="1">IFERROR(__xludf.DUMMYFUNCTION("GOOGLETRANSLATE(C1300,""ja"",""vi"")"),"Đấu giá&gt; Thời trang&gt; Phụ nữ Quần áo&gt; culottes&gt; Donna Karan, DKNY")</f>
        <v>Đấu giá&gt; Thời trang&gt; Phụ nữ Quần áo&gt; culottes&gt; Donna Karan, DKNY</v>
      </c>
      <c r="F1300" t="str">
        <f t="shared" ca="1" si="20"/>
        <v>"2084028005" : "Donna Karan, DKNY",</v>
      </c>
    </row>
    <row r="1301" spans="1:6" ht="15.75" customHeight="1">
      <c r="A1301" s="18">
        <v>2084028006</v>
      </c>
      <c r="B1301" s="18" t="s">
        <v>10819</v>
      </c>
      <c r="C1301" s="18" t="s">
        <v>14881</v>
      </c>
      <c r="D1301" s="5" t="str">
        <f ca="1">IFERROR(__xludf.DUMMYFUNCTION("GOOGLETRANSLATE(B1301,""ja"",""vi"")"),"Tsumori Chisato")</f>
        <v>Tsumori Chisato</v>
      </c>
      <c r="E1301" s="5" t="str">
        <f ca="1">IFERROR(__xludf.DUMMYFUNCTION("GOOGLETRANSLATE(C1301,""ja"",""vi"")"),"Đấu giá&gt; Thời trang&gt; Phụ nữ Quần áo&gt; culottes&gt; Tsumori Chisato")</f>
        <v>Đấu giá&gt; Thời trang&gt; Phụ nữ Quần áo&gt; culottes&gt; Tsumori Chisato</v>
      </c>
      <c r="F1301" t="str">
        <f t="shared" ca="1" si="20"/>
        <v>"2084028006" : "Tsumori Chisato",</v>
      </c>
    </row>
    <row r="1302" spans="1:6" ht="15.75" customHeight="1">
      <c r="A1302" s="18">
        <v>2084028007</v>
      </c>
      <c r="B1302" s="18" t="s">
        <v>11150</v>
      </c>
      <c r="C1302" s="18" t="s">
        <v>14885</v>
      </c>
      <c r="D1302" s="5" t="str">
        <f ca="1">IFERROR(__xludf.DUMMYFUNCTION("GOOGLETRANSLATE(B1302,""ja"",""vi"")"),"phế liệu Nai")</f>
        <v>phế liệu Nai</v>
      </c>
      <c r="E1302" s="5" t="str">
        <f ca="1">IFERROR(__xludf.DUMMYFUNCTION("GOOGLETRANSLATE(C1302,""ja"",""vi"")"),"Đấu giá&gt; Thời trang&gt; Phụ nữ Quần áo&gt; culottes&gt; phế liệu Nai")</f>
        <v>Đấu giá&gt; Thời trang&gt; Phụ nữ Quần áo&gt; culottes&gt; phế liệu Nai</v>
      </c>
      <c r="F1302" t="str">
        <f t="shared" ca="1" si="20"/>
        <v>"2084028007" : "phế liệu Nai",</v>
      </c>
    </row>
    <row r="1303" spans="1:6" ht="15.75" customHeight="1">
      <c r="A1303" s="18">
        <v>2084028008</v>
      </c>
      <c r="B1303" s="18" t="s">
        <v>11443</v>
      </c>
      <c r="C1303" s="18" t="s">
        <v>14887</v>
      </c>
      <c r="D1303" s="5" t="str">
        <f ca="1">IFERROR(__xludf.DUMMYFUNCTION("GOOGLETRANSLATE(B1303,""ja"",""vi"")"),"chổ lồi ở cây")</f>
        <v>chổ lồi ở cây</v>
      </c>
      <c r="E1303" s="5" t="str">
        <f ca="1">IFERROR(__xludf.DUMMYFUNCTION("GOOGLETRANSLATE(C1303,""ja"",""vi"")"),"Đấu giá&gt; Thời trang&gt; Phụ nữ Quần áo&gt; culottes&gt; Burberry")</f>
        <v>Đấu giá&gt; Thời trang&gt; Phụ nữ Quần áo&gt; culottes&gt; Burberry</v>
      </c>
      <c r="F1303" t="str">
        <f t="shared" ca="1" si="20"/>
        <v>"2084028008" : "chổ lồi ở cây",</v>
      </c>
    </row>
    <row r="1304" spans="1:6" ht="15.75" customHeight="1">
      <c r="A1304" s="18">
        <v>2084028010</v>
      </c>
      <c r="B1304" s="18" t="s">
        <v>11611</v>
      </c>
      <c r="C1304" s="18" t="s">
        <v>14890</v>
      </c>
      <c r="D1304" s="5" t="str">
        <f ca="1">IFERROR(__xludf.DUMMYFUNCTION("GOOGLETRANSLATE(B1304,""ja"",""vi"")"),"Hysteric Glamour")</f>
        <v>Hysteric Glamour</v>
      </c>
      <c r="E1304" s="5" t="str">
        <f ca="1">IFERROR(__xludf.DUMMYFUNCTION("GOOGLETRANSLATE(C1304,""ja"",""vi"")"),"Đấu giá&gt; Thời trang&gt; Quần áo nữ&gt; culottes&gt; Hysteric Glamour")</f>
        <v>Đấu giá&gt; Thời trang&gt; Quần áo nữ&gt; culottes&gt; Hysteric Glamour</v>
      </c>
      <c r="F1304" t="str">
        <f t="shared" ca="1" si="20"/>
        <v>"2084028010" : "Hysteric Glamour",</v>
      </c>
    </row>
    <row r="1305" spans="1:6" ht="15.75" customHeight="1">
      <c r="A1305" s="18">
        <v>2084028009</v>
      </c>
      <c r="B1305" s="18" t="s">
        <v>11683</v>
      </c>
      <c r="C1305" s="18" t="s">
        <v>14894</v>
      </c>
      <c r="D1305" s="5" t="str">
        <f ca="1">IFERROR(__xludf.DUMMYFUNCTION("GOOGLETRANSLATE(B1305,""ja"",""vi"")"),"DẦM")</f>
        <v>DẦM</v>
      </c>
      <c r="E1305" s="5" t="str">
        <f ca="1">IFERROR(__xludf.DUMMYFUNCTION("GOOGLETRANSLATE(C1305,""ja"",""vi"")"),"Đấu giá&gt; Thời trang&gt; Phụ nữ Quần áo&gt; culottes&gt; Dầm")</f>
        <v>Đấu giá&gt; Thời trang&gt; Phụ nữ Quần áo&gt; culottes&gt; Dầm</v>
      </c>
      <c r="F1305" t="str">
        <f t="shared" ca="1" si="20"/>
        <v>"2084028009" : "DẦM",</v>
      </c>
    </row>
    <row r="1306" spans="1:6" ht="15.75" customHeight="1">
      <c r="A1306" s="18">
        <v>2084028011</v>
      </c>
      <c r="B1306" s="18" t="s">
        <v>11668</v>
      </c>
      <c r="C1306" s="18" t="s">
        <v>14897</v>
      </c>
      <c r="D1306" s="5" t="str">
        <f ca="1">IFERROR(__xludf.DUMMYFUNCTION("GOOGLETRANSLATE(B1306,""ja"",""vi"")"),"Bibayu")</f>
        <v>Bibayu</v>
      </c>
      <c r="E1306" s="5" t="str">
        <f ca="1">IFERROR(__xludf.DUMMYFUNCTION("GOOGLETRANSLATE(C1306,""ja"",""vi"")"),"Đấu giá&gt; Thời trang&gt; Phụ nữ Quần áo&gt; culottes&gt; Bibayu")</f>
        <v>Đấu giá&gt; Thời trang&gt; Phụ nữ Quần áo&gt; culottes&gt; Bibayu</v>
      </c>
      <c r="F1306" t="str">
        <f t="shared" ca="1" si="20"/>
        <v>"2084028011" : "Bibayu",</v>
      </c>
    </row>
    <row r="1307" spans="1:6" ht="15.75" customHeight="1">
      <c r="A1307" s="18">
        <v>2084028012</v>
      </c>
      <c r="B1307" s="18" t="s">
        <v>11748</v>
      </c>
      <c r="C1307" s="18" t="s">
        <v>14901</v>
      </c>
      <c r="D1307" s="5" t="str">
        <f ca="1">IFERROR(__xludf.DUMMYFUNCTION("GOOGLETRANSLATE(B1307,""ja"",""vi"")"),"Pinky &amp; Dianne")</f>
        <v>Pinky &amp; Dianne</v>
      </c>
      <c r="E1307" s="5" t="str">
        <f ca="1">IFERROR(__xludf.DUMMYFUNCTION("GOOGLETRANSLATE(C1307,""ja"",""vi"")"),"Đấu giá&gt; Thời trang&gt; Phụ nữ Quần áo&gt; culottes&gt; Pinky &amp; Dianne")</f>
        <v>Đấu giá&gt; Thời trang&gt; Phụ nữ Quần áo&gt; culottes&gt; Pinky &amp; Dianne</v>
      </c>
      <c r="F1307" t="str">
        <f t="shared" ca="1" si="20"/>
        <v>"2084028012" : "Pinky &amp; Dianne",</v>
      </c>
    </row>
    <row r="1308" spans="1:6" ht="15.75" customHeight="1">
      <c r="A1308" s="18">
        <v>2084028013</v>
      </c>
      <c r="B1308" s="18" t="s">
        <v>11762</v>
      </c>
      <c r="C1308" s="18" t="s">
        <v>14905</v>
      </c>
      <c r="D1308" s="5" t="str">
        <f ca="1">IFERROR(__xludf.DUMMYFUNCTION("GOOGLETRANSLATE(B1308,""ja"",""vi"")"),"nhà màu hồng")</f>
        <v>nhà màu hồng</v>
      </c>
      <c r="E1308" s="5" t="str">
        <f ca="1">IFERROR(__xludf.DUMMYFUNCTION("GOOGLETRANSLATE(C1308,""ja"",""vi"")"),"Đấu giá&gt; Thời trang&gt; Phụ nữ Quần áo&gt; culottes&gt; Pink House")</f>
        <v>Đấu giá&gt; Thời trang&gt; Phụ nữ Quần áo&gt; culottes&gt; Pink House</v>
      </c>
      <c r="F1308" t="str">
        <f t="shared" ca="1" si="20"/>
        <v>"2084028013" : "nhà màu hồng",</v>
      </c>
    </row>
    <row r="1309" spans="1:6" ht="15.75" customHeight="1">
      <c r="A1309" s="18">
        <v>2084028014</v>
      </c>
      <c r="B1309" s="18" t="s">
        <v>11843</v>
      </c>
      <c r="C1309" s="18" t="s">
        <v>14908</v>
      </c>
      <c r="D1309" s="5" t="str">
        <f ca="1">IFERROR(__xludf.DUMMYFUNCTION("GOOGLETRANSLATE(B1309,""ja"",""vi"")"),"Fendi")</f>
        <v>Fendi</v>
      </c>
      <c r="E1309" s="5" t="str">
        <f ca="1">IFERROR(__xludf.DUMMYFUNCTION("GOOGLETRANSLATE(C1309,""ja"",""vi"")"),"Đấu giá&gt; Thời trang&gt; Phụ nữ Quần áo&gt; culottes&gt; Fendi")</f>
        <v>Đấu giá&gt; Thời trang&gt; Phụ nữ Quần áo&gt; culottes&gt; Fendi</v>
      </c>
      <c r="F1309" t="str">
        <f t="shared" ca="1" si="20"/>
        <v>"2084028014" : "Fendi",</v>
      </c>
    </row>
    <row r="1310" spans="1:6" ht="15.75" customHeight="1">
      <c r="A1310" s="18">
        <v>2084028015</v>
      </c>
      <c r="B1310" s="18" t="s">
        <v>12025</v>
      </c>
      <c r="C1310" s="18" t="s">
        <v>14912</v>
      </c>
      <c r="D1310" s="5" t="str">
        <f ca="1">IFERROR(__xludf.DUMMYFUNCTION("GOOGLETRANSLATE(B1310,""ja"",""vi"")"),"LABEL TƯ")</f>
        <v>LABEL TƯ</v>
      </c>
      <c r="E1310" s="5" t="str">
        <f ca="1">IFERROR(__xludf.DUMMYFUNCTION("GOOGLETRANSLATE(C1310,""ja"",""vi"")"),"Đấu giá&gt; Thời trang&gt; Phụ nữ Quần áo&gt; culottes&gt; nhãn hiệu riêng")</f>
        <v>Đấu giá&gt; Thời trang&gt; Phụ nữ Quần áo&gt; culottes&gt; nhãn hiệu riêng</v>
      </c>
      <c r="F1310" t="str">
        <f t="shared" ca="1" si="20"/>
        <v>"2084028015" : "LABEL TƯ",</v>
      </c>
    </row>
    <row r="1311" spans="1:6" ht="15.75" customHeight="1">
      <c r="A1311" s="18">
        <v>2084027990</v>
      </c>
      <c r="B1311" s="18" t="s">
        <v>12035</v>
      </c>
      <c r="C1311" s="18" t="s">
        <v>14915</v>
      </c>
      <c r="D1311" s="5" t="str">
        <f ca="1">IFERROR(__xludf.DUMMYFUNCTION("GOOGLETRANSLATE(B1311,""ja"",""vi"")"),"Prada")</f>
        <v>Prada</v>
      </c>
      <c r="E1311" s="5" t="str">
        <f ca="1">IFERROR(__xludf.DUMMYFUNCTION("GOOGLETRANSLATE(C1311,""ja"",""vi"")"),"Đấu giá&gt; Thời trang&gt; Phụ nữ Quần áo&gt; culottes&gt; Prada")</f>
        <v>Đấu giá&gt; Thời trang&gt; Phụ nữ Quần áo&gt; culottes&gt; Prada</v>
      </c>
      <c r="F1311" t="str">
        <f t="shared" ca="1" si="20"/>
        <v>"2084027990" : "Prada",</v>
      </c>
    </row>
    <row r="1312" spans="1:6" ht="15.75" customHeight="1">
      <c r="A1312" s="18">
        <v>2084027992</v>
      </c>
      <c r="B1312" s="18" t="s">
        <v>12114</v>
      </c>
      <c r="C1312" s="18" t="s">
        <v>14918</v>
      </c>
      <c r="D1312" s="5" t="str">
        <f ca="1">IFERROR(__xludf.DUMMYFUNCTION("GOOGLETRANSLATE(B1312,""ja"",""vi"")"),"Benetton")</f>
        <v>Benetton</v>
      </c>
      <c r="E1312" s="5" t="str">
        <f ca="1">IFERROR(__xludf.DUMMYFUNCTION("GOOGLETRANSLATE(C1312,""ja"",""vi"")"),"Đấu giá&gt; Thời trang&gt; Phụ nữ Quần áo&gt; culottes&gt; Benetton")</f>
        <v>Đấu giá&gt; Thời trang&gt; Phụ nữ Quần áo&gt; culottes&gt; Benetton</v>
      </c>
      <c r="F1312" t="str">
        <f t="shared" ca="1" si="20"/>
        <v>"2084027992" : "Benetton",</v>
      </c>
    </row>
    <row r="1313" spans="1:6" ht="15.75" customHeight="1">
      <c r="A1313" s="18">
        <v>2084027993</v>
      </c>
      <c r="B1313" s="18" t="s">
        <v>12312</v>
      </c>
      <c r="C1313" s="18" t="s">
        <v>14921</v>
      </c>
      <c r="D1313" s="5" t="str">
        <f ca="1">IFERROR(__xludf.DUMMYFUNCTION("GOOGLETRANSLATE(B1313,""ja"",""vi"")"),"Moussy")</f>
        <v>Moussy</v>
      </c>
      <c r="E1313" s="5" t="str">
        <f ca="1">IFERROR(__xludf.DUMMYFUNCTION("GOOGLETRANSLATE(C1313,""ja"",""vi"")"),"Đấu giá&gt; Thời trang&gt; Phụ nữ Quần áo&gt; culottes&gt; Moussy")</f>
        <v>Đấu giá&gt; Thời trang&gt; Phụ nữ Quần áo&gt; culottes&gt; Moussy</v>
      </c>
      <c r="F1313" t="str">
        <f t="shared" ca="1" si="20"/>
        <v>"2084027993" : "Moussy",</v>
      </c>
    </row>
    <row r="1314" spans="1:6" ht="15.75" customHeight="1">
      <c r="A1314" s="18">
        <v>2084027995</v>
      </c>
      <c r="B1314" s="18" t="s">
        <v>12465</v>
      </c>
      <c r="C1314" s="18" t="s">
        <v>14925</v>
      </c>
      <c r="D1314" s="5" t="str">
        <f ca="1">IFERROR(__xludf.DUMMYFUNCTION("GOOGLETRANSLATE(B1314,""ja"",""vi"")"),"Michel Klang")</f>
        <v>Michel Klang</v>
      </c>
      <c r="E1314" s="5" t="str">
        <f ca="1">IFERROR(__xludf.DUMMYFUNCTION("GOOGLETRANSLATE(C1314,""ja"",""vi"")"),"Đấu giá&gt; Thời trang&gt; Phụ nữ Quần áo&gt; culottes&gt; Michel Klang")</f>
        <v>Đấu giá&gt; Thời trang&gt; Phụ nữ Quần áo&gt; culottes&gt; Michel Klang</v>
      </c>
      <c r="F1314" t="str">
        <f t="shared" ca="1" si="20"/>
        <v>"2084027995" : "Michel Klang",</v>
      </c>
    </row>
    <row r="1315" spans="1:6" ht="15.75" customHeight="1">
      <c r="A1315" s="18">
        <v>2084027997</v>
      </c>
      <c r="B1315" s="18" t="s">
        <v>12786</v>
      </c>
      <c r="C1315" s="18" t="s">
        <v>14929</v>
      </c>
      <c r="D1315" s="5" t="str">
        <f ca="1">IFERROR(__xludf.DUMMYFUNCTION("GOOGLETRANSLATE(B1315,""ja"",""vi"")"),"Ralph Lauren")</f>
        <v>Ralph Lauren</v>
      </c>
      <c r="E1315" s="5" t="str">
        <f ca="1">IFERROR(__xludf.DUMMYFUNCTION("GOOGLETRANSLATE(C1315,""ja"",""vi"")"),"Đấu giá&gt; Thời trang&gt; Phụ nữ Quần áo&gt; culottes&gt; Ralph Lauren")</f>
        <v>Đấu giá&gt; Thời trang&gt; Phụ nữ Quần áo&gt; culottes&gt; Ralph Lauren</v>
      </c>
      <c r="F1315" t="str">
        <f t="shared" ca="1" si="20"/>
        <v>"2084027997" : "Ralph Lauren",</v>
      </c>
    </row>
    <row r="1316" spans="1:6" ht="15.75" customHeight="1">
      <c r="A1316" s="18">
        <v>2084027999</v>
      </c>
      <c r="B1316" s="18" t="s">
        <v>13116</v>
      </c>
      <c r="C1316" s="18" t="s">
        <v>14933</v>
      </c>
      <c r="D1316" s="5" t="str">
        <f ca="1">IFERROR(__xludf.DUMMYFUNCTION("GOOGLETRANSLATE(B1316,""ja"",""vi"")"),"bước chạy dài")</f>
        <v>bước chạy dài</v>
      </c>
      <c r="E1316" s="5" t="str">
        <f ca="1">IFERROR(__xludf.DUMMYFUNCTION("GOOGLETRANSLATE(C1316,""ja"",""vi"")"),"Đấu giá&gt; Thời trang&gt; Phụ nữ Quần áo&gt; culottes&gt; Lope")</f>
        <v>Đấu giá&gt; Thời trang&gt; Phụ nữ Quần áo&gt; culottes&gt; Lope</v>
      </c>
      <c r="F1316" t="str">
        <f t="shared" ca="1" si="20"/>
        <v>"2084027999" : "bước chạy dài",</v>
      </c>
    </row>
    <row r="1317" spans="1:6" ht="15.75" customHeight="1">
      <c r="A1317" s="18">
        <v>2084028024</v>
      </c>
      <c r="B1317" s="18" t="s">
        <v>13594</v>
      </c>
      <c r="C1317" s="18" t="s">
        <v>14935</v>
      </c>
      <c r="D1317" s="5" t="str">
        <f ca="1">IFERROR(__xludf.DUMMYFUNCTION("GOOGLETRANSLATE(B1317,""ja"",""vi"")"),"Vivienne Westwood")</f>
        <v>Vivienne Westwood</v>
      </c>
      <c r="E1317" s="5" t="str">
        <f ca="1">IFERROR(__xludf.DUMMYFUNCTION("GOOGLETRANSLATE(C1317,""ja"",""vi"")"),"Đấu giá&gt; Thời trang&gt; Phụ nữ Quần áo&gt; culottes&gt; Vivienne Westwood")</f>
        <v>Đấu giá&gt; Thời trang&gt; Phụ nữ Quần áo&gt; culottes&gt; Vivienne Westwood</v>
      </c>
      <c r="F1317" t="str">
        <f t="shared" ca="1" si="20"/>
        <v>"2084028024" : "Vivienne Westwood",</v>
      </c>
    </row>
    <row r="1318" spans="1:6" ht="15.75" customHeight="1">
      <c r="A1318" s="18">
        <v>2084028001</v>
      </c>
      <c r="B1318" s="18" t="s">
        <v>9826</v>
      </c>
      <c r="C1318" s="18" t="s">
        <v>14938</v>
      </c>
      <c r="D1318" s="5" t="str">
        <f ca="1">IFERROR(__xludf.DUMMYFUNCTION("GOOGLETRANSLATE(B1318,""ja"",""vi"")"),"bộ")</f>
        <v>bộ</v>
      </c>
      <c r="E1318" s="5" t="str">
        <f ca="1">IFERROR(__xludf.DUMMYFUNCTION("GOOGLETRANSLATE(C1318,""ja"",""vi"")"),"Đấu giá&gt; Thời trang&gt; Phụ nữ Quần áo&gt; culottes&gt; Suite")</f>
        <v>Đấu giá&gt; Thời trang&gt; Phụ nữ Quần áo&gt; culottes&gt; Suite</v>
      </c>
      <c r="F1318" t="str">
        <f t="shared" ca="1" si="20"/>
        <v>"2084028001" : "bộ",</v>
      </c>
    </row>
    <row r="1319" spans="1:6" ht="15.75" customHeight="1">
      <c r="A1319" s="18">
        <v>2084224598</v>
      </c>
      <c r="B1319" s="18" t="s">
        <v>13341</v>
      </c>
      <c r="C1319" s="18" t="s">
        <v>14941</v>
      </c>
      <c r="D1319" s="5" t="str">
        <f ca="1">IFERROR(__xludf.DUMMYFUNCTION("GOOGLETRANSLATE(B1319,""ja"",""vi"")"),"kích thước XS dưới đây")</f>
        <v>kích thước XS dưới đây</v>
      </c>
      <c r="E1319" s="5" t="str">
        <f ca="1">IFERROR(__xludf.DUMMYFUNCTION("GOOGLETRANSLATE(C1319,""ja"",""vi"")"),"Đấu giá&gt; thời trang thời trang&gt; Phụ nữ&gt; chinos&gt; kích thước XS dưới đây")</f>
        <v>Đấu giá&gt; thời trang thời trang&gt; Phụ nữ&gt; chinos&gt; kích thước XS dưới đây</v>
      </c>
      <c r="F1319" t="str">
        <f t="shared" ca="1" si="20"/>
        <v>"2084224598" : "kích thước XS dưới đây",</v>
      </c>
    </row>
    <row r="1320" spans="1:6" ht="15.75" customHeight="1">
      <c r="A1320" s="18">
        <v>2084224599</v>
      </c>
      <c r="B1320" s="18" t="s">
        <v>13345</v>
      </c>
      <c r="C1320" s="18" t="s">
        <v>14944</v>
      </c>
      <c r="D1320" s="5" t="str">
        <f ca="1">IFERROR(__xludf.DUMMYFUNCTION("GOOGLETRANSLATE(B1320,""ja"",""vi"")"),"size S")</f>
        <v>size S</v>
      </c>
      <c r="E1320" s="5" t="str">
        <f ca="1">IFERROR(__xludf.DUMMYFUNCTION("GOOGLETRANSLATE(C1320,""ja"",""vi"")"),"Đấu giá&gt; Thời trang&gt; Thời trang nữ&gt; chinos&gt; S kích thước")</f>
        <v>Đấu giá&gt; Thời trang&gt; Thời trang nữ&gt; chinos&gt; S kích thước</v>
      </c>
      <c r="F1320" t="str">
        <f t="shared" ca="1" si="20"/>
        <v>"2084224599" : "size S",</v>
      </c>
    </row>
    <row r="1321" spans="1:6" ht="15.75" customHeight="1">
      <c r="A1321" s="18">
        <v>2084224600</v>
      </c>
      <c r="B1321" s="18" t="s">
        <v>13351</v>
      </c>
      <c r="C1321" s="18" t="s">
        <v>14946</v>
      </c>
      <c r="D1321" s="5" t="str">
        <f ca="1">IFERROR(__xludf.DUMMYFUNCTION("GOOGLETRANSLATE(B1321,""ja"",""vi"")"),"size M")</f>
        <v>size M</v>
      </c>
      <c r="E1321" s="5" t="str">
        <f ca="1">IFERROR(__xludf.DUMMYFUNCTION("GOOGLETRANSLATE(C1321,""ja"",""vi"")"),"Đấu giá&gt; Thời trang&gt; thời trang&gt; quần&gt; size M nữ")</f>
        <v>Đấu giá&gt; Thời trang&gt; thời trang&gt; quần&gt; size M nữ</v>
      </c>
      <c r="F1321" t="str">
        <f t="shared" ca="1" si="20"/>
        <v>"2084224600" : "size M",</v>
      </c>
    </row>
    <row r="1322" spans="1:6" ht="15.75" customHeight="1">
      <c r="A1322" s="18">
        <v>2084224601</v>
      </c>
      <c r="B1322" s="18" t="s">
        <v>13355</v>
      </c>
      <c r="C1322" s="18" t="s">
        <v>14948</v>
      </c>
      <c r="D1322" s="5" t="str">
        <f ca="1">IFERROR(__xludf.DUMMYFUNCTION("GOOGLETRANSLATE(B1322,""ja"",""vi"")"),"size L")</f>
        <v>size L</v>
      </c>
      <c r="E1322" s="5" t="str">
        <f ca="1">IFERROR(__xludf.DUMMYFUNCTION("GOOGLETRANSLATE(C1322,""ja"",""vi"")"),"Đấu giá&gt; Thời trang&gt; Phụ nữ thời trang&gt; quần&gt; L kích thước")</f>
        <v>Đấu giá&gt; Thời trang&gt; Phụ nữ thời trang&gt; quần&gt; L kích thước</v>
      </c>
      <c r="F1322" t="str">
        <f t="shared" ca="1" si="20"/>
        <v>"2084224601" : "size L",</v>
      </c>
    </row>
    <row r="1323" spans="1:6" ht="15.75" customHeight="1">
      <c r="A1323" s="18">
        <v>2084224602</v>
      </c>
      <c r="B1323" s="18" t="s">
        <v>13360</v>
      </c>
      <c r="C1323" s="18" t="s">
        <v>14952</v>
      </c>
      <c r="D1323" s="5" t="str">
        <f ca="1">IFERROR(__xludf.DUMMYFUNCTION("GOOGLETRANSLATE(B1323,""ja"",""vi"")"),"kích thước XL hoặc lớn hơn")</f>
        <v>kích thước XL hoặc lớn hơn</v>
      </c>
      <c r="E1323" s="5" t="str">
        <f ca="1">IFERROR(__xludf.DUMMYFUNCTION("GOOGLETRANSLATE(C1323,""ja"",""vi"")"),"Đấu giá&gt; Thời trang&gt; Thời trang nữ&gt; chinos&gt; kích thước XL hơn")</f>
        <v>Đấu giá&gt; Thời trang&gt; Thời trang nữ&gt; chinos&gt; kích thước XL hơn</v>
      </c>
      <c r="F1323" t="str">
        <f t="shared" ca="1" si="20"/>
        <v>"2084224602" : "kích thước XL hoặc lớn hơn",</v>
      </c>
    </row>
    <row r="1324" spans="1:6" ht="15.75" customHeight="1">
      <c r="A1324" s="18">
        <v>2084007154</v>
      </c>
      <c r="B1324" s="18" t="s">
        <v>14954</v>
      </c>
      <c r="C1324" s="18" t="s">
        <v>14956</v>
      </c>
      <c r="D1324" s="5" t="str">
        <f ca="1">IFERROR(__xludf.DUMMYFUNCTION("GOOGLETRANSLATE(B1324,""ja"",""vi"")"),"quần áo")</f>
        <v>quần áo</v>
      </c>
      <c r="E1324" s="5" t="str">
        <f ca="1">IFERROR(__xludf.DUMMYFUNCTION("GOOGLETRANSLATE(C1324,""ja"",""vi"")"),"Đấu giá&gt; Thời trang&gt; thời trang&gt; đồ&gt; quần phù hợp với phụ nữ")</f>
        <v>Đấu giá&gt; Thời trang&gt; thời trang&gt; đồ&gt; quần phù hợp với phụ nữ</v>
      </c>
      <c r="F1324" t="str">
        <f t="shared" ca="1" si="20"/>
        <v>"2084007154" : "quần áo",</v>
      </c>
    </row>
    <row r="1325" spans="1:6" ht="15.75" customHeight="1">
      <c r="A1325" s="18">
        <v>2084007156</v>
      </c>
      <c r="B1325" s="18" t="s">
        <v>14392</v>
      </c>
      <c r="C1325" s="18" t="s">
        <v>14959</v>
      </c>
      <c r="D1325" s="5" t="str">
        <f ca="1">IFERROR(__xludf.DUMMYFUNCTION("GOOGLETRANSLATE(B1325,""ja"",""vi"")"),"miniskirt")</f>
        <v>miniskirt</v>
      </c>
      <c r="E1325" s="5" t="str">
        <f ca="1">IFERROR(__xludf.DUMMYFUNCTION("GOOGLETRANSLATE(C1325,""ja"",""vi"")"),"Đấu giá&gt; Thời trang&gt; Phụ nữ thời trang&gt; phù hợp với&gt; miniskirt")</f>
        <v>Đấu giá&gt; Thời trang&gt; Phụ nữ thời trang&gt; phù hợp với&gt; miniskirt</v>
      </c>
      <c r="F1325" t="str">
        <f t="shared" ca="1" si="20"/>
        <v>"2084007156" : "miniskirt",</v>
      </c>
    </row>
    <row r="1326" spans="1:6" ht="15.75" customHeight="1">
      <c r="A1326" s="18">
        <v>2084054012</v>
      </c>
      <c r="B1326" s="18" t="s">
        <v>14397</v>
      </c>
      <c r="C1326" s="18" t="s">
        <v>14962</v>
      </c>
      <c r="D1326" s="5" t="str">
        <f ca="1">IFERROR(__xludf.DUMMYFUNCTION("GOOGLETRANSLATE(B1326,""ja"",""vi"")"),"Đầu gối dài váy")</f>
        <v>Đầu gối dài váy</v>
      </c>
      <c r="E1326" s="5" t="str">
        <f ca="1">IFERROR(__xludf.DUMMYFUNCTION("GOOGLETRANSLATE(C1326,""ja"",""vi"")"),"Đấu giá&gt; Thời trang&gt; thời trang&gt; đồ&gt; dài đến đầu gối váy nữ")</f>
        <v>Đấu giá&gt; Thời trang&gt; thời trang&gt; đồ&gt; dài đến đầu gối váy nữ</v>
      </c>
      <c r="F1326" t="str">
        <f t="shared" ca="1" si="20"/>
        <v>"2084054012" : "Đầu gối dài váy",</v>
      </c>
    </row>
    <row r="1327" spans="1:6" ht="15.75" customHeight="1">
      <c r="A1327" s="18">
        <v>2084007155</v>
      </c>
      <c r="B1327" s="18" t="s">
        <v>14401</v>
      </c>
      <c r="C1327" s="18" t="s">
        <v>14964</v>
      </c>
      <c r="D1327" s="5" t="str">
        <f ca="1">IFERROR(__xludf.DUMMYFUNCTION("GOOGLETRANSLATE(B1327,""ja"",""vi"")"),"váy dài")</f>
        <v>váy dài</v>
      </c>
      <c r="E1327" s="5" t="str">
        <f ca="1">IFERROR(__xludf.DUMMYFUNCTION("GOOGLETRANSLATE(C1327,""ja"",""vi"")"),"Đấu giá&gt; Thời trang&gt; thời trang&gt; đồ&gt; váy dài nữ")</f>
        <v>Đấu giá&gt; Thời trang&gt; thời trang&gt; đồ&gt; váy dài nữ</v>
      </c>
      <c r="F1327" t="str">
        <f t="shared" ca="1" si="20"/>
        <v>"2084007155" : "váy dài",</v>
      </c>
    </row>
    <row r="1328" spans="1:6" ht="15.75" customHeight="1">
      <c r="A1328" s="18">
        <v>2084007157</v>
      </c>
      <c r="B1328" s="18" t="s">
        <v>14967</v>
      </c>
      <c r="C1328" s="18" t="s">
        <v>14968</v>
      </c>
      <c r="D1328" s="5" t="str">
        <f ca="1">IFERROR(__xludf.DUMMYFUNCTION("GOOGLETRANSLATE(B1328,""ja"",""vi"")"),"culottes phù hợp")</f>
        <v>culottes phù hợp</v>
      </c>
      <c r="E1328" s="5" t="str">
        <f ca="1">IFERROR(__xludf.DUMMYFUNCTION("GOOGLETRANSLATE(C1328,""ja"",""vi"")"),"Đấu giá&gt; Thời trang&gt; Phụ nữ Quần áo&gt; Suits&gt; culottes phù hợp")</f>
        <v>Đấu giá&gt; Thời trang&gt; Phụ nữ Quần áo&gt; Suits&gt; culottes phù hợp</v>
      </c>
      <c r="F1328" t="str">
        <f t="shared" ca="1" si="20"/>
        <v>"2084007157" : "culottes phù hợp",</v>
      </c>
    </row>
    <row r="1329" spans="1:6" ht="15.75" customHeight="1">
      <c r="A1329" s="18">
        <v>2084005914</v>
      </c>
      <c r="B1329" s="18" t="s">
        <v>14970</v>
      </c>
      <c r="C1329" s="18" t="s">
        <v>14972</v>
      </c>
      <c r="D1329" s="5" t="str">
        <f ca="1">IFERROR(__xludf.DUMMYFUNCTION("GOOGLETRANSLATE(B1329,""ja"",""vi"")"),"áo cưới")</f>
        <v>áo cưới</v>
      </c>
      <c r="E1329" s="5" t="str">
        <f ca="1">IFERROR(__xludf.DUMMYFUNCTION("GOOGLETRANSLATE(C1329,""ja"",""vi"")"),"Đấu giá&gt; Thời trang&gt; Thời trang nữ&gt; chính thức&gt; váy cưới")</f>
        <v>Đấu giá&gt; Thời trang&gt; Thời trang nữ&gt; chính thức&gt; váy cưới</v>
      </c>
      <c r="F1329" t="str">
        <f t="shared" ca="1" si="20"/>
        <v>"2084005914" : "áo cưới",</v>
      </c>
    </row>
    <row r="1330" spans="1:6" ht="15.75" customHeight="1">
      <c r="A1330" s="18">
        <v>2084061200</v>
      </c>
      <c r="B1330" s="18" t="s">
        <v>14974</v>
      </c>
      <c r="C1330" s="18" t="s">
        <v>14975</v>
      </c>
      <c r="D1330" s="5" t="str">
        <f ca="1">IFERROR(__xludf.DUMMYFUNCTION("GOOGLETRANSLATE(B1330,""ja"",""vi"")"),"đám cưới tấm màn che")</f>
        <v>đám cưới tấm màn che</v>
      </c>
      <c r="E1330" s="5" t="str">
        <f ca="1">IFERROR(__xludf.DUMMYFUNCTION("GOOGLETRANSLATE(C1330,""ja"",""vi"")"),"Đấu giá&gt; Thời trang&gt; Thời trang nữ&gt; chính thức&gt; tấm màn che cưới")</f>
        <v>Đấu giá&gt; Thời trang&gt; Thời trang nữ&gt; chính thức&gt; tấm màn che cưới</v>
      </c>
      <c r="F1330" t="str">
        <f t="shared" ca="1" si="20"/>
        <v>"2084061200" : "đám cưới tấm màn che",</v>
      </c>
    </row>
    <row r="1331" spans="1:6" ht="15.75" customHeight="1">
      <c r="A1331" s="18">
        <v>2084059825</v>
      </c>
      <c r="B1331" s="18" t="s">
        <v>10840</v>
      </c>
      <c r="C1331" s="18" t="s">
        <v>14978</v>
      </c>
      <c r="D1331" s="5" t="str">
        <f ca="1">IFERROR(__xludf.DUMMYFUNCTION("GOOGLETRANSLATE(B1331,""ja"",""vi"")"),"vương miện của vua")</f>
        <v>vương miện của vua</v>
      </c>
      <c r="E1331" s="5" t="str">
        <f ca="1">IFERROR(__xludf.DUMMYFUNCTION("GOOGLETRANSLATE(C1331,""ja"",""vi"")"),"Đấu giá&gt; Thời trang&gt; Thời trang nữ&gt; chính thức&gt; Tiara")</f>
        <v>Đấu giá&gt; Thời trang&gt; Thời trang nữ&gt; chính thức&gt; Tiara</v>
      </c>
      <c r="F1331" t="str">
        <f t="shared" ca="1" si="20"/>
        <v>"2084059825" : "vương miện của vua",</v>
      </c>
    </row>
    <row r="1332" spans="1:6" ht="15.75" customHeight="1">
      <c r="A1332" s="18">
        <v>2084064274</v>
      </c>
      <c r="B1332" s="18" t="s">
        <v>14980</v>
      </c>
      <c r="C1332" s="18" t="s">
        <v>14982</v>
      </c>
      <c r="D1332" s="5" t="str">
        <f ca="1">IFERROR(__xludf.DUMMYFUNCTION("GOOGLETRANSLATE(B1332,""ja"",""vi"")"),"thúng")</f>
        <v>thúng</v>
      </c>
      <c r="E1332" s="5" t="str">
        <f ca="1">IFERROR(__xludf.DUMMYFUNCTION("GOOGLETRANSLATE(C1332,""ja"",""vi"")"),"Đấu giá&gt; Thời trang&gt; Thời trang nữ&gt; chính thức&gt; Pannier")</f>
        <v>Đấu giá&gt; Thời trang&gt; Thời trang nữ&gt; chính thức&gt; Pannier</v>
      </c>
      <c r="F1332" t="str">
        <f t="shared" ca="1" si="20"/>
        <v>"2084064274" : "thúng",</v>
      </c>
    </row>
    <row r="1333" spans="1:6" ht="15.75" customHeight="1">
      <c r="A1333" s="18">
        <v>2084061199</v>
      </c>
      <c r="B1333" s="18" t="s">
        <v>14984</v>
      </c>
      <c r="C1333" s="18" t="s">
        <v>14985</v>
      </c>
      <c r="D1333" s="5" t="str">
        <f ca="1">IFERROR(__xludf.DUMMYFUNCTION("GOOGLETRANSLATE(B1333,""ja"",""vi"")"),"Găng tay cưới")</f>
        <v>Găng tay cưới</v>
      </c>
      <c r="E1333" s="5" t="str">
        <f ca="1">IFERROR(__xludf.DUMMYFUNCTION("GOOGLETRANSLATE(C1333,""ja"",""vi"")"),"Đấu giá&gt; Thời trang&gt; Thời trang nữ&gt; chính thức&gt; găng tay cưới")</f>
        <v>Đấu giá&gt; Thời trang&gt; Thời trang nữ&gt; chính thức&gt; găng tay cưới</v>
      </c>
      <c r="F1333" t="str">
        <f t="shared" ca="1" si="20"/>
        <v>"2084061199" : "Găng tay cưới",</v>
      </c>
    </row>
    <row r="1334" spans="1:6" ht="15.75" customHeight="1">
      <c r="A1334" s="18">
        <v>2084053157</v>
      </c>
      <c r="B1334" s="18" t="s">
        <v>14988</v>
      </c>
      <c r="C1334" s="18" t="s">
        <v>14989</v>
      </c>
      <c r="D1334" s="5" t="str">
        <f ca="1">IFERROR(__xludf.DUMMYFUNCTION("GOOGLETRANSLATE(B1334,""ja"",""vi"")"),"Đám cưới cho Inner Mang")</f>
        <v>Đám cưới cho Inner Mang</v>
      </c>
      <c r="E1334" s="5" t="str">
        <f ca="1">IFERROR(__xludf.DUMMYFUNCTION("GOOGLETRANSLATE(C1334,""ja"",""vi"")"),"Đấu giá&gt; thời trang&gt; chính thức&gt; mặc bên trong thời trang&gt; Phụ nữ cho đám cưới")</f>
        <v>Đấu giá&gt; thời trang&gt; chính thức&gt; mặc bên trong thời trang&gt; Phụ nữ cho đám cưới</v>
      </c>
      <c r="F1334" t="str">
        <f t="shared" ca="1" si="20"/>
        <v>"2084053157" : "Đám cưới cho Inner Mang",</v>
      </c>
    </row>
    <row r="1335" spans="1:6" ht="15.75" customHeight="1">
      <c r="A1335" s="18">
        <v>2084005918</v>
      </c>
      <c r="B1335" s="18" t="s">
        <v>14991</v>
      </c>
      <c r="C1335" s="18" t="s">
        <v>14992</v>
      </c>
      <c r="D1335" s="5" t="str">
        <f ca="1">IFERROR(__xludf.DUMMYFUNCTION("GOOGLETRANSLATE(B1335,""ja"",""vi"")"),"màu váy")</f>
        <v>màu váy</v>
      </c>
      <c r="E1335" s="5" t="str">
        <f ca="1">IFERROR(__xludf.DUMMYFUNCTION("GOOGLETRANSLATE(C1335,""ja"",""vi"")"),"Đấu giá&gt; Thời trang&gt; Thời trang nữ&gt; chính thức&gt; váy màu")</f>
        <v>Đấu giá&gt; Thời trang&gt; Thời trang nữ&gt; chính thức&gt; váy màu</v>
      </c>
      <c r="F1335" t="str">
        <f t="shared" ca="1" si="20"/>
        <v>"2084005918" : "màu váy",</v>
      </c>
    </row>
    <row r="1336" spans="1:6" ht="15.75" customHeight="1">
      <c r="A1336" s="18">
        <v>2084005915</v>
      </c>
      <c r="B1336" s="18" t="s">
        <v>14994</v>
      </c>
      <c r="C1336" s="18" t="s">
        <v>14995</v>
      </c>
      <c r="D1336" s="5" t="str">
        <f ca="1">IFERROR(__xludf.DUMMYFUNCTION("GOOGLETRANSLATE(B1336,""ja"",""vi"")"),"Đen chính thức, tang")</f>
        <v>Đen chính thức, tang</v>
      </c>
      <c r="E1336" s="5" t="str">
        <f ca="1">IFERROR(__xludf.DUMMYFUNCTION("GOOGLETRANSLATE(C1336,""ja"",""vi"")"),"Đấu giá&gt; Thời trang&gt; Thời trang nữ&gt; chính&gt; đen trang trọng, tang")</f>
        <v>Đấu giá&gt; Thời trang&gt; Thời trang nữ&gt; chính&gt; đen trang trọng, tang</v>
      </c>
      <c r="F1336" t="str">
        <f t="shared" ca="1" si="20"/>
        <v>"2084005915" : "Đen chính thức, tang",</v>
      </c>
    </row>
    <row r="1337" spans="1:6" ht="15.75" customHeight="1">
      <c r="A1337" s="18">
        <v>2084005204</v>
      </c>
      <c r="B1337" s="18" t="s">
        <v>14997</v>
      </c>
      <c r="C1337" s="18" t="s">
        <v>14998</v>
      </c>
      <c r="D1337" s="5" t="str">
        <f ca="1">IFERROR(__xludf.DUMMYFUNCTION("GOOGLETRANSLATE(B1337,""ja"",""vi"")"),"quần áo Nhật Bản")</f>
        <v>quần áo Nhật Bản</v>
      </c>
      <c r="E1337" s="5" t="str">
        <f ca="1">IFERROR(__xludf.DUMMYFUNCTION("GOOGLETRANSLATE(C1337,""ja"",""vi"")"),"Đấu giá&gt; thời trang thời trang&gt; Phụ nữ&gt; chính thức&gt; kimono")</f>
        <v>Đấu giá&gt; thời trang thời trang&gt; Phụ nữ&gt; chính thức&gt; kimono</v>
      </c>
      <c r="F1337" t="str">
        <f t="shared" ca="1" si="20"/>
        <v>"2084005204" : "quần áo Nhật Bản",</v>
      </c>
    </row>
    <row r="1338" spans="1:6" ht="15.75" customHeight="1">
      <c r="A1338" s="18">
        <v>2084037009</v>
      </c>
      <c r="B1338" s="18" t="s">
        <v>14999</v>
      </c>
      <c r="C1338" s="18" t="s">
        <v>15000</v>
      </c>
      <c r="D1338" s="5" t="str">
        <f ca="1">IFERROR(__xludf.DUMMYFUNCTION("GOOGLETRANSLATE(B1338,""ja"",""vi"")"),"Áo sơ mi và áo cánh")</f>
        <v>Áo sơ mi và áo cánh</v>
      </c>
      <c r="E1338" s="5" t="str">
        <f ca="1">IFERROR(__xludf.DUMMYFUNCTION("GOOGLETRANSLATE(C1338,""ja"",""vi"")"),"Đấu giá&gt; Thời trang&gt; Thời trang nữ&gt; chính thức&gt; áo sơ mi, áo")</f>
        <v>Đấu giá&gt; Thời trang&gt; Thời trang nữ&gt; chính thức&gt; áo sơ mi, áo</v>
      </c>
      <c r="F1338" t="str">
        <f t="shared" ca="1" si="20"/>
        <v>"2084037009" : "Áo sơ mi và áo cánh",</v>
      </c>
    </row>
    <row r="1339" spans="1:6" ht="15.75" customHeight="1">
      <c r="A1339" s="18">
        <v>2084037006</v>
      </c>
      <c r="B1339" s="18" t="s">
        <v>11223</v>
      </c>
      <c r="C1339" s="18" t="s">
        <v>15002</v>
      </c>
      <c r="D1339" s="5" t="str">
        <f ca="1">IFERROR(__xludf.DUMMYFUNCTION("GOOGLETRANSLATE(B1339,""ja"",""vi"")"),"Áo khoác, áo khoác")</f>
        <v>Áo khoác, áo khoác</v>
      </c>
      <c r="E1339" s="5" t="str">
        <f ca="1">IFERROR(__xludf.DUMMYFUNCTION("GOOGLETRANSLATE(C1339,""ja"",""vi"")"),"Đấu giá&gt; Thời trang&gt; Thời trang nữ&gt; chính thức&gt; áo khoác, áo khoác")</f>
        <v>Đấu giá&gt; Thời trang&gt; Thời trang nữ&gt; chính thức&gt; áo khoác, áo khoác</v>
      </c>
      <c r="F1339" t="str">
        <f t="shared" ca="1" si="20"/>
        <v>"2084037006" : "Áo khoác, áo khoác",</v>
      </c>
    </row>
    <row r="1340" spans="1:6" ht="15.75" customHeight="1">
      <c r="A1340" s="18">
        <v>2084037007</v>
      </c>
      <c r="B1340" s="18" t="s">
        <v>15005</v>
      </c>
      <c r="C1340" s="18" t="s">
        <v>15006</v>
      </c>
      <c r="D1340" s="5" t="str">
        <f ca="1">IFERROR(__xludf.DUMMYFUNCTION("GOOGLETRANSLATE(B1340,""ja"",""vi"")"),"Suit, cụm công")</f>
        <v>Suit, cụm công</v>
      </c>
      <c r="E1340" s="5" t="str">
        <f ca="1">IFERROR(__xludf.DUMMYFUNCTION("GOOGLETRANSLATE(C1340,""ja"",""vi"")"),"Đấu giá&gt; Thời trang&gt; Phụ nữ thời trang&gt; chính thức&gt; phù hợp, cụm công")</f>
        <v>Đấu giá&gt; Thời trang&gt; Phụ nữ thời trang&gt; chính thức&gt; phù hợp, cụm công</v>
      </c>
      <c r="F1340" t="str">
        <f t="shared" ca="1" si="20"/>
        <v>"2084037007" : "Suit, cụm công",</v>
      </c>
    </row>
    <row r="1341" spans="1:6" ht="15.75" customHeight="1">
      <c r="A1341" s="18">
        <v>2084037010</v>
      </c>
      <c r="B1341" s="18" t="s">
        <v>13746</v>
      </c>
      <c r="C1341" s="18" t="s">
        <v>15008</v>
      </c>
      <c r="D1341" s="5" t="str">
        <f ca="1">IFERROR(__xludf.DUMMYFUNCTION("GOOGLETRANSLATE(B1341,""ja"",""vi"")"),"váy")</f>
        <v>váy</v>
      </c>
      <c r="E1341" s="5" t="str">
        <f ca="1">IFERROR(__xludf.DUMMYFUNCTION("GOOGLETRANSLATE(C1341,""ja"",""vi"")"),"Đấu giá&gt; Thời trang&gt; Thời trang nữ&gt; chính thức&gt; váy")</f>
        <v>Đấu giá&gt; Thời trang&gt; Thời trang nữ&gt; chính thức&gt; váy</v>
      </c>
      <c r="F1341" t="str">
        <f t="shared" ca="1" si="20"/>
        <v>"2084037010" : "váy",</v>
      </c>
    </row>
    <row r="1342" spans="1:6" ht="15.75" customHeight="1">
      <c r="A1342" s="18">
        <v>2084037011</v>
      </c>
      <c r="B1342" s="18" t="s">
        <v>7485</v>
      </c>
      <c r="C1342" s="18" t="s">
        <v>15010</v>
      </c>
      <c r="D1342" s="5" t="str">
        <f ca="1">IFERROR(__xludf.DUMMYFUNCTION("GOOGLETRANSLATE(B1342,""ja"",""vi"")"),"quần")</f>
        <v>quần</v>
      </c>
      <c r="E1342" s="5" t="str">
        <f ca="1">IFERROR(__xludf.DUMMYFUNCTION("GOOGLETRANSLATE(C1342,""ja"",""vi"")"),"Đấu giá&gt; thời trang thời trang&gt; Phụ nữ&gt; chính thức&gt; quần")</f>
        <v>Đấu giá&gt; thời trang thời trang&gt; Phụ nữ&gt; chính thức&gt; quần</v>
      </c>
      <c r="F1342" t="str">
        <f t="shared" ca="1" si="20"/>
        <v>"2084037011" : "quần",</v>
      </c>
    </row>
    <row r="1343" spans="1:6" ht="15.75" customHeight="1">
      <c r="A1343" s="18">
        <v>2084037008</v>
      </c>
      <c r="B1343" s="18" t="s">
        <v>7472</v>
      </c>
      <c r="C1343" s="18" t="s">
        <v>15012</v>
      </c>
      <c r="D1343" s="5" t="str">
        <f ca="1">IFERROR(__xludf.DUMMYFUNCTION("GOOGLETRANSLATE(B1343,""ja"",""vi"")"),"One piece")</f>
        <v>One piece</v>
      </c>
      <c r="E1343" s="5" t="str">
        <f ca="1">IFERROR(__xludf.DUMMYFUNCTION("GOOGLETRANSLATE(C1343,""ja"",""vi"")"),"Đấu giá&gt; Thời trang&gt; Thời trang nữ&gt; chính thức&gt; One Piece")</f>
        <v>Đấu giá&gt; Thời trang&gt; Thời trang nữ&gt; chính thức&gt; One Piece</v>
      </c>
      <c r="F1343" t="str">
        <f t="shared" ca="1" si="20"/>
        <v>"2084037008" : "One piece",</v>
      </c>
    </row>
    <row r="1344" spans="1:6" ht="15.75" customHeight="1">
      <c r="A1344" s="18">
        <v>2084008347</v>
      </c>
      <c r="B1344" s="18" t="s">
        <v>15014</v>
      </c>
      <c r="C1344" s="18" t="s">
        <v>15015</v>
      </c>
      <c r="D1344" s="5" t="str">
        <f ca="1">IFERROR(__xludf.DUMMYFUNCTION("GOOGLETRANSLATE(B1344,""ja"",""vi"")"),"túi Đảng")</f>
        <v>túi Đảng</v>
      </c>
      <c r="E1344" s="5" t="str">
        <f ca="1">IFERROR(__xludf.DUMMYFUNCTION("GOOGLETRANSLATE(C1344,""ja"",""vi"")"),"Đấu giá&gt; Thời trang&gt; Thời trang nữ&gt; chính thức&gt; túi bên")</f>
        <v>Đấu giá&gt; Thời trang&gt; Thời trang nữ&gt; chính thức&gt; túi bên</v>
      </c>
      <c r="F1344" t="str">
        <f t="shared" ca="1" si="20"/>
        <v>"2084008347" : "túi Đảng",</v>
      </c>
    </row>
    <row r="1345" spans="1:6" ht="15.75" customHeight="1">
      <c r="A1345" s="18">
        <v>2084061234</v>
      </c>
      <c r="B1345" s="18" t="s">
        <v>15017</v>
      </c>
      <c r="C1345" s="18" t="s">
        <v>15018</v>
      </c>
      <c r="D1345" s="5" t="str">
        <f ca="1">IFERROR(__xludf.DUMMYFUNCTION("GOOGLETRANSLATE(B1345,""ja"",""vi"")"),"tràng hạt")</f>
        <v>tràng hạt</v>
      </c>
      <c r="E1345" s="5" t="str">
        <f ca="1">IFERROR(__xludf.DUMMYFUNCTION("GOOGLETRANSLATE(C1345,""ja"",""vi"")"),"Đấu giá&gt; Thời trang&gt; Thời trang nữ&gt; chính thức&gt; Mân Côi")</f>
        <v>Đấu giá&gt; Thời trang&gt; Thời trang nữ&gt; chính thức&gt; Mân Côi</v>
      </c>
      <c r="F1345" t="str">
        <f t="shared" ca="1" si="20"/>
        <v>"2084061234" : "tràng hạt",</v>
      </c>
    </row>
    <row r="1346" spans="1:6" ht="15.75" customHeight="1">
      <c r="A1346" s="18">
        <v>2084005917</v>
      </c>
      <c r="B1346" s="18" t="s">
        <v>46</v>
      </c>
      <c r="C1346" s="18" t="s">
        <v>15020</v>
      </c>
      <c r="D1346" s="5" t="str">
        <f ca="1">IFERROR(__xludf.DUMMYFUNCTION("GOOGLETRANSLATE(B1346,""ja"",""vi"")"),"nếu không thì")</f>
        <v>nếu không thì</v>
      </c>
      <c r="E1346" s="5" t="str">
        <f ca="1">IFERROR(__xludf.DUMMYFUNCTION("GOOGLETRANSLATE(C1346,""ja"",""vi"")"),"Đấu giá&gt; Thời trang&gt; Thời trang nữ&gt; chính thức&gt; Khác")</f>
        <v>Đấu giá&gt; Thời trang&gt; Thời trang nữ&gt; chính thức&gt; Khác</v>
      </c>
      <c r="F1346" t="str">
        <f t="shared" ref="F1346:F1409" ca="1" si="21">CONCATENATE(CHAR(34)&amp;"",A1346,""&amp;CHAR(34)," : ", CHAR(34)&amp;"",D1346,""&amp;CHAR(34),",")</f>
        <v>"2084005917" : "nếu không thì",</v>
      </c>
    </row>
    <row r="1347" spans="1:6" ht="15.75" customHeight="1">
      <c r="A1347" s="18">
        <v>2084053140</v>
      </c>
      <c r="B1347" s="18" t="s">
        <v>3138</v>
      </c>
      <c r="C1347" s="18" t="s">
        <v>15022</v>
      </c>
      <c r="D1347" s="5" t="str">
        <f ca="1">IFERROR(__xludf.DUMMYFUNCTION("GOOGLETRANSLATE(B1347,""ja"",""vi"")"),"bộ")</f>
        <v>bộ</v>
      </c>
      <c r="E1347" s="5" t="str">
        <f ca="1">IFERROR(__xludf.DUMMYFUNCTION("GOOGLETRANSLATE(C1347,""ja"",""vi"")"),"Đấu giá&gt; Thời trang&gt; Thời trang nữ&gt; mặc bên trong&gt; bộ")</f>
        <v>Đấu giá&gt; Thời trang&gt; Thời trang nữ&gt; mặc bên trong&gt; bộ</v>
      </c>
      <c r="F1347" t="str">
        <f t="shared" ca="1" si="21"/>
        <v>"2084053140" : "bộ",</v>
      </c>
    </row>
    <row r="1348" spans="1:6" ht="15.75" customHeight="1">
      <c r="A1348" s="18">
        <v>2084053134</v>
      </c>
      <c r="B1348" s="18" t="s">
        <v>13537</v>
      </c>
      <c r="C1348" s="18" t="s">
        <v>15025</v>
      </c>
      <c r="D1348" s="5" t="str">
        <f ca="1">IFERROR(__xludf.DUMMYFUNCTION("GOOGLETRANSLATE(B1348,""ja"",""vi"")"),"áo lót")</f>
        <v>áo lót</v>
      </c>
      <c r="E1348" s="5" t="str">
        <f ca="1">IFERROR(__xludf.DUMMYFUNCTION("GOOGLETRANSLATE(C1348,""ja"",""vi"")"),"Đấu giá&gt; Thời trang&gt; Thời trang nữ&gt; mặc bên trong&gt; áo lót")</f>
        <v>Đấu giá&gt; Thời trang&gt; Thời trang nữ&gt; mặc bên trong&gt; áo lót</v>
      </c>
      <c r="F1348" t="str">
        <f t="shared" ca="1" si="21"/>
        <v>"2084053134" : "áo lót",</v>
      </c>
    </row>
    <row r="1349" spans="1:6" ht="15.75" customHeight="1">
      <c r="A1349" s="18">
        <v>2084053121</v>
      </c>
      <c r="B1349" s="18" t="s">
        <v>15028</v>
      </c>
      <c r="C1349" s="18" t="s">
        <v>15029</v>
      </c>
      <c r="D1349" s="5" t="str">
        <f ca="1">IFERROR(__xludf.DUMMYFUNCTION("GOOGLETRANSLATE(B1349,""ja"",""vi"")"),"yếm trong")</f>
        <v>yếm trong</v>
      </c>
      <c r="E1349" s="5" t="str">
        <f ca="1">IFERROR(__xludf.DUMMYFUNCTION("GOOGLETRANSLATE(C1349,""ja"",""vi"")"),"Đấu giá&gt; Thời trang&gt; Thời trang nữ&gt; mặc bên trong&gt; yếm")</f>
        <v>Đấu giá&gt; Thời trang&gt; Thời trang nữ&gt; mặc bên trong&gt; yếm</v>
      </c>
      <c r="F1349" t="str">
        <f t="shared" ca="1" si="21"/>
        <v>"2084053121" : "yếm trong",</v>
      </c>
    </row>
    <row r="1350" spans="1:6" ht="15.75" customHeight="1">
      <c r="A1350" s="18">
        <v>2084053082</v>
      </c>
      <c r="B1350" s="18" t="s">
        <v>15033</v>
      </c>
      <c r="C1350" s="18" t="s">
        <v>15035</v>
      </c>
      <c r="D1350" s="5" t="str">
        <f ca="1">IFERROR(__xludf.DUMMYFUNCTION("GOOGLETRANSLATE(B1350,""ja"",""vi"")"),"áo ngực")</f>
        <v>áo ngực</v>
      </c>
      <c r="E1350" s="5" t="str">
        <f ca="1">IFERROR(__xludf.DUMMYFUNCTION("GOOGLETRANSLATE(C1350,""ja"",""vi"")"),"Đấu giá&gt; Thời trang&gt; Thời trang nữ&gt; mặc bên trong&gt; áo ngực")</f>
        <v>Đấu giá&gt; Thời trang&gt; Thời trang nữ&gt; mặc bên trong&gt; áo ngực</v>
      </c>
      <c r="F1350" t="str">
        <f t="shared" ca="1" si="21"/>
        <v>"2084053082" : "áo ngực",</v>
      </c>
    </row>
    <row r="1351" spans="1:6" ht="15.75" customHeight="1">
      <c r="A1351" s="18">
        <v>2084053115</v>
      </c>
      <c r="B1351" s="18" t="s">
        <v>15039</v>
      </c>
      <c r="C1351" s="18" t="s">
        <v>15041</v>
      </c>
      <c r="D1351" s="5" t="str">
        <f ca="1">IFERROR(__xludf.DUMMYFUNCTION("GOOGLETRANSLATE(B1351,""ja"",""vi"")"),"trượt")</f>
        <v>trượt</v>
      </c>
      <c r="E1351" s="5" t="str">
        <f ca="1">IFERROR(__xludf.DUMMYFUNCTION("GOOGLETRANSLATE(C1351,""ja"",""vi"")"),"Đấu giá&gt; Thời trang&gt; Thời trang nữ&gt; mặc bên trong&gt; trượt")</f>
        <v>Đấu giá&gt; Thời trang&gt; Thời trang nữ&gt; mặc bên trong&gt; trượt</v>
      </c>
      <c r="F1351" t="str">
        <f t="shared" ca="1" si="21"/>
        <v>"2084053115" : "trượt",</v>
      </c>
    </row>
    <row r="1352" spans="1:6" ht="15.75" customHeight="1">
      <c r="A1352" s="18">
        <v>2084053128</v>
      </c>
      <c r="B1352" s="18" t="s">
        <v>15044</v>
      </c>
      <c r="C1352" s="18" t="s">
        <v>15047</v>
      </c>
      <c r="D1352" s="5" t="str">
        <f ca="1">IFERROR(__xludf.DUMMYFUNCTION("GOOGLETRANSLATE(B1352,""ja"",""vi"")"),"baby Doll")</f>
        <v>baby Doll</v>
      </c>
      <c r="E1352" s="5" t="str">
        <f ca="1">IFERROR(__xludf.DUMMYFUNCTION("GOOGLETRANSLATE(C1352,""ja"",""vi"")"),"Đấu giá&gt; thời trang thời trang&gt; Phụ nữ&gt; mặc bên trong&gt; Baby Doll")</f>
        <v>Đấu giá&gt; thời trang thời trang&gt; Phụ nữ&gt; mặc bên trong&gt; Baby Doll</v>
      </c>
      <c r="F1352" t="str">
        <f t="shared" ca="1" si="21"/>
        <v>"2084053128" : "baby Doll",</v>
      </c>
    </row>
    <row r="1353" spans="1:6" ht="15.75" customHeight="1">
      <c r="A1353" s="18">
        <v>2084053091</v>
      </c>
      <c r="B1353" s="18" t="s">
        <v>15051</v>
      </c>
      <c r="C1353" s="18" t="s">
        <v>15053</v>
      </c>
      <c r="D1353" s="5" t="str">
        <f ca="1">IFERROR(__xludf.DUMMYFUNCTION("GOOGLETRANSLATE(B1353,""ja"",""vi"")"),"quần short")</f>
        <v>quần short</v>
      </c>
      <c r="E1353" s="5" t="str">
        <f ca="1">IFERROR(__xludf.DUMMYFUNCTION("GOOGLETRANSLATE(C1353,""ja"",""vi"")"),"Đấu giá&gt; Thời trang&gt; Thời trang nữ&gt; mặc bên trong&gt; Shorts")</f>
        <v>Đấu giá&gt; Thời trang&gt; Thời trang nữ&gt; mặc bên trong&gt; Shorts</v>
      </c>
      <c r="F1353" t="str">
        <f t="shared" ca="1" si="21"/>
        <v>"2084053091" : "quần short",</v>
      </c>
    </row>
    <row r="1354" spans="1:6" ht="15.75" customHeight="1">
      <c r="A1354" s="18">
        <v>2084243340</v>
      </c>
      <c r="B1354" s="18" t="s">
        <v>15059</v>
      </c>
      <c r="C1354" s="18" t="s">
        <v>15061</v>
      </c>
      <c r="D1354" s="5" t="str">
        <f ca="1">IFERROR(__xludf.DUMMYFUNCTION("GOOGLETRANSLATE(B1354,""ja"",""vi"")"),"vành đai Garter")</f>
        <v>vành đai Garter</v>
      </c>
      <c r="E1354" s="5" t="str">
        <f ca="1">IFERROR(__xludf.DUMMYFUNCTION("GOOGLETRANSLATE(C1354,""ja"",""vi"")"),"Đấu giá&gt; Thời trang&gt; Thời trang nữ&gt; mặc bên trong&gt; vành đai sọc")</f>
        <v>Đấu giá&gt; Thời trang&gt; Thời trang nữ&gt; mặc bên trong&gt; vành đai sọc</v>
      </c>
      <c r="F1354" t="str">
        <f t="shared" ca="1" si="21"/>
        <v>"2084243340" : "vành đai Garter",</v>
      </c>
    </row>
    <row r="1355" spans="1:6" ht="15.75" customHeight="1">
      <c r="A1355" s="18">
        <v>2084053109</v>
      </c>
      <c r="B1355" s="18" t="s">
        <v>15064</v>
      </c>
      <c r="C1355" s="18" t="s">
        <v>15066</v>
      </c>
      <c r="D1355" s="5" t="str">
        <f ca="1">IFERROR(__xludf.DUMMYFUNCTION("GOOGLETRANSLATE(B1355,""ja"",""vi"")"),"quần Tap, quần loe")</f>
        <v>quần Tap, quần loe</v>
      </c>
      <c r="E1355" s="5" t="str">
        <f ca="1">IFERROR(__xludf.DUMMYFUNCTION("GOOGLETRANSLATE(C1355,""ja"",""vi"")"),"Đấu giá&gt; Thời trang&gt; Thời trang nữ&gt; mặc bên trong&gt; tap quần, quần loe")</f>
        <v>Đấu giá&gt; Thời trang&gt; Thời trang nữ&gt; mặc bên trong&gt; tap quần, quần loe</v>
      </c>
      <c r="F1355" t="str">
        <f t="shared" ca="1" si="21"/>
        <v>"2084053109" : "quần Tap, quần loe",</v>
      </c>
    </row>
    <row r="1356" spans="1:6" ht="15.75" customHeight="1">
      <c r="A1356" s="18">
        <v>2084053097</v>
      </c>
      <c r="B1356" s="18" t="s">
        <v>15068</v>
      </c>
      <c r="C1356" s="18" t="s">
        <v>15069</v>
      </c>
      <c r="D1356" s="5" t="str">
        <f ca="1">IFERROR(__xludf.DUMMYFUNCTION("GOOGLETRANSLATE(B1356,""ja"",""vi"")"),"vớ")</f>
        <v>vớ</v>
      </c>
      <c r="E1356" s="5" t="str">
        <f ca="1">IFERROR(__xludf.DUMMYFUNCTION("GOOGLETRANSLATE(C1356,""ja"",""vi"")"),"Đấu giá&gt; Thời trang&gt; Thời trang nữ&gt; mặc bên trong&gt; vớ")</f>
        <v>Đấu giá&gt; Thời trang&gt; Thời trang nữ&gt; mặc bên trong&gt; vớ</v>
      </c>
      <c r="F1356" t="str">
        <f t="shared" ca="1" si="21"/>
        <v>"2084053097" : "vớ",</v>
      </c>
    </row>
    <row r="1357" spans="1:6" ht="15.75" customHeight="1">
      <c r="A1357" s="18">
        <v>2084053143</v>
      </c>
      <c r="B1357" s="18" t="s">
        <v>15073</v>
      </c>
      <c r="C1357" s="18" t="s">
        <v>15075</v>
      </c>
      <c r="D1357" s="5" t="str">
        <f ca="1">IFERROR(__xludf.DUMMYFUNCTION("GOOGLETRANSLATE(B1357,""ja"",""vi"")"),"đồ lót")</f>
        <v>đồ lót</v>
      </c>
      <c r="E1357" s="5" t="str">
        <f ca="1">IFERROR(__xludf.DUMMYFUNCTION("GOOGLETRANSLATE(C1357,""ja"",""vi"")"),"Đấu giá&gt; Thời trang&gt; Thời trang nữ&gt; mặc bên trong&gt; đồ lót")</f>
        <v>Đấu giá&gt; Thời trang&gt; Thời trang nữ&gt; mặc bên trong&gt; đồ lót</v>
      </c>
      <c r="F1357" t="str">
        <f t="shared" ca="1" si="21"/>
        <v>"2084053143" : "đồ lót",</v>
      </c>
    </row>
    <row r="1358" spans="1:6" ht="15.75" customHeight="1">
      <c r="A1358" s="18">
        <v>2084246666</v>
      </c>
      <c r="B1358" s="18" t="s">
        <v>15078</v>
      </c>
      <c r="C1358" s="18" t="s">
        <v>15080</v>
      </c>
      <c r="D1358" s="5" t="str">
        <f ca="1">IFERROR(__xludf.DUMMYFUNCTION("GOOGLETRANSLATE(B1358,""ja"",""vi"")"),"môn thể thao")</f>
        <v>môn thể thao</v>
      </c>
      <c r="E1358" s="5" t="str">
        <f ca="1">IFERROR(__xludf.DUMMYFUNCTION("GOOGLETRANSLATE(C1358,""ja"",""vi"")"),"Đấu giá&gt; Thời trang&gt; Thời trang nữ&gt; mặc bên trong&gt; cho thể thao")</f>
        <v>Đấu giá&gt; Thời trang&gt; Thời trang nữ&gt; mặc bên trong&gt; cho thể thao</v>
      </c>
      <c r="F1358" t="str">
        <f t="shared" ca="1" si="21"/>
        <v>"2084246666" : "môn thể thao",</v>
      </c>
    </row>
    <row r="1359" spans="1:6" ht="15.75" customHeight="1">
      <c r="A1359" s="18">
        <v>2084053157</v>
      </c>
      <c r="B1359" s="18" t="s">
        <v>14988</v>
      </c>
      <c r="C1359" s="18" t="s">
        <v>15085</v>
      </c>
      <c r="D1359" s="5" t="str">
        <f ca="1">IFERROR(__xludf.DUMMYFUNCTION("GOOGLETRANSLATE(B1359,""ja"",""vi"")"),"Đám cưới cho Inner Mang")</f>
        <v>Đám cưới cho Inner Mang</v>
      </c>
      <c r="E1359" s="5" t="str">
        <f ca="1">IFERROR(__xludf.DUMMYFUNCTION("GOOGLETRANSLATE(C1359,""ja"",""vi"")"),"Đấu giá&gt; thời trang thời trang&gt; Phụ nữ&gt; mặc bên trong&gt; Nội Wear để cưới")</f>
        <v>Đấu giá&gt; thời trang thời trang&gt; Phụ nữ&gt; mặc bên trong&gt; Nội Wear để cưới</v>
      </c>
      <c r="F1359" t="str">
        <f t="shared" ca="1" si="21"/>
        <v>"2084053157" : "Đám cưới cho Inner Mang",</v>
      </c>
    </row>
    <row r="1360" spans="1:6" ht="15.75" customHeight="1">
      <c r="A1360" s="18">
        <v>2084061635</v>
      </c>
      <c r="B1360" s="18" t="s">
        <v>15087</v>
      </c>
      <c r="C1360" s="18" t="s">
        <v>15088</v>
      </c>
      <c r="D1360" s="5" t="str">
        <f ca="1">IFERROR(__xludf.DUMMYFUNCTION("GOOGLETRANSLATE(B1360,""ja"",""vi"")"),"Kimono cho Inner Mang")</f>
        <v>Kimono cho Inner Mang</v>
      </c>
      <c r="E1360" s="5" t="str">
        <f ca="1">IFERROR(__xludf.DUMMYFUNCTION("GOOGLETRANSLATE(C1360,""ja"",""vi"")"),"Đấu giá&gt; thời trang thời trang&gt; Phụ nữ&gt; mặc bên trong&gt; mặc bên trong quần áo của Nhật Bản")</f>
        <v>Đấu giá&gt; thời trang thời trang&gt; Phụ nữ&gt; mặc bên trong&gt; mặc bên trong quần áo của Nhật Bản</v>
      </c>
      <c r="F1360" t="str">
        <f t="shared" ca="1" si="21"/>
        <v>"2084061635" : "Kimono cho Inner Mang",</v>
      </c>
    </row>
    <row r="1361" spans="1:6" ht="15.75" customHeight="1">
      <c r="A1361" s="18">
        <v>2084245568</v>
      </c>
      <c r="B1361" s="18" t="s">
        <v>15091</v>
      </c>
      <c r="C1361" s="18" t="s">
        <v>15092</v>
      </c>
      <c r="D1361" s="5" t="str">
        <f ca="1">IFERROR(__xludf.DUMMYFUNCTION("GOOGLETRANSLATE(B1361,""ja"",""vi"")"),"vớ")</f>
        <v>vớ</v>
      </c>
      <c r="E1361" s="5" t="str">
        <f ca="1">IFERROR(__xludf.DUMMYFUNCTION("GOOGLETRANSLATE(C1361,""ja"",""vi"")"),"Đấu giá&gt; Thời trang&gt; Thời trang nữ&gt; mặc bên trong&gt; quần bó")</f>
        <v>Đấu giá&gt; Thời trang&gt; Thời trang nữ&gt; mặc bên trong&gt; quần bó</v>
      </c>
      <c r="F1361" t="str">
        <f t="shared" ca="1" si="21"/>
        <v>"2084245568" : "vớ",</v>
      </c>
    </row>
    <row r="1362" spans="1:6" ht="15.75" customHeight="1">
      <c r="A1362" s="18">
        <v>2084006318</v>
      </c>
      <c r="B1362" s="18" t="s">
        <v>15093</v>
      </c>
      <c r="C1362" s="18" t="s">
        <v>15095</v>
      </c>
      <c r="D1362" s="5" t="str">
        <f ca="1">IFERROR(__xludf.DUMMYFUNCTION("GOOGLETRANSLATE(B1362,""ja"",""vi"")"),"Thai sản cho Inner Mang")</f>
        <v>Thai sản cho Inner Mang</v>
      </c>
      <c r="E1362" s="5" t="str">
        <f ca="1">IFERROR(__xludf.DUMMYFUNCTION("GOOGLETRANSLATE(C1362,""ja"",""vi"")"),"Đấu giá&gt; thời trang thời trang&gt; Phụ nữ&gt; mặc bên trong&gt; Nội Wear để thai sản")</f>
        <v>Đấu giá&gt; thời trang thời trang&gt; Phụ nữ&gt; mặc bên trong&gt; Nội Wear để thai sản</v>
      </c>
      <c r="F1362" t="str">
        <f t="shared" ca="1" si="21"/>
        <v>"2084006318" : "Thai sản cho Inner Mang",</v>
      </c>
    </row>
    <row r="1363" spans="1:6" ht="15.75" customHeight="1">
      <c r="A1363" s="18">
        <v>2084053160</v>
      </c>
      <c r="B1363" s="18" t="s">
        <v>13968</v>
      </c>
      <c r="C1363" s="18" t="s">
        <v>15097</v>
      </c>
      <c r="D1363" s="5" t="str">
        <f ca="1">IFERROR(__xludf.DUMMYFUNCTION("GOOGLETRANSLATE(B1363,""ja"",""vi"")"),"áo ngủ")</f>
        <v>áo ngủ</v>
      </c>
      <c r="E1363" s="5" t="str">
        <f ca="1">IFERROR(__xludf.DUMMYFUNCTION("GOOGLETRANSLATE(C1363,""ja"",""vi"")"),"Đấu giá&gt; Thời trang&gt; Phụ nữ thời trang&gt; mặc bên trong&gt; Pyjama")</f>
        <v>Đấu giá&gt; Thời trang&gt; Phụ nữ thời trang&gt; mặc bên trong&gt; Pyjama</v>
      </c>
      <c r="F1363" t="str">
        <f t="shared" ca="1" si="21"/>
        <v>"2084053160" : "áo ngủ",</v>
      </c>
    </row>
    <row r="1364" spans="1:6" ht="15.75" customHeight="1">
      <c r="A1364" s="18">
        <v>42187</v>
      </c>
      <c r="B1364" s="18" t="s">
        <v>15099</v>
      </c>
      <c r="C1364" s="18" t="s">
        <v>15100</v>
      </c>
      <c r="D1364" s="5" t="str">
        <f ca="1">IFERROR(__xludf.DUMMYFUNCTION("GOOGLETRANSLATE(B1364,""ja"",""vi"")"),"bít tất")</f>
        <v>bít tất</v>
      </c>
      <c r="E1364" s="5" t="str">
        <f ca="1">IFERROR(__xludf.DUMMYFUNCTION("GOOGLETRANSLATE(C1364,""ja"",""vi"")"),"Đấu giá&gt; Thời trang&gt; Thời trang nữ&gt; mặc bên trong&gt; vớ")</f>
        <v>Đấu giá&gt; Thời trang&gt; Thời trang nữ&gt; mặc bên trong&gt; vớ</v>
      </c>
      <c r="F1364" t="str">
        <f t="shared" ca="1" si="21"/>
        <v>"42187" : "bít tất",</v>
      </c>
    </row>
    <row r="1365" spans="1:6" ht="15.75" customHeight="1">
      <c r="A1365" s="18">
        <v>2084053158</v>
      </c>
      <c r="B1365" s="18" t="s">
        <v>46</v>
      </c>
      <c r="C1365" s="18" t="s">
        <v>15102</v>
      </c>
      <c r="D1365" s="5" t="str">
        <f ca="1">IFERROR(__xludf.DUMMYFUNCTION("GOOGLETRANSLATE(B1365,""ja"",""vi"")"),"nếu không thì")</f>
        <v>nếu không thì</v>
      </c>
      <c r="E1365" s="5" t="str">
        <f ca="1">IFERROR(__xludf.DUMMYFUNCTION("GOOGLETRANSLATE(C1365,""ja"",""vi"")"),"Đấu giá&gt; Thời trang&gt; Phụ nữ thời trang&gt; mặc nội&gt; Khác")</f>
        <v>Đấu giá&gt; Thời trang&gt; Phụ nữ thời trang&gt; mặc nội&gt; Khác</v>
      </c>
      <c r="F1365" t="str">
        <f t="shared" ca="1" si="21"/>
        <v>"2084053158" : "nếu không thì",</v>
      </c>
    </row>
    <row r="1366" spans="1:6" ht="15.75" customHeight="1">
      <c r="A1366" s="18">
        <v>2084051837</v>
      </c>
      <c r="B1366" s="18" t="s">
        <v>15105</v>
      </c>
      <c r="C1366" s="18" t="s">
        <v>15107</v>
      </c>
      <c r="D1366" s="5" t="str">
        <f ca="1">IFERROR(__xludf.DUMMYFUNCTION("GOOGLETRANSLATE(B1366,""ja"",""vi"")"),"riêng biệt")</f>
        <v>riêng biệt</v>
      </c>
      <c r="E1366" s="5" t="str">
        <f ca="1">IFERROR(__xludf.DUMMYFUNCTION("GOOGLETRANSLATE(C1366,""ja"",""vi"")"),"Đấu giá&gt; Thời trang&gt; Phụ nữ thời trang&gt; áo tắm&gt; riêng")</f>
        <v>Đấu giá&gt; Thời trang&gt; Phụ nữ thời trang&gt; áo tắm&gt; riêng</v>
      </c>
      <c r="F1366" t="str">
        <f t="shared" ca="1" si="21"/>
        <v>"2084051837" : "riêng biệt",</v>
      </c>
    </row>
    <row r="1367" spans="1:6" ht="15.75" customHeight="1">
      <c r="A1367" s="18">
        <v>2084051838</v>
      </c>
      <c r="B1367" s="18" t="s">
        <v>7472</v>
      </c>
      <c r="C1367" s="18" t="s">
        <v>15110</v>
      </c>
      <c r="D1367" s="5" t="str">
        <f ca="1">IFERROR(__xludf.DUMMYFUNCTION("GOOGLETRANSLATE(B1367,""ja"",""vi"")"),"One piece")</f>
        <v>One piece</v>
      </c>
      <c r="E1367" s="5" t="str">
        <f ca="1">IFERROR(__xludf.DUMMYFUNCTION("GOOGLETRANSLATE(C1367,""ja"",""vi"")"),"Đấu giá&gt; Thời trang&gt; Phụ nữ thời trang&gt; áo tắm&gt; One Piece")</f>
        <v>Đấu giá&gt; Thời trang&gt; Phụ nữ thời trang&gt; áo tắm&gt; One Piece</v>
      </c>
      <c r="F1367" t="str">
        <f t="shared" ca="1" si="21"/>
        <v>"2084051838" : "One piece",</v>
      </c>
    </row>
    <row r="1368" spans="1:6" ht="15.75" customHeight="1">
      <c r="A1368" s="18">
        <v>2084051887</v>
      </c>
      <c r="B1368" s="18" t="s">
        <v>15078</v>
      </c>
      <c r="C1368" s="18" t="s">
        <v>15111</v>
      </c>
      <c r="D1368" s="5" t="str">
        <f ca="1">IFERROR(__xludf.DUMMYFUNCTION("GOOGLETRANSLATE(B1368,""ja"",""vi"")"),"môn thể thao")</f>
        <v>môn thể thao</v>
      </c>
      <c r="E1368" s="5" t="str">
        <f ca="1">IFERROR(__xludf.DUMMYFUNCTION("GOOGLETRANSLATE(C1368,""ja"",""vi"")"),"Đấu giá&gt; thời trang thời trang&gt; Phụ nữ&gt; áo tắm&gt; cho thể thao")</f>
        <v>Đấu giá&gt; thời trang thời trang&gt; Phụ nữ&gt; áo tắm&gt; cho thể thao</v>
      </c>
      <c r="F1368" t="str">
        <f t="shared" ca="1" si="21"/>
        <v>"2084051887" : "môn thể thao",</v>
      </c>
    </row>
    <row r="1369" spans="1:6" ht="15.75" customHeight="1">
      <c r="A1369" s="18">
        <v>2084211794</v>
      </c>
      <c r="B1369" s="18" t="s">
        <v>15113</v>
      </c>
      <c r="C1369" s="18" t="s">
        <v>15114</v>
      </c>
      <c r="D1369" s="5" t="str">
        <f ca="1">IFERROR(__xludf.DUMMYFUNCTION("GOOGLETRANSLATE(B1369,""ja"",""vi"")"),"quần soóc bơi")</f>
        <v>quần soóc bơi</v>
      </c>
      <c r="E1369" s="5" t="str">
        <f ca="1">IFERROR(__xludf.DUMMYFUNCTION("GOOGLETRANSLATE(C1369,""ja"",""vi"")"),"Đấu giá&gt; quần áo thời trang&gt; Phụ nữ&gt; đồ bơi&gt; bơi quần short")</f>
        <v>Đấu giá&gt; quần áo thời trang&gt; Phụ nữ&gt; đồ bơi&gt; bơi quần short</v>
      </c>
      <c r="F1369" t="str">
        <f t="shared" ca="1" si="21"/>
        <v>"2084211794" : "quần soóc bơi",</v>
      </c>
    </row>
    <row r="1370" spans="1:6" ht="15.75" customHeight="1">
      <c r="A1370" s="18">
        <v>2084211795</v>
      </c>
      <c r="B1370" s="18" t="s">
        <v>15117</v>
      </c>
      <c r="C1370" s="18" t="s">
        <v>15118</v>
      </c>
      <c r="D1370" s="5" t="str">
        <f ca="1">IFERROR(__xludf.DUMMYFUNCTION("GOOGLETRANSLATE(B1370,""ja"",""vi"")"),"tập giấy")</f>
        <v>tập giấy</v>
      </c>
      <c r="E1370" s="5" t="str">
        <f ca="1">IFERROR(__xludf.DUMMYFUNCTION("GOOGLETRANSLATE(C1370,""ja"",""vi"")"),"Đấu giá&gt; Thời trang&gt; Phụ nữ thời trang&gt; áo tắm&gt; pad")</f>
        <v>Đấu giá&gt; Thời trang&gt; Phụ nữ thời trang&gt; áo tắm&gt; pad</v>
      </c>
      <c r="F1370" t="str">
        <f t="shared" ca="1" si="21"/>
        <v>"2084211795" : "tập giấy",</v>
      </c>
    </row>
    <row r="1371" spans="1:6" ht="15.75" customHeight="1">
      <c r="A1371" s="18">
        <v>2084211797</v>
      </c>
      <c r="B1371" s="18" t="s">
        <v>15121</v>
      </c>
      <c r="C1371" s="18" t="s">
        <v>15122</v>
      </c>
      <c r="D1371" s="5" t="str">
        <f ca="1">IFERROR(__xludf.DUMMYFUNCTION("GOOGLETRANSLATE(B1371,""ja"",""vi"")"),"PAREO")</f>
        <v>PAREO</v>
      </c>
      <c r="E1371" s="5" t="str">
        <f ca="1">IFERROR(__xludf.DUMMYFUNCTION("GOOGLETRANSLATE(C1371,""ja"",""vi"")"),"Đấu giá&gt; thời trang thời trang&gt; Phụ nữ&gt; áo tắm&gt; PAREO")</f>
        <v>Đấu giá&gt; thời trang thời trang&gt; Phụ nữ&gt; áo tắm&gt; PAREO</v>
      </c>
      <c r="F1371" t="str">
        <f t="shared" ca="1" si="21"/>
        <v>"2084211797" : "PAREO",</v>
      </c>
    </row>
    <row r="1372" spans="1:6" ht="15.75" customHeight="1">
      <c r="A1372" s="18">
        <v>2084051884</v>
      </c>
      <c r="B1372" s="18" t="s">
        <v>1685</v>
      </c>
      <c r="C1372" s="18" t="s">
        <v>15124</v>
      </c>
      <c r="D1372" s="5" t="str">
        <f ca="1">IFERROR(__xludf.DUMMYFUNCTION("GOOGLETRANSLATE(B1372,""ja"",""vi"")"),"phụ kiện")</f>
        <v>phụ kiện</v>
      </c>
      <c r="E1372" s="5" t="str">
        <f ca="1">IFERROR(__xludf.DUMMYFUNCTION("GOOGLETRANSLATE(C1372,""ja"",""vi"")"),"Đấu giá&gt; Thời trang&gt; Phụ nữ Quần áo&gt; Đồ bơi&gt; Phụ kiện")</f>
        <v>Đấu giá&gt; Thời trang&gt; Phụ nữ Quần áo&gt; Đồ bơi&gt; Phụ kiện</v>
      </c>
      <c r="F1372" t="str">
        <f t="shared" ca="1" si="21"/>
        <v>"2084051884" : "phụ kiện",</v>
      </c>
    </row>
    <row r="1373" spans="1:6" ht="15.75" customHeight="1">
      <c r="A1373" s="18">
        <v>2084042420</v>
      </c>
      <c r="B1373" s="18" t="s">
        <v>15127</v>
      </c>
      <c r="C1373" s="18" t="s">
        <v>15128</v>
      </c>
      <c r="D1373" s="5" t="str">
        <f ca="1">IFERROR(__xludf.DUMMYFUNCTION("GOOGLETRANSLATE(B1373,""ja"",""vi"")"),"Chơi trong nước Hàng")</f>
        <v>Chơi trong nước Hàng</v>
      </c>
      <c r="E1373" s="5" t="str">
        <f ca="1">IFERROR(__xludf.DUMMYFUNCTION("GOOGLETRANSLATE(C1373,""ja"",""vi"")"),"Đấu giá&gt; Thời trang&gt; Thời trang nữ&gt; áo tắm&gt; lội Hàng")</f>
        <v>Đấu giá&gt; Thời trang&gt; Thời trang nữ&gt; áo tắm&gt; lội Hàng</v>
      </c>
      <c r="F1373" t="str">
        <f t="shared" ca="1" si="21"/>
        <v>"2084042420" : "Chơi trong nước Hàng",</v>
      </c>
    </row>
    <row r="1374" spans="1:6" ht="15.75" customHeight="1">
      <c r="A1374" s="18">
        <v>2084051839</v>
      </c>
      <c r="B1374" s="18" t="s">
        <v>46</v>
      </c>
      <c r="C1374" s="18" t="s">
        <v>15133</v>
      </c>
      <c r="D1374" s="5" t="str">
        <f ca="1">IFERROR(__xludf.DUMMYFUNCTION("GOOGLETRANSLATE(B1374,""ja"",""vi"")"),"nếu không thì")</f>
        <v>nếu không thì</v>
      </c>
      <c r="E1374" s="5" t="str">
        <f ca="1">IFERROR(__xludf.DUMMYFUNCTION("GOOGLETRANSLATE(C1374,""ja"",""vi"")"),"Đấu giá&gt; Thời trang&gt; Phụ nữ thời trang&gt; áo tắm&gt; Khác")</f>
        <v>Đấu giá&gt; Thời trang&gt; Phụ nữ thời trang&gt; áo tắm&gt; Khác</v>
      </c>
      <c r="F1374" t="str">
        <f t="shared" ca="1" si="21"/>
        <v>"2084051839" : "nếu không thì",</v>
      </c>
    </row>
    <row r="1375" spans="1:6" ht="15.75" customHeight="1">
      <c r="A1375" s="18">
        <v>2084006318</v>
      </c>
      <c r="B1375" s="18" t="s">
        <v>11248</v>
      </c>
      <c r="C1375" s="18" t="s">
        <v>13962</v>
      </c>
      <c r="D1375" s="5" t="str">
        <f ca="1">IFERROR(__xludf.DUMMYFUNCTION("GOOGLETRANSLATE(B1375,""ja"",""vi"")"),"Mang nội")</f>
        <v>Mang nội</v>
      </c>
      <c r="E1375" s="5" t="str">
        <f ca="1">IFERROR(__xludf.DUMMYFUNCTION("GOOGLETRANSLATE(C1375,""ja"",""vi"")"),"Đấu giá&gt; Thời trang&gt; Phụ nữ Quần áo&gt; Mang thai sản&gt; Nội Mang")</f>
        <v>Đấu giá&gt; Thời trang&gt; Phụ nữ Quần áo&gt; Mang thai sản&gt; Nội Mang</v>
      </c>
      <c r="F1375" t="str">
        <f t="shared" ca="1" si="21"/>
        <v>"2084006318" : "Mang nội",</v>
      </c>
    </row>
    <row r="1376" spans="1:6" ht="15.75" customHeight="1">
      <c r="A1376" s="18">
        <v>2084006310</v>
      </c>
      <c r="B1376" s="18" t="s">
        <v>11235</v>
      </c>
      <c r="C1376" s="18" t="s">
        <v>13965</v>
      </c>
      <c r="D1376" s="5" t="str">
        <f ca="1">IFERROR(__xludf.DUMMYFUNCTION("GOOGLETRANSLATE(B1376,""ja"",""vi"")"),"tops")</f>
        <v>tops</v>
      </c>
      <c r="E1376" s="5" t="str">
        <f ca="1">IFERROR(__xludf.DUMMYFUNCTION("GOOGLETRANSLATE(C1376,""ja"",""vi"")"),"Đấu giá&gt; Thời trang&gt; Phụ nữ Quần áo&gt; Mang thai sản&gt; Tops")</f>
        <v>Đấu giá&gt; Thời trang&gt; Phụ nữ Quần áo&gt; Mang thai sản&gt; Tops</v>
      </c>
      <c r="F1376" t="str">
        <f t="shared" ca="1" si="21"/>
        <v>"2084006310" : "tops",</v>
      </c>
    </row>
    <row r="1377" spans="1:6" ht="15.75" customHeight="1">
      <c r="A1377" s="18">
        <v>2084006312</v>
      </c>
      <c r="B1377" s="18" t="s">
        <v>13968</v>
      </c>
      <c r="C1377" s="18" t="s">
        <v>13970</v>
      </c>
      <c r="D1377" s="5" t="str">
        <f ca="1">IFERROR(__xludf.DUMMYFUNCTION("GOOGLETRANSLATE(B1377,""ja"",""vi"")"),"áo ngủ")</f>
        <v>áo ngủ</v>
      </c>
      <c r="E1377" s="5" t="str">
        <f ca="1">IFERROR(__xludf.DUMMYFUNCTION("GOOGLETRANSLATE(C1377,""ja"",""vi"")"),"Đấu giá&gt; Thời trang&gt; Phụ nữ Quần áo&gt; Mang thai sản&gt; Pyjama")</f>
        <v>Đấu giá&gt; Thời trang&gt; Phụ nữ Quần áo&gt; Mang thai sản&gt; Pyjama</v>
      </c>
      <c r="F1377" t="str">
        <f t="shared" ca="1" si="21"/>
        <v>"2084006312" : "áo ngủ",</v>
      </c>
    </row>
    <row r="1378" spans="1:6" ht="15.75" customHeight="1">
      <c r="A1378" s="18">
        <v>2084006311</v>
      </c>
      <c r="B1378" s="18" t="s">
        <v>11242</v>
      </c>
      <c r="C1378" s="18" t="s">
        <v>13974</v>
      </c>
      <c r="D1378" s="5" t="str">
        <f ca="1">IFERROR(__xludf.DUMMYFUNCTION("GOOGLETRANSLATE(B1378,""ja"",""vi"")"),"đáy")</f>
        <v>đáy</v>
      </c>
      <c r="E1378" s="5" t="str">
        <f ca="1">IFERROR(__xludf.DUMMYFUNCTION("GOOGLETRANSLATE(C1378,""ja"",""vi"")"),"Đấu giá&gt; Thời trang&gt; Phụ nữ Quần áo&gt; Mang thai sản&gt; Bottoms")</f>
        <v>Đấu giá&gt; Thời trang&gt; Phụ nữ Quần áo&gt; Mang thai sản&gt; Bottoms</v>
      </c>
      <c r="F1378" t="str">
        <f t="shared" ca="1" si="21"/>
        <v>"2084006311" : "đáy",</v>
      </c>
    </row>
    <row r="1379" spans="1:6" ht="15.75" customHeight="1">
      <c r="A1379" s="18">
        <v>24214</v>
      </c>
      <c r="B1379" s="18" t="s">
        <v>7472</v>
      </c>
      <c r="C1379" s="18" t="s">
        <v>13978</v>
      </c>
      <c r="D1379" s="5" t="str">
        <f ca="1">IFERROR(__xludf.DUMMYFUNCTION("GOOGLETRANSLATE(B1379,""ja"",""vi"")"),"One piece")</f>
        <v>One piece</v>
      </c>
      <c r="E1379" s="5" t="str">
        <f ca="1">IFERROR(__xludf.DUMMYFUNCTION("GOOGLETRANSLATE(C1379,""ja"",""vi"")"),"Đấu giá&gt; Thời trang&gt; Phụ nữ Quần áo&gt; Mang thai sản&gt; One Piece")</f>
        <v>Đấu giá&gt; Thời trang&gt; Phụ nữ Quần áo&gt; Mang thai sản&gt; One Piece</v>
      </c>
      <c r="F1379" t="str">
        <f t="shared" ca="1" si="21"/>
        <v>"24214" : "One piece",</v>
      </c>
    </row>
    <row r="1380" spans="1:6" ht="15.75" customHeight="1">
      <c r="A1380" s="18">
        <v>2084006313</v>
      </c>
      <c r="B1380" s="18" t="s">
        <v>46</v>
      </c>
      <c r="C1380" s="18" t="s">
        <v>13982</v>
      </c>
      <c r="D1380" s="5" t="str">
        <f ca="1">IFERROR(__xludf.DUMMYFUNCTION("GOOGLETRANSLATE(B1380,""ja"",""vi"")"),"nếu không thì")</f>
        <v>nếu không thì</v>
      </c>
      <c r="E1380" s="5" t="str">
        <f ca="1">IFERROR(__xludf.DUMMYFUNCTION("GOOGLETRANSLATE(C1380,""ja"",""vi"")"),"Đấu giá&gt; Thời trang&gt; Phụ nữ Quần áo&gt; Mang thai sản&gt; Khác")</f>
        <v>Đấu giá&gt; Thời trang&gt; Phụ nữ Quần áo&gt; Mang thai sản&gt; Khác</v>
      </c>
      <c r="F1380" t="str">
        <f t="shared" ca="1" si="21"/>
        <v>"2084006313" : "nếu không thì",</v>
      </c>
    </row>
    <row r="1381" spans="1:6" ht="15.75" customHeight="1">
      <c r="A1381" s="18">
        <v>2084018499</v>
      </c>
      <c r="B1381" s="18" t="s">
        <v>15156</v>
      </c>
      <c r="C1381" s="18" t="s">
        <v>15158</v>
      </c>
      <c r="D1381" s="5" t="str">
        <f ca="1">IFERROR(__xludf.DUMMYFUNCTION("GOOGLETRANSLATE(B1381,""ja"",""vi"")"),"khăn")</f>
        <v>khăn</v>
      </c>
      <c r="E1381" s="5" t="str">
        <f ca="1">IFERROR(__xludf.DUMMYFUNCTION("GOOGLETRANSLATE(C1381,""ja"",""vi"")"),"Đấu giá&gt; Thời trang&gt; Phụ nữ Quần áo&gt; Phụ kiện thời trang&gt; tạp dề")</f>
        <v>Đấu giá&gt; Thời trang&gt; Phụ nữ Quần áo&gt; Phụ kiện thời trang&gt; tạp dề</v>
      </c>
      <c r="F1381" t="str">
        <f t="shared" ca="1" si="21"/>
        <v>"2084018499" : "khăn",</v>
      </c>
    </row>
    <row r="1382" spans="1:6" ht="15.75" customHeight="1">
      <c r="A1382" s="18">
        <v>2084012460</v>
      </c>
      <c r="B1382" s="18" t="s">
        <v>15162</v>
      </c>
      <c r="C1382" s="18" t="s">
        <v>15163</v>
      </c>
      <c r="D1382" s="5" t="str">
        <f ca="1">IFERROR(__xludf.DUMMYFUNCTION("GOOGLETRANSLATE(B1382,""ja"",""vi"")"),"phần trên áo đàn bà")</f>
        <v>phần trên áo đàn bà</v>
      </c>
      <c r="E1382" s="5" t="str">
        <f ca="1">IFERROR(__xludf.DUMMYFUNCTION("GOOGLETRANSLATE(C1382,""ja"",""vi"")"),"Đấu giá&gt; Thời trang&gt; Phụ nữ Quần áo&gt; Phụ kiện thời trang&gt; corsage")</f>
        <v>Đấu giá&gt; Thời trang&gt; Phụ nữ Quần áo&gt; Phụ kiện thời trang&gt; corsage</v>
      </c>
      <c r="F1382" t="str">
        <f t="shared" ca="1" si="21"/>
        <v>"2084012460" : "phần trên áo đàn bà",</v>
      </c>
    </row>
    <row r="1383" spans="1:6" ht="15.75" customHeight="1">
      <c r="A1383" s="18">
        <v>2084012473</v>
      </c>
      <c r="B1383" s="18" t="s">
        <v>15169</v>
      </c>
      <c r="C1383" s="18" t="s">
        <v>15170</v>
      </c>
      <c r="D1383" s="5" t="str">
        <f ca="1">IFERROR(__xludf.DUMMYFUNCTION("GOOGLETRANSLATE(B1383,""ja"",""vi"")"),"đường bị gián đoạn")</f>
        <v>đường bị gián đoạn</v>
      </c>
      <c r="E1383" s="5" t="str">
        <f ca="1">IFERROR(__xludf.DUMMYFUNCTION("GOOGLETRANSLATE(C1383,""ja"",""vi"")"),"Đấu giá&gt; Thời trang&gt; Quần áo nữ&gt; Phụ kiện thời trang&gt; treo")</f>
        <v>Đấu giá&gt; Thời trang&gt; Quần áo nữ&gt; Phụ kiện thời trang&gt; treo</v>
      </c>
      <c r="F1383" t="str">
        <f t="shared" ca="1" si="21"/>
        <v>"2084012473" : "đường bị gián đoạn",</v>
      </c>
    </row>
    <row r="1384" spans="1:6" ht="15.75" customHeight="1">
      <c r="A1384" s="18">
        <v>42542</v>
      </c>
      <c r="B1384" s="18" t="s">
        <v>9314</v>
      </c>
      <c r="C1384" s="18" t="s">
        <v>15172</v>
      </c>
      <c r="D1384" s="5" t="str">
        <f ca="1">IFERROR(__xludf.DUMMYFUNCTION("GOOGLETRANSLATE(B1384,""ja"",""vi"")"),"kính mát")</f>
        <v>kính mát</v>
      </c>
      <c r="E1384" s="5" t="str">
        <f ca="1">IFERROR(__xludf.DUMMYFUNCTION("GOOGLETRANSLATE(C1384,""ja"",""vi"")"),"Đấu giá&gt; Thời trang&gt; Quần áo nữ&gt; Phụ kiện thời trang&gt; Sunglasses")</f>
        <v>Đấu giá&gt; Thời trang&gt; Quần áo nữ&gt; Phụ kiện thời trang&gt; Sunglasses</v>
      </c>
      <c r="F1384" t="str">
        <f t="shared" ca="1" si="21"/>
        <v>"42542" : "kính mát",</v>
      </c>
    </row>
    <row r="1385" spans="1:6" ht="15.75" customHeight="1">
      <c r="A1385" s="18">
        <v>2084006442</v>
      </c>
      <c r="B1385" s="18" t="s">
        <v>15178</v>
      </c>
      <c r="C1385" s="18" t="s">
        <v>15179</v>
      </c>
      <c r="D1385" s="5" t="str">
        <f ca="1">IFERROR(__xludf.DUMMYFUNCTION("GOOGLETRANSLATE(B1385,""ja"",""vi"")"),"Khăn quàng cổ, túi chiếc khăn tay")</f>
        <v>Khăn quàng cổ, túi chiếc khăn tay</v>
      </c>
      <c r="E1385" s="5" t="str">
        <f ca="1">IFERROR(__xludf.DUMMYFUNCTION("GOOGLETRANSLATE(C1385,""ja"",""vi"")"),"Đấu giá&gt; Thời trang&gt; Phụ nữ Quần áo&gt; Phụ kiện thời trang&gt; Khăn choàng, túi chiếc khăn tay")</f>
        <v>Đấu giá&gt; Thời trang&gt; Phụ nữ Quần áo&gt; Phụ kiện thời trang&gt; Khăn choàng, túi chiếc khăn tay</v>
      </c>
      <c r="F1385" t="str">
        <f t="shared" ca="1" si="21"/>
        <v>"2084006442" : "Khăn quàng cổ, túi chiếc khăn tay",</v>
      </c>
    </row>
    <row r="1386" spans="1:6" ht="15.75" customHeight="1">
      <c r="A1386" s="18">
        <v>2084006453</v>
      </c>
      <c r="B1386" s="18" t="s">
        <v>15184</v>
      </c>
      <c r="C1386" s="18" t="s">
        <v>15185</v>
      </c>
      <c r="D1386" s="5" t="str">
        <f ca="1">IFERROR(__xludf.DUMMYFUNCTION("GOOGLETRANSLATE(B1386,""ja"",""vi"")"),"lấy trộm")</f>
        <v>lấy trộm</v>
      </c>
      <c r="E1386" s="5" t="str">
        <f ca="1">IFERROR(__xludf.DUMMYFUNCTION("GOOGLETRANSLATE(C1386,""ja"",""vi"")"),"Đấu giá&gt; Thời trang&gt; Phụ nữ Quần áo&gt; Phụ kiện thời trang&gt; gian hàng")</f>
        <v>Đấu giá&gt; Thời trang&gt; Phụ nữ Quần áo&gt; Phụ kiện thời trang&gt; gian hàng</v>
      </c>
      <c r="F1386" t="str">
        <f t="shared" ca="1" si="21"/>
        <v>"2084006453" : "lấy trộm",</v>
      </c>
    </row>
    <row r="1387" spans="1:6" ht="15.75" customHeight="1">
      <c r="A1387" s="18">
        <v>2084012474</v>
      </c>
      <c r="B1387" s="18" t="s">
        <v>15191</v>
      </c>
      <c r="C1387" s="18" t="s">
        <v>15193</v>
      </c>
      <c r="D1387" s="5" t="str">
        <f ca="1">IFERROR(__xludf.DUMMYFUNCTION("GOOGLETRANSLATE(B1387,""ja"",""vi"")"),"khăn rằn")</f>
        <v>khăn rằn</v>
      </c>
      <c r="E1387" s="5" t="str">
        <f ca="1">IFERROR(__xludf.DUMMYFUNCTION("GOOGLETRANSLATE(C1387,""ja"",""vi"")"),"Đấu giá&gt; Thời trang&gt; Phụ nữ Quần áo&gt; Phụ kiện thời trang&gt; bandana")</f>
        <v>Đấu giá&gt; Thời trang&gt; Phụ nữ Quần áo&gt; Phụ kiện thời trang&gt; bandana</v>
      </c>
      <c r="F1387" t="str">
        <f t="shared" ca="1" si="21"/>
        <v>"2084012474" : "khăn rằn",</v>
      </c>
    </row>
    <row r="1388" spans="1:6" ht="15.75" customHeight="1">
      <c r="A1388" s="18">
        <v>2084006438</v>
      </c>
      <c r="B1388" s="18" t="s">
        <v>15199</v>
      </c>
      <c r="C1388" s="18" t="s">
        <v>15200</v>
      </c>
      <c r="D1388" s="5" t="str">
        <f ca="1">IFERROR(__xludf.DUMMYFUNCTION("GOOGLETRANSLATE(B1388,""ja"",""vi"")"),"dây lưng")</f>
        <v>dây lưng</v>
      </c>
      <c r="E1388" s="5" t="str">
        <f ca="1">IFERROR(__xludf.DUMMYFUNCTION("GOOGLETRANSLATE(C1388,""ja"",""vi"")"),"Đấu giá&gt; Thời trang&gt; Quần áo nữ&gt; Phụ kiện thời trang&gt; Thắt lưng")</f>
        <v>Đấu giá&gt; Thời trang&gt; Quần áo nữ&gt; Phụ kiện thời trang&gt; Thắt lưng</v>
      </c>
      <c r="F1388" t="str">
        <f t="shared" ca="1" si="21"/>
        <v>"2084006438" : "dây lưng",</v>
      </c>
    </row>
    <row r="1389" spans="1:6" ht="15.75" customHeight="1">
      <c r="A1389" s="18">
        <v>2084006440</v>
      </c>
      <c r="B1389" s="18" t="s">
        <v>14210</v>
      </c>
      <c r="C1389" s="18" t="s">
        <v>15204</v>
      </c>
      <c r="D1389" s="5" t="str">
        <f ca="1">IFERROR(__xludf.DUMMYFUNCTION("GOOGLETRANSLATE(B1389,""ja"",""vi"")"),"khăn choàng cổ")</f>
        <v>khăn choàng cổ</v>
      </c>
      <c r="E1389" s="5" t="str">
        <f ca="1">IFERROR(__xludf.DUMMYFUNCTION("GOOGLETRANSLATE(C1389,""ja"",""vi"")"),"Đấu giá&gt; Thời trang&gt; Phụ nữ Quần áo&gt; Phụ kiện thời trang&gt; muffler")</f>
        <v>Đấu giá&gt; Thời trang&gt; Phụ nữ Quần áo&gt; Phụ kiện thời trang&gt; muffler</v>
      </c>
      <c r="F1389" t="str">
        <f t="shared" ca="1" si="21"/>
        <v>"2084006440" : "khăn choàng cổ",</v>
      </c>
    </row>
    <row r="1390" spans="1:6" ht="15.75" customHeight="1">
      <c r="A1390" s="18">
        <v>2084006437</v>
      </c>
      <c r="B1390" s="18" t="s">
        <v>15207</v>
      </c>
      <c r="C1390" s="18" t="s">
        <v>15210</v>
      </c>
      <c r="D1390" s="5" t="str">
        <f ca="1">IFERROR(__xludf.DUMMYFUNCTION("GOOGLETRANSLATE(B1390,""ja"",""vi"")"),"ô")</f>
        <v>ô</v>
      </c>
      <c r="E1390" s="5" t="str">
        <f ca="1">IFERROR(__xludf.DUMMYFUNCTION("GOOGLETRANSLATE(C1390,""ja"",""vi"")"),"Đấu giá&gt; Thời trang&gt; Phụ nữ Quần áo&gt; Phụ kiện thời trang&gt; ô")</f>
        <v>Đấu giá&gt; Thời trang&gt; Phụ nữ Quần áo&gt; Phụ kiện thời trang&gt; ô</v>
      </c>
      <c r="F1390" t="str">
        <f t="shared" ca="1" si="21"/>
        <v>"2084006437" : "ô",</v>
      </c>
    </row>
    <row r="1391" spans="1:6" ht="15.75" customHeight="1">
      <c r="A1391" s="18">
        <v>42187</v>
      </c>
      <c r="B1391" s="18" t="s">
        <v>15099</v>
      </c>
      <c r="C1391" s="18" t="s">
        <v>15214</v>
      </c>
      <c r="D1391" s="5" t="str">
        <f ca="1">IFERROR(__xludf.DUMMYFUNCTION("GOOGLETRANSLATE(B1391,""ja"",""vi"")"),"bít tất")</f>
        <v>bít tất</v>
      </c>
      <c r="E1391" s="5" t="str">
        <f ca="1">IFERROR(__xludf.DUMMYFUNCTION("GOOGLETRANSLATE(C1391,""ja"",""vi"")"),"Đấu giá&gt; Thời trang&gt; Quần áo nữ&gt; Phụ kiện thời trang&gt; vớ")</f>
        <v>Đấu giá&gt; Thời trang&gt; Quần áo nữ&gt; Phụ kiện thời trang&gt; vớ</v>
      </c>
      <c r="F1391" t="str">
        <f t="shared" ca="1" si="21"/>
        <v>"42187" : "bít tất",</v>
      </c>
    </row>
    <row r="1392" spans="1:6" ht="15.75" customHeight="1">
      <c r="A1392" s="18">
        <v>2084005289</v>
      </c>
      <c r="B1392" s="18" t="s">
        <v>15218</v>
      </c>
      <c r="C1392" s="18" t="s">
        <v>15219</v>
      </c>
      <c r="D1392" s="5" t="str">
        <f ca="1">IFERROR(__xludf.DUMMYFUNCTION("GOOGLETRANSLATE(B1392,""ja"",""vi"")"),"ví")</f>
        <v>ví</v>
      </c>
      <c r="E1392" s="5" t="str">
        <f ca="1">IFERROR(__xludf.DUMMYFUNCTION("GOOGLETRANSLATE(C1392,""ja"",""vi"")"),"Đấu giá&gt; Thời trang&gt; Phụ nữ Quần áo&gt; Phụ kiện thời trang&gt; ví")</f>
        <v>Đấu giá&gt; Thời trang&gt; Phụ nữ Quần áo&gt; Phụ kiện thời trang&gt; ví</v>
      </c>
      <c r="F1392" t="str">
        <f t="shared" ca="1" si="21"/>
        <v>"2084005289" : "ví",</v>
      </c>
    </row>
    <row r="1393" spans="1:6" ht="15.75" customHeight="1">
      <c r="A1393" s="18">
        <v>2084005206</v>
      </c>
      <c r="B1393" s="18" t="s">
        <v>15223</v>
      </c>
      <c r="C1393" s="18" t="s">
        <v>15225</v>
      </c>
      <c r="D1393" s="5" t="str">
        <f ca="1">IFERROR(__xludf.DUMMYFUNCTION("GOOGLETRANSLATE(B1393,""ja"",""vi"")"),"găng tay")</f>
        <v>găng tay</v>
      </c>
      <c r="E1393" s="5" t="str">
        <f ca="1">IFERROR(__xludf.DUMMYFUNCTION("GOOGLETRANSLATE(C1393,""ja"",""vi"")"),"Đấu giá&gt; Thời trang&gt; Quần áo nữ&gt; Phụ kiện thời trang&gt; Găng tay")</f>
        <v>Đấu giá&gt; Thời trang&gt; Quần áo nữ&gt; Phụ kiện thời trang&gt; Găng tay</v>
      </c>
      <c r="F1393" t="str">
        <f t="shared" ca="1" si="21"/>
        <v>"2084005206" : "găng tay",</v>
      </c>
    </row>
    <row r="1394" spans="1:6" ht="15.75" customHeight="1">
      <c r="A1394" s="18">
        <v>2084045073</v>
      </c>
      <c r="B1394" s="18" t="s">
        <v>15229</v>
      </c>
      <c r="C1394" s="18" t="s">
        <v>15231</v>
      </c>
      <c r="D1394" s="5" t="str">
        <f ca="1">IFERROR(__xludf.DUMMYFUNCTION("GOOGLETRANSLATE(B1394,""ja"",""vi"")"),"quạt gấp")</f>
        <v>quạt gấp</v>
      </c>
      <c r="E1394" s="5" t="str">
        <f ca="1">IFERROR(__xludf.DUMMYFUNCTION("GOOGLETRANSLATE(C1394,""ja"",""vi"")"),"Đấu giá&gt; Thời trang&gt; Quần áo nữ&gt; Phụ kiện thời trang&gt; Fans")</f>
        <v>Đấu giá&gt; Thời trang&gt; Quần áo nữ&gt; Phụ kiện thời trang&gt; Fans</v>
      </c>
      <c r="F1394" t="str">
        <f t="shared" ca="1" si="21"/>
        <v>"2084045073" : "quạt gấp",</v>
      </c>
    </row>
    <row r="1395" spans="1:6" ht="15.75" customHeight="1">
      <c r="A1395" s="18">
        <v>2084012475</v>
      </c>
      <c r="B1395" s="18" t="s">
        <v>15234</v>
      </c>
      <c r="C1395" s="18" t="s">
        <v>15237</v>
      </c>
      <c r="D1395" s="5" t="str">
        <f ca="1">IFERROR(__xludf.DUMMYFUNCTION("GOOGLETRANSLATE(B1395,""ja"",""vi"")"),"giữ đèo")</f>
        <v>giữ đèo</v>
      </c>
      <c r="E1395" s="5" t="str">
        <f ca="1">IFERROR(__xludf.DUMMYFUNCTION("GOOGLETRANSLATE(C1395,""ja"",""vi"")"),"Đấu giá&gt; Thời trang&gt; Phụ nữ Quần áo&gt; Phụ kiện thời trang&gt; giữ qua")</f>
        <v>Đấu giá&gt; Thời trang&gt; Phụ nữ Quần áo&gt; Phụ kiện thời trang&gt; giữ qua</v>
      </c>
      <c r="F1395" t="str">
        <f t="shared" ca="1" si="21"/>
        <v>"2084012475" : "giữ đèo",</v>
      </c>
    </row>
    <row r="1396" spans="1:6" ht="15.75" customHeight="1">
      <c r="A1396" s="18">
        <v>2084045162</v>
      </c>
      <c r="B1396" s="18" t="s">
        <v>15238</v>
      </c>
      <c r="C1396" s="18" t="s">
        <v>15239</v>
      </c>
      <c r="D1396" s="5" t="str">
        <f ca="1">IFERROR(__xludf.DUMMYFUNCTION("GOOGLETRANSLATE(B1396,""ja"",""vi"")"),"lọng")</f>
        <v>lọng</v>
      </c>
      <c r="E1396" s="5" t="str">
        <f ca="1">IFERROR(__xludf.DUMMYFUNCTION("GOOGLETRANSLATE(C1396,""ja"",""vi"")"),"Đấu giá&gt; Thời trang&gt; Phụ nữ Quần áo&gt; Phụ kiện thời trang&gt; dù che")</f>
        <v>Đấu giá&gt; Thời trang&gt; Phụ nữ Quần áo&gt; Phụ kiện thời trang&gt; dù che</v>
      </c>
      <c r="F1396" t="str">
        <f t="shared" ca="1" si="21"/>
        <v>"2084045162" : "lọng",</v>
      </c>
    </row>
    <row r="1397" spans="1:6" ht="15.75" customHeight="1">
      <c r="A1397" s="18">
        <v>42188</v>
      </c>
      <c r="B1397" s="18" t="s">
        <v>7449</v>
      </c>
      <c r="C1397" s="18" t="s">
        <v>15244</v>
      </c>
      <c r="D1397" s="5" t="str">
        <f ca="1">IFERROR(__xludf.DUMMYFUNCTION("GOOGLETRANSLATE(B1397,""ja"",""vi"")"),"mũ")</f>
        <v>mũ</v>
      </c>
      <c r="E1397" s="5" t="str">
        <f ca="1">IFERROR(__xludf.DUMMYFUNCTION("GOOGLETRANSLATE(C1397,""ja"",""vi"")"),"Đấu giá&gt; Thời trang&gt; Quần áo nữ&gt; Phụ kiện thời trang&gt; Mũ")</f>
        <v>Đấu giá&gt; Thời trang&gt; Quần áo nữ&gt; Phụ kiện thời trang&gt; Mũ</v>
      </c>
      <c r="F1397" t="str">
        <f t="shared" ca="1" si="21"/>
        <v>"42188" : "mũ",</v>
      </c>
    </row>
    <row r="1398" spans="1:6" ht="15.75" customHeight="1">
      <c r="A1398" s="18">
        <v>2084263019</v>
      </c>
      <c r="B1398" s="18" t="s">
        <v>15248</v>
      </c>
      <c r="C1398" s="18" t="s">
        <v>15250</v>
      </c>
      <c r="D1398" s="5" t="str">
        <f ca="1">IFERROR(__xludf.DUMMYFUNCTION("GOOGLETRANSLATE(B1398,""ja"",""vi"")"),"mũ bảo hiểm công trình")</f>
        <v>mũ bảo hiểm công trình</v>
      </c>
      <c r="E1398" s="5" t="str">
        <f ca="1">IFERROR(__xludf.DUMMYFUNCTION("GOOGLETRANSLATE(C1398,""ja"",""vi"")"),"Đấu giá&gt; nhà, nội thất&gt; công cụ, DIY mũ bảo hiểm cung cấp&gt; quần áo làm việc&gt; công việc")</f>
        <v>Đấu giá&gt; nhà, nội thất&gt; công cụ, DIY mũ bảo hiểm cung cấp&gt; quần áo làm việc&gt; công việc</v>
      </c>
      <c r="F1398" t="str">
        <f t="shared" ca="1" si="21"/>
        <v>"2084263019" : "mũ bảo hiểm công trình",</v>
      </c>
    </row>
    <row r="1399" spans="1:6" ht="15.75" customHeight="1">
      <c r="A1399" s="18">
        <v>2084210060</v>
      </c>
      <c r="B1399" s="18" t="s">
        <v>15253</v>
      </c>
      <c r="C1399" s="18" t="s">
        <v>15255</v>
      </c>
      <c r="D1399" s="5" t="str">
        <f ca="1">IFERROR(__xludf.DUMMYFUNCTION("GOOGLETRANSLATE(B1399,""ja"",""vi"")"),"Quần áo cho thời tiết lạnh")</f>
        <v>Quần áo cho thời tiết lạnh</v>
      </c>
      <c r="E1399" s="5" t="str">
        <f ca="1">IFERROR(__xludf.DUMMYFUNCTION("GOOGLETRANSLATE(C1399,""ja"",""vi"")"),"Đấu giá&gt; nhà, nội thất&gt; công cụ, DIY nguồn cung cấp&gt; quần áo làm việc&gt; quần áo mùa đông")</f>
        <v>Đấu giá&gt; nhà, nội thất&gt; công cụ, DIY nguồn cung cấp&gt; quần áo làm việc&gt; quần áo mùa đông</v>
      </c>
      <c r="F1399" t="str">
        <f t="shared" ca="1" si="21"/>
        <v>"2084210060" : "Quần áo cho thời tiết lạnh",</v>
      </c>
    </row>
    <row r="1400" spans="1:6" ht="15.75" customHeight="1">
      <c r="A1400" s="18">
        <v>2084210059</v>
      </c>
      <c r="B1400" s="18" t="s">
        <v>15258</v>
      </c>
      <c r="C1400" s="18" t="s">
        <v>15259</v>
      </c>
      <c r="D1400" s="5" t="str">
        <f ca="1">IFERROR(__xludf.DUMMYFUNCTION("GOOGLETRANSLATE(B1400,""ja"",""vi"")"),"Cà vạt, áo liền quần")</f>
        <v>Cà vạt, áo liền quần</v>
      </c>
      <c r="E1400" s="5" t="str">
        <f ca="1">IFERROR(__xludf.DUMMYFUNCTION("GOOGLETRANSLATE(C1400,""ja"",""vi"")"),"Đấu giá&gt; nhà, nội thất&gt; công cụ, DIY nguồn cung cấp&gt; quần áo làm việc&gt; cà vạt, áo liền quần")</f>
        <v>Đấu giá&gt; nhà, nội thất&gt; công cụ, DIY nguồn cung cấp&gt; quần áo làm việc&gt; cà vạt, áo liền quần</v>
      </c>
      <c r="F1400" t="str">
        <f t="shared" ca="1" si="21"/>
        <v>"2084210059" : "Cà vạt, áo liền quần",</v>
      </c>
    </row>
    <row r="1401" spans="1:6" ht="15.75" customHeight="1">
      <c r="A1401" s="18">
        <v>2084210061</v>
      </c>
      <c r="B1401" s="18" t="s">
        <v>13313</v>
      </c>
      <c r="C1401" s="18" t="s">
        <v>15264</v>
      </c>
      <c r="D1401" s="5" t="str">
        <f ca="1">IFERROR(__xludf.DUMMYFUNCTION("GOOGLETRANSLATE(B1401,""ja"",""vi"")"),"Jumper, blouson")</f>
        <v>Jumper, blouson</v>
      </c>
      <c r="E1401" s="5" t="str">
        <f ca="1">IFERROR(__xludf.DUMMYFUNCTION("GOOGLETRANSLATE(C1401,""ja"",""vi"")"),"Đấu giá&gt; nhà, nội thất&gt; công cụ, DIY nguồn cung cấp&gt; quần áo làm việc&gt; jumper, blouson")</f>
        <v>Đấu giá&gt; nhà, nội thất&gt; công cụ, DIY nguồn cung cấp&gt; quần áo làm việc&gt; jumper, blouson</v>
      </c>
      <c r="F1401" t="str">
        <f t="shared" ca="1" si="21"/>
        <v>"2084210061" : "Jumper, blouson",</v>
      </c>
    </row>
    <row r="1402" spans="1:6" ht="15.75" customHeight="1">
      <c r="A1402" s="18">
        <v>2084210062</v>
      </c>
      <c r="B1402" s="18" t="s">
        <v>14999</v>
      </c>
      <c r="C1402" s="18" t="s">
        <v>15268</v>
      </c>
      <c r="D1402" s="5" t="str">
        <f ca="1">IFERROR(__xludf.DUMMYFUNCTION("GOOGLETRANSLATE(B1402,""ja"",""vi"")"),"Áo sơ mi và áo cánh")</f>
        <v>Áo sơ mi và áo cánh</v>
      </c>
      <c r="E1402" s="5" t="str">
        <f ca="1">IFERROR(__xludf.DUMMYFUNCTION("GOOGLETRANSLATE(C1402,""ja"",""vi"")"),"Đấu giá&gt; nhà, nội thất&gt; công cụ, DIY nguồn cung cấp&gt; quần áo làm việc&gt; áo sơ mi, áo")</f>
        <v>Đấu giá&gt; nhà, nội thất&gt; công cụ, DIY nguồn cung cấp&gt; quần áo làm việc&gt; áo sơ mi, áo</v>
      </c>
      <c r="F1402" t="str">
        <f t="shared" ca="1" si="21"/>
        <v>"2084210062" : "Áo sơ mi và áo cánh",</v>
      </c>
    </row>
    <row r="1403" spans="1:6" ht="15.75" customHeight="1">
      <c r="A1403" s="18">
        <v>2084210063</v>
      </c>
      <c r="B1403" s="18" t="s">
        <v>11242</v>
      </c>
      <c r="C1403" s="18" t="s">
        <v>15272</v>
      </c>
      <c r="D1403" s="5" t="str">
        <f ca="1">IFERROR(__xludf.DUMMYFUNCTION("GOOGLETRANSLATE(B1403,""ja"",""vi"")"),"đáy")</f>
        <v>đáy</v>
      </c>
      <c r="E1403" s="5" t="str">
        <f ca="1">IFERROR(__xludf.DUMMYFUNCTION("GOOGLETRANSLATE(C1403,""ja"",""vi"")"),"Đấu giá&gt; nhà, nội thất&gt; công cụ, DIY nguồn cung cấp&gt; quần áo làm việc&gt; Bottoms")</f>
        <v>Đấu giá&gt; nhà, nội thất&gt; công cụ, DIY nguồn cung cấp&gt; quần áo làm việc&gt; Bottoms</v>
      </c>
      <c r="F1403" t="str">
        <f t="shared" ca="1" si="21"/>
        <v>"2084210063" : "đáy",</v>
      </c>
    </row>
    <row r="1404" spans="1:6" ht="15.75" customHeight="1">
      <c r="A1404" s="18">
        <v>2084210064</v>
      </c>
      <c r="B1404" s="18" t="s">
        <v>15276</v>
      </c>
      <c r="C1404" s="18" t="s">
        <v>15278</v>
      </c>
      <c r="D1404" s="5" t="str">
        <f ca="1">IFERROR(__xludf.DUMMYFUNCTION("GOOGLETRANSLATE(B1404,""ja"",""vi"")"),"Phụ kiện, phụ kiện")</f>
        <v>Phụ kiện, phụ kiện</v>
      </c>
      <c r="E1404" s="5" t="str">
        <f ca="1">IFERROR(__xludf.DUMMYFUNCTION("GOOGLETRANSLATE(C1404,""ja"",""vi"")"),"Đấu giá&gt; nhà, nội thất&gt; công cụ, DIY nguồn cung cấp&gt; quần áo làm việc&gt; phụ kiện, phụ kiện")</f>
        <v>Đấu giá&gt; nhà, nội thất&gt; công cụ, DIY nguồn cung cấp&gt; quần áo làm việc&gt; phụ kiện, phụ kiện</v>
      </c>
      <c r="F1404" t="str">
        <f t="shared" ca="1" si="21"/>
        <v>"2084210064" : "Phụ kiện, phụ kiện",</v>
      </c>
    </row>
    <row r="1405" spans="1:6" ht="15.75" customHeight="1">
      <c r="A1405" s="18">
        <v>2084048894</v>
      </c>
      <c r="B1405" s="18" t="s">
        <v>15281</v>
      </c>
      <c r="C1405" s="18" t="s">
        <v>15283</v>
      </c>
      <c r="D1405" s="5" t="str">
        <f ca="1">IFERROR(__xludf.DUMMYFUNCTION("GOOGLETRANSLATE(B1405,""ja"",""vi"")"),"giày dép chuyên dụng")</f>
        <v>giày dép chuyên dụng</v>
      </c>
      <c r="E1405" s="5" t="str">
        <f ca="1">IFERROR(__xludf.DUMMYFUNCTION("GOOGLETRANSLATE(C1405,""ja"",""vi"")"),"Đấu giá&gt; nhà, nội thất&gt; công cụ, DIY nguồn cung cấp&gt; quần áo làm việc&gt; giày công việc")</f>
        <v>Đấu giá&gt; nhà, nội thất&gt; công cụ, DIY nguồn cung cấp&gt; quần áo làm việc&gt; giày công việc</v>
      </c>
      <c r="F1405" t="str">
        <f t="shared" ca="1" si="21"/>
        <v>"2084048894" : "giày dép chuyên dụng",</v>
      </c>
    </row>
    <row r="1406" spans="1:6" ht="15.75" customHeight="1">
      <c r="A1406" s="18">
        <v>2084210067</v>
      </c>
      <c r="B1406" s="18" t="s">
        <v>46</v>
      </c>
      <c r="C1406" s="18" t="s">
        <v>15287</v>
      </c>
      <c r="D1406" s="5" t="str">
        <f ca="1">IFERROR(__xludf.DUMMYFUNCTION("GOOGLETRANSLATE(B1406,""ja"",""vi"")"),"nếu không thì")</f>
        <v>nếu không thì</v>
      </c>
      <c r="E1406" s="5" t="str">
        <f ca="1">IFERROR(__xludf.DUMMYFUNCTION("GOOGLETRANSLATE(C1406,""ja"",""vi"")"),"Đấu giá&gt; nhà, nội thất&gt; công cụ, DIY nguồn cung cấp&gt; quần áo làm việc&gt; Khác")</f>
        <v>Đấu giá&gt; nhà, nội thất&gt; công cụ, DIY nguồn cung cấp&gt; quần áo làm việc&gt; Khác</v>
      </c>
      <c r="F1406" t="str">
        <f t="shared" ca="1" si="21"/>
        <v>"2084210067" : "nếu không thì",</v>
      </c>
    </row>
    <row r="1407" spans="1:6" ht="15.75" customHeight="1">
      <c r="A1407" s="18">
        <v>2084051004</v>
      </c>
      <c r="B1407" s="18" t="s">
        <v>15291</v>
      </c>
      <c r="C1407" s="18" t="s">
        <v>15292</v>
      </c>
      <c r="D1407" s="5" t="str">
        <f ca="1">IFERROR(__xludf.DUMMYFUNCTION("GOOGLETRANSLATE(B1407,""ja"",""vi"")"),"nylon")</f>
        <v>nylon</v>
      </c>
      <c r="E1407" s="5" t="str">
        <f ca="1">IFERROR(__xludf.DUMMYFUNCTION("GOOGLETRANSLATE(C1407,""ja"",""vi"")"),"Đấu giá&gt; Thời trang&gt; Túi xách nữ&gt; Shoulder Bags&gt; nylon")</f>
        <v>Đấu giá&gt; Thời trang&gt; Túi xách nữ&gt; Shoulder Bags&gt; nylon</v>
      </c>
      <c r="F1407" t="str">
        <f t="shared" ca="1" si="21"/>
        <v>"2084051004" : "nylon",</v>
      </c>
    </row>
    <row r="1408" spans="1:6" ht="15.75" customHeight="1">
      <c r="A1408" s="18">
        <v>2084051008</v>
      </c>
      <c r="B1408" s="18" t="s">
        <v>15297</v>
      </c>
      <c r="C1408" s="18" t="s">
        <v>15298</v>
      </c>
      <c r="D1408" s="5" t="str">
        <f ca="1">IFERROR(__xludf.DUMMYFUNCTION("GOOGLETRANSLATE(B1408,""ja"",""vi"")"),"Được làm bằng nhựa vinyl")</f>
        <v>Được làm bằng nhựa vinyl</v>
      </c>
      <c r="E1408" s="5" t="str">
        <f ca="1">IFERROR(__xludf.DUMMYFUNCTION("GOOGLETRANSLATE(C1408,""ja"",""vi"")"),"Đấu giá&gt; Túi xách thời trang&gt; Phụ nữ&gt; Shoulder Bags&gt; làm bằng nhựa vinyl")</f>
        <v>Đấu giá&gt; Túi xách thời trang&gt; Phụ nữ&gt; Shoulder Bags&gt; làm bằng nhựa vinyl</v>
      </c>
      <c r="F1408" t="str">
        <f t="shared" ca="1" si="21"/>
        <v>"2084051008" : "Được làm bằng nhựa vinyl",</v>
      </c>
    </row>
    <row r="1409" spans="1:6" ht="15.75" customHeight="1">
      <c r="A1409" s="18">
        <v>2084050996</v>
      </c>
      <c r="B1409" s="18" t="s">
        <v>15301</v>
      </c>
      <c r="C1409" s="18" t="s">
        <v>15303</v>
      </c>
      <c r="D1409" s="5" t="str">
        <f ca="1">IFERROR(__xludf.DUMMYFUNCTION("GOOGLETRANSLATE(B1409,""ja"",""vi"")"),"Được làm bằng da")</f>
        <v>Được làm bằng da</v>
      </c>
      <c r="E1409" s="5" t="str">
        <f ca="1">IFERROR(__xludf.DUMMYFUNCTION("GOOGLETRANSLATE(C1409,""ja"",""vi"")"),"Đấu giá&gt; Túi xách thời trang&gt; Phụ nữ&gt; Shoulder Bags&gt; làm bằng da")</f>
        <v>Đấu giá&gt; Túi xách thời trang&gt; Phụ nữ&gt; Shoulder Bags&gt; làm bằng da</v>
      </c>
      <c r="F1409" t="str">
        <f t="shared" ca="1" si="21"/>
        <v>"2084050996" : "Được làm bằng da",</v>
      </c>
    </row>
    <row r="1410" spans="1:6" ht="15.75" customHeight="1">
      <c r="A1410" s="18">
        <v>2084051003</v>
      </c>
      <c r="B1410" s="18" t="s">
        <v>15306</v>
      </c>
      <c r="C1410" s="18" t="s">
        <v>15308</v>
      </c>
      <c r="D1410" s="5" t="str">
        <f ca="1">IFERROR(__xludf.DUMMYFUNCTION("GOOGLETRANSLATE(B1410,""ja"",""vi"")"),"vải")</f>
        <v>vải</v>
      </c>
      <c r="E1410" s="5" t="str">
        <f ca="1">IFERROR(__xludf.DUMMYFUNCTION("GOOGLETRANSLATE(C1410,""ja"",""vi"")"),"Đấu giá&gt; Thời trang&gt; Túi xách phụ nữ của&gt; túi vai&gt; vải")</f>
        <v>Đấu giá&gt; Thời trang&gt; Túi xách phụ nữ của&gt; túi vai&gt; vải</v>
      </c>
      <c r="F1410" t="str">
        <f t="shared" ref="F1410:F1473" ca="1" si="22">CONCATENATE(CHAR(34)&amp;"",A1410,""&amp;CHAR(34)," : ", CHAR(34)&amp;"",D1410,""&amp;CHAR(34),",")</f>
        <v>"2084051003" : "vải",</v>
      </c>
    </row>
    <row r="1411" spans="1:6" ht="15.75" customHeight="1">
      <c r="A1411" s="18">
        <v>2084051009</v>
      </c>
      <c r="B1411" s="18" t="s">
        <v>46</v>
      </c>
      <c r="C1411" s="18" t="s">
        <v>15311</v>
      </c>
      <c r="D1411" s="5" t="str">
        <f ca="1">IFERROR(__xludf.DUMMYFUNCTION("GOOGLETRANSLATE(B1411,""ja"",""vi"")"),"nếu không thì")</f>
        <v>nếu không thì</v>
      </c>
      <c r="E1411" s="5" t="str">
        <f ca="1">IFERROR(__xludf.DUMMYFUNCTION("GOOGLETRANSLATE(C1411,""ja"",""vi"")"),"Đấu giá&gt; Thời trang&gt; Túi xách nữ&gt; Shoulder Bags&gt; Khác")</f>
        <v>Đấu giá&gt; Thời trang&gt; Túi xách nữ&gt; Shoulder Bags&gt; Khác</v>
      </c>
      <c r="F1411" t="str">
        <f t="shared" ca="1" si="22"/>
        <v>"2084051009" : "nếu không thì",</v>
      </c>
    </row>
    <row r="1412" spans="1:6" ht="15.75" customHeight="1">
      <c r="A1412" s="18">
        <v>2084050989</v>
      </c>
      <c r="B1412" s="18" t="s">
        <v>15291</v>
      </c>
      <c r="C1412" s="18" t="s">
        <v>15316</v>
      </c>
      <c r="D1412" s="5" t="str">
        <f ca="1">IFERROR(__xludf.DUMMYFUNCTION("GOOGLETRANSLATE(B1412,""ja"",""vi"")"),"nylon")</f>
        <v>nylon</v>
      </c>
      <c r="E1412" s="5" t="str">
        <f ca="1">IFERROR(__xludf.DUMMYFUNCTION("GOOGLETRANSLATE(C1412,""ja"",""vi"")"),"Đấu giá&gt; Thời trang&gt; Túi xách nữ&gt; Túi Tote&gt; nylon")</f>
        <v>Đấu giá&gt; Thời trang&gt; Túi xách nữ&gt; Túi Tote&gt; nylon</v>
      </c>
      <c r="F1412" t="str">
        <f t="shared" ca="1" si="22"/>
        <v>"2084050989" : "nylon",</v>
      </c>
    </row>
    <row r="1413" spans="1:6" ht="15.75" customHeight="1">
      <c r="A1413" s="18">
        <v>2084050993</v>
      </c>
      <c r="B1413" s="18" t="s">
        <v>15297</v>
      </c>
      <c r="C1413" s="18" t="s">
        <v>15319</v>
      </c>
      <c r="D1413" s="5" t="str">
        <f ca="1">IFERROR(__xludf.DUMMYFUNCTION("GOOGLETRANSLATE(B1413,""ja"",""vi"")"),"Được làm bằng nhựa vinyl")</f>
        <v>Được làm bằng nhựa vinyl</v>
      </c>
      <c r="E1413" s="5" t="str">
        <f ca="1">IFERROR(__xludf.DUMMYFUNCTION("GOOGLETRANSLATE(C1413,""ja"",""vi"")"),"Đấu giá&gt; Thời trang&gt; Túi xách nữ&gt; Tote Bags&gt; làm bằng nhựa vinyl")</f>
        <v>Đấu giá&gt; Thời trang&gt; Túi xách nữ&gt; Tote Bags&gt; làm bằng nhựa vinyl</v>
      </c>
      <c r="F1413" t="str">
        <f t="shared" ca="1" si="22"/>
        <v>"2084050993" : "Được làm bằng nhựa vinyl",</v>
      </c>
    </row>
    <row r="1414" spans="1:6" ht="15.75" customHeight="1">
      <c r="A1414" s="18">
        <v>2084050981</v>
      </c>
      <c r="B1414" s="18" t="s">
        <v>15301</v>
      </c>
      <c r="C1414" s="18" t="s">
        <v>15324</v>
      </c>
      <c r="D1414" s="5" t="str">
        <f ca="1">IFERROR(__xludf.DUMMYFUNCTION("GOOGLETRANSLATE(B1414,""ja"",""vi"")"),"Được làm bằng da")</f>
        <v>Được làm bằng da</v>
      </c>
      <c r="E1414" s="5" t="str">
        <f ca="1">IFERROR(__xludf.DUMMYFUNCTION("GOOGLETRANSLATE(C1414,""ja"",""vi"")"),"Đấu giá&gt; Thời trang&gt; Túi xách nữ&gt; Tote Bags&gt; làm bằng da")</f>
        <v>Đấu giá&gt; Thời trang&gt; Túi xách nữ&gt; Tote Bags&gt; làm bằng da</v>
      </c>
      <c r="F1414" t="str">
        <f t="shared" ca="1" si="22"/>
        <v>"2084050981" : "Được làm bằng da",</v>
      </c>
    </row>
    <row r="1415" spans="1:6" ht="15.75" customHeight="1">
      <c r="A1415" s="18">
        <v>2084050988</v>
      </c>
      <c r="B1415" s="18" t="s">
        <v>15306</v>
      </c>
      <c r="C1415" s="18" t="s">
        <v>15328</v>
      </c>
      <c r="D1415" s="5" t="str">
        <f ca="1">IFERROR(__xludf.DUMMYFUNCTION("GOOGLETRANSLATE(B1415,""ja"",""vi"")"),"vải")</f>
        <v>vải</v>
      </c>
      <c r="E1415" s="5" t="str">
        <f ca="1">IFERROR(__xludf.DUMMYFUNCTION("GOOGLETRANSLATE(C1415,""ja"",""vi"")"),"Đấu giá&gt; Thời trang&gt; Túi xách nữ&gt; Túi Tote&gt; vải")</f>
        <v>Đấu giá&gt; Thời trang&gt; Túi xách nữ&gt; Túi Tote&gt; vải</v>
      </c>
      <c r="F1415" t="str">
        <f t="shared" ca="1" si="22"/>
        <v>"2084050988" : "vải",</v>
      </c>
    </row>
    <row r="1416" spans="1:6" ht="15.75" customHeight="1">
      <c r="A1416" s="18">
        <v>2084050995</v>
      </c>
      <c r="B1416" s="18" t="s">
        <v>46</v>
      </c>
      <c r="C1416" s="18" t="s">
        <v>15332</v>
      </c>
      <c r="D1416" s="5" t="str">
        <f ca="1">IFERROR(__xludf.DUMMYFUNCTION("GOOGLETRANSLATE(B1416,""ja"",""vi"")"),"nếu không thì")</f>
        <v>nếu không thì</v>
      </c>
      <c r="E1416" s="5" t="str">
        <f ca="1">IFERROR(__xludf.DUMMYFUNCTION("GOOGLETRANSLATE(C1416,""ja"",""vi"")"),"Đấu giá&gt; Thời trang&gt; Túi xách nữ&gt; Tote Bags&gt; Khác")</f>
        <v>Đấu giá&gt; Thời trang&gt; Túi xách nữ&gt; Tote Bags&gt; Khác</v>
      </c>
      <c r="F1416" t="str">
        <f t="shared" ca="1" si="22"/>
        <v>"2084050995" : "nếu không thì",</v>
      </c>
    </row>
    <row r="1417" spans="1:6" ht="15.75" customHeight="1">
      <c r="A1417" s="18">
        <v>2084051019</v>
      </c>
      <c r="B1417" s="18" t="s">
        <v>15291</v>
      </c>
      <c r="C1417" s="18" t="s">
        <v>15336</v>
      </c>
      <c r="D1417" s="5" t="str">
        <f ca="1">IFERROR(__xludf.DUMMYFUNCTION("GOOGLETRANSLATE(B1417,""ja"",""vi"")"),"nylon")</f>
        <v>nylon</v>
      </c>
      <c r="E1417" s="5" t="str">
        <f ca="1">IFERROR(__xludf.DUMMYFUNCTION("GOOGLETRANSLATE(C1417,""ja"",""vi"")"),"Đấu giá&gt; Thời trang&gt; Túi xách nữ&gt; Túi xách&gt; nylon")</f>
        <v>Đấu giá&gt; Thời trang&gt; Túi xách nữ&gt; Túi xách&gt; nylon</v>
      </c>
      <c r="F1417" t="str">
        <f t="shared" ca="1" si="22"/>
        <v>"2084051019" : "nylon",</v>
      </c>
    </row>
    <row r="1418" spans="1:6" ht="15.75" customHeight="1">
      <c r="A1418" s="18">
        <v>2084051023</v>
      </c>
      <c r="B1418" s="18" t="s">
        <v>15297</v>
      </c>
      <c r="C1418" s="18" t="s">
        <v>15340</v>
      </c>
      <c r="D1418" s="5" t="str">
        <f ca="1">IFERROR(__xludf.DUMMYFUNCTION("GOOGLETRANSLATE(B1418,""ja"",""vi"")"),"Được làm bằng nhựa vinyl")</f>
        <v>Được làm bằng nhựa vinyl</v>
      </c>
      <c r="E1418" s="5" t="str">
        <f ca="1">IFERROR(__xludf.DUMMYFUNCTION("GOOGLETRANSLATE(C1418,""ja"",""vi"")"),"Đấu giá&gt; Thời trang&gt; Túi xách nữ&gt; Túi xách&gt; làm bằng nhựa vinyl")</f>
        <v>Đấu giá&gt; Thời trang&gt; Túi xách nữ&gt; Túi xách&gt; làm bằng nhựa vinyl</v>
      </c>
      <c r="F1418" t="str">
        <f t="shared" ca="1" si="22"/>
        <v>"2084051023" : "Được làm bằng nhựa vinyl",</v>
      </c>
    </row>
    <row r="1419" spans="1:6" ht="15.75" customHeight="1">
      <c r="A1419" s="18">
        <v>2084051011</v>
      </c>
      <c r="B1419" s="18" t="s">
        <v>15301</v>
      </c>
      <c r="C1419" s="18" t="s">
        <v>15344</v>
      </c>
      <c r="D1419" s="5" t="str">
        <f ca="1">IFERROR(__xludf.DUMMYFUNCTION("GOOGLETRANSLATE(B1419,""ja"",""vi"")"),"Được làm bằng da")</f>
        <v>Được làm bằng da</v>
      </c>
      <c r="E1419" s="5" t="str">
        <f ca="1">IFERROR(__xludf.DUMMYFUNCTION("GOOGLETRANSLATE(C1419,""ja"",""vi"")"),"Đấu giá&gt; Thời trang&gt; Túi xách nữ&gt; Túi xách&gt; làm bằng da")</f>
        <v>Đấu giá&gt; Thời trang&gt; Túi xách nữ&gt; Túi xách&gt; làm bằng da</v>
      </c>
      <c r="F1419" t="str">
        <f t="shared" ca="1" si="22"/>
        <v>"2084051011" : "Được làm bằng da",</v>
      </c>
    </row>
    <row r="1420" spans="1:6" ht="15.75" customHeight="1">
      <c r="A1420" s="18">
        <v>2084051018</v>
      </c>
      <c r="B1420" s="18" t="s">
        <v>15306</v>
      </c>
      <c r="C1420" s="18" t="s">
        <v>15349</v>
      </c>
      <c r="D1420" s="5" t="str">
        <f ca="1">IFERROR(__xludf.DUMMYFUNCTION("GOOGLETRANSLATE(B1420,""ja"",""vi"")"),"vải")</f>
        <v>vải</v>
      </c>
      <c r="E1420" s="5" t="str">
        <f ca="1">IFERROR(__xludf.DUMMYFUNCTION("GOOGLETRANSLATE(C1420,""ja"",""vi"")"),"Đấu giá&gt; Thời trang&gt; Phụ nữ túi&gt; túi xách&gt; vải")</f>
        <v>Đấu giá&gt; Thời trang&gt; Phụ nữ túi&gt; túi xách&gt; vải</v>
      </c>
      <c r="F1420" t="str">
        <f t="shared" ca="1" si="22"/>
        <v>"2084051018" : "vải",</v>
      </c>
    </row>
    <row r="1421" spans="1:6" ht="15.75" customHeight="1">
      <c r="A1421" s="18">
        <v>2084051024</v>
      </c>
      <c r="B1421" s="18" t="s">
        <v>46</v>
      </c>
      <c r="C1421" s="18" t="s">
        <v>15350</v>
      </c>
      <c r="D1421" s="5" t="str">
        <f ca="1">IFERROR(__xludf.DUMMYFUNCTION("GOOGLETRANSLATE(B1421,""ja"",""vi"")"),"nếu không thì")</f>
        <v>nếu không thì</v>
      </c>
      <c r="E1421" s="5" t="str">
        <f ca="1">IFERROR(__xludf.DUMMYFUNCTION("GOOGLETRANSLATE(C1421,""ja"",""vi"")"),"Đấu giá&gt; Thời trang&gt; Túi xách nữ&gt; Túi xách&gt; Khác")</f>
        <v>Đấu giá&gt; Thời trang&gt; Túi xách nữ&gt; Túi xách&gt; Khác</v>
      </c>
      <c r="F1421" t="str">
        <f t="shared" ca="1" si="22"/>
        <v>"2084051024" : "nếu không thì",</v>
      </c>
    </row>
    <row r="1422" spans="1:6" ht="15.75" customHeight="1">
      <c r="A1422" s="18">
        <v>2084062324</v>
      </c>
      <c r="B1422" s="18" t="s">
        <v>15354</v>
      </c>
      <c r="C1422" s="18" t="s">
        <v>15355</v>
      </c>
      <c r="D1422" s="5" t="str">
        <f ca="1">IFERROR(__xludf.DUMMYFUNCTION("GOOGLETRANSLATE(B1422,""ja"",""vi"")"),"Attache chung")</f>
        <v>Attache chung</v>
      </c>
      <c r="E1422" s="5" t="str">
        <f ca="1">IFERROR(__xludf.DUMMYFUNCTION("GOOGLETRANSLATE(C1422,""ja"",""vi"")"),"Đấu giá&gt; Văn phòng, Cửa hàng cung cấp&gt; túi, va li&gt; trường hợp tùy viên&gt; tùy viên nói chung trường hợp")</f>
        <v>Đấu giá&gt; Văn phòng, Cửa hàng cung cấp&gt; túi, va li&gt; trường hợp tùy viên&gt; tùy viên nói chung trường hợp</v>
      </c>
      <c r="F1422" t="str">
        <f t="shared" ca="1" si="22"/>
        <v>"2084062324" : "Attache chung",</v>
      </c>
    </row>
    <row r="1423" spans="1:6" ht="15.75" customHeight="1">
      <c r="A1423" s="18">
        <v>2084062325</v>
      </c>
      <c r="B1423" s="18" t="s">
        <v>10636</v>
      </c>
      <c r="C1423" s="18" t="s">
        <v>15360</v>
      </c>
      <c r="D1423" s="5" t="str">
        <f ca="1">IFERROR(__xludf.DUMMYFUNCTION("GOOGLETRANSLATE(B1423,""ja"",""vi"")"),"zero Halliburton")</f>
        <v>zero Halliburton</v>
      </c>
      <c r="E1423" s="5" t="str">
        <f ca="1">IFERROR(__xludf.DUMMYFUNCTION("GOOGLETRANSLATE(C1423,""ja"",""vi"")"),"Đấu giá&gt; Văn phòng, Cửa hàng cung cấp&gt; túi, va li&gt; tùy trường hợp&gt; Zero, Halliburton")</f>
        <v>Đấu giá&gt; Văn phòng, Cửa hàng cung cấp&gt; túi, va li&gt; tùy trường hợp&gt; Zero, Halliburton</v>
      </c>
      <c r="F1423" t="str">
        <f t="shared" ca="1" si="22"/>
        <v>"2084062325" : "zero Halliburton",</v>
      </c>
    </row>
    <row r="1424" spans="1:6" ht="15.75" customHeight="1">
      <c r="A1424" s="18">
        <v>2084062326</v>
      </c>
      <c r="B1424" s="18" t="s">
        <v>12145</v>
      </c>
      <c r="C1424" s="18" t="s">
        <v>15364</v>
      </c>
      <c r="D1424" s="5" t="str">
        <f ca="1">IFERROR(__xludf.DUMMYFUNCTION("GOOGLETRANSLATE(B1424,""ja"",""vi"")"),"Rimowa")</f>
        <v>Rimowa</v>
      </c>
      <c r="E1424" s="5" t="str">
        <f ca="1">IFERROR(__xludf.DUMMYFUNCTION("GOOGLETRANSLATE(C1424,""ja"",""vi"")"),"Đấu giá&gt; Văn phòng, Cửa hàng cung cấp&gt; túi, va li&gt; tùy trường hợp&gt; Rimowa")</f>
        <v>Đấu giá&gt; Văn phòng, Cửa hàng cung cấp&gt; túi, va li&gt; tùy trường hợp&gt; Rimowa</v>
      </c>
      <c r="F1424" t="str">
        <f t="shared" ca="1" si="22"/>
        <v>"2084062326" : "Rimowa",</v>
      </c>
    </row>
    <row r="1425" spans="1:6" ht="15.75" customHeight="1">
      <c r="A1425" s="18">
        <v>2084062327</v>
      </c>
      <c r="B1425" s="18" t="s">
        <v>12124</v>
      </c>
      <c r="C1425" s="18" t="s">
        <v>12126</v>
      </c>
      <c r="D1425" s="5" t="str">
        <f ca="1">IFERROR(__xludf.DUMMYFUNCTION("GOOGLETRANSLATE(B1425,""ja"",""vi"")"),"Vali, chung thân")</f>
        <v>Vali, chung thân</v>
      </c>
      <c r="E1425" s="5" t="str">
        <f ca="1">IFERROR(__xludf.DUMMYFUNCTION("GOOGLETRANSLATE(C1425,""ja"",""vi"")"),"Đấu giá&gt; Văn phòng, Cửa hàng cung cấp&gt; túi, va li&gt; va li, thân cây&gt; va li, chung thân")</f>
        <v>Đấu giá&gt; Văn phòng, Cửa hàng cung cấp&gt; túi, va li&gt; va li, thân cây&gt; va li, chung thân</v>
      </c>
      <c r="F1425" t="str">
        <f t="shared" ca="1" si="22"/>
        <v>"2084062327" : "Vali, chung thân",</v>
      </c>
    </row>
    <row r="1426" spans="1:6" ht="15.75" customHeight="1">
      <c r="A1426" s="18">
        <v>2084062331</v>
      </c>
      <c r="B1426" s="18" t="s">
        <v>10138</v>
      </c>
      <c r="C1426" s="18" t="s">
        <v>12132</v>
      </c>
      <c r="D1426" s="5" t="str">
        <f ca="1">IFERROR(__xludf.DUMMYFUNCTION("GOOGLETRANSLATE(B1426,""ja"",""vi"")"),"Samsonite")</f>
        <v>Samsonite</v>
      </c>
      <c r="E1426" s="5" t="str">
        <f ca="1">IFERROR(__xludf.DUMMYFUNCTION("GOOGLETRANSLATE(C1426,""ja"",""vi"")"),"Đấu giá&gt; Văn phòng, Cửa hàng cung cấp&gt; túi, va li&gt; va li, thân cây&gt; Samsonite")</f>
        <v>Đấu giá&gt; Văn phòng, Cửa hàng cung cấp&gt; túi, va li&gt; va li, thân cây&gt; Samsonite</v>
      </c>
      <c r="F1426" t="str">
        <f t="shared" ca="1" si="22"/>
        <v>"2084062331" : "Samsonite",</v>
      </c>
    </row>
    <row r="1427" spans="1:6" ht="15.75" customHeight="1">
      <c r="A1427" s="18">
        <v>2084062328</v>
      </c>
      <c r="B1427" s="18" t="s">
        <v>10636</v>
      </c>
      <c r="C1427" s="18" t="s">
        <v>12137</v>
      </c>
      <c r="D1427" s="5" t="str">
        <f ca="1">IFERROR(__xludf.DUMMYFUNCTION("GOOGLETRANSLATE(B1427,""ja"",""vi"")"),"zero Halliburton")</f>
        <v>zero Halliburton</v>
      </c>
      <c r="E1427" s="5" t="str">
        <f ca="1">IFERROR(__xludf.DUMMYFUNCTION("GOOGLETRANSLATE(C1427,""ja"",""vi"")"),"Đấu giá&gt; Văn phòng, Cửa hàng cung cấp&gt; túi, va li&gt; va li, thân cây&gt; Zero, Halliburton")</f>
        <v>Đấu giá&gt; Văn phòng, Cửa hàng cung cấp&gt; túi, va li&gt; va li, thân cây&gt; Zero, Halliburton</v>
      </c>
      <c r="F1427" t="str">
        <f t="shared" ca="1" si="22"/>
        <v>"2084062328" : "zero Halliburton",</v>
      </c>
    </row>
    <row r="1428" spans="1:6" ht="15.75" customHeight="1">
      <c r="A1428" s="18">
        <v>2084062329</v>
      </c>
      <c r="B1428" s="18" t="s">
        <v>10960</v>
      </c>
      <c r="C1428" s="18" t="s">
        <v>12141</v>
      </c>
      <c r="D1428" s="5" t="str">
        <f ca="1">IFERROR(__xludf.DUMMYFUNCTION("GOOGLETRANSLATE(B1428,""ja"",""vi"")"),"Tumi")</f>
        <v>Tumi</v>
      </c>
      <c r="E1428" s="5" t="str">
        <f ca="1">IFERROR(__xludf.DUMMYFUNCTION("GOOGLETRANSLATE(C1428,""ja"",""vi"")"),"Đấu giá&gt; vật tư văn phòng, cửa hàng&gt; túi, va li&gt; va li, thân cây&gt; Tumi")</f>
        <v>Đấu giá&gt; vật tư văn phòng, cửa hàng&gt; túi, va li&gt; va li, thân cây&gt; Tumi</v>
      </c>
      <c r="F1428" t="str">
        <f t="shared" ca="1" si="22"/>
        <v>"2084062329" : "Tumi",</v>
      </c>
    </row>
    <row r="1429" spans="1:6" ht="15.75" customHeight="1">
      <c r="A1429" s="18">
        <v>2084062330</v>
      </c>
      <c r="B1429" s="18" t="s">
        <v>12145</v>
      </c>
      <c r="C1429" s="18" t="s">
        <v>12147</v>
      </c>
      <c r="D1429" s="5" t="str">
        <f ca="1">IFERROR(__xludf.DUMMYFUNCTION("GOOGLETRANSLATE(B1429,""ja"",""vi"")"),"Rimowa")</f>
        <v>Rimowa</v>
      </c>
      <c r="E1429" s="5" t="str">
        <f ca="1">IFERROR(__xludf.DUMMYFUNCTION("GOOGLETRANSLATE(C1429,""ja"",""vi"")"),"Đấu giá&gt; vật tư văn phòng, cửa hàng&gt; túi, va li&gt; va li, thân cây&gt; Rimowa")</f>
        <v>Đấu giá&gt; vật tư văn phòng, cửa hàng&gt; túi, va li&gt; va li, thân cây&gt; Rimowa</v>
      </c>
      <c r="F1429" t="str">
        <f t="shared" ca="1" si="22"/>
        <v>"2084062330" : "Rimowa",</v>
      </c>
    </row>
    <row r="1430" spans="1:6" ht="15.75" customHeight="1">
      <c r="A1430" s="18">
        <v>2084202555</v>
      </c>
      <c r="B1430" s="18" t="s">
        <v>14065</v>
      </c>
      <c r="C1430" s="18" t="s">
        <v>14066</v>
      </c>
      <c r="D1430" s="5" t="str">
        <f ca="1">IFERROR(__xludf.DUMMYFUNCTION("GOOGLETRANSLATE(B1430,""ja"",""vi"")"),"túi xách tay")</f>
        <v>túi xách tay</v>
      </c>
      <c r="E1430" s="5" t="str">
        <f ca="1">IFERROR(__xludf.DUMMYFUNCTION("GOOGLETRANSLATE(C1430,""ja"",""vi"")"),"Đấu giá&gt; hàng bé&gt; đi ra ngoài, nguồn cung cấp phong trào&gt; Các bà mẹ túi&gt; túi xách")</f>
        <v>Đấu giá&gt; hàng bé&gt; đi ra ngoài, nguồn cung cấp phong trào&gt; Các bà mẹ túi&gt; túi xách</v>
      </c>
      <c r="F1430" t="str">
        <f t="shared" ca="1" si="22"/>
        <v>"2084202555" : "túi xách tay",</v>
      </c>
    </row>
    <row r="1431" spans="1:6" ht="15.75" customHeight="1">
      <c r="A1431" s="18">
        <v>2084202556</v>
      </c>
      <c r="B1431" s="18" t="s">
        <v>14069</v>
      </c>
      <c r="C1431" s="18" t="s">
        <v>14071</v>
      </c>
      <c r="D1431" s="5" t="str">
        <f ca="1">IFERROR(__xludf.DUMMYFUNCTION("GOOGLETRANSLATE(B1431,""ja"",""vi"")"),"vai")</f>
        <v>vai</v>
      </c>
      <c r="E1431" s="5" t="str">
        <f ca="1">IFERROR(__xludf.DUMMYFUNCTION("GOOGLETRANSLATE(C1431,""ja"",""vi"")"),"Đấu giá&gt; hàng bé&gt; đi ra ngoài, nguồn cung cấp phong trào&gt; Các bà mẹ túi&gt; vai")</f>
        <v>Đấu giá&gt; hàng bé&gt; đi ra ngoài, nguồn cung cấp phong trào&gt; Các bà mẹ túi&gt; vai</v>
      </c>
      <c r="F1431" t="str">
        <f t="shared" ca="1" si="22"/>
        <v>"2084202556" : "vai",</v>
      </c>
    </row>
    <row r="1432" spans="1:6" ht="15.75" customHeight="1">
      <c r="A1432" s="18">
        <v>2084202557</v>
      </c>
      <c r="B1432" s="18" t="s">
        <v>14074</v>
      </c>
      <c r="C1432" s="18" t="s">
        <v>14076</v>
      </c>
      <c r="D1432" s="5" t="str">
        <f ca="1">IFERROR(__xludf.DUMMYFUNCTION("GOOGLETRANSLATE(B1432,""ja"",""vi"")"),"Boston")</f>
        <v>Boston</v>
      </c>
      <c r="E1432" s="5" t="str">
        <f ca="1">IFERROR(__xludf.DUMMYFUNCTION("GOOGLETRANSLATE(C1432,""ja"",""vi"")"),"Đấu giá&gt; hàng bé&gt; đi ra ngoài, nguồn cung cấp phong trào&gt; túi Mẹ&gt; Boston")</f>
        <v>Đấu giá&gt; hàng bé&gt; đi ra ngoài, nguồn cung cấp phong trào&gt; túi Mẹ&gt; Boston</v>
      </c>
      <c r="F1432" t="str">
        <f t="shared" ca="1" si="22"/>
        <v>"2084202557" : "Boston",</v>
      </c>
    </row>
    <row r="1433" spans="1:6" ht="15.75" customHeight="1">
      <c r="A1433" s="18">
        <v>2084202558</v>
      </c>
      <c r="B1433" s="18" t="s">
        <v>46</v>
      </c>
      <c r="C1433" s="18" t="s">
        <v>14081</v>
      </c>
      <c r="D1433" s="5" t="str">
        <f ca="1">IFERROR(__xludf.DUMMYFUNCTION("GOOGLETRANSLATE(B1433,""ja"",""vi"")"),"nếu không thì")</f>
        <v>nếu không thì</v>
      </c>
      <c r="E1433" s="5" t="str">
        <f ca="1">IFERROR(__xludf.DUMMYFUNCTION("GOOGLETRANSLATE(C1433,""ja"",""vi"")"),"Đấu giá&gt; hàng bé&gt; đi ra ngoài, nguồn cung cấp phong trào&gt; túi Mẹ&gt; Khác")</f>
        <v>Đấu giá&gt; hàng bé&gt; đi ra ngoài, nguồn cung cấp phong trào&gt; túi Mẹ&gt; Khác</v>
      </c>
      <c r="F1433" t="str">
        <f t="shared" ca="1" si="22"/>
        <v>"2084202558" : "nếu không thì",</v>
      </c>
    </row>
    <row r="1434" spans="1:6" ht="15.75" customHeight="1">
      <c r="A1434" s="18">
        <v>2084308407</v>
      </c>
      <c r="B1434" s="18" t="s">
        <v>15396</v>
      </c>
      <c r="C1434" s="18" t="s">
        <v>15398</v>
      </c>
      <c r="D1434" s="5" t="str">
        <f ca="1">IFERROR(__xludf.DUMMYFUNCTION("GOOGLETRANSLATE(B1434,""ja"",""vi"")"),"túi")</f>
        <v>túi</v>
      </c>
      <c r="E1434" s="5" t="str">
        <f ca="1">IFERROR(__xludf.DUMMYFUNCTION("GOOGLETRANSLATE(C1434,""ja"",""vi"")"),"Đấu giá&gt; Thời trang&gt; Kimono, kimono&gt; ví, túi&gt; ví")</f>
        <v>Đấu giá&gt; Thời trang&gt; Kimono, kimono&gt; ví, túi&gt; ví</v>
      </c>
      <c r="F1434" t="str">
        <f t="shared" ca="1" si="22"/>
        <v>"2084308407" : "túi",</v>
      </c>
    </row>
    <row r="1435" spans="1:6" ht="15.75" customHeight="1">
      <c r="A1435" s="18">
        <v>2084308406</v>
      </c>
      <c r="B1435" s="18" t="s">
        <v>8599</v>
      </c>
      <c r="C1435" s="18" t="s">
        <v>15401</v>
      </c>
      <c r="D1435" s="5" t="str">
        <f ca="1">IFERROR(__xludf.DUMMYFUNCTION("GOOGLETRANSLATE(B1435,""ja"",""vi"")"),"túi")</f>
        <v>túi</v>
      </c>
      <c r="E1435" s="5" t="str">
        <f ca="1">IFERROR(__xludf.DUMMYFUNCTION("GOOGLETRANSLATE(C1435,""ja"",""vi"")"),"Đấu giá&gt; Thời trang&gt; Kimono, kimono&gt; ví, túi&gt; túi")</f>
        <v>Đấu giá&gt; Thời trang&gt; Kimono, kimono&gt; ví, túi&gt; túi</v>
      </c>
      <c r="F1435" t="str">
        <f t="shared" ca="1" si="22"/>
        <v>"2084308406" : "túi",</v>
      </c>
    </row>
    <row r="1436" spans="1:6" ht="15.75" customHeight="1">
      <c r="A1436" s="18">
        <v>2084306948</v>
      </c>
      <c r="B1436" s="18" t="s">
        <v>15403</v>
      </c>
      <c r="C1436" s="18" t="s">
        <v>15405</v>
      </c>
      <c r="D1436" s="5" t="str">
        <f ca="1">IFERROR(__xludf.DUMMYFUNCTION("GOOGLETRANSLATE(B1436,""ja"",""vi"")"),"Silicon Case")</f>
        <v>Silicon Case</v>
      </c>
      <c r="E1436" s="5" t="str">
        <f ca="1">IFERROR(__xludf.DUMMYFUNCTION("GOOGLETRANSLATE(C1436,""ja"",""vi"")"),"Đấu giá&gt; thiết bị điện tử tiêu dùng, AV, camera&gt; điện thoại di động, điện thoại thông minh&gt; Accessories&gt; Case&gt; trường hợp silicon")</f>
        <v>Đấu giá&gt; thiết bị điện tử tiêu dùng, AV, camera&gt; điện thoại di động, điện thoại thông minh&gt; Accessories&gt; Case&gt; trường hợp silicon</v>
      </c>
      <c r="F1436" t="str">
        <f t="shared" ca="1" si="22"/>
        <v>"2084306948" : "Silicon Case",</v>
      </c>
    </row>
    <row r="1437" spans="1:6" ht="15.75" customHeight="1">
      <c r="A1437" s="18">
        <v>2084306949</v>
      </c>
      <c r="B1437" s="18" t="s">
        <v>15406</v>
      </c>
      <c r="C1437" s="18" t="s">
        <v>15408</v>
      </c>
      <c r="D1437" s="5" t="str">
        <f ca="1">IFERROR(__xludf.DUMMYFUNCTION("GOOGLETRANSLATE(B1437,""ja"",""vi"")"),"Trường hợp khó khăn")</f>
        <v>Trường hợp khó khăn</v>
      </c>
      <c r="E1437" s="5" t="str">
        <f ca="1">IFERROR(__xludf.DUMMYFUNCTION("GOOGLETRANSLATE(C1437,""ja"",""vi"")"),"Đấu giá&gt; thiết bị điện tử tiêu dùng, AV, camera&gt; điện thoại di động, điện thoại thông minh&gt; Accessories&gt; Case&gt; Case cứng")</f>
        <v>Đấu giá&gt; thiết bị điện tử tiêu dùng, AV, camera&gt; điện thoại di động, điện thoại thông minh&gt; Accessories&gt; Case&gt; Case cứng</v>
      </c>
      <c r="F1437" t="str">
        <f t="shared" ca="1" si="22"/>
        <v>"2084306949" : "Trường hợp khó khăn",</v>
      </c>
    </row>
    <row r="1438" spans="1:6" ht="15.75" customHeight="1">
      <c r="A1438" s="18">
        <v>2084306950</v>
      </c>
      <c r="B1438" s="18" t="s">
        <v>15409</v>
      </c>
      <c r="C1438" s="18" t="s">
        <v>15411</v>
      </c>
      <c r="D1438" s="5" t="str">
        <f ca="1">IFERROR(__xludf.DUMMYFUNCTION("GOOGLETRANSLATE(B1438,""ja"",""vi"")"),"Leather Case")</f>
        <v>Leather Case</v>
      </c>
      <c r="E1438" s="5" t="str">
        <f ca="1">IFERROR(__xludf.DUMMYFUNCTION("GOOGLETRANSLATE(C1438,""ja"",""vi"")"),"Đấu giá&gt; thiết bị điện tử tiêu dùng, AV, camera&gt; điện thoại di động, điện thoại thông minh&gt; Accessories&gt; Case&gt; Leather Case")</f>
        <v>Đấu giá&gt; thiết bị điện tử tiêu dùng, AV, camera&gt; điện thoại di động, điện thoại thông minh&gt; Accessories&gt; Case&gt; Leather Case</v>
      </c>
      <c r="F1438" t="str">
        <f t="shared" ca="1" si="22"/>
        <v>"2084306950" : "Leather Case",</v>
      </c>
    </row>
    <row r="1439" spans="1:6" ht="15.75" customHeight="1">
      <c r="A1439" s="18">
        <v>2084263726</v>
      </c>
      <c r="B1439" s="18" t="s">
        <v>3697</v>
      </c>
      <c r="C1439" s="18" t="s">
        <v>15413</v>
      </c>
      <c r="D1439" s="5" t="str">
        <f ca="1">IFERROR(__xludf.DUMMYFUNCTION("GOOGLETRANSLATE(B1439,""ja"",""vi"")"),"Trường hợp cho iPhone")</f>
        <v>Trường hợp cho iPhone</v>
      </c>
      <c r="E1439" s="5" t="str">
        <f ca="1">IFERROR(__xludf.DUMMYFUNCTION("GOOGLETRANSLATE(C1439,""ja"",""vi"")"),"Đấu giá&gt; thiết bị điện tử tiêu dùng, AV, camera&gt; điện thoại di động, điện thoại thông minh&gt; Accessories&gt; Case&gt; Case cho iPhone")</f>
        <v>Đấu giá&gt; thiết bị điện tử tiêu dùng, AV, camera&gt; điện thoại di động, điện thoại thông minh&gt; Accessories&gt; Case&gt; Case cho iPhone</v>
      </c>
      <c r="F1439" t="str">
        <f t="shared" ca="1" si="22"/>
        <v>"2084263726" : "Trường hợp cho iPhone",</v>
      </c>
    </row>
    <row r="1440" spans="1:6" ht="15.75" customHeight="1">
      <c r="A1440" s="18">
        <v>2084306951</v>
      </c>
      <c r="B1440" s="18" t="s">
        <v>46</v>
      </c>
      <c r="C1440" s="18" t="s">
        <v>15415</v>
      </c>
      <c r="D1440" s="5" t="str">
        <f ca="1">IFERROR(__xludf.DUMMYFUNCTION("GOOGLETRANSLATE(B1440,""ja"",""vi"")"),"nếu không thì")</f>
        <v>nếu không thì</v>
      </c>
      <c r="E1440" s="5" t="str">
        <f ca="1">IFERROR(__xludf.DUMMYFUNCTION("GOOGLETRANSLATE(C1440,""ja"",""vi"")"),"Đấu giá&gt; thiết bị điện tử tiêu dùng, AV, camera&gt; điện thoại di động, điện thoại thông minh&gt; Accessories&gt; Case&gt; Khác")</f>
        <v>Đấu giá&gt; thiết bị điện tử tiêu dùng, AV, camera&gt; điện thoại di động, điện thoại thông minh&gt; Accessories&gt; Case&gt; Khác</v>
      </c>
      <c r="F1440" t="str">
        <f t="shared" ca="1" si="22"/>
        <v>"2084306951" : "nếu không thì",</v>
      </c>
    </row>
    <row r="1441" spans="1:6" ht="15.75" customHeight="1">
      <c r="A1441" s="18">
        <v>2084292116</v>
      </c>
      <c r="B1441" s="18" t="s">
        <v>15417</v>
      </c>
      <c r="C1441" s="18" t="s">
        <v>15418</v>
      </c>
      <c r="D1441" s="5" t="str">
        <f ca="1">IFERROR(__xludf.DUMMYFUNCTION("GOOGLETRANSLATE(B1441,""ja"",""vi"")"),"Purse (với xu ví)")</f>
        <v>Purse (với xu ví)</v>
      </c>
      <c r="E1441" s="5" t="str">
        <f ca="1">IFERROR(__xludf.DUMMYFUNCTION("GOOGLETRANSLATE(C1441,""ja"",""vi"")"),"Đấu giá&gt; Thời trang&gt; Phụ kiện thời trang&gt; túi xách&gt; cho phụ nữ&gt; ví dài (với xu ví)")</f>
        <v>Đấu giá&gt; Thời trang&gt; Phụ kiện thời trang&gt; túi xách&gt; cho phụ nữ&gt; ví dài (với xu ví)</v>
      </c>
      <c r="F1441" t="str">
        <f t="shared" ca="1" si="22"/>
        <v>"2084292116" : "Purse (với xu ví)",</v>
      </c>
    </row>
    <row r="1442" spans="1:6" ht="15.75" customHeight="1">
      <c r="A1442" s="18">
        <v>2084292117</v>
      </c>
      <c r="B1442" s="18" t="s">
        <v>15420</v>
      </c>
      <c r="C1442" s="18" t="s">
        <v>15421</v>
      </c>
      <c r="D1442" s="5" t="str">
        <f ca="1">IFERROR(__xludf.DUMMYFUNCTION("GOOGLETRANSLATE(B1442,""ja"",""vi"")"),"Purse (không đồng xu ví)")</f>
        <v>Purse (không đồng xu ví)</v>
      </c>
      <c r="E1442" s="5" t="str">
        <f ca="1">IFERROR(__xludf.DUMMYFUNCTION("GOOGLETRANSLATE(C1442,""ja"",""vi"")"),"Đấu giá&gt; Thời trang&gt; Phụ kiện thời trang&gt; túi xách&gt; cho phụ nữ&gt; dài ví (không đem túi thay đổi)")</f>
        <v>Đấu giá&gt; Thời trang&gt; Phụ kiện thời trang&gt; túi xách&gt; cho phụ nữ&gt; dài ví (không đem túi thay đổi)</v>
      </c>
      <c r="F1442" t="str">
        <f t="shared" ca="1" si="22"/>
        <v>"2084292117" : "Purse (không đồng xu ví)",</v>
      </c>
    </row>
    <row r="1443" spans="1:6" ht="15.75" customHeight="1">
      <c r="A1443" s="18">
        <v>2084292118</v>
      </c>
      <c r="B1443" s="18" t="s">
        <v>15423</v>
      </c>
      <c r="C1443" s="18" t="s">
        <v>15424</v>
      </c>
      <c r="D1443" s="5" t="str">
        <f ca="1">IFERROR(__xludf.DUMMYFUNCTION("GOOGLETRANSLATE(B1443,""ja"",""vi"")"),"ví Bi-fold (với xu ví)")</f>
        <v>ví Bi-fold (với xu ví)</v>
      </c>
      <c r="E1443" s="5" t="str">
        <f ca="1">IFERROR(__xludf.DUMMYFUNCTION("GOOGLETRANSLATE(C1443,""ja"",""vi"")"),"Đấu giá&gt; Thời trang&gt; Phụ kiện thời trang&gt; túi xách&gt; cho phụ nữ&gt; ví bi-fold (với xu ví)")</f>
        <v>Đấu giá&gt; Thời trang&gt; Phụ kiện thời trang&gt; túi xách&gt; cho phụ nữ&gt; ví bi-fold (với xu ví)</v>
      </c>
      <c r="F1443" t="str">
        <f t="shared" ca="1" si="22"/>
        <v>"2084292118" : "ví Bi-fold (với xu ví)",</v>
      </c>
    </row>
    <row r="1444" spans="1:6" ht="15.75" customHeight="1">
      <c r="A1444" s="18">
        <v>2084292119</v>
      </c>
      <c r="B1444" s="18" t="s">
        <v>15426</v>
      </c>
      <c r="C1444" s="18" t="s">
        <v>15427</v>
      </c>
      <c r="D1444" s="5" t="str">
        <f ca="1">IFERROR(__xludf.DUMMYFUNCTION("GOOGLETRANSLATE(B1444,""ja"",""vi"")"),"ví Bi-fold (không đồng xu ví)")</f>
        <v>ví Bi-fold (không đồng xu ví)</v>
      </c>
      <c r="E1444" s="5" t="str">
        <f ca="1">IFERROR(__xludf.DUMMYFUNCTION("GOOGLETRANSLATE(C1444,""ja"",""vi"")"),"Đấu giá&gt; Thời trang&gt; Phụ kiện thời trang&gt; túi xách&gt; cho phụ nữ&gt; ví bi-fold (không đồng xu ví)")</f>
        <v>Đấu giá&gt; Thời trang&gt; Phụ kiện thời trang&gt; túi xách&gt; cho phụ nữ&gt; ví bi-fold (không đồng xu ví)</v>
      </c>
      <c r="F1444" t="str">
        <f t="shared" ca="1" si="22"/>
        <v>"2084292119" : "ví Bi-fold (không đồng xu ví)",</v>
      </c>
    </row>
    <row r="1445" spans="1:6" ht="15.75" customHeight="1">
      <c r="A1445" s="18">
        <v>2084292120</v>
      </c>
      <c r="B1445" s="18" t="s">
        <v>15429</v>
      </c>
      <c r="C1445" s="18" t="s">
        <v>15430</v>
      </c>
      <c r="D1445" s="5" t="str">
        <f ca="1">IFERROR(__xludf.DUMMYFUNCTION("GOOGLETRANSLATE(B1445,""ja"",""vi"")"),"Coin ví, hộp đựng đồng xu")</f>
        <v>Coin ví, hộp đựng đồng xu</v>
      </c>
      <c r="E1445" s="5" t="str">
        <f ca="1">IFERROR(__xludf.DUMMYFUNCTION("GOOGLETRANSLATE(C1445,""ja"",""vi"")"),"Đấu giá&gt; Thời trang&gt; Phụ kiện thời trang&gt; túi xách&gt; cho phụ nữ&gt; Ví, trường hợp đồng tiền")</f>
        <v>Đấu giá&gt; Thời trang&gt; Phụ kiện thời trang&gt; túi xách&gt; cho phụ nữ&gt; Ví, trường hợp đồng tiền</v>
      </c>
      <c r="F1445" t="str">
        <f t="shared" ca="1" si="22"/>
        <v>"2084292120" : "Coin ví, hộp đựng đồng xu",</v>
      </c>
    </row>
    <row r="1446" spans="1:6" ht="15.75" customHeight="1">
      <c r="A1446" s="18">
        <v>2084292137</v>
      </c>
      <c r="B1446" s="18" t="s">
        <v>46</v>
      </c>
      <c r="C1446" s="18" t="s">
        <v>15432</v>
      </c>
      <c r="D1446" s="5" t="str">
        <f ca="1">IFERROR(__xludf.DUMMYFUNCTION("GOOGLETRANSLATE(B1446,""ja"",""vi"")"),"nếu không thì")</f>
        <v>nếu không thì</v>
      </c>
      <c r="E1446" s="5" t="str">
        <f ca="1">IFERROR(__xludf.DUMMYFUNCTION("GOOGLETRANSLATE(C1446,""ja"",""vi"")"),"Đấu giá&gt; Thời trang&gt; Phụ kiện thời trang&gt; túi xách&gt; cho phụ nữ&gt; Khác")</f>
        <v>Đấu giá&gt; Thời trang&gt; Phụ kiện thời trang&gt; túi xách&gt; cho phụ nữ&gt; Khác</v>
      </c>
      <c r="F1446" t="str">
        <f t="shared" ca="1" si="22"/>
        <v>"2084292137" : "nếu không thì",</v>
      </c>
    </row>
    <row r="1447" spans="1:6" ht="15.75" customHeight="1">
      <c r="A1447" s="18">
        <v>2084007838</v>
      </c>
      <c r="B1447" s="18" t="s">
        <v>15434</v>
      </c>
      <c r="C1447" s="18" t="s">
        <v>15435</v>
      </c>
      <c r="D1447" s="5" t="str">
        <f ca="1">IFERROR(__xludf.DUMMYFUNCTION("GOOGLETRANSLATE(B1447,""ja"",""vi"")"),"22.0cm dưới đây")</f>
        <v>22.0cm dưới đây</v>
      </c>
      <c r="E1447" s="5" t="str">
        <f ca="1">IFERROR(__xludf.DUMMYFUNCTION("GOOGLETRANSLATE(C1447,""ja"",""vi"")"),"Đấu giá&gt; Thời trang&gt; Phụ nữ giày&gt; dép&gt; 22.0cm dưới đây")</f>
        <v>Đấu giá&gt; Thời trang&gt; Phụ nữ giày&gt; dép&gt; 22.0cm dưới đây</v>
      </c>
      <c r="F1447" t="str">
        <f t="shared" ca="1" si="22"/>
        <v>"2084007838" : "22.0cm dưới đây",</v>
      </c>
    </row>
    <row r="1448" spans="1:6" ht="15.75" customHeight="1">
      <c r="A1448" s="18">
        <v>2084007839</v>
      </c>
      <c r="B1448" s="18" t="s">
        <v>15437</v>
      </c>
      <c r="C1448" s="18" t="s">
        <v>15438</v>
      </c>
      <c r="D1448" s="5" t="str">
        <f ca="1">IFERROR(__xludf.DUMMYFUNCTION("GOOGLETRANSLATE(B1448,""ja"",""vi"")"),"22.5cm")</f>
        <v>22.5cm</v>
      </c>
      <c r="E1448" s="5" t="str">
        <f ca="1">IFERROR(__xludf.DUMMYFUNCTION("GOOGLETRANSLATE(C1448,""ja"",""vi"")"),"Đấu giá&gt; Thời trang&gt; Phụ nữ giày&gt; dép&gt; 22.5cm")</f>
        <v>Đấu giá&gt; Thời trang&gt; Phụ nữ giày&gt; dép&gt; 22.5cm</v>
      </c>
      <c r="F1448" t="str">
        <f t="shared" ca="1" si="22"/>
        <v>"2084007839" : "22.5cm",</v>
      </c>
    </row>
    <row r="1449" spans="1:6" ht="15.75" customHeight="1">
      <c r="A1449" s="18">
        <v>2084007840</v>
      </c>
      <c r="B1449" s="18" t="s">
        <v>15440</v>
      </c>
      <c r="C1449" s="18" t="s">
        <v>15441</v>
      </c>
      <c r="D1449" s="5" t="str">
        <f ca="1">IFERROR(__xludf.DUMMYFUNCTION("GOOGLETRANSLATE(B1449,""ja"",""vi"")"),"23.0cm")</f>
        <v>23.0cm</v>
      </c>
      <c r="E1449" s="5" t="str">
        <f ca="1">IFERROR(__xludf.DUMMYFUNCTION("GOOGLETRANSLATE(C1449,""ja"",""vi"")"),"Đấu giá&gt; Thời trang&gt; Phụ nữ giày&gt; dép&gt; 23.0cm")</f>
        <v>Đấu giá&gt; Thời trang&gt; Phụ nữ giày&gt; dép&gt; 23.0cm</v>
      </c>
      <c r="F1449" t="str">
        <f t="shared" ca="1" si="22"/>
        <v>"2084007840" : "23.0cm",</v>
      </c>
    </row>
    <row r="1450" spans="1:6" ht="15.75" customHeight="1">
      <c r="A1450" s="18">
        <v>2084007841</v>
      </c>
      <c r="B1450" s="18" t="s">
        <v>15443</v>
      </c>
      <c r="C1450" s="18" t="s">
        <v>15444</v>
      </c>
      <c r="D1450" s="5" t="str">
        <f ca="1">IFERROR(__xludf.DUMMYFUNCTION("GOOGLETRANSLATE(B1450,""ja"",""vi"")"),"23.5cm")</f>
        <v>23.5cm</v>
      </c>
      <c r="E1450" s="5" t="str">
        <f ca="1">IFERROR(__xludf.DUMMYFUNCTION("GOOGLETRANSLATE(C1450,""ja"",""vi"")"),"Đấu giá&gt; Thời trang&gt; Phụ nữ giày&gt; dép&gt; 23.5cm")</f>
        <v>Đấu giá&gt; Thời trang&gt; Phụ nữ giày&gt; dép&gt; 23.5cm</v>
      </c>
      <c r="F1450" t="str">
        <f t="shared" ca="1" si="22"/>
        <v>"2084007841" : "23.5cm",</v>
      </c>
    </row>
    <row r="1451" spans="1:6" ht="15.75" customHeight="1">
      <c r="A1451" s="18">
        <v>2084007842</v>
      </c>
      <c r="B1451" s="18" t="s">
        <v>15446</v>
      </c>
      <c r="C1451" s="18" t="s">
        <v>15447</v>
      </c>
      <c r="D1451" s="5" t="str">
        <f ca="1">IFERROR(__xludf.DUMMYFUNCTION("GOOGLETRANSLATE(B1451,""ja"",""vi"")"),"24.0cm")</f>
        <v>24.0cm</v>
      </c>
      <c r="E1451" s="5" t="str">
        <f ca="1">IFERROR(__xludf.DUMMYFUNCTION("GOOGLETRANSLATE(C1451,""ja"",""vi"")"),"Đấu giá&gt; Thời trang&gt; Phụ nữ giày&gt; dép&gt; 24.0cm")</f>
        <v>Đấu giá&gt; Thời trang&gt; Phụ nữ giày&gt; dép&gt; 24.0cm</v>
      </c>
      <c r="F1451" t="str">
        <f t="shared" ca="1" si="22"/>
        <v>"2084007842" : "24.0cm",</v>
      </c>
    </row>
    <row r="1452" spans="1:6" ht="15.75" customHeight="1">
      <c r="A1452" s="18">
        <v>2084007843</v>
      </c>
      <c r="B1452" s="18" t="s">
        <v>15449</v>
      </c>
      <c r="C1452" s="18" t="s">
        <v>15450</v>
      </c>
      <c r="D1452" s="5" t="str">
        <f ca="1">IFERROR(__xludf.DUMMYFUNCTION("GOOGLETRANSLATE(B1452,""ja"",""vi"")"),"24.5cm")</f>
        <v>24.5cm</v>
      </c>
      <c r="E1452" s="5" t="str">
        <f ca="1">IFERROR(__xludf.DUMMYFUNCTION("GOOGLETRANSLATE(C1452,""ja"",""vi"")"),"Đấu giá&gt; Thời trang&gt; Phụ nữ giày&gt; dép&gt; 24.5cm")</f>
        <v>Đấu giá&gt; Thời trang&gt; Phụ nữ giày&gt; dép&gt; 24.5cm</v>
      </c>
      <c r="F1452" t="str">
        <f t="shared" ca="1" si="22"/>
        <v>"2084007843" : "24.5cm",</v>
      </c>
    </row>
    <row r="1453" spans="1:6" ht="15.75" customHeight="1">
      <c r="A1453" s="18">
        <v>2084007844</v>
      </c>
      <c r="B1453" s="18" t="s">
        <v>15453</v>
      </c>
      <c r="C1453" s="18" t="s">
        <v>15454</v>
      </c>
      <c r="D1453" s="5" t="str">
        <f ca="1">IFERROR(__xludf.DUMMYFUNCTION("GOOGLETRANSLATE(B1453,""ja"",""vi"")"),"25,0cm")</f>
        <v>25,0cm</v>
      </c>
      <c r="E1453" s="5" t="str">
        <f ca="1">IFERROR(__xludf.DUMMYFUNCTION("GOOGLETRANSLATE(C1453,""ja"",""vi"")"),"Đấu giá&gt; Thời trang&gt; Phụ nữ giày&gt; dép&gt; 25,0cm")</f>
        <v>Đấu giá&gt; Thời trang&gt; Phụ nữ giày&gt; dép&gt; 25,0cm</v>
      </c>
      <c r="F1453" t="str">
        <f t="shared" ca="1" si="22"/>
        <v>"2084007844" : "25,0cm",</v>
      </c>
    </row>
    <row r="1454" spans="1:6" ht="15.75" customHeight="1">
      <c r="A1454" s="18">
        <v>2084007845</v>
      </c>
      <c r="B1454" s="18" t="s">
        <v>15457</v>
      </c>
      <c r="C1454" s="18" t="s">
        <v>15458</v>
      </c>
      <c r="D1454" s="5" t="str">
        <f ca="1">IFERROR(__xludf.DUMMYFUNCTION("GOOGLETRANSLATE(B1454,""ja"",""vi"")"),"25.5cm")</f>
        <v>25.5cm</v>
      </c>
      <c r="E1454" s="5" t="str">
        <f ca="1">IFERROR(__xludf.DUMMYFUNCTION("GOOGLETRANSLATE(C1454,""ja"",""vi"")"),"Đấu giá&gt; Thời trang&gt; Phụ nữ giày&gt; dép&gt; 25.5cm")</f>
        <v>Đấu giá&gt; Thời trang&gt; Phụ nữ giày&gt; dép&gt; 25.5cm</v>
      </c>
      <c r="F1454" t="str">
        <f t="shared" ca="1" si="22"/>
        <v>"2084007845" : "25.5cm",</v>
      </c>
    </row>
    <row r="1455" spans="1:6" ht="15.75" customHeight="1">
      <c r="A1455" s="18">
        <v>2084007846</v>
      </c>
      <c r="B1455" s="18" t="s">
        <v>15461</v>
      </c>
      <c r="C1455" s="18" t="s">
        <v>15462</v>
      </c>
      <c r="D1455" s="5" t="str">
        <f ca="1">IFERROR(__xludf.DUMMYFUNCTION("GOOGLETRANSLATE(B1455,""ja"",""vi"")"),"Hơn 26.0cm")</f>
        <v>Hơn 26.0cm</v>
      </c>
      <c r="E1455" s="5" t="str">
        <f ca="1">IFERROR(__xludf.DUMMYFUNCTION("GOOGLETRANSLATE(C1455,""ja"",""vi"")"),"Đấu giá&gt; Thời trang&gt; Phụ nữ giày&gt; dép&gt; 26.0cm hơn")</f>
        <v>Đấu giá&gt; Thời trang&gt; Phụ nữ giày&gt; dép&gt; 26.0cm hơn</v>
      </c>
      <c r="F1455" t="str">
        <f t="shared" ca="1" si="22"/>
        <v>"2084007846" : "Hơn 26.0cm",</v>
      </c>
    </row>
    <row r="1456" spans="1:6" ht="15.75" customHeight="1">
      <c r="A1456" s="18">
        <v>2084232997</v>
      </c>
      <c r="B1456" s="18" t="s">
        <v>9943</v>
      </c>
      <c r="C1456" s="18" t="s">
        <v>15464</v>
      </c>
      <c r="D1456" s="5" t="str">
        <f ca="1">IFERROR(__xludf.DUMMYFUNCTION("GOOGLETRANSLATE(B1456,""ja"",""vi"")"),"Crocs")</f>
        <v>Crocs</v>
      </c>
      <c r="E1456" s="5" t="str">
        <f ca="1">IFERROR(__xludf.DUMMYFUNCTION("GOOGLETRANSLATE(C1456,""ja"",""vi"")"),"Đấu giá&gt; Thời trang&gt; Phụ nữ Giày dép&gt; dép&gt; Crocs")</f>
        <v>Đấu giá&gt; Thời trang&gt; Phụ nữ Giày dép&gt; dép&gt; Crocs</v>
      </c>
      <c r="F1456" t="str">
        <f t="shared" ca="1" si="22"/>
        <v>"2084232997" : "Crocs",</v>
      </c>
    </row>
    <row r="1457" spans="1:6" ht="15.75" customHeight="1">
      <c r="A1457" s="18">
        <v>2084056118</v>
      </c>
      <c r="B1457" s="18" t="s">
        <v>11743</v>
      </c>
      <c r="C1457" s="18" t="s">
        <v>15466</v>
      </c>
      <c r="D1457" s="5" t="str">
        <f ca="1">IFERROR(__xludf.DUMMYFUNCTION("GOOGLETRANSLATE(B1457,""ja"",""vi"")"),"Birkenstock")</f>
        <v>Birkenstock</v>
      </c>
      <c r="E1457" s="5" t="str">
        <f ca="1">IFERROR(__xludf.DUMMYFUNCTION("GOOGLETRANSLATE(C1457,""ja"",""vi"")"),"Đấu giá&gt; Thời trang&gt; Phụ nữ Giày dép&gt; dép&gt; Birkenstock")</f>
        <v>Đấu giá&gt; Thời trang&gt; Phụ nữ Giày dép&gt; dép&gt; Birkenstock</v>
      </c>
      <c r="F1457" t="str">
        <f t="shared" ca="1" si="22"/>
        <v>"2084056118" : "Birkenstock",</v>
      </c>
    </row>
    <row r="1458" spans="1:6" ht="15.75" customHeight="1">
      <c r="A1458" s="18">
        <v>2084059584</v>
      </c>
      <c r="B1458" s="18" t="s">
        <v>15469</v>
      </c>
      <c r="C1458" s="18" t="s">
        <v>15470</v>
      </c>
      <c r="D1458" s="5" t="str">
        <f ca="1">IFERROR(__xludf.DUMMYFUNCTION("GOOGLETRANSLATE(B1458,""ja"",""vi"")"),"ASICS")</f>
        <v>ASICS</v>
      </c>
      <c r="E1458" s="5" t="str">
        <f ca="1">IFERROR(__xludf.DUMMYFUNCTION("GOOGLETRANSLATE(C1458,""ja"",""vi"")"),"Đấu giá&gt; Thời trang&gt; Giày dép nữ&gt; Sneakers&gt; Asics")</f>
        <v>Đấu giá&gt; Thời trang&gt; Giày dép nữ&gt; Sneakers&gt; Asics</v>
      </c>
      <c r="F1458" t="str">
        <f t="shared" ca="1" si="22"/>
        <v>"2084059584" : "ASICS",</v>
      </c>
    </row>
    <row r="1459" spans="1:6" ht="15.75" customHeight="1">
      <c r="A1459" s="18">
        <v>2084007243</v>
      </c>
      <c r="B1459" s="18" t="s">
        <v>8755</v>
      </c>
      <c r="C1459" s="18" t="s">
        <v>15473</v>
      </c>
      <c r="D1459" s="5" t="str">
        <f ca="1">IFERROR(__xludf.DUMMYFUNCTION("GOOGLETRANSLATE(B1459,""ja"",""vi"")"),"Adidas")</f>
        <v>Adidas</v>
      </c>
      <c r="E1459" s="5" t="str">
        <f ca="1">IFERROR(__xludf.DUMMYFUNCTION("GOOGLETRANSLATE(C1459,""ja"",""vi"")"),"Đấu giá&gt; Thời trang&gt; Giày dép nữ&gt; giày&gt; Adidas")</f>
        <v>Đấu giá&gt; Thời trang&gt; Giày dép nữ&gt; giày&gt; Adidas</v>
      </c>
      <c r="F1459" t="str">
        <f t="shared" ca="1" si="22"/>
        <v>"2084007243" : "Adidas",</v>
      </c>
    </row>
    <row r="1460" spans="1:6" ht="15.75" customHeight="1">
      <c r="A1460" s="18">
        <v>2084007241</v>
      </c>
      <c r="B1460" s="18" t="s">
        <v>15475</v>
      </c>
      <c r="C1460" s="18" t="s">
        <v>15476</v>
      </c>
      <c r="D1460" s="5" t="str">
        <f ca="1">IFERROR(__xludf.DUMMYFUNCTION("GOOGLETRANSLATE(B1460,""ja"",""vi"")"),"Gravis")</f>
        <v>Gravis</v>
      </c>
      <c r="E1460" s="5" t="str">
        <f ca="1">IFERROR(__xludf.DUMMYFUNCTION("GOOGLETRANSLATE(C1460,""ja"",""vi"")"),"Đấu giá&gt; Thời trang&gt; Giày dép nữ&gt; giày&gt; Gravis")</f>
        <v>Đấu giá&gt; Thời trang&gt; Giày dép nữ&gt; giày&gt; Gravis</v>
      </c>
      <c r="F1460" t="str">
        <f t="shared" ca="1" si="22"/>
        <v>"2084007241" : "Gravis",</v>
      </c>
    </row>
    <row r="1461" spans="1:6" ht="15.75" customHeight="1">
      <c r="A1461" s="18">
        <v>2084007244</v>
      </c>
      <c r="B1461" s="18" t="s">
        <v>15479</v>
      </c>
      <c r="C1461" s="18" t="s">
        <v>15480</v>
      </c>
      <c r="D1461" s="5" t="str">
        <f ca="1">IFERROR(__xludf.DUMMYFUNCTION("GOOGLETRANSLATE(B1461,""ja"",""vi"")"),"ngược")</f>
        <v>ngược</v>
      </c>
      <c r="E1461" s="5" t="str">
        <f ca="1">IFERROR(__xludf.DUMMYFUNCTION("GOOGLETRANSLATE(C1461,""ja"",""vi"")"),"Đấu giá&gt; Thời trang&gt; Giày dép nữ&gt; giày&gt; Converse")</f>
        <v>Đấu giá&gt; Thời trang&gt; Giày dép nữ&gt; giày&gt; Converse</v>
      </c>
      <c r="F1461" t="str">
        <f t="shared" ca="1" si="22"/>
        <v>"2084007244" : "ngược",</v>
      </c>
    </row>
    <row r="1462" spans="1:6" ht="15.75" customHeight="1">
      <c r="A1462" s="18">
        <v>2084007810</v>
      </c>
      <c r="B1462" s="18" t="s">
        <v>15482</v>
      </c>
      <c r="C1462" s="18" t="s">
        <v>15484</v>
      </c>
      <c r="D1462" s="5" t="str">
        <f ca="1">IFERROR(__xludf.DUMMYFUNCTION("GOOGLETRANSLATE(B1462,""ja"",""vi"")"),"Skechers")</f>
        <v>Skechers</v>
      </c>
      <c r="E1462" s="5" t="str">
        <f ca="1">IFERROR(__xludf.DUMMYFUNCTION("GOOGLETRANSLATE(C1462,""ja"",""vi"")"),"Đấu giá&gt; Thời trang&gt; Phụ nữ giày&gt; giày&gt; Skechers")</f>
        <v>Đấu giá&gt; Thời trang&gt; Phụ nữ giày&gt; giày&gt; Skechers</v>
      </c>
      <c r="F1462" t="str">
        <f t="shared" ca="1" si="22"/>
        <v>"2084007810" : "Skechers",</v>
      </c>
    </row>
    <row r="1463" spans="1:6" ht="15.75" customHeight="1">
      <c r="A1463" s="18">
        <v>2084007246</v>
      </c>
      <c r="B1463" s="18" t="s">
        <v>11145</v>
      </c>
      <c r="C1463" s="18" t="s">
        <v>15486</v>
      </c>
      <c r="D1463" s="5" t="str">
        <f ca="1">IFERROR(__xludf.DUMMYFUNCTION("GOOGLETRANSLATE(B1463,""ja"",""vi"")"),"Nike")</f>
        <v>Nike</v>
      </c>
      <c r="E1463" s="5" t="str">
        <f ca="1">IFERROR(__xludf.DUMMYFUNCTION("GOOGLETRANSLATE(C1463,""ja"",""vi"")"),"Đấu giá&gt; Thời trang&gt; Phụ nữ giày&gt; giày&gt; Nike")</f>
        <v>Đấu giá&gt; Thời trang&gt; Phụ nữ giày&gt; giày&gt; Nike</v>
      </c>
      <c r="F1463" t="str">
        <f t="shared" ca="1" si="22"/>
        <v>"2084007246" : "Nike",</v>
      </c>
    </row>
    <row r="1464" spans="1:6" ht="15.75" customHeight="1">
      <c r="A1464" s="18">
        <v>2084007245</v>
      </c>
      <c r="B1464" s="18" t="s">
        <v>15488</v>
      </c>
      <c r="C1464" s="18" t="s">
        <v>15489</v>
      </c>
      <c r="D1464" s="5" t="str">
        <f ca="1">IFERROR(__xludf.DUMMYFUNCTION("GOOGLETRANSLATE(B1464,""ja"",""vi"")"),"New Balance")</f>
        <v>New Balance</v>
      </c>
      <c r="E1464" s="5" t="str">
        <f ca="1">IFERROR(__xludf.DUMMYFUNCTION("GOOGLETRANSLATE(C1464,""ja"",""vi"")"),"Đấu giá&gt; Thời trang&gt; Phụ nữ giày&gt; giày&gt; New Balance")</f>
        <v>Đấu giá&gt; Thời trang&gt; Phụ nữ giày&gt; giày&gt; New Balance</v>
      </c>
      <c r="F1464" t="str">
        <f t="shared" ca="1" si="22"/>
        <v>"2084007245" : "New Balance",</v>
      </c>
    </row>
    <row r="1465" spans="1:6" ht="15.75" customHeight="1">
      <c r="A1465" s="18">
        <v>2084007806</v>
      </c>
      <c r="B1465" s="18" t="s">
        <v>15492</v>
      </c>
      <c r="C1465" s="18" t="s">
        <v>15494</v>
      </c>
      <c r="D1465" s="5" t="str">
        <f ca="1">IFERROR(__xludf.DUMMYFUNCTION("GOOGLETRANSLATE(B1465,""ja"",""vi"")"),"Vans")</f>
        <v>Vans</v>
      </c>
      <c r="E1465" s="5" t="str">
        <f ca="1">IFERROR(__xludf.DUMMYFUNCTION("GOOGLETRANSLATE(C1465,""ja"",""vi"")"),"Đấu giá&gt; Thời trang&gt; Phụ nữ giày&gt; giày&gt; Vans")</f>
        <v>Đấu giá&gt; Thời trang&gt; Phụ nữ giày&gt; giày&gt; Vans</v>
      </c>
      <c r="F1465" t="str">
        <f t="shared" ca="1" si="22"/>
        <v>"2084007806" : "Vans",</v>
      </c>
    </row>
    <row r="1466" spans="1:6" ht="15.75" customHeight="1">
      <c r="A1466" s="18">
        <v>2084259137</v>
      </c>
      <c r="B1466" s="18" t="s">
        <v>15498</v>
      </c>
      <c r="C1466" s="18" t="s">
        <v>15499</v>
      </c>
      <c r="D1466" s="5" t="str">
        <f ca="1">IFERROR(__xludf.DUMMYFUNCTION("GOOGLETRANSLATE(B1466,""ja"",""vi"")"),"Patrick")</f>
        <v>Patrick</v>
      </c>
      <c r="E1466" s="5" t="str">
        <f ca="1">IFERROR(__xludf.DUMMYFUNCTION("GOOGLETRANSLATE(C1466,""ja"",""vi"")"),"Đấu giá&gt; Thời trang&gt; Phụ nữ giày&gt; giày&gt; Patrick")</f>
        <v>Đấu giá&gt; Thời trang&gt; Phụ nữ giày&gt; giày&gt; Patrick</v>
      </c>
      <c r="F1466" t="str">
        <f t="shared" ca="1" si="22"/>
        <v>"2084259137" : "Patrick",</v>
      </c>
    </row>
    <row r="1467" spans="1:6" ht="15.75" customHeight="1">
      <c r="A1467" s="18">
        <v>2084007240</v>
      </c>
      <c r="B1467" s="18" t="s">
        <v>11887</v>
      </c>
      <c r="C1467" s="18" t="s">
        <v>15503</v>
      </c>
      <c r="D1467" s="5" t="str">
        <f ca="1">IFERROR(__xludf.DUMMYFUNCTION("GOOGLETRANSLATE(B1467,""ja"",""vi"")"),"giống cọp ở mỹ")</f>
        <v>giống cọp ở mỹ</v>
      </c>
      <c r="E1467" s="5" t="str">
        <f ca="1">IFERROR(__xludf.DUMMYFUNCTION("GOOGLETRANSLATE(C1467,""ja"",""vi"")"),"Đấu giá&gt; Thời trang&gt; Phụ nữ giày&gt; giày&gt; Puma")</f>
        <v>Đấu giá&gt; Thời trang&gt; Phụ nữ giày&gt; giày&gt; Puma</v>
      </c>
      <c r="F1467" t="str">
        <f t="shared" ca="1" si="22"/>
        <v>"2084007240" : "giống cọp ở mỹ",</v>
      </c>
    </row>
    <row r="1468" spans="1:6" ht="15.75" customHeight="1">
      <c r="A1468" s="18">
        <v>2084007808</v>
      </c>
      <c r="B1468" s="18" t="s">
        <v>15507</v>
      </c>
      <c r="C1468" s="18" t="s">
        <v>15508</v>
      </c>
      <c r="D1468" s="5" t="str">
        <f ca="1">IFERROR(__xludf.DUMMYFUNCTION("GOOGLETRANSLATE(B1468,""ja"",""vi"")"),"Purokezzu")</f>
        <v>Purokezzu</v>
      </c>
      <c r="E1468" s="5" t="str">
        <f ca="1">IFERROR(__xludf.DUMMYFUNCTION("GOOGLETRANSLATE(C1468,""ja"",""vi"")"),"Đấu giá&gt; Thời trang&gt; Giày dép nữ&gt; giày&gt; Purokezzu")</f>
        <v>Đấu giá&gt; Thời trang&gt; Giày dép nữ&gt; giày&gt; Purokezzu</v>
      </c>
      <c r="F1468" t="str">
        <f t="shared" ca="1" si="22"/>
        <v>"2084007808" : "Purokezzu",</v>
      </c>
    </row>
    <row r="1469" spans="1:6" ht="15.75" customHeight="1">
      <c r="A1469" s="18">
        <v>2084007239</v>
      </c>
      <c r="B1469" s="18" t="s">
        <v>15511</v>
      </c>
      <c r="C1469" s="18" t="s">
        <v>15513</v>
      </c>
      <c r="D1469" s="5" t="str">
        <f ca="1">IFERROR(__xludf.DUMMYFUNCTION("GOOGLETRANSLATE(B1469,""ja"",""vi"")"),"Reebok")</f>
        <v>Reebok</v>
      </c>
      <c r="E1469" s="5" t="str">
        <f ca="1">IFERROR(__xludf.DUMMYFUNCTION("GOOGLETRANSLATE(C1469,""ja"",""vi"")"),"Đấu giá&gt; Thời trang&gt; Phụ nữ Giày dép&gt; Sneakers&gt; Reebok")</f>
        <v>Đấu giá&gt; Thời trang&gt; Phụ nữ Giày dép&gt; Sneakers&gt; Reebok</v>
      </c>
      <c r="F1469" t="str">
        <f t="shared" ca="1" si="22"/>
        <v>"2084007239" : "Reebok",</v>
      </c>
    </row>
    <row r="1470" spans="1:6" ht="15.75" customHeight="1">
      <c r="A1470" s="18">
        <v>2084007242</v>
      </c>
      <c r="B1470" s="18" t="s">
        <v>46</v>
      </c>
      <c r="C1470" s="18" t="s">
        <v>15517</v>
      </c>
      <c r="D1470" s="5" t="str">
        <f ca="1">IFERROR(__xludf.DUMMYFUNCTION("GOOGLETRANSLATE(B1470,""ja"",""vi"")"),"nếu không thì")</f>
        <v>nếu không thì</v>
      </c>
      <c r="E1470" s="5" t="str">
        <f ca="1">IFERROR(__xludf.DUMMYFUNCTION("GOOGLETRANSLATE(C1470,""ja"",""vi"")"),"Đấu giá&gt; Thời trang&gt; Giày dép nữ&gt; giày&gt; Khác")</f>
        <v>Đấu giá&gt; Thời trang&gt; Giày dép nữ&gt; giày&gt; Khác</v>
      </c>
      <c r="F1470" t="str">
        <f t="shared" ca="1" si="22"/>
        <v>"2084007242" : "nếu không thì",</v>
      </c>
    </row>
    <row r="1471" spans="1:6" ht="15.75" customHeight="1">
      <c r="A1471" s="18">
        <v>2084259210</v>
      </c>
      <c r="B1471" s="18" t="s">
        <v>15434</v>
      </c>
      <c r="C1471" s="18" t="s">
        <v>15521</v>
      </c>
      <c r="D1471" s="5" t="str">
        <f ca="1">IFERROR(__xludf.DUMMYFUNCTION("GOOGLETRANSLATE(B1471,""ja"",""vi"")"),"22.0cm dưới đây")</f>
        <v>22.0cm dưới đây</v>
      </c>
      <c r="E1471" s="5" t="str">
        <f ca="1">IFERROR(__xludf.DUMMYFUNCTION("GOOGLETRANSLATE(C1471,""ja"",""vi"")"),"Đấu giá&gt; Thời trang&gt; Giày dép nữ&gt; giày múa ba lê&gt; 22.0cm dưới đây")</f>
        <v>Đấu giá&gt; Thời trang&gt; Giày dép nữ&gt; giày múa ba lê&gt; 22.0cm dưới đây</v>
      </c>
      <c r="F1471" t="str">
        <f t="shared" ca="1" si="22"/>
        <v>"2084259210" : "22.0cm dưới đây",</v>
      </c>
    </row>
    <row r="1472" spans="1:6" ht="15.75" customHeight="1">
      <c r="A1472" s="18">
        <v>2084259211</v>
      </c>
      <c r="B1472" s="18" t="s">
        <v>15437</v>
      </c>
      <c r="C1472" s="18" t="s">
        <v>15525</v>
      </c>
      <c r="D1472" s="5" t="str">
        <f ca="1">IFERROR(__xludf.DUMMYFUNCTION("GOOGLETRANSLATE(B1472,""ja"",""vi"")"),"22.5cm")</f>
        <v>22.5cm</v>
      </c>
      <c r="E1472" s="5" t="str">
        <f ca="1">IFERROR(__xludf.DUMMYFUNCTION("GOOGLETRANSLATE(C1472,""ja"",""vi"")"),"Đấu giá&gt; Thời trang&gt; Giày dép nữ&gt; giày múa ba lê&gt; 22.5cm")</f>
        <v>Đấu giá&gt; Thời trang&gt; Giày dép nữ&gt; giày múa ba lê&gt; 22.5cm</v>
      </c>
      <c r="F1472" t="str">
        <f t="shared" ca="1" si="22"/>
        <v>"2084259211" : "22.5cm",</v>
      </c>
    </row>
    <row r="1473" spans="1:6" ht="15.75" customHeight="1">
      <c r="A1473" s="18">
        <v>2084259212</v>
      </c>
      <c r="B1473" s="18" t="s">
        <v>15440</v>
      </c>
      <c r="C1473" s="18" t="s">
        <v>15529</v>
      </c>
      <c r="D1473" s="5" t="str">
        <f ca="1">IFERROR(__xludf.DUMMYFUNCTION("GOOGLETRANSLATE(B1473,""ja"",""vi"")"),"23.0cm")</f>
        <v>23.0cm</v>
      </c>
      <c r="E1473" s="5" t="str">
        <f ca="1">IFERROR(__xludf.DUMMYFUNCTION("GOOGLETRANSLATE(C1473,""ja"",""vi"")"),"Đấu giá&gt; Thời trang&gt; Giày dép nữ&gt; giày múa ba lê&gt; 23.0cm")</f>
        <v>Đấu giá&gt; Thời trang&gt; Giày dép nữ&gt; giày múa ba lê&gt; 23.0cm</v>
      </c>
      <c r="F1473" t="str">
        <f t="shared" ca="1" si="22"/>
        <v>"2084259212" : "23.0cm",</v>
      </c>
    </row>
    <row r="1474" spans="1:6" ht="15.75" customHeight="1">
      <c r="A1474" s="18">
        <v>2084259213</v>
      </c>
      <c r="B1474" s="18" t="s">
        <v>15443</v>
      </c>
      <c r="C1474" s="18" t="s">
        <v>15531</v>
      </c>
      <c r="D1474" s="5" t="str">
        <f ca="1">IFERROR(__xludf.DUMMYFUNCTION("GOOGLETRANSLATE(B1474,""ja"",""vi"")"),"23.5cm")</f>
        <v>23.5cm</v>
      </c>
      <c r="E1474" s="5" t="str">
        <f ca="1">IFERROR(__xludf.DUMMYFUNCTION("GOOGLETRANSLATE(C1474,""ja"",""vi"")"),"Đấu giá&gt; Thời trang&gt; Giày dép nữ&gt; giày múa ba lê&gt; 23.5cm")</f>
        <v>Đấu giá&gt; Thời trang&gt; Giày dép nữ&gt; giày múa ba lê&gt; 23.5cm</v>
      </c>
      <c r="F1474" t="str">
        <f t="shared" ref="F1474:F1537" ca="1" si="23">CONCATENATE(CHAR(34)&amp;"",A1474,""&amp;CHAR(34)," : ", CHAR(34)&amp;"",D1474,""&amp;CHAR(34),",")</f>
        <v>"2084259213" : "23.5cm",</v>
      </c>
    </row>
    <row r="1475" spans="1:6" ht="15.75" customHeight="1">
      <c r="A1475" s="18">
        <v>2084259214</v>
      </c>
      <c r="B1475" s="18" t="s">
        <v>15446</v>
      </c>
      <c r="C1475" s="18" t="s">
        <v>15534</v>
      </c>
      <c r="D1475" s="5" t="str">
        <f ca="1">IFERROR(__xludf.DUMMYFUNCTION("GOOGLETRANSLATE(B1475,""ja"",""vi"")"),"24.0cm")</f>
        <v>24.0cm</v>
      </c>
      <c r="E1475" s="5" t="str">
        <f ca="1">IFERROR(__xludf.DUMMYFUNCTION("GOOGLETRANSLATE(C1475,""ja"",""vi"")"),"Đấu giá&gt; Thời trang&gt; Giày dép nữ&gt; giày múa ba lê&gt; 24.0cm")</f>
        <v>Đấu giá&gt; Thời trang&gt; Giày dép nữ&gt; giày múa ba lê&gt; 24.0cm</v>
      </c>
      <c r="F1475" t="str">
        <f t="shared" ca="1" si="23"/>
        <v>"2084259214" : "24.0cm",</v>
      </c>
    </row>
    <row r="1476" spans="1:6" ht="15.75" customHeight="1">
      <c r="A1476" s="18">
        <v>2084259215</v>
      </c>
      <c r="B1476" s="18" t="s">
        <v>15449</v>
      </c>
      <c r="C1476" s="18" t="s">
        <v>15537</v>
      </c>
      <c r="D1476" s="5" t="str">
        <f ca="1">IFERROR(__xludf.DUMMYFUNCTION("GOOGLETRANSLATE(B1476,""ja"",""vi"")"),"24.5cm")</f>
        <v>24.5cm</v>
      </c>
      <c r="E1476" s="5" t="str">
        <f ca="1">IFERROR(__xludf.DUMMYFUNCTION("GOOGLETRANSLATE(C1476,""ja"",""vi"")"),"Đấu giá&gt; Thời trang&gt; Giày dép nữ&gt; giày múa ba lê&gt; 24.5cm")</f>
        <v>Đấu giá&gt; Thời trang&gt; Giày dép nữ&gt; giày múa ba lê&gt; 24.5cm</v>
      </c>
      <c r="F1476" t="str">
        <f t="shared" ca="1" si="23"/>
        <v>"2084259215" : "24.5cm",</v>
      </c>
    </row>
    <row r="1477" spans="1:6" ht="15.75" customHeight="1">
      <c r="A1477" s="18">
        <v>2084259216</v>
      </c>
      <c r="B1477" s="18" t="s">
        <v>15453</v>
      </c>
      <c r="C1477" s="18" t="s">
        <v>15540</v>
      </c>
      <c r="D1477" s="5" t="str">
        <f ca="1">IFERROR(__xludf.DUMMYFUNCTION("GOOGLETRANSLATE(B1477,""ja"",""vi"")"),"25,0cm")</f>
        <v>25,0cm</v>
      </c>
      <c r="E1477" s="5" t="str">
        <f ca="1">IFERROR(__xludf.DUMMYFUNCTION("GOOGLETRANSLATE(C1477,""ja"",""vi"")"),"Đấu giá&gt; Thời trang&gt; Giày dép nữ&gt; giày múa ba lê&gt; 25,0cm")</f>
        <v>Đấu giá&gt; Thời trang&gt; Giày dép nữ&gt; giày múa ba lê&gt; 25,0cm</v>
      </c>
      <c r="F1477" t="str">
        <f t="shared" ca="1" si="23"/>
        <v>"2084259216" : "25,0cm",</v>
      </c>
    </row>
    <row r="1478" spans="1:6" ht="15.75" customHeight="1">
      <c r="A1478" s="18">
        <v>2084259217</v>
      </c>
      <c r="B1478" s="18" t="s">
        <v>15457</v>
      </c>
      <c r="C1478" s="18" t="s">
        <v>15542</v>
      </c>
      <c r="D1478" s="5" t="str">
        <f ca="1">IFERROR(__xludf.DUMMYFUNCTION("GOOGLETRANSLATE(B1478,""ja"",""vi"")"),"25.5cm")</f>
        <v>25.5cm</v>
      </c>
      <c r="E1478" s="5" t="str">
        <f ca="1">IFERROR(__xludf.DUMMYFUNCTION("GOOGLETRANSLATE(C1478,""ja"",""vi"")"),"Đấu giá&gt; Thời trang&gt; Giày dép nữ&gt; giày múa ba lê&gt; 25.5cm")</f>
        <v>Đấu giá&gt; Thời trang&gt; Giày dép nữ&gt; giày múa ba lê&gt; 25.5cm</v>
      </c>
      <c r="F1478" t="str">
        <f t="shared" ca="1" si="23"/>
        <v>"2084259217" : "25.5cm",</v>
      </c>
    </row>
    <row r="1479" spans="1:6" ht="15.75" customHeight="1">
      <c r="A1479" s="18">
        <v>2084259218</v>
      </c>
      <c r="B1479" s="18" t="s">
        <v>15461</v>
      </c>
      <c r="C1479" s="18" t="s">
        <v>15545</v>
      </c>
      <c r="D1479" s="5" t="str">
        <f ca="1">IFERROR(__xludf.DUMMYFUNCTION("GOOGLETRANSLATE(B1479,""ja"",""vi"")"),"Hơn 26.0cm")</f>
        <v>Hơn 26.0cm</v>
      </c>
      <c r="E1479" s="5" t="str">
        <f ca="1">IFERROR(__xludf.DUMMYFUNCTION("GOOGLETRANSLATE(C1479,""ja"",""vi"")"),"Đấu giá&gt; Thời trang&gt; Giày dép nữ&gt; giày múa ba lê&gt; 26.0cm hơn")</f>
        <v>Đấu giá&gt; Thời trang&gt; Giày dép nữ&gt; giày múa ba lê&gt; 26.0cm hơn</v>
      </c>
      <c r="F1479" t="str">
        <f t="shared" ca="1" si="23"/>
        <v>"2084259218" : "Hơn 26.0cm",</v>
      </c>
    </row>
    <row r="1480" spans="1:6" ht="15.75" customHeight="1">
      <c r="A1480" s="18">
        <v>2084007847</v>
      </c>
      <c r="B1480" s="18" t="s">
        <v>15434</v>
      </c>
      <c r="C1480" s="18" t="s">
        <v>15547</v>
      </c>
      <c r="D1480" s="5" t="str">
        <f ca="1">IFERROR(__xludf.DUMMYFUNCTION("GOOGLETRANSLATE(B1480,""ja"",""vi"")"),"22.0cm dưới đây")</f>
        <v>22.0cm dưới đây</v>
      </c>
      <c r="E1480" s="5" t="str">
        <f ca="1">IFERROR(__xludf.DUMMYFUNCTION("GOOGLETRANSLATE(C1480,""ja"",""vi"")"),"Đấu giá&gt; Thời trang&gt; Giày dép nữ&gt; bơm&gt; 22.0cm dưới đây")</f>
        <v>Đấu giá&gt; Thời trang&gt; Giày dép nữ&gt; bơm&gt; 22.0cm dưới đây</v>
      </c>
      <c r="F1480" t="str">
        <f t="shared" ca="1" si="23"/>
        <v>"2084007847" : "22.0cm dưới đây",</v>
      </c>
    </row>
    <row r="1481" spans="1:6" ht="15.75" customHeight="1">
      <c r="A1481" s="18">
        <v>2084007848</v>
      </c>
      <c r="B1481" s="18" t="s">
        <v>15437</v>
      </c>
      <c r="C1481" s="18" t="s">
        <v>15549</v>
      </c>
      <c r="D1481" s="5" t="str">
        <f ca="1">IFERROR(__xludf.DUMMYFUNCTION("GOOGLETRANSLATE(B1481,""ja"",""vi"")"),"22.5cm")</f>
        <v>22.5cm</v>
      </c>
      <c r="E1481" s="5" t="str">
        <f ca="1">IFERROR(__xludf.DUMMYFUNCTION("GOOGLETRANSLATE(C1481,""ja"",""vi"")"),"Đấu giá&gt; Thời trang&gt; Giày dép nữ&gt; bơm&gt; 22.5cm")</f>
        <v>Đấu giá&gt; Thời trang&gt; Giày dép nữ&gt; bơm&gt; 22.5cm</v>
      </c>
      <c r="F1481" t="str">
        <f t="shared" ca="1" si="23"/>
        <v>"2084007848" : "22.5cm",</v>
      </c>
    </row>
    <row r="1482" spans="1:6" ht="15.75" customHeight="1">
      <c r="A1482" s="18">
        <v>2084007849</v>
      </c>
      <c r="B1482" s="18" t="s">
        <v>15440</v>
      </c>
      <c r="C1482" s="18" t="s">
        <v>15552</v>
      </c>
      <c r="D1482" s="5" t="str">
        <f ca="1">IFERROR(__xludf.DUMMYFUNCTION("GOOGLETRANSLATE(B1482,""ja"",""vi"")"),"23.0cm")</f>
        <v>23.0cm</v>
      </c>
      <c r="E1482" s="5" t="str">
        <f ca="1">IFERROR(__xludf.DUMMYFUNCTION("GOOGLETRANSLATE(C1482,""ja"",""vi"")"),"Đấu giá&gt; Thời trang&gt; Giày dép nữ&gt; bơm&gt; 23.0cm")</f>
        <v>Đấu giá&gt; Thời trang&gt; Giày dép nữ&gt; bơm&gt; 23.0cm</v>
      </c>
      <c r="F1482" t="str">
        <f t="shared" ca="1" si="23"/>
        <v>"2084007849" : "23.0cm",</v>
      </c>
    </row>
    <row r="1483" spans="1:6" ht="15.75" customHeight="1">
      <c r="A1483" s="18">
        <v>2084007850</v>
      </c>
      <c r="B1483" s="18" t="s">
        <v>15443</v>
      </c>
      <c r="C1483" s="18" t="s">
        <v>15555</v>
      </c>
      <c r="D1483" s="5" t="str">
        <f ca="1">IFERROR(__xludf.DUMMYFUNCTION("GOOGLETRANSLATE(B1483,""ja"",""vi"")"),"23.5cm")</f>
        <v>23.5cm</v>
      </c>
      <c r="E1483" s="5" t="str">
        <f ca="1">IFERROR(__xludf.DUMMYFUNCTION("GOOGLETRANSLATE(C1483,""ja"",""vi"")"),"Đấu giá&gt; Thời trang&gt; Giày dép nữ&gt; bơm&gt; 23.5cm")</f>
        <v>Đấu giá&gt; Thời trang&gt; Giày dép nữ&gt; bơm&gt; 23.5cm</v>
      </c>
      <c r="F1483" t="str">
        <f t="shared" ca="1" si="23"/>
        <v>"2084007850" : "23.5cm",</v>
      </c>
    </row>
    <row r="1484" spans="1:6" ht="15.75" customHeight="1">
      <c r="A1484" s="18">
        <v>2084007851</v>
      </c>
      <c r="B1484" s="18" t="s">
        <v>15446</v>
      </c>
      <c r="C1484" s="18" t="s">
        <v>15558</v>
      </c>
      <c r="D1484" s="5" t="str">
        <f ca="1">IFERROR(__xludf.DUMMYFUNCTION("GOOGLETRANSLATE(B1484,""ja"",""vi"")"),"24.0cm")</f>
        <v>24.0cm</v>
      </c>
      <c r="E1484" s="5" t="str">
        <f ca="1">IFERROR(__xludf.DUMMYFUNCTION("GOOGLETRANSLATE(C1484,""ja"",""vi"")"),"Đấu giá&gt; Thời trang&gt; Giày dép nữ&gt; bơm&gt; 24.0cm")</f>
        <v>Đấu giá&gt; Thời trang&gt; Giày dép nữ&gt; bơm&gt; 24.0cm</v>
      </c>
      <c r="F1484" t="str">
        <f t="shared" ca="1" si="23"/>
        <v>"2084007851" : "24.0cm",</v>
      </c>
    </row>
    <row r="1485" spans="1:6" ht="15.75" customHeight="1">
      <c r="A1485" s="18">
        <v>2084007852</v>
      </c>
      <c r="B1485" s="18" t="s">
        <v>15449</v>
      </c>
      <c r="C1485" s="18" t="s">
        <v>15561</v>
      </c>
      <c r="D1485" s="5" t="str">
        <f ca="1">IFERROR(__xludf.DUMMYFUNCTION("GOOGLETRANSLATE(B1485,""ja"",""vi"")"),"24.5cm")</f>
        <v>24.5cm</v>
      </c>
      <c r="E1485" s="5" t="str">
        <f ca="1">IFERROR(__xludf.DUMMYFUNCTION("GOOGLETRANSLATE(C1485,""ja"",""vi"")"),"Đấu giá&gt; Thời trang&gt; Giày dép nữ&gt; bơm&gt; 24.5cm")</f>
        <v>Đấu giá&gt; Thời trang&gt; Giày dép nữ&gt; bơm&gt; 24.5cm</v>
      </c>
      <c r="F1485" t="str">
        <f t="shared" ca="1" si="23"/>
        <v>"2084007852" : "24.5cm",</v>
      </c>
    </row>
    <row r="1486" spans="1:6" ht="15.75" customHeight="1">
      <c r="A1486" s="18">
        <v>2084007853</v>
      </c>
      <c r="B1486" s="18" t="s">
        <v>15453</v>
      </c>
      <c r="C1486" s="18" t="s">
        <v>15563</v>
      </c>
      <c r="D1486" s="5" t="str">
        <f ca="1">IFERROR(__xludf.DUMMYFUNCTION("GOOGLETRANSLATE(B1486,""ja"",""vi"")"),"25,0cm")</f>
        <v>25,0cm</v>
      </c>
      <c r="E1486" s="5" t="str">
        <f ca="1">IFERROR(__xludf.DUMMYFUNCTION("GOOGLETRANSLATE(C1486,""ja"",""vi"")"),"Đấu giá&gt; Thời trang&gt; Giày dép nữ&gt; bơm&gt; 25,0cm")</f>
        <v>Đấu giá&gt; Thời trang&gt; Giày dép nữ&gt; bơm&gt; 25,0cm</v>
      </c>
      <c r="F1486" t="str">
        <f t="shared" ca="1" si="23"/>
        <v>"2084007853" : "25,0cm",</v>
      </c>
    </row>
    <row r="1487" spans="1:6" ht="15.75" customHeight="1">
      <c r="A1487" s="18">
        <v>2084007854</v>
      </c>
      <c r="B1487" s="18" t="s">
        <v>15457</v>
      </c>
      <c r="C1487" s="18" t="s">
        <v>15566</v>
      </c>
      <c r="D1487" s="5" t="str">
        <f ca="1">IFERROR(__xludf.DUMMYFUNCTION("GOOGLETRANSLATE(B1487,""ja"",""vi"")"),"25.5cm")</f>
        <v>25.5cm</v>
      </c>
      <c r="E1487" s="5" t="str">
        <f ca="1">IFERROR(__xludf.DUMMYFUNCTION("GOOGLETRANSLATE(C1487,""ja"",""vi"")"),"Đấu giá&gt; Thời trang&gt; Giày dép nữ&gt; bơm&gt; 25.5cm")</f>
        <v>Đấu giá&gt; Thời trang&gt; Giày dép nữ&gt; bơm&gt; 25.5cm</v>
      </c>
      <c r="F1487" t="str">
        <f t="shared" ca="1" si="23"/>
        <v>"2084007854" : "25.5cm",</v>
      </c>
    </row>
    <row r="1488" spans="1:6" ht="15.75" customHeight="1">
      <c r="A1488" s="18">
        <v>2084007855</v>
      </c>
      <c r="B1488" s="18" t="s">
        <v>15461</v>
      </c>
      <c r="C1488" s="18" t="s">
        <v>15569</v>
      </c>
      <c r="D1488" s="5" t="str">
        <f ca="1">IFERROR(__xludf.DUMMYFUNCTION("GOOGLETRANSLATE(B1488,""ja"",""vi"")"),"Hơn 26.0cm")</f>
        <v>Hơn 26.0cm</v>
      </c>
      <c r="E1488" s="5" t="str">
        <f ca="1">IFERROR(__xludf.DUMMYFUNCTION("GOOGLETRANSLATE(C1488,""ja"",""vi"")"),"Đấu giá&gt; Thời trang&gt; Giày dép nữ&gt; bơm&gt; 26.0cm hơn")</f>
        <v>Đấu giá&gt; Thời trang&gt; Giày dép nữ&gt; bơm&gt; 26.0cm hơn</v>
      </c>
      <c r="F1488" t="str">
        <f t="shared" ca="1" si="23"/>
        <v>"2084007855" : "Hơn 26.0cm",</v>
      </c>
    </row>
    <row r="1489" spans="1:6" ht="15.75" customHeight="1">
      <c r="A1489" s="18">
        <v>2084309032</v>
      </c>
      <c r="B1489" s="18" t="s">
        <v>15571</v>
      </c>
      <c r="C1489" s="18" t="s">
        <v>15572</v>
      </c>
      <c r="D1489" s="5" t="str">
        <f ca="1">IFERROR(__xludf.DUMMYFUNCTION("GOOGLETRANSLATE(B1489,""ja"",""vi"")"),"Booties")</f>
        <v>Booties</v>
      </c>
      <c r="E1489" s="5" t="str">
        <f ca="1">IFERROR(__xludf.DUMMYFUNCTION("GOOGLETRANSLATE(C1489,""ja"",""vi"")"),"Đấu giá&gt; Thời trang&gt; Phụ nữ Giày dép&gt; Boots&gt; Booties")</f>
        <v>Đấu giá&gt; Thời trang&gt; Phụ nữ Giày dép&gt; Boots&gt; Booties</v>
      </c>
      <c r="F1489" t="str">
        <f t="shared" ca="1" si="23"/>
        <v>"2084309032" : "Booties",</v>
      </c>
    </row>
    <row r="1490" spans="1:6" ht="15.75" customHeight="1">
      <c r="A1490" s="18">
        <v>2084005501</v>
      </c>
      <c r="B1490" s="18" t="s">
        <v>15574</v>
      </c>
      <c r="C1490" s="18" t="s">
        <v>15576</v>
      </c>
      <c r="D1490" s="5" t="str">
        <f ca="1">IFERROR(__xludf.DUMMYFUNCTION("GOOGLETRANSLATE(B1490,""ja"",""vi"")"),"khởi động ngắn")</f>
        <v>khởi động ngắn</v>
      </c>
      <c r="E1490" s="5" t="str">
        <f ca="1">IFERROR(__xludf.DUMMYFUNCTION("GOOGLETRANSLATE(C1490,""ja"",""vi"")"),"Đấu giá&gt; Thời trang&gt; Giày dép nữ&gt; giày&gt; khởi động ngắn")</f>
        <v>Đấu giá&gt; Thời trang&gt; Giày dép nữ&gt; giày&gt; khởi động ngắn</v>
      </c>
      <c r="F1490" t="str">
        <f t="shared" ca="1" si="23"/>
        <v>"2084005501" : "khởi động ngắn",</v>
      </c>
    </row>
    <row r="1491" spans="1:6" ht="15.75" customHeight="1">
      <c r="A1491" s="18">
        <v>2084005500</v>
      </c>
      <c r="B1491" s="18" t="s">
        <v>15578</v>
      </c>
      <c r="C1491" s="18" t="s">
        <v>15579</v>
      </c>
      <c r="D1491" s="5" t="str">
        <f ca="1">IFERROR(__xludf.DUMMYFUNCTION("GOOGLETRANSLATE(B1491,""ja"",""vi"")"),"khởi động lâu")</f>
        <v>khởi động lâu</v>
      </c>
      <c r="E1491" s="5" t="str">
        <f ca="1">IFERROR(__xludf.DUMMYFUNCTION("GOOGLETRANSLATE(C1491,""ja"",""vi"")"),"Đấu giá&gt; Thời trang&gt; Phụ nữ Giày dép&gt; Boots&gt; Boots")</f>
        <v>Đấu giá&gt; Thời trang&gt; Phụ nữ Giày dép&gt; Boots&gt; Boots</v>
      </c>
      <c r="F1491" t="str">
        <f t="shared" ca="1" si="23"/>
        <v>"2084005500" : "khởi động lâu",</v>
      </c>
    </row>
    <row r="1492" spans="1:6" ht="15.75" customHeight="1">
      <c r="A1492" s="18">
        <v>2084309034</v>
      </c>
      <c r="B1492" s="18" t="s">
        <v>15582</v>
      </c>
      <c r="C1492" s="18" t="s">
        <v>15583</v>
      </c>
      <c r="D1492" s="5" t="str">
        <f ca="1">IFERROR(__xludf.DUMMYFUNCTION("GOOGLETRANSLATE(B1492,""ja"",""vi"")"),"bốt cao đến đầu gối")</f>
        <v>bốt cao đến đầu gối</v>
      </c>
      <c r="E1492" s="5" t="str">
        <f ca="1">IFERROR(__xludf.DUMMYFUNCTION("GOOGLETRANSLATE(C1492,""ja"",""vi"")"),"Đấu giá&gt; Thời trang&gt; Giày dép nữ&gt; giày&gt; gối bốt cao")</f>
        <v>Đấu giá&gt; Thời trang&gt; Giày dép nữ&gt; giày&gt; gối bốt cao</v>
      </c>
      <c r="F1492" t="str">
        <f t="shared" ca="1" si="23"/>
        <v>"2084309034" : "bốt cao đến đầu gối",</v>
      </c>
    </row>
    <row r="1493" spans="1:6" ht="15.75" customHeight="1">
      <c r="A1493" s="18">
        <v>2084238681</v>
      </c>
      <c r="B1493" s="18" t="s">
        <v>15587</v>
      </c>
      <c r="C1493" s="18" t="s">
        <v>15589</v>
      </c>
      <c r="D1493" s="5" t="str">
        <f ca="1">IFERROR(__xludf.DUMMYFUNCTION("GOOGLETRANSLATE(B1493,""ja"",""vi"")"),"UGG")</f>
        <v>UGG</v>
      </c>
      <c r="E1493" s="5" t="str">
        <f ca="1">IFERROR(__xludf.DUMMYFUNCTION("GOOGLETRANSLATE(C1493,""ja"",""vi"")"),"Đấu giá&gt; Thời trang&gt; Phụ nữ Giày dép&gt; Boots&gt; UGG")</f>
        <v>Đấu giá&gt; Thời trang&gt; Phụ nữ Giày dép&gt; Boots&gt; UGG</v>
      </c>
      <c r="F1493" t="str">
        <f t="shared" ca="1" si="23"/>
        <v>"2084238681" : "UGG",</v>
      </c>
    </row>
    <row r="1494" spans="1:6" ht="15.75" customHeight="1">
      <c r="A1494" s="18">
        <v>2084244365</v>
      </c>
      <c r="B1494" s="18" t="s">
        <v>15592</v>
      </c>
      <c r="C1494" s="18" t="s">
        <v>15595</v>
      </c>
      <c r="D1494" s="5" t="str">
        <f ca="1">IFERROR(__xludf.DUMMYFUNCTION("GOOGLETRANSLATE(B1494,""ja"",""vi"")"),"emu")</f>
        <v>emu</v>
      </c>
      <c r="E1494" s="5" t="str">
        <f ca="1">IFERROR(__xludf.DUMMYFUNCTION("GOOGLETRANSLATE(C1494,""ja"",""vi"")"),"Đấu giá&gt; Thời trang&gt; Phụ nữ Giày dép&gt; Boots&gt; Emu")</f>
        <v>Đấu giá&gt; Thời trang&gt; Phụ nữ Giày dép&gt; Boots&gt; Emu</v>
      </c>
      <c r="F1494" t="str">
        <f t="shared" ca="1" si="23"/>
        <v>"2084244365" : "emu",</v>
      </c>
    </row>
    <row r="1495" spans="1:6" ht="15.75" customHeight="1">
      <c r="A1495" s="18">
        <v>2084244355</v>
      </c>
      <c r="B1495" s="18" t="s">
        <v>11893</v>
      </c>
      <c r="C1495" s="18" t="s">
        <v>15598</v>
      </c>
      <c r="D1495" s="5" t="str">
        <f ca="1">IFERROR(__xludf.DUMMYFUNCTION("GOOGLETRANSLATE(B1495,""ja"",""vi"")"),"Fly")</f>
        <v>Fly</v>
      </c>
      <c r="E1495" s="5" t="str">
        <f ca="1">IFERROR(__xludf.DUMMYFUNCTION("GOOGLETRANSLATE(C1495,""ja"",""vi"")"),"Đấu giá&gt; Thời trang&gt; Phụ nữ Giày dép&gt; Boots&gt; Fly")</f>
        <v>Đấu giá&gt; Thời trang&gt; Phụ nữ Giày dép&gt; Boots&gt; Fly</v>
      </c>
      <c r="F1495" t="str">
        <f t="shared" ca="1" si="23"/>
        <v>"2084244355" : "Fly",</v>
      </c>
    </row>
    <row r="1496" spans="1:6" ht="15.75" customHeight="1">
      <c r="A1496" s="18">
        <v>2084244352</v>
      </c>
      <c r="B1496" s="18" t="s">
        <v>12494</v>
      </c>
      <c r="C1496" s="18" t="s">
        <v>15601</v>
      </c>
      <c r="D1496" s="5" t="str">
        <f ca="1">IFERROR(__xludf.DUMMYFUNCTION("GOOGLETRANSLATE(B1496,""ja"",""vi"")"),"Minnetonka")</f>
        <v>Minnetonka</v>
      </c>
      <c r="E1496" s="5" t="str">
        <f ca="1">IFERROR(__xludf.DUMMYFUNCTION("GOOGLETRANSLATE(C1496,""ja"",""vi"")"),"Đấu giá&gt; Thời trang&gt; Phụ nữ Giày dép&gt; Boots&gt; Minnetonka")</f>
        <v>Đấu giá&gt; Thời trang&gt; Phụ nữ Giày dép&gt; Boots&gt; Minnetonka</v>
      </c>
      <c r="F1496" t="str">
        <f t="shared" ca="1" si="23"/>
        <v>"2084244352" : "Minnetonka",</v>
      </c>
    </row>
    <row r="1497" spans="1:6" ht="15.75" customHeight="1">
      <c r="A1497" s="18">
        <v>2084007872</v>
      </c>
      <c r="B1497" s="18" t="s">
        <v>15434</v>
      </c>
      <c r="C1497" s="18" t="s">
        <v>15605</v>
      </c>
      <c r="D1497" s="5" t="str">
        <f ca="1">IFERROR(__xludf.DUMMYFUNCTION("GOOGLETRANSLATE(B1497,""ja"",""vi"")"),"22.0cm dưới đây")</f>
        <v>22.0cm dưới đây</v>
      </c>
      <c r="E1497" s="5" t="str">
        <f ca="1">IFERROR(__xludf.DUMMYFUNCTION("GOOGLETRANSLATE(C1497,""ja"",""vi"")"),"Đấu giá&gt; Thời trang&gt; Giày dép nữ&gt; la&gt; 22.0cm dưới đây")</f>
        <v>Đấu giá&gt; Thời trang&gt; Giày dép nữ&gt; la&gt; 22.0cm dưới đây</v>
      </c>
      <c r="F1497" t="str">
        <f t="shared" ca="1" si="23"/>
        <v>"2084007872" : "22.0cm dưới đây",</v>
      </c>
    </row>
    <row r="1498" spans="1:6" ht="15.75" customHeight="1">
      <c r="A1498" s="18">
        <v>2084007873</v>
      </c>
      <c r="B1498" s="18" t="s">
        <v>15437</v>
      </c>
      <c r="C1498" s="18" t="s">
        <v>15610</v>
      </c>
      <c r="D1498" s="5" t="str">
        <f ca="1">IFERROR(__xludf.DUMMYFUNCTION("GOOGLETRANSLATE(B1498,""ja"",""vi"")"),"22.5cm")</f>
        <v>22.5cm</v>
      </c>
      <c r="E1498" s="5" t="str">
        <f ca="1">IFERROR(__xludf.DUMMYFUNCTION("GOOGLETRANSLATE(C1498,""ja"",""vi"")"),"Đấu giá&gt; Thời trang&gt; Giày dép nữ&gt; la&gt; 22.5cm")</f>
        <v>Đấu giá&gt; Thời trang&gt; Giày dép nữ&gt; la&gt; 22.5cm</v>
      </c>
      <c r="F1498" t="str">
        <f t="shared" ca="1" si="23"/>
        <v>"2084007873" : "22.5cm",</v>
      </c>
    </row>
    <row r="1499" spans="1:6" ht="15.75" customHeight="1">
      <c r="A1499" s="18">
        <v>2084007874</v>
      </c>
      <c r="B1499" s="18" t="s">
        <v>15440</v>
      </c>
      <c r="C1499" s="18" t="s">
        <v>15613</v>
      </c>
      <c r="D1499" s="5" t="str">
        <f ca="1">IFERROR(__xludf.DUMMYFUNCTION("GOOGLETRANSLATE(B1499,""ja"",""vi"")"),"23.0cm")</f>
        <v>23.0cm</v>
      </c>
      <c r="E1499" s="5" t="str">
        <f ca="1">IFERROR(__xludf.DUMMYFUNCTION("GOOGLETRANSLATE(C1499,""ja"",""vi"")"),"Đấu giá&gt; Thời trang&gt; Giày dép nữ&gt; la&gt; 23.0cm")</f>
        <v>Đấu giá&gt; Thời trang&gt; Giày dép nữ&gt; la&gt; 23.0cm</v>
      </c>
      <c r="F1499" t="str">
        <f t="shared" ca="1" si="23"/>
        <v>"2084007874" : "23.0cm",</v>
      </c>
    </row>
    <row r="1500" spans="1:6" ht="15.75" customHeight="1">
      <c r="A1500" s="18">
        <v>2084007875</v>
      </c>
      <c r="B1500" s="18" t="s">
        <v>15443</v>
      </c>
      <c r="C1500" s="18" t="s">
        <v>15617</v>
      </c>
      <c r="D1500" s="5" t="str">
        <f ca="1">IFERROR(__xludf.DUMMYFUNCTION("GOOGLETRANSLATE(B1500,""ja"",""vi"")"),"23.5cm")</f>
        <v>23.5cm</v>
      </c>
      <c r="E1500" s="5" t="str">
        <f ca="1">IFERROR(__xludf.DUMMYFUNCTION("GOOGLETRANSLATE(C1500,""ja"",""vi"")"),"Đấu giá&gt; Thời trang&gt; Giày dép nữ&gt; la&gt; 23.5cm")</f>
        <v>Đấu giá&gt; Thời trang&gt; Giày dép nữ&gt; la&gt; 23.5cm</v>
      </c>
      <c r="F1500" t="str">
        <f t="shared" ca="1" si="23"/>
        <v>"2084007875" : "23.5cm",</v>
      </c>
    </row>
    <row r="1501" spans="1:6" ht="15.75" customHeight="1">
      <c r="A1501" s="18">
        <v>2084007876</v>
      </c>
      <c r="B1501" s="18" t="s">
        <v>15446</v>
      </c>
      <c r="C1501" s="18" t="s">
        <v>15622</v>
      </c>
      <c r="D1501" s="5" t="str">
        <f ca="1">IFERROR(__xludf.DUMMYFUNCTION("GOOGLETRANSLATE(B1501,""ja"",""vi"")"),"24.0cm")</f>
        <v>24.0cm</v>
      </c>
      <c r="E1501" s="5" t="str">
        <f ca="1">IFERROR(__xludf.DUMMYFUNCTION("GOOGLETRANSLATE(C1501,""ja"",""vi"")"),"Đấu giá&gt; Thời trang&gt; Giày dép nữ&gt; la&gt; 24.0cm")</f>
        <v>Đấu giá&gt; Thời trang&gt; Giày dép nữ&gt; la&gt; 24.0cm</v>
      </c>
      <c r="F1501" t="str">
        <f t="shared" ca="1" si="23"/>
        <v>"2084007876" : "24.0cm",</v>
      </c>
    </row>
    <row r="1502" spans="1:6" ht="15.75" customHeight="1">
      <c r="A1502" s="18">
        <v>2084007877</v>
      </c>
      <c r="B1502" s="18" t="s">
        <v>15449</v>
      </c>
      <c r="C1502" s="18" t="s">
        <v>15624</v>
      </c>
      <c r="D1502" s="5" t="str">
        <f ca="1">IFERROR(__xludf.DUMMYFUNCTION("GOOGLETRANSLATE(B1502,""ja"",""vi"")"),"24.5cm")</f>
        <v>24.5cm</v>
      </c>
      <c r="E1502" s="5" t="str">
        <f ca="1">IFERROR(__xludf.DUMMYFUNCTION("GOOGLETRANSLATE(C1502,""ja"",""vi"")"),"Đấu giá&gt; Thời trang&gt; Giày dép nữ&gt; la&gt; 24.5cm")</f>
        <v>Đấu giá&gt; Thời trang&gt; Giày dép nữ&gt; la&gt; 24.5cm</v>
      </c>
      <c r="F1502" t="str">
        <f t="shared" ca="1" si="23"/>
        <v>"2084007877" : "24.5cm",</v>
      </c>
    </row>
    <row r="1503" spans="1:6" ht="15.75" customHeight="1">
      <c r="A1503" s="18">
        <v>2084007878</v>
      </c>
      <c r="B1503" s="18" t="s">
        <v>15453</v>
      </c>
      <c r="C1503" s="18" t="s">
        <v>15625</v>
      </c>
      <c r="D1503" s="5" t="str">
        <f ca="1">IFERROR(__xludf.DUMMYFUNCTION("GOOGLETRANSLATE(B1503,""ja"",""vi"")"),"25,0cm")</f>
        <v>25,0cm</v>
      </c>
      <c r="E1503" s="5" t="str">
        <f ca="1">IFERROR(__xludf.DUMMYFUNCTION("GOOGLETRANSLATE(C1503,""ja"",""vi"")"),"Đấu giá&gt; Thời trang&gt; Giày dép nữ&gt; la&gt; 25,0cm")</f>
        <v>Đấu giá&gt; Thời trang&gt; Giày dép nữ&gt; la&gt; 25,0cm</v>
      </c>
      <c r="F1503" t="str">
        <f t="shared" ca="1" si="23"/>
        <v>"2084007878" : "25,0cm",</v>
      </c>
    </row>
    <row r="1504" spans="1:6" ht="15.75" customHeight="1">
      <c r="A1504" s="18">
        <v>2084007880</v>
      </c>
      <c r="B1504" s="18" t="s">
        <v>15457</v>
      </c>
      <c r="C1504" s="18" t="s">
        <v>15627</v>
      </c>
      <c r="D1504" s="5" t="str">
        <f ca="1">IFERROR(__xludf.DUMMYFUNCTION("GOOGLETRANSLATE(B1504,""ja"",""vi"")"),"25.5cm")</f>
        <v>25.5cm</v>
      </c>
      <c r="E1504" s="5" t="str">
        <f ca="1">IFERROR(__xludf.DUMMYFUNCTION("GOOGLETRANSLATE(C1504,""ja"",""vi"")"),"Đấu giá&gt; Thời trang&gt; Giày dép nữ&gt; la&gt; 25.5cm")</f>
        <v>Đấu giá&gt; Thời trang&gt; Giày dép nữ&gt; la&gt; 25.5cm</v>
      </c>
      <c r="F1504" t="str">
        <f t="shared" ca="1" si="23"/>
        <v>"2084007880" : "25.5cm",</v>
      </c>
    </row>
    <row r="1505" spans="1:6" ht="15.75" customHeight="1">
      <c r="A1505" s="18">
        <v>2084007879</v>
      </c>
      <c r="B1505" s="18" t="s">
        <v>15461</v>
      </c>
      <c r="C1505" s="18" t="s">
        <v>15628</v>
      </c>
      <c r="D1505" s="5" t="str">
        <f ca="1">IFERROR(__xludf.DUMMYFUNCTION("GOOGLETRANSLATE(B1505,""ja"",""vi"")"),"Hơn 26.0cm")</f>
        <v>Hơn 26.0cm</v>
      </c>
      <c r="E1505" s="5" t="str">
        <f ca="1">IFERROR(__xludf.DUMMYFUNCTION("GOOGLETRANSLATE(C1505,""ja"",""vi"")"),"Đấu giá&gt; Thời trang&gt; Giày dép nữ&gt; la&gt; 26.0cm hơn")</f>
        <v>Đấu giá&gt; Thời trang&gt; Giày dép nữ&gt; la&gt; 26.0cm hơn</v>
      </c>
      <c r="F1505" t="str">
        <f t="shared" ca="1" si="23"/>
        <v>"2084007879" : "Hơn 26.0cm",</v>
      </c>
    </row>
    <row r="1506" spans="1:6" ht="15.75" customHeight="1">
      <c r="A1506" s="18">
        <v>2084049327</v>
      </c>
      <c r="B1506" s="18" t="s">
        <v>15434</v>
      </c>
      <c r="C1506" s="18" t="s">
        <v>15629</v>
      </c>
      <c r="D1506" s="5" t="str">
        <f ca="1">IFERROR(__xludf.DUMMYFUNCTION("GOOGLETRANSLATE(B1506,""ja"",""vi"")"),"22.0cm dưới đây")</f>
        <v>22.0cm dưới đây</v>
      </c>
      <c r="E1506" s="5" t="str">
        <f ca="1">IFERROR(__xludf.DUMMYFUNCTION("GOOGLETRANSLATE(C1506,""ja"",""vi"")"),"Đấu giá&gt; Thời trang&gt; Giày dép nữ&gt; giày đi dạo, moccasin&gt; 22.0cm dưới đây")</f>
        <v>Đấu giá&gt; Thời trang&gt; Giày dép nữ&gt; giày đi dạo, moccasin&gt; 22.0cm dưới đây</v>
      </c>
      <c r="F1506" t="str">
        <f t="shared" ca="1" si="23"/>
        <v>"2084049327" : "22.0cm dưới đây",</v>
      </c>
    </row>
    <row r="1507" spans="1:6" ht="15.75" customHeight="1">
      <c r="A1507" s="18">
        <v>2084049328</v>
      </c>
      <c r="B1507" s="18" t="s">
        <v>15437</v>
      </c>
      <c r="C1507" s="18" t="s">
        <v>15630</v>
      </c>
      <c r="D1507" s="5" t="str">
        <f ca="1">IFERROR(__xludf.DUMMYFUNCTION("GOOGLETRANSLATE(B1507,""ja"",""vi"")"),"22.5cm")</f>
        <v>22.5cm</v>
      </c>
      <c r="E1507" s="5" t="str">
        <f ca="1">IFERROR(__xludf.DUMMYFUNCTION("GOOGLETRANSLATE(C1507,""ja"",""vi"")"),"Đấu giá&gt; Thời trang&gt; Phụ nữ giày&gt; giày đi dạo, moccasin&gt; 22.5cm")</f>
        <v>Đấu giá&gt; Thời trang&gt; Phụ nữ giày&gt; giày đi dạo, moccasin&gt; 22.5cm</v>
      </c>
      <c r="F1507" t="str">
        <f t="shared" ca="1" si="23"/>
        <v>"2084049328" : "22.5cm",</v>
      </c>
    </row>
    <row r="1508" spans="1:6" ht="15.75" customHeight="1">
      <c r="A1508" s="18">
        <v>2084049329</v>
      </c>
      <c r="B1508" s="18" t="s">
        <v>15440</v>
      </c>
      <c r="C1508" s="18" t="s">
        <v>15631</v>
      </c>
      <c r="D1508" s="5" t="str">
        <f ca="1">IFERROR(__xludf.DUMMYFUNCTION("GOOGLETRANSLATE(B1508,""ja"",""vi"")"),"23.0cm")</f>
        <v>23.0cm</v>
      </c>
      <c r="E1508" s="5" t="str">
        <f ca="1">IFERROR(__xludf.DUMMYFUNCTION("GOOGLETRANSLATE(C1508,""ja"",""vi"")"),"Đấu giá&gt; Thời trang&gt; Phụ nữ giày&gt; giày đi dạo, moccasin&gt; 23.0cm")</f>
        <v>Đấu giá&gt; Thời trang&gt; Phụ nữ giày&gt; giày đi dạo, moccasin&gt; 23.0cm</v>
      </c>
      <c r="F1508" t="str">
        <f t="shared" ca="1" si="23"/>
        <v>"2084049329" : "23.0cm",</v>
      </c>
    </row>
    <row r="1509" spans="1:6" ht="15.75" customHeight="1">
      <c r="A1509" s="18">
        <v>2084049330</v>
      </c>
      <c r="B1509" s="18" t="s">
        <v>15443</v>
      </c>
      <c r="C1509" s="18" t="s">
        <v>15632</v>
      </c>
      <c r="D1509" s="5" t="str">
        <f ca="1">IFERROR(__xludf.DUMMYFUNCTION("GOOGLETRANSLATE(B1509,""ja"",""vi"")"),"23.5cm")</f>
        <v>23.5cm</v>
      </c>
      <c r="E1509" s="5" t="str">
        <f ca="1">IFERROR(__xludf.DUMMYFUNCTION("GOOGLETRANSLATE(C1509,""ja"",""vi"")"),"Đấu giá&gt; Thời trang&gt; Phụ nữ giày&gt; giày đi dạo, moccasin&gt; 23.5cm")</f>
        <v>Đấu giá&gt; Thời trang&gt; Phụ nữ giày&gt; giày đi dạo, moccasin&gt; 23.5cm</v>
      </c>
      <c r="F1509" t="str">
        <f t="shared" ca="1" si="23"/>
        <v>"2084049330" : "23.5cm",</v>
      </c>
    </row>
    <row r="1510" spans="1:6" ht="15.75" customHeight="1">
      <c r="A1510" s="18">
        <v>2084049331</v>
      </c>
      <c r="B1510" s="18" t="s">
        <v>15446</v>
      </c>
      <c r="C1510" s="18" t="s">
        <v>15633</v>
      </c>
      <c r="D1510" s="5" t="str">
        <f ca="1">IFERROR(__xludf.DUMMYFUNCTION("GOOGLETRANSLATE(B1510,""ja"",""vi"")"),"24.0cm")</f>
        <v>24.0cm</v>
      </c>
      <c r="E1510" s="5" t="str">
        <f ca="1">IFERROR(__xludf.DUMMYFUNCTION("GOOGLETRANSLATE(C1510,""ja"",""vi"")"),"Đấu giá&gt; Thời trang&gt; Phụ nữ giày&gt; giày đi dạo, moccasin&gt; 24.0cm")</f>
        <v>Đấu giá&gt; Thời trang&gt; Phụ nữ giày&gt; giày đi dạo, moccasin&gt; 24.0cm</v>
      </c>
      <c r="F1510" t="str">
        <f t="shared" ca="1" si="23"/>
        <v>"2084049331" : "24.0cm",</v>
      </c>
    </row>
    <row r="1511" spans="1:6" ht="15.75" customHeight="1">
      <c r="A1511" s="18">
        <v>2084049332</v>
      </c>
      <c r="B1511" s="18" t="s">
        <v>15449</v>
      </c>
      <c r="C1511" s="18" t="s">
        <v>15634</v>
      </c>
      <c r="D1511" s="5" t="str">
        <f ca="1">IFERROR(__xludf.DUMMYFUNCTION("GOOGLETRANSLATE(B1511,""ja"",""vi"")"),"24.5cm")</f>
        <v>24.5cm</v>
      </c>
      <c r="E1511" s="5" t="str">
        <f ca="1">IFERROR(__xludf.DUMMYFUNCTION("GOOGLETRANSLATE(C1511,""ja"",""vi"")"),"Đấu giá&gt; Thời trang&gt; Phụ nữ giày&gt; giày đi dạo, moccasin&gt; 24.5cm")</f>
        <v>Đấu giá&gt; Thời trang&gt; Phụ nữ giày&gt; giày đi dạo, moccasin&gt; 24.5cm</v>
      </c>
      <c r="F1511" t="str">
        <f t="shared" ca="1" si="23"/>
        <v>"2084049332" : "24.5cm",</v>
      </c>
    </row>
    <row r="1512" spans="1:6" ht="15.75" customHeight="1">
      <c r="A1512" s="18">
        <v>2084049333</v>
      </c>
      <c r="B1512" s="18" t="s">
        <v>15453</v>
      </c>
      <c r="C1512" s="18" t="s">
        <v>15635</v>
      </c>
      <c r="D1512" s="5" t="str">
        <f ca="1">IFERROR(__xludf.DUMMYFUNCTION("GOOGLETRANSLATE(B1512,""ja"",""vi"")"),"25,0cm")</f>
        <v>25,0cm</v>
      </c>
      <c r="E1512" s="5" t="str">
        <f ca="1">IFERROR(__xludf.DUMMYFUNCTION("GOOGLETRANSLATE(C1512,""ja"",""vi"")"),"Đấu giá&gt; Thời trang&gt; Phụ nữ giày&gt; giày đi dạo, moccasin&gt; 25,0cm")</f>
        <v>Đấu giá&gt; Thời trang&gt; Phụ nữ giày&gt; giày đi dạo, moccasin&gt; 25,0cm</v>
      </c>
      <c r="F1512" t="str">
        <f t="shared" ca="1" si="23"/>
        <v>"2084049333" : "25,0cm",</v>
      </c>
    </row>
    <row r="1513" spans="1:6" ht="15.75" customHeight="1">
      <c r="A1513" s="18">
        <v>2084049334</v>
      </c>
      <c r="B1513" s="18" t="s">
        <v>15457</v>
      </c>
      <c r="C1513" s="18" t="s">
        <v>15636</v>
      </c>
      <c r="D1513" s="5" t="str">
        <f ca="1">IFERROR(__xludf.DUMMYFUNCTION("GOOGLETRANSLATE(B1513,""ja"",""vi"")"),"25.5cm")</f>
        <v>25.5cm</v>
      </c>
      <c r="E1513" s="5" t="str">
        <f ca="1">IFERROR(__xludf.DUMMYFUNCTION("GOOGLETRANSLATE(C1513,""ja"",""vi"")"),"Đấu giá&gt; Thời trang&gt; Phụ nữ giày&gt; giày đi dạo, moccasin&gt; 25.5cm")</f>
        <v>Đấu giá&gt; Thời trang&gt; Phụ nữ giày&gt; giày đi dạo, moccasin&gt; 25.5cm</v>
      </c>
      <c r="F1513" t="str">
        <f t="shared" ca="1" si="23"/>
        <v>"2084049334" : "25.5cm",</v>
      </c>
    </row>
    <row r="1514" spans="1:6" ht="15.75" customHeight="1">
      <c r="A1514" s="18">
        <v>2084049335</v>
      </c>
      <c r="B1514" s="18" t="s">
        <v>15461</v>
      </c>
      <c r="C1514" s="18" t="s">
        <v>15639</v>
      </c>
      <c r="D1514" s="5" t="str">
        <f ca="1">IFERROR(__xludf.DUMMYFUNCTION("GOOGLETRANSLATE(B1514,""ja"",""vi"")"),"Hơn 26.0cm")</f>
        <v>Hơn 26.0cm</v>
      </c>
      <c r="E1514" s="5" t="str">
        <f ca="1">IFERROR(__xludf.DUMMYFUNCTION("GOOGLETRANSLATE(C1514,""ja"",""vi"")"),"Đấu giá&gt; giày thời trang&gt; Phụ nữ&gt; giày đi dạo, moccasin&gt; 26.0cm hơn")</f>
        <v>Đấu giá&gt; giày thời trang&gt; Phụ nữ&gt; giày đi dạo, moccasin&gt; 26.0cm hơn</v>
      </c>
      <c r="F1514" t="str">
        <f t="shared" ca="1" si="23"/>
        <v>"2084049335" : "Hơn 26.0cm",</v>
      </c>
    </row>
    <row r="1515" spans="1:6" ht="15.75" customHeight="1">
      <c r="A1515" s="18">
        <v>2084309301</v>
      </c>
      <c r="B1515" s="18" t="s">
        <v>15642</v>
      </c>
      <c r="C1515" s="18" t="s">
        <v>15644</v>
      </c>
      <c r="D1515" s="5" t="str">
        <f ca="1">IFERROR(__xludf.DUMMYFUNCTION("GOOGLETRANSLATE(B1515,""ja"",""vi"")"),"S cun dưới đây")</f>
        <v>S cun dưới đây</v>
      </c>
      <c r="E1515" s="5" t="str">
        <f ca="1">IFERROR(__xludf.DUMMYFUNCTION("GOOGLETRANSLATE(C1515,""ja"",""vi"")"),"Đấu giá&gt; Thời trang&gt; Kimono, kimono&gt; geta, dép&gt; S cun dưới đây")</f>
        <v>Đấu giá&gt; Thời trang&gt; Kimono, kimono&gt; geta, dép&gt; S cun dưới đây</v>
      </c>
      <c r="F1515" t="str">
        <f t="shared" ca="1" si="23"/>
        <v>"2084309301" : "S cun dưới đây",</v>
      </c>
    </row>
    <row r="1516" spans="1:6" ht="15.75" customHeight="1">
      <c r="A1516" s="18">
        <v>2084309302</v>
      </c>
      <c r="B1516" s="18" t="s">
        <v>15647</v>
      </c>
      <c r="C1516" s="18" t="s">
        <v>15650</v>
      </c>
      <c r="D1516" s="5" t="str">
        <f ca="1">IFERROR(__xludf.DUMMYFUNCTION("GOOGLETRANSLATE(B1516,""ja"",""vi"")"),"M Kích thước")</f>
        <v>M Kích thước</v>
      </c>
      <c r="E1516" s="5" t="str">
        <f ca="1">IFERROR(__xludf.DUMMYFUNCTION("GOOGLETRANSLATE(C1516,""ja"",""vi"")"),"Đấu giá&gt; Thời trang&gt; Kimono, kimono&gt; geta, dép&gt; M kích thước")</f>
        <v>Đấu giá&gt; Thời trang&gt; Kimono, kimono&gt; geta, dép&gt; M kích thước</v>
      </c>
      <c r="F1516" t="str">
        <f t="shared" ca="1" si="23"/>
        <v>"2084309302" : "M Kích thước",</v>
      </c>
    </row>
    <row r="1517" spans="1:6" ht="15.75" customHeight="1">
      <c r="A1517" s="18">
        <v>2084309303</v>
      </c>
      <c r="B1517" s="18" t="s">
        <v>15651</v>
      </c>
      <c r="C1517" s="18" t="s">
        <v>15654</v>
      </c>
      <c r="D1517" s="5" t="str">
        <f ca="1">IFERROR(__xludf.DUMMYFUNCTION("GOOGLETRANSLATE(B1517,""ja"",""vi"")"),"L Kích thước")</f>
        <v>L Kích thước</v>
      </c>
      <c r="E1517" s="5" t="str">
        <f ca="1">IFERROR(__xludf.DUMMYFUNCTION("GOOGLETRANSLATE(C1517,""ja"",""vi"")"),"Đấu giá&gt; Thời trang&gt; Kimono, kimono&gt; geta, dép&gt; L Kích thước")</f>
        <v>Đấu giá&gt; Thời trang&gt; Kimono, kimono&gt; geta, dép&gt; L Kích thước</v>
      </c>
      <c r="F1517" t="str">
        <f t="shared" ca="1" si="23"/>
        <v>"2084309303" : "L Kích thước",</v>
      </c>
    </row>
    <row r="1518" spans="1:6" ht="15.75" customHeight="1">
      <c r="A1518" s="18">
        <v>2084309304</v>
      </c>
      <c r="B1518" s="18" t="s">
        <v>15657</v>
      </c>
      <c r="C1518" s="18" t="s">
        <v>15658</v>
      </c>
      <c r="D1518" s="5" t="str">
        <f ca="1">IFERROR(__xludf.DUMMYFUNCTION("GOOGLETRANSLATE(B1518,""ja"",""vi"")"),"LL cun hơn")</f>
        <v>LL cun hơn</v>
      </c>
      <c r="E1518" s="5" t="str">
        <f ca="1">IFERROR(__xludf.DUMMYFUNCTION("GOOGLETRANSLATE(C1518,""ja"",""vi"")"),"Đấu giá&gt; Thời trang&gt; Kimono, kimono&gt; geta, dép&gt; LL cun hơn")</f>
        <v>Đấu giá&gt; Thời trang&gt; Kimono, kimono&gt; geta, dép&gt; LL cun hơn</v>
      </c>
      <c r="F1518" t="str">
        <f t="shared" ca="1" si="23"/>
        <v>"2084309304" : "LL cun hơn",</v>
      </c>
    </row>
    <row r="1519" spans="1:6" ht="15.75" customHeight="1">
      <c r="A1519" s="18">
        <v>2084214891</v>
      </c>
      <c r="B1519" s="18" t="s">
        <v>6465</v>
      </c>
      <c r="C1519" s="18" t="s">
        <v>15662</v>
      </c>
      <c r="D1519" s="5" t="str">
        <f ca="1">IFERROR(__xludf.DUMMYFUNCTION("GOOGLETRANSLATE(B1519,""ja"",""vi"")"),"Thiết lập, Lots Bán buôn")</f>
        <v>Thiết lập, Lots Bán buôn</v>
      </c>
      <c r="E1519" s="5" t="str">
        <f ca="1">IFERROR(__xludf.DUMMYFUNCTION("GOOGLETRANSLATE(C1519,""ja"",""vi"")"),"Đấu giá&gt; Thời trang&gt; Phụ kiện thời trang&gt; vớ&gt; cho phụ nữ&gt; thiết lập, Lots Bán buôn")</f>
        <v>Đấu giá&gt; Thời trang&gt; Phụ kiện thời trang&gt; vớ&gt; cho phụ nữ&gt; thiết lập, Lots Bán buôn</v>
      </c>
      <c r="F1519" t="str">
        <f t="shared" ca="1" si="23"/>
        <v>"2084214891" : "Thiết lập, Lots Bán buôn",</v>
      </c>
    </row>
    <row r="1520" spans="1:6" ht="15.75" customHeight="1">
      <c r="A1520" s="18">
        <v>2084214892</v>
      </c>
      <c r="B1520" s="18" t="s">
        <v>2241</v>
      </c>
      <c r="C1520" s="18" t="s">
        <v>15666</v>
      </c>
      <c r="D1520" s="5" t="str">
        <f ca="1">IFERROR(__xludf.DUMMYFUNCTION("GOOGLETRANSLATE(B1520,""ja"",""vi"")"),"chung")</f>
        <v>chung</v>
      </c>
      <c r="E1520" s="5" t="str">
        <f ca="1">IFERROR(__xludf.DUMMYFUNCTION("GOOGLETRANSLATE(C1520,""ja"",""vi"")"),"Đấu giá&gt; Thời trang&gt; Phụ kiện thời trang&gt; vớ&gt; cho phụ nữ&gt; General")</f>
        <v>Đấu giá&gt; Thời trang&gt; Phụ kiện thời trang&gt; vớ&gt; cho phụ nữ&gt; General</v>
      </c>
      <c r="F1520" t="str">
        <f t="shared" ca="1" si="23"/>
        <v>"2084214892" : "chung",</v>
      </c>
    </row>
    <row r="1521" spans="1:6" ht="15.75" customHeight="1">
      <c r="A1521" s="18">
        <v>2084214900</v>
      </c>
      <c r="B1521" s="18" t="s">
        <v>15669</v>
      </c>
      <c r="C1521" s="18" t="s">
        <v>15670</v>
      </c>
      <c r="D1521" s="5" t="str">
        <f ca="1">IFERROR(__xludf.DUMMYFUNCTION("GOOGLETRANSLATE(B1521,""ja"",""vi"")"),"Năm ngón tay, vớ loại")</f>
        <v>Năm ngón tay, vớ loại</v>
      </c>
      <c r="E1521" s="5" t="str">
        <f ca="1">IFERROR(__xludf.DUMMYFUNCTION("GOOGLETRANSLATE(C1521,""ja"",""vi"")"),"Đấu giá&gt; Thời trang&gt; Phụ kiện thời trang&gt; vớ&gt; cho phụ nữ&gt; 5 ngón tay, vớ loại")</f>
        <v>Đấu giá&gt; Thời trang&gt; Phụ kiện thời trang&gt; vớ&gt; cho phụ nữ&gt; 5 ngón tay, vớ loại</v>
      </c>
      <c r="F1521" t="str">
        <f t="shared" ca="1" si="23"/>
        <v>"2084214900" : "Năm ngón tay, vớ loại",</v>
      </c>
    </row>
    <row r="1522" spans="1:6" ht="15.75" customHeight="1">
      <c r="A1522" s="18">
        <v>2084214899</v>
      </c>
      <c r="B1522" s="18" t="s">
        <v>15674</v>
      </c>
      <c r="C1522" s="18" t="s">
        <v>15675</v>
      </c>
      <c r="D1522" s="5" t="str">
        <f ca="1">IFERROR(__xludf.DUMMYFUNCTION("GOOGLETRANSLATE(B1522,""ja"",""vi"")"),"ngắn Socks")</f>
        <v>ngắn Socks</v>
      </c>
      <c r="E1522" s="5" t="str">
        <f ca="1">IFERROR(__xludf.DUMMYFUNCTION("GOOGLETRANSLATE(C1522,""ja"",""vi"")"),"Đấu giá&gt; Thời trang&gt; Phụ kiện thời trang&gt; vớ&gt; cho phụ nữ&gt; ngắn Socks")</f>
        <v>Đấu giá&gt; Thời trang&gt; Phụ kiện thời trang&gt; vớ&gt; cho phụ nữ&gt; ngắn Socks</v>
      </c>
      <c r="F1522" t="str">
        <f t="shared" ca="1" si="23"/>
        <v>"2084214899" : "ngắn Socks",</v>
      </c>
    </row>
    <row r="1523" spans="1:6" ht="15.75" customHeight="1">
      <c r="A1523" s="18">
        <v>2084214898</v>
      </c>
      <c r="B1523" s="18" t="s">
        <v>15679</v>
      </c>
      <c r="C1523" s="18" t="s">
        <v>15680</v>
      </c>
      <c r="D1523" s="5" t="str">
        <f ca="1">IFERROR(__xludf.DUMMYFUNCTION("GOOGLETRANSLATE(B1523,""ja"",""vi"")"),"ủ chân")</f>
        <v>ủ chân</v>
      </c>
      <c r="E1523" s="5" t="str">
        <f ca="1">IFERROR(__xludf.DUMMYFUNCTION("GOOGLETRANSLATE(C1523,""ja"",""vi"")"),"Đấu giá&gt; Thời trang&gt; Phụ kiện thời trang&gt; vớ&gt; cho phụ nữ&gt; ủ chân")</f>
        <v>Đấu giá&gt; Thời trang&gt; Phụ kiện thời trang&gt; vớ&gt; cho phụ nữ&gt; ủ chân</v>
      </c>
      <c r="F1523" t="str">
        <f t="shared" ca="1" si="23"/>
        <v>"2084214898" : "ủ chân",</v>
      </c>
    </row>
    <row r="1524" spans="1:6" ht="15.75" customHeight="1">
      <c r="A1524" s="18">
        <v>2084053097</v>
      </c>
      <c r="B1524" s="18" t="s">
        <v>15068</v>
      </c>
      <c r="C1524" s="18" t="s">
        <v>15684</v>
      </c>
      <c r="D1524" s="5" t="str">
        <f ca="1">IFERROR(__xludf.DUMMYFUNCTION("GOOGLETRANSLATE(B1524,""ja"",""vi"")"),"vớ")</f>
        <v>vớ</v>
      </c>
      <c r="E1524" s="5" t="str">
        <f ca="1">IFERROR(__xludf.DUMMYFUNCTION("GOOGLETRANSLATE(C1524,""ja"",""vi"")"),"Đấu giá&gt; Thời trang&gt; Phụ kiện thời trang&gt; vớ&gt; cho phụ nữ&gt; vớ")</f>
        <v>Đấu giá&gt; Thời trang&gt; Phụ kiện thời trang&gt; vớ&gt; cho phụ nữ&gt; vớ</v>
      </c>
      <c r="F1524" t="str">
        <f t="shared" ca="1" si="23"/>
        <v>"2084053097" : "vớ",</v>
      </c>
    </row>
    <row r="1525" spans="1:6" ht="15.75" customHeight="1">
      <c r="A1525" s="18">
        <v>2084214901</v>
      </c>
      <c r="B1525" s="18" t="s">
        <v>46</v>
      </c>
      <c r="C1525" s="18" t="s">
        <v>15686</v>
      </c>
      <c r="D1525" s="5" t="str">
        <f ca="1">IFERROR(__xludf.DUMMYFUNCTION("GOOGLETRANSLATE(B1525,""ja"",""vi"")"),"nếu không thì")</f>
        <v>nếu không thì</v>
      </c>
      <c r="E1525" s="5" t="str">
        <f ca="1">IFERROR(__xludf.DUMMYFUNCTION("GOOGLETRANSLATE(C1525,""ja"",""vi"")"),"Đấu giá&gt; Thời trang&gt; Phụ kiện thời trang&gt; vớ&gt; cho phụ nữ&gt; Khác")</f>
        <v>Đấu giá&gt; Thời trang&gt; Phụ kiện thời trang&gt; vớ&gt; cho phụ nữ&gt; Khác</v>
      </c>
      <c r="F1525" t="str">
        <f t="shared" ca="1" si="23"/>
        <v>"2084214901" : "nếu không thì",</v>
      </c>
    </row>
    <row r="1526" spans="1:6" ht="15.75" customHeight="1">
      <c r="A1526" s="18">
        <v>2084231853</v>
      </c>
      <c r="B1526" s="18" t="s">
        <v>15690</v>
      </c>
      <c r="C1526" s="18" t="s">
        <v>15693</v>
      </c>
      <c r="D1526" s="5" t="str">
        <f ca="1">IFERROR(__xludf.DUMMYFUNCTION("GOOGLETRANSLATE(B1526,""ja"",""vi"")"),"khởi động an toàn")</f>
        <v>khởi động an toàn</v>
      </c>
      <c r="E1526" s="5" t="str">
        <f ca="1">IFERROR(__xludf.DUMMYFUNCTION("GOOGLETRANSLATE(C1526,""ja"",""vi"")"),"Đấu giá&gt; nhà, nội thất&gt; công cụ, DIY nguồn cung cấp&gt; giày việc&gt; giày an toàn")</f>
        <v>Đấu giá&gt; nhà, nội thất&gt; công cụ, DIY nguồn cung cấp&gt; giày việc&gt; giày an toàn</v>
      </c>
      <c r="F1526" t="str">
        <f t="shared" ca="1" si="23"/>
        <v>"2084231853" : "khởi động an toàn",</v>
      </c>
    </row>
    <row r="1527" spans="1:6" ht="15.75" customHeight="1">
      <c r="A1527" s="18">
        <v>2084231854</v>
      </c>
      <c r="B1527" s="18" t="s">
        <v>46</v>
      </c>
      <c r="C1527" s="18" t="s">
        <v>15696</v>
      </c>
      <c r="D1527" s="5" t="str">
        <f ca="1">IFERROR(__xludf.DUMMYFUNCTION("GOOGLETRANSLATE(B1527,""ja"",""vi"")"),"nếu không thì")</f>
        <v>nếu không thì</v>
      </c>
      <c r="E1527" s="5" t="str">
        <f ca="1">IFERROR(__xludf.DUMMYFUNCTION("GOOGLETRANSLATE(C1527,""ja"",""vi"")"),"Đấu giá&gt; nhà, nội thất&gt; công cụ, DIY nguồn cung cấp&gt; giày công việc&gt; Khác")</f>
        <v>Đấu giá&gt; nhà, nội thất&gt; công cụ, DIY nguồn cung cấp&gt; giày công việc&gt; Khác</v>
      </c>
      <c r="F1527" t="str">
        <f t="shared" ca="1" si="23"/>
        <v>"2084231854" : "nếu không thì",</v>
      </c>
    </row>
    <row r="1528" spans="1:6" ht="15.75" customHeight="1">
      <c r="A1528" s="18">
        <v>2084062248</v>
      </c>
      <c r="B1528" s="18" t="s">
        <v>8814</v>
      </c>
      <c r="C1528" s="18" t="s">
        <v>9472</v>
      </c>
      <c r="D1528" s="5" t="str">
        <f ca="1">IFERROR(__xludf.DUMMYFUNCTION("GOOGLETRANSLATE(B1528,""ja"",""vi"")"),"trekking giày")</f>
        <v>trekking giày</v>
      </c>
      <c r="E1528" s="5" t="str">
        <f ca="1">IFERROR(__xludf.DUMMYFUNCTION("GOOGLETRANSLATE(C1528,""ja"",""vi"")"),"Đấu giá&gt; thể thao, giải trí&gt; trại, hàng ngoài trời&gt; giày&gt; giày leo núi")</f>
        <v>Đấu giá&gt; thể thao, giải trí&gt; trại, hàng ngoài trời&gt; giày&gt; giày leo núi</v>
      </c>
      <c r="F1528" t="str">
        <f t="shared" ca="1" si="23"/>
        <v>"2084062248" : "trekking giày",</v>
      </c>
    </row>
    <row r="1529" spans="1:6" ht="15.75" customHeight="1">
      <c r="A1529" s="18">
        <v>2084062251</v>
      </c>
      <c r="B1529" s="18" t="s">
        <v>9476</v>
      </c>
      <c r="C1529" s="18" t="s">
        <v>9478</v>
      </c>
      <c r="D1529" s="5" t="str">
        <f ca="1">IFERROR(__xludf.DUMMYFUNCTION("GOOGLETRANSLATE(B1529,""ja"",""vi"")"),"dép ngoài trời")</f>
        <v>dép ngoài trời</v>
      </c>
      <c r="E1529" s="5" t="str">
        <f ca="1">IFERROR(__xludf.DUMMYFUNCTION("GOOGLETRANSLATE(C1529,""ja"",""vi"")"),"Đấu giá&gt; thể thao, giải trí&gt; trại, hàng ngoài trời&gt; giày&gt; ngoài trời dép")</f>
        <v>Đấu giá&gt; thể thao, giải trí&gt; trại, hàng ngoài trời&gt; giày&gt; ngoài trời dép</v>
      </c>
      <c r="F1529" t="str">
        <f t="shared" ca="1" si="23"/>
        <v>"2084062251" : "dép ngoài trời",</v>
      </c>
    </row>
    <row r="1530" spans="1:6" ht="15.75" customHeight="1">
      <c r="A1530" s="18">
        <v>2084062249</v>
      </c>
      <c r="B1530" s="18" t="s">
        <v>8375</v>
      </c>
      <c r="C1530" s="18" t="s">
        <v>9482</v>
      </c>
      <c r="D1530" s="5" t="str">
        <f ca="1">IFERROR(__xludf.DUMMYFUNCTION("GOOGLETRANSLATE(B1530,""ja"",""vi"")"),"giày đi bộ")</f>
        <v>giày đi bộ</v>
      </c>
      <c r="E1530" s="5" t="str">
        <f ca="1">IFERROR(__xludf.DUMMYFUNCTION("GOOGLETRANSLATE(C1530,""ja"",""vi"")"),"Đấu giá&gt; thể thao, giải trí&gt; trại, hàng ngoài trời&gt; giày&gt; giày đi bộ")</f>
        <v>Đấu giá&gt; thể thao, giải trí&gt; trại, hàng ngoài trời&gt; giày&gt; giày đi bộ</v>
      </c>
      <c r="F1530" t="str">
        <f t="shared" ca="1" si="23"/>
        <v>"2084062249" : "giày đi bộ",</v>
      </c>
    </row>
    <row r="1531" spans="1:6" ht="15.75" customHeight="1">
      <c r="A1531" s="18">
        <v>2084299662</v>
      </c>
      <c r="B1531" s="18" t="s">
        <v>9487</v>
      </c>
      <c r="C1531" s="18" t="s">
        <v>9488</v>
      </c>
      <c r="D1531" s="5" t="str">
        <f ca="1">IFERROR(__xludf.DUMMYFUNCTION("GOOGLETRANSLATE(B1531,""ja"",""vi"")"),"Đinh móc")</f>
        <v>Đinh móc</v>
      </c>
      <c r="E1531" s="5" t="str">
        <f ca="1">IFERROR(__xludf.DUMMYFUNCTION("GOOGLETRANSLATE(C1531,""ja"",""vi"")"),"Đấu giá&gt; thể thao, giải trí&gt; trại, ngoài trời hàng&gt; giày&gt; Aizen")</f>
        <v>Đấu giá&gt; thể thao, giải trí&gt; trại, ngoài trời hàng&gt; giày&gt; Aizen</v>
      </c>
      <c r="F1531" t="str">
        <f t="shared" ca="1" si="23"/>
        <v>"2084299662" : "Đinh móc",</v>
      </c>
    </row>
    <row r="1532" spans="1:6" ht="15.75" customHeight="1">
      <c r="A1532" s="18">
        <v>2084299663</v>
      </c>
      <c r="B1532" s="18" t="s">
        <v>9493</v>
      </c>
      <c r="C1532" s="18" t="s">
        <v>9494</v>
      </c>
      <c r="D1532" s="5" t="str">
        <f ca="1">IFERROR(__xludf.DUMMYFUNCTION("GOOGLETRANSLATE(B1532,""ja"",""vi"")"),"Giày tuyết, giày đi tuyết")</f>
        <v>Giày tuyết, giày đi tuyết</v>
      </c>
      <c r="E1532" s="5" t="str">
        <f ca="1">IFERROR(__xludf.DUMMYFUNCTION("GOOGLETRANSLATE(C1532,""ja"",""vi"")"),"Đấu giá&gt; thể thao, giải trí&gt; trại, hàng ngoài trời&gt; giày&gt; giày tuyết, giày đi tuyết")</f>
        <v>Đấu giá&gt; thể thao, giải trí&gt; trại, hàng ngoài trời&gt; giày&gt; giày tuyết, giày đi tuyết</v>
      </c>
      <c r="F1532" t="str">
        <f t="shared" ca="1" si="23"/>
        <v>"2084299663" : "Giày tuyết, giày đi tuyết",</v>
      </c>
    </row>
    <row r="1533" spans="1:6" ht="15.75" customHeight="1">
      <c r="A1533" s="18">
        <v>2084299661</v>
      </c>
      <c r="B1533" s="18" t="s">
        <v>9499</v>
      </c>
      <c r="C1533" s="18" t="s">
        <v>9501</v>
      </c>
      <c r="D1533" s="5" t="str">
        <f ca="1">IFERROR(__xludf.DUMMYFUNCTION("GOOGLETRANSLATE(B1533,""ja"",""vi"")"),"tuyết khởi động")</f>
        <v>tuyết khởi động</v>
      </c>
      <c r="E1533" s="5" t="str">
        <f ca="1">IFERROR(__xludf.DUMMYFUNCTION("GOOGLETRANSLATE(C1533,""ja"",""vi"")"),"Đấu giá&gt; thể thao, giải trí&gt; trại, hàng ngoài trời&gt; giày&gt; Tuyết Boots")</f>
        <v>Đấu giá&gt; thể thao, giải trí&gt; trại, hàng ngoài trời&gt; giày&gt; Tuyết Boots</v>
      </c>
      <c r="F1533" t="str">
        <f t="shared" ca="1" si="23"/>
        <v>"2084299661" : "tuyết khởi động",</v>
      </c>
    </row>
    <row r="1534" spans="1:6" ht="15.75" customHeight="1">
      <c r="A1534" s="18">
        <v>2084062295</v>
      </c>
      <c r="B1534" s="18" t="s">
        <v>46</v>
      </c>
      <c r="C1534" s="18" t="s">
        <v>9507</v>
      </c>
      <c r="D1534" s="5" t="str">
        <f ca="1">IFERROR(__xludf.DUMMYFUNCTION("GOOGLETRANSLATE(B1534,""ja"",""vi"")"),"nếu không thì")</f>
        <v>nếu không thì</v>
      </c>
      <c r="E1534" s="5" t="str">
        <f ca="1">IFERROR(__xludf.DUMMYFUNCTION("GOOGLETRANSLATE(C1534,""ja"",""vi"")"),"Đấu giá&gt; thể thao, giải trí&gt; trại, ngoài trời hàng&gt; giày&gt; Khác")</f>
        <v>Đấu giá&gt; thể thao, giải trí&gt; trại, ngoài trời hàng&gt; giày&gt; Khác</v>
      </c>
      <c r="F1534" t="str">
        <f t="shared" ca="1" si="23"/>
        <v>"2084062295" : "nếu không thì",</v>
      </c>
    </row>
    <row r="1535" spans="1:6" ht="15.75" customHeight="1">
      <c r="A1535" s="18">
        <v>2084063417</v>
      </c>
      <c r="B1535" s="18" t="s">
        <v>15718</v>
      </c>
      <c r="C1535" s="18" t="s">
        <v>15720</v>
      </c>
      <c r="D1535" s="5" t="str">
        <f ca="1">IFERROR(__xludf.DUMMYFUNCTION("GOOGLETRANSLATE(B1535,""ja"",""vi"")"),"kem")</f>
        <v>kem</v>
      </c>
      <c r="E1535" s="5" t="str">
        <f ca="1">IFERROR(__xludf.DUMMYFUNCTION("GOOGLETRANSLATE(C1535,""ja"",""vi"")"),"Đấu giá&gt; làm đẹp, chăm sóc sức khỏe&gt; ​​Chăm sóc cơ thể&gt; Chăm sóc Foot&gt; kem")</f>
        <v>Đấu giá&gt; làm đẹp, chăm sóc sức khỏe&gt; ​​Chăm sóc cơ thể&gt; Chăm sóc Foot&gt; kem</v>
      </c>
      <c r="F1535" t="str">
        <f t="shared" ca="1" si="23"/>
        <v>"2084063417" : "kem",</v>
      </c>
    </row>
    <row r="1536" spans="1:6" ht="15.75" customHeight="1">
      <c r="A1536" s="18">
        <v>2084063421</v>
      </c>
      <c r="B1536" s="18" t="s">
        <v>4266</v>
      </c>
      <c r="C1536" s="18" t="s">
        <v>15722</v>
      </c>
      <c r="D1536" s="5" t="str">
        <f ca="1">IFERROR(__xludf.DUMMYFUNCTION("GOOGLETRANSLATE(B1536,""ja"",""vi"")"),"foot Bath")</f>
        <v>foot Bath</v>
      </c>
      <c r="E1536" s="5" t="str">
        <f ca="1">IFERROR(__xludf.DUMMYFUNCTION("GOOGLETRANSLATE(C1536,""ja"",""vi"")"),"Đấu giá&gt; làm đẹp, chăm sóc sức khỏe&gt; ​​Chăm sóc cơ thể&gt; Chăm sóc Foot&gt; Foot Bath")</f>
        <v>Đấu giá&gt; làm đẹp, chăm sóc sức khỏe&gt; ​​Chăm sóc cơ thể&gt; Chăm sóc Foot&gt; Foot Bath</v>
      </c>
      <c r="F1536" t="str">
        <f t="shared" ca="1" si="23"/>
        <v>"2084063421" : "foot Bath",</v>
      </c>
    </row>
    <row r="1537" spans="1:6" ht="15.75" customHeight="1">
      <c r="A1537" s="18">
        <v>2084047758</v>
      </c>
      <c r="B1537" s="18" t="s">
        <v>4271</v>
      </c>
      <c r="C1537" s="18" t="s">
        <v>15726</v>
      </c>
      <c r="D1537" s="5" t="str">
        <f ca="1">IFERROR(__xludf.DUMMYFUNCTION("GOOGLETRANSLATE(B1537,""ja"",""vi"")"),"foot Massager")</f>
        <v>foot Massager</v>
      </c>
      <c r="E1537" s="5" t="str">
        <f ca="1">IFERROR(__xludf.DUMMYFUNCTION("GOOGLETRANSLATE(C1537,""ja"",""vi"")"),"Đấu giá&gt; làm đẹp, chăm sóc sức khỏe&gt; ​​Chăm sóc cơ thể&gt; Chăm sóc Foot&gt; Foot Massager")</f>
        <v>Đấu giá&gt; làm đẹp, chăm sóc sức khỏe&gt; ​​Chăm sóc cơ thể&gt; Chăm sóc Foot&gt; Foot Massager</v>
      </c>
      <c r="F1537" t="str">
        <f t="shared" ca="1" si="23"/>
        <v>"2084047758" : "foot Massager",</v>
      </c>
    </row>
    <row r="1538" spans="1:6" ht="15.75" customHeight="1">
      <c r="A1538" s="18">
        <v>2084063418</v>
      </c>
      <c r="B1538" s="18" t="s">
        <v>15729</v>
      </c>
      <c r="C1538" s="18" t="s">
        <v>15730</v>
      </c>
      <c r="D1538" s="5" t="str">
        <f ca="1">IFERROR(__xludf.DUMMYFUNCTION("GOOGLETRANSLATE(B1538,""ja"",""vi"")"),"Khử mùi, vật tư khử mùi")</f>
        <v>Khử mùi, vật tư khử mùi</v>
      </c>
      <c r="E1538" s="5" t="str">
        <f ca="1">IFERROR(__xludf.DUMMYFUNCTION("GOOGLETRANSLATE(C1538,""ja"",""vi"")"),"Đấu giá&gt; làm đẹp, chăm sóc sức khỏe&gt; ​​Chăm sóc cơ thể&gt; Chăm sóc Foot&gt; khử mùi, vật tư khử mùi")</f>
        <v>Đấu giá&gt; làm đẹp, chăm sóc sức khỏe&gt; ​​Chăm sóc cơ thể&gt; Chăm sóc Foot&gt; khử mùi, vật tư khử mùi</v>
      </c>
      <c r="F1538" t="str">
        <f t="shared" ref="F1538:F1601" ca="1" si="24">CONCATENATE(CHAR(34)&amp;"",A1538,""&amp;CHAR(34)," : ", CHAR(34)&amp;"",D1538,""&amp;CHAR(34),",")</f>
        <v>"2084063418" : "Khử mùi, vật tư khử mùi",</v>
      </c>
    </row>
    <row r="1539" spans="1:6" ht="15.75" customHeight="1">
      <c r="A1539" s="18">
        <v>2084063419</v>
      </c>
      <c r="B1539" s="18" t="s">
        <v>46</v>
      </c>
      <c r="C1539" s="18" t="s">
        <v>15733</v>
      </c>
      <c r="D1539" s="5" t="str">
        <f ca="1">IFERROR(__xludf.DUMMYFUNCTION("GOOGLETRANSLATE(B1539,""ja"",""vi"")"),"nếu không thì")</f>
        <v>nếu không thì</v>
      </c>
      <c r="E1539" s="5" t="str">
        <f ca="1">IFERROR(__xludf.DUMMYFUNCTION("GOOGLETRANSLATE(C1539,""ja"",""vi"")"),"Đấu giá&gt; làm đẹp, chăm sóc sức khỏe&gt; ​​Chăm sóc cơ thể&gt; Chăm sóc Foot&gt; Khác")</f>
        <v>Đấu giá&gt; làm đẹp, chăm sóc sức khỏe&gt; ​​Chăm sóc cơ thể&gt; Chăm sóc Foot&gt; Khác</v>
      </c>
      <c r="F1539" t="str">
        <f t="shared" ca="1" si="24"/>
        <v>"2084063419" : "nếu không thì",</v>
      </c>
    </row>
    <row r="1540" spans="1:6" ht="15.75" customHeight="1">
      <c r="A1540" s="18">
        <v>2084238535</v>
      </c>
      <c r="B1540" s="18" t="s">
        <v>15734</v>
      </c>
      <c r="C1540" s="18" t="s">
        <v>15736</v>
      </c>
      <c r="D1540" s="5" t="str">
        <f ca="1">IFERROR(__xludf.DUMMYFUNCTION("GOOGLETRANSLATE(B1540,""ja"",""vi"")"),"cây giày")</f>
        <v>cây giày</v>
      </c>
      <c r="E1540" s="5" t="str">
        <f ca="1">IFERROR(__xludf.DUMMYFUNCTION("GOOGLETRANSLATE(C1540,""ja"",""vi"")"),"Đấu giá&gt; nhà, nội thất&gt; hàng gia dụng&gt; giày nguồn cung cấp&gt; cây giày")</f>
        <v>Đấu giá&gt; nhà, nội thất&gt; hàng gia dụng&gt; giày nguồn cung cấp&gt; cây giày</v>
      </c>
      <c r="F1540" t="str">
        <f t="shared" ca="1" si="24"/>
        <v>"2084238535" : "cây giày",</v>
      </c>
    </row>
    <row r="1541" spans="1:6" ht="15.75" customHeight="1">
      <c r="A1541" s="18">
        <v>2084238531</v>
      </c>
      <c r="B1541" s="18" t="s">
        <v>15738</v>
      </c>
      <c r="C1541" s="18" t="s">
        <v>15740</v>
      </c>
      <c r="D1541" s="5" t="str">
        <f ca="1">IFERROR(__xludf.DUMMYFUNCTION("GOOGLETRANSLATE(B1541,""ja"",""vi"")"),"Bảo thủ dầu, dầu")</f>
        <v>Bảo thủ dầu, dầu</v>
      </c>
      <c r="E1541" s="5" t="str">
        <f ca="1">IFERROR(__xludf.DUMMYFUNCTION("GOOGLETRANSLATE(C1541,""ja"",""vi"")"),"Đấu giá&gt; nhà, nội thất&gt; hàng gia dụng&gt; giày nguồn cung cấp&gt; bảo thủ dầu, dầu")</f>
        <v>Đấu giá&gt; nhà, nội thất&gt; hàng gia dụng&gt; giày nguồn cung cấp&gt; bảo thủ dầu, dầu</v>
      </c>
      <c r="F1541" t="str">
        <f t="shared" ca="1" si="24"/>
        <v>"2084238531" : "Bảo thủ dầu, dầu",</v>
      </c>
    </row>
    <row r="1542" spans="1:6" ht="15.75" customHeight="1">
      <c r="A1542" s="18">
        <v>2084238530</v>
      </c>
      <c r="B1542" s="18" t="s">
        <v>15741</v>
      </c>
      <c r="C1542" s="18" t="s">
        <v>15743</v>
      </c>
      <c r="D1542" s="5" t="str">
        <f ca="1">IFERROR(__xludf.DUMMYFUNCTION("GOOGLETRANSLATE(B1542,""ja"",""vi"")"),"đại lý chống thấm")</f>
        <v>đại lý chống thấm</v>
      </c>
      <c r="E1542" s="5" t="str">
        <f ca="1">IFERROR(__xludf.DUMMYFUNCTION("GOOGLETRANSLATE(C1542,""ja"",""vi"")"),"Đấu giá&gt; nhà, nội thất&gt; hàng gia dụng&gt; giày nguồn cung cấp&gt; đại lý chống thấm")</f>
        <v>Đấu giá&gt; nhà, nội thất&gt; hàng gia dụng&gt; giày nguồn cung cấp&gt; đại lý chống thấm</v>
      </c>
      <c r="F1542" t="str">
        <f t="shared" ca="1" si="24"/>
        <v>"2084238530" : "đại lý chống thấm",</v>
      </c>
    </row>
    <row r="1543" spans="1:6" ht="15.75" customHeight="1">
      <c r="A1543" s="18">
        <v>2084238538</v>
      </c>
      <c r="B1543" s="18" t="s">
        <v>46</v>
      </c>
      <c r="C1543" s="18" t="s">
        <v>15745</v>
      </c>
      <c r="D1543" s="5" t="str">
        <f ca="1">IFERROR(__xludf.DUMMYFUNCTION("GOOGLETRANSLATE(B1543,""ja"",""vi"")"),"nếu không thì")</f>
        <v>nếu không thì</v>
      </c>
      <c r="E1543" s="5" t="str">
        <f ca="1">IFERROR(__xludf.DUMMYFUNCTION("GOOGLETRANSLATE(C1543,""ja"",""vi"")"),"Đấu giá&gt; nhà, nội thất&gt; hàng gia dụng&gt; giày nguồn cung cấp&gt; Khác")</f>
        <v>Đấu giá&gt; nhà, nội thất&gt; hàng gia dụng&gt; giày nguồn cung cấp&gt; Khác</v>
      </c>
      <c r="F1543" t="str">
        <f t="shared" ca="1" si="24"/>
        <v>"2084238538" : "nếu không thì",</v>
      </c>
    </row>
    <row r="1544" spans="1:6" ht="15.75" customHeight="1">
      <c r="A1544" s="18">
        <v>2084308407</v>
      </c>
      <c r="B1544" s="18" t="s">
        <v>15396</v>
      </c>
      <c r="C1544" s="18" t="s">
        <v>15398</v>
      </c>
      <c r="D1544" s="5" t="str">
        <f ca="1">IFERROR(__xludf.DUMMYFUNCTION("GOOGLETRANSLATE(B1544,""ja"",""vi"")"),"túi")</f>
        <v>túi</v>
      </c>
      <c r="E1544" s="5" t="str">
        <f ca="1">IFERROR(__xludf.DUMMYFUNCTION("GOOGLETRANSLATE(C1544,""ja"",""vi"")"),"Đấu giá&gt; Thời trang&gt; Kimono, kimono&gt; ví, túi&gt; ví")</f>
        <v>Đấu giá&gt; Thời trang&gt; Kimono, kimono&gt; ví, túi&gt; ví</v>
      </c>
      <c r="F1544" t="str">
        <f t="shared" ca="1" si="24"/>
        <v>"2084308407" : "túi",</v>
      </c>
    </row>
    <row r="1545" spans="1:6" ht="15.75" customHeight="1">
      <c r="A1545" s="18">
        <v>2084308406</v>
      </c>
      <c r="B1545" s="18" t="s">
        <v>8599</v>
      </c>
      <c r="C1545" s="18" t="s">
        <v>15401</v>
      </c>
      <c r="D1545" s="5" t="str">
        <f ca="1">IFERROR(__xludf.DUMMYFUNCTION("GOOGLETRANSLATE(B1545,""ja"",""vi"")"),"túi")</f>
        <v>túi</v>
      </c>
      <c r="E1545" s="5" t="str">
        <f ca="1">IFERROR(__xludf.DUMMYFUNCTION("GOOGLETRANSLATE(C1545,""ja"",""vi"")"),"Đấu giá&gt; Thời trang&gt; Kimono, kimono&gt; ví, túi&gt; túi")</f>
        <v>Đấu giá&gt; Thời trang&gt; Kimono, kimono&gt; ví, túi&gt; túi</v>
      </c>
      <c r="F1545" t="str">
        <f t="shared" ca="1" si="24"/>
        <v>"2084308406" : "túi",</v>
      </c>
    </row>
    <row r="1546" spans="1:6" ht="15.75" customHeight="1">
      <c r="A1546" s="18">
        <v>2084309301</v>
      </c>
      <c r="B1546" s="18" t="s">
        <v>15642</v>
      </c>
      <c r="C1546" s="18" t="s">
        <v>15644</v>
      </c>
      <c r="D1546" s="5" t="str">
        <f ca="1">IFERROR(__xludf.DUMMYFUNCTION("GOOGLETRANSLATE(B1546,""ja"",""vi"")"),"S cun dưới đây")</f>
        <v>S cun dưới đây</v>
      </c>
      <c r="E1546" s="5" t="str">
        <f ca="1">IFERROR(__xludf.DUMMYFUNCTION("GOOGLETRANSLATE(C1546,""ja"",""vi"")"),"Đấu giá&gt; Thời trang&gt; Kimono, kimono&gt; geta, dép&gt; S cun dưới đây")</f>
        <v>Đấu giá&gt; Thời trang&gt; Kimono, kimono&gt; geta, dép&gt; S cun dưới đây</v>
      </c>
      <c r="F1546" t="str">
        <f t="shared" ca="1" si="24"/>
        <v>"2084309301" : "S cun dưới đây",</v>
      </c>
    </row>
    <row r="1547" spans="1:6" ht="15.75" customHeight="1">
      <c r="A1547" s="18">
        <v>2084309302</v>
      </c>
      <c r="B1547" s="18" t="s">
        <v>15647</v>
      </c>
      <c r="C1547" s="18" t="s">
        <v>15650</v>
      </c>
      <c r="D1547" s="5" t="str">
        <f ca="1">IFERROR(__xludf.DUMMYFUNCTION("GOOGLETRANSLATE(B1547,""ja"",""vi"")"),"M Kích thước")</f>
        <v>M Kích thước</v>
      </c>
      <c r="E1547" s="5" t="str">
        <f ca="1">IFERROR(__xludf.DUMMYFUNCTION("GOOGLETRANSLATE(C1547,""ja"",""vi"")"),"Đấu giá&gt; Thời trang&gt; Kimono, kimono&gt; geta, dép&gt; M kích thước")</f>
        <v>Đấu giá&gt; Thời trang&gt; Kimono, kimono&gt; geta, dép&gt; M kích thước</v>
      </c>
      <c r="F1547" t="str">
        <f t="shared" ca="1" si="24"/>
        <v>"2084309302" : "M Kích thước",</v>
      </c>
    </row>
    <row r="1548" spans="1:6" ht="15.75" customHeight="1">
      <c r="A1548" s="18">
        <v>2084309303</v>
      </c>
      <c r="B1548" s="18" t="s">
        <v>15651</v>
      </c>
      <c r="C1548" s="18" t="s">
        <v>15654</v>
      </c>
      <c r="D1548" s="5" t="str">
        <f ca="1">IFERROR(__xludf.DUMMYFUNCTION("GOOGLETRANSLATE(B1548,""ja"",""vi"")"),"L Kích thước")</f>
        <v>L Kích thước</v>
      </c>
      <c r="E1548" s="5" t="str">
        <f ca="1">IFERROR(__xludf.DUMMYFUNCTION("GOOGLETRANSLATE(C1548,""ja"",""vi"")"),"Đấu giá&gt; Thời trang&gt; Kimono, kimono&gt; geta, dép&gt; L Kích thước")</f>
        <v>Đấu giá&gt; Thời trang&gt; Kimono, kimono&gt; geta, dép&gt; L Kích thước</v>
      </c>
      <c r="F1548" t="str">
        <f t="shared" ca="1" si="24"/>
        <v>"2084309303" : "L Kích thước",</v>
      </c>
    </row>
    <row r="1549" spans="1:6" ht="15.75" customHeight="1">
      <c r="A1549" s="18">
        <v>2084309304</v>
      </c>
      <c r="B1549" s="18" t="s">
        <v>15657</v>
      </c>
      <c r="C1549" s="18" t="s">
        <v>15658</v>
      </c>
      <c r="D1549" s="5" t="str">
        <f ca="1">IFERROR(__xludf.DUMMYFUNCTION("GOOGLETRANSLATE(B1549,""ja"",""vi"")"),"LL cun hơn")</f>
        <v>LL cun hơn</v>
      </c>
      <c r="E1549" s="5" t="str">
        <f ca="1">IFERROR(__xludf.DUMMYFUNCTION("GOOGLETRANSLATE(C1549,""ja"",""vi"")"),"Đấu giá&gt; Thời trang&gt; Kimono, kimono&gt; geta, dép&gt; LL cun hơn")</f>
        <v>Đấu giá&gt; Thời trang&gt; Kimono, kimono&gt; geta, dép&gt; LL cun hơn</v>
      </c>
      <c r="F1549" t="str">
        <f t="shared" ca="1" si="24"/>
        <v>"2084309304" : "LL cun hơn",</v>
      </c>
    </row>
    <row r="1550" spans="1:6" ht="15.75" customHeight="1">
      <c r="A1550" s="18">
        <v>2084309305</v>
      </c>
      <c r="B1550" s="18" t="s">
        <v>15754</v>
      </c>
      <c r="C1550" s="18" t="s">
        <v>15755</v>
      </c>
      <c r="D1550" s="5" t="str">
        <f ca="1">IFERROR(__xludf.DUMMYFUNCTION("GOOGLETRANSLATE(B1550,""ja"",""vi"")"),"không may")</f>
        <v>không may</v>
      </c>
      <c r="E1550" s="5" t="str">
        <f ca="1">IFERROR(__xludf.DUMMYFUNCTION("GOOGLETRANSLATE(C1550,""ja"",""vi"")"),"Đấu giá&gt; Thời trang&gt; Kimono, kimono&gt; Komon&gt; Không may")</f>
        <v>Đấu giá&gt; Thời trang&gt; Kimono, kimono&gt; Komon&gt; Không may</v>
      </c>
      <c r="F1550" t="str">
        <f t="shared" ca="1" si="24"/>
        <v>"2084309305" : "không may",</v>
      </c>
    </row>
    <row r="1551" spans="1:6" ht="15.75" customHeight="1">
      <c r="A1551" s="18">
        <v>2084309306</v>
      </c>
      <c r="B1551" s="18" t="s">
        <v>15756</v>
      </c>
      <c r="C1551" s="18" t="s">
        <v>15757</v>
      </c>
      <c r="D1551" s="5" t="str">
        <f ca="1">IFERROR(__xludf.DUMMYFUNCTION("GOOGLETRANSLATE(B1551,""ja"",""vi"")"),"khâu")</f>
        <v>khâu</v>
      </c>
      <c r="E1551" s="5" t="str">
        <f ca="1">IFERROR(__xludf.DUMMYFUNCTION("GOOGLETRANSLATE(C1551,""ja"",""vi"")"),"Đấu giá&gt; Thời trang&gt; Kimono, kimono&gt; Komon&gt; may lên")</f>
        <v>Đấu giá&gt; Thời trang&gt; Kimono, kimono&gt; Komon&gt; may lên</v>
      </c>
      <c r="F1551" t="str">
        <f t="shared" ca="1" si="24"/>
        <v>"2084309306" : "khâu",</v>
      </c>
    </row>
    <row r="1552" spans="1:6" ht="15.75" customHeight="1">
      <c r="A1552" s="18">
        <v>2084309307</v>
      </c>
      <c r="B1552" s="18" t="s">
        <v>15754</v>
      </c>
      <c r="C1552" s="18" t="s">
        <v>15759</v>
      </c>
      <c r="D1552" s="5" t="str">
        <f ca="1">IFERROR(__xludf.DUMMYFUNCTION("GOOGLETRANSLATE(B1552,""ja"",""vi"")"),"không may")</f>
        <v>không may</v>
      </c>
      <c r="E1552" s="5" t="str">
        <f ca="1">IFERROR(__xludf.DUMMYFUNCTION("GOOGLETRANSLATE(C1552,""ja"",""vi"")"),"Đấu giá&gt; Thời trang&gt; Kimono, kimono&gt; màu trơn&gt; Không may")</f>
        <v>Đấu giá&gt; Thời trang&gt; Kimono, kimono&gt; màu trơn&gt; Không may</v>
      </c>
      <c r="F1552" t="str">
        <f t="shared" ca="1" si="24"/>
        <v>"2084309307" : "không may",</v>
      </c>
    </row>
    <row r="1553" spans="1:6" ht="15.75" customHeight="1">
      <c r="A1553" s="18">
        <v>2084309308</v>
      </c>
      <c r="B1553" s="18" t="s">
        <v>15756</v>
      </c>
      <c r="C1553" s="18" t="s">
        <v>15761</v>
      </c>
      <c r="D1553" s="5" t="str">
        <f ca="1">IFERROR(__xludf.DUMMYFUNCTION("GOOGLETRANSLATE(B1553,""ja"",""vi"")"),"khâu")</f>
        <v>khâu</v>
      </c>
      <c r="E1553" s="5" t="str">
        <f ca="1">IFERROR(__xludf.DUMMYFUNCTION("GOOGLETRANSLATE(C1553,""ja"",""vi"")"),"Đấu giá&gt; Thời trang&gt; Kimono, kimono&gt; màu trơn&gt; may lên")</f>
        <v>Đấu giá&gt; Thời trang&gt; Kimono, kimono&gt; màu trơn&gt; may lên</v>
      </c>
      <c r="F1553" t="str">
        <f t="shared" ca="1" si="24"/>
        <v>"2084309308" : "khâu",</v>
      </c>
    </row>
    <row r="1554" spans="1:6" ht="15.75" customHeight="1">
      <c r="A1554" s="18">
        <v>2084049725</v>
      </c>
      <c r="B1554" s="18" t="s">
        <v>15763</v>
      </c>
      <c r="C1554" s="18" t="s">
        <v>15764</v>
      </c>
      <c r="D1554" s="5" t="str">
        <f ca="1">IFERROR(__xludf.DUMMYFUNCTION("GOOGLETRANSLATE(B1554,""ja"",""vi"")"),"band đặt")</f>
        <v>band đặt</v>
      </c>
      <c r="E1554" s="5" t="str">
        <f ca="1">IFERROR(__xludf.DUMMYFUNCTION("GOOGLETRANSLATE(C1554,""ja"",""vi"")"),"Đấu giá&gt; Thời trang&gt; Kimono, kimono&gt; băng&gt; đeo băng")</f>
        <v>Đấu giá&gt; Thời trang&gt; Kimono, kimono&gt; băng&gt; đeo băng</v>
      </c>
      <c r="F1554" t="str">
        <f t="shared" ca="1" si="24"/>
        <v>"2084049725" : "band đặt",</v>
      </c>
    </row>
    <row r="1555" spans="1:6" ht="15.75" customHeight="1">
      <c r="A1555" s="18">
        <v>2084005477</v>
      </c>
      <c r="B1555" s="18" t="s">
        <v>15766</v>
      </c>
      <c r="C1555" s="18" t="s">
        <v>15768</v>
      </c>
      <c r="D1555" s="5" t="str">
        <f ca="1">IFERROR(__xludf.DUMMYFUNCTION("GOOGLETRANSLATE(B1555,""ja"",""vi"")"),"ban nhạc Nagoya")</f>
        <v>ban nhạc Nagoya</v>
      </c>
      <c r="E1555" s="5" t="str">
        <f ca="1">IFERROR(__xludf.DUMMYFUNCTION("GOOGLETRANSLATE(C1555,""ja"",""vi"")"),"Đấu giá&gt; Thời trang&gt; Kimono, kimono&gt; băng&gt; ban nhạc Nagoya")</f>
        <v>Đấu giá&gt; Thời trang&gt; Kimono, kimono&gt; băng&gt; ban nhạc Nagoya</v>
      </c>
      <c r="F1555" t="str">
        <f t="shared" ca="1" si="24"/>
        <v>"2084005477" : "ban nhạc Nagoya",</v>
      </c>
    </row>
    <row r="1556" spans="1:6" ht="15.75" customHeight="1">
      <c r="A1556" s="18">
        <v>2084005475</v>
      </c>
      <c r="B1556" s="18" t="s">
        <v>15770</v>
      </c>
      <c r="C1556" s="18" t="s">
        <v>15771</v>
      </c>
      <c r="D1556" s="5" t="str">
        <f ca="1">IFERROR(__xludf.DUMMYFUNCTION("GOOGLETRANSLATE(B1556,""ja"",""vi"")"),"Một mảnh sash")</f>
        <v>Một mảnh sash</v>
      </c>
      <c r="E1556" s="5" t="str">
        <f ca="1">IFERROR(__xludf.DUMMYFUNCTION("GOOGLETRANSLATE(C1556,""ja"",""vi"")"),"Đấu giá&gt; Thời trang&gt; Kimono, kimono&gt; băng&gt; one-piece sash")</f>
        <v>Đấu giá&gt; Thời trang&gt; Kimono, kimono&gt; băng&gt; one-piece sash</v>
      </c>
      <c r="F1556" t="str">
        <f t="shared" ca="1" si="24"/>
        <v>"2084005475" : "Một mảnh sash",</v>
      </c>
    </row>
    <row r="1557" spans="1:6" ht="15.75" customHeight="1">
      <c r="A1557" s="18">
        <v>2084005476</v>
      </c>
      <c r="B1557" s="18" t="s">
        <v>15774</v>
      </c>
      <c r="C1557" s="18" t="s">
        <v>15775</v>
      </c>
      <c r="D1557" s="5" t="str">
        <f ca="1">IFERROR(__xludf.DUMMYFUNCTION("GOOGLETRANSLATE(B1557,""ja"",""vi"")"),"Fukuro")</f>
        <v>Fukuro</v>
      </c>
      <c r="E1557" s="5" t="str">
        <f ca="1">IFERROR(__xludf.DUMMYFUNCTION("GOOGLETRANSLATE(C1557,""ja"",""vi"")"),"Đấu giá&gt; Thời trang&gt; Kimono, kimono&gt; băng&gt; Fukuro")</f>
        <v>Đấu giá&gt; Thời trang&gt; Kimono, kimono&gt; băng&gt; Fukuro</v>
      </c>
      <c r="F1557" t="str">
        <f t="shared" ca="1" si="24"/>
        <v>"2084005476" : "Fukuro",</v>
      </c>
    </row>
    <row r="1558" spans="1:6" ht="15.75" customHeight="1">
      <c r="A1558" s="18">
        <v>2084049573</v>
      </c>
      <c r="B1558" s="18" t="s">
        <v>15777</v>
      </c>
      <c r="C1558" s="18" t="s">
        <v>15778</v>
      </c>
      <c r="D1558" s="5" t="str">
        <f ca="1">IFERROR(__xludf.DUMMYFUNCTION("GOOGLETRANSLATE(B1558,""ja"",""vi"")"),"ban nhạc nửa chiều rộng")</f>
        <v>ban nhạc nửa chiều rộng</v>
      </c>
      <c r="E1558" s="5" t="str">
        <f ca="1">IFERROR(__xludf.DUMMYFUNCTION("GOOGLETRANSLATE(C1558,""ja"",""vi"")"),"Đấu giá&gt; Thời trang&gt; Kimono, kimono&gt; băng&gt; ban nhạc nửa chiều rộng")</f>
        <v>Đấu giá&gt; Thời trang&gt; Kimono, kimono&gt; băng&gt; ban nhạc nửa chiều rộng</v>
      </c>
      <c r="F1558" t="str">
        <f t="shared" ca="1" si="24"/>
        <v>"2084049573" : "ban nhạc nửa chiều rộng",</v>
      </c>
    </row>
    <row r="1559" spans="1:6" ht="15.75" customHeight="1">
      <c r="A1559" s="18">
        <v>2084005478</v>
      </c>
      <c r="B1559" s="18" t="s">
        <v>46</v>
      </c>
      <c r="C1559" s="18" t="s">
        <v>15782</v>
      </c>
      <c r="D1559" s="5" t="str">
        <f ca="1">IFERROR(__xludf.DUMMYFUNCTION("GOOGLETRANSLATE(B1559,""ja"",""vi"")"),"nếu không thì")</f>
        <v>nếu không thì</v>
      </c>
      <c r="E1559" s="5" t="str">
        <f ca="1">IFERROR(__xludf.DUMMYFUNCTION("GOOGLETRANSLATE(C1559,""ja"",""vi"")"),"Đấu giá&gt; Thời trang&gt; Kimono, kimono&gt; băng&gt; Khác")</f>
        <v>Đấu giá&gt; Thời trang&gt; Kimono, kimono&gt; băng&gt; Khác</v>
      </c>
      <c r="F1559" t="str">
        <f t="shared" ca="1" si="24"/>
        <v>"2084005478" : "nếu không thì",</v>
      </c>
    </row>
    <row r="1560" spans="1:6" ht="15.75" customHeight="1">
      <c r="A1560" s="18">
        <v>2084308408</v>
      </c>
      <c r="B1560" s="18" t="s">
        <v>15783</v>
      </c>
      <c r="C1560" s="18" t="s">
        <v>15784</v>
      </c>
      <c r="D1560" s="5" t="str">
        <f ca="1">IFERROR(__xludf.DUMMYFUNCTION("GOOGLETRANSLATE(B1560,""ja"",""vi"")"),"Oshima Tsumugi")</f>
        <v>Oshima Tsumugi</v>
      </c>
      <c r="E1560" s="5" t="str">
        <f ca="1">IFERROR(__xludf.DUMMYFUNCTION("GOOGLETRANSLATE(C1560,""ja"",""vi"")"),"Đấu giá&gt; Thời trang&gt; Kimono, kimono&gt; loại tơ sống, triệu tập&gt; Oshima Tsumugi")</f>
        <v>Đấu giá&gt; Thời trang&gt; Kimono, kimono&gt; loại tơ sống, triệu tập&gt; Oshima Tsumugi</v>
      </c>
      <c r="F1560" t="str">
        <f t="shared" ca="1" si="24"/>
        <v>"2084308408" : "Oshima Tsumugi",</v>
      </c>
    </row>
    <row r="1561" spans="1:6" ht="15.75" customHeight="1">
      <c r="A1561" s="18">
        <v>2084308409</v>
      </c>
      <c r="B1561" s="18" t="s">
        <v>15786</v>
      </c>
      <c r="C1561" s="18" t="s">
        <v>15787</v>
      </c>
      <c r="D1561" s="5" t="str">
        <f ca="1">IFERROR(__xludf.DUMMYFUNCTION("GOOGLETRANSLATE(B1561,""ja"",""vi"")"),"Yūki-tsumugi")</f>
        <v>Yūki-tsumugi</v>
      </c>
      <c r="E1561" s="5" t="str">
        <f ca="1">IFERROR(__xludf.DUMMYFUNCTION("GOOGLETRANSLATE(C1561,""ja"",""vi"")"),"Đấu giá&gt; Thời trang&gt; Kimono, kimono&gt; loại tơ sống, triệu tập&gt; Yūki-tsumugi")</f>
        <v>Đấu giá&gt; Thời trang&gt; Kimono, kimono&gt; loại tơ sống, triệu tập&gt; Yūki-tsumugi</v>
      </c>
      <c r="F1561" t="str">
        <f t="shared" ca="1" si="24"/>
        <v>"2084308409" : "Yūki-tsumugi",</v>
      </c>
    </row>
    <row r="1562" spans="1:6" ht="15.75" customHeight="1">
      <c r="A1562" s="18">
        <v>2084308410</v>
      </c>
      <c r="B1562" s="18" t="s">
        <v>15791</v>
      </c>
      <c r="C1562" s="18" t="s">
        <v>15792</v>
      </c>
      <c r="D1562" s="5" t="str">
        <f ca="1">IFERROR(__xludf.DUMMYFUNCTION("GOOGLETRANSLATE(B1562,""ja"",""vi"")"),"Shiozawa loại tơ sống")</f>
        <v>Shiozawa loại tơ sống</v>
      </c>
      <c r="E1562" s="5" t="str">
        <f ca="1">IFERROR(__xludf.DUMMYFUNCTION("GOOGLETRANSLATE(C1562,""ja"",""vi"")"),"Đấu giá&gt; Thời trang&gt; Kimono, kimono&gt; loại tơ sống, triệu tập&gt; Shiozawa loại tơ sống")</f>
        <v>Đấu giá&gt; Thời trang&gt; Kimono, kimono&gt; loại tơ sống, triệu tập&gt; Shiozawa loại tơ sống</v>
      </c>
      <c r="F1562" t="str">
        <f t="shared" ca="1" si="24"/>
        <v>"2084308410" : "Shiozawa loại tơ sống",</v>
      </c>
    </row>
    <row r="1563" spans="1:6" ht="15.75" customHeight="1">
      <c r="A1563" s="18">
        <v>2084308411</v>
      </c>
      <c r="B1563" s="18" t="s">
        <v>15795</v>
      </c>
      <c r="C1563" s="18" t="s">
        <v>15797</v>
      </c>
      <c r="D1563" s="5" t="str">
        <f ca="1">IFERROR(__xludf.DUMMYFUNCTION("GOOGLETRANSLATE(B1563,""ja"",""vi"")"),"Yonezawa loại tơ sống")</f>
        <v>Yonezawa loại tơ sống</v>
      </c>
      <c r="E1563" s="5" t="str">
        <f ca="1">IFERROR(__xludf.DUMMYFUNCTION("GOOGLETRANSLATE(C1563,""ja"",""vi"")"),"Đấu giá&gt; Thời trang&gt; Kimono, kimono&gt; loại tơ sống, triệu tập&gt; Yonezawa loại tơ sống")</f>
        <v>Đấu giá&gt; Thời trang&gt; Kimono, kimono&gt; loại tơ sống, triệu tập&gt; Yonezawa loại tơ sống</v>
      </c>
      <c r="F1563" t="str">
        <f t="shared" ca="1" si="24"/>
        <v>"2084308411" : "Yonezawa loại tơ sống",</v>
      </c>
    </row>
    <row r="1564" spans="1:6" ht="15.75" customHeight="1">
      <c r="A1564" s="18">
        <v>2084308412</v>
      </c>
      <c r="B1564" s="18" t="s">
        <v>46</v>
      </c>
      <c r="C1564" s="18" t="s">
        <v>15801</v>
      </c>
      <c r="D1564" s="5" t="str">
        <f ca="1">IFERROR(__xludf.DUMMYFUNCTION("GOOGLETRANSLATE(B1564,""ja"",""vi"")"),"nếu không thì")</f>
        <v>nếu không thì</v>
      </c>
      <c r="E1564" s="5" t="str">
        <f ca="1">IFERROR(__xludf.DUMMYFUNCTION("GOOGLETRANSLATE(C1564,""ja"",""vi"")"),"Đấu giá&gt; Thời trang&gt; Kimono, kimono&gt; loại tơ sống, triệu tập&gt; Khác")</f>
        <v>Đấu giá&gt; Thời trang&gt; Kimono, kimono&gt; loại tơ sống, triệu tập&gt; Khác</v>
      </c>
      <c r="F1564" t="str">
        <f t="shared" ca="1" si="24"/>
        <v>"2084308412" : "nếu không thì",</v>
      </c>
    </row>
    <row r="1565" spans="1:6" ht="15.75" customHeight="1">
      <c r="A1565" s="18">
        <v>2084308413</v>
      </c>
      <c r="B1565" s="18" t="s">
        <v>15754</v>
      </c>
      <c r="C1565" s="18" t="s">
        <v>15804</v>
      </c>
      <c r="D1565" s="5" t="str">
        <f ca="1">IFERROR(__xludf.DUMMYFUNCTION("GOOGLETRANSLATE(B1565,""ja"",""vi"")"),"không may")</f>
        <v>không may</v>
      </c>
      <c r="E1565" s="5" t="str">
        <f ca="1">IFERROR(__xludf.DUMMYFUNCTION("GOOGLETRANSLATE(C1565,""ja"",""vi"")"),"Đấu giá&gt; Thời trang&gt; Kimono, kimono&gt; Houmongi&gt; Không may")</f>
        <v>Đấu giá&gt; Thời trang&gt; Kimono, kimono&gt; Houmongi&gt; Không may</v>
      </c>
      <c r="F1565" t="str">
        <f t="shared" ca="1" si="24"/>
        <v>"2084308413" : "không may",</v>
      </c>
    </row>
    <row r="1566" spans="1:6" ht="15.75" customHeight="1">
      <c r="A1566" s="18">
        <v>2084308414</v>
      </c>
      <c r="B1566" s="18" t="s">
        <v>15756</v>
      </c>
      <c r="C1566" s="18" t="s">
        <v>15806</v>
      </c>
      <c r="D1566" s="5" t="str">
        <f ca="1">IFERROR(__xludf.DUMMYFUNCTION("GOOGLETRANSLATE(B1566,""ja"",""vi"")"),"khâu")</f>
        <v>khâu</v>
      </c>
      <c r="E1566" s="5" t="str">
        <f ca="1">IFERROR(__xludf.DUMMYFUNCTION("GOOGLETRANSLATE(C1566,""ja"",""vi"")"),"Đấu giá&gt; Thời trang&gt; Kimono, kimono&gt; Houmongi&gt; may lên")</f>
        <v>Đấu giá&gt; Thời trang&gt; Kimono, kimono&gt; Houmongi&gt; may lên</v>
      </c>
      <c r="F1566" t="str">
        <f t="shared" ca="1" si="24"/>
        <v>"2084308414" : "khâu",</v>
      </c>
    </row>
    <row r="1567" spans="1:6" ht="15.75" customHeight="1">
      <c r="A1567" s="18">
        <v>2084211806</v>
      </c>
      <c r="B1567" s="18" t="s">
        <v>15809</v>
      </c>
      <c r="C1567" s="18" t="s">
        <v>15810</v>
      </c>
      <c r="D1567" s="5" t="str">
        <f ca="1">IFERROR(__xludf.DUMMYFUNCTION("GOOGLETRANSLATE(B1567,""ja"",""vi"")"),"Một bộ ba điểm")</f>
        <v>Một bộ ba điểm</v>
      </c>
      <c r="E1567" s="5" t="str">
        <f ca="1">IFERROR(__xludf.DUMMYFUNCTION("GOOGLETRANSLATE(C1567,""ja"",""vi"")"),"Đấu giá&gt; Thời trang&gt; Kimono, kimono&gt; yukata&gt; bộ ba điểm")</f>
        <v>Đấu giá&gt; Thời trang&gt; Kimono, kimono&gt; yukata&gt; bộ ba điểm</v>
      </c>
      <c r="F1567" t="str">
        <f t="shared" ca="1" si="24"/>
        <v>"2084211806" : "Một bộ ba điểm",</v>
      </c>
    </row>
    <row r="1568" spans="1:6" ht="15.75" customHeight="1">
      <c r="A1568" s="18">
        <v>2084211809</v>
      </c>
      <c r="B1568" s="18" t="s">
        <v>8463</v>
      </c>
      <c r="C1568" s="18" t="s">
        <v>15814</v>
      </c>
      <c r="D1568" s="5" t="str">
        <f ca="1">IFERROR(__xludf.DUMMYFUNCTION("GOOGLETRANSLATE(B1568,""ja"",""vi"")"),"dây lưng lụa")</f>
        <v>dây lưng lụa</v>
      </c>
      <c r="E1568" s="5" t="str">
        <f ca="1">IFERROR(__xludf.DUMMYFUNCTION("GOOGLETRANSLATE(C1568,""ja"",""vi"")"),"Đấu giá&gt; Thời trang&gt; Kimono, kimono&gt; yukata&gt; band")</f>
        <v>Đấu giá&gt; Thời trang&gt; Kimono, kimono&gt; yukata&gt; band</v>
      </c>
      <c r="F1568" t="str">
        <f t="shared" ca="1" si="24"/>
        <v>"2084211809" : "dây lưng lụa",</v>
      </c>
    </row>
    <row r="1569" spans="1:6" ht="15.75" customHeight="1">
      <c r="A1569" s="18">
        <v>2084211812</v>
      </c>
      <c r="B1569" s="18" t="s">
        <v>15819</v>
      </c>
      <c r="C1569" s="18" t="s">
        <v>15820</v>
      </c>
      <c r="D1569" s="5" t="str">
        <f ca="1">IFERROR(__xludf.DUMMYFUNCTION("GOOGLETRANSLATE(B1569,""ja"",""vi"")"),"vải")</f>
        <v>vải</v>
      </c>
      <c r="E1569" s="5" t="str">
        <f ca="1">IFERROR(__xludf.DUMMYFUNCTION("GOOGLETRANSLATE(C1569,""ja"",""vi"")"),"Đấu giá&gt; Thời trang&gt; Kimono, kimono&gt; yukata&gt; vải")</f>
        <v>Đấu giá&gt; Thời trang&gt; Kimono, kimono&gt; yukata&gt; vải</v>
      </c>
      <c r="F1569" t="str">
        <f t="shared" ca="1" si="24"/>
        <v>"2084211812" : "vải",</v>
      </c>
    </row>
    <row r="1570" spans="1:6" ht="15.75" customHeight="1">
      <c r="A1570" s="18">
        <v>2084211793</v>
      </c>
      <c r="B1570" s="18" t="s">
        <v>15824</v>
      </c>
      <c r="C1570" s="18" t="s">
        <v>15826</v>
      </c>
      <c r="D1570" s="5" t="str">
        <f ca="1">IFERROR(__xludf.DUMMYFUNCTION("GOOGLETRANSLATE(B1570,""ja"",""vi"")"),"Yukata (với ban nhạc)")</f>
        <v>Yukata (với ban nhạc)</v>
      </c>
      <c r="E1570" s="5" t="str">
        <f ca="1">IFERROR(__xludf.DUMMYFUNCTION("GOOGLETRANSLATE(C1570,""ja"",""vi"")"),"Đấu giá&gt; Thời trang&gt; Kimono, kimono&gt; yukata&gt; yukata (với ban nhạc)")</f>
        <v>Đấu giá&gt; Thời trang&gt; Kimono, kimono&gt; yukata&gt; yukata (với ban nhạc)</v>
      </c>
      <c r="F1570" t="str">
        <f t="shared" ca="1" si="24"/>
        <v>"2084211793" : "Yukata (với ban nhạc)",</v>
      </c>
    </row>
    <row r="1571" spans="1:6" ht="15.75" customHeight="1">
      <c r="A1571" s="18">
        <v>2084211769</v>
      </c>
      <c r="B1571" s="18" t="s">
        <v>15829</v>
      </c>
      <c r="C1571" s="18" t="s">
        <v>15830</v>
      </c>
      <c r="D1571" s="5" t="str">
        <f ca="1">IFERROR(__xludf.DUMMYFUNCTION("GOOGLETRANSLATE(B1571,""ja"",""vi"")"),"Yukata (không hợp nhất)")</f>
        <v>Yukata (không hợp nhất)</v>
      </c>
      <c r="E1571" s="5" t="str">
        <f ca="1">IFERROR(__xludf.DUMMYFUNCTION("GOOGLETRANSLATE(C1571,""ja"",""vi"")"),"Đấu giá&gt; Thời trang&gt; Kimono, kimono&gt; yukata&gt; yukata (không hợp nhất)")</f>
        <v>Đấu giá&gt; Thời trang&gt; Kimono, kimono&gt; yukata&gt; yukata (không hợp nhất)</v>
      </c>
      <c r="F1571" t="str">
        <f t="shared" ca="1" si="24"/>
        <v>"2084211769" : "Yukata (không hợp nhất)",</v>
      </c>
    </row>
    <row r="1572" spans="1:6" ht="15.75" customHeight="1">
      <c r="A1572" s="18">
        <v>2084211817</v>
      </c>
      <c r="B1572" s="18" t="s">
        <v>46</v>
      </c>
      <c r="C1572" s="18" t="s">
        <v>15832</v>
      </c>
      <c r="D1572" s="5" t="str">
        <f ca="1">IFERROR(__xludf.DUMMYFUNCTION("GOOGLETRANSLATE(B1572,""ja"",""vi"")"),"nếu không thì")</f>
        <v>nếu không thì</v>
      </c>
      <c r="E1572" s="5" t="str">
        <f ca="1">IFERROR(__xludf.DUMMYFUNCTION("GOOGLETRANSLATE(C1572,""ja"",""vi"")"),"Đấu giá&gt; Thời trang&gt; Kimono, kimono&gt; yukata&gt; Khác")</f>
        <v>Đấu giá&gt; Thời trang&gt; Kimono, kimono&gt; yukata&gt; Khác</v>
      </c>
      <c r="F1572" t="str">
        <f t="shared" ca="1" si="24"/>
        <v>"2084211817" : "nếu không thì",</v>
      </c>
    </row>
    <row r="1573" spans="1:6" ht="15.75" customHeight="1">
      <c r="A1573" s="18">
        <v>2084308415</v>
      </c>
      <c r="B1573" s="18" t="s">
        <v>15754</v>
      </c>
      <c r="C1573" s="18" t="s">
        <v>15835</v>
      </c>
      <c r="D1573" s="5" t="str">
        <f ca="1">IFERROR(__xludf.DUMMYFUNCTION("GOOGLETRANSLATE(B1573,""ja"",""vi"")"),"không may")</f>
        <v>không may</v>
      </c>
      <c r="E1573" s="5" t="str">
        <f ca="1">IFERROR(__xludf.DUMMYFUNCTION("GOOGLETRANSLATE(C1573,""ja"",""vi"")"),"Đấu giá&gt; Thời trang&gt; Kimono, kimono&gt; Nagajuban&gt; Không may")</f>
        <v>Đấu giá&gt; Thời trang&gt; Kimono, kimono&gt; Nagajuban&gt; Không may</v>
      </c>
      <c r="F1573" t="str">
        <f t="shared" ca="1" si="24"/>
        <v>"2084308415" : "không may",</v>
      </c>
    </row>
    <row r="1574" spans="1:6" ht="15.75" customHeight="1">
      <c r="A1574" s="18">
        <v>2084308416</v>
      </c>
      <c r="B1574" s="18" t="s">
        <v>15756</v>
      </c>
      <c r="C1574" s="18" t="s">
        <v>15837</v>
      </c>
      <c r="D1574" s="5" t="str">
        <f ca="1">IFERROR(__xludf.DUMMYFUNCTION("GOOGLETRANSLATE(B1574,""ja"",""vi"")"),"khâu")</f>
        <v>khâu</v>
      </c>
      <c r="E1574" s="5" t="str">
        <f ca="1">IFERROR(__xludf.DUMMYFUNCTION("GOOGLETRANSLATE(C1574,""ja"",""vi"")"),"Đấu giá&gt; Thời trang&gt; Kimono, kimono&gt; Nagajuban&gt; may lên")</f>
        <v>Đấu giá&gt; Thời trang&gt; Kimono, kimono&gt; Nagajuban&gt; may lên</v>
      </c>
      <c r="F1574" t="str">
        <f t="shared" ca="1" si="24"/>
        <v>"2084308416" : "khâu",</v>
      </c>
    </row>
    <row r="1575" spans="1:6" ht="15.75" customHeight="1">
      <c r="A1575" s="18">
        <v>2084057846</v>
      </c>
      <c r="B1575" s="18" t="s">
        <v>7238</v>
      </c>
      <c r="C1575" s="18" t="s">
        <v>15840</v>
      </c>
      <c r="D1575" s="5" t="str">
        <f ca="1">IFERROR(__xludf.DUMMYFUNCTION("GOOGLETRANSLATE(B1575,""ja"",""vi"")"),"Dragonfly bóng")</f>
        <v>Dragonfly bóng</v>
      </c>
      <c r="E1575" s="5" t="str">
        <f ca="1">IFERROR(__xludf.DUMMYFUNCTION("GOOGLETRANSLATE(C1575,""ja"",""vi"")"),"Đấu giá&gt; Thời trang&gt; Kimono, kimono&gt; kimono phụ kiện&gt; bóng chuồn chuồn")</f>
        <v>Đấu giá&gt; Thời trang&gt; Kimono, kimono&gt; kimono phụ kiện&gt; bóng chuồn chuồn</v>
      </c>
      <c r="F1575" t="str">
        <f t="shared" ca="1" si="24"/>
        <v>"2084057846" : "Dragonfly bóng",</v>
      </c>
    </row>
    <row r="1576" spans="1:6" ht="15.75" customHeight="1">
      <c r="A1576" s="18">
        <v>2084061202</v>
      </c>
      <c r="B1576" s="18" t="s">
        <v>15843</v>
      </c>
      <c r="C1576" s="18" t="s">
        <v>15844</v>
      </c>
      <c r="D1576" s="5" t="str">
        <f ca="1">IFERROR(__xludf.DUMMYFUNCTION("GOOGLETRANSLATE(B1576,""ja"",""vi"")"),"wrapper lụa nhỏ")</f>
        <v>wrapper lụa nhỏ</v>
      </c>
      <c r="E1576" s="5" t="str">
        <f ca="1">IFERROR(__xludf.DUMMYFUNCTION("GOOGLETRANSLATE(C1576,""ja"",""vi"")"),"Đấu giá&gt; Thời trang&gt; Kimono, kimono&gt; kimono phụ kiện&gt; Fukusa")</f>
        <v>Đấu giá&gt; Thời trang&gt; Kimono, kimono&gt; kimono phụ kiện&gt; Fukusa</v>
      </c>
      <c r="F1576" t="str">
        <f t="shared" ca="1" si="24"/>
        <v>"2084061202" : "wrapper lụa nhỏ",</v>
      </c>
    </row>
    <row r="1577" spans="1:6" ht="15.75" customHeight="1">
      <c r="A1577" s="18">
        <v>2084057811</v>
      </c>
      <c r="B1577" s="18" t="s">
        <v>6771</v>
      </c>
      <c r="C1577" s="18" t="s">
        <v>15846</v>
      </c>
      <c r="D1577" s="5" t="str">
        <f ca="1">IFERROR(__xludf.DUMMYFUNCTION("GOOGLETRANSLATE(B1577,""ja"",""vi"")"),"netsuke")</f>
        <v>netsuke</v>
      </c>
      <c r="E1577" s="5" t="str">
        <f ca="1">IFERROR(__xludf.DUMMYFUNCTION("GOOGLETRANSLATE(C1577,""ja"",""vi"")"),"Đấu giá&gt; Thời trang&gt; Kimono, kimono&gt; kimono phụ kiện&gt; netsuke")</f>
        <v>Đấu giá&gt; Thời trang&gt; Kimono, kimono&gt; kimono phụ kiện&gt; netsuke</v>
      </c>
      <c r="F1577" t="str">
        <f t="shared" ca="1" si="24"/>
        <v>"2084057811" : "netsuke",</v>
      </c>
    </row>
    <row r="1578" spans="1:6" ht="15.75" customHeight="1">
      <c r="A1578" s="18">
        <v>2084045073</v>
      </c>
      <c r="B1578" s="18" t="s">
        <v>15229</v>
      </c>
      <c r="C1578" s="18" t="s">
        <v>15848</v>
      </c>
      <c r="D1578" s="5" t="str">
        <f ca="1">IFERROR(__xludf.DUMMYFUNCTION("GOOGLETRANSLATE(B1578,""ja"",""vi"")"),"quạt gấp")</f>
        <v>quạt gấp</v>
      </c>
      <c r="E1578" s="5" t="str">
        <f ca="1">IFERROR(__xludf.DUMMYFUNCTION("GOOGLETRANSLATE(C1578,""ja"",""vi"")"),"Đấu giá&gt; Thời trang&gt; Kimono, kimono&gt; kimono phụ kiện&gt; Fans")</f>
        <v>Đấu giá&gt; Thời trang&gt; Kimono, kimono&gt; kimono phụ kiện&gt; Fans</v>
      </c>
      <c r="F1578" t="str">
        <f t="shared" ca="1" si="24"/>
        <v>"2084045073" : "quạt gấp",</v>
      </c>
    </row>
    <row r="1579" spans="1:6" ht="15.75" customHeight="1">
      <c r="A1579" s="18">
        <v>2084050139</v>
      </c>
      <c r="B1579" s="18" t="s">
        <v>15850</v>
      </c>
      <c r="C1579" s="18" t="s">
        <v>15851</v>
      </c>
      <c r="D1579" s="5" t="str">
        <f ca="1">IFERROR(__xludf.DUMMYFUNCTION("GOOGLETRANSLATE(B1579,""ja"",""vi"")"),"tabi")</f>
        <v>tabi</v>
      </c>
      <c r="E1579" s="5" t="str">
        <f ca="1">IFERROR(__xludf.DUMMYFUNCTION("GOOGLETRANSLATE(C1579,""ja"",""vi"")"),"Đấu giá&gt; Thời trang&gt; Kimono, kimono&gt; kimono phụ kiện&gt; vớ")</f>
        <v>Đấu giá&gt; Thời trang&gt; Kimono, kimono&gt; kimono phụ kiện&gt; vớ</v>
      </c>
      <c r="F1579" t="str">
        <f t="shared" ca="1" si="24"/>
        <v>"2084050139" : "tabi",</v>
      </c>
    </row>
    <row r="1580" spans="1:6" ht="15.75" customHeight="1">
      <c r="A1580" s="18">
        <v>2084048862</v>
      </c>
      <c r="B1580" s="18" t="s">
        <v>15853</v>
      </c>
      <c r="C1580" s="18" t="s">
        <v>15854</v>
      </c>
      <c r="D1580" s="5" t="str">
        <f ca="1">IFERROR(__xludf.DUMMYFUNCTION("GOOGLETRANSLATE(B1580,""ja"",""vi"")"),"dải")</f>
        <v>dải</v>
      </c>
      <c r="E1580" s="5" t="str">
        <f ca="1">IFERROR(__xludf.DUMMYFUNCTION("GOOGLETRANSLATE(C1580,""ja"",""vi"")"),"Đấu giá&gt; Thời trang&gt; Kimono, kimono&gt; kimono phụ kiện&gt; dải")</f>
        <v>Đấu giá&gt; Thời trang&gt; Kimono, kimono&gt; kimono phụ kiện&gt; dải</v>
      </c>
      <c r="F1580" t="str">
        <f t="shared" ca="1" si="24"/>
        <v>"2084048862" : "dải",</v>
      </c>
    </row>
    <row r="1581" spans="1:6" ht="15.75" customHeight="1">
      <c r="A1581" s="18">
        <v>2084048865</v>
      </c>
      <c r="B1581" s="18" t="s">
        <v>15856</v>
      </c>
      <c r="C1581" s="18" t="s">
        <v>15857</v>
      </c>
      <c r="D1581" s="5" t="str">
        <f ca="1">IFERROR(__xludf.DUMMYFUNCTION("GOOGLETRANSLATE(B1581,""ja"",""vi"")"),"dải")</f>
        <v>dải</v>
      </c>
      <c r="E1581" s="5" t="str">
        <f ca="1">IFERROR(__xludf.DUMMYFUNCTION("GOOGLETRANSLATE(C1581,""ja"",""vi"")"),"Đấu giá&gt; Thời trang&gt; Kimono, kimono&gt; kimono phụ kiện&gt; dải")</f>
        <v>Đấu giá&gt; Thời trang&gt; Kimono, kimono&gt; kimono phụ kiện&gt; dải</v>
      </c>
      <c r="F1581" t="str">
        <f t="shared" ca="1" si="24"/>
        <v>"2084048865" : "dải",</v>
      </c>
    </row>
    <row r="1582" spans="1:6" ht="15.75" customHeight="1">
      <c r="A1582" s="18">
        <v>2084048863</v>
      </c>
      <c r="B1582" s="18" t="s">
        <v>15859</v>
      </c>
      <c r="C1582" s="18" t="s">
        <v>15860</v>
      </c>
      <c r="D1582" s="5" t="str">
        <f ca="1">IFERROR(__xludf.DUMMYFUNCTION("GOOGLETRANSLATE(B1582,""ja"",""vi"")"),"sash Obi")</f>
        <v>sash Obi</v>
      </c>
      <c r="E1582" s="5" t="str">
        <f ca="1">IFERROR(__xludf.DUMMYFUNCTION("GOOGLETRANSLATE(C1582,""ja"",""vi"")"),"Đấu giá&gt; Thời trang&gt; Kimono, kimono&gt; kimono phụ kiện&gt; obi sash")</f>
        <v>Đấu giá&gt; Thời trang&gt; Kimono, kimono&gt; kimono phụ kiện&gt; obi sash</v>
      </c>
      <c r="F1582" t="str">
        <f t="shared" ca="1" si="24"/>
        <v>"2084048863" : "sash Obi",</v>
      </c>
    </row>
    <row r="1583" spans="1:6" ht="15.75" customHeight="1">
      <c r="A1583" s="18">
        <v>2084050138</v>
      </c>
      <c r="B1583" s="18" t="s">
        <v>15862</v>
      </c>
      <c r="C1583" s="18" t="s">
        <v>15863</v>
      </c>
      <c r="D1583" s="5" t="str">
        <f ca="1">IFERROR(__xludf.DUMMYFUNCTION("GOOGLETRANSLATE(B1583,""ja"",""vi"")"),"sash Clip")</f>
        <v>sash Clip</v>
      </c>
      <c r="E1583" s="5" t="str">
        <f ca="1">IFERROR(__xludf.DUMMYFUNCTION("GOOGLETRANSLATE(C1583,""ja"",""vi"")"),"Đấu giá&gt; Thời trang&gt; Kimono, kimono&gt; kimono phụ kiện&gt; Clip sash")</f>
        <v>Đấu giá&gt; Thời trang&gt; Kimono, kimono&gt; kimono phụ kiện&gt; Clip sash</v>
      </c>
      <c r="F1583" t="str">
        <f t="shared" ca="1" si="24"/>
        <v>"2084050138" : "sash Clip",</v>
      </c>
    </row>
    <row r="1584" spans="1:6" ht="15.75" customHeight="1">
      <c r="A1584" s="18">
        <v>2084048864</v>
      </c>
      <c r="B1584" s="18" t="s">
        <v>15865</v>
      </c>
      <c r="C1584" s="18" t="s">
        <v>15866</v>
      </c>
      <c r="D1584" s="5" t="str">
        <f ca="1">IFERROR(__xludf.DUMMYFUNCTION("GOOGLETRANSLATE(B1584,""ja"",""vi"")"),"kimono móc")</f>
        <v>kimono móc</v>
      </c>
      <c r="E1584" s="5" t="str">
        <f ca="1">IFERROR(__xludf.DUMMYFUNCTION("GOOGLETRANSLATE(C1584,""ja"",""vi"")"),"Đấu giá&gt; Thời trang&gt; Kimono, kimono&gt; kimono phụ kiện&gt; kimono treo")</f>
        <v>Đấu giá&gt; Thời trang&gt; Kimono, kimono&gt; kimono phụ kiện&gt; kimono treo</v>
      </c>
      <c r="F1584" t="str">
        <f t="shared" ca="1" si="24"/>
        <v>"2084048864" : "kimono móc",</v>
      </c>
    </row>
    <row r="1585" spans="1:6" ht="15.75" customHeight="1">
      <c r="A1585" s="18">
        <v>2084048860</v>
      </c>
      <c r="B1585" s="18" t="s">
        <v>15868</v>
      </c>
      <c r="C1585" s="18" t="s">
        <v>15869</v>
      </c>
      <c r="D1585" s="5" t="str">
        <f ca="1">IFERROR(__xludf.DUMMYFUNCTION("GOOGLETRANSLATE(B1585,""ja"",""vi"")"),"Một bán cổ")</f>
        <v>Một bán cổ</v>
      </c>
      <c r="E1585" s="5" t="str">
        <f ca="1">IFERROR(__xludf.DUMMYFUNCTION("GOOGLETRANSLATE(C1585,""ja"",""vi"")"),"Đấu giá&gt; Thời trang&gt; Kimono, kimono&gt; kimono phụ kiện&gt; bán cổ")</f>
        <v>Đấu giá&gt; Thời trang&gt; Kimono, kimono&gt; kimono phụ kiện&gt; bán cổ</v>
      </c>
      <c r="F1585" t="str">
        <f t="shared" ca="1" si="24"/>
        <v>"2084048860" : "Một bán cổ",</v>
      </c>
    </row>
    <row r="1586" spans="1:6" ht="15.75" customHeight="1">
      <c r="A1586" s="18">
        <v>2084061203</v>
      </c>
      <c r="B1586" s="18" t="s">
        <v>15871</v>
      </c>
      <c r="C1586" s="18" t="s">
        <v>15872</v>
      </c>
      <c r="D1586" s="5" t="str">
        <f ca="1">IFERROR(__xludf.DUMMYFUNCTION("GOOGLETRANSLATE(B1586,""ja"",""vi"")"),"vải gói")</f>
        <v>vải gói</v>
      </c>
      <c r="E1586" s="5" t="str">
        <f ca="1">IFERROR(__xludf.DUMMYFUNCTION("GOOGLETRANSLATE(C1586,""ja"",""vi"")"),"Đấu giá&gt; Thời trang&gt; Kimono, kimono&gt; kimono phụ kiện&gt; táo")</f>
        <v>Đấu giá&gt; Thời trang&gt; Kimono, kimono&gt; kimono phụ kiện&gt; táo</v>
      </c>
      <c r="F1586" t="str">
        <f t="shared" ca="1" si="24"/>
        <v>"2084061203" : "vải gói",</v>
      </c>
    </row>
    <row r="1587" spans="1:6" ht="15.75" customHeight="1">
      <c r="A1587" s="18">
        <v>2084048866</v>
      </c>
      <c r="B1587" s="18" t="s">
        <v>46</v>
      </c>
      <c r="C1587" s="18" t="s">
        <v>15874</v>
      </c>
      <c r="D1587" s="5" t="str">
        <f ca="1">IFERROR(__xludf.DUMMYFUNCTION("GOOGLETRANSLATE(B1587,""ja"",""vi"")"),"nếu không thì")</f>
        <v>nếu không thì</v>
      </c>
      <c r="E1587" s="5" t="str">
        <f ca="1">IFERROR(__xludf.DUMMYFUNCTION("GOOGLETRANSLATE(C1587,""ja"",""vi"")"),"Đấu giá&gt; Thời trang&gt; Kimono, kimono&gt; kimono phụ kiện&gt; khác")</f>
        <v>Đấu giá&gt; Thời trang&gt; Kimono, kimono&gt; kimono phụ kiện&gt; khác</v>
      </c>
      <c r="F1587" t="str">
        <f t="shared" ca="1" si="24"/>
        <v>"2084048866" : "nếu không thì",</v>
      </c>
    </row>
    <row r="1588" spans="1:6" ht="15.75" customHeight="1">
      <c r="A1588" s="18">
        <v>2084311306</v>
      </c>
      <c r="B1588" s="18" t="s">
        <v>15876</v>
      </c>
      <c r="C1588" s="18" t="s">
        <v>15877</v>
      </c>
      <c r="D1588" s="5" t="str">
        <f ca="1">IFERROR(__xludf.DUMMYFUNCTION("GOOGLETRANSLATE(B1588,""ja"",""vi"")"),"kimono cổ")</f>
        <v>kimono cổ</v>
      </c>
      <c r="E1588" s="5" t="str">
        <f ca="1">IFERROR(__xludf.DUMMYFUNCTION("GOOGLETRANSLATE(C1588,""ja"",""vi"")"),"Đấu giá&gt; Thời trang&gt; Kimono, kimono&gt; cổ&gt; kimono cổ")</f>
        <v>Đấu giá&gt; Thời trang&gt; Kimono, kimono&gt; cổ&gt; kimono cổ</v>
      </c>
      <c r="F1588" t="str">
        <f t="shared" ca="1" si="24"/>
        <v>"2084311306" : "kimono cổ",</v>
      </c>
    </row>
    <row r="1589" spans="1:6" ht="15.75" customHeight="1">
      <c r="A1589" s="18">
        <v>2084311307</v>
      </c>
      <c r="B1589" s="18" t="s">
        <v>15879</v>
      </c>
      <c r="C1589" s="18" t="s">
        <v>15880</v>
      </c>
      <c r="D1589" s="5" t="str">
        <f ca="1">IFERROR(__xludf.DUMMYFUNCTION("GOOGLETRANSLATE(B1589,""ja"",""vi"")"),"remake liệu")</f>
        <v>remake liệu</v>
      </c>
      <c r="E1589" s="5" t="str">
        <f ca="1">IFERROR(__xludf.DUMMYFUNCTION("GOOGLETRANSLATE(C1589,""ja"",""vi"")"),"Đấu giá&gt; Thời trang&gt; Kimono, kimono&gt; cổ&gt; nguyên liệu làm lại")</f>
        <v>Đấu giá&gt; Thời trang&gt; Kimono, kimono&gt; cổ&gt; nguyên liệu làm lại</v>
      </c>
      <c r="F1589" t="str">
        <f t="shared" ca="1" si="24"/>
        <v>"2084311307" : "remake liệu",</v>
      </c>
    </row>
    <row r="1590" spans="1:6" ht="15.75" customHeight="1">
      <c r="A1590" s="18">
        <v>2084311308</v>
      </c>
      <c r="B1590" s="18" t="s">
        <v>46</v>
      </c>
      <c r="C1590" s="18" t="s">
        <v>15882</v>
      </c>
      <c r="D1590" s="5" t="str">
        <f ca="1">IFERROR(__xludf.DUMMYFUNCTION("GOOGLETRANSLATE(B1590,""ja"",""vi"")"),"nếu không thì")</f>
        <v>nếu không thì</v>
      </c>
      <c r="E1590" s="5" t="str">
        <f ca="1">IFERROR(__xludf.DUMMYFUNCTION("GOOGLETRANSLATE(C1590,""ja"",""vi"")"),"Đấu giá&gt; Thời trang&gt; Kimono, kimono&gt; Antique&gt; Khác")</f>
        <v>Đấu giá&gt; Thời trang&gt; Kimono, kimono&gt; Antique&gt; Khác</v>
      </c>
      <c r="F1590" t="str">
        <f t="shared" ca="1" si="24"/>
        <v>"2084311308" : "nếu không thì",</v>
      </c>
    </row>
    <row r="1591" spans="1:6" ht="15.75" customHeight="1">
      <c r="A1591" s="18">
        <v>2084007097</v>
      </c>
      <c r="B1591" s="18" t="s">
        <v>13230</v>
      </c>
      <c r="C1591" s="18" t="s">
        <v>15884</v>
      </c>
      <c r="D1591" s="5" t="str">
        <f ca="1">IFERROR(__xludf.DUMMYFUNCTION("GOOGLETRANSLATE(B1591,""ja"",""vi"")"),"chung tòa án")</f>
        <v>chung tòa án</v>
      </c>
      <c r="E1591" s="5" t="str">
        <f ca="1">IFERROR(__xludf.DUMMYFUNCTION("GOOGLETRANSLATE(C1591,""ja"",""vi"")"),"Đấu giá&gt; Thời trang&gt; Quần áo nam&gt; áo&gt; chung áo")</f>
        <v>Đấu giá&gt; Thời trang&gt; Quần áo nam&gt; áo&gt; chung áo</v>
      </c>
      <c r="F1591" t="str">
        <f t="shared" ca="1" si="24"/>
        <v>"2084007097" : "chung tòa án",</v>
      </c>
    </row>
    <row r="1592" spans="1:6" ht="15.75" customHeight="1">
      <c r="A1592" s="18">
        <v>2084007101</v>
      </c>
      <c r="B1592" s="18" t="s">
        <v>13235</v>
      </c>
      <c r="C1592" s="18" t="s">
        <v>15887</v>
      </c>
      <c r="D1592" s="5" t="str">
        <f ca="1">IFERROR(__xludf.DUMMYFUNCTION("GOOGLETRANSLATE(B1592,""ja"",""vi"")"),"Balmacaan")</f>
        <v>Balmacaan</v>
      </c>
      <c r="E1592" s="5" t="str">
        <f ca="1">IFERROR(__xludf.DUMMYFUNCTION("GOOGLETRANSLATE(C1592,""ja"",""vi"")"),"Đấu giá&gt; Thời trang&gt; Quần áo nam&gt; áo&gt; Balmacaan")</f>
        <v>Đấu giá&gt; Thời trang&gt; Quần áo nam&gt; áo&gt; Balmacaan</v>
      </c>
      <c r="F1592" t="str">
        <f t="shared" ca="1" si="24"/>
        <v>"2084007101" : "Balmacaan",</v>
      </c>
    </row>
    <row r="1593" spans="1:6" ht="15.75" customHeight="1">
      <c r="A1593" s="18">
        <v>2084007102</v>
      </c>
      <c r="B1593" s="18" t="s">
        <v>13248</v>
      </c>
      <c r="C1593" s="18" t="s">
        <v>15892</v>
      </c>
      <c r="D1593" s="5" t="str">
        <f ca="1">IFERROR(__xludf.DUMMYFUNCTION("GOOGLETRANSLATE(B1593,""ja"",""vi"")"),"áo che bằng vải thô")</f>
        <v>áo che bằng vải thô</v>
      </c>
      <c r="E1593" s="5" t="str">
        <f ca="1">IFERROR(__xludf.DUMMYFUNCTION("GOOGLETRANSLATE(C1593,""ja"",""vi"")"),"Đấu giá&gt; Thời trang&gt; Quần áo&gt; áo&gt; áo duffel")</f>
        <v>Đấu giá&gt; Thời trang&gt; Quần áo&gt; áo&gt; áo duffel</v>
      </c>
      <c r="F1593" t="str">
        <f t="shared" ca="1" si="24"/>
        <v>"2084007102" : "áo che bằng vải thô",</v>
      </c>
    </row>
    <row r="1594" spans="1:6" ht="15.75" customHeight="1">
      <c r="A1594" s="18">
        <v>2084052229</v>
      </c>
      <c r="B1594" s="18" t="s">
        <v>13254</v>
      </c>
      <c r="C1594" s="18" t="s">
        <v>15894</v>
      </c>
      <c r="D1594" s="5" t="str">
        <f ca="1">IFERROR(__xludf.DUMMYFUNCTION("GOOGLETRANSLATE(B1594,""ja"",""vi"")"),"áo khoác Trench")</f>
        <v>áo khoác Trench</v>
      </c>
      <c r="E1594" s="5" t="str">
        <f ca="1">IFERROR(__xludf.DUMMYFUNCTION("GOOGLETRANSLATE(C1594,""ja"",""vi"")"),"Đấu giá&gt; Thời trang&gt; Quần áo&gt; áo&gt; áo rãnh")</f>
        <v>Đấu giá&gt; Thời trang&gt; Quần áo&gt; áo&gt; áo rãnh</v>
      </c>
      <c r="F1594" t="str">
        <f t="shared" ca="1" si="24"/>
        <v>"2084052229" : "áo khoác Trench",</v>
      </c>
    </row>
    <row r="1595" spans="1:6" ht="15.75" customHeight="1">
      <c r="A1595" s="18">
        <v>2084007104</v>
      </c>
      <c r="B1595" s="18" t="s">
        <v>13258</v>
      </c>
      <c r="C1595" s="18" t="s">
        <v>15897</v>
      </c>
      <c r="D1595" s="5" t="str">
        <f ca="1">IFERROR(__xludf.DUMMYFUNCTION("GOOGLETRANSLATE(B1595,""ja"",""vi"")"),"áo khoác Pea")</f>
        <v>áo khoác Pea</v>
      </c>
      <c r="E1595" s="5" t="str">
        <f ca="1">IFERROR(__xludf.DUMMYFUNCTION("GOOGLETRANSLATE(C1595,""ja"",""vi"")"),"Đấu giá&gt; Thời trang&gt; Quần áo nam&gt; áo&gt; áo hạt đậu")</f>
        <v>Đấu giá&gt; Thời trang&gt; Quần áo nam&gt; áo&gt; áo hạt đậu</v>
      </c>
      <c r="F1595" t="str">
        <f t="shared" ca="1" si="24"/>
        <v>"2084007104" : "áo khoác Pea",</v>
      </c>
    </row>
    <row r="1596" spans="1:6" ht="15.75" customHeight="1">
      <c r="A1596" s="18">
        <v>2084245288</v>
      </c>
      <c r="B1596" s="18" t="s">
        <v>13263</v>
      </c>
      <c r="C1596" s="18" t="s">
        <v>15899</v>
      </c>
      <c r="D1596" s="5" t="str">
        <f ca="1">IFERROR(__xludf.DUMMYFUNCTION("GOOGLETRANSLATE(B1596,""ja"",""vi"")"),"mods")</f>
        <v>mods</v>
      </c>
      <c r="E1596" s="5" t="str">
        <f ca="1">IFERROR(__xludf.DUMMYFUNCTION("GOOGLETRANSLATE(C1596,""ja"",""vi"")"),"Đấu giá&gt; Thời trang&gt; Quần áo nam&gt; áo&gt; mods")</f>
        <v>Đấu giá&gt; Thời trang&gt; Quần áo nam&gt; áo&gt; mods</v>
      </c>
      <c r="F1596" t="str">
        <f t="shared" ca="1" si="24"/>
        <v>"2084245288" : "mods",</v>
      </c>
    </row>
    <row r="1597" spans="1:6" ht="15.75" customHeight="1">
      <c r="A1597" s="18">
        <v>2084243902</v>
      </c>
      <c r="B1597" s="18" t="s">
        <v>13305</v>
      </c>
      <c r="C1597" s="18" t="s">
        <v>15901</v>
      </c>
      <c r="D1597" s="5" t="str">
        <f ca="1">IFERROR(__xludf.DUMMYFUNCTION("GOOGLETRANSLATE(B1597,""ja"",""vi"")"),"Riders")</f>
        <v>Riders</v>
      </c>
      <c r="E1597" s="5" t="str">
        <f ca="1">IFERROR(__xludf.DUMMYFUNCTION("GOOGLETRANSLATE(C1597,""ja"",""vi"")"),"Đấu giá&gt; Thời trang&gt; Quần áo nam&gt; áo&gt; Riders")</f>
        <v>Đấu giá&gt; Thời trang&gt; Quần áo nam&gt; áo&gt; Riders</v>
      </c>
      <c r="F1597" t="str">
        <f t="shared" ca="1" si="24"/>
        <v>"2084243902" : "Riders",</v>
      </c>
    </row>
    <row r="1598" spans="1:6" ht="15.75" customHeight="1">
      <c r="A1598" s="18">
        <v>2084008982</v>
      </c>
      <c r="B1598" s="18" t="s">
        <v>13277</v>
      </c>
      <c r="C1598" s="18" t="s">
        <v>15904</v>
      </c>
      <c r="D1598" s="5" t="str">
        <f ca="1">IFERROR(__xludf.DUMMYFUNCTION("GOOGLETRANSLATE(B1598,""ja"",""vi"")"),"Lông, lông thú")</f>
        <v>Lông, lông thú</v>
      </c>
      <c r="E1598" s="5" t="str">
        <f ca="1">IFERROR(__xludf.DUMMYFUNCTION("GOOGLETRANSLATE(C1598,""ja"",""vi"")"),"Đấu giá&gt; Thời trang&gt; Quần áo nam&gt; áo&gt; lông, lông thú")</f>
        <v>Đấu giá&gt; Thời trang&gt; Quần áo nam&gt; áo&gt; lông, lông thú</v>
      </c>
      <c r="F1598" t="str">
        <f t="shared" ca="1" si="24"/>
        <v>"2084008982" : "Lông, lông thú",</v>
      </c>
    </row>
    <row r="1599" spans="1:6" ht="15.75" customHeight="1">
      <c r="A1599" s="18">
        <v>2084007100</v>
      </c>
      <c r="B1599" s="18" t="s">
        <v>13238</v>
      </c>
      <c r="C1599" s="18" t="s">
        <v>15906</v>
      </c>
      <c r="D1599" s="5" t="str">
        <f ca="1">IFERROR(__xludf.DUMMYFUNCTION("GOOGLETRANSLATE(B1599,""ja"",""vi"")"),"áo mùa xuân")</f>
        <v>áo mùa xuân</v>
      </c>
      <c r="E1599" s="5" t="str">
        <f ca="1">IFERROR(__xludf.DUMMYFUNCTION("GOOGLETRANSLATE(C1599,""ja"",""vi"")"),"Đấu giá&gt; Thời trang&gt; Quần áo nam&gt; áo&gt; áo mùa xuân")</f>
        <v>Đấu giá&gt; Thời trang&gt; Quần áo nam&gt; áo&gt; áo mùa xuân</v>
      </c>
      <c r="F1599" t="str">
        <f t="shared" ca="1" si="24"/>
        <v>"2084007100" : "áo mùa xuân",</v>
      </c>
    </row>
    <row r="1600" spans="1:6" ht="15.75" customHeight="1">
      <c r="A1600" s="18">
        <v>2084007103</v>
      </c>
      <c r="B1600" s="18" t="s">
        <v>13269</v>
      </c>
      <c r="C1600" s="18" t="s">
        <v>15909</v>
      </c>
      <c r="D1600" s="5" t="str">
        <f ca="1">IFERROR(__xludf.DUMMYFUNCTION("GOOGLETRANSLATE(B1600,""ja"",""vi"")"),"áo mưa")</f>
        <v>áo mưa</v>
      </c>
      <c r="E1600" s="5" t="str">
        <f ca="1">IFERROR(__xludf.DUMMYFUNCTION("GOOGLETRANSLATE(C1600,""ja"",""vi"")"),"Đấu giá&gt; Thời trang&gt; Quần áo nam&gt; áo&gt; áo mưa")</f>
        <v>Đấu giá&gt; Thời trang&gt; Quần áo nam&gt; áo&gt; áo mưa</v>
      </c>
      <c r="F1600" t="str">
        <f t="shared" ca="1" si="24"/>
        <v>"2084007103" : "áo mưa",</v>
      </c>
    </row>
    <row r="1601" spans="1:6" ht="15.75" customHeight="1">
      <c r="A1601" s="18">
        <v>2084007107</v>
      </c>
      <c r="B1601" s="18" t="s">
        <v>13292</v>
      </c>
      <c r="C1601" s="18" t="s">
        <v>15914</v>
      </c>
      <c r="D1601" s="5" t="str">
        <f ca="1">IFERROR(__xludf.DUMMYFUNCTION("GOOGLETRANSLATE(B1601,""ja"",""vi"")"),"xuống áo khoác")</f>
        <v>xuống áo khoác</v>
      </c>
      <c r="E1601" s="5" t="str">
        <f ca="1">IFERROR(__xludf.DUMMYFUNCTION("GOOGLETRANSLATE(C1601,""ja"",""vi"")"),"Đấu giá&gt; Thời trang&gt; Quần áo&gt; áo&gt; áo khoác xuống")</f>
        <v>Đấu giá&gt; Thời trang&gt; Quần áo&gt; áo&gt; áo khoác xuống</v>
      </c>
      <c r="F1601" t="str">
        <f t="shared" ca="1" si="24"/>
        <v>"2084007107" : "xuống áo khoác",</v>
      </c>
    </row>
    <row r="1602" spans="1:6" ht="15.75" customHeight="1">
      <c r="A1602" s="18">
        <v>2084052527</v>
      </c>
      <c r="B1602" s="18" t="s">
        <v>13287</v>
      </c>
      <c r="C1602" s="18" t="s">
        <v>15916</v>
      </c>
      <c r="D1602" s="5" t="str">
        <f ca="1">IFERROR(__xludf.DUMMYFUNCTION("GOOGLETRANSLATE(B1602,""ja"",""vi"")"),"sân vận động nhảy")</f>
        <v>sân vận động nhảy</v>
      </c>
      <c r="E1602" s="5" t="str">
        <f ca="1">IFERROR(__xludf.DUMMYFUNCTION("GOOGLETRANSLATE(C1602,""ja"",""vi"")"),"Đấu giá&gt; Thời trang&gt; Quần áo nam&gt; áo&gt; sân vận động nhảy")</f>
        <v>Đấu giá&gt; Thời trang&gt; Quần áo nam&gt; áo&gt; sân vận động nhảy</v>
      </c>
      <c r="F1602" t="str">
        <f t="shared" ref="F1602:F1665" ca="1" si="25">CONCATENATE(CHAR(34)&amp;"",A1602,""&amp;CHAR(34)," : ", CHAR(34)&amp;"",D1602,""&amp;CHAR(34),",")</f>
        <v>"2084052527" : "sân vận động nhảy",</v>
      </c>
    </row>
    <row r="1603" spans="1:6" ht="15.75" customHeight="1">
      <c r="A1603" s="18">
        <v>2084052333</v>
      </c>
      <c r="B1603" s="18" t="s">
        <v>7469</v>
      </c>
      <c r="C1603" s="18" t="s">
        <v>15922</v>
      </c>
      <c r="D1603" s="5" t="str">
        <f ca="1">IFERROR(__xludf.DUMMYFUNCTION("GOOGLETRANSLATE(B1603,""ja"",""vi"")"),"áo khoác bay")</f>
        <v>áo khoác bay</v>
      </c>
      <c r="E1603" s="5" t="str">
        <f ca="1">IFERROR(__xludf.DUMMYFUNCTION("GOOGLETRANSLATE(C1603,""ja"",""vi"")"),"Đấu giá&gt; Thời trang&gt; Quần áo nam&gt; áo&gt; áo khoác chuyến bay")</f>
        <v>Đấu giá&gt; Thời trang&gt; Quần áo nam&gt; áo&gt; áo khoác chuyến bay</v>
      </c>
      <c r="F1603" t="str">
        <f t="shared" ca="1" si="25"/>
        <v>"2084052333" : "áo khoác bay",</v>
      </c>
    </row>
    <row r="1604" spans="1:6" ht="15.75" customHeight="1">
      <c r="A1604" s="18">
        <v>2084243908</v>
      </c>
      <c r="B1604" s="18" t="s">
        <v>15927</v>
      </c>
      <c r="C1604" s="18" t="s">
        <v>15930</v>
      </c>
      <c r="D1604" s="5" t="str">
        <f ca="1">IFERROR(__xludf.DUMMYFUNCTION("GOOGLETRANSLATE(B1604,""ja"",""vi"")"),"Mauntenpaka")</f>
        <v>Mauntenpaka</v>
      </c>
      <c r="E1604" s="5" t="str">
        <f ca="1">IFERROR(__xludf.DUMMYFUNCTION("GOOGLETRANSLATE(C1604,""ja"",""vi"")"),"Đấu giá&gt; Thời trang&gt; Quần áo nam&gt; áo&gt; Mauntenpaka")</f>
        <v>Đấu giá&gt; Thời trang&gt; Quần áo nam&gt; áo&gt; Mauntenpaka</v>
      </c>
      <c r="F1604" t="str">
        <f t="shared" ca="1" si="25"/>
        <v>"2084243908" : "Mauntenpaka",</v>
      </c>
    </row>
    <row r="1605" spans="1:6" ht="15.75" customHeight="1">
      <c r="A1605" s="18">
        <v>2084007106</v>
      </c>
      <c r="B1605" s="18" t="s">
        <v>13313</v>
      </c>
      <c r="C1605" s="18" t="s">
        <v>15936</v>
      </c>
      <c r="D1605" s="5" t="str">
        <f ca="1">IFERROR(__xludf.DUMMYFUNCTION("GOOGLETRANSLATE(B1605,""ja"",""vi"")"),"Jumper, blouson")</f>
        <v>Jumper, blouson</v>
      </c>
      <c r="E1605" s="5" t="str">
        <f ca="1">IFERROR(__xludf.DUMMYFUNCTION("GOOGLETRANSLATE(C1605,""ja"",""vi"")"),"Đấu giá&gt; Thời trang&gt; nam thời trang&gt; áo khoác, áo&gt; jumper, blouson")</f>
        <v>Đấu giá&gt; Thời trang&gt; nam thời trang&gt; áo khoác, áo&gt; jumper, blouson</v>
      </c>
      <c r="F1605" t="str">
        <f t="shared" ca="1" si="25"/>
        <v>"2084007106" : "Jumper, blouson",</v>
      </c>
    </row>
    <row r="1606" spans="1:6" ht="15.75" customHeight="1">
      <c r="A1606" s="18">
        <v>2084007107</v>
      </c>
      <c r="B1606" s="18" t="s">
        <v>13292</v>
      </c>
      <c r="C1606" s="18" t="s">
        <v>15941</v>
      </c>
      <c r="D1606" s="5" t="str">
        <f ca="1">IFERROR(__xludf.DUMMYFUNCTION("GOOGLETRANSLATE(B1606,""ja"",""vi"")"),"xuống áo khoác")</f>
        <v>xuống áo khoác</v>
      </c>
      <c r="E1606" s="5" t="str">
        <f ca="1">IFERROR(__xludf.DUMMYFUNCTION("GOOGLETRANSLATE(C1606,""ja"",""vi"")"),"Đấu giá&gt; Thời trang&gt; nam thời trang&gt; áo khoác, áo&gt; xuống áo khoác")</f>
        <v>Đấu giá&gt; Thời trang&gt; nam thời trang&gt; áo khoác, áo&gt; xuống áo khoác</v>
      </c>
      <c r="F1606" t="str">
        <f t="shared" ca="1" si="25"/>
        <v>"2084007107" : "xuống áo khoác",</v>
      </c>
    </row>
    <row r="1607" spans="1:6" ht="15.75" customHeight="1">
      <c r="A1607" s="18">
        <v>2084057414</v>
      </c>
      <c r="B1607" s="18" t="s">
        <v>13320</v>
      </c>
      <c r="C1607" s="18" t="s">
        <v>15944</v>
      </c>
      <c r="D1607" s="5" t="str">
        <f ca="1">IFERROR(__xludf.DUMMYFUNCTION("GOOGLETRANSLATE(B1607,""ja"",""vi"")"),"xuống vest")</f>
        <v>xuống vest</v>
      </c>
      <c r="E1607" s="5" t="str">
        <f ca="1">IFERROR(__xludf.DUMMYFUNCTION("GOOGLETRANSLATE(C1607,""ja"",""vi"")"),"Đấu giá&gt; Thời trang&gt; nam thời trang&gt; áo khoác, áo&gt; xuống vest")</f>
        <v>Đấu giá&gt; Thời trang&gt; nam thời trang&gt; áo khoác, áo&gt; xuống vest</v>
      </c>
      <c r="F1607" t="str">
        <f t="shared" ca="1" si="25"/>
        <v>"2084057414" : "xuống vest",</v>
      </c>
    </row>
    <row r="1608" spans="1:6" ht="15.75" customHeight="1">
      <c r="A1608" s="18">
        <v>2084005281</v>
      </c>
      <c r="B1608" s="18" t="s">
        <v>15948</v>
      </c>
      <c r="C1608" s="18" t="s">
        <v>15950</v>
      </c>
      <c r="D1608" s="5" t="str">
        <f ca="1">IFERROR(__xludf.DUMMYFUNCTION("GOOGLETRANSLATE(B1608,""ja"",""vi"")"),"Phù hợp áo khoác, áo cộc tay")</f>
        <v>Phù hợp áo khoác, áo cộc tay</v>
      </c>
      <c r="E1608" s="5" t="str">
        <f ca="1">IFERROR(__xludf.DUMMYFUNCTION("GOOGLETRANSLATE(C1608,""ja"",""vi"")"),"Đấu giá&gt; Thời trang&gt; nam thời trang&gt; áo khoác, áo&gt; thiết kế áo khoác, áo cộc tay")</f>
        <v>Đấu giá&gt; Thời trang&gt; nam thời trang&gt; áo khoác, áo&gt; thiết kế áo khoác, áo cộc tay</v>
      </c>
      <c r="F1608" t="str">
        <f t="shared" ca="1" si="25"/>
        <v>"2084005281" : "Phù hợp áo khoác, áo cộc tay",</v>
      </c>
    </row>
    <row r="1609" spans="1:6" ht="15.75" customHeight="1">
      <c r="A1609" s="18">
        <v>2084052333</v>
      </c>
      <c r="B1609" s="18" t="s">
        <v>7469</v>
      </c>
      <c r="C1609" s="18" t="s">
        <v>15957</v>
      </c>
      <c r="D1609" s="5" t="str">
        <f ca="1">IFERROR(__xludf.DUMMYFUNCTION("GOOGLETRANSLATE(B1609,""ja"",""vi"")"),"áo khoác bay")</f>
        <v>áo khoác bay</v>
      </c>
      <c r="E1609" s="5" t="str">
        <f ca="1">IFERROR(__xludf.DUMMYFUNCTION("GOOGLETRANSLATE(C1609,""ja"",""vi"")"),"Đấu giá&gt; Thời trang&gt; nam thời trang&gt; áo khoác, áo&gt; áo khoác chuyến bay")</f>
        <v>Đấu giá&gt; Thời trang&gt; nam thời trang&gt; áo khoác, áo&gt; áo khoác chuyến bay</v>
      </c>
      <c r="F1609" t="str">
        <f t="shared" ca="1" si="25"/>
        <v>"2084052333" : "áo khoác bay",</v>
      </c>
    </row>
    <row r="1610" spans="1:6" ht="15.75" customHeight="1">
      <c r="A1610" s="18">
        <v>2084243908</v>
      </c>
      <c r="B1610" s="18" t="s">
        <v>15927</v>
      </c>
      <c r="C1610" s="18" t="s">
        <v>15959</v>
      </c>
      <c r="D1610" s="5" t="str">
        <f ca="1">IFERROR(__xludf.DUMMYFUNCTION("GOOGLETRANSLATE(B1610,""ja"",""vi"")"),"Mauntenpaka")</f>
        <v>Mauntenpaka</v>
      </c>
      <c r="E1610" s="5" t="str">
        <f ca="1">IFERROR(__xludf.DUMMYFUNCTION("GOOGLETRANSLATE(C1610,""ja"",""vi"")"),"Đấu giá&gt; Thời trang&gt; nam thời trang&gt; áo khoác, áo&gt; Mauntenpaka")</f>
        <v>Đấu giá&gt; Thời trang&gt; nam thời trang&gt; áo khoác, áo&gt; Mauntenpaka</v>
      </c>
      <c r="F1610" t="str">
        <f t="shared" ca="1" si="25"/>
        <v>"2084243908" : "Mauntenpaka",</v>
      </c>
    </row>
    <row r="1611" spans="1:6" ht="15.75" customHeight="1">
      <c r="A1611" s="18">
        <v>2084243902</v>
      </c>
      <c r="B1611" s="18" t="s">
        <v>13305</v>
      </c>
      <c r="C1611" s="18" t="s">
        <v>15965</v>
      </c>
      <c r="D1611" s="5" t="str">
        <f ca="1">IFERROR(__xludf.DUMMYFUNCTION("GOOGLETRANSLATE(B1611,""ja"",""vi"")"),"Riders")</f>
        <v>Riders</v>
      </c>
      <c r="E1611" s="5" t="str">
        <f ca="1">IFERROR(__xludf.DUMMYFUNCTION("GOOGLETRANSLATE(C1611,""ja"",""vi"")"),"Đấu giá&gt; Thời trang&gt; nam thời trang&gt; áo khoác, áo&gt; Riders")</f>
        <v>Đấu giá&gt; Thời trang&gt; nam thời trang&gt; áo khoác, áo&gt; Riders</v>
      </c>
      <c r="F1611" t="str">
        <f t="shared" ca="1" si="25"/>
        <v>"2084243902" : "Riders",</v>
      </c>
    </row>
    <row r="1612" spans="1:6" ht="15.75" customHeight="1">
      <c r="A1612" s="18">
        <v>2084245290</v>
      </c>
      <c r="B1612" s="18" t="s">
        <v>15970</v>
      </c>
      <c r="C1612" s="18" t="s">
        <v>15971</v>
      </c>
      <c r="D1612" s="5" t="str">
        <f ca="1">IFERROR(__xludf.DUMMYFUNCTION("GOOGLETRANSLATE(B1612,""ja"",""vi"")"),"M-65")</f>
        <v>M-65</v>
      </c>
      <c r="E1612" s="5" t="str">
        <f ca="1">IFERROR(__xludf.DUMMYFUNCTION("GOOGLETRANSLATE(C1612,""ja"",""vi"")"),"Đấu giá&gt; Thời trang&gt; nam thời trang&gt; áo khoác, áo&gt; M-65")</f>
        <v>Đấu giá&gt; Thời trang&gt; nam thời trang&gt; áo khoác, áo&gt; M-65</v>
      </c>
      <c r="F1612" t="str">
        <f t="shared" ca="1" si="25"/>
        <v>"2084245290" : "M-65",</v>
      </c>
    </row>
    <row r="1613" spans="1:6" ht="15.75" customHeight="1">
      <c r="A1613" s="18">
        <v>2084227368</v>
      </c>
      <c r="B1613" s="18" t="s">
        <v>13556</v>
      </c>
      <c r="C1613" s="18" t="s">
        <v>15974</v>
      </c>
      <c r="D1613" s="5" t="str">
        <f ca="1">IFERROR(__xludf.DUMMYFUNCTION("GOOGLETRANSLATE(B1613,""ja"",""vi"")"),"yếm")</f>
        <v>yếm</v>
      </c>
      <c r="E1613" s="5" t="str">
        <f ca="1">IFERROR(__xludf.DUMMYFUNCTION("GOOGLETRANSLATE(C1613,""ja"",""vi"")"),"Đấu giá&gt; Thời trang&gt; nam thời trang&gt; áo khoác, áo&gt; yếm")</f>
        <v>Đấu giá&gt; Thời trang&gt; nam thời trang&gt; áo khoác, áo&gt; yếm</v>
      </c>
      <c r="F1613" t="str">
        <f t="shared" ca="1" si="25"/>
        <v>"2084227368" : "yếm",</v>
      </c>
    </row>
    <row r="1614" spans="1:6" ht="15.75" customHeight="1">
      <c r="A1614" s="18">
        <v>2084007108</v>
      </c>
      <c r="B1614" s="18" t="s">
        <v>13324</v>
      </c>
      <c r="C1614" s="18" t="s">
        <v>15980</v>
      </c>
      <c r="D1614" s="5" t="str">
        <f ca="1">IFERROR(__xludf.DUMMYFUNCTION("GOOGLETRANSLATE(B1614,""ja"",""vi"")"),"qụa khoan")</f>
        <v>qụa khoan</v>
      </c>
      <c r="E1614" s="5" t="str">
        <f ca="1">IFERROR(__xludf.DUMMYFUNCTION("GOOGLETRANSLATE(C1614,""ja"",""vi"")"),"Đấu giá&gt; Thời trang&gt; nam thời trang&gt; áo khoác, áo&gt; parka")</f>
        <v>Đấu giá&gt; Thời trang&gt; nam thời trang&gt; áo khoác, áo&gt; parka</v>
      </c>
      <c r="F1614" t="str">
        <f t="shared" ca="1" si="25"/>
        <v>"2084007108" : "qụa khoan",</v>
      </c>
    </row>
    <row r="1615" spans="1:6" ht="15.75" customHeight="1">
      <c r="A1615" s="18">
        <v>2084007041</v>
      </c>
      <c r="B1615" s="18" t="s">
        <v>13334</v>
      </c>
      <c r="C1615" s="18" t="s">
        <v>15983</v>
      </c>
      <c r="D1615" s="5" t="str">
        <f ca="1">IFERROR(__xludf.DUMMYFUNCTION("GOOGLETRANSLATE(B1615,""ja"",""vi"")"),"bộ đồ")</f>
        <v>bộ đồ</v>
      </c>
      <c r="E1615" s="5" t="str">
        <f ca="1">IFERROR(__xludf.DUMMYFUNCTION("GOOGLETRANSLATE(C1615,""ja"",""vi"")"),"Đấu giá&gt; Thời trang&gt; nam thời trang&gt; áo khoác, áo&gt; Suit")</f>
        <v>Đấu giá&gt; Thời trang&gt; nam thời trang&gt; áo khoác, áo&gt; Suit</v>
      </c>
      <c r="F1615" t="str">
        <f t="shared" ca="1" si="25"/>
        <v>"2084007041" : "bộ đồ",</v>
      </c>
    </row>
    <row r="1616" spans="1:6" ht="15.75" customHeight="1">
      <c r="A1616" s="18">
        <v>2084007105</v>
      </c>
      <c r="B1616" s="18" t="s">
        <v>46</v>
      </c>
      <c r="C1616" s="18" t="s">
        <v>15987</v>
      </c>
      <c r="D1616" s="5" t="str">
        <f ca="1">IFERROR(__xludf.DUMMYFUNCTION("GOOGLETRANSLATE(B1616,""ja"",""vi"")"),"nếu không thì")</f>
        <v>nếu không thì</v>
      </c>
      <c r="E1616" s="5" t="str">
        <f ca="1">IFERROR(__xludf.DUMMYFUNCTION("GOOGLETRANSLATE(C1616,""ja"",""vi"")"),"Đấu giá&gt; Thời trang&gt; nam thời trang&gt; áo khoác, áo&gt; Khác")</f>
        <v>Đấu giá&gt; Thời trang&gt; nam thời trang&gt; áo khoác, áo&gt; Khác</v>
      </c>
      <c r="F1616" t="str">
        <f t="shared" ca="1" si="25"/>
        <v>"2084007105" : "nếu không thì",</v>
      </c>
    </row>
    <row r="1617" spans="1:6" ht="15.75" customHeight="1">
      <c r="A1617" s="18">
        <v>2084064186</v>
      </c>
      <c r="B1617" s="18" t="s">
        <v>13341</v>
      </c>
      <c r="C1617" s="18" t="s">
        <v>15993</v>
      </c>
      <c r="D1617" s="5" t="str">
        <f ca="1">IFERROR(__xludf.DUMMYFUNCTION("GOOGLETRANSLATE(B1617,""ja"",""vi"")"),"kích thước XS dưới đây")</f>
        <v>kích thước XS dưới đây</v>
      </c>
      <c r="E1617" s="5" t="str">
        <f ca="1">IFERROR(__xludf.DUMMYFUNCTION("GOOGLETRANSLATE(C1617,""ja"",""vi"")"),"Đấu giá&gt; Thời trang&gt; thời trang nam&gt; dệt kim, áo len&gt; kích thước XS dưới đây")</f>
        <v>Đấu giá&gt; Thời trang&gt; thời trang nam&gt; dệt kim, áo len&gt; kích thước XS dưới đây</v>
      </c>
      <c r="F1617" t="str">
        <f t="shared" ca="1" si="25"/>
        <v>"2084064186" : "kích thước XS dưới đây",</v>
      </c>
    </row>
    <row r="1618" spans="1:6" ht="15.75" customHeight="1">
      <c r="A1618" s="18">
        <v>2084064187</v>
      </c>
      <c r="B1618" s="18" t="s">
        <v>13345</v>
      </c>
      <c r="C1618" s="18" t="s">
        <v>15998</v>
      </c>
      <c r="D1618" s="5" t="str">
        <f ca="1">IFERROR(__xludf.DUMMYFUNCTION("GOOGLETRANSLATE(B1618,""ja"",""vi"")"),"size S")</f>
        <v>size S</v>
      </c>
      <c r="E1618" s="5" t="str">
        <f ca="1">IFERROR(__xludf.DUMMYFUNCTION("GOOGLETRANSLATE(C1618,""ja"",""vi"")"),"Đấu giá&gt; Thời trang&gt; thời trang nam&gt; dệt kim, áo len&gt; S kích thước")</f>
        <v>Đấu giá&gt; Thời trang&gt; thời trang nam&gt; dệt kim, áo len&gt; S kích thước</v>
      </c>
      <c r="F1618" t="str">
        <f t="shared" ca="1" si="25"/>
        <v>"2084064187" : "size S",</v>
      </c>
    </row>
    <row r="1619" spans="1:6" ht="15.75" customHeight="1">
      <c r="A1619" s="18">
        <v>2084064188</v>
      </c>
      <c r="B1619" s="18" t="s">
        <v>13351</v>
      </c>
      <c r="C1619" s="18" t="s">
        <v>16003</v>
      </c>
      <c r="D1619" s="5" t="str">
        <f ca="1">IFERROR(__xludf.DUMMYFUNCTION("GOOGLETRANSLATE(B1619,""ja"",""vi"")"),"size M")</f>
        <v>size M</v>
      </c>
      <c r="E1619" s="5" t="str">
        <f ca="1">IFERROR(__xludf.DUMMYFUNCTION("GOOGLETRANSLATE(C1619,""ja"",""vi"")"),"Đấu giá&gt; Thời trang&gt; thời trang nam&gt; dệt kim, áo len&gt; size M")</f>
        <v>Đấu giá&gt; Thời trang&gt; thời trang nam&gt; dệt kim, áo len&gt; size M</v>
      </c>
      <c r="F1619" t="str">
        <f t="shared" ca="1" si="25"/>
        <v>"2084064188" : "size M",</v>
      </c>
    </row>
    <row r="1620" spans="1:6" ht="15.75" customHeight="1">
      <c r="A1620" s="18">
        <v>2084064189</v>
      </c>
      <c r="B1620" s="18" t="s">
        <v>13355</v>
      </c>
      <c r="C1620" s="18" t="s">
        <v>16009</v>
      </c>
      <c r="D1620" s="5" t="str">
        <f ca="1">IFERROR(__xludf.DUMMYFUNCTION("GOOGLETRANSLATE(B1620,""ja"",""vi"")"),"size L")</f>
        <v>size L</v>
      </c>
      <c r="E1620" s="5" t="str">
        <f ca="1">IFERROR(__xludf.DUMMYFUNCTION("GOOGLETRANSLATE(C1620,""ja"",""vi"")"),"Đấu giá&gt; Thời trang&gt; thời trang nam&gt; dệt kim, áo len&gt; L kích thước")</f>
        <v>Đấu giá&gt; Thời trang&gt; thời trang nam&gt; dệt kim, áo len&gt; L kích thước</v>
      </c>
      <c r="F1620" t="str">
        <f t="shared" ca="1" si="25"/>
        <v>"2084064189" : "size L",</v>
      </c>
    </row>
    <row r="1621" spans="1:6" ht="15.75" customHeight="1">
      <c r="A1621" s="18">
        <v>2084064190</v>
      </c>
      <c r="B1621" s="18" t="s">
        <v>13360</v>
      </c>
      <c r="C1621" s="18" t="s">
        <v>16012</v>
      </c>
      <c r="D1621" s="5" t="str">
        <f ca="1">IFERROR(__xludf.DUMMYFUNCTION("GOOGLETRANSLATE(B1621,""ja"",""vi"")"),"kích thước XL hoặc lớn hơn")</f>
        <v>kích thước XL hoặc lớn hơn</v>
      </c>
      <c r="E1621" s="5" t="str">
        <f ca="1">IFERROR(__xludf.DUMMYFUNCTION("GOOGLETRANSLATE(C1621,""ja"",""vi"")"),"Đấu giá&gt; Thời trang&gt; thời trang nam&gt; dệt kim, áo len&gt; kích thước XL hơn")</f>
        <v>Đấu giá&gt; Thời trang&gt; thời trang nam&gt; dệt kim, áo len&gt; kích thước XL hơn</v>
      </c>
      <c r="F1621" t="str">
        <f t="shared" ca="1" si="25"/>
        <v>"2084064190" : "kích thước XL hoặc lớn hơn",</v>
      </c>
    </row>
    <row r="1622" spans="1:6" ht="15.75" customHeight="1">
      <c r="A1622" s="18">
        <v>2084031599</v>
      </c>
      <c r="B1622" s="18" t="s">
        <v>13367</v>
      </c>
      <c r="C1622" s="18" t="s">
        <v>16017</v>
      </c>
      <c r="D1622" s="5" t="str">
        <f ca="1">IFERROR(__xludf.DUMMYFUNCTION("GOOGLETRANSLATE(B1622,""ja"",""vi"")"),"Agnes b.")</f>
        <v>Agnes b.</v>
      </c>
      <c r="E1622" s="5" t="str">
        <f ca="1">IFERROR(__xludf.DUMMYFUNCTION("GOOGLETRANSLATE(C1622,""ja"",""vi"")"),"Đấu giá&gt; Thời trang&gt; thời trang nam&gt; dệt kim, áo len&gt; Agnes b.")</f>
        <v>Đấu giá&gt; Thời trang&gt; thời trang nam&gt; dệt kim, áo len&gt; Agnes b.</v>
      </c>
      <c r="F1622" t="str">
        <f t="shared" ca="1" si="25"/>
        <v>"2084031599" : "Agnes b.",</v>
      </c>
    </row>
    <row r="1623" spans="1:6" ht="15.75" customHeight="1">
      <c r="A1623" s="18">
        <v>2084031600</v>
      </c>
      <c r="B1623" s="18" t="s">
        <v>8853</v>
      </c>
      <c r="C1623" s="18" t="s">
        <v>16018</v>
      </c>
      <c r="D1623" s="5" t="str">
        <f ca="1">IFERROR(__xludf.DUMMYFUNCTION("GOOGLETRANSLATE(B1623,""ja"",""vi"")"),"Abahouse")</f>
        <v>Abahouse</v>
      </c>
      <c r="E1623" s="5" t="str">
        <f ca="1">IFERROR(__xludf.DUMMYFUNCTION("GOOGLETRANSLATE(C1623,""ja"",""vi"")"),"Đấu giá&gt; Thời trang&gt; thời trang nam&gt; dệt kim, áo len&gt; Abahouse")</f>
        <v>Đấu giá&gt; Thời trang&gt; thời trang nam&gt; dệt kim, áo len&gt; Abahouse</v>
      </c>
      <c r="F1623" t="str">
        <f t="shared" ca="1" si="25"/>
        <v>"2084031600" : "Abahouse",</v>
      </c>
    </row>
    <row r="1624" spans="1:6" ht="15.75" customHeight="1">
      <c r="A1624" s="18">
        <v>2084031601</v>
      </c>
      <c r="B1624" s="18" t="s">
        <v>8916</v>
      </c>
      <c r="C1624" s="18" t="s">
        <v>16023</v>
      </c>
      <c r="D1624" s="5" t="str">
        <f ca="1">IFERROR(__xludf.DUMMYFUNCTION("GOOGLETRANSLATE(B1624,""ja"",""vi"")"),"Armani")</f>
        <v>Armani</v>
      </c>
      <c r="E1624" s="5" t="str">
        <f ca="1">IFERROR(__xludf.DUMMYFUNCTION("GOOGLETRANSLATE(C1624,""ja"",""vi"")"),"Đấu giá&gt; Thời trang&gt; thời trang nam&gt; dệt kim, áo len&gt; Armani")</f>
        <v>Đấu giá&gt; Thời trang&gt; thời trang nam&gt; dệt kim, áo len&gt; Armani</v>
      </c>
      <c r="F1624" t="str">
        <f t="shared" ca="1" si="25"/>
        <v>"2084031601" : "Armani",</v>
      </c>
    </row>
    <row r="1625" spans="1:6" ht="15.75" customHeight="1">
      <c r="A1625" s="18">
        <v>2084031602</v>
      </c>
      <c r="B1625" s="18" t="s">
        <v>8981</v>
      </c>
      <c r="C1625" s="18" t="s">
        <v>16027</v>
      </c>
      <c r="D1625" s="5" t="str">
        <f ca="1">IFERROR(__xludf.DUMMYFUNCTION("GOOGLETRANSLATE(B1625,""ja"",""vi"")"),"dưới nắp")</f>
        <v>dưới nắp</v>
      </c>
      <c r="E1625" s="5" t="str">
        <f ca="1">IFERROR(__xludf.DUMMYFUNCTION("GOOGLETRANSLATE(C1625,""ja"",""vi"")"),"Đấu giá&gt; thời trang thời trang&gt; nam&gt; dệt kim, áo len&gt; có mái che")</f>
        <v>Đấu giá&gt; thời trang thời trang&gt; nam&gt; dệt kim, áo len&gt; có mái che</v>
      </c>
      <c r="F1625" t="str">
        <f t="shared" ca="1" si="25"/>
        <v>"2084031602" : "dưới nắp",</v>
      </c>
    </row>
    <row r="1626" spans="1:6" ht="15.75" customHeight="1">
      <c r="A1626" s="18">
        <v>2084031603</v>
      </c>
      <c r="B1626" s="18" t="s">
        <v>9050</v>
      </c>
      <c r="C1626" s="18" t="s">
        <v>16032</v>
      </c>
      <c r="D1626" s="5" t="str">
        <f ca="1">IFERROR(__xludf.DUMMYFUNCTION("GOOGLETRANSLATE(B1626,""ja"",""vi"")"),"Yves Saint Laurent")</f>
        <v>Yves Saint Laurent</v>
      </c>
      <c r="E1626" s="5" t="str">
        <f ca="1">IFERROR(__xludf.DUMMYFUNCTION("GOOGLETRANSLATE(C1626,""ja"",""vi"")"),"Đấu giá&gt; Thời trang&gt; thời trang nam&gt; dệt kim, áo len&gt; Yves Saint Laurent")</f>
        <v>Đấu giá&gt; Thời trang&gt; thời trang nam&gt; dệt kim, áo len&gt; Yves Saint Laurent</v>
      </c>
      <c r="F1626" t="str">
        <f t="shared" ca="1" si="25"/>
        <v>"2084031603" : "Yves Saint Laurent",</v>
      </c>
    </row>
    <row r="1627" spans="1:6" ht="15.75" customHeight="1">
      <c r="A1627" s="18">
        <v>2084031606</v>
      </c>
      <c r="B1627" s="18" t="s">
        <v>9255</v>
      </c>
      <c r="C1627" s="18" t="s">
        <v>16038</v>
      </c>
      <c r="D1627" s="5" t="str">
        <f ca="1">IFERROR(__xludf.DUMMYFUNCTION("GOOGLETRANSLATE(B1627,""ja"",""vi"")"),"cực lớn")</f>
        <v>cực lớn</v>
      </c>
      <c r="E1627" s="5" t="str">
        <f ca="1">IFERROR(__xludf.DUMMYFUNCTION("GOOGLETRANSLATE(C1627,""ja"",""vi"")"),"Đấu giá&gt; thời trang thời trang&gt; nam&gt; dệt kim, áo len&gt; Extra Large")</f>
        <v>Đấu giá&gt; thời trang thời trang&gt; nam&gt; dệt kim, áo len&gt; Extra Large</v>
      </c>
      <c r="F1627" t="str">
        <f t="shared" ca="1" si="25"/>
        <v>"2084031606" : "cực lớn",</v>
      </c>
    </row>
    <row r="1628" spans="1:6" ht="15.75" customHeight="1">
      <c r="A1628" s="18">
        <v>2084031607</v>
      </c>
      <c r="B1628" s="18" t="s">
        <v>9317</v>
      </c>
      <c r="C1628" s="18" t="s">
        <v>16043</v>
      </c>
      <c r="D1628" s="5" t="str">
        <f ca="1">IFERROR(__xludf.DUMMYFUNCTION("GOOGLETRANSLATE(B1628,""ja"",""vi"")"),"Etro")</f>
        <v>Etro</v>
      </c>
      <c r="E1628" s="5" t="str">
        <f ca="1">IFERROR(__xludf.DUMMYFUNCTION("GOOGLETRANSLATE(C1628,""ja"",""vi"")"),"Đấu giá&gt; Thời trang&gt; thời trang nam&gt; dệt kim, áo len&gt; Etro")</f>
        <v>Đấu giá&gt; Thời trang&gt; thời trang nam&gt; dệt kim, áo len&gt; Etro</v>
      </c>
      <c r="F1628" t="str">
        <f t="shared" ca="1" si="25"/>
        <v>"2084031607" : "Etro",</v>
      </c>
    </row>
    <row r="1629" spans="1:6" ht="15.75" customHeight="1">
      <c r="A1629" s="18">
        <v>2084031608</v>
      </c>
      <c r="B1629" s="18" t="s">
        <v>9475</v>
      </c>
      <c r="C1629" s="18" t="s">
        <v>16046</v>
      </c>
      <c r="D1629" s="5" t="str">
        <f ca="1">IFERROR(__xludf.DUMMYFUNCTION("GOOGLETRANSLATE(B1629,""ja"",""vi"")"),"Hermes")</f>
        <v>Hermes</v>
      </c>
      <c r="E1629" s="5" t="str">
        <f ca="1">IFERROR(__xludf.DUMMYFUNCTION("GOOGLETRANSLATE(C1629,""ja"",""vi"")"),"Đấu giá&gt; Thời trang&gt; thời trang nam&gt; dệt kim, áo len&gt; Hermes")</f>
        <v>Đấu giá&gt; Thời trang&gt; thời trang nam&gt; dệt kim, áo len&gt; Hermes</v>
      </c>
      <c r="F1629" t="str">
        <f t="shared" ca="1" si="25"/>
        <v>"2084031608" : "Hermes",</v>
      </c>
    </row>
    <row r="1630" spans="1:6" ht="15.75" customHeight="1">
      <c r="A1630" s="18">
        <v>2084031609</v>
      </c>
      <c r="B1630" s="18" t="s">
        <v>9663</v>
      </c>
      <c r="C1630" s="18" t="s">
        <v>16051</v>
      </c>
      <c r="D1630" s="5" t="str">
        <f ca="1">IFERROR(__xludf.DUMMYFUNCTION("GOOGLETRANSLATE(B1630,""ja"",""vi"")"),"Calvin Klein")</f>
        <v>Calvin Klein</v>
      </c>
      <c r="E1630" s="5" t="str">
        <f ca="1">IFERROR(__xludf.DUMMYFUNCTION("GOOGLETRANSLATE(C1630,""ja"",""vi"")"),"Đấu giá&gt; Thời trang&gt; thời trang nam&gt; dệt kim, áo len&gt; Calvin Klein")</f>
        <v>Đấu giá&gt; Thời trang&gt; thời trang nam&gt; dệt kim, áo len&gt; Calvin Klein</v>
      </c>
      <c r="F1630" t="str">
        <f t="shared" ca="1" si="25"/>
        <v>"2084031609" : "Calvin Klein",</v>
      </c>
    </row>
    <row r="1631" spans="1:6" ht="15.75" customHeight="1">
      <c r="A1631" s="18">
        <v>2084031610</v>
      </c>
      <c r="B1631" s="18" t="s">
        <v>9724</v>
      </c>
      <c r="C1631" s="18" t="s">
        <v>16056</v>
      </c>
      <c r="D1631" s="5" t="str">
        <f ca="1">IFERROR(__xludf.DUMMYFUNCTION("GOOGLETRANSLATE(B1631,""ja"",""vi"")"),"Katherine Hamnett")</f>
        <v>Katherine Hamnett</v>
      </c>
      <c r="E1631" s="5" t="str">
        <f ca="1">IFERROR(__xludf.DUMMYFUNCTION("GOOGLETRANSLATE(C1631,""ja"",""vi"")"),"Đấu giá&gt; Thời trang&gt; thời trang nam&gt; dệt kim, áo len&gt; Katharine Hamnett")</f>
        <v>Đấu giá&gt; Thời trang&gt; thời trang nam&gt; dệt kim, áo len&gt; Katharine Hamnett</v>
      </c>
      <c r="F1631" t="str">
        <f t="shared" ca="1" si="25"/>
        <v>"2084031610" : "Katherine Hamnett",</v>
      </c>
    </row>
    <row r="1632" spans="1:6" ht="15.75" customHeight="1">
      <c r="A1632" s="18">
        <v>2084031611</v>
      </c>
      <c r="B1632" s="18" t="s">
        <v>9751</v>
      </c>
      <c r="C1632" s="18" t="s">
        <v>16061</v>
      </c>
      <c r="D1632" s="5" t="str">
        <f ca="1">IFERROR(__xludf.DUMMYFUNCTION("GOOGLETRANSLATE(B1632,""ja"",""vi"")"),"khoảng trống")</f>
        <v>khoảng trống</v>
      </c>
      <c r="E1632" s="5" t="str">
        <f ca="1">IFERROR(__xludf.DUMMYFUNCTION("GOOGLETRANSLATE(C1632,""ja"",""vi"")"),"Đấu giá&gt; Thời trang&gt; thời trang nam&gt; dệt kim, áo len&gt; khoảng cách")</f>
        <v>Đấu giá&gt; Thời trang&gt; thời trang nam&gt; dệt kim, áo len&gt; khoảng cách</v>
      </c>
      <c r="F1632" t="str">
        <f t="shared" ca="1" si="25"/>
        <v>"2084031611" : "khoảng trống",</v>
      </c>
    </row>
    <row r="1633" spans="1:6" ht="15.75" customHeight="1">
      <c r="A1633" s="18">
        <v>2084031613</v>
      </c>
      <c r="B1633" s="18" t="s">
        <v>9858</v>
      </c>
      <c r="C1633" s="18" t="s">
        <v>16066</v>
      </c>
      <c r="D1633" s="5" t="str">
        <f ca="1">IFERROR(__xludf.DUMMYFUNCTION("GOOGLETRANSLATE(B1633,""ja"",""vi"")"),"Christian Dior")</f>
        <v>Christian Dior</v>
      </c>
      <c r="E1633" s="5" t="str">
        <f ca="1">IFERROR(__xludf.DUMMYFUNCTION("GOOGLETRANSLATE(C1633,""ja"",""vi"")"),"Đấu giá&gt; Thời trang&gt; thời trang nam&gt; dệt kim, áo len&gt; Christian Dior")</f>
        <v>Đấu giá&gt; Thời trang&gt; thời trang nam&gt; dệt kim, áo len&gt; Christian Dior</v>
      </c>
      <c r="F1633" t="str">
        <f t="shared" ca="1" si="25"/>
        <v>"2084031613" : "Christian Dior",</v>
      </c>
    </row>
    <row r="1634" spans="1:6" ht="15.75" customHeight="1">
      <c r="A1634" s="18">
        <v>2084031612</v>
      </c>
      <c r="B1634" s="18" t="s">
        <v>9815</v>
      </c>
      <c r="C1634" s="18" t="s">
        <v>16071</v>
      </c>
      <c r="D1634" s="5" t="str">
        <f ca="1">IFERROR(__xludf.DUMMYFUNCTION("GOOGLETRANSLATE(B1634,""ja"",""vi"")"),"Gucci")</f>
        <v>Gucci</v>
      </c>
      <c r="E1634" s="5" t="str">
        <f ca="1">IFERROR(__xludf.DUMMYFUNCTION("GOOGLETRANSLATE(C1634,""ja"",""vi"")"),"Đấu giá&gt; Thời trang&gt; thời trang nam&gt; dệt kim, áo len&gt; Gucci")</f>
        <v>Đấu giá&gt; Thời trang&gt; thời trang nam&gt; dệt kim, áo len&gt; Gucci</v>
      </c>
      <c r="F1634" t="str">
        <f t="shared" ca="1" si="25"/>
        <v>"2084031612" : "Gucci",</v>
      </c>
    </row>
    <row r="1635" spans="1:6" ht="15.75" customHeight="1">
      <c r="A1635" s="18">
        <v>2084031614</v>
      </c>
      <c r="B1635" s="18" t="s">
        <v>10041</v>
      </c>
      <c r="C1635" s="18" t="s">
        <v>16078</v>
      </c>
      <c r="D1635" s="5" t="str">
        <f ca="1">IFERROR(__xludf.DUMMYFUNCTION("GOOGLETRANSLATE(B1635,""ja"",""vi"")"),"Com de chế độ")</f>
        <v>Com de chế độ</v>
      </c>
      <c r="E1635" s="5" t="str">
        <f ca="1">IFERROR(__xludf.DUMMYFUNCTION("GOOGLETRANSLATE(C1635,""ja"",""vi"")"),"Đấu giá&gt; Thời trang&gt; thời trang nam&gt; dệt kim, áo len&gt; com de chế độ")</f>
        <v>Đấu giá&gt; Thời trang&gt; thời trang nam&gt; dệt kim, áo len&gt; com de chế độ</v>
      </c>
      <c r="F1635" t="str">
        <f t="shared" ca="1" si="25"/>
        <v>"2084031614" : "Com de chế độ",</v>
      </c>
    </row>
    <row r="1636" spans="1:6" ht="15.75" customHeight="1">
      <c r="A1636" s="18">
        <v>2084031615</v>
      </c>
      <c r="B1636" s="18" t="s">
        <v>10044</v>
      </c>
      <c r="C1636" s="18" t="s">
        <v>16081</v>
      </c>
      <c r="D1636" s="5" t="str">
        <f ca="1">IFERROR(__xludf.DUMMYFUNCTION("GOOGLETRANSLATE(B1636,""ja"",""vi"")"),"Comme des Garcons")</f>
        <v>Comme des Garcons</v>
      </c>
      <c r="E1636" s="5" t="str">
        <f ca="1">IFERROR(__xludf.DUMMYFUNCTION("GOOGLETRANSLATE(C1636,""ja"",""vi"")"),"Đấu giá&gt; Thời trang&gt; nam thời trang&gt; dệt kim, áo len&gt; Comme des Garcons")</f>
        <v>Đấu giá&gt; Thời trang&gt; nam thời trang&gt; dệt kim, áo len&gt; Comme des Garcons</v>
      </c>
      <c r="F1636" t="str">
        <f t="shared" ca="1" si="25"/>
        <v>"2084031615" : "Comme des Garcons",</v>
      </c>
    </row>
    <row r="1637" spans="1:6" ht="15.75" customHeight="1">
      <c r="A1637" s="18">
        <v>2084031588</v>
      </c>
      <c r="B1637" s="18" t="s">
        <v>10142</v>
      </c>
      <c r="C1637" s="18" t="s">
        <v>16085</v>
      </c>
      <c r="D1637" s="5" t="str">
        <f ca="1">IFERROR(__xludf.DUMMYFUNCTION("GOOGLETRANSLATE(B1637,""ja"",""vi"")"),"Salvatore Ferragamo")</f>
        <v>Salvatore Ferragamo</v>
      </c>
      <c r="E1637" s="5" t="str">
        <f ca="1">IFERROR(__xludf.DUMMYFUNCTION("GOOGLETRANSLATE(C1637,""ja"",""vi"")"),"Đấu giá&gt; Thời trang&gt; thời trang nam&gt; dệt kim, áo len&gt; Salvatore Ferragamo")</f>
        <v>Đấu giá&gt; Thời trang&gt; thời trang nam&gt; dệt kim, áo len&gt; Salvatore Ferragamo</v>
      </c>
      <c r="F1637" t="str">
        <f t="shared" ca="1" si="25"/>
        <v>"2084031588" : "Salvatore Ferragamo",</v>
      </c>
    </row>
    <row r="1638" spans="1:6" ht="15.75" customHeight="1">
      <c r="A1638" s="18">
        <v>2084031616</v>
      </c>
      <c r="B1638" s="18" t="s">
        <v>10229</v>
      </c>
      <c r="C1638" s="18" t="s">
        <v>16089</v>
      </c>
      <c r="D1638" s="5" t="str">
        <f ca="1">IFERROR(__xludf.DUMMYFUNCTION("GOOGLETRANSLATE(B1638,""ja"",""vi"")"),"tàu")</f>
        <v>tàu</v>
      </c>
      <c r="E1638" s="5" t="str">
        <f ca="1">IFERROR(__xludf.DUMMYFUNCTION("GOOGLETRANSLATE(C1638,""ja"",""vi"")"),"Đấu giá&gt; Thời trang&gt; thời trang nam&gt; dệt kim, áo len&gt; Tàu")</f>
        <v>Đấu giá&gt; Thời trang&gt; thời trang nam&gt; dệt kim, áo len&gt; Tàu</v>
      </c>
      <c r="F1638" t="str">
        <f t="shared" ca="1" si="25"/>
        <v>"2084031616" : "tàu",</v>
      </c>
    </row>
    <row r="1639" spans="1:6" ht="15.75" customHeight="1">
      <c r="A1639" s="18">
        <v>2084031617</v>
      </c>
      <c r="B1639" s="18" t="s">
        <v>10683</v>
      </c>
      <c r="C1639" s="18" t="s">
        <v>16095</v>
      </c>
      <c r="D1639" s="5" t="str">
        <f ca="1">IFERROR(__xludf.DUMMYFUNCTION("GOOGLETRANSLATE(B1639,""ja"",""vi"")"),"Takeokikuchi")</f>
        <v>Takeokikuchi</v>
      </c>
      <c r="E1639" s="5" t="str">
        <f ca="1">IFERROR(__xludf.DUMMYFUNCTION("GOOGLETRANSLATE(C1639,""ja"",""vi"")"),"Đấu giá&gt; Thời trang&gt; thời trang nam&gt; dệt kim, áo len&gt; Takeokikuchi")</f>
        <v>Đấu giá&gt; Thời trang&gt; thời trang nam&gt; dệt kim, áo len&gt; Takeokikuchi</v>
      </c>
      <c r="F1639" t="str">
        <f t="shared" ca="1" si="25"/>
        <v>"2084031617" : "Takeokikuchi",</v>
      </c>
    </row>
    <row r="1640" spans="1:6" ht="15.75" customHeight="1">
      <c r="A1640" s="18">
        <v>2084031618</v>
      </c>
      <c r="B1640" s="18" t="s">
        <v>13486</v>
      </c>
      <c r="C1640" s="18" t="s">
        <v>16100</v>
      </c>
      <c r="D1640" s="5" t="str">
        <f ca="1">IFERROR(__xludf.DUMMYFUNCTION("GOOGLETRANSLATE(B1640,""ja"",""vi"")"),"Donna Karan, DKNY")</f>
        <v>Donna Karan, DKNY</v>
      </c>
      <c r="E1640" s="5" t="str">
        <f ca="1">IFERROR(__xludf.DUMMYFUNCTION("GOOGLETRANSLATE(C1640,""ja"",""vi"")"),"Đấu giá&gt; Thời trang&gt; thời trang nam&gt; dệt kim, áo len&gt; Donna Karan, DKNY")</f>
        <v>Đấu giá&gt; Thời trang&gt; thời trang nam&gt; dệt kim, áo len&gt; Donna Karan, DKNY</v>
      </c>
      <c r="F1640" t="str">
        <f t="shared" ca="1" si="25"/>
        <v>"2084031618" : "Donna Karan, DKNY",</v>
      </c>
    </row>
    <row r="1641" spans="1:6" ht="15.75" customHeight="1">
      <c r="A1641" s="18">
        <v>2084031619</v>
      </c>
      <c r="B1641" s="18" t="s">
        <v>10910</v>
      </c>
      <c r="C1641" s="18" t="s">
        <v>16104</v>
      </c>
      <c r="D1641" s="5" t="str">
        <f ca="1">IFERROR(__xludf.DUMMYFUNCTION("GOOGLETRANSLATE(B1641,""ja"",""vi"")"),"Timberland")</f>
        <v>Timberland</v>
      </c>
      <c r="E1641" s="5" t="str">
        <f ca="1">IFERROR(__xludf.DUMMYFUNCTION("GOOGLETRANSLATE(C1641,""ja"",""vi"")"),"Đấu giá&gt; thời trang thời trang&gt; nam&gt; dệt kim, áo len&gt; Timberland")</f>
        <v>Đấu giá&gt; thời trang thời trang&gt; nam&gt; dệt kim, áo len&gt; Timberland</v>
      </c>
      <c r="F1641" t="str">
        <f t="shared" ca="1" si="25"/>
        <v>"2084031619" : "Timberland",</v>
      </c>
    </row>
    <row r="1642" spans="1:6" ht="15.75" customHeight="1">
      <c r="A1642" s="18">
        <v>2084031620</v>
      </c>
      <c r="B1642" s="18" t="s">
        <v>11072</v>
      </c>
      <c r="C1642" s="18" t="s">
        <v>16107</v>
      </c>
      <c r="D1642" s="5" t="str">
        <f ca="1">IFERROR(__xludf.DUMMYFUNCTION("GOOGLETRANSLATE(B1642,""ja"",""vi"")"),"Transformer lục")</f>
        <v>Transformer lục</v>
      </c>
      <c r="E1642" s="5" t="str">
        <f ca="1">IFERROR(__xludf.DUMMYFUNCTION("GOOGLETRANSLATE(C1642,""ja"",""vi"")"),"Đấu giá&gt; thời trang thời trang&gt; nam&gt; dệt kim, áo len&gt; biến áp lục")</f>
        <v>Đấu giá&gt; thời trang thời trang&gt; nam&gt; dệt kim, áo len&gt; biến áp lục</v>
      </c>
      <c r="F1642" t="str">
        <f t="shared" ca="1" si="25"/>
        <v>"2084031620" : "Transformer lục",</v>
      </c>
    </row>
    <row r="1643" spans="1:6" ht="15.75" customHeight="1">
      <c r="A1643" s="18">
        <v>2084053007</v>
      </c>
      <c r="B1643" s="18" t="s">
        <v>11094</v>
      </c>
      <c r="C1643" s="18" t="s">
        <v>16111</v>
      </c>
      <c r="D1643" s="5" t="str">
        <f ca="1">IFERROR(__xludf.DUMMYFUNCTION("GOOGLETRANSLATE(B1643,""ja"",""vi"")"),"Tornado Mart")</f>
        <v>Tornado Mart</v>
      </c>
      <c r="E1643" s="5" t="str">
        <f ca="1">IFERROR(__xludf.DUMMYFUNCTION("GOOGLETRANSLATE(C1643,""ja"",""vi"")"),"Đấu giá&gt; Thời trang&gt; thời trang nam&gt; dệt kim, áo len&gt; Tornado Mart")</f>
        <v>Đấu giá&gt; Thời trang&gt; thời trang nam&gt; dệt kim, áo len&gt; Tornado Mart</v>
      </c>
      <c r="F1643" t="str">
        <f t="shared" ca="1" si="25"/>
        <v>"2084053007" : "Tornado Mart",</v>
      </c>
    </row>
    <row r="1644" spans="1:6" ht="15.75" customHeight="1">
      <c r="A1644" s="18">
        <v>2084031621</v>
      </c>
      <c r="B1644" s="18" t="s">
        <v>16116</v>
      </c>
      <c r="C1644" s="18" t="s">
        <v>16117</v>
      </c>
      <c r="D1644" s="5" t="str">
        <f ca="1">IFERROR(__xludf.DUMMYFUNCTION("GOOGLETRANSLATE(B1644,""ja"",""vi"")"),"Dries van Noten")</f>
        <v>Dries van Noten</v>
      </c>
      <c r="E1644" s="5" t="str">
        <f ca="1">IFERROR(__xludf.DUMMYFUNCTION("GOOGLETRANSLATE(C1644,""ja"",""vi"")"),"Đấu giá&gt; thời trang thời trang&gt; nam&gt; dệt kim, áo len&gt; Dries van Noten")</f>
        <v>Đấu giá&gt; thời trang thời trang&gt; nam&gt; dệt kim, áo len&gt; Dries van Noten</v>
      </c>
      <c r="F1644" t="str">
        <f t="shared" ca="1" si="25"/>
        <v>"2084031621" : "Dries van Noten",</v>
      </c>
    </row>
    <row r="1645" spans="1:6" ht="15.75" customHeight="1">
      <c r="A1645" s="18">
        <v>2084031622</v>
      </c>
      <c r="B1645" s="18" t="s">
        <v>16122</v>
      </c>
      <c r="C1645" s="18" t="s">
        <v>16124</v>
      </c>
      <c r="D1645" s="5" t="str">
        <f ca="1">IFERROR(__xludf.DUMMYFUNCTION("GOOGLETRANSLATE(B1645,""ja"",""vi"")"),"Dolce &amp; Gabbana")</f>
        <v>Dolce &amp; Gabbana</v>
      </c>
      <c r="E1645" s="5" t="str">
        <f ca="1">IFERROR(__xludf.DUMMYFUNCTION("GOOGLETRANSLATE(C1645,""ja"",""vi"")"),"Đấu giá&gt; Thời trang&gt; thời trang nam&gt; dệt kim, áo len&gt; Dolce &amp; Gabbana")</f>
        <v>Đấu giá&gt; Thời trang&gt; thời trang nam&gt; dệt kim, áo len&gt; Dolce &amp; Gabbana</v>
      </c>
      <c r="F1645" t="str">
        <f t="shared" ca="1" si="25"/>
        <v>"2084031622" : "Dolce &amp; Gabbana",</v>
      </c>
    </row>
    <row r="1646" spans="1:6" ht="15.75" customHeight="1">
      <c r="A1646" s="18">
        <v>2084031625</v>
      </c>
      <c r="B1646" s="18" t="s">
        <v>11489</v>
      </c>
      <c r="C1646" s="18" t="s">
        <v>16129</v>
      </c>
      <c r="D1646" s="5" t="str">
        <f ca="1">IFERROR(__xludf.DUMMYFUNCTION("GOOGLETRANSLATE(B1646,""ja"",""vi"")"),"Thị trường Hollywood Ranch")</f>
        <v>Thị trường Hollywood Ranch</v>
      </c>
      <c r="E1646" s="5" t="str">
        <f ca="1">IFERROR(__xludf.DUMMYFUNCTION("GOOGLETRANSLATE(C1646,""ja"",""vi"")"),"Đấu giá&gt; Thời trang&gt; thời trang nam&gt; dệt kim, áo len&gt; Thị trường Hollywood Ranch")</f>
        <v>Đấu giá&gt; Thời trang&gt; thời trang nam&gt; dệt kim, áo len&gt; Thị trường Hollywood Ranch</v>
      </c>
      <c r="F1646" t="str">
        <f t="shared" ca="1" si="25"/>
        <v>"2084031625" : "Thị trường Hollywood Ranch",</v>
      </c>
    </row>
    <row r="1647" spans="1:6" ht="15.75" customHeight="1">
      <c r="A1647" s="18">
        <v>2084031626</v>
      </c>
      <c r="B1647" s="18" t="s">
        <v>11561</v>
      </c>
      <c r="C1647" s="18" t="s">
        <v>16134</v>
      </c>
      <c r="D1647" s="5" t="str">
        <f ca="1">IFERROR(__xludf.DUMMYFUNCTION("GOOGLETRANSLATE(B1647,""ja"",""vi"")"),"săn thế giới")</f>
        <v>săn thế giới</v>
      </c>
      <c r="E1647" s="5" t="str">
        <f ca="1">IFERROR(__xludf.DUMMYFUNCTION("GOOGLETRANSLATE(C1647,""ja"",""vi"")"),"Đấu giá&gt; Thời trang&gt; thời trang nam&gt; dệt kim, áo len&gt; Săn Thế giới")</f>
        <v>Đấu giá&gt; Thời trang&gt; thời trang nam&gt; dệt kim, áo len&gt; Săn Thế giới</v>
      </c>
      <c r="F1647" t="str">
        <f t="shared" ca="1" si="25"/>
        <v>"2084031626" : "săn thế giới",</v>
      </c>
    </row>
    <row r="1648" spans="1:6" ht="15.75" customHeight="1">
      <c r="A1648" s="18">
        <v>2084031624</v>
      </c>
      <c r="B1648" s="18" t="s">
        <v>11443</v>
      </c>
      <c r="C1648" s="18" t="s">
        <v>16139</v>
      </c>
      <c r="D1648" s="5" t="str">
        <f ca="1">IFERROR(__xludf.DUMMYFUNCTION("GOOGLETRANSLATE(B1648,""ja"",""vi"")"),"chổ lồi ở cây")</f>
        <v>chổ lồi ở cây</v>
      </c>
      <c r="E1648" s="5" t="str">
        <f ca="1">IFERROR(__xludf.DUMMYFUNCTION("GOOGLETRANSLATE(C1648,""ja"",""vi"")"),"Đấu giá&gt; Thời trang&gt; thời trang nam&gt; dệt kim, áo len&gt; Burberry")</f>
        <v>Đấu giá&gt; Thời trang&gt; thời trang nam&gt; dệt kim, áo len&gt; Burberry</v>
      </c>
      <c r="F1648" t="str">
        <f t="shared" ca="1" si="25"/>
        <v>"2084031624" : "chổ lồi ở cây",</v>
      </c>
    </row>
    <row r="1649" spans="1:6" ht="15.75" customHeight="1">
      <c r="A1649" s="18">
        <v>2084031629</v>
      </c>
      <c r="B1649" s="18" t="s">
        <v>11611</v>
      </c>
      <c r="C1649" s="18" t="s">
        <v>16145</v>
      </c>
      <c r="D1649" s="5" t="str">
        <f ca="1">IFERROR(__xludf.DUMMYFUNCTION("GOOGLETRANSLATE(B1649,""ja"",""vi"")"),"Hysteric Glamour")</f>
        <v>Hysteric Glamour</v>
      </c>
      <c r="E1649" s="5" t="str">
        <f ca="1">IFERROR(__xludf.DUMMYFUNCTION("GOOGLETRANSLATE(C1649,""ja"",""vi"")"),"Đấu giá&gt; Thời trang&gt; thời trang nam&gt; dệt kim, áo len&gt; Hysteric Glamour")</f>
        <v>Đấu giá&gt; Thời trang&gt; thời trang nam&gt; dệt kim, áo len&gt; Hysteric Glamour</v>
      </c>
      <c r="F1649" t="str">
        <f t="shared" ca="1" si="25"/>
        <v>"2084031629" : "Hysteric Glamour",</v>
      </c>
    </row>
    <row r="1650" spans="1:6" ht="15.75" customHeight="1">
      <c r="A1650" s="18">
        <v>2084054051</v>
      </c>
      <c r="B1650" s="18" t="s">
        <v>16149</v>
      </c>
      <c r="C1650" s="18" t="s">
        <v>16150</v>
      </c>
      <c r="D1650" s="5" t="str">
        <f ca="1">IFERROR(__xludf.DUMMYFUNCTION("GOOGLETRANSLATE(B1650,""ja"",""vi"")"),"Hugo Boss")</f>
        <v>Hugo Boss</v>
      </c>
      <c r="E1650" s="5" t="str">
        <f ca="1">IFERROR(__xludf.DUMMYFUNCTION("GOOGLETRANSLATE(C1650,""ja"",""vi"")"),"Đấu giá&gt; Thời trang&gt; thời trang nam&gt; dệt kim, áo len&gt; Hugo Boss")</f>
        <v>Đấu giá&gt; Thời trang&gt; thời trang nam&gt; dệt kim, áo len&gt; Hugo Boss</v>
      </c>
      <c r="F1650" t="str">
        <f t="shared" ca="1" si="25"/>
        <v>"2084054051" : "Hugo Boss",</v>
      </c>
    </row>
    <row r="1651" spans="1:6" ht="15.75" customHeight="1">
      <c r="A1651" s="18">
        <v>2084031627</v>
      </c>
      <c r="B1651" s="18" t="s">
        <v>11683</v>
      </c>
      <c r="C1651" s="18" t="s">
        <v>16157</v>
      </c>
      <c r="D1651" s="5" t="str">
        <f ca="1">IFERROR(__xludf.DUMMYFUNCTION("GOOGLETRANSLATE(B1651,""ja"",""vi"")"),"DẦM")</f>
        <v>DẦM</v>
      </c>
      <c r="E1651" s="5" t="str">
        <f ca="1">IFERROR(__xludf.DUMMYFUNCTION("GOOGLETRANSLATE(C1651,""ja"",""vi"")"),"Đấu giá&gt; Thời trang&gt; thời trang nam&gt; dệt kim, áo len&gt; Dầm")</f>
        <v>Đấu giá&gt; Thời trang&gt; thời trang nam&gt; dệt kim, áo len&gt; Dầm</v>
      </c>
      <c r="F1651" t="str">
        <f t="shared" ca="1" si="25"/>
        <v>"2084031627" : "DẦM",</v>
      </c>
    </row>
    <row r="1652" spans="1:6" ht="15.75" customHeight="1">
      <c r="A1652" s="18">
        <v>2084031628</v>
      </c>
      <c r="B1652" s="18" t="s">
        <v>11663</v>
      </c>
      <c r="C1652" s="18" t="s">
        <v>16162</v>
      </c>
      <c r="D1652" s="5" t="str">
        <f ca="1">IFERROR(__xludf.DUMMYFUNCTION("GOOGLETRANSLATE(B1652,""ja"",""vi"")"),"Bigi")</f>
        <v>Bigi</v>
      </c>
      <c r="E1652" s="5" t="str">
        <f ca="1">IFERROR(__xludf.DUMMYFUNCTION("GOOGLETRANSLATE(C1652,""ja"",""vi"")"),"Đấu giá&gt; Thời trang&gt; thời trang nam&gt; dệt kim, áo len&gt; Bigi")</f>
        <v>Đấu giá&gt; Thời trang&gt; thời trang nam&gt; dệt kim, áo len&gt; Bigi</v>
      </c>
      <c r="F1652" t="str">
        <f t="shared" ca="1" si="25"/>
        <v>"2084031628" : "Bigi",</v>
      </c>
    </row>
    <row r="1653" spans="1:6" ht="15.75" customHeight="1">
      <c r="A1653" s="18">
        <v>2084031589</v>
      </c>
      <c r="B1653" s="18" t="s">
        <v>11843</v>
      </c>
      <c r="C1653" s="18" t="s">
        <v>16168</v>
      </c>
      <c r="D1653" s="5" t="str">
        <f ca="1">IFERROR(__xludf.DUMMYFUNCTION("GOOGLETRANSLATE(B1653,""ja"",""vi"")"),"Fendi")</f>
        <v>Fendi</v>
      </c>
      <c r="E1653" s="5" t="str">
        <f ca="1">IFERROR(__xludf.DUMMYFUNCTION("GOOGLETRANSLATE(C1653,""ja"",""vi"")"),"Đấu giá&gt; Thời trang&gt; thời trang nam&gt; dệt kim, áo len&gt; Fendi")</f>
        <v>Đấu giá&gt; Thời trang&gt; thời trang nam&gt; dệt kim, áo len&gt; Fendi</v>
      </c>
      <c r="F1653" t="str">
        <f t="shared" ca="1" si="25"/>
        <v>"2084031589" : "Fendi",</v>
      </c>
    </row>
    <row r="1654" spans="1:6" ht="15.75" customHeight="1">
      <c r="A1654" s="18">
        <v>2084031590</v>
      </c>
      <c r="B1654" s="18" t="s">
        <v>12035</v>
      </c>
      <c r="C1654" s="18" t="s">
        <v>16173</v>
      </c>
      <c r="D1654" s="5" t="str">
        <f ca="1">IFERROR(__xludf.DUMMYFUNCTION("GOOGLETRANSLATE(B1654,""ja"",""vi"")"),"Prada")</f>
        <v>Prada</v>
      </c>
      <c r="E1654" s="5" t="str">
        <f ca="1">IFERROR(__xludf.DUMMYFUNCTION("GOOGLETRANSLATE(C1654,""ja"",""vi"")"),"Đấu giá&gt; Thời trang&gt; thời trang nam&gt; dệt kim, áo len&gt; Prada")</f>
        <v>Đấu giá&gt; Thời trang&gt; thời trang nam&gt; dệt kim, áo len&gt; Prada</v>
      </c>
      <c r="F1654" t="str">
        <f t="shared" ca="1" si="25"/>
        <v>"2084031590" : "Prada",</v>
      </c>
    </row>
    <row r="1655" spans="1:6" ht="15.75" customHeight="1">
      <c r="A1655" s="18">
        <v>2084031592</v>
      </c>
      <c r="B1655" s="18" t="s">
        <v>12146</v>
      </c>
      <c r="C1655" s="18" t="s">
        <v>16179</v>
      </c>
      <c r="D1655" s="5" t="str">
        <f ca="1">IFERROR(__xludf.DUMMYFUNCTION("GOOGLETRANSLATE(B1655,""ja"",""vi"")"),"Helmut Lang")</f>
        <v>Helmut Lang</v>
      </c>
      <c r="E1655" s="5" t="str">
        <f ca="1">IFERROR(__xludf.DUMMYFUNCTION("GOOGLETRANSLATE(C1655,""ja"",""vi"")"),"Đấu giá&gt; Thời trang&gt; thời trang nam&gt; dệt kim, áo len&gt; Helmut Lang")</f>
        <v>Đấu giá&gt; Thời trang&gt; thời trang nam&gt; dệt kim, áo len&gt; Helmut Lang</v>
      </c>
      <c r="F1655" t="str">
        <f t="shared" ca="1" si="25"/>
        <v>"2084031592" : "Helmut Lang",</v>
      </c>
    </row>
    <row r="1656" spans="1:6" ht="15.75" customHeight="1">
      <c r="A1656" s="18">
        <v>2084031591</v>
      </c>
      <c r="B1656" s="18" t="s">
        <v>12114</v>
      </c>
      <c r="C1656" s="18" t="s">
        <v>16185</v>
      </c>
      <c r="D1656" s="5" t="str">
        <f ca="1">IFERROR(__xludf.DUMMYFUNCTION("GOOGLETRANSLATE(B1656,""ja"",""vi"")"),"Benetton")</f>
        <v>Benetton</v>
      </c>
      <c r="E1656" s="5" t="str">
        <f ca="1">IFERROR(__xludf.DUMMYFUNCTION("GOOGLETRANSLATE(C1656,""ja"",""vi"")"),"Đấu giá&gt; Thời trang&gt; thời trang nam&gt; dệt kim, áo len&gt; Benetton")</f>
        <v>Đấu giá&gt; Thời trang&gt; thời trang nam&gt; dệt kim, áo len&gt; Benetton</v>
      </c>
      <c r="F1656" t="str">
        <f t="shared" ca="1" si="25"/>
        <v>"2084031591" : "Benetton",</v>
      </c>
    </row>
    <row r="1657" spans="1:6" ht="15.75" customHeight="1">
      <c r="A1657" s="18">
        <v>2084031593</v>
      </c>
      <c r="B1657" s="18" t="s">
        <v>12184</v>
      </c>
      <c r="C1657" s="18" t="s">
        <v>16191</v>
      </c>
      <c r="D1657" s="5" t="str">
        <f ca="1">IFERROR(__xludf.DUMMYFUNCTION("GOOGLETRANSLATE(B1657,""ja"",""vi"")"),"tẩy chay")</f>
        <v>tẩy chay</v>
      </c>
      <c r="E1657" s="5" t="str">
        <f ca="1">IFERROR(__xludf.DUMMYFUNCTION("GOOGLETRANSLATE(C1657,""ja"",""vi"")"),"Đấu giá&gt; Thời trang&gt; thời trang nam&gt; dệt kim, áo len&gt; tẩy chay")</f>
        <v>Đấu giá&gt; Thời trang&gt; thời trang nam&gt; dệt kim, áo len&gt; tẩy chay</v>
      </c>
      <c r="F1657" t="str">
        <f t="shared" ca="1" si="25"/>
        <v>"2084031593" : "tẩy chay",</v>
      </c>
    </row>
    <row r="1658" spans="1:6" ht="15.75" customHeight="1">
      <c r="A1658" s="18">
        <v>2084031594</v>
      </c>
      <c r="B1658" s="18" t="s">
        <v>16193</v>
      </c>
      <c r="C1658" s="18" t="s">
        <v>16195</v>
      </c>
      <c r="D1658" s="5" t="str">
        <f ca="1">IFERROR(__xludf.DUMMYFUNCTION("GOOGLETRANSLATE(B1658,""ja"",""vi"")"),"Paul Smith")</f>
        <v>Paul Smith</v>
      </c>
      <c r="E1658" s="5" t="str">
        <f ca="1">IFERROR(__xludf.DUMMYFUNCTION("GOOGLETRANSLATE(C1658,""ja"",""vi"")"),"Đấu giá&gt; Thời trang&gt; thời trang nam&gt; dệt kim, áo len&gt; Paul Smith")</f>
        <v>Đấu giá&gt; Thời trang&gt; thời trang nam&gt; dệt kim, áo len&gt; Paul Smith</v>
      </c>
      <c r="F1658" t="str">
        <f t="shared" ca="1" si="25"/>
        <v>"2084031594" : "Paul Smith",</v>
      </c>
    </row>
    <row r="1659" spans="1:6" ht="15.75" customHeight="1">
      <c r="A1659" s="18">
        <v>2084031595</v>
      </c>
      <c r="B1659" s="18" t="s">
        <v>12526</v>
      </c>
      <c r="C1659" s="18" t="s">
        <v>16200</v>
      </c>
      <c r="D1659" s="5" t="str">
        <f ca="1">IFERROR(__xludf.DUMMYFUNCTION("GOOGLETRANSLATE(B1659,""ja"",""vi"")"),"sữa Boy")</f>
        <v>sữa Boy</v>
      </c>
      <c r="E1659" s="5" t="str">
        <f ca="1">IFERROR(__xludf.DUMMYFUNCTION("GOOGLETRANSLATE(C1659,""ja"",""vi"")"),"Đấu giá&gt; Thời trang&gt; thời trang nam&gt; dệt kim, áo len&gt; Sữa Boy")</f>
        <v>Đấu giá&gt; Thời trang&gt; thời trang nam&gt; dệt kim, áo len&gt; Sữa Boy</v>
      </c>
      <c r="F1659" t="str">
        <f t="shared" ca="1" si="25"/>
        <v>"2084031595" : "sữa Boy",</v>
      </c>
    </row>
    <row r="1660" spans="1:6" ht="15.75" customHeight="1">
      <c r="A1660" s="18">
        <v>2084031596</v>
      </c>
      <c r="B1660" s="18" t="s">
        <v>12644</v>
      </c>
      <c r="C1660" s="18" t="s">
        <v>16210</v>
      </c>
      <c r="D1660" s="5" t="str">
        <f ca="1">IFERROR(__xludf.DUMMYFUNCTION("GOOGLETRANSLATE(B1660,""ja"",""vi"")"),"LIÊN HIỆP mũi tên")</f>
        <v>LIÊN HIỆP mũi tên</v>
      </c>
      <c r="E1660" s="5" t="str">
        <f ca="1">IFERROR(__xludf.DUMMYFUNCTION("GOOGLETRANSLATE(C1660,""ja"",""vi"")"),"Đấu giá&gt; Thời trang&gt; thời trang&gt; dệt kim, áo len&gt; mũi tên United nam")</f>
        <v>Đấu giá&gt; Thời trang&gt; thời trang&gt; dệt kim, áo len&gt; mũi tên United nam</v>
      </c>
      <c r="F1660" t="str">
        <f t="shared" ca="1" si="25"/>
        <v>"2084031596" : "LIÊN HIỆP mũi tên",</v>
      </c>
    </row>
    <row r="1661" spans="1:6" ht="15.75" customHeight="1">
      <c r="A1661" s="18">
        <v>2084031585</v>
      </c>
      <c r="B1661" s="18" t="s">
        <v>12786</v>
      </c>
      <c r="C1661" s="18" t="s">
        <v>16216</v>
      </c>
      <c r="D1661" s="5" t="str">
        <f ca="1">IFERROR(__xludf.DUMMYFUNCTION("GOOGLETRANSLATE(B1661,""ja"",""vi"")"),"Ralph Lauren")</f>
        <v>Ralph Lauren</v>
      </c>
      <c r="E1661" s="5" t="str">
        <f ca="1">IFERROR(__xludf.DUMMYFUNCTION("GOOGLETRANSLATE(C1661,""ja"",""vi"")"),"Đấu giá&gt; Thời trang&gt; thời trang nam&gt; dệt kim, áo len&gt; Ralph Lauren")</f>
        <v>Đấu giá&gt; Thời trang&gt; thời trang nam&gt; dệt kim, áo len&gt; Ralph Lauren</v>
      </c>
      <c r="F1661" t="str">
        <f t="shared" ca="1" si="25"/>
        <v>"2084031585" : "Ralph Lauren",</v>
      </c>
    </row>
    <row r="1662" spans="1:6" ht="15.75" customHeight="1">
      <c r="A1662" s="18">
        <v>2084031586</v>
      </c>
      <c r="B1662" s="18" t="s">
        <v>13179</v>
      </c>
      <c r="C1662" s="18" t="s">
        <v>16221</v>
      </c>
      <c r="D1662" s="5" t="str">
        <f ca="1">IFERROR(__xludf.DUMMYFUNCTION("GOOGLETRANSLATE(B1662,""ja"",""vi"")"),"World Wide Tình yêu!")</f>
        <v>World Wide Tình yêu!</v>
      </c>
      <c r="E1662" s="5" t="str">
        <f ca="1">IFERROR(__xludf.DUMMYFUNCTION("GOOGLETRANSLATE(C1662,""ja"",""vi"")"),"Đấu giá&gt; thời trang thời trang&gt; nam&gt; dệt kim, áo len&gt; World Wide Tình yêu!")</f>
        <v>Đấu giá&gt; thời trang thời trang&gt; nam&gt; dệt kim, áo len&gt; World Wide Tình yêu!</v>
      </c>
      <c r="F1662" t="str">
        <f t="shared" ca="1" si="25"/>
        <v>"2084031586" : "World Wide Tình yêu!",</v>
      </c>
    </row>
    <row r="1663" spans="1:6" ht="15.75" customHeight="1">
      <c r="A1663" s="18">
        <v>2084031604</v>
      </c>
      <c r="B1663" s="18" t="s">
        <v>13594</v>
      </c>
      <c r="C1663" s="18" t="s">
        <v>16223</v>
      </c>
      <c r="D1663" s="5" t="str">
        <f ca="1">IFERROR(__xludf.DUMMYFUNCTION("GOOGLETRANSLATE(B1663,""ja"",""vi"")"),"Vivienne Westwood")</f>
        <v>Vivienne Westwood</v>
      </c>
      <c r="E1663" s="5" t="str">
        <f ca="1">IFERROR(__xludf.DUMMYFUNCTION("GOOGLETRANSLATE(C1663,""ja"",""vi"")"),"Đấu giá&gt; Thời trang&gt; thời trang nam&gt; dệt kim, áo len&gt; Vivienne Westwood")</f>
        <v>Đấu giá&gt; Thời trang&gt; thời trang nam&gt; dệt kim, áo len&gt; Vivienne Westwood</v>
      </c>
      <c r="F1663" t="str">
        <f t="shared" ca="1" si="25"/>
        <v>"2084031604" : "Vivienne Westwood",</v>
      </c>
    </row>
    <row r="1664" spans="1:6" ht="15.75" customHeight="1">
      <c r="A1664" s="18">
        <v>2084031605</v>
      </c>
      <c r="B1664" s="18" t="s">
        <v>9191</v>
      </c>
      <c r="C1664" s="18" t="s">
        <v>16227</v>
      </c>
      <c r="D1664" s="5" t="str">
        <f ca="1">IFERROR(__xludf.DUMMYFUNCTION("GOOGLETRANSLATE(B1664,""ja"",""vi"")"),"Versace")</f>
        <v>Versace</v>
      </c>
      <c r="E1664" s="5" t="str">
        <f ca="1">IFERROR(__xludf.DUMMYFUNCTION("GOOGLETRANSLATE(C1664,""ja"",""vi"")"),"Đấu giá&gt; Thời trang&gt; thời trang nam&gt; dệt kim, áo len&gt; Versace")</f>
        <v>Đấu giá&gt; Thời trang&gt; thời trang nam&gt; dệt kim, áo len&gt; Versace</v>
      </c>
      <c r="F1664" t="str">
        <f t="shared" ca="1" si="25"/>
        <v>"2084031605" : "Versace",</v>
      </c>
    </row>
    <row r="1665" spans="1:6" ht="15.75" customHeight="1">
      <c r="A1665" s="18">
        <v>2084031597</v>
      </c>
      <c r="B1665" s="18" t="s">
        <v>13173</v>
      </c>
      <c r="C1665" s="18" t="s">
        <v>16232</v>
      </c>
      <c r="D1665" s="5" t="str">
        <f ca="1">IFERROR(__xludf.DUMMYFUNCTION("GOOGLETRANSLATE(B1665,""ja"",""vi"")"),"Y, Yohji Yamamoto")</f>
        <v>Y, Yohji Yamamoto</v>
      </c>
      <c r="E1665" s="5" t="str">
        <f ca="1">IFERROR(__xludf.DUMMYFUNCTION("GOOGLETRANSLATE(C1665,""ja"",""vi"")"),"Đấu giá&gt; Thời trang&gt; nam thời trang&gt; dệt kim, áo len&gt; Y, Yohji Yamamoto")</f>
        <v>Đấu giá&gt; Thời trang&gt; nam thời trang&gt; dệt kim, áo len&gt; Y, Yohji Yamamoto</v>
      </c>
      <c r="F1665" t="str">
        <f t="shared" ca="1" si="25"/>
        <v>"2084031597" : "Y, Yohji Yamamoto",</v>
      </c>
    </row>
    <row r="1666" spans="1:6" ht="15.75" customHeight="1">
      <c r="A1666" s="18">
        <v>2084064191</v>
      </c>
      <c r="B1666" s="18" t="s">
        <v>13341</v>
      </c>
      <c r="C1666" s="18" t="s">
        <v>16237</v>
      </c>
      <c r="D1666" s="5" t="str">
        <f ca="1">IFERROR(__xludf.DUMMYFUNCTION("GOOGLETRANSLATE(B1666,""ja"",""vi"")"),"kích thước XS dưới đây")</f>
        <v>kích thước XS dưới đây</v>
      </c>
      <c r="E1666" s="5" t="str">
        <f ca="1">IFERROR(__xludf.DUMMYFUNCTION("GOOGLETRANSLATE(C1666,""ja"",""vi"")"),"Đấu giá&gt; Thời trang&gt; Quần áo nam&gt; Best&gt; kích thước XS dưới đây")</f>
        <v>Đấu giá&gt; Thời trang&gt; Quần áo nam&gt; Best&gt; kích thước XS dưới đây</v>
      </c>
      <c r="F1666" t="str">
        <f t="shared" ref="F1666:F1729" ca="1" si="26">CONCATENATE(CHAR(34)&amp;"",A1666,""&amp;CHAR(34)," : ", CHAR(34)&amp;"",D1666,""&amp;CHAR(34),",")</f>
        <v>"2084064191" : "kích thước XS dưới đây",</v>
      </c>
    </row>
    <row r="1667" spans="1:6" ht="15.75" customHeight="1">
      <c r="A1667" s="18">
        <v>2084064192</v>
      </c>
      <c r="B1667" s="18" t="s">
        <v>13345</v>
      </c>
      <c r="C1667" s="18" t="s">
        <v>16241</v>
      </c>
      <c r="D1667" s="5" t="str">
        <f ca="1">IFERROR(__xludf.DUMMYFUNCTION("GOOGLETRANSLATE(B1667,""ja"",""vi"")"),"size S")</f>
        <v>size S</v>
      </c>
      <c r="E1667" s="5" t="str">
        <f ca="1">IFERROR(__xludf.DUMMYFUNCTION("GOOGLETRANSLATE(C1667,""ja"",""vi"")"),"Đấu giá&gt; Thời trang&gt; Quần áo&gt; Best&gt; S kích thước")</f>
        <v>Đấu giá&gt; Thời trang&gt; Quần áo&gt; Best&gt; S kích thước</v>
      </c>
      <c r="F1667" t="str">
        <f t="shared" ca="1" si="26"/>
        <v>"2084064192" : "size S",</v>
      </c>
    </row>
    <row r="1668" spans="1:6" ht="15.75" customHeight="1">
      <c r="A1668" s="18">
        <v>2084064193</v>
      </c>
      <c r="B1668" s="18" t="s">
        <v>13351</v>
      </c>
      <c r="C1668" s="18" t="s">
        <v>16244</v>
      </c>
      <c r="D1668" s="5" t="str">
        <f ca="1">IFERROR(__xludf.DUMMYFUNCTION("GOOGLETRANSLATE(B1668,""ja"",""vi"")"),"size M")</f>
        <v>size M</v>
      </c>
      <c r="E1668" s="5" t="str">
        <f ca="1">IFERROR(__xludf.DUMMYFUNCTION("GOOGLETRANSLATE(C1668,""ja"",""vi"")"),"Đấu giá&gt; Thời trang&gt; Quần áo&gt; Best&gt; size M")</f>
        <v>Đấu giá&gt; Thời trang&gt; Quần áo&gt; Best&gt; size M</v>
      </c>
      <c r="F1668" t="str">
        <f t="shared" ca="1" si="26"/>
        <v>"2084064193" : "size M",</v>
      </c>
    </row>
    <row r="1669" spans="1:6" ht="15.75" customHeight="1">
      <c r="A1669" s="18">
        <v>2084064194</v>
      </c>
      <c r="B1669" s="18" t="s">
        <v>13355</v>
      </c>
      <c r="C1669" s="18" t="s">
        <v>16249</v>
      </c>
      <c r="D1669" s="5" t="str">
        <f ca="1">IFERROR(__xludf.DUMMYFUNCTION("GOOGLETRANSLATE(B1669,""ja"",""vi"")"),"size L")</f>
        <v>size L</v>
      </c>
      <c r="E1669" s="5" t="str">
        <f ca="1">IFERROR(__xludf.DUMMYFUNCTION("GOOGLETRANSLATE(C1669,""ja"",""vi"")"),"Đấu giá&gt; Thời trang&gt; Quần áo&gt; Best&gt; L kích thước")</f>
        <v>Đấu giá&gt; Thời trang&gt; Quần áo&gt; Best&gt; L kích thước</v>
      </c>
      <c r="F1669" t="str">
        <f t="shared" ca="1" si="26"/>
        <v>"2084064194" : "size L",</v>
      </c>
    </row>
    <row r="1670" spans="1:6" ht="15.75" customHeight="1">
      <c r="A1670" s="18">
        <v>2084064195</v>
      </c>
      <c r="B1670" s="18" t="s">
        <v>13360</v>
      </c>
      <c r="C1670" s="18" t="s">
        <v>16254</v>
      </c>
      <c r="D1670" s="5" t="str">
        <f ca="1">IFERROR(__xludf.DUMMYFUNCTION("GOOGLETRANSLATE(B1670,""ja"",""vi"")"),"kích thước XL hoặc lớn hơn")</f>
        <v>kích thước XL hoặc lớn hơn</v>
      </c>
      <c r="E1670" s="5" t="str">
        <f ca="1">IFERROR(__xludf.DUMMYFUNCTION("GOOGLETRANSLATE(C1670,""ja"",""vi"")"),"Đấu giá&gt; Thời trang&gt; Quần áo nam&gt; Best&gt; kích thước XL hơn")</f>
        <v>Đấu giá&gt; Thời trang&gt; Quần áo nam&gt; Best&gt; kích thước XL hơn</v>
      </c>
      <c r="F1670" t="str">
        <f t="shared" ca="1" si="26"/>
        <v>"2084064195" : "kích thước XL hoặc lớn hơn",</v>
      </c>
    </row>
    <row r="1671" spans="1:6" ht="15.75" customHeight="1">
      <c r="A1671" s="18">
        <v>2084057414</v>
      </c>
      <c r="B1671" s="18" t="s">
        <v>13320</v>
      </c>
      <c r="C1671" s="18" t="s">
        <v>16259</v>
      </c>
      <c r="D1671" s="5" t="str">
        <f ca="1">IFERROR(__xludf.DUMMYFUNCTION("GOOGLETRANSLATE(B1671,""ja"",""vi"")"),"xuống vest")</f>
        <v>xuống vest</v>
      </c>
      <c r="E1671" s="5" t="str">
        <f ca="1">IFERROR(__xludf.DUMMYFUNCTION("GOOGLETRANSLATE(C1671,""ja"",""vi"")"),"Đấu giá&gt; Thời trang&gt; Quần áo&gt; xuất sắc nhất&gt; xuống vest")</f>
        <v>Đấu giá&gt; Thời trang&gt; Quần áo&gt; xuất sắc nhất&gt; xuống vest</v>
      </c>
      <c r="F1671" t="str">
        <f t="shared" ca="1" si="26"/>
        <v>"2084057414" : "xuống vest",</v>
      </c>
    </row>
    <row r="1672" spans="1:6" ht="15.75" customHeight="1">
      <c r="A1672" s="18">
        <v>2084057459</v>
      </c>
      <c r="B1672" s="18" t="s">
        <v>13341</v>
      </c>
      <c r="C1672" s="18" t="s">
        <v>16264</v>
      </c>
      <c r="D1672" s="5" t="str">
        <f ca="1">IFERROR(__xludf.DUMMYFUNCTION("GOOGLETRANSLATE(B1672,""ja"",""vi"")"),"kích thước XS dưới đây")</f>
        <v>kích thước XS dưới đây</v>
      </c>
      <c r="E1672" s="5" t="str">
        <f ca="1">IFERROR(__xludf.DUMMYFUNCTION("GOOGLETRANSLATE(C1672,""ja"",""vi"")"),"Đấu giá&gt; thời trang thời trang&gt; nam&gt; áo&gt; kích thước XS dưới đây")</f>
        <v>Đấu giá&gt; thời trang thời trang&gt; nam&gt; áo&gt; kích thước XS dưới đây</v>
      </c>
      <c r="F1672" t="str">
        <f t="shared" ca="1" si="26"/>
        <v>"2084057459" : "kích thước XS dưới đây",</v>
      </c>
    </row>
    <row r="1673" spans="1:6" ht="15.75" customHeight="1">
      <c r="A1673" s="18">
        <v>2084057460</v>
      </c>
      <c r="B1673" s="18" t="s">
        <v>13345</v>
      </c>
      <c r="C1673" s="18" t="s">
        <v>16269</v>
      </c>
      <c r="D1673" s="5" t="str">
        <f ca="1">IFERROR(__xludf.DUMMYFUNCTION("GOOGLETRANSLATE(B1673,""ja"",""vi"")"),"size S")</f>
        <v>size S</v>
      </c>
      <c r="E1673" s="5" t="str">
        <f ca="1">IFERROR(__xludf.DUMMYFUNCTION("GOOGLETRANSLATE(C1673,""ja"",""vi"")"),"Đấu giá&gt; Thời trang&gt; thời trang nam&gt; áo&gt; S kích thước")</f>
        <v>Đấu giá&gt; Thời trang&gt; thời trang nam&gt; áo&gt; S kích thước</v>
      </c>
      <c r="F1673" t="str">
        <f t="shared" ca="1" si="26"/>
        <v>"2084057460" : "size S",</v>
      </c>
    </row>
    <row r="1674" spans="1:6" ht="15.75" customHeight="1">
      <c r="A1674" s="18">
        <v>2084057461</v>
      </c>
      <c r="B1674" s="18" t="s">
        <v>13351</v>
      </c>
      <c r="C1674" s="18" t="s">
        <v>16275</v>
      </c>
      <c r="D1674" s="5" t="str">
        <f ca="1">IFERROR(__xludf.DUMMYFUNCTION("GOOGLETRANSLATE(B1674,""ja"",""vi"")"),"size M")</f>
        <v>size M</v>
      </c>
      <c r="E1674" s="5" t="str">
        <f ca="1">IFERROR(__xludf.DUMMYFUNCTION("GOOGLETRANSLATE(C1674,""ja"",""vi"")"),"Đấu giá&gt; Thời trang&gt; thời trang nam&gt; áo&gt; size M")</f>
        <v>Đấu giá&gt; Thời trang&gt; thời trang nam&gt; áo&gt; size M</v>
      </c>
      <c r="F1674" t="str">
        <f t="shared" ca="1" si="26"/>
        <v>"2084057461" : "size M",</v>
      </c>
    </row>
    <row r="1675" spans="1:6" ht="15.75" customHeight="1">
      <c r="A1675" s="18">
        <v>2084057462</v>
      </c>
      <c r="B1675" s="18" t="s">
        <v>13355</v>
      </c>
      <c r="C1675" s="18" t="s">
        <v>16279</v>
      </c>
      <c r="D1675" s="5" t="str">
        <f ca="1">IFERROR(__xludf.DUMMYFUNCTION("GOOGLETRANSLATE(B1675,""ja"",""vi"")"),"size L")</f>
        <v>size L</v>
      </c>
      <c r="E1675" s="5" t="str">
        <f ca="1">IFERROR(__xludf.DUMMYFUNCTION("GOOGLETRANSLATE(C1675,""ja"",""vi"")"),"Đấu giá&gt; Thời trang&gt; nam thời trang&gt; áo&gt; L kích thước")</f>
        <v>Đấu giá&gt; Thời trang&gt; nam thời trang&gt; áo&gt; L kích thước</v>
      </c>
      <c r="F1675" t="str">
        <f t="shared" ca="1" si="26"/>
        <v>"2084057462" : "size L",</v>
      </c>
    </row>
    <row r="1676" spans="1:6" ht="15.75" customHeight="1">
      <c r="A1676" s="18">
        <v>2084057463</v>
      </c>
      <c r="B1676" s="18" t="s">
        <v>13360</v>
      </c>
      <c r="C1676" s="18" t="s">
        <v>16284</v>
      </c>
      <c r="D1676" s="5" t="str">
        <f ca="1">IFERROR(__xludf.DUMMYFUNCTION("GOOGLETRANSLATE(B1676,""ja"",""vi"")"),"kích thước XL hoặc lớn hơn")</f>
        <v>kích thước XL hoặc lớn hơn</v>
      </c>
      <c r="E1676" s="5" t="str">
        <f ca="1">IFERROR(__xludf.DUMMYFUNCTION("GOOGLETRANSLATE(C1676,""ja"",""vi"")"),"Đấu giá&gt; Thời trang&gt; thời trang nam&gt; áo&gt; kích thước XL hơn")</f>
        <v>Đấu giá&gt; Thời trang&gt; thời trang nam&gt; áo&gt; kích thước XL hơn</v>
      </c>
      <c r="F1676" t="str">
        <f t="shared" ca="1" si="26"/>
        <v>"2084057463" : "kích thước XL hoặc lớn hơn",</v>
      </c>
    </row>
    <row r="1677" spans="1:6" ht="15.75" customHeight="1">
      <c r="A1677" s="18">
        <v>2084030277</v>
      </c>
      <c r="B1677" s="18" t="s">
        <v>8755</v>
      </c>
      <c r="C1677" s="18" t="s">
        <v>16296</v>
      </c>
      <c r="D1677" s="5" t="str">
        <f ca="1">IFERROR(__xludf.DUMMYFUNCTION("GOOGLETRANSLATE(B1677,""ja"",""vi"")"),"Adidas")</f>
        <v>Adidas</v>
      </c>
      <c r="E1677" s="5" t="str">
        <f ca="1">IFERROR(__xludf.DUMMYFUNCTION("GOOGLETRANSLATE(C1677,""ja"",""vi"")"),"Đấu giá&gt; Thời trang&gt; Quần áo nam&gt; Trainers&gt; Adidas")</f>
        <v>Đấu giá&gt; Thời trang&gt; Quần áo nam&gt; Trainers&gt; Adidas</v>
      </c>
      <c r="F1677" t="str">
        <f t="shared" ca="1" si="26"/>
        <v>"2084030277" : "Adidas",</v>
      </c>
    </row>
    <row r="1678" spans="1:6" ht="15.75" customHeight="1">
      <c r="A1678" s="18">
        <v>2084030278</v>
      </c>
      <c r="B1678" s="18" t="s">
        <v>13367</v>
      </c>
      <c r="C1678" s="18" t="s">
        <v>16301</v>
      </c>
      <c r="D1678" s="5" t="str">
        <f ca="1">IFERROR(__xludf.DUMMYFUNCTION("GOOGLETRANSLATE(B1678,""ja"",""vi"")"),"Agnes b.")</f>
        <v>Agnes b.</v>
      </c>
      <c r="E1678" s="5" t="str">
        <f ca="1">IFERROR(__xludf.DUMMYFUNCTION("GOOGLETRANSLATE(C1678,""ja"",""vi"")"),"Đấu giá&gt; thời trang thời trang&gt; nam&gt; áo&gt; Agnes b.")</f>
        <v>Đấu giá&gt; thời trang thời trang&gt; nam&gt; áo&gt; Agnes b.</v>
      </c>
      <c r="F1678" t="str">
        <f t="shared" ca="1" si="26"/>
        <v>"2084030278" : "Agnes b.",</v>
      </c>
    </row>
    <row r="1679" spans="1:6" ht="15.75" customHeight="1">
      <c r="A1679" s="18">
        <v>2084030279</v>
      </c>
      <c r="B1679" s="18" t="s">
        <v>8853</v>
      </c>
      <c r="C1679" s="18" t="s">
        <v>16307</v>
      </c>
      <c r="D1679" s="5" t="str">
        <f ca="1">IFERROR(__xludf.DUMMYFUNCTION("GOOGLETRANSLATE(B1679,""ja"",""vi"")"),"Abahouse")</f>
        <v>Abahouse</v>
      </c>
      <c r="E1679" s="5" t="str">
        <f ca="1">IFERROR(__xludf.DUMMYFUNCTION("GOOGLETRANSLATE(C1679,""ja"",""vi"")"),"Đấu giá&gt; thời trang thời trang&gt; nam&gt; áo&gt; Abahouse")</f>
        <v>Đấu giá&gt; thời trang thời trang&gt; nam&gt; áo&gt; Abahouse</v>
      </c>
      <c r="F1679" t="str">
        <f t="shared" ca="1" si="26"/>
        <v>"2084030279" : "Abahouse",</v>
      </c>
    </row>
    <row r="1680" spans="1:6" ht="15.75" customHeight="1">
      <c r="A1680" s="18">
        <v>2084030253</v>
      </c>
      <c r="B1680" s="18" t="s">
        <v>8916</v>
      </c>
      <c r="C1680" s="18" t="s">
        <v>16310</v>
      </c>
      <c r="D1680" s="5" t="str">
        <f ca="1">IFERROR(__xludf.DUMMYFUNCTION("GOOGLETRANSLATE(B1680,""ja"",""vi"")"),"Armani")</f>
        <v>Armani</v>
      </c>
      <c r="E1680" s="5" t="str">
        <f ca="1">IFERROR(__xludf.DUMMYFUNCTION("GOOGLETRANSLATE(C1680,""ja"",""vi"")"),"Đấu giá&gt; thời trang thời trang&gt; nam&gt; áo&gt; Armani")</f>
        <v>Đấu giá&gt; thời trang thời trang&gt; nam&gt; áo&gt; Armani</v>
      </c>
      <c r="F1680" t="str">
        <f t="shared" ca="1" si="26"/>
        <v>"2084030253" : "Armani",</v>
      </c>
    </row>
    <row r="1681" spans="1:6" ht="15.75" customHeight="1">
      <c r="A1681" s="18">
        <v>2084030254</v>
      </c>
      <c r="B1681" s="18" t="s">
        <v>8981</v>
      </c>
      <c r="C1681" s="18" t="s">
        <v>16313</v>
      </c>
      <c r="D1681" s="5" t="str">
        <f ca="1">IFERROR(__xludf.DUMMYFUNCTION("GOOGLETRANSLATE(B1681,""ja"",""vi"")"),"dưới nắp")</f>
        <v>dưới nắp</v>
      </c>
      <c r="E1681" s="5" t="str">
        <f ca="1">IFERROR(__xludf.DUMMYFUNCTION("GOOGLETRANSLATE(C1681,""ja"",""vi"")"),"Đấu giá&gt; thời trang thời trang&gt; nam&gt; áo&gt; có mái che")</f>
        <v>Đấu giá&gt; thời trang thời trang&gt; nam&gt; áo&gt; có mái che</v>
      </c>
      <c r="F1681" t="str">
        <f t="shared" ca="1" si="26"/>
        <v>"2084030254" : "dưới nắp",</v>
      </c>
    </row>
    <row r="1682" spans="1:6" ht="15.75" customHeight="1">
      <c r="A1682" s="18">
        <v>2084030258</v>
      </c>
      <c r="B1682" s="18" t="s">
        <v>9255</v>
      </c>
      <c r="C1682" s="18" t="s">
        <v>16321</v>
      </c>
      <c r="D1682" s="5" t="str">
        <f ca="1">IFERROR(__xludf.DUMMYFUNCTION("GOOGLETRANSLATE(B1682,""ja"",""vi"")"),"cực lớn")</f>
        <v>cực lớn</v>
      </c>
      <c r="E1682" s="5" t="str">
        <f ca="1">IFERROR(__xludf.DUMMYFUNCTION("GOOGLETRANSLATE(C1682,""ja"",""vi"")"),"Đấu giá&gt; thời trang thời trang&gt; nam&gt; áo&gt; Extra Large")</f>
        <v>Đấu giá&gt; thời trang thời trang&gt; nam&gt; áo&gt; Extra Large</v>
      </c>
      <c r="F1682" t="str">
        <f t="shared" ca="1" si="26"/>
        <v>"2084030258" : "cực lớn",</v>
      </c>
    </row>
    <row r="1683" spans="1:6" ht="15.75" customHeight="1">
      <c r="A1683" s="18">
        <v>2084030261</v>
      </c>
      <c r="B1683" s="18" t="s">
        <v>9663</v>
      </c>
      <c r="C1683" s="18" t="s">
        <v>16326</v>
      </c>
      <c r="D1683" s="5" t="str">
        <f ca="1">IFERROR(__xludf.DUMMYFUNCTION("GOOGLETRANSLATE(B1683,""ja"",""vi"")"),"Calvin Klein")</f>
        <v>Calvin Klein</v>
      </c>
      <c r="E1683" s="5" t="str">
        <f ca="1">IFERROR(__xludf.DUMMYFUNCTION("GOOGLETRANSLATE(C1683,""ja"",""vi"")"),"Đấu giá&gt; Thời trang&gt; nam thời trang&gt; áo&gt; Calvin Klein")</f>
        <v>Đấu giá&gt; Thời trang&gt; nam thời trang&gt; áo&gt; Calvin Klein</v>
      </c>
      <c r="F1683" t="str">
        <f t="shared" ca="1" si="26"/>
        <v>"2084030261" : "Calvin Klein",</v>
      </c>
    </row>
    <row r="1684" spans="1:6" ht="15.75" customHeight="1">
      <c r="A1684" s="18">
        <v>2084030262</v>
      </c>
      <c r="B1684" s="18" t="s">
        <v>9724</v>
      </c>
      <c r="C1684" s="18" t="s">
        <v>16331</v>
      </c>
      <c r="D1684" s="5" t="str">
        <f ca="1">IFERROR(__xludf.DUMMYFUNCTION("GOOGLETRANSLATE(B1684,""ja"",""vi"")"),"Katherine Hamnett")</f>
        <v>Katherine Hamnett</v>
      </c>
      <c r="E1684" s="5" t="str">
        <f ca="1">IFERROR(__xludf.DUMMYFUNCTION("GOOGLETRANSLATE(C1684,""ja"",""vi"")"),"Đấu giá&gt; Thời trang&gt; nam thời trang&gt; áo&gt; Katharine Hamnett")</f>
        <v>Đấu giá&gt; Thời trang&gt; nam thời trang&gt; áo&gt; Katharine Hamnett</v>
      </c>
      <c r="F1684" t="str">
        <f t="shared" ca="1" si="26"/>
        <v>"2084030262" : "Katherine Hamnett",</v>
      </c>
    </row>
    <row r="1685" spans="1:6" ht="15.75" customHeight="1">
      <c r="A1685" s="18">
        <v>2084030263</v>
      </c>
      <c r="B1685" s="18" t="s">
        <v>9751</v>
      </c>
      <c r="C1685" s="18" t="s">
        <v>16336</v>
      </c>
      <c r="D1685" s="5" t="str">
        <f ca="1">IFERROR(__xludf.DUMMYFUNCTION("GOOGLETRANSLATE(B1685,""ja"",""vi"")"),"khoảng trống")</f>
        <v>khoảng trống</v>
      </c>
      <c r="E1685" s="5" t="str">
        <f ca="1">IFERROR(__xludf.DUMMYFUNCTION("GOOGLETRANSLATE(C1685,""ja"",""vi"")"),"Đấu giá&gt; Thời trang&gt; nam thời trang&gt; áo&gt; khoảng cách")</f>
        <v>Đấu giá&gt; Thời trang&gt; nam thời trang&gt; áo&gt; khoảng cách</v>
      </c>
      <c r="F1685" t="str">
        <f t="shared" ca="1" si="26"/>
        <v>"2084030263" : "khoảng trống",</v>
      </c>
    </row>
    <row r="1686" spans="1:6" ht="15.75" customHeight="1">
      <c r="A1686" s="18">
        <v>2084030266</v>
      </c>
      <c r="B1686" s="18" t="s">
        <v>10041</v>
      </c>
      <c r="C1686" s="18" t="s">
        <v>16339</v>
      </c>
      <c r="D1686" s="5" t="str">
        <f ca="1">IFERROR(__xludf.DUMMYFUNCTION("GOOGLETRANSLATE(B1686,""ja"",""vi"")"),"Com de chế độ")</f>
        <v>Com de chế độ</v>
      </c>
      <c r="E1686" s="5" t="str">
        <f ca="1">IFERROR(__xludf.DUMMYFUNCTION("GOOGLETRANSLATE(C1686,""ja"",""vi"")"),"Đấu giá&gt; Thời trang&gt; thời trang nam&gt; áo&gt; com de chế độ")</f>
        <v>Đấu giá&gt; Thời trang&gt; thời trang nam&gt; áo&gt; com de chế độ</v>
      </c>
      <c r="F1686" t="str">
        <f t="shared" ca="1" si="26"/>
        <v>"2084030266" : "Com de chế độ",</v>
      </c>
    </row>
    <row r="1687" spans="1:6" ht="15.75" customHeight="1">
      <c r="A1687" s="18">
        <v>2084030267</v>
      </c>
      <c r="B1687" s="18" t="s">
        <v>10044</v>
      </c>
      <c r="C1687" s="18" t="s">
        <v>16345</v>
      </c>
      <c r="D1687" s="5" t="str">
        <f ca="1">IFERROR(__xludf.DUMMYFUNCTION("GOOGLETRANSLATE(B1687,""ja"",""vi"")"),"Comme des Garcons")</f>
        <v>Comme des Garcons</v>
      </c>
      <c r="E1687" s="5" t="str">
        <f ca="1">IFERROR(__xludf.DUMMYFUNCTION("GOOGLETRANSLATE(C1687,""ja"",""vi"")"),"Đấu giá&gt; Thời trang&gt; thời trang nam&gt; áo&gt; Comme des Garcons")</f>
        <v>Đấu giá&gt; Thời trang&gt; thời trang nam&gt; áo&gt; Comme des Garcons</v>
      </c>
      <c r="F1687" t="str">
        <f t="shared" ca="1" si="26"/>
        <v>"2084030267" : "Comme des Garcons",</v>
      </c>
    </row>
    <row r="1688" spans="1:6" ht="15.75" customHeight="1">
      <c r="A1688" s="18">
        <v>2084030268</v>
      </c>
      <c r="B1688" s="18" t="s">
        <v>10229</v>
      </c>
      <c r="C1688" s="18" t="s">
        <v>16349</v>
      </c>
      <c r="D1688" s="5" t="str">
        <f ca="1">IFERROR(__xludf.DUMMYFUNCTION("GOOGLETRANSLATE(B1688,""ja"",""vi"")"),"tàu")</f>
        <v>tàu</v>
      </c>
      <c r="E1688" s="5" t="str">
        <f ca="1">IFERROR(__xludf.DUMMYFUNCTION("GOOGLETRANSLATE(C1688,""ja"",""vi"")"),"Đấu giá&gt; Thời trang&gt; nam thời trang&gt; áo&gt; Tàu")</f>
        <v>Đấu giá&gt; Thời trang&gt; nam thời trang&gt; áo&gt; Tàu</v>
      </c>
      <c r="F1688" t="str">
        <f t="shared" ca="1" si="26"/>
        <v>"2084030268" : "tàu",</v>
      </c>
    </row>
    <row r="1689" spans="1:6" ht="15.75" customHeight="1">
      <c r="A1689" s="18">
        <v>2084042323</v>
      </c>
      <c r="B1689" s="18" t="s">
        <v>10492</v>
      </c>
      <c r="C1689" s="18" t="s">
        <v>16352</v>
      </c>
      <c r="D1689" s="5" t="str">
        <f ca="1">IFERROR(__xludf.DUMMYFUNCTION("GOOGLETRANSLATE(B1689,""ja"",""vi"")"),"Stussy")</f>
        <v>Stussy</v>
      </c>
      <c r="E1689" s="5" t="str">
        <f ca="1">IFERROR(__xludf.DUMMYFUNCTION("GOOGLETRANSLATE(C1689,""ja"",""vi"")"),"Đấu giá&gt; thời trang thời trang&gt; nam&gt; áo&gt; Stussy")</f>
        <v>Đấu giá&gt; thời trang thời trang&gt; nam&gt; áo&gt; Stussy</v>
      </c>
      <c r="F1689" t="str">
        <f t="shared" ca="1" si="26"/>
        <v>"2084042323" : "Stussy",</v>
      </c>
    </row>
    <row r="1690" spans="1:6" ht="15.75" customHeight="1">
      <c r="A1690" s="18">
        <v>2084030269</v>
      </c>
      <c r="B1690" s="18" t="s">
        <v>10683</v>
      </c>
      <c r="C1690" s="18" t="s">
        <v>16356</v>
      </c>
      <c r="D1690" s="5" t="str">
        <f ca="1">IFERROR(__xludf.DUMMYFUNCTION("GOOGLETRANSLATE(B1690,""ja"",""vi"")"),"Takeokikuchi")</f>
        <v>Takeokikuchi</v>
      </c>
      <c r="E1690" s="5" t="str">
        <f ca="1">IFERROR(__xludf.DUMMYFUNCTION("GOOGLETRANSLATE(C1690,""ja"",""vi"")"),"Đấu giá&gt; thời trang thời trang&gt; nam&gt; áo&gt; Takeokikuchi")</f>
        <v>Đấu giá&gt; thời trang thời trang&gt; nam&gt; áo&gt; Takeokikuchi</v>
      </c>
      <c r="F1690" t="str">
        <f t="shared" ca="1" si="26"/>
        <v>"2084030269" : "Takeokikuchi",</v>
      </c>
    </row>
    <row r="1691" spans="1:6" ht="15.75" customHeight="1">
      <c r="A1691" s="18">
        <v>2084030270</v>
      </c>
      <c r="B1691" s="18" t="s">
        <v>13486</v>
      </c>
      <c r="C1691" s="18" t="s">
        <v>16359</v>
      </c>
      <c r="D1691" s="5" t="str">
        <f ca="1">IFERROR(__xludf.DUMMYFUNCTION("GOOGLETRANSLATE(B1691,""ja"",""vi"")"),"Donna Karan, DKNY")</f>
        <v>Donna Karan, DKNY</v>
      </c>
      <c r="E1691" s="5" t="str">
        <f ca="1">IFERROR(__xludf.DUMMYFUNCTION("GOOGLETRANSLATE(C1691,""ja"",""vi"")"),"Đấu giá&gt; Thời trang&gt; thời trang nam&gt; áo&gt; Donna Karan, DKNY")</f>
        <v>Đấu giá&gt; Thời trang&gt; thời trang nam&gt; áo&gt; Donna Karan, DKNY</v>
      </c>
      <c r="F1691" t="str">
        <f t="shared" ca="1" si="26"/>
        <v>"2084030270" : "Donna Karan, DKNY",</v>
      </c>
    </row>
    <row r="1692" spans="1:6" ht="15.75" customHeight="1">
      <c r="A1692" s="18">
        <v>2084030271</v>
      </c>
      <c r="B1692" s="18" t="s">
        <v>10910</v>
      </c>
      <c r="C1692" s="18" t="s">
        <v>16361</v>
      </c>
      <c r="D1692" s="5" t="str">
        <f ca="1">IFERROR(__xludf.DUMMYFUNCTION("GOOGLETRANSLATE(B1692,""ja"",""vi"")"),"Timberland")</f>
        <v>Timberland</v>
      </c>
      <c r="E1692" s="5" t="str">
        <f ca="1">IFERROR(__xludf.DUMMYFUNCTION("GOOGLETRANSLATE(C1692,""ja"",""vi"")"),"Đấu giá&gt; thời trang thời trang&gt; nam&gt; áo&gt; Timberland")</f>
        <v>Đấu giá&gt; thời trang thời trang&gt; nam&gt; áo&gt; Timberland</v>
      </c>
      <c r="F1692" t="str">
        <f t="shared" ca="1" si="26"/>
        <v>"2084030271" : "Timberland",</v>
      </c>
    </row>
    <row r="1693" spans="1:6" ht="15.75" customHeight="1">
      <c r="A1693" s="18">
        <v>2084030272</v>
      </c>
      <c r="B1693" s="18" t="s">
        <v>11072</v>
      </c>
      <c r="C1693" s="18" t="s">
        <v>16364</v>
      </c>
      <c r="D1693" s="5" t="str">
        <f ca="1">IFERROR(__xludf.DUMMYFUNCTION("GOOGLETRANSLATE(B1693,""ja"",""vi"")"),"Transformer lục")</f>
        <v>Transformer lục</v>
      </c>
      <c r="E1693" s="5" t="str">
        <f ca="1">IFERROR(__xludf.DUMMYFUNCTION("GOOGLETRANSLATE(C1693,""ja"",""vi"")"),"Đấu giá&gt; thời trang thời trang&gt; nam&gt; áo&gt; biến áp lục")</f>
        <v>Đấu giá&gt; thời trang thời trang&gt; nam&gt; áo&gt; biến áp lục</v>
      </c>
      <c r="F1693" t="str">
        <f t="shared" ca="1" si="26"/>
        <v>"2084030272" : "Transformer lục",</v>
      </c>
    </row>
    <row r="1694" spans="1:6" ht="15.75" customHeight="1">
      <c r="A1694" s="18">
        <v>2084030273</v>
      </c>
      <c r="B1694" s="18" t="s">
        <v>16116</v>
      </c>
      <c r="C1694" s="18" t="s">
        <v>16367</v>
      </c>
      <c r="D1694" s="5" t="str">
        <f ca="1">IFERROR(__xludf.DUMMYFUNCTION("GOOGLETRANSLATE(B1694,""ja"",""vi"")"),"Dries van Noten")</f>
        <v>Dries van Noten</v>
      </c>
      <c r="E1694" s="5" t="str">
        <f ca="1">IFERROR(__xludf.DUMMYFUNCTION("GOOGLETRANSLATE(C1694,""ja"",""vi"")"),"Đấu giá&gt; thời trang thời trang&gt; nam&gt; áo&gt; Dries van Noten")</f>
        <v>Đấu giá&gt; thời trang thời trang&gt; nam&gt; áo&gt; Dries van Noten</v>
      </c>
      <c r="F1694" t="str">
        <f t="shared" ca="1" si="26"/>
        <v>"2084030273" : "Dries van Noten",</v>
      </c>
    </row>
    <row r="1695" spans="1:6" ht="15.75" customHeight="1">
      <c r="A1695" s="18">
        <v>2084030274</v>
      </c>
      <c r="B1695" s="18" t="s">
        <v>16122</v>
      </c>
      <c r="C1695" s="18" t="s">
        <v>16369</v>
      </c>
      <c r="D1695" s="5" t="str">
        <f ca="1">IFERROR(__xludf.DUMMYFUNCTION("GOOGLETRANSLATE(B1695,""ja"",""vi"")"),"Dolce &amp; Gabbana")</f>
        <v>Dolce &amp; Gabbana</v>
      </c>
      <c r="E1695" s="5" t="str">
        <f ca="1">IFERROR(__xludf.DUMMYFUNCTION("GOOGLETRANSLATE(C1695,""ja"",""vi"")"),"Đấu giá&gt; thời trang thời trang&gt; nam&gt; áo&gt; Dolce &amp; Gabbana")</f>
        <v>Đấu giá&gt; thời trang thời trang&gt; nam&gt; áo&gt; Dolce &amp; Gabbana</v>
      </c>
      <c r="F1695" t="str">
        <f t="shared" ca="1" si="26"/>
        <v>"2084030274" : "Dolce &amp; Gabbana",</v>
      </c>
    </row>
    <row r="1696" spans="1:6" ht="15.75" customHeight="1">
      <c r="A1696" s="18">
        <v>2084030275</v>
      </c>
      <c r="B1696" s="18" t="s">
        <v>11145</v>
      </c>
      <c r="C1696" s="18" t="s">
        <v>16372</v>
      </c>
      <c r="D1696" s="5" t="str">
        <f ca="1">IFERROR(__xludf.DUMMYFUNCTION("GOOGLETRANSLATE(B1696,""ja"",""vi"")"),"Nike")</f>
        <v>Nike</v>
      </c>
      <c r="E1696" s="5" t="str">
        <f ca="1">IFERROR(__xludf.DUMMYFUNCTION("GOOGLETRANSLATE(C1696,""ja"",""vi"")"),"Đấu giá&gt; Thời trang&gt; Quần áo&gt; huấn luyện viên&gt; Nike")</f>
        <v>Đấu giá&gt; Thời trang&gt; Quần áo&gt; huấn luyện viên&gt; Nike</v>
      </c>
      <c r="F1696" t="str">
        <f t="shared" ca="1" si="26"/>
        <v>"2084030275" : "Nike",</v>
      </c>
    </row>
    <row r="1697" spans="1:6" ht="15.75" customHeight="1">
      <c r="A1697" s="18">
        <v>2084030236</v>
      </c>
      <c r="B1697" s="18" t="s">
        <v>11489</v>
      </c>
      <c r="C1697" s="18" t="s">
        <v>16374</v>
      </c>
      <c r="D1697" s="5" t="str">
        <f ca="1">IFERROR(__xludf.DUMMYFUNCTION("GOOGLETRANSLATE(B1697,""ja"",""vi"")"),"Thị trường Hollywood Ranch")</f>
        <v>Thị trường Hollywood Ranch</v>
      </c>
      <c r="E1697" s="5" t="str">
        <f ca="1">IFERROR(__xludf.DUMMYFUNCTION("GOOGLETRANSLATE(C1697,""ja"",""vi"")"),"Đấu giá&gt; Thời trang&gt; nam thời trang&gt; áo&gt; Thị trường Hollywood Ranch")</f>
        <v>Đấu giá&gt; Thời trang&gt; nam thời trang&gt; áo&gt; Thị trường Hollywood Ranch</v>
      </c>
      <c r="F1697" t="str">
        <f t="shared" ca="1" si="26"/>
        <v>"2084030236" : "Thị trường Hollywood Ranch",</v>
      </c>
    </row>
    <row r="1698" spans="1:6" ht="15.75" customHeight="1">
      <c r="A1698" s="18">
        <v>2084030237</v>
      </c>
      <c r="B1698" s="18" t="s">
        <v>11561</v>
      </c>
      <c r="C1698" s="18" t="s">
        <v>16376</v>
      </c>
      <c r="D1698" s="5" t="str">
        <f ca="1">IFERROR(__xludf.DUMMYFUNCTION("GOOGLETRANSLATE(B1698,""ja"",""vi"")"),"săn thế giới")</f>
        <v>săn thế giới</v>
      </c>
      <c r="E1698" s="5" t="str">
        <f ca="1">IFERROR(__xludf.DUMMYFUNCTION("GOOGLETRANSLATE(C1698,""ja"",""vi"")"),"Đấu giá&gt; Thời trang&gt; nam thời trang&gt; áo&gt; Săn Thế giới")</f>
        <v>Đấu giá&gt; Thời trang&gt; nam thời trang&gt; áo&gt; Săn Thế giới</v>
      </c>
      <c r="F1698" t="str">
        <f t="shared" ca="1" si="26"/>
        <v>"2084030237" : "săn thế giới",</v>
      </c>
    </row>
    <row r="1699" spans="1:6" ht="15.75" customHeight="1">
      <c r="A1699" s="18">
        <v>2084030240</v>
      </c>
      <c r="B1699" s="18" t="s">
        <v>11611</v>
      </c>
      <c r="C1699" s="18" t="s">
        <v>16378</v>
      </c>
      <c r="D1699" s="5" t="str">
        <f ca="1">IFERROR(__xludf.DUMMYFUNCTION("GOOGLETRANSLATE(B1699,""ja"",""vi"")"),"Hysteric Glamour")</f>
        <v>Hysteric Glamour</v>
      </c>
      <c r="E1699" s="5" t="str">
        <f ca="1">IFERROR(__xludf.DUMMYFUNCTION("GOOGLETRANSLATE(C1699,""ja"",""vi"")"),"Đấu giá&gt; Thời trang&gt; nam thời trang&gt; áo&gt; Hysteric Glamour")</f>
        <v>Đấu giá&gt; Thời trang&gt; nam thời trang&gt; áo&gt; Hysteric Glamour</v>
      </c>
      <c r="F1699" t="str">
        <f t="shared" ca="1" si="26"/>
        <v>"2084030240" : "Hysteric Glamour",</v>
      </c>
    </row>
    <row r="1700" spans="1:6" ht="15.75" customHeight="1">
      <c r="A1700" s="18">
        <v>2084030238</v>
      </c>
      <c r="B1700" s="18" t="s">
        <v>11683</v>
      </c>
      <c r="C1700" s="18" t="s">
        <v>16380</v>
      </c>
      <c r="D1700" s="5" t="str">
        <f ca="1">IFERROR(__xludf.DUMMYFUNCTION("GOOGLETRANSLATE(B1700,""ja"",""vi"")"),"DẦM")</f>
        <v>DẦM</v>
      </c>
      <c r="E1700" s="5" t="str">
        <f ca="1">IFERROR(__xludf.DUMMYFUNCTION("GOOGLETRANSLATE(C1700,""ja"",""vi"")"),"Đấu giá&gt; Thời trang&gt; thời trang nam&gt; áo&gt; Dầm")</f>
        <v>Đấu giá&gt; Thời trang&gt; thời trang nam&gt; áo&gt; Dầm</v>
      </c>
      <c r="F1700" t="str">
        <f t="shared" ca="1" si="26"/>
        <v>"2084030238" : "DẦM",</v>
      </c>
    </row>
    <row r="1701" spans="1:6" ht="15.75" customHeight="1">
      <c r="A1701" s="18">
        <v>2084030239</v>
      </c>
      <c r="B1701" s="18" t="s">
        <v>11663</v>
      </c>
      <c r="C1701" s="18" t="s">
        <v>16382</v>
      </c>
      <c r="D1701" s="5" t="str">
        <f ca="1">IFERROR(__xludf.DUMMYFUNCTION("GOOGLETRANSLATE(B1701,""ja"",""vi"")"),"Bigi")</f>
        <v>Bigi</v>
      </c>
      <c r="E1701" s="5" t="str">
        <f ca="1">IFERROR(__xludf.DUMMYFUNCTION("GOOGLETRANSLATE(C1701,""ja"",""vi"")"),"Đấu giá&gt; thời trang thời trang&gt; nam&gt; áo&gt; Bigi")</f>
        <v>Đấu giá&gt; thời trang thời trang&gt; nam&gt; áo&gt; Bigi</v>
      </c>
      <c r="F1701" t="str">
        <f t="shared" ca="1" si="26"/>
        <v>"2084030239" : "Bigi",</v>
      </c>
    </row>
    <row r="1702" spans="1:6" ht="15.75" customHeight="1">
      <c r="A1702" s="18">
        <v>2084030242</v>
      </c>
      <c r="B1702" s="18" t="s">
        <v>11843</v>
      </c>
      <c r="C1702" s="18" t="s">
        <v>16385</v>
      </c>
      <c r="D1702" s="5" t="str">
        <f ca="1">IFERROR(__xludf.DUMMYFUNCTION("GOOGLETRANSLATE(B1702,""ja"",""vi"")"),"Fendi")</f>
        <v>Fendi</v>
      </c>
      <c r="E1702" s="5" t="str">
        <f ca="1">IFERROR(__xludf.DUMMYFUNCTION("GOOGLETRANSLATE(C1702,""ja"",""vi"")"),"Đấu giá&gt; thời trang thời trang&gt; nam&gt; áo&gt; Fendi")</f>
        <v>Đấu giá&gt; thời trang thời trang&gt; nam&gt; áo&gt; Fendi</v>
      </c>
      <c r="F1702" t="str">
        <f t="shared" ca="1" si="26"/>
        <v>"2084030242" : "Fendi",</v>
      </c>
    </row>
    <row r="1703" spans="1:6" ht="15.75" customHeight="1">
      <c r="A1703" s="18">
        <v>2084030245</v>
      </c>
      <c r="B1703" s="18" t="s">
        <v>12146</v>
      </c>
      <c r="C1703" s="18" t="s">
        <v>16387</v>
      </c>
      <c r="D1703" s="5" t="str">
        <f ca="1">IFERROR(__xludf.DUMMYFUNCTION("GOOGLETRANSLATE(B1703,""ja"",""vi"")"),"Helmut Lang")</f>
        <v>Helmut Lang</v>
      </c>
      <c r="E1703" s="5" t="str">
        <f ca="1">IFERROR(__xludf.DUMMYFUNCTION("GOOGLETRANSLATE(C1703,""ja"",""vi"")"),"Đấu giá&gt; Thời trang&gt; nam thời trang&gt; áo&gt; Helmut Lang")</f>
        <v>Đấu giá&gt; Thời trang&gt; nam thời trang&gt; áo&gt; Helmut Lang</v>
      </c>
      <c r="F1703" t="str">
        <f t="shared" ca="1" si="26"/>
        <v>"2084030245" : "Helmut Lang",</v>
      </c>
    </row>
    <row r="1704" spans="1:6" ht="15.75" customHeight="1">
      <c r="A1704" s="18">
        <v>2084030244</v>
      </c>
      <c r="B1704" s="18" t="s">
        <v>12114</v>
      </c>
      <c r="C1704" s="18" t="s">
        <v>16390</v>
      </c>
      <c r="D1704" s="5" t="str">
        <f ca="1">IFERROR(__xludf.DUMMYFUNCTION("GOOGLETRANSLATE(B1704,""ja"",""vi"")"),"Benetton")</f>
        <v>Benetton</v>
      </c>
      <c r="E1704" s="5" t="str">
        <f ca="1">IFERROR(__xludf.DUMMYFUNCTION("GOOGLETRANSLATE(C1704,""ja"",""vi"")"),"Đấu giá&gt; thời trang thời trang&gt; nam&gt; áo&gt; Benetton")</f>
        <v>Đấu giá&gt; thời trang thời trang&gt; nam&gt; áo&gt; Benetton</v>
      </c>
      <c r="F1704" t="str">
        <f t="shared" ca="1" si="26"/>
        <v>"2084030244" : "Benetton",</v>
      </c>
    </row>
    <row r="1705" spans="1:6" ht="15.75" customHeight="1">
      <c r="A1705" s="18">
        <v>2084030246</v>
      </c>
      <c r="B1705" s="18" t="s">
        <v>12184</v>
      </c>
      <c r="C1705" s="18" t="s">
        <v>16392</v>
      </c>
      <c r="D1705" s="5" t="str">
        <f ca="1">IFERROR(__xludf.DUMMYFUNCTION("GOOGLETRANSLATE(B1705,""ja"",""vi"")"),"tẩy chay")</f>
        <v>tẩy chay</v>
      </c>
      <c r="E1705" s="5" t="str">
        <f ca="1">IFERROR(__xludf.DUMMYFUNCTION("GOOGLETRANSLATE(C1705,""ja"",""vi"")"),"Đấu giá&gt; Thời trang&gt; nam thời trang&gt; áo&gt; tẩy chay")</f>
        <v>Đấu giá&gt; Thời trang&gt; nam thời trang&gt; áo&gt; tẩy chay</v>
      </c>
      <c r="F1705" t="str">
        <f t="shared" ca="1" si="26"/>
        <v>"2084030246" : "tẩy chay",</v>
      </c>
    </row>
    <row r="1706" spans="1:6" ht="15.75" customHeight="1">
      <c r="A1706" s="18">
        <v>2084030247</v>
      </c>
      <c r="B1706" s="18" t="s">
        <v>16193</v>
      </c>
      <c r="C1706" s="18" t="s">
        <v>16395</v>
      </c>
      <c r="D1706" s="5" t="str">
        <f ca="1">IFERROR(__xludf.DUMMYFUNCTION("GOOGLETRANSLATE(B1706,""ja"",""vi"")"),"Paul Smith")</f>
        <v>Paul Smith</v>
      </c>
      <c r="E1706" s="5" t="str">
        <f ca="1">IFERROR(__xludf.DUMMYFUNCTION("GOOGLETRANSLATE(C1706,""ja"",""vi"")"),"Đấu giá&gt; Thời trang&gt; nam thời trang&gt; áo&gt; Paul Smith")</f>
        <v>Đấu giá&gt; Thời trang&gt; nam thời trang&gt; áo&gt; Paul Smith</v>
      </c>
      <c r="F1706" t="str">
        <f t="shared" ca="1" si="26"/>
        <v>"2084030247" : "Paul Smith",</v>
      </c>
    </row>
    <row r="1707" spans="1:6" ht="15.75" customHeight="1">
      <c r="A1707" s="18">
        <v>2084030248</v>
      </c>
      <c r="B1707" s="18" t="s">
        <v>12526</v>
      </c>
      <c r="C1707" s="18" t="s">
        <v>16397</v>
      </c>
      <c r="D1707" s="5" t="str">
        <f ca="1">IFERROR(__xludf.DUMMYFUNCTION("GOOGLETRANSLATE(B1707,""ja"",""vi"")"),"sữa Boy")</f>
        <v>sữa Boy</v>
      </c>
      <c r="E1707" s="5" t="str">
        <f ca="1">IFERROR(__xludf.DUMMYFUNCTION("GOOGLETRANSLATE(C1707,""ja"",""vi"")"),"Đấu giá&gt; Thời trang&gt; nam thời trang&gt; áo&gt; Sữa Boy")</f>
        <v>Đấu giá&gt; Thời trang&gt; nam thời trang&gt; áo&gt; Sữa Boy</v>
      </c>
      <c r="F1707" t="str">
        <f t="shared" ca="1" si="26"/>
        <v>"2084030248" : "sữa Boy",</v>
      </c>
    </row>
    <row r="1708" spans="1:6" ht="15.75" customHeight="1">
      <c r="A1708" s="18">
        <v>2084030249</v>
      </c>
      <c r="B1708" s="18" t="s">
        <v>12644</v>
      </c>
      <c r="C1708" s="18" t="s">
        <v>16400</v>
      </c>
      <c r="D1708" s="5" t="str">
        <f ca="1">IFERROR(__xludf.DUMMYFUNCTION("GOOGLETRANSLATE(B1708,""ja"",""vi"")"),"LIÊN HIỆP mũi tên")</f>
        <v>LIÊN HIỆP mũi tên</v>
      </c>
      <c r="E1708" s="5" t="str">
        <f ca="1">IFERROR(__xludf.DUMMYFUNCTION("GOOGLETRANSLATE(C1708,""ja"",""vi"")"),"Đấu giá&gt; Thời trang&gt; nam thời trang&gt; áo&gt; Vương mũi tên")</f>
        <v>Đấu giá&gt; Thời trang&gt; nam thời trang&gt; áo&gt; Vương mũi tên</v>
      </c>
      <c r="F1708" t="str">
        <f t="shared" ca="1" si="26"/>
        <v>"2084030249" : "LIÊN HIỆP mũi tên",</v>
      </c>
    </row>
    <row r="1709" spans="1:6" ht="15.75" customHeight="1">
      <c r="A1709" s="18">
        <v>2084030250</v>
      </c>
      <c r="B1709" s="18" t="s">
        <v>12786</v>
      </c>
      <c r="C1709" s="18" t="s">
        <v>16402</v>
      </c>
      <c r="D1709" s="5" t="str">
        <f ca="1">IFERROR(__xludf.DUMMYFUNCTION("GOOGLETRANSLATE(B1709,""ja"",""vi"")"),"Ralph Lauren")</f>
        <v>Ralph Lauren</v>
      </c>
      <c r="E1709" s="5" t="str">
        <f ca="1">IFERROR(__xludf.DUMMYFUNCTION("GOOGLETRANSLATE(C1709,""ja"",""vi"")"),"Đấu giá&gt; Thời trang&gt; nam thời trang&gt; áo&gt; Ralph Lauren")</f>
        <v>Đấu giá&gt; Thời trang&gt; nam thời trang&gt; áo&gt; Ralph Lauren</v>
      </c>
      <c r="F1709" t="str">
        <f t="shared" ca="1" si="26"/>
        <v>"2084030250" : "Ralph Lauren",</v>
      </c>
    </row>
    <row r="1710" spans="1:6" ht="15.75" customHeight="1">
      <c r="A1710" s="18">
        <v>2084030251</v>
      </c>
      <c r="B1710" s="18" t="s">
        <v>13179</v>
      </c>
      <c r="C1710" s="18" t="s">
        <v>16412</v>
      </c>
      <c r="D1710" s="5" t="str">
        <f ca="1">IFERROR(__xludf.DUMMYFUNCTION("GOOGLETRANSLATE(B1710,""ja"",""vi"")"),"World Wide Tình yêu!")</f>
        <v>World Wide Tình yêu!</v>
      </c>
      <c r="E1710" s="5" t="str">
        <f ca="1">IFERROR(__xludf.DUMMYFUNCTION("GOOGLETRANSLATE(C1710,""ja"",""vi"")"),"Đấu giá&gt; thời trang thời trang&gt; nam&gt; áo&gt; World Wide Tình yêu!")</f>
        <v>Đấu giá&gt; thời trang thời trang&gt; nam&gt; áo&gt; World Wide Tình yêu!</v>
      </c>
      <c r="F1710" t="str">
        <f t="shared" ca="1" si="26"/>
        <v>"2084030251" : "World Wide Tình yêu!",</v>
      </c>
    </row>
    <row r="1711" spans="1:6" ht="15.75" customHeight="1">
      <c r="A1711" s="18">
        <v>2084030256</v>
      </c>
      <c r="B1711" s="18" t="s">
        <v>13594</v>
      </c>
      <c r="C1711" s="18" t="s">
        <v>16418</v>
      </c>
      <c r="D1711" s="5" t="str">
        <f ca="1">IFERROR(__xludf.DUMMYFUNCTION("GOOGLETRANSLATE(B1711,""ja"",""vi"")"),"Vivienne Westwood")</f>
        <v>Vivienne Westwood</v>
      </c>
      <c r="E1711" s="5" t="str">
        <f ca="1">IFERROR(__xludf.DUMMYFUNCTION("GOOGLETRANSLATE(C1711,""ja"",""vi"")"),"Đấu giá&gt; thời trang thời trang&gt; nam&gt; áo&gt; Vivienne Westwood")</f>
        <v>Đấu giá&gt; thời trang thời trang&gt; nam&gt; áo&gt; Vivienne Westwood</v>
      </c>
      <c r="F1711" t="str">
        <f t="shared" ca="1" si="26"/>
        <v>"2084030256" : "Vivienne Westwood",</v>
      </c>
    </row>
    <row r="1712" spans="1:6" ht="15.75" customHeight="1">
      <c r="A1712" s="18">
        <v>2084030257</v>
      </c>
      <c r="B1712" s="18" t="s">
        <v>9191</v>
      </c>
      <c r="C1712" s="18" t="s">
        <v>16423</v>
      </c>
      <c r="D1712" s="5" t="str">
        <f ca="1">IFERROR(__xludf.DUMMYFUNCTION("GOOGLETRANSLATE(B1712,""ja"",""vi"")"),"Versace")</f>
        <v>Versace</v>
      </c>
      <c r="E1712" s="5" t="str">
        <f ca="1">IFERROR(__xludf.DUMMYFUNCTION("GOOGLETRANSLATE(C1712,""ja"",""vi"")"),"Đấu giá&gt; thời trang thời trang&gt; nam&gt; áo&gt; Versace")</f>
        <v>Đấu giá&gt; thời trang thời trang&gt; nam&gt; áo&gt; Versace</v>
      </c>
      <c r="F1712" t="str">
        <f t="shared" ca="1" si="26"/>
        <v>"2084030257" : "Versace",</v>
      </c>
    </row>
    <row r="1713" spans="1:6" ht="15.75" customHeight="1">
      <c r="A1713" s="18">
        <v>2084030276</v>
      </c>
      <c r="B1713" s="18" t="s">
        <v>13173</v>
      </c>
      <c r="C1713" s="18" t="s">
        <v>16428</v>
      </c>
      <c r="D1713" s="5" t="str">
        <f ca="1">IFERROR(__xludf.DUMMYFUNCTION("GOOGLETRANSLATE(B1713,""ja"",""vi"")"),"Y, Yohji Yamamoto")</f>
        <v>Y, Yohji Yamamoto</v>
      </c>
      <c r="E1713" s="5" t="str">
        <f ca="1">IFERROR(__xludf.DUMMYFUNCTION("GOOGLETRANSLATE(C1713,""ja"",""vi"")"),"Đấu giá&gt; Thời trang&gt; nam thời trang&gt; áo&gt; Y, Yohji Yamamoto")</f>
        <v>Đấu giá&gt; Thời trang&gt; nam thời trang&gt; áo&gt; Y, Yohji Yamamoto</v>
      </c>
      <c r="F1713" t="str">
        <f t="shared" ca="1" si="26"/>
        <v>"2084030276" : "Y, Yohji Yamamoto",</v>
      </c>
    </row>
    <row r="1714" spans="1:6" ht="15.75" customHeight="1">
      <c r="A1714" s="18">
        <v>2084007046</v>
      </c>
      <c r="B1714" s="18" t="s">
        <v>13897</v>
      </c>
      <c r="C1714" s="18" t="s">
        <v>16431</v>
      </c>
      <c r="D1714" s="5" t="str">
        <f ca="1">IFERROR(__xludf.DUMMYFUNCTION("GOOGLETRANSLATE(B1714,""ja"",""vi"")"),"áo dài tay")</f>
        <v>áo dài tay</v>
      </c>
      <c r="E1714" s="5" t="str">
        <f ca="1">IFERROR(__xludf.DUMMYFUNCTION("GOOGLETRANSLATE(C1714,""ja"",""vi"")"),"Đấu giá&gt; Thời trang&gt; Quần áo nam&gt; Áo sơ mi&gt; dài tay")</f>
        <v>Đấu giá&gt; Thời trang&gt; Quần áo nam&gt; Áo sơ mi&gt; dài tay</v>
      </c>
      <c r="F1714" t="str">
        <f t="shared" ca="1" si="26"/>
        <v>"2084007046" : "áo dài tay",</v>
      </c>
    </row>
    <row r="1715" spans="1:6" ht="15.75" customHeight="1">
      <c r="A1715" s="18">
        <v>2084007045</v>
      </c>
      <c r="B1715" s="18" t="s">
        <v>13905</v>
      </c>
      <c r="C1715" s="18" t="s">
        <v>16434</v>
      </c>
      <c r="D1715" s="5" t="str">
        <f ca="1">IFERROR(__xludf.DUMMYFUNCTION("GOOGLETRANSLATE(B1715,""ja"",""vi"")"),"tay áo ngắn")</f>
        <v>tay áo ngắn</v>
      </c>
      <c r="E1715" s="5" t="str">
        <f ca="1">IFERROR(__xludf.DUMMYFUNCTION("GOOGLETRANSLATE(C1715,""ja"",""vi"")"),"Đấu giá&gt; Thời trang&gt; Quần áo nam&gt; Áo sơ mi&gt; Short Sleeve")</f>
        <v>Đấu giá&gt; Thời trang&gt; Quần áo nam&gt; Áo sơ mi&gt; Short Sleeve</v>
      </c>
      <c r="F1715" t="str">
        <f t="shared" ca="1" si="26"/>
        <v>"2084007045" : "tay áo ngắn",</v>
      </c>
    </row>
    <row r="1716" spans="1:6" ht="15.75" customHeight="1">
      <c r="A1716" s="18">
        <v>2084054038</v>
      </c>
      <c r="B1716" s="18" t="s">
        <v>13912</v>
      </c>
      <c r="C1716" s="18" t="s">
        <v>16438</v>
      </c>
      <c r="D1716" s="5" t="str">
        <f ca="1">IFERROR(__xludf.DUMMYFUNCTION("GOOGLETRANSLATE(B1716,""ja"",""vi"")"),"Sleeve khác")</f>
        <v>Sleeve khác</v>
      </c>
      <c r="E1716" s="5" t="str">
        <f ca="1">IFERROR(__xludf.DUMMYFUNCTION("GOOGLETRANSLATE(C1716,""ja"",""vi"")"),"Đấu giá&gt; Thời trang&gt; Quần áo nam&gt; Áo sơ mi&gt; Khác Sleeve")</f>
        <v>Đấu giá&gt; Thời trang&gt; Quần áo nam&gt; Áo sơ mi&gt; Khác Sleeve</v>
      </c>
      <c r="F1716" t="str">
        <f t="shared" ca="1" si="26"/>
        <v>"2084054038" : "Sleeve khác",</v>
      </c>
    </row>
    <row r="1717" spans="1:6" ht="15.75" customHeight="1">
      <c r="A1717" s="18">
        <v>2084007056</v>
      </c>
      <c r="B1717" s="18" t="s">
        <v>13897</v>
      </c>
      <c r="C1717" s="18" t="s">
        <v>16442</v>
      </c>
      <c r="D1717" s="5" t="str">
        <f ca="1">IFERROR(__xludf.DUMMYFUNCTION("GOOGLETRANSLATE(B1717,""ja"",""vi"")"),"áo dài tay")</f>
        <v>áo dài tay</v>
      </c>
      <c r="E1717" s="5" t="str">
        <f ca="1">IFERROR(__xludf.DUMMYFUNCTION("GOOGLETRANSLATE(C1717,""ja"",""vi"")"),"Đấu giá&gt; Thời trang&gt; Quần áo nam&gt; T-Shirts&gt; dài tay")</f>
        <v>Đấu giá&gt; Thời trang&gt; Quần áo nam&gt; T-Shirts&gt; dài tay</v>
      </c>
      <c r="F1717" t="str">
        <f t="shared" ca="1" si="26"/>
        <v>"2084007056" : "áo dài tay",</v>
      </c>
    </row>
    <row r="1718" spans="1:6" ht="15.75" customHeight="1">
      <c r="A1718" s="18">
        <v>2084007055</v>
      </c>
      <c r="B1718" s="18" t="s">
        <v>13905</v>
      </c>
      <c r="C1718" s="18" t="s">
        <v>16447</v>
      </c>
      <c r="D1718" s="5" t="str">
        <f ca="1">IFERROR(__xludf.DUMMYFUNCTION("GOOGLETRANSLATE(B1718,""ja"",""vi"")"),"tay áo ngắn")</f>
        <v>tay áo ngắn</v>
      </c>
      <c r="E1718" s="5" t="str">
        <f ca="1">IFERROR(__xludf.DUMMYFUNCTION("GOOGLETRANSLATE(C1718,""ja"",""vi"")"),"Đấu giá&gt; Thời trang&gt; Quần áo nam&gt; T-Shirts&gt; Short Sleeve")</f>
        <v>Đấu giá&gt; Thời trang&gt; Quần áo nam&gt; T-Shirts&gt; Short Sleeve</v>
      </c>
      <c r="F1718" t="str">
        <f t="shared" ca="1" si="26"/>
        <v>"2084007055" : "tay áo ngắn",</v>
      </c>
    </row>
    <row r="1719" spans="1:6" ht="15.75" customHeight="1">
      <c r="A1719" s="18">
        <v>2084054037</v>
      </c>
      <c r="B1719" s="18" t="s">
        <v>13912</v>
      </c>
      <c r="C1719" s="18" t="s">
        <v>16451</v>
      </c>
      <c r="D1719" s="5" t="str">
        <f ca="1">IFERROR(__xludf.DUMMYFUNCTION("GOOGLETRANSLATE(B1719,""ja"",""vi"")"),"Sleeve khác")</f>
        <v>Sleeve khác</v>
      </c>
      <c r="E1719" s="5" t="str">
        <f ca="1">IFERROR(__xludf.DUMMYFUNCTION("GOOGLETRANSLATE(C1719,""ja"",""vi"")"),"Đấu giá&gt; Thời trang&gt; Quần áo nam&gt; T-Shirts&gt; Khác Sleeve")</f>
        <v>Đấu giá&gt; Thời trang&gt; Quần áo nam&gt; T-Shirts&gt; Khác Sleeve</v>
      </c>
      <c r="F1719" t="str">
        <f t="shared" ca="1" si="26"/>
        <v>"2084054037" : "Sleeve khác",</v>
      </c>
    </row>
    <row r="1720" spans="1:6" ht="15.75" customHeight="1">
      <c r="A1720" s="18">
        <v>2084058210</v>
      </c>
      <c r="B1720" s="18" t="s">
        <v>9146</v>
      </c>
      <c r="C1720" s="18" t="s">
        <v>16455</v>
      </c>
      <c r="D1720" s="5" t="str">
        <f ca="1">IFERROR(__xludf.DUMMYFUNCTION("GOOGLETRANSLATE(B1720,""ja"",""vi"")"),"kho")</f>
        <v>kho</v>
      </c>
      <c r="E1720" s="5" t="str">
        <f ca="1">IFERROR(__xludf.DUMMYFUNCTION("GOOGLETRANSLATE(C1720,""ja"",""vi"")"),"Đấu giá&gt; Thời trang&gt; Quần áo&gt; Jeans&gt; kho")</f>
        <v>Đấu giá&gt; Thời trang&gt; Quần áo&gt; Jeans&gt; kho</v>
      </c>
      <c r="F1720" t="str">
        <f t="shared" ca="1" si="26"/>
        <v>"2084058210" : "kho",</v>
      </c>
    </row>
    <row r="1721" spans="1:6" ht="15.75" customHeight="1">
      <c r="A1721" s="18">
        <v>2084226796</v>
      </c>
      <c r="B1721" s="18" t="s">
        <v>9294</v>
      </c>
      <c r="C1721" s="18" t="s">
        <v>16463</v>
      </c>
      <c r="D1721" s="5" t="str">
        <f ca="1">IFERROR(__xludf.DUMMYFUNCTION("GOOGLETRANSLATE(B1721,""ja"",""vi"")"),"đời đời")</f>
        <v>đời đời</v>
      </c>
      <c r="E1721" s="5" t="str">
        <f ca="1">IFERROR(__xludf.DUMMYFUNCTION("GOOGLETRANSLATE(C1721,""ja"",""vi"")"),"Đấu giá&gt; Thời trang&gt; Quần áo nam&gt; Jeans&gt; Eternal")</f>
        <v>Đấu giá&gt; Thời trang&gt; Quần áo nam&gt; Jeans&gt; Eternal</v>
      </c>
      <c r="F1721" t="str">
        <f t="shared" ca="1" si="26"/>
        <v>"2084226796" : "đời đời",</v>
      </c>
    </row>
    <row r="1722" spans="1:6" ht="15.75" customHeight="1">
      <c r="A1722" s="18">
        <v>2084007091</v>
      </c>
      <c r="B1722" s="18" t="s">
        <v>9331</v>
      </c>
      <c r="C1722" s="18" t="s">
        <v>16465</v>
      </c>
      <c r="D1722" s="5" t="str">
        <f ca="1">IFERROR(__xludf.DUMMYFUNCTION("GOOGLETRANSLATE(B1722,""ja"",""vi"")"),"Edwin")</f>
        <v>Edwin</v>
      </c>
      <c r="E1722" s="5" t="str">
        <f ca="1">IFERROR(__xludf.DUMMYFUNCTION("GOOGLETRANSLATE(C1722,""ja"",""vi"")"),"Đấu giá&gt; Thời trang&gt; Quần áo nam&gt; Jeans&gt; Edwin")</f>
        <v>Đấu giá&gt; Thời trang&gt; Quần áo nam&gt; Jeans&gt; Edwin</v>
      </c>
      <c r="F1722" t="str">
        <f t="shared" ca="1" si="26"/>
        <v>"2084007091" : "Edwin",</v>
      </c>
    </row>
    <row r="1723" spans="1:6" ht="15.75" customHeight="1">
      <c r="A1723" s="18">
        <v>2084056240</v>
      </c>
      <c r="B1723" s="18" t="s">
        <v>9383</v>
      </c>
      <c r="C1723" s="18" t="s">
        <v>16468</v>
      </c>
      <c r="D1723" s="5" t="str">
        <f ca="1">IFERROR(__xludf.DUMMYFUNCTION("GOOGLETRANSLATE(B1723,""ja"",""vi"")"),"Evisu")</f>
        <v>Evisu</v>
      </c>
      <c r="E1723" s="5" t="str">
        <f ca="1">IFERROR(__xludf.DUMMYFUNCTION("GOOGLETRANSLATE(C1723,""ja"",""vi"")"),"Đấu giá&gt; Thời trang&gt; Quần áo nam&gt; Jeans&gt; Evisu")</f>
        <v>Đấu giá&gt; Thời trang&gt; Quần áo nam&gt; Jeans&gt; Evisu</v>
      </c>
      <c r="F1723" t="str">
        <f t="shared" ca="1" si="26"/>
        <v>"2084056240" : "Evisu",</v>
      </c>
    </row>
    <row r="1724" spans="1:6" ht="15.75" customHeight="1">
      <c r="A1724" s="18">
        <v>2084056648</v>
      </c>
      <c r="B1724" s="18" t="s">
        <v>16470</v>
      </c>
      <c r="C1724" s="18" t="s">
        <v>16471</v>
      </c>
      <c r="D1724" s="5" t="str">
        <f ca="1">IFERROR(__xludf.DUMMYFUNCTION("GOOGLETRANSLATE(B1724,""ja"",""vi"")"),"mía đường")</f>
        <v>mía đường</v>
      </c>
      <c r="E1724" s="5" t="str">
        <f ca="1">IFERROR(__xludf.DUMMYFUNCTION("GOOGLETRANSLATE(C1724,""ja"",""vi"")"),"Đấu giá&gt; Thời trang&gt; Quần áo&gt; Jeans&gt; Mía nam")</f>
        <v>Đấu giá&gt; Thời trang&gt; Quần áo&gt; Jeans&gt; Mía nam</v>
      </c>
      <c r="F1724" t="str">
        <f t="shared" ca="1" si="26"/>
        <v>"2084056648" : "mía đường",</v>
      </c>
    </row>
    <row r="1725" spans="1:6" ht="15.75" customHeight="1">
      <c r="A1725" s="18">
        <v>2084058238</v>
      </c>
      <c r="B1725" s="18" t="s">
        <v>10424</v>
      </c>
      <c r="C1725" s="18" t="s">
        <v>16474</v>
      </c>
      <c r="D1725" s="5" t="str">
        <f ca="1">IFERROR(__xludf.DUMMYFUNCTION("GOOGLETRANSLATE(B1725,""ja"",""vi"")"),"người Anh điển hình")</f>
        <v>người Anh điển hình</v>
      </c>
      <c r="E1725" s="5" t="str">
        <f ca="1">IFERROR(__xludf.DUMMYFUNCTION("GOOGLETRANSLATE(C1725,""ja"",""vi"")"),"Đấu giá&gt; Thời trang&gt; Quần áo nam&gt; Jeans&gt; John Bull")</f>
        <v>Đấu giá&gt; Thời trang&gt; Quần áo nam&gt; Jeans&gt; John Bull</v>
      </c>
      <c r="F1725" t="str">
        <f t="shared" ca="1" si="26"/>
        <v>"2084058238" : "người Anh điển hình",</v>
      </c>
    </row>
    <row r="1726" spans="1:6" ht="15.75" customHeight="1">
      <c r="A1726" s="18">
        <v>2084258117</v>
      </c>
      <c r="B1726" s="18" t="s">
        <v>10497</v>
      </c>
      <c r="C1726" s="18" t="s">
        <v>16476</v>
      </c>
      <c r="D1726" s="5" t="str">
        <f ca="1">IFERROR(__xludf.DUMMYFUNCTION("GOOGLETRANSLATE(B1726,""ja"",""vi"")"),"Ruchizan da xưởng")</f>
        <v>Ruchizan da xưởng</v>
      </c>
      <c r="E1726" s="5" t="str">
        <f ca="1">IFERROR(__xludf.DUMMYFUNCTION("GOOGLETRANSLATE(C1726,""ja"",""vi"")"),"Đấu giá&gt; Thời trang&gt; Quần áo&gt; Jeans&gt; Ruchizan da xưởng")</f>
        <v>Đấu giá&gt; Thời trang&gt; Quần áo&gt; Jeans&gt; Ruchizan da xưởng</v>
      </c>
      <c r="F1726" t="str">
        <f t="shared" ca="1" si="26"/>
        <v>"2084258117" : "Ruchizan da xưởng",</v>
      </c>
    </row>
    <row r="1727" spans="1:6" ht="15.75" customHeight="1">
      <c r="A1727" s="18">
        <v>2084056840</v>
      </c>
      <c r="B1727" s="18" t="s">
        <v>10990</v>
      </c>
      <c r="C1727" s="18" t="s">
        <v>16479</v>
      </c>
      <c r="D1727" s="5" t="str">
        <f ca="1">IFERROR(__xludf.DUMMYFUNCTION("GOOGLETRANSLATE(B1727,""ja"",""vi"")"),"Dunimu")</f>
        <v>Dunimu</v>
      </c>
      <c r="E1727" s="5" t="str">
        <f ca="1">IFERROR(__xludf.DUMMYFUNCTION("GOOGLETRANSLATE(C1727,""ja"",""vi"")"),"Đấu giá&gt; Thời trang&gt; Quần áo nam&gt; Jeans&gt; Dunimu")</f>
        <v>Đấu giá&gt; Thời trang&gt; Quần áo nam&gt; Jeans&gt; Dunimu</v>
      </c>
      <c r="F1727" t="str">
        <f t="shared" ca="1" si="26"/>
        <v>"2084056840" : "Dunimu",</v>
      </c>
    </row>
    <row r="1728" spans="1:6" ht="15.75" customHeight="1">
      <c r="A1728" s="18">
        <v>2084051153</v>
      </c>
      <c r="B1728" s="18" t="s">
        <v>11489</v>
      </c>
      <c r="C1728" s="18" t="s">
        <v>16482</v>
      </c>
      <c r="D1728" s="5" t="str">
        <f ca="1">IFERROR(__xludf.DUMMYFUNCTION("GOOGLETRANSLATE(B1728,""ja"",""vi"")"),"Thị trường Hollywood Ranch")</f>
        <v>Thị trường Hollywood Ranch</v>
      </c>
      <c r="E1728" s="5" t="str">
        <f ca="1">IFERROR(__xludf.DUMMYFUNCTION("GOOGLETRANSLATE(C1728,""ja"",""vi"")"),"Đấu giá&gt; Thời trang&gt; Quần áo&gt; Jeans&gt; Thị trường Ranch Hollywood nam")</f>
        <v>Đấu giá&gt; Thời trang&gt; Quần áo&gt; Jeans&gt; Thị trường Ranch Hollywood nam</v>
      </c>
      <c r="F1728" t="str">
        <f t="shared" ca="1" si="26"/>
        <v>"2084051153" : "Thị trường Hollywood Ranch",</v>
      </c>
    </row>
    <row r="1729" spans="1:6" ht="15.75" customHeight="1">
      <c r="A1729" s="18">
        <v>2084036979</v>
      </c>
      <c r="B1729" s="18" t="s">
        <v>16485</v>
      </c>
      <c r="C1729" s="18" t="s">
        <v>16486</v>
      </c>
      <c r="D1729" s="5" t="str">
        <f ca="1">IFERROR(__xludf.DUMMYFUNCTION("GOOGLETRANSLATE(B1729,""ja"",""vi"")"),"Big John")</f>
        <v>Big John</v>
      </c>
      <c r="E1729" s="5" t="str">
        <f ca="1">IFERROR(__xludf.DUMMYFUNCTION("GOOGLETRANSLATE(C1729,""ja"",""vi"")"),"Đấu giá&gt; Thời trang&gt; Quần áo nam&gt; Jeans&gt; Big John")</f>
        <v>Đấu giá&gt; Thời trang&gt; Quần áo nam&gt; Jeans&gt; Big John</v>
      </c>
      <c r="F1729" t="str">
        <f t="shared" ca="1" si="26"/>
        <v>"2084036979" : "Big John",</v>
      </c>
    </row>
    <row r="1730" spans="1:6" ht="15.75" customHeight="1">
      <c r="A1730" s="18">
        <v>2084056275</v>
      </c>
      <c r="B1730" s="18" t="s">
        <v>11839</v>
      </c>
      <c r="C1730" s="18" t="s">
        <v>16490</v>
      </c>
      <c r="D1730" s="5" t="str">
        <f ca="1">IFERROR(__xludf.DUMMYFUNCTION("GOOGLETRANSLATE(B1730,""ja"",""vi"")"),"Fellows")</f>
        <v>Fellows</v>
      </c>
      <c r="E1730" s="5" t="str">
        <f ca="1">IFERROR(__xludf.DUMMYFUNCTION("GOOGLETRANSLATE(C1730,""ja"",""vi"")"),"Đấu giá&gt; Thời trang&gt; Quần áo nam&gt; Jeans&gt; Fellows")</f>
        <v>Đấu giá&gt; Thời trang&gt; Quần áo nam&gt; Jeans&gt; Fellows</v>
      </c>
      <c r="F1730" t="str">
        <f t="shared" ref="F1730:F1793" ca="1" si="27">CONCATENATE(CHAR(34)&amp;"",A1730,""&amp;CHAR(34)," : ", CHAR(34)&amp;"",D1730,""&amp;CHAR(34),",")</f>
        <v>"2084056275" : "Fellows",</v>
      </c>
    </row>
    <row r="1731" spans="1:6" ht="15.75" customHeight="1">
      <c r="A1731" s="18">
        <v>2084244309</v>
      </c>
      <c r="B1731" s="18" t="s">
        <v>11904</v>
      </c>
      <c r="C1731" s="18" t="s">
        <v>16493</v>
      </c>
      <c r="D1731" s="5" t="str">
        <f ca="1">IFERROR(__xludf.DUMMYFUNCTION("GOOGLETRANSLATE(B1731,""ja"",""vi"")"),"đầu phẳng")</f>
        <v>đầu phẳng</v>
      </c>
      <c r="E1731" s="5" t="str">
        <f ca="1">IFERROR(__xludf.DUMMYFUNCTION("GOOGLETRANSLATE(C1731,""ja"",""vi"")"),"Đấu giá&gt; Thời trang&gt; Quần áo nam&gt; Jeans&gt; đầu phẳng")</f>
        <v>Đấu giá&gt; Thời trang&gt; Quần áo nam&gt; Jeans&gt; đầu phẳng</v>
      </c>
      <c r="F1731" t="str">
        <f t="shared" ca="1" si="27"/>
        <v>"2084244309" : "đầu phẳng",</v>
      </c>
    </row>
    <row r="1732" spans="1:6" ht="15.75" customHeight="1">
      <c r="A1732" s="18">
        <v>2084058289</v>
      </c>
      <c r="B1732" s="18" t="s">
        <v>11930</v>
      </c>
      <c r="C1732" s="18" t="s">
        <v>16494</v>
      </c>
      <c r="D1732" s="5" t="str">
        <f ca="1">IFERROR(__xludf.DUMMYFUNCTION("GOOGLETRANSLATE(B1732,""ja"",""vi"")"),"Full đếm")</f>
        <v>Full đếm</v>
      </c>
      <c r="E1732" s="5" t="str">
        <f ca="1">IFERROR(__xludf.DUMMYFUNCTION("GOOGLETRANSLATE(C1732,""ja"",""vi"")"),"Đấu giá&gt; Thời trang&gt; Quần áo nam&gt; Jeans&gt; đếm đầy đủ")</f>
        <v>Đấu giá&gt; Thời trang&gt; Quần áo nam&gt; Jeans&gt; đếm đầy đủ</v>
      </c>
      <c r="F1732" t="str">
        <f t="shared" ca="1" si="27"/>
        <v>"2084058289" : "Full đếm",</v>
      </c>
    </row>
    <row r="1733" spans="1:6" ht="15.75" customHeight="1">
      <c r="A1733" s="18">
        <v>2084036971</v>
      </c>
      <c r="B1733" s="18" t="s">
        <v>14604</v>
      </c>
      <c r="C1733" s="18" t="s">
        <v>16496</v>
      </c>
      <c r="D1733" s="5" t="str">
        <f ca="1">IFERROR(__xludf.DUMMYFUNCTION("GOOGLETRANSLATE(B1733,""ja"",""vi"")"),"Bobuson")</f>
        <v>Bobuson</v>
      </c>
      <c r="E1733" s="5" t="str">
        <f ca="1">IFERROR(__xludf.DUMMYFUNCTION("GOOGLETRANSLATE(C1733,""ja"",""vi"")"),"Đấu giá&gt; Thời trang&gt; Quần áo nam&gt; Jeans&gt; Bobuson")</f>
        <v>Đấu giá&gt; Thời trang&gt; Quần áo nam&gt; Jeans&gt; Bobuson</v>
      </c>
      <c r="F1733" t="str">
        <f t="shared" ca="1" si="27"/>
        <v>"2084036971" : "Bobuson",</v>
      </c>
    </row>
    <row r="1734" spans="1:6" ht="15.75" customHeight="1">
      <c r="A1734" s="18">
        <v>2084056134</v>
      </c>
      <c r="B1734" s="18" t="s">
        <v>12373</v>
      </c>
      <c r="C1734" s="18" t="s">
        <v>16497</v>
      </c>
      <c r="D1734" s="5" t="str">
        <f ca="1">IFERROR(__xludf.DUMMYFUNCTION("GOOGLETRANSLATE(B1734,""ja"",""vi"")"),"McCoy")</f>
        <v>McCoy</v>
      </c>
      <c r="E1734" s="5" t="str">
        <f ca="1">IFERROR(__xludf.DUMMYFUNCTION("GOOGLETRANSLATE(C1734,""ja"",""vi"")"),"Đấu giá&gt; Thời trang&gt; Quần áo nam&gt; Jeans&gt; McCoy")</f>
        <v>Đấu giá&gt; Thời trang&gt; Quần áo nam&gt; Jeans&gt; McCoy</v>
      </c>
      <c r="F1734" t="str">
        <f t="shared" ca="1" si="27"/>
        <v>"2084056134" : "McCoy",</v>
      </c>
    </row>
    <row r="1735" spans="1:6" ht="15.75" customHeight="1">
      <c r="A1735" s="18">
        <v>2084007088</v>
      </c>
      <c r="B1735" s="18" t="s">
        <v>12793</v>
      </c>
      <c r="C1735" s="18" t="s">
        <v>16499</v>
      </c>
      <c r="D1735" s="5" t="str">
        <f ca="1">IFERROR(__xludf.DUMMYFUNCTION("GOOGLETRANSLATE(B1735,""ja"",""vi"")"),"người hay cải lẩy")</f>
        <v>người hay cải lẩy</v>
      </c>
      <c r="E1735" s="5" t="str">
        <f ca="1">IFERROR(__xludf.DUMMYFUNCTION("GOOGLETRANSLATE(C1735,""ja"",""vi"")"),"Đấu giá&gt; Thời trang&gt; Quần áo nam&gt; Jeans&gt; Wrangler")</f>
        <v>Đấu giá&gt; Thời trang&gt; Quần áo nam&gt; Jeans&gt; Wrangler</v>
      </c>
      <c r="F1735" t="str">
        <f t="shared" ca="1" si="27"/>
        <v>"2084007088" : "người hay cải lẩy",</v>
      </c>
    </row>
    <row r="1736" spans="1:6" ht="15.75" customHeight="1">
      <c r="A1736" s="18">
        <v>2084007086</v>
      </c>
      <c r="B1736" s="18" t="s">
        <v>12816</v>
      </c>
      <c r="C1736" s="18" t="s">
        <v>16501</v>
      </c>
      <c r="D1736" s="5" t="str">
        <f ca="1">IFERROR(__xludf.DUMMYFUNCTION("GOOGLETRANSLATE(B1736,""ja"",""vi"")"),"Lee")</f>
        <v>Lee</v>
      </c>
      <c r="E1736" s="5" t="str">
        <f ca="1">IFERROR(__xludf.DUMMYFUNCTION("GOOGLETRANSLATE(C1736,""ja"",""vi"")"),"Đấu giá&gt; Thời trang&gt; Quần áo nam&gt; Jeans&gt; Lee")</f>
        <v>Đấu giá&gt; Thời trang&gt; Quần áo nam&gt; Jeans&gt; Lee</v>
      </c>
      <c r="F1736" t="str">
        <f t="shared" ca="1" si="27"/>
        <v>"2084007086" : "Lee",</v>
      </c>
    </row>
    <row r="1737" spans="1:6" ht="15.75" customHeight="1">
      <c r="A1737" s="18">
        <v>2084007083</v>
      </c>
      <c r="B1737" s="18" t="s">
        <v>12866</v>
      </c>
      <c r="C1737" s="18" t="s">
        <v>16502</v>
      </c>
      <c r="D1737" s="5" t="str">
        <f ca="1">IFERROR(__xludf.DUMMYFUNCTION("GOOGLETRANSLATE(B1737,""ja"",""vi"")"),"Levi của")</f>
        <v>Levi của</v>
      </c>
      <c r="E1737" s="5" t="str">
        <f ca="1">IFERROR(__xludf.DUMMYFUNCTION("GOOGLETRANSLATE(C1737,""ja"",""vi"")"),"Đấu giá&gt; Quần áo thời trang&gt; nam&gt; Jeans&gt; của Levi")</f>
        <v>Đấu giá&gt; Quần áo thời trang&gt; nam&gt; Jeans&gt; của Levi</v>
      </c>
      <c r="F1737" t="str">
        <f t="shared" ca="1" si="27"/>
        <v>"2084007083" : "Levi của",</v>
      </c>
    </row>
    <row r="1738" spans="1:6" ht="15.75" customHeight="1">
      <c r="A1738" s="18">
        <v>2084050597</v>
      </c>
      <c r="B1738" s="18" t="s">
        <v>11773</v>
      </c>
      <c r="C1738" s="18" t="s">
        <v>16504</v>
      </c>
      <c r="D1738" s="5" t="str">
        <f ca="1">IFERROR(__xludf.DUMMYFUNCTION("GOOGLETRANSLATE(B1738,""ja"",""vi"")"),"45RPM")</f>
        <v>45RPM</v>
      </c>
      <c r="E1738" s="5" t="str">
        <f ca="1">IFERROR(__xludf.DUMMYFUNCTION("GOOGLETRANSLATE(C1738,""ja"",""vi"")"),"Đấu giá&gt; Thời trang&gt; Quần áo&gt; Jeans&gt; 45RPM")</f>
        <v>Đấu giá&gt; Thời trang&gt; Quần áo&gt; Jeans&gt; 45RPM</v>
      </c>
      <c r="F1738" t="str">
        <f t="shared" ca="1" si="27"/>
        <v>"2084050597" : "45RPM",</v>
      </c>
    </row>
    <row r="1739" spans="1:6" ht="15.75" customHeight="1">
      <c r="A1739" s="18">
        <v>2084056807</v>
      </c>
      <c r="B1739" s="18" t="s">
        <v>14534</v>
      </c>
      <c r="C1739" s="18" t="s">
        <v>16506</v>
      </c>
      <c r="D1739" s="5" t="str">
        <f ca="1">IFERROR(__xludf.DUMMYFUNCTION("GOOGLETRANSLATE(B1739,""ja"",""vi"")"),"D &amp; G")</f>
        <v>D &amp; G</v>
      </c>
      <c r="E1739" s="5" t="str">
        <f ca="1">IFERROR(__xludf.DUMMYFUNCTION("GOOGLETRANSLATE(C1739,""ja"",""vi"")"),"Đấu giá&gt; Thời trang&gt; Quần áo nam&gt; Jeans&gt; D &amp; G")</f>
        <v>Đấu giá&gt; Thời trang&gt; Quần áo nam&gt; Jeans&gt; D &amp; G</v>
      </c>
      <c r="F1739" t="str">
        <f t="shared" ca="1" si="27"/>
        <v>"2084056807" : "D &amp; G",</v>
      </c>
    </row>
    <row r="1740" spans="1:6" ht="15.75" customHeight="1">
      <c r="A1740" s="18">
        <v>2084255845</v>
      </c>
      <c r="B1740" s="18" t="s">
        <v>9594</v>
      </c>
      <c r="C1740" s="18" t="s">
        <v>16507</v>
      </c>
      <c r="D1740" s="5" t="str">
        <f ca="1">IFERROR(__xludf.DUMMYFUNCTION("GOOGLETRANSLATE(B1740,""ja"",""vi"")"),"KATO`")</f>
        <v>KATO`</v>
      </c>
      <c r="E1740" s="5" t="str">
        <f ca="1">IFERROR(__xludf.DUMMYFUNCTION("GOOGLETRANSLATE(C1740,""ja"",""vi"")"),"Đấu giá&gt; Thời trang&gt; Quần áo nam&gt; Jeans&gt; KATO`")</f>
        <v>Đấu giá&gt; Thời trang&gt; Quần áo nam&gt; Jeans&gt; KATO`</v>
      </c>
      <c r="F1740" t="str">
        <f t="shared" ca="1" si="27"/>
        <v>"2084255845" : "KATO`",</v>
      </c>
    </row>
    <row r="1741" spans="1:6" ht="15.75" customHeight="1">
      <c r="A1741" s="18">
        <v>2084054302</v>
      </c>
      <c r="B1741" s="18" t="s">
        <v>10834</v>
      </c>
      <c r="C1741" s="18" t="s">
        <v>16509</v>
      </c>
      <c r="D1741" s="5" t="str">
        <f ca="1">IFERROR(__xludf.DUMMYFUNCTION("GOOGLETRANSLATE(B1741,""ja"",""vi"")"),"TMT")</f>
        <v>TMT</v>
      </c>
      <c r="E1741" s="5" t="str">
        <f ca="1">IFERROR(__xludf.DUMMYFUNCTION("GOOGLETRANSLATE(C1741,""ja"",""vi"")"),"Đấu giá&gt; Thời trang&gt; Quần áo nam&gt; Jeans&gt; TMT")</f>
        <v>Đấu giá&gt; Thời trang&gt; Quần áo nam&gt; Jeans&gt; TMT</v>
      </c>
      <c r="F1741" t="str">
        <f t="shared" ca="1" si="27"/>
        <v>"2084054302" : "TMT",</v>
      </c>
    </row>
    <row r="1742" spans="1:6" ht="15.75" customHeight="1">
      <c r="A1742" s="18">
        <v>2084055066</v>
      </c>
      <c r="B1742" s="18" t="s">
        <v>8830</v>
      </c>
      <c r="C1742" s="18" t="s">
        <v>16510</v>
      </c>
      <c r="D1742" s="5" t="str">
        <f ca="1">IFERROR(__xludf.DUMMYFUNCTION("GOOGLETRANSLATE(B1742,""ja"",""vi"")"),"Một Bathing Ape")</f>
        <v>Một Bathing Ape</v>
      </c>
      <c r="E1742" s="5" t="str">
        <f ca="1">IFERROR(__xludf.DUMMYFUNCTION("GOOGLETRANSLATE(C1742,""ja"",""vi"")"),"Đấu giá&gt; Thời trang&gt; Quần áo nam&gt; Jeans&gt; A Bathing Ape")</f>
        <v>Đấu giá&gt; Thời trang&gt; Quần áo nam&gt; Jeans&gt; A Bathing Ape</v>
      </c>
      <c r="F1742" t="str">
        <f t="shared" ca="1" si="27"/>
        <v>"2084055066" : "Một Bathing Ape",</v>
      </c>
    </row>
    <row r="1743" spans="1:6" ht="15.75" customHeight="1">
      <c r="A1743" s="18">
        <v>2084050625</v>
      </c>
      <c r="B1743" s="18" t="s">
        <v>8840</v>
      </c>
      <c r="C1743" s="18" t="s">
        <v>16512</v>
      </c>
      <c r="D1743" s="5" t="str">
        <f ca="1">IFERROR(__xludf.DUMMYFUNCTION("GOOGLETRANSLATE(B1743,""ja"",""vi"")"),"Apese")</f>
        <v>Apese</v>
      </c>
      <c r="E1743" s="5" t="str">
        <f ca="1">IFERROR(__xludf.DUMMYFUNCTION("GOOGLETRANSLATE(C1743,""ja"",""vi"")"),"Đấu giá&gt; Thời trang&gt; Quần áo nam&gt; Jeans&gt; Apese")</f>
        <v>Đấu giá&gt; Thời trang&gt; Quần áo nam&gt; Jeans&gt; Apese</v>
      </c>
      <c r="F1743" t="str">
        <f t="shared" ca="1" si="27"/>
        <v>"2084050625" : "Apese",</v>
      </c>
    </row>
    <row r="1744" spans="1:6" ht="15.75" customHeight="1">
      <c r="A1744" s="18">
        <v>2084050540</v>
      </c>
      <c r="B1744" s="18" t="s">
        <v>8848</v>
      </c>
      <c r="C1744" s="18" t="s">
        <v>16514</v>
      </c>
      <c r="D1744" s="5" t="str">
        <f ca="1">IFERROR(__xludf.DUMMYFUNCTION("GOOGLETRANSLATE(B1744,""ja"",""vi"")"),"Abercrombie &amp; Fitch")</f>
        <v>Abercrombie &amp; Fitch</v>
      </c>
      <c r="E1744" s="5" t="str">
        <f ca="1">IFERROR(__xludf.DUMMYFUNCTION("GOOGLETRANSLATE(C1744,""ja"",""vi"")"),"Đấu giá&gt; Thời trang&gt; Quần áo nam&gt; Jeans&gt; Abercrombie &amp; Fitch")</f>
        <v>Đấu giá&gt; Thời trang&gt; Quần áo nam&gt; Jeans&gt; Abercrombie &amp; Fitch</v>
      </c>
      <c r="F1744" t="str">
        <f t="shared" ca="1" si="27"/>
        <v>"2084050540" : "Abercrombie &amp; Fitch",</v>
      </c>
    </row>
    <row r="1745" spans="1:6" ht="15.75" customHeight="1">
      <c r="A1745" s="18">
        <v>2084050884</v>
      </c>
      <c r="B1745" s="18" t="s">
        <v>9751</v>
      </c>
      <c r="C1745" s="18" t="s">
        <v>16516</v>
      </c>
      <c r="D1745" s="5" t="str">
        <f ca="1">IFERROR(__xludf.DUMMYFUNCTION("GOOGLETRANSLATE(B1745,""ja"",""vi"")"),"khoảng trống")</f>
        <v>khoảng trống</v>
      </c>
      <c r="E1745" s="5" t="str">
        <f ca="1">IFERROR(__xludf.DUMMYFUNCTION("GOOGLETRANSLATE(C1745,""ja"",""vi"")"),"Đấu giá&gt; Thời trang&gt; Quần áo&gt; Jeans&gt; khoảng cách")</f>
        <v>Đấu giá&gt; Thời trang&gt; Quần áo&gt; Jeans&gt; khoảng cách</v>
      </c>
      <c r="F1745" t="str">
        <f t="shared" ca="1" si="27"/>
        <v>"2084050884" : "khoảng trống",</v>
      </c>
    </row>
    <row r="1746" spans="1:6" ht="15.75" customHeight="1">
      <c r="A1746" s="18">
        <v>2084194513</v>
      </c>
      <c r="B1746" s="18" t="s">
        <v>10617</v>
      </c>
      <c r="C1746" s="18" t="s">
        <v>16517</v>
      </c>
      <c r="D1746" s="5" t="str">
        <f ca="1">IFERROR(__xludf.DUMMYFUNCTION("GOOGLETRANSLATE(B1746,""ja"",""vi"")"),"Bảy cho All Mankind")</f>
        <v>Bảy cho All Mankind</v>
      </c>
      <c r="E1746" s="5" t="str">
        <f ca="1">IFERROR(__xludf.DUMMYFUNCTION("GOOGLETRANSLATE(C1746,""ja"",""vi"")"),"Đấu giá&gt; Thời trang&gt; Quần áo nam&gt; Jeans&gt; Bảy cho All Mankind")</f>
        <v>Đấu giá&gt; Thời trang&gt; Quần áo nam&gt; Jeans&gt; Bảy cho All Mankind</v>
      </c>
      <c r="F1746" t="str">
        <f t="shared" ca="1" si="27"/>
        <v>"2084194513" : "Bảy cho All Mankind",</v>
      </c>
    </row>
    <row r="1747" spans="1:6" ht="15.75" customHeight="1">
      <c r="A1747" s="18">
        <v>2084051058</v>
      </c>
      <c r="B1747" s="18" t="s">
        <v>10876</v>
      </c>
      <c r="C1747" s="18" t="s">
        <v>16519</v>
      </c>
      <c r="D1747" s="5" t="str">
        <f ca="1">IFERROR(__xludf.DUMMYFUNCTION("GOOGLETRANSLATE(B1747,""ja"",""vi"")"),"Dsquared")</f>
        <v>Dsquared</v>
      </c>
      <c r="E1747" s="5" t="str">
        <f ca="1">IFERROR(__xludf.DUMMYFUNCTION("GOOGLETRANSLATE(C1747,""ja"",""vi"")"),"Đấu giá&gt; Thời trang&gt; Quần áo nam&gt; Jeans&gt; Dsquared")</f>
        <v>Đấu giá&gt; Thời trang&gt; Quần áo nam&gt; Jeans&gt; Dsquared</v>
      </c>
      <c r="F1747" t="str">
        <f t="shared" ca="1" si="27"/>
        <v>"2084051058" : "Dsquared",</v>
      </c>
    </row>
    <row r="1748" spans="1:6" ht="15.75" customHeight="1">
      <c r="A1748" s="18">
        <v>2084055203</v>
      </c>
      <c r="B1748" s="18" t="s">
        <v>10883</v>
      </c>
      <c r="C1748" s="18" t="s">
        <v>16521</v>
      </c>
      <c r="D1748" s="5" t="str">
        <f ca="1">IFERROR(__xludf.DUMMYFUNCTION("GOOGLETRANSLATE(B1748,""ja"",""vi"")"),"dầu diesel")</f>
        <v>dầu diesel</v>
      </c>
      <c r="E1748" s="5" t="str">
        <f ca="1">IFERROR(__xludf.DUMMYFUNCTION("GOOGLETRANSLATE(C1748,""ja"",""vi"")"),"Đấu giá&gt; Thời trang&gt; Quần áo nam&gt; Jeans&gt; Diesel")</f>
        <v>Đấu giá&gt; Thời trang&gt; Quần áo nam&gt; Jeans&gt; Diesel</v>
      </c>
      <c r="F1748" t="str">
        <f t="shared" ca="1" si="27"/>
        <v>"2084055203" : "dầu diesel",</v>
      </c>
    </row>
    <row r="1749" spans="1:6" ht="15.75" customHeight="1">
      <c r="A1749" s="18">
        <v>2084051505</v>
      </c>
      <c r="B1749" s="18" t="s">
        <v>10856</v>
      </c>
      <c r="C1749" s="18" t="s">
        <v>16523</v>
      </c>
      <c r="D1749" s="5" t="str">
        <f ca="1">IFERROR(__xludf.DUMMYFUNCTION("GOOGLETRANSLATE(B1749,""ja"",""vi"")"),"Dior")</f>
        <v>Dior</v>
      </c>
      <c r="E1749" s="5" t="str">
        <f ca="1">IFERROR(__xludf.DUMMYFUNCTION("GOOGLETRANSLATE(C1749,""ja"",""vi"")"),"Đấu giá&gt; Thời trang&gt; Quần áo nam&gt; Jeans&gt; Dior")</f>
        <v>Đấu giá&gt; Thời trang&gt; Quần áo nam&gt; Jeans&gt; Dior</v>
      </c>
      <c r="F1749" t="str">
        <f t="shared" ca="1" si="27"/>
        <v>"2084051505" : "Dior",</v>
      </c>
    </row>
    <row r="1750" spans="1:6" ht="15.75" customHeight="1">
      <c r="A1750" s="18">
        <v>2084194522</v>
      </c>
      <c r="B1750" s="18" t="s">
        <v>10976</v>
      </c>
      <c r="C1750" s="18" t="s">
        <v>16525</v>
      </c>
      <c r="D1750" s="5" t="str">
        <f ca="1">IFERROR(__xludf.DUMMYFUNCTION("GOOGLETRANSLATE(B1750,""ja"",""vi"")"),"true Religion")</f>
        <v>true Religion</v>
      </c>
      <c r="E1750" s="5" t="str">
        <f ca="1">IFERROR(__xludf.DUMMYFUNCTION("GOOGLETRANSLATE(C1750,""ja"",""vi"")"),"Đấu giá&gt; Thời trang&gt; Quần áo nam&gt; Jeans&gt; True Religion")</f>
        <v>Đấu giá&gt; Thời trang&gt; Quần áo nam&gt; Jeans&gt; True Religion</v>
      </c>
      <c r="F1750" t="str">
        <f t="shared" ca="1" si="27"/>
        <v>"2084194522" : "true Religion",</v>
      </c>
    </row>
    <row r="1751" spans="1:6" ht="15.75" customHeight="1">
      <c r="A1751" s="18">
        <v>2084053010</v>
      </c>
      <c r="B1751" s="18" t="s">
        <v>11094</v>
      </c>
      <c r="C1751" s="18" t="s">
        <v>16529</v>
      </c>
      <c r="D1751" s="5" t="str">
        <f ca="1">IFERROR(__xludf.DUMMYFUNCTION("GOOGLETRANSLATE(B1751,""ja"",""vi"")"),"Tornado Mart")</f>
        <v>Tornado Mart</v>
      </c>
      <c r="E1751" s="5" t="str">
        <f ca="1">IFERROR(__xludf.DUMMYFUNCTION("GOOGLETRANSLATE(C1751,""ja"",""vi"")"),"Đấu giá&gt; Thời trang&gt; Quần áo nam&gt; Jeans&gt; Tornado Mart")</f>
        <v>Đấu giá&gt; Thời trang&gt; Quần áo nam&gt; Jeans&gt; Tornado Mart</v>
      </c>
      <c r="F1751" t="str">
        <f t="shared" ca="1" si="27"/>
        <v>"2084053010" : "Tornado Mart",</v>
      </c>
    </row>
    <row r="1752" spans="1:6" ht="15.75" customHeight="1">
      <c r="A1752" s="18">
        <v>2084050562</v>
      </c>
      <c r="B1752" s="18" t="s">
        <v>11111</v>
      </c>
      <c r="C1752" s="18" t="s">
        <v>16530</v>
      </c>
      <c r="D1752" s="5" t="str">
        <f ca="1">IFERROR(__xludf.DUMMYFUNCTION("GOOGLETRANSLATE(B1752,""ja"",""vi"")"),"Dolce &amp; Gabbana")</f>
        <v>Dolce &amp; Gabbana</v>
      </c>
      <c r="E1752" s="5" t="str">
        <f ca="1">IFERROR(__xludf.DUMMYFUNCTION("GOOGLETRANSLATE(C1752,""ja"",""vi"")"),"Đấu giá&gt; Thời trang&gt; Quần áo nam&gt; Jeans&gt; Dolce &amp; Gabbana")</f>
        <v>Đấu giá&gt; Thời trang&gt; Quần áo nam&gt; Jeans&gt; Dolce &amp; Gabbana</v>
      </c>
      <c r="F1752" t="str">
        <f t="shared" ca="1" si="27"/>
        <v>"2084050562" : "Dolce &amp; Gabbana",</v>
      </c>
    </row>
    <row r="1753" spans="1:6" ht="15.75" customHeight="1">
      <c r="A1753" s="18">
        <v>2084242847</v>
      </c>
      <c r="B1753" s="18" t="s">
        <v>11276</v>
      </c>
      <c r="C1753" s="18" t="s">
        <v>16534</v>
      </c>
      <c r="D1753" s="5" t="str">
        <f ca="1">IFERROR(__xludf.DUMMYFUNCTION("GOOGLETRANSLATE(B1753,""ja"",""vi"")"),"Nudijinzu")</f>
        <v>Nudijinzu</v>
      </c>
      <c r="E1753" s="5" t="str">
        <f ca="1">IFERROR(__xludf.DUMMYFUNCTION("GOOGLETRANSLATE(C1753,""ja"",""vi"")"),"Đấu giá&gt; Thời trang&gt; Quần áo nam&gt; Jeans&gt; Nudijinzu")</f>
        <v>Đấu giá&gt; Thời trang&gt; Quần áo nam&gt; Jeans&gt; Nudijinzu</v>
      </c>
      <c r="F1753" t="str">
        <f t="shared" ca="1" si="27"/>
        <v>"2084242847" : "Nudijinzu",</v>
      </c>
    </row>
    <row r="1754" spans="1:6" ht="15.75" customHeight="1">
      <c r="A1754" s="18">
        <v>2084056046</v>
      </c>
      <c r="B1754" s="18" t="s">
        <v>11281</v>
      </c>
      <c r="C1754" s="18" t="s">
        <v>16538</v>
      </c>
      <c r="D1754" s="5" t="str">
        <f ca="1">IFERROR(__xludf.DUMMYFUNCTION("GOOGLETRANSLATE(B1754,""ja"",""vi"")"),"Vùng lân cận")</f>
        <v>Vùng lân cận</v>
      </c>
      <c r="E1754" s="5" t="str">
        <f ca="1">IFERROR(__xludf.DUMMYFUNCTION("GOOGLETRANSLATE(C1754,""ja"",""vi"")"),"Đấu giá&gt; Thời trang&gt; Quần áo&gt; Jeans&gt; Vùng lân cận")</f>
        <v>Đấu giá&gt; Thời trang&gt; Quần áo&gt; Jeans&gt; Vùng lân cận</v>
      </c>
      <c r="F1754" t="str">
        <f t="shared" ca="1" si="27"/>
        <v>"2084056046" : "Vùng lân cận",</v>
      </c>
    </row>
    <row r="1755" spans="1:6" ht="15.75" customHeight="1">
      <c r="A1755" s="18">
        <v>2084051189</v>
      </c>
      <c r="B1755" s="18" t="s">
        <v>12146</v>
      </c>
      <c r="C1755" s="18" t="s">
        <v>16542</v>
      </c>
      <c r="D1755" s="5" t="str">
        <f ca="1">IFERROR(__xludf.DUMMYFUNCTION("GOOGLETRANSLATE(B1755,""ja"",""vi"")"),"Helmut Lang")</f>
        <v>Helmut Lang</v>
      </c>
      <c r="E1755" s="5" t="str">
        <f ca="1">IFERROR(__xludf.DUMMYFUNCTION("GOOGLETRANSLATE(C1755,""ja"",""vi"")"),"Đấu giá&gt; Thời trang&gt; Quần áo nam&gt; Jeans&gt; Helmut Lang")</f>
        <v>Đấu giá&gt; Thời trang&gt; Quần áo nam&gt; Jeans&gt; Helmut Lang</v>
      </c>
      <c r="F1755" t="str">
        <f t="shared" ca="1" si="27"/>
        <v>"2084051189" : "Helmut Lang",</v>
      </c>
    </row>
    <row r="1756" spans="1:6" ht="15.75" customHeight="1">
      <c r="A1756" s="18">
        <v>2084194505</v>
      </c>
      <c r="B1756" s="18" t="s">
        <v>12130</v>
      </c>
      <c r="C1756" s="18" t="s">
        <v>16546</v>
      </c>
      <c r="D1756" s="5" t="str">
        <f ca="1">IFERROR(__xludf.DUMMYFUNCTION("GOOGLETRANSLATE(B1756,""ja"",""vi"")"),"Giấy Denim &amp; Chữ Thập")</f>
        <v>Giấy Denim &amp; Chữ Thập</v>
      </c>
      <c r="E1756" s="5" t="str">
        <f ca="1">IFERROR(__xludf.DUMMYFUNCTION("GOOGLETRANSLATE(C1756,""ja"",""vi"")"),"Đấu giá&gt; Thời trang&gt; Quần áo nam&gt; Jeans&gt; Giấy Denim &amp; Chữ Thập")</f>
        <v>Đấu giá&gt; Thời trang&gt; Quần áo nam&gt; Jeans&gt; Giấy Denim &amp; Chữ Thập</v>
      </c>
      <c r="F1756" t="str">
        <f t="shared" ca="1" si="27"/>
        <v>"2084194505" : "Giấy Denim &amp; Chữ Thập",</v>
      </c>
    </row>
    <row r="1757" spans="1:6" ht="15.75" customHeight="1">
      <c r="A1757" s="18">
        <v>2084194537</v>
      </c>
      <c r="B1757" s="18" t="s">
        <v>12628</v>
      </c>
      <c r="C1757" s="18" t="s">
        <v>16551</v>
      </c>
      <c r="D1757" s="5" t="str">
        <f ca="1">IFERROR(__xludf.DUMMYFUNCTION("GOOGLETRANSLATE(B1757,""ja"",""vi"")"),"Yanuku")</f>
        <v>Yanuku</v>
      </c>
      <c r="E1757" s="5" t="str">
        <f ca="1">IFERROR(__xludf.DUMMYFUNCTION("GOOGLETRANSLATE(C1757,""ja"",""vi"")"),"Đấu giá&gt; Thời trang&gt; Quần áo nam&gt; Jeans&gt; Yanuku")</f>
        <v>Đấu giá&gt; Thời trang&gt; Quần áo nam&gt; Jeans&gt; Yanuku</v>
      </c>
      <c r="F1757" t="str">
        <f t="shared" ca="1" si="27"/>
        <v>"2084194537" : "Yanuku",</v>
      </c>
    </row>
    <row r="1758" spans="1:6" ht="15.75" customHeight="1">
      <c r="A1758" s="18">
        <v>2084051250</v>
      </c>
      <c r="B1758" s="18" t="s">
        <v>12786</v>
      </c>
      <c r="C1758" s="18" t="s">
        <v>16555</v>
      </c>
      <c r="D1758" s="5" t="str">
        <f ca="1">IFERROR(__xludf.DUMMYFUNCTION("GOOGLETRANSLATE(B1758,""ja"",""vi"")"),"Ralph Lauren")</f>
        <v>Ralph Lauren</v>
      </c>
      <c r="E1758" s="5" t="str">
        <f ca="1">IFERROR(__xludf.DUMMYFUNCTION("GOOGLETRANSLATE(C1758,""ja"",""vi"")"),"Đấu giá&gt; Thời trang&gt; Quần áo nam&gt; Jeans&gt; Ralph Lauren")</f>
        <v>Đấu giá&gt; Thời trang&gt; Quần áo nam&gt; Jeans&gt; Ralph Lauren</v>
      </c>
      <c r="F1758" t="str">
        <f t="shared" ca="1" si="27"/>
        <v>"2084051250" : "Ralph Lauren",</v>
      </c>
    </row>
    <row r="1759" spans="1:6" ht="15.75" customHeight="1">
      <c r="A1759" s="18">
        <v>2084255836</v>
      </c>
      <c r="B1759" s="18" t="s">
        <v>13006</v>
      </c>
      <c r="C1759" s="18" t="s">
        <v>16559</v>
      </c>
      <c r="D1759" s="5" t="str">
        <f ca="1">IFERROR(__xludf.DUMMYFUNCTION("GOOGLETRANSLATE(B1759,""ja"",""vi"")"),"ớt đỏ")</f>
        <v>ớt đỏ</v>
      </c>
      <c r="E1759" s="5" t="str">
        <f ca="1">IFERROR(__xludf.DUMMYFUNCTION("GOOGLETRANSLATE(C1759,""ja"",""vi"")"),"Đấu giá&gt; Thời trang&gt; Quần áo nam&gt; Jeans&gt; ớt đỏ")</f>
        <v>Đấu giá&gt; Thời trang&gt; Quần áo nam&gt; Jeans&gt; ớt đỏ</v>
      </c>
      <c r="F1759" t="str">
        <f t="shared" ca="1" si="27"/>
        <v>"2084255836" : "ớt đỏ",</v>
      </c>
    </row>
    <row r="1760" spans="1:6" ht="15.75" customHeight="1">
      <c r="A1760" s="18">
        <v>2084200718</v>
      </c>
      <c r="B1760" s="18" t="s">
        <v>13057</v>
      </c>
      <c r="C1760" s="18" t="s">
        <v>16564</v>
      </c>
      <c r="D1760" s="5" t="str">
        <f ca="1">IFERROR(__xludf.DUMMYFUNCTION("GOOGLETRANSLATE(B1760,""ja"",""vi"")"),"Logan")</f>
        <v>Logan</v>
      </c>
      <c r="E1760" s="5" t="str">
        <f ca="1">IFERROR(__xludf.DUMMYFUNCTION("GOOGLETRANSLATE(C1760,""ja"",""vi"")"),"Đấu giá&gt; Thời trang&gt; Quần áo nam&gt; Jeans&gt; Logan")</f>
        <v>Đấu giá&gt; Thời trang&gt; Quần áo nam&gt; Jeans&gt; Logan</v>
      </c>
      <c r="F1760" t="str">
        <f t="shared" ca="1" si="27"/>
        <v>"2084200718" : "Logan",</v>
      </c>
    </row>
    <row r="1761" spans="1:6" ht="15.75" customHeight="1">
      <c r="A1761" s="18">
        <v>2084007084</v>
      </c>
      <c r="B1761" s="18" t="s">
        <v>46</v>
      </c>
      <c r="C1761" s="18" t="s">
        <v>16569</v>
      </c>
      <c r="D1761" s="5" t="str">
        <f ca="1">IFERROR(__xludf.DUMMYFUNCTION("GOOGLETRANSLATE(B1761,""ja"",""vi"")"),"nếu không thì")</f>
        <v>nếu không thì</v>
      </c>
      <c r="E1761" s="5" t="str">
        <f ca="1">IFERROR(__xludf.DUMMYFUNCTION("GOOGLETRANSLATE(C1761,""ja"",""vi"")"),"Đấu giá&gt; Thời trang&gt; Quần áo nam&gt; Jeans&gt; Khác")</f>
        <v>Đấu giá&gt; Thời trang&gt; Quần áo nam&gt; Jeans&gt; Khác</v>
      </c>
      <c r="F1761" t="str">
        <f t="shared" ca="1" si="27"/>
        <v>"2084007084" : "nếu không thì",</v>
      </c>
    </row>
    <row r="1762" spans="1:6" ht="15.75" customHeight="1">
      <c r="A1762" s="18">
        <v>2084224617</v>
      </c>
      <c r="B1762" s="18" t="s">
        <v>13341</v>
      </c>
      <c r="C1762" s="18" t="s">
        <v>16572</v>
      </c>
      <c r="D1762" s="5" t="str">
        <f ca="1">IFERROR(__xludf.DUMMYFUNCTION("GOOGLETRANSLATE(B1762,""ja"",""vi"")"),"kích thước XS dưới đây")</f>
        <v>kích thước XS dưới đây</v>
      </c>
      <c r="E1762" s="5" t="str">
        <f ca="1">IFERROR(__xludf.DUMMYFUNCTION("GOOGLETRANSLATE(C1762,""ja"",""vi"")"),"Đấu giá&gt; Thời trang&gt; nam thời trang&gt; quần, quần&gt; kích thước XS dưới đây")</f>
        <v>Đấu giá&gt; Thời trang&gt; nam thời trang&gt; quần, quần&gt; kích thước XS dưới đây</v>
      </c>
      <c r="F1762" t="str">
        <f t="shared" ca="1" si="27"/>
        <v>"2084224617" : "kích thước XS dưới đây",</v>
      </c>
    </row>
    <row r="1763" spans="1:6" ht="15.75" customHeight="1">
      <c r="A1763" s="18">
        <v>2084224618</v>
      </c>
      <c r="B1763" s="18" t="s">
        <v>13345</v>
      </c>
      <c r="C1763" s="18" t="s">
        <v>16575</v>
      </c>
      <c r="D1763" s="5" t="str">
        <f ca="1">IFERROR(__xludf.DUMMYFUNCTION("GOOGLETRANSLATE(B1763,""ja"",""vi"")"),"size S")</f>
        <v>size S</v>
      </c>
      <c r="E1763" s="5" t="str">
        <f ca="1">IFERROR(__xludf.DUMMYFUNCTION("GOOGLETRANSLATE(C1763,""ja"",""vi"")"),"Đấu giá&gt; Thời trang&gt; nam thời trang&gt; quần, quần&gt; S kích thước")</f>
        <v>Đấu giá&gt; Thời trang&gt; nam thời trang&gt; quần, quần&gt; S kích thước</v>
      </c>
      <c r="F1763" t="str">
        <f t="shared" ca="1" si="27"/>
        <v>"2084224618" : "size S",</v>
      </c>
    </row>
    <row r="1764" spans="1:6" ht="15.75" customHeight="1">
      <c r="A1764" s="18">
        <v>2084224619</v>
      </c>
      <c r="B1764" s="18" t="s">
        <v>13351</v>
      </c>
      <c r="C1764" s="18" t="s">
        <v>16577</v>
      </c>
      <c r="D1764" s="5" t="str">
        <f ca="1">IFERROR(__xludf.DUMMYFUNCTION("GOOGLETRANSLATE(B1764,""ja"",""vi"")"),"size M")</f>
        <v>size M</v>
      </c>
      <c r="E1764" s="5" t="str">
        <f ca="1">IFERROR(__xludf.DUMMYFUNCTION("GOOGLETRANSLATE(C1764,""ja"",""vi"")"),"Đấu giá&gt; Thời trang&gt; nam thời trang&gt; quần, quần&gt; size M")</f>
        <v>Đấu giá&gt; Thời trang&gt; nam thời trang&gt; quần, quần&gt; size M</v>
      </c>
      <c r="F1764" t="str">
        <f t="shared" ca="1" si="27"/>
        <v>"2084224619" : "size M",</v>
      </c>
    </row>
    <row r="1765" spans="1:6" ht="15.75" customHeight="1">
      <c r="A1765" s="18">
        <v>2084224620</v>
      </c>
      <c r="B1765" s="18" t="s">
        <v>13355</v>
      </c>
      <c r="C1765" s="18" t="s">
        <v>16580</v>
      </c>
      <c r="D1765" s="5" t="str">
        <f ca="1">IFERROR(__xludf.DUMMYFUNCTION("GOOGLETRANSLATE(B1765,""ja"",""vi"")"),"size L")</f>
        <v>size L</v>
      </c>
      <c r="E1765" s="5" t="str">
        <f ca="1">IFERROR(__xludf.DUMMYFUNCTION("GOOGLETRANSLATE(C1765,""ja"",""vi"")"),"Đấu giá&gt; Thời trang&gt; nam thời trang&gt; quần, quần&gt; L kích thước")</f>
        <v>Đấu giá&gt; Thời trang&gt; nam thời trang&gt; quần, quần&gt; L kích thước</v>
      </c>
      <c r="F1765" t="str">
        <f t="shared" ca="1" si="27"/>
        <v>"2084224620" : "size L",</v>
      </c>
    </row>
    <row r="1766" spans="1:6" ht="15.75" customHeight="1">
      <c r="A1766" s="18">
        <v>2084224621</v>
      </c>
      <c r="B1766" s="18" t="s">
        <v>13360</v>
      </c>
      <c r="C1766" s="18" t="s">
        <v>16582</v>
      </c>
      <c r="D1766" s="5" t="str">
        <f ca="1">IFERROR(__xludf.DUMMYFUNCTION("GOOGLETRANSLATE(B1766,""ja"",""vi"")"),"kích thước XL hoặc lớn hơn")</f>
        <v>kích thước XL hoặc lớn hơn</v>
      </c>
      <c r="E1766" s="5" t="str">
        <f ca="1">IFERROR(__xludf.DUMMYFUNCTION("GOOGLETRANSLATE(C1766,""ja"",""vi"")"),"Đấu giá&gt; Thời trang&gt; nam thời trang&gt; quần, quần&gt; kích thước XL hơn")</f>
        <v>Đấu giá&gt; Thời trang&gt; nam thời trang&gt; quần, quần&gt; kích thước XL hơn</v>
      </c>
      <c r="F1766" t="str">
        <f t="shared" ca="1" si="27"/>
        <v>"2084224621" : "kích thước XL hoặc lớn hơn",</v>
      </c>
    </row>
    <row r="1767" spans="1:6" ht="15.75" customHeight="1">
      <c r="A1767" s="18">
        <v>2084224679</v>
      </c>
      <c r="B1767" s="18" t="s">
        <v>13341</v>
      </c>
      <c r="C1767" s="18" t="s">
        <v>16583</v>
      </c>
      <c r="D1767" s="5" t="str">
        <f ca="1">IFERROR(__xludf.DUMMYFUNCTION("GOOGLETRANSLATE(B1767,""ja"",""vi"")"),"kích thước XS dưới đây")</f>
        <v>kích thước XS dưới đây</v>
      </c>
      <c r="E1767" s="5" t="str">
        <f ca="1">IFERROR(__xludf.DUMMYFUNCTION("GOOGLETRANSLATE(C1767,""ja"",""vi"")"),"Đấu giá&gt; Thời trang&gt; thời trang nam&gt; quần làm việc, quần họa sĩ&gt; kích thước XS dưới đây")</f>
        <v>Đấu giá&gt; Thời trang&gt; thời trang nam&gt; quần làm việc, quần họa sĩ&gt; kích thước XS dưới đây</v>
      </c>
      <c r="F1767" t="str">
        <f t="shared" ca="1" si="27"/>
        <v>"2084224679" : "kích thước XS dưới đây",</v>
      </c>
    </row>
    <row r="1768" spans="1:6" ht="15.75" customHeight="1">
      <c r="A1768" s="18">
        <v>2084224680</v>
      </c>
      <c r="B1768" s="18" t="s">
        <v>13345</v>
      </c>
      <c r="C1768" s="18" t="s">
        <v>16584</v>
      </c>
      <c r="D1768" s="5" t="str">
        <f ca="1">IFERROR(__xludf.DUMMYFUNCTION("GOOGLETRANSLATE(B1768,""ja"",""vi"")"),"size S")</f>
        <v>size S</v>
      </c>
      <c r="E1768" s="5" t="str">
        <f ca="1">IFERROR(__xludf.DUMMYFUNCTION("GOOGLETRANSLATE(C1768,""ja"",""vi"")"),"Đấu giá&gt; Thời trang&gt; thời trang nam&gt; quần làm việc, họa sĩ quần&gt; size S")</f>
        <v>Đấu giá&gt; Thời trang&gt; thời trang nam&gt; quần làm việc, họa sĩ quần&gt; size S</v>
      </c>
      <c r="F1768" t="str">
        <f t="shared" ca="1" si="27"/>
        <v>"2084224680" : "size S",</v>
      </c>
    </row>
    <row r="1769" spans="1:6" ht="15.75" customHeight="1">
      <c r="A1769" s="18">
        <v>2084224681</v>
      </c>
      <c r="B1769" s="18" t="s">
        <v>13351</v>
      </c>
      <c r="C1769" s="18" t="s">
        <v>16585</v>
      </c>
      <c r="D1769" s="5" t="str">
        <f ca="1">IFERROR(__xludf.DUMMYFUNCTION("GOOGLETRANSLATE(B1769,""ja"",""vi"")"),"size M")</f>
        <v>size M</v>
      </c>
      <c r="E1769" s="5" t="str">
        <f ca="1">IFERROR(__xludf.DUMMYFUNCTION("GOOGLETRANSLATE(C1769,""ja"",""vi"")"),"Đấu giá&gt; Thời trang&gt; thời trang nam&gt; quần làm việc, họa sĩ quần&gt; size M")</f>
        <v>Đấu giá&gt; Thời trang&gt; thời trang nam&gt; quần làm việc, họa sĩ quần&gt; size M</v>
      </c>
      <c r="F1769" t="str">
        <f t="shared" ca="1" si="27"/>
        <v>"2084224681" : "size M",</v>
      </c>
    </row>
    <row r="1770" spans="1:6" ht="15.75" customHeight="1">
      <c r="A1770" s="18">
        <v>2084224682</v>
      </c>
      <c r="B1770" s="18" t="s">
        <v>13355</v>
      </c>
      <c r="C1770" s="18" t="s">
        <v>16586</v>
      </c>
      <c r="D1770" s="5" t="str">
        <f ca="1">IFERROR(__xludf.DUMMYFUNCTION("GOOGLETRANSLATE(B1770,""ja"",""vi"")"),"size L")</f>
        <v>size L</v>
      </c>
      <c r="E1770" s="5" t="str">
        <f ca="1">IFERROR(__xludf.DUMMYFUNCTION("GOOGLETRANSLATE(C1770,""ja"",""vi"")"),"Đấu giá&gt; Thời trang&gt; thời trang nam&gt; quần làm việc, họa sĩ quần&gt; L kích thước")</f>
        <v>Đấu giá&gt; Thời trang&gt; thời trang nam&gt; quần làm việc, họa sĩ quần&gt; L kích thước</v>
      </c>
      <c r="F1770" t="str">
        <f t="shared" ca="1" si="27"/>
        <v>"2084224682" : "size L",</v>
      </c>
    </row>
    <row r="1771" spans="1:6" ht="15.75" customHeight="1">
      <c r="A1771" s="18">
        <v>2084224683</v>
      </c>
      <c r="B1771" s="18" t="s">
        <v>13360</v>
      </c>
      <c r="C1771" s="18" t="s">
        <v>16587</v>
      </c>
      <c r="D1771" s="5" t="str">
        <f ca="1">IFERROR(__xludf.DUMMYFUNCTION("GOOGLETRANSLATE(B1771,""ja"",""vi"")"),"kích thước XL hoặc lớn hơn")</f>
        <v>kích thước XL hoặc lớn hơn</v>
      </c>
      <c r="E1771" s="5" t="str">
        <f ca="1">IFERROR(__xludf.DUMMYFUNCTION("GOOGLETRANSLATE(C1771,""ja"",""vi"")"),"Đấu giá&gt; thời trang thời trang&gt; nam&gt; quần làm việc, quần họa sĩ&gt; kích thước XL hơn")</f>
        <v>Đấu giá&gt; thời trang thời trang&gt; nam&gt; quần làm việc, quần họa sĩ&gt; kích thước XL hơn</v>
      </c>
      <c r="F1771" t="str">
        <f t="shared" ca="1" si="27"/>
        <v>"2084224683" : "kích thước XL hoặc lớn hơn",</v>
      </c>
    </row>
    <row r="1772" spans="1:6" ht="15.75" customHeight="1">
      <c r="A1772" s="18">
        <v>2084224622</v>
      </c>
      <c r="B1772" s="18" t="s">
        <v>13341</v>
      </c>
      <c r="C1772" s="18" t="s">
        <v>16588</v>
      </c>
      <c r="D1772" s="5" t="str">
        <f ca="1">IFERROR(__xludf.DUMMYFUNCTION("GOOGLETRANSLATE(B1772,""ja"",""vi"")"),"kích thước XS dưới đây")</f>
        <v>kích thước XS dưới đây</v>
      </c>
      <c r="E1772" s="5" t="str">
        <f ca="1">IFERROR(__xludf.DUMMYFUNCTION("GOOGLETRANSLATE(C1772,""ja"",""vi"")"),"Đấu giá&gt; thời trang thời trang&gt; nam&gt; chinos&gt; kích thước XS dưới đây")</f>
        <v>Đấu giá&gt; thời trang thời trang&gt; nam&gt; chinos&gt; kích thước XS dưới đây</v>
      </c>
      <c r="F1772" t="str">
        <f t="shared" ca="1" si="27"/>
        <v>"2084224622" : "kích thước XS dưới đây",</v>
      </c>
    </row>
    <row r="1773" spans="1:6" ht="15.75" customHeight="1">
      <c r="A1773" s="18">
        <v>2084224623</v>
      </c>
      <c r="B1773" s="18" t="s">
        <v>13345</v>
      </c>
      <c r="C1773" s="18" t="s">
        <v>16591</v>
      </c>
      <c r="D1773" s="5" t="str">
        <f ca="1">IFERROR(__xludf.DUMMYFUNCTION("GOOGLETRANSLATE(B1773,""ja"",""vi"")"),"size S")</f>
        <v>size S</v>
      </c>
      <c r="E1773" s="5" t="str">
        <f ca="1">IFERROR(__xludf.DUMMYFUNCTION("GOOGLETRANSLATE(C1773,""ja"",""vi"")"),"Đấu giá&gt; Thời trang&gt; thời trang nam&gt; chinos&gt; S kích thước")</f>
        <v>Đấu giá&gt; Thời trang&gt; thời trang nam&gt; chinos&gt; S kích thước</v>
      </c>
      <c r="F1773" t="str">
        <f t="shared" ca="1" si="27"/>
        <v>"2084224623" : "size S",</v>
      </c>
    </row>
    <row r="1774" spans="1:6" ht="15.75" customHeight="1">
      <c r="A1774" s="18">
        <v>2084224624</v>
      </c>
      <c r="B1774" s="18" t="s">
        <v>13351</v>
      </c>
      <c r="C1774" s="18" t="s">
        <v>16594</v>
      </c>
      <c r="D1774" s="5" t="str">
        <f ca="1">IFERROR(__xludf.DUMMYFUNCTION("GOOGLETRANSLATE(B1774,""ja"",""vi"")"),"size M")</f>
        <v>size M</v>
      </c>
      <c r="E1774" s="5" t="str">
        <f ca="1">IFERROR(__xludf.DUMMYFUNCTION("GOOGLETRANSLATE(C1774,""ja"",""vi"")"),"Đấu giá&gt; Thời trang&gt; nam thời trang&gt; quần&gt; size M")</f>
        <v>Đấu giá&gt; Thời trang&gt; nam thời trang&gt; quần&gt; size M</v>
      </c>
      <c r="F1774" t="str">
        <f t="shared" ca="1" si="27"/>
        <v>"2084224624" : "size M",</v>
      </c>
    </row>
    <row r="1775" spans="1:6" ht="15.75" customHeight="1">
      <c r="A1775" s="18">
        <v>2084224625</v>
      </c>
      <c r="B1775" s="18" t="s">
        <v>13355</v>
      </c>
      <c r="C1775" s="18" t="s">
        <v>16595</v>
      </c>
      <c r="D1775" s="5" t="str">
        <f ca="1">IFERROR(__xludf.DUMMYFUNCTION("GOOGLETRANSLATE(B1775,""ja"",""vi"")"),"size L")</f>
        <v>size L</v>
      </c>
      <c r="E1775" s="5" t="str">
        <f ca="1">IFERROR(__xludf.DUMMYFUNCTION("GOOGLETRANSLATE(C1775,""ja"",""vi"")"),"Đấu giá&gt; Thời trang&gt; nam thời trang&gt; quần&gt; L kích thước")</f>
        <v>Đấu giá&gt; Thời trang&gt; nam thời trang&gt; quần&gt; L kích thước</v>
      </c>
      <c r="F1775" t="str">
        <f t="shared" ca="1" si="27"/>
        <v>"2084224625" : "size L",</v>
      </c>
    </row>
    <row r="1776" spans="1:6" ht="15.75" customHeight="1">
      <c r="A1776" s="18">
        <v>2084224635</v>
      </c>
      <c r="B1776" s="18" t="s">
        <v>13360</v>
      </c>
      <c r="C1776" s="18" t="s">
        <v>16597</v>
      </c>
      <c r="D1776" s="5" t="str">
        <f ca="1">IFERROR(__xludf.DUMMYFUNCTION("GOOGLETRANSLATE(B1776,""ja"",""vi"")"),"kích thước XL hoặc lớn hơn")</f>
        <v>kích thước XL hoặc lớn hơn</v>
      </c>
      <c r="E1776" s="5" t="str">
        <f ca="1">IFERROR(__xludf.DUMMYFUNCTION("GOOGLETRANSLATE(C1776,""ja"",""vi"")"),"Đấu giá&gt; Thời trang&gt; thời trang nam&gt; chinos&gt; kích thước XL hơn")</f>
        <v>Đấu giá&gt; Thời trang&gt; thời trang nam&gt; chinos&gt; kích thước XL hơn</v>
      </c>
      <c r="F1776" t="str">
        <f t="shared" ca="1" si="27"/>
        <v>"2084224635" : "kích thước XL hoặc lớn hơn",</v>
      </c>
    </row>
    <row r="1777" spans="1:6" ht="15.75" customHeight="1">
      <c r="A1777" s="18">
        <v>2084224612</v>
      </c>
      <c r="B1777" s="18" t="s">
        <v>13341</v>
      </c>
      <c r="C1777" s="18" t="s">
        <v>16598</v>
      </c>
      <c r="D1777" s="5" t="str">
        <f ca="1">IFERROR(__xludf.DUMMYFUNCTION("GOOGLETRANSLATE(B1777,""ja"",""vi"")"),"kích thước XS dưới đây")</f>
        <v>kích thước XS dưới đây</v>
      </c>
      <c r="E1777" s="5" t="str">
        <f ca="1">IFERROR(__xludf.DUMMYFUNCTION("GOOGLETRANSLATE(C1777,""ja"",""vi"")"),"Đấu giá&gt; Thời trang&gt; Quần áo&gt; Quần soóc&gt; XS kích thước bên dưới")</f>
        <v>Đấu giá&gt; Thời trang&gt; Quần áo&gt; Quần soóc&gt; XS kích thước bên dưới</v>
      </c>
      <c r="F1777" t="str">
        <f t="shared" ca="1" si="27"/>
        <v>"2084224612" : "kích thước XS dưới đây",</v>
      </c>
    </row>
    <row r="1778" spans="1:6" ht="15.75" customHeight="1">
      <c r="A1778" s="18">
        <v>2084224613</v>
      </c>
      <c r="B1778" s="18" t="s">
        <v>13345</v>
      </c>
      <c r="C1778" s="18" t="s">
        <v>16600</v>
      </c>
      <c r="D1778" s="5" t="str">
        <f ca="1">IFERROR(__xludf.DUMMYFUNCTION("GOOGLETRANSLATE(B1778,""ja"",""vi"")"),"size S")</f>
        <v>size S</v>
      </c>
      <c r="E1778" s="5" t="str">
        <f ca="1">IFERROR(__xludf.DUMMYFUNCTION("GOOGLETRANSLATE(C1778,""ja"",""vi"")"),"Đấu giá&gt; Thời trang&gt; Quần áo&gt; Quần soóc&gt; size S")</f>
        <v>Đấu giá&gt; Thời trang&gt; Quần áo&gt; Quần soóc&gt; size S</v>
      </c>
      <c r="F1778" t="str">
        <f t="shared" ca="1" si="27"/>
        <v>"2084224613" : "size S",</v>
      </c>
    </row>
    <row r="1779" spans="1:6" ht="15.75" customHeight="1">
      <c r="A1779" s="18">
        <v>2084224614</v>
      </c>
      <c r="B1779" s="18" t="s">
        <v>13351</v>
      </c>
      <c r="C1779" s="18" t="s">
        <v>16602</v>
      </c>
      <c r="D1779" s="5" t="str">
        <f ca="1">IFERROR(__xludf.DUMMYFUNCTION("GOOGLETRANSLATE(B1779,""ja"",""vi"")"),"size M")</f>
        <v>size M</v>
      </c>
      <c r="E1779" s="5" t="str">
        <f ca="1">IFERROR(__xludf.DUMMYFUNCTION("GOOGLETRANSLATE(C1779,""ja"",""vi"")"),"Đấu giá&gt; Thời trang&gt; Quần áo&gt; Quần soóc&gt; size M")</f>
        <v>Đấu giá&gt; Thời trang&gt; Quần áo&gt; Quần soóc&gt; size M</v>
      </c>
      <c r="F1779" t="str">
        <f t="shared" ca="1" si="27"/>
        <v>"2084224614" : "size M",</v>
      </c>
    </row>
    <row r="1780" spans="1:6" ht="15.75" customHeight="1">
      <c r="A1780" s="18">
        <v>2084224615</v>
      </c>
      <c r="B1780" s="18" t="s">
        <v>13355</v>
      </c>
      <c r="C1780" s="18" t="s">
        <v>16603</v>
      </c>
      <c r="D1780" s="5" t="str">
        <f ca="1">IFERROR(__xludf.DUMMYFUNCTION("GOOGLETRANSLATE(B1780,""ja"",""vi"")"),"size L")</f>
        <v>size L</v>
      </c>
      <c r="E1780" s="5" t="str">
        <f ca="1">IFERROR(__xludf.DUMMYFUNCTION("GOOGLETRANSLATE(C1780,""ja"",""vi"")"),"Đấu giá&gt; Thời trang&gt; Quần áo&gt; Quần soóc&gt; L kích thước")</f>
        <v>Đấu giá&gt; Thời trang&gt; Quần áo&gt; Quần soóc&gt; L kích thước</v>
      </c>
      <c r="F1780" t="str">
        <f t="shared" ca="1" si="27"/>
        <v>"2084224615" : "size L",</v>
      </c>
    </row>
    <row r="1781" spans="1:6" ht="15.75" customHeight="1">
      <c r="A1781" s="18">
        <v>2084224616</v>
      </c>
      <c r="B1781" s="18" t="s">
        <v>13360</v>
      </c>
      <c r="C1781" s="18" t="s">
        <v>16605</v>
      </c>
      <c r="D1781" s="5" t="str">
        <f ca="1">IFERROR(__xludf.DUMMYFUNCTION("GOOGLETRANSLATE(B1781,""ja"",""vi"")"),"kích thước XL hoặc lớn hơn")</f>
        <v>kích thước XL hoặc lớn hơn</v>
      </c>
      <c r="E1781" s="5" t="str">
        <f ca="1">IFERROR(__xludf.DUMMYFUNCTION("GOOGLETRANSLATE(C1781,""ja"",""vi"")"),"Đấu giá&gt; Quần áo thời trang&gt; nam&gt; kích thước Shorts&gt; XL hơn")</f>
        <v>Đấu giá&gt; Quần áo thời trang&gt; nam&gt; kích thước Shorts&gt; XL hơn</v>
      </c>
      <c r="F1781" t="str">
        <f t="shared" ca="1" si="27"/>
        <v>"2084224616" : "kích thước XL hoặc lớn hơn",</v>
      </c>
    </row>
    <row r="1782" spans="1:6" ht="15.75" customHeight="1">
      <c r="A1782" s="18">
        <v>2084007112</v>
      </c>
      <c r="B1782" s="18" t="s">
        <v>16606</v>
      </c>
      <c r="C1782" s="18" t="s">
        <v>16608</v>
      </c>
      <c r="D1782" s="5" t="str">
        <f ca="1">IFERROR(__xludf.DUMMYFUNCTION("GOOGLETRANSLATE(B1782,""ja"",""vi"")"),"phù hợp với đơn")</f>
        <v>phù hợp với đơn</v>
      </c>
      <c r="E1782" s="5" t="str">
        <f ca="1">IFERROR(__xludf.DUMMYFUNCTION("GOOGLETRANSLATE(C1782,""ja"",""vi"")"),"Đấu giá&gt; Thời trang&gt; nam thời trang&gt; phù hợp với&gt; phù hợp với đơn")</f>
        <v>Đấu giá&gt; Thời trang&gt; nam thời trang&gt; phù hợp với&gt; phù hợp với đơn</v>
      </c>
      <c r="F1782" t="str">
        <f t="shared" ca="1" si="27"/>
        <v>"2084007112" : "phù hợp với đơn",</v>
      </c>
    </row>
    <row r="1783" spans="1:6" ht="15.75" customHeight="1">
      <c r="A1783" s="18">
        <v>2084007111</v>
      </c>
      <c r="B1783" s="18" t="s">
        <v>16609</v>
      </c>
      <c r="C1783" s="18" t="s">
        <v>16610</v>
      </c>
      <c r="D1783" s="5" t="str">
        <f ca="1">IFERROR(__xludf.DUMMYFUNCTION("GOOGLETRANSLATE(B1783,""ja"",""vi"")"),"phù hợp với đôi")</f>
        <v>phù hợp với đôi</v>
      </c>
      <c r="E1783" s="5" t="str">
        <f ca="1">IFERROR(__xludf.DUMMYFUNCTION("GOOGLETRANSLATE(C1783,""ja"",""vi"")"),"Đấu giá&gt; Thời trang&gt; Quần áo nam&gt; Suits&gt; phù hợp với đôi")</f>
        <v>Đấu giá&gt; Thời trang&gt; Quần áo nam&gt; Suits&gt; phù hợp với đôi</v>
      </c>
      <c r="F1783" t="str">
        <f t="shared" ca="1" si="27"/>
        <v>"2084007111" : "phù hợp với đôi",</v>
      </c>
    </row>
    <row r="1784" spans="1:6" ht="15.75" customHeight="1">
      <c r="A1784" s="18">
        <v>2084005922</v>
      </c>
      <c r="B1784" s="18" t="s">
        <v>16612</v>
      </c>
      <c r="C1784" s="18" t="s">
        <v>16613</v>
      </c>
      <c r="D1784" s="5" t="str">
        <f ca="1">IFERROR(__xludf.DUMMYFUNCTION("GOOGLETRANSLATE(B1784,""ja"",""vi"")"),"Suit đen")</f>
        <v>Suit đen</v>
      </c>
      <c r="E1784" s="5" t="str">
        <f ca="1">IFERROR(__xludf.DUMMYFUNCTION("GOOGLETRANSLATE(C1784,""ja"",""vi"")"),"Đấu giá&gt; Thời trang&gt; Quần áo nam&gt; Suits&gt; Suit Đen")</f>
        <v>Đấu giá&gt; Thời trang&gt; Quần áo nam&gt; Suits&gt; Suit Đen</v>
      </c>
      <c r="F1784" t="str">
        <f t="shared" ca="1" si="27"/>
        <v>"2084005922" : "Suit đen",</v>
      </c>
    </row>
    <row r="1785" spans="1:6" ht="15.75" customHeight="1">
      <c r="A1785" s="18">
        <v>2084053588</v>
      </c>
      <c r="B1785" s="18" t="s">
        <v>8916</v>
      </c>
      <c r="C1785" s="18" t="s">
        <v>16615</v>
      </c>
      <c r="D1785" s="5" t="str">
        <f ca="1">IFERROR(__xludf.DUMMYFUNCTION("GOOGLETRANSLATE(B1785,""ja"",""vi"")"),"Armani")</f>
        <v>Armani</v>
      </c>
      <c r="E1785" s="5" t="str">
        <f ca="1">IFERROR(__xludf.DUMMYFUNCTION("GOOGLETRANSLATE(C1785,""ja"",""vi"")"),"Đấu giá&gt; Thời trang&gt; Quần áo nam&gt; Suits&gt; Armani")</f>
        <v>Đấu giá&gt; Thời trang&gt; Quần áo nam&gt; Suits&gt; Armani</v>
      </c>
      <c r="F1785" t="str">
        <f t="shared" ca="1" si="27"/>
        <v>"2084053588" : "Armani",</v>
      </c>
    </row>
    <row r="1786" spans="1:6" ht="15.75" customHeight="1">
      <c r="A1786" s="18">
        <v>2084238143</v>
      </c>
      <c r="B1786" s="18" t="s">
        <v>9310</v>
      </c>
      <c r="C1786" s="18" t="s">
        <v>16617</v>
      </c>
      <c r="D1786" s="5" t="str">
        <f ca="1">IFERROR(__xludf.DUMMYFUNCTION("GOOGLETRANSLATE(B1786,""ja"",""vi"")"),"lâu đài")</f>
        <v>lâu đài</v>
      </c>
      <c r="E1786" s="5" t="str">
        <f ca="1">IFERROR(__xludf.DUMMYFUNCTION("GOOGLETRANSLATE(C1786,""ja"",""vi"")"),"Đấu giá&gt; Thời trang&gt; Quần áo&gt; Suits&gt; dinh thự")</f>
        <v>Đấu giá&gt; Thời trang&gt; Quần áo&gt; Suits&gt; dinh thự</v>
      </c>
      <c r="F1786" t="str">
        <f t="shared" ca="1" si="27"/>
        <v>"2084238143" : "lâu đài",</v>
      </c>
    </row>
    <row r="1787" spans="1:6" ht="15.75" customHeight="1">
      <c r="A1787" s="18">
        <v>2084053592</v>
      </c>
      <c r="B1787" s="18" t="s">
        <v>10041</v>
      </c>
      <c r="C1787" s="18" t="s">
        <v>16621</v>
      </c>
      <c r="D1787" s="5" t="str">
        <f ca="1">IFERROR(__xludf.DUMMYFUNCTION("GOOGLETRANSLATE(B1787,""ja"",""vi"")"),"Com de chế độ")</f>
        <v>Com de chế độ</v>
      </c>
      <c r="E1787" s="5" t="str">
        <f ca="1">IFERROR(__xludf.DUMMYFUNCTION("GOOGLETRANSLATE(C1787,""ja"",""vi"")"),"Đấu giá&gt; Thời trang&gt; Quần áo nam&gt; Suits&gt; Photos de chế độ")</f>
        <v>Đấu giá&gt; Thời trang&gt; Quần áo nam&gt; Suits&gt; Photos de chế độ</v>
      </c>
      <c r="F1787" t="str">
        <f t="shared" ca="1" si="27"/>
        <v>"2084053592" : "Com de chế độ",</v>
      </c>
    </row>
    <row r="1788" spans="1:6" ht="15.75" customHeight="1">
      <c r="A1788" s="18">
        <v>2084053597</v>
      </c>
      <c r="B1788" s="18" t="s">
        <v>10044</v>
      </c>
      <c r="C1788" s="18" t="s">
        <v>16626</v>
      </c>
      <c r="D1788" s="5" t="str">
        <f ca="1">IFERROR(__xludf.DUMMYFUNCTION("GOOGLETRANSLATE(B1788,""ja"",""vi"")"),"Comme des Garcons")</f>
        <v>Comme des Garcons</v>
      </c>
      <c r="E1788" s="5" t="str">
        <f ca="1">IFERROR(__xludf.DUMMYFUNCTION("GOOGLETRANSLATE(C1788,""ja"",""vi"")"),"Đấu giá&gt; Thời trang&gt; Quần áo nam&gt; Suits&gt; Comme des Garcons")</f>
        <v>Đấu giá&gt; Thời trang&gt; Quần áo nam&gt; Suits&gt; Comme des Garcons</v>
      </c>
      <c r="F1788" t="str">
        <f t="shared" ca="1" si="27"/>
        <v>"2084053597" : "Comme des Garcons",</v>
      </c>
    </row>
    <row r="1789" spans="1:6" ht="15.75" customHeight="1">
      <c r="A1789" s="18">
        <v>2084053605</v>
      </c>
      <c r="B1789" s="18" t="s">
        <v>10229</v>
      </c>
      <c r="C1789" s="18" t="s">
        <v>16628</v>
      </c>
      <c r="D1789" s="5" t="str">
        <f ca="1">IFERROR(__xludf.DUMMYFUNCTION("GOOGLETRANSLATE(B1789,""ja"",""vi"")"),"tàu")</f>
        <v>tàu</v>
      </c>
      <c r="E1789" s="5" t="str">
        <f ca="1">IFERROR(__xludf.DUMMYFUNCTION("GOOGLETRANSLATE(C1789,""ja"",""vi"")"),"Đấu giá&gt; Thời trang&gt; Quần áo&gt; Suits&gt; Tàu")</f>
        <v>Đấu giá&gt; Thời trang&gt; Quần áo&gt; Suits&gt; Tàu</v>
      </c>
      <c r="F1789" t="str">
        <f t="shared" ca="1" si="27"/>
        <v>"2084053605" : "tàu",</v>
      </c>
    </row>
    <row r="1790" spans="1:6" ht="15.75" customHeight="1">
      <c r="A1790" s="18">
        <v>2084261437</v>
      </c>
      <c r="B1790" s="18" t="s">
        <v>10683</v>
      </c>
      <c r="C1790" s="18" t="s">
        <v>16633</v>
      </c>
      <c r="D1790" s="5" t="str">
        <f ca="1">IFERROR(__xludf.DUMMYFUNCTION("GOOGLETRANSLATE(B1790,""ja"",""vi"")"),"Takeokikuchi")</f>
        <v>Takeokikuchi</v>
      </c>
      <c r="E1790" s="5" t="str">
        <f ca="1">IFERROR(__xludf.DUMMYFUNCTION("GOOGLETRANSLATE(C1790,""ja"",""vi"")"),"Đấu giá&gt; Thời trang&gt; Quần áo nam&gt; Suits&gt; Takeokikuchi")</f>
        <v>Đấu giá&gt; Thời trang&gt; Quần áo nam&gt; Suits&gt; Takeokikuchi</v>
      </c>
      <c r="F1790" t="str">
        <f t="shared" ca="1" si="27"/>
        <v>"2084261437" : "Takeokikuchi",</v>
      </c>
    </row>
    <row r="1791" spans="1:6" ht="15.75" customHeight="1">
      <c r="A1791" s="18">
        <v>2084238146</v>
      </c>
      <c r="B1791" s="18" t="s">
        <v>10965</v>
      </c>
      <c r="C1791" s="18" t="s">
        <v>16636</v>
      </c>
      <c r="D1791" s="5" t="str">
        <f ca="1">IFERROR(__xludf.DUMMYFUNCTION("GOOGLETRANSLATE(B1791,""ja"",""vi"")"),"Tomorrowland")</f>
        <v>Tomorrowland</v>
      </c>
      <c r="E1791" s="5" t="str">
        <f ca="1">IFERROR(__xludf.DUMMYFUNCTION("GOOGLETRANSLATE(C1791,""ja"",""vi"")"),"Đấu giá&gt; Thời trang&gt; Quần áo nam&gt; Suits&gt; Tomorrowland")</f>
        <v>Đấu giá&gt; Thời trang&gt; Quần áo nam&gt; Suits&gt; Tomorrowland</v>
      </c>
      <c r="F1791" t="str">
        <f t="shared" ca="1" si="27"/>
        <v>"2084238146" : "Tomorrowland",</v>
      </c>
    </row>
    <row r="1792" spans="1:6" ht="15.75" customHeight="1">
      <c r="A1792" s="18">
        <v>2084053595</v>
      </c>
      <c r="B1792" s="18" t="s">
        <v>11111</v>
      </c>
      <c r="C1792" s="18" t="s">
        <v>16639</v>
      </c>
      <c r="D1792" s="5" t="str">
        <f ca="1">IFERROR(__xludf.DUMMYFUNCTION("GOOGLETRANSLATE(B1792,""ja"",""vi"")"),"Dolce &amp; Gabbana")</f>
        <v>Dolce &amp; Gabbana</v>
      </c>
      <c r="E1792" s="5" t="str">
        <f ca="1">IFERROR(__xludf.DUMMYFUNCTION("GOOGLETRANSLATE(C1792,""ja"",""vi"")"),"Đấu giá&gt; Thời trang&gt; Quần áo nam&gt; Suits&gt; Dolce &amp; Gabbana")</f>
        <v>Đấu giá&gt; Thời trang&gt; Quần áo nam&gt; Suits&gt; Dolce &amp; Gabbana</v>
      </c>
      <c r="F1792" t="str">
        <f t="shared" ca="1" si="27"/>
        <v>"2084053595" : "Dolce &amp; Gabbana",</v>
      </c>
    </row>
    <row r="1793" spans="1:6" ht="15.75" customHeight="1">
      <c r="A1793" s="18">
        <v>2084237989</v>
      </c>
      <c r="B1793" s="18" t="s">
        <v>11410</v>
      </c>
      <c r="C1793" s="18" t="s">
        <v>16641</v>
      </c>
      <c r="D1793" s="5" t="str">
        <f ca="1">IFERROR(__xludf.DUMMYFUNCTION("GOOGLETRANSLATE(B1793,""ja"",""vi"")"),"Barneys New York")</f>
        <v>Barneys New York</v>
      </c>
      <c r="E1793" s="5" t="str">
        <f ca="1">IFERROR(__xludf.DUMMYFUNCTION("GOOGLETRANSLATE(C1793,""ja"",""vi"")"),"Đấu giá&gt; Thời trang&gt; Quần áo nam&gt; Suits&gt; Barneys New York")</f>
        <v>Đấu giá&gt; Thời trang&gt; Quần áo nam&gt; Suits&gt; Barneys New York</v>
      </c>
      <c r="F1793" t="str">
        <f t="shared" ca="1" si="27"/>
        <v>"2084237989" : "Barneys New York",</v>
      </c>
    </row>
    <row r="1794" spans="1:6" ht="15.75" customHeight="1">
      <c r="A1794" s="18">
        <v>2084053991</v>
      </c>
      <c r="B1794" s="18" t="s">
        <v>11443</v>
      </c>
      <c r="C1794" s="18" t="s">
        <v>16645</v>
      </c>
      <c r="D1794" s="5" t="str">
        <f ca="1">IFERROR(__xludf.DUMMYFUNCTION("GOOGLETRANSLATE(B1794,""ja"",""vi"")"),"chổ lồi ở cây")</f>
        <v>chổ lồi ở cây</v>
      </c>
      <c r="E1794" s="5" t="str">
        <f ca="1">IFERROR(__xludf.DUMMYFUNCTION("GOOGLETRANSLATE(C1794,""ja"",""vi"")"),"Đấu giá&gt; Thời trang&gt; Quần áo nam&gt; Suits&gt; Burberry")</f>
        <v>Đấu giá&gt; Thời trang&gt; Quần áo nam&gt; Suits&gt; Burberry</v>
      </c>
      <c r="F1794" t="str">
        <f t="shared" ref="F1794:F1857" ca="1" si="28">CONCATENATE(CHAR(34)&amp;"",A1794,""&amp;CHAR(34)," : ", CHAR(34)&amp;"",D1794,""&amp;CHAR(34),",")</f>
        <v>"2084053991" : "chổ lồi ở cây",</v>
      </c>
    </row>
    <row r="1795" spans="1:6" ht="15.75" customHeight="1">
      <c r="A1795" s="18">
        <v>2084053601</v>
      </c>
      <c r="B1795" s="18" t="s">
        <v>11683</v>
      </c>
      <c r="C1795" s="18" t="s">
        <v>16652</v>
      </c>
      <c r="D1795" s="5" t="str">
        <f ca="1">IFERROR(__xludf.DUMMYFUNCTION("GOOGLETRANSLATE(B1795,""ja"",""vi"")"),"DẦM")</f>
        <v>DẦM</v>
      </c>
      <c r="E1795" s="5" t="str">
        <f ca="1">IFERROR(__xludf.DUMMYFUNCTION("GOOGLETRANSLATE(C1795,""ja"",""vi"")"),"Đấu giá&gt; Thời trang&gt; Quần áo nam&gt; Suits&gt; Dầm")</f>
        <v>Đấu giá&gt; Thời trang&gt; Quần áo nam&gt; Suits&gt; Dầm</v>
      </c>
      <c r="F1795" t="str">
        <f t="shared" ca="1" si="28"/>
        <v>"2084053601" : "DẦM",</v>
      </c>
    </row>
    <row r="1796" spans="1:6" ht="15.75" customHeight="1">
      <c r="A1796" s="18">
        <v>2084053599</v>
      </c>
      <c r="B1796" s="18" t="s">
        <v>11992</v>
      </c>
      <c r="C1796" s="18" t="s">
        <v>16655</v>
      </c>
      <c r="D1796" s="5" t="str">
        <f ca="1">IFERROR(__xludf.DUMMYFUNCTION("GOOGLETRANSLATE(B1796,""ja"",""vi"")"),"Brooks Brothers")</f>
        <v>Brooks Brothers</v>
      </c>
      <c r="E1796" s="5" t="str">
        <f ca="1">IFERROR(__xludf.DUMMYFUNCTION("GOOGLETRANSLATE(C1796,""ja"",""vi"")"),"Đấu giá&gt; Thời trang&gt; Quần áo nam&gt; Suits&gt; Brooks Brothers")</f>
        <v>Đấu giá&gt; Thời trang&gt; Quần áo nam&gt; Suits&gt; Brooks Brothers</v>
      </c>
      <c r="F1796" t="str">
        <f t="shared" ca="1" si="28"/>
        <v>"2084053599" : "Brooks Brothers",</v>
      </c>
    </row>
    <row r="1797" spans="1:6" ht="15.75" customHeight="1">
      <c r="A1797" s="18">
        <v>2084053590</v>
      </c>
      <c r="B1797" s="18" t="s">
        <v>16193</v>
      </c>
      <c r="C1797" s="18" t="s">
        <v>16659</v>
      </c>
      <c r="D1797" s="5" t="str">
        <f ca="1">IFERROR(__xludf.DUMMYFUNCTION("GOOGLETRANSLATE(B1797,""ja"",""vi"")"),"Paul Smith")</f>
        <v>Paul Smith</v>
      </c>
      <c r="E1797" s="5" t="str">
        <f ca="1">IFERROR(__xludf.DUMMYFUNCTION("GOOGLETRANSLATE(C1797,""ja"",""vi"")"),"Đấu giá&gt; Thời trang&gt; Quần áo nam&gt; Suits&gt; Paul Smith")</f>
        <v>Đấu giá&gt; Thời trang&gt; Quần áo nam&gt; Suits&gt; Paul Smith</v>
      </c>
      <c r="F1797" t="str">
        <f t="shared" ca="1" si="28"/>
        <v>"2084053590" : "Paul Smith",</v>
      </c>
    </row>
    <row r="1798" spans="1:6" ht="15.75" customHeight="1">
      <c r="A1798" s="18">
        <v>2084053603</v>
      </c>
      <c r="B1798" s="18" t="s">
        <v>12644</v>
      </c>
      <c r="C1798" s="18" t="s">
        <v>16663</v>
      </c>
      <c r="D1798" s="5" t="str">
        <f ca="1">IFERROR(__xludf.DUMMYFUNCTION("GOOGLETRANSLATE(B1798,""ja"",""vi"")"),"LIÊN HIỆP mũi tên")</f>
        <v>LIÊN HIỆP mũi tên</v>
      </c>
      <c r="E1798" s="5" t="str">
        <f ca="1">IFERROR(__xludf.DUMMYFUNCTION("GOOGLETRANSLATE(C1798,""ja"",""vi"")"),"Đấu giá&gt; Thời trang&gt; Quần áo nam&gt; Suits&gt; Vương mũi tên")</f>
        <v>Đấu giá&gt; Thời trang&gt; Quần áo nam&gt; Suits&gt; Vương mũi tên</v>
      </c>
      <c r="F1798" t="str">
        <f t="shared" ca="1" si="28"/>
        <v>"2084053603" : "LIÊN HIỆP mũi tên",</v>
      </c>
    </row>
    <row r="1799" spans="1:6" ht="15.75" customHeight="1">
      <c r="A1799" s="18">
        <v>2084261139</v>
      </c>
      <c r="B1799" s="18" t="s">
        <v>12804</v>
      </c>
      <c r="C1799" s="18" t="s">
        <v>16665</v>
      </c>
      <c r="D1799" s="5" t="str">
        <f ca="1">IFERROR(__xludf.DUMMYFUNCTION("GOOGLETRANSLATE(B1799,""ja"",""vi"")"),"Lancel")</f>
        <v>Lancel</v>
      </c>
      <c r="E1799" s="5" t="str">
        <f ca="1">IFERROR(__xludf.DUMMYFUNCTION("GOOGLETRANSLATE(C1799,""ja"",""vi"")"),"Đấu giá&gt; Thời trang&gt; Quần áo nam&gt; Suits&gt; Lancel")</f>
        <v>Đấu giá&gt; Thời trang&gt; Quần áo nam&gt; Suits&gt; Lancel</v>
      </c>
      <c r="F1799" t="str">
        <f t="shared" ca="1" si="28"/>
        <v>"2084261139" : "Lancel",</v>
      </c>
    </row>
    <row r="1800" spans="1:6" ht="15.75" customHeight="1">
      <c r="A1800" s="18">
        <v>2084042532</v>
      </c>
      <c r="B1800" s="18" t="s">
        <v>16667</v>
      </c>
      <c r="C1800" s="18" t="s">
        <v>16668</v>
      </c>
      <c r="D1800" s="5" t="str">
        <f ca="1">IFERROR(__xludf.DUMMYFUNCTION("GOOGLETRANSLATE(B1800,""ja"",""vi"")"),"kính")</f>
        <v>kính</v>
      </c>
      <c r="E1800" s="5" t="str">
        <f ca="1">IFERROR(__xludf.DUMMYFUNCTION("GOOGLETRANSLATE(C1800,""ja"",""vi"")"),"Đấu giá&gt; Thời trang&gt; Quần áo&gt; Phụ kiện thời trang&gt; Kính")</f>
        <v>Đấu giá&gt; Thời trang&gt; Quần áo&gt; Phụ kiện thời trang&gt; Kính</v>
      </c>
      <c r="F1800" t="str">
        <f t="shared" ca="1" si="28"/>
        <v>"2084042532" : "kính",</v>
      </c>
    </row>
    <row r="1801" spans="1:6" ht="15.75" customHeight="1">
      <c r="A1801" s="18">
        <v>2084012476</v>
      </c>
      <c r="B1801" s="18" t="s">
        <v>16672</v>
      </c>
      <c r="C1801" s="18" t="s">
        <v>16674</v>
      </c>
      <c r="D1801" s="5" t="str">
        <f ca="1">IFERROR(__xludf.DUMMYFUNCTION("GOOGLETRANSLATE(B1801,""ja"",""vi"")"),"trường hợp chủ chốt")</f>
        <v>trường hợp chủ chốt</v>
      </c>
      <c r="E1801" s="5" t="str">
        <f ca="1">IFERROR(__xludf.DUMMYFUNCTION("GOOGLETRANSLATE(C1801,""ja"",""vi"")"),"Đấu giá&gt; Thời trang&gt; Quần áo&gt; Phụ kiện thời trang&gt; trường hợp chủ chốt")</f>
        <v>Đấu giá&gt; Thời trang&gt; Quần áo&gt; Phụ kiện thời trang&gt; trường hợp chủ chốt</v>
      </c>
      <c r="F1801" t="str">
        <f t="shared" ca="1" si="28"/>
        <v>"2084012476" : "trường hợp chủ chốt",</v>
      </c>
    </row>
    <row r="1802" spans="1:6" ht="15.75" customHeight="1">
      <c r="A1802" s="18">
        <v>2084012472</v>
      </c>
      <c r="B1802" s="18" t="s">
        <v>15169</v>
      </c>
      <c r="C1802" s="18" t="s">
        <v>16675</v>
      </c>
      <c r="D1802" s="5" t="str">
        <f ca="1">IFERROR(__xludf.DUMMYFUNCTION("GOOGLETRANSLATE(B1802,""ja"",""vi"")"),"đường bị gián đoạn")</f>
        <v>đường bị gián đoạn</v>
      </c>
      <c r="E1802" s="5" t="str">
        <f ca="1">IFERROR(__xludf.DUMMYFUNCTION("GOOGLETRANSLATE(C1802,""ja"",""vi"")"),"Đấu giá&gt; Thời trang&gt; Quần áo&gt; Phụ kiện thời trang&gt; treo")</f>
        <v>Đấu giá&gt; Thời trang&gt; Quần áo&gt; Phụ kiện thời trang&gt; treo</v>
      </c>
      <c r="F1802" t="str">
        <f t="shared" ca="1" si="28"/>
        <v>"2084012472" : "đường bị gián đoạn",</v>
      </c>
    </row>
    <row r="1803" spans="1:6" ht="15.75" customHeight="1">
      <c r="A1803" s="18">
        <v>42542</v>
      </c>
      <c r="B1803" s="18" t="s">
        <v>9314</v>
      </c>
      <c r="C1803" s="18" t="s">
        <v>16680</v>
      </c>
      <c r="D1803" s="5" t="str">
        <f ca="1">IFERROR(__xludf.DUMMYFUNCTION("GOOGLETRANSLATE(B1803,""ja"",""vi"")"),"kính mát")</f>
        <v>kính mát</v>
      </c>
      <c r="E1803" s="5" t="str">
        <f ca="1">IFERROR(__xludf.DUMMYFUNCTION("GOOGLETRANSLATE(C1803,""ja"",""vi"")"),"Đấu giá&gt; Thời trang&gt; Quần áo&gt; Phụ kiện thời trang&gt; Sunglasses")</f>
        <v>Đấu giá&gt; Thời trang&gt; Quần áo&gt; Phụ kiện thời trang&gt; Sunglasses</v>
      </c>
      <c r="F1803" t="str">
        <f t="shared" ca="1" si="28"/>
        <v>"42542" : "kính mát",</v>
      </c>
    </row>
    <row r="1804" spans="1:6" ht="15.75" customHeight="1">
      <c r="A1804" s="18">
        <v>2084006473</v>
      </c>
      <c r="B1804" s="18" t="s">
        <v>15178</v>
      </c>
      <c r="C1804" s="18" t="s">
        <v>16681</v>
      </c>
      <c r="D1804" s="5" t="str">
        <f ca="1">IFERROR(__xludf.DUMMYFUNCTION("GOOGLETRANSLATE(B1804,""ja"",""vi"")"),"Khăn quàng cổ, túi chiếc khăn tay")</f>
        <v>Khăn quàng cổ, túi chiếc khăn tay</v>
      </c>
      <c r="E1804" s="5" t="str">
        <f ca="1">IFERROR(__xludf.DUMMYFUNCTION("GOOGLETRANSLATE(C1804,""ja"",""vi"")"),"Đấu giá&gt; Thời trang&gt; Quần áo&gt; Phụ kiện thời trang&gt; Khăn choàng, túi chiếc khăn tay")</f>
        <v>Đấu giá&gt; Thời trang&gt; Quần áo&gt; Phụ kiện thời trang&gt; Khăn choàng, túi chiếc khăn tay</v>
      </c>
      <c r="F1804" t="str">
        <f t="shared" ca="1" si="28"/>
        <v>"2084006473" : "Khăn quàng cổ, túi chiếc khăn tay",</v>
      </c>
    </row>
    <row r="1805" spans="1:6" ht="15.75" customHeight="1">
      <c r="A1805" s="18">
        <v>2084005273</v>
      </c>
      <c r="B1805" s="18" t="s">
        <v>16686</v>
      </c>
      <c r="C1805" s="18" t="s">
        <v>16688</v>
      </c>
      <c r="D1805" s="5" t="str">
        <f ca="1">IFERROR(__xludf.DUMMYFUNCTION("GOOGLETRANSLATE(B1805,""ja"",""vi"")"),"tie")</f>
        <v>tie</v>
      </c>
      <c r="E1805" s="5" t="str">
        <f ca="1">IFERROR(__xludf.DUMMYFUNCTION("GOOGLETRANSLATE(C1805,""ja"",""vi"")"),"Đấu giá&gt; Thời trang&gt; Quần áo&gt; Phụ kiện thời trang&gt; Ties")</f>
        <v>Đấu giá&gt; Thời trang&gt; Quần áo&gt; Phụ kiện thời trang&gt; Ties</v>
      </c>
      <c r="F1805" t="str">
        <f t="shared" ca="1" si="28"/>
        <v>"2084005273" : "tie",</v>
      </c>
    </row>
    <row r="1806" spans="1:6" ht="15.75" customHeight="1">
      <c r="A1806" s="18">
        <v>2084006470</v>
      </c>
      <c r="B1806" s="18" t="s">
        <v>16689</v>
      </c>
      <c r="C1806" s="18" t="s">
        <v>16691</v>
      </c>
      <c r="D1806" s="5" t="str">
        <f ca="1">IFERROR(__xludf.DUMMYFUNCTION("GOOGLETRANSLATE(B1806,""ja"",""vi"")"),"khăn tay")</f>
        <v>khăn tay</v>
      </c>
      <c r="E1806" s="5" t="str">
        <f ca="1">IFERROR(__xludf.DUMMYFUNCTION("GOOGLETRANSLATE(C1806,""ja"",""vi"")"),"Đấu giá&gt; Thời trang&gt; Quần áo&gt; Phụ kiện thời trang&gt; khăn tay")</f>
        <v>Đấu giá&gt; Thời trang&gt; Quần áo&gt; Phụ kiện thời trang&gt; khăn tay</v>
      </c>
      <c r="F1806" t="str">
        <f t="shared" ca="1" si="28"/>
        <v>"2084006470" : "khăn tay",</v>
      </c>
    </row>
    <row r="1807" spans="1:6" ht="15.75" customHeight="1">
      <c r="A1807" s="18">
        <v>2084012474</v>
      </c>
      <c r="B1807" s="18" t="s">
        <v>15191</v>
      </c>
      <c r="C1807" s="18" t="s">
        <v>16696</v>
      </c>
      <c r="D1807" s="5" t="str">
        <f ca="1">IFERROR(__xludf.DUMMYFUNCTION("GOOGLETRANSLATE(B1807,""ja"",""vi"")"),"khăn rằn")</f>
        <v>khăn rằn</v>
      </c>
      <c r="E1807" s="5" t="str">
        <f ca="1">IFERROR(__xludf.DUMMYFUNCTION("GOOGLETRANSLATE(C1807,""ja"",""vi"")"),"Đấu giá&gt; Thời trang&gt; Quần áo&gt; Phụ kiện thời trang&gt; bandana")</f>
        <v>Đấu giá&gt; Thời trang&gt; Quần áo&gt; Phụ kiện thời trang&gt; bandana</v>
      </c>
      <c r="F1807" t="str">
        <f t="shared" ca="1" si="28"/>
        <v>"2084012474" : "khăn rằn",</v>
      </c>
    </row>
    <row r="1808" spans="1:6" ht="15.75" customHeight="1">
      <c r="A1808" s="18">
        <v>2084005271</v>
      </c>
      <c r="B1808" s="18" t="s">
        <v>15199</v>
      </c>
      <c r="C1808" s="18" t="s">
        <v>16701</v>
      </c>
      <c r="D1808" s="5" t="str">
        <f ca="1">IFERROR(__xludf.DUMMYFUNCTION("GOOGLETRANSLATE(B1808,""ja"",""vi"")"),"dây lưng")</f>
        <v>dây lưng</v>
      </c>
      <c r="E1808" s="5" t="str">
        <f ca="1">IFERROR(__xludf.DUMMYFUNCTION("GOOGLETRANSLATE(C1808,""ja"",""vi"")"),"Đấu giá&gt; Thời trang&gt; Quần áo&gt; Phụ kiện thời trang&gt; Thắt lưng")</f>
        <v>Đấu giá&gt; Thời trang&gt; Quần áo&gt; Phụ kiện thời trang&gt; Thắt lưng</v>
      </c>
      <c r="F1808" t="str">
        <f t="shared" ca="1" si="28"/>
        <v>"2084005271" : "dây lưng",</v>
      </c>
    </row>
    <row r="1809" spans="1:6" ht="15.75" customHeight="1">
      <c r="A1809" s="18">
        <v>2084006472</v>
      </c>
      <c r="B1809" s="18" t="s">
        <v>14210</v>
      </c>
      <c r="C1809" s="18" t="s">
        <v>16705</v>
      </c>
      <c r="D1809" s="5" t="str">
        <f ca="1">IFERROR(__xludf.DUMMYFUNCTION("GOOGLETRANSLATE(B1809,""ja"",""vi"")"),"khăn choàng cổ")</f>
        <v>khăn choàng cổ</v>
      </c>
      <c r="E1809" s="5" t="str">
        <f ca="1">IFERROR(__xludf.DUMMYFUNCTION("GOOGLETRANSLATE(C1809,""ja"",""vi"")"),"Đấu giá&gt; Thời trang&gt; Quần áo&gt; Phụ kiện thời trang&gt; muffler")</f>
        <v>Đấu giá&gt; Thời trang&gt; Quần áo&gt; Phụ kiện thời trang&gt; muffler</v>
      </c>
      <c r="F1809" t="str">
        <f t="shared" ca="1" si="28"/>
        <v>"2084006472" : "khăn choàng cổ",</v>
      </c>
    </row>
    <row r="1810" spans="1:6" ht="15.75" customHeight="1">
      <c r="A1810" s="18">
        <v>2084006468</v>
      </c>
      <c r="B1810" s="18" t="s">
        <v>15207</v>
      </c>
      <c r="C1810" s="18" t="s">
        <v>16711</v>
      </c>
      <c r="D1810" s="5" t="str">
        <f ca="1">IFERROR(__xludf.DUMMYFUNCTION("GOOGLETRANSLATE(B1810,""ja"",""vi"")"),"ô")</f>
        <v>ô</v>
      </c>
      <c r="E1810" s="5" t="str">
        <f ca="1">IFERROR(__xludf.DUMMYFUNCTION("GOOGLETRANSLATE(C1810,""ja"",""vi"")"),"Đấu giá&gt; Thời trang&gt; Quần áo&gt; Phụ kiện thời trang&gt; ô")</f>
        <v>Đấu giá&gt; Thời trang&gt; Quần áo&gt; Phụ kiện thời trang&gt; ô</v>
      </c>
      <c r="F1810" t="str">
        <f t="shared" ca="1" si="28"/>
        <v>"2084006468" : "ô",</v>
      </c>
    </row>
    <row r="1811" spans="1:6" ht="15.75" customHeight="1">
      <c r="A1811" s="18">
        <v>42191</v>
      </c>
      <c r="B1811" s="18" t="s">
        <v>15099</v>
      </c>
      <c r="C1811" s="18" t="s">
        <v>16713</v>
      </c>
      <c r="D1811" s="5" t="str">
        <f ca="1">IFERROR(__xludf.DUMMYFUNCTION("GOOGLETRANSLATE(B1811,""ja"",""vi"")"),"bít tất")</f>
        <v>bít tất</v>
      </c>
      <c r="E1811" s="5" t="str">
        <f ca="1">IFERROR(__xludf.DUMMYFUNCTION("GOOGLETRANSLATE(C1811,""ja"",""vi"")"),"Đấu giá&gt; Thời trang&gt; Quần áo&gt; Phụ kiện thời trang&gt; vớ")</f>
        <v>Đấu giá&gt; Thời trang&gt; Quần áo&gt; Phụ kiện thời trang&gt; vớ</v>
      </c>
      <c r="F1811" t="str">
        <f t="shared" ca="1" si="28"/>
        <v>"42191" : "bít tất",</v>
      </c>
    </row>
    <row r="1812" spans="1:6" ht="15.75" customHeight="1">
      <c r="A1812" s="18">
        <v>2084005274</v>
      </c>
      <c r="B1812" s="18" t="s">
        <v>15218</v>
      </c>
      <c r="C1812" s="18" t="s">
        <v>16721</v>
      </c>
      <c r="D1812" s="5" t="str">
        <f ca="1">IFERROR(__xludf.DUMMYFUNCTION("GOOGLETRANSLATE(B1812,""ja"",""vi"")"),"ví")</f>
        <v>ví</v>
      </c>
      <c r="E1812" s="5" t="str">
        <f ca="1">IFERROR(__xludf.DUMMYFUNCTION("GOOGLETRANSLATE(C1812,""ja"",""vi"")"),"Đấu giá&gt; Thời trang&gt; Quần áo&gt; Phụ kiện thời trang&gt; ví")</f>
        <v>Đấu giá&gt; Thời trang&gt; Quần áo&gt; Phụ kiện thời trang&gt; ví</v>
      </c>
      <c r="F1812" t="str">
        <f t="shared" ca="1" si="28"/>
        <v>"2084005274" : "ví",</v>
      </c>
    </row>
    <row r="1813" spans="1:6" ht="15.75" customHeight="1">
      <c r="A1813" s="18">
        <v>2084006469</v>
      </c>
      <c r="B1813" s="18" t="s">
        <v>15223</v>
      </c>
      <c r="C1813" s="18" t="s">
        <v>16726</v>
      </c>
      <c r="D1813" s="5" t="str">
        <f ca="1">IFERROR(__xludf.DUMMYFUNCTION("GOOGLETRANSLATE(B1813,""ja"",""vi"")"),"găng tay")</f>
        <v>găng tay</v>
      </c>
      <c r="E1813" s="5" t="str">
        <f ca="1">IFERROR(__xludf.DUMMYFUNCTION("GOOGLETRANSLATE(C1813,""ja"",""vi"")"),"Đấu giá&gt; Thời trang&gt; Quần áo&gt; Phụ kiện thời trang&gt; Găng tay")</f>
        <v>Đấu giá&gt; Thời trang&gt; Quần áo&gt; Phụ kiện thời trang&gt; Găng tay</v>
      </c>
      <c r="F1813" t="str">
        <f t="shared" ca="1" si="28"/>
        <v>"2084006469" : "găng tay",</v>
      </c>
    </row>
    <row r="1814" spans="1:6" ht="15.75" customHeight="1">
      <c r="A1814" s="18">
        <v>2084012475</v>
      </c>
      <c r="B1814" s="18" t="s">
        <v>15234</v>
      </c>
      <c r="C1814" s="18" t="s">
        <v>16733</v>
      </c>
      <c r="D1814" s="5" t="str">
        <f ca="1">IFERROR(__xludf.DUMMYFUNCTION("GOOGLETRANSLATE(B1814,""ja"",""vi"")"),"giữ đèo")</f>
        <v>giữ đèo</v>
      </c>
      <c r="E1814" s="5" t="str">
        <f ca="1">IFERROR(__xludf.DUMMYFUNCTION("GOOGLETRANSLATE(C1814,""ja"",""vi"")"),"Đấu giá&gt; Thời trang&gt; Quần áo&gt; Phụ kiện thời trang&gt; giữ qua")</f>
        <v>Đấu giá&gt; Thời trang&gt; Quần áo&gt; Phụ kiện thời trang&gt; giữ qua</v>
      </c>
      <c r="F1814" t="str">
        <f t="shared" ca="1" si="28"/>
        <v>"2084012475" : "giữ đèo",</v>
      </c>
    </row>
    <row r="1815" spans="1:6" ht="15.75" customHeight="1">
      <c r="A1815" s="18">
        <v>2084006471</v>
      </c>
      <c r="B1815" s="18" t="s">
        <v>7449</v>
      </c>
      <c r="C1815" s="18" t="s">
        <v>16739</v>
      </c>
      <c r="D1815" s="5" t="str">
        <f ca="1">IFERROR(__xludf.DUMMYFUNCTION("GOOGLETRANSLATE(B1815,""ja"",""vi"")"),"mũ")</f>
        <v>mũ</v>
      </c>
      <c r="E1815" s="5" t="str">
        <f ca="1">IFERROR(__xludf.DUMMYFUNCTION("GOOGLETRANSLATE(C1815,""ja"",""vi"")"),"Đấu giá&gt; Thời trang&gt; Quần áo&gt; Phụ kiện thời trang&gt; Mũ")</f>
        <v>Đấu giá&gt; Thời trang&gt; Quần áo&gt; Phụ kiện thời trang&gt; Mũ</v>
      </c>
      <c r="F1815" t="str">
        <f t="shared" ca="1" si="28"/>
        <v>"2084006471" : "mũ",</v>
      </c>
    </row>
    <row r="1816" spans="1:6" ht="15.75" customHeight="1">
      <c r="A1816" s="18">
        <v>2084006759</v>
      </c>
      <c r="B1816" s="18" t="s">
        <v>13537</v>
      </c>
      <c r="C1816" s="18" t="s">
        <v>16742</v>
      </c>
      <c r="D1816" s="5" t="str">
        <f ca="1">IFERROR(__xludf.DUMMYFUNCTION("GOOGLETRANSLATE(B1816,""ja"",""vi"")"),"áo lót")</f>
        <v>áo lót</v>
      </c>
      <c r="E1816" s="5" t="str">
        <f ca="1">IFERROR(__xludf.DUMMYFUNCTION("GOOGLETRANSLATE(C1816,""ja"",""vi"")"),"Đấu giá&gt; Thời trang&gt; thời trang nam&gt; mặc bên trong&gt; áo lót")</f>
        <v>Đấu giá&gt; Thời trang&gt; thời trang nam&gt; mặc bên trong&gt; áo lót</v>
      </c>
      <c r="F1816" t="str">
        <f t="shared" ca="1" si="28"/>
        <v>"2084006759" : "áo lót",</v>
      </c>
    </row>
    <row r="1817" spans="1:6" ht="15.75" customHeight="1">
      <c r="A1817" s="18">
        <v>2084053069</v>
      </c>
      <c r="B1817" s="18" t="s">
        <v>16744</v>
      </c>
      <c r="C1817" s="18" t="s">
        <v>16746</v>
      </c>
      <c r="D1817" s="5" t="str">
        <f ca="1">IFERROR(__xludf.DUMMYFUNCTION("GOOGLETRANSLATE(B1817,""ja"",""vi"")"),"quần chữ nhật")</f>
        <v>quần chữ nhật</v>
      </c>
      <c r="E1817" s="5" t="str">
        <f ca="1">IFERROR(__xludf.DUMMYFUNCTION("GOOGLETRANSLATE(C1817,""ja"",""vi"")"),"Đấu giá&gt; Thời trang&gt; nam thời trang&gt; mặc bên trong&gt; quần chữ nhật")</f>
        <v>Đấu giá&gt; Thời trang&gt; nam thời trang&gt; mặc bên trong&gt; quần chữ nhật</v>
      </c>
      <c r="F1817" t="str">
        <f t="shared" ca="1" si="28"/>
        <v>"2084053069" : "quần chữ nhật",</v>
      </c>
    </row>
    <row r="1818" spans="1:6" ht="15.75" customHeight="1">
      <c r="A1818" s="18">
        <v>2084053075</v>
      </c>
      <c r="B1818" s="18" t="s">
        <v>16748</v>
      </c>
      <c r="C1818" s="18" t="s">
        <v>16749</v>
      </c>
      <c r="D1818" s="5" t="str">
        <f ca="1">IFERROR(__xludf.DUMMYFUNCTION("GOOGLETRANSLATE(B1818,""ja"",""vi"")"),"Trunks")</f>
        <v>Trunks</v>
      </c>
      <c r="E1818" s="5" t="str">
        <f ca="1">IFERROR(__xludf.DUMMYFUNCTION("GOOGLETRANSLATE(C1818,""ja"",""vi"")"),"Đấu giá&gt; Thời trang&gt; nam thời trang&gt; mặc bên trong&gt; Trunks")</f>
        <v>Đấu giá&gt; Thời trang&gt; nam thời trang&gt; mặc bên trong&gt; Trunks</v>
      </c>
      <c r="F1818" t="str">
        <f t="shared" ca="1" si="28"/>
        <v>"2084053075" : "Trunks",</v>
      </c>
    </row>
    <row r="1819" spans="1:6" ht="15.75" customHeight="1">
      <c r="A1819" s="18">
        <v>2084053063</v>
      </c>
      <c r="B1819" s="18" t="s">
        <v>16751</v>
      </c>
      <c r="C1819" s="18" t="s">
        <v>16752</v>
      </c>
      <c r="D1819" s="5" t="str">
        <f ca="1">IFERROR(__xludf.DUMMYFUNCTION("GOOGLETRANSLATE(B1819,""ja"",""vi"")"),"Bikini, quần sịp")</f>
        <v>Bikini, quần sịp</v>
      </c>
      <c r="E1819" s="5" t="str">
        <f ca="1">IFERROR(__xludf.DUMMYFUNCTION("GOOGLETRANSLATE(C1819,""ja"",""vi"")"),"Đấu giá&gt; Thời trang&gt; nam thời trang&gt; mặc bên trong&gt; mặc bikini, quần sịp")</f>
        <v>Đấu giá&gt; Thời trang&gt; nam thời trang&gt; mặc bên trong&gt; mặc bikini, quần sịp</v>
      </c>
      <c r="F1819" t="str">
        <f t="shared" ca="1" si="28"/>
        <v>"2084053063" : "Bikini, quần sịp",</v>
      </c>
    </row>
    <row r="1820" spans="1:6" ht="15.75" customHeight="1">
      <c r="A1820" s="18">
        <v>2084246662</v>
      </c>
      <c r="B1820" s="18" t="s">
        <v>15078</v>
      </c>
      <c r="C1820" s="18" t="s">
        <v>16755</v>
      </c>
      <c r="D1820" s="5" t="str">
        <f ca="1">IFERROR(__xludf.DUMMYFUNCTION("GOOGLETRANSLATE(B1820,""ja"",""vi"")"),"môn thể thao")</f>
        <v>môn thể thao</v>
      </c>
      <c r="E1820" s="5" t="str">
        <f ca="1">IFERROR(__xludf.DUMMYFUNCTION("GOOGLETRANSLATE(C1820,""ja"",""vi"")"),"Đấu giá&gt; Thời trang&gt; thời trang nam&gt; mặc bên trong&gt; cho thể thao")</f>
        <v>Đấu giá&gt; Thời trang&gt; thời trang nam&gt; mặc bên trong&gt; cho thể thao</v>
      </c>
      <c r="F1820" t="str">
        <f t="shared" ca="1" si="28"/>
        <v>"2084246662" : "môn thể thao",</v>
      </c>
    </row>
    <row r="1821" spans="1:6" ht="15.75" customHeight="1">
      <c r="A1821" s="18">
        <v>2084061633</v>
      </c>
      <c r="B1821" s="18" t="s">
        <v>16757</v>
      </c>
      <c r="C1821" s="18" t="s">
        <v>16758</v>
      </c>
      <c r="D1821" s="5" t="str">
        <f ca="1">IFERROR(__xludf.DUMMYFUNCTION("GOOGLETRANSLATE(B1821,""ja"",""vi"")"),"khố")</f>
        <v>khố</v>
      </c>
      <c r="E1821" s="5" t="str">
        <f ca="1">IFERROR(__xludf.DUMMYFUNCTION("GOOGLETRANSLATE(C1821,""ja"",""vi"")"),"Đấu giá&gt; Thời trang&gt; thời trang nam&gt; mặc bên trong&gt; khố")</f>
        <v>Đấu giá&gt; Thời trang&gt; thời trang nam&gt; mặc bên trong&gt; khố</v>
      </c>
      <c r="F1821" t="str">
        <f t="shared" ca="1" si="28"/>
        <v>"2084061633" : "khố",</v>
      </c>
    </row>
    <row r="1822" spans="1:6" ht="15.75" customHeight="1">
      <c r="A1822" s="18">
        <v>2084245567</v>
      </c>
      <c r="B1822" s="18" t="s">
        <v>15091</v>
      </c>
      <c r="C1822" s="18" t="s">
        <v>16761</v>
      </c>
      <c r="D1822" s="5" t="str">
        <f ca="1">IFERROR(__xludf.DUMMYFUNCTION("GOOGLETRANSLATE(B1822,""ja"",""vi"")"),"vớ")</f>
        <v>vớ</v>
      </c>
      <c r="E1822" s="5" t="str">
        <f ca="1">IFERROR(__xludf.DUMMYFUNCTION("GOOGLETRANSLATE(C1822,""ja"",""vi"")"),"Đấu giá&gt; Thời trang&gt; nam thời trang&gt; mặc bên trong&gt; quần bó")</f>
        <v>Đấu giá&gt; Thời trang&gt; nam thời trang&gt; mặc bên trong&gt; quần bó</v>
      </c>
      <c r="F1822" t="str">
        <f t="shared" ca="1" si="28"/>
        <v>"2084245567" : "vớ",</v>
      </c>
    </row>
    <row r="1823" spans="1:6" ht="15.75" customHeight="1">
      <c r="A1823" s="18">
        <v>2084006762</v>
      </c>
      <c r="B1823" s="18" t="s">
        <v>13968</v>
      </c>
      <c r="C1823" s="18" t="s">
        <v>16764</v>
      </c>
      <c r="D1823" s="5" t="str">
        <f ca="1">IFERROR(__xludf.DUMMYFUNCTION("GOOGLETRANSLATE(B1823,""ja"",""vi"")"),"áo ngủ")</f>
        <v>áo ngủ</v>
      </c>
      <c r="E1823" s="5" t="str">
        <f ca="1">IFERROR(__xludf.DUMMYFUNCTION("GOOGLETRANSLATE(C1823,""ja"",""vi"")"),"Đấu giá&gt; Thời trang&gt; nam thời trang&gt; mặc bên trong&gt; Pyjama")</f>
        <v>Đấu giá&gt; Thời trang&gt; nam thời trang&gt; mặc bên trong&gt; Pyjama</v>
      </c>
      <c r="F1823" t="str">
        <f t="shared" ca="1" si="28"/>
        <v>"2084006762" : "áo ngủ",</v>
      </c>
    </row>
    <row r="1824" spans="1:6" ht="15.75" customHeight="1">
      <c r="A1824" s="18">
        <v>42191</v>
      </c>
      <c r="B1824" s="18" t="s">
        <v>15099</v>
      </c>
      <c r="C1824" s="18" t="s">
        <v>16766</v>
      </c>
      <c r="D1824" s="5" t="str">
        <f ca="1">IFERROR(__xludf.DUMMYFUNCTION("GOOGLETRANSLATE(B1824,""ja"",""vi"")"),"bít tất")</f>
        <v>bít tất</v>
      </c>
      <c r="E1824" s="5" t="str">
        <f ca="1">IFERROR(__xludf.DUMMYFUNCTION("GOOGLETRANSLATE(C1824,""ja"",""vi"")"),"Đấu giá&gt; Thời trang&gt; nam thời trang&gt; mặc bên trong&gt; vớ")</f>
        <v>Đấu giá&gt; Thời trang&gt; nam thời trang&gt; mặc bên trong&gt; vớ</v>
      </c>
      <c r="F1824" t="str">
        <f t="shared" ca="1" si="28"/>
        <v>"42191" : "bít tất",</v>
      </c>
    </row>
    <row r="1825" spans="1:6" ht="15.75" customHeight="1">
      <c r="A1825" s="18">
        <v>2084246749</v>
      </c>
      <c r="B1825" s="18" t="s">
        <v>46</v>
      </c>
      <c r="C1825" s="18" t="s">
        <v>16769</v>
      </c>
      <c r="D1825" s="5" t="str">
        <f ca="1">IFERROR(__xludf.DUMMYFUNCTION("GOOGLETRANSLATE(B1825,""ja"",""vi"")"),"nếu không thì")</f>
        <v>nếu không thì</v>
      </c>
      <c r="E1825" s="5" t="str">
        <f ca="1">IFERROR(__xludf.DUMMYFUNCTION("GOOGLETRANSLATE(C1825,""ja"",""vi"")"),"Đấu giá&gt; Thời trang&gt; nam thời trang&gt; mặc nội&gt; Khác")</f>
        <v>Đấu giá&gt; Thời trang&gt; nam thời trang&gt; mặc nội&gt; Khác</v>
      </c>
      <c r="F1825" t="str">
        <f t="shared" ca="1" si="28"/>
        <v>"2084246749" : "nếu không thì",</v>
      </c>
    </row>
    <row r="1826" spans="1:6" ht="15.75" customHeight="1">
      <c r="A1826" s="18">
        <v>2084005922</v>
      </c>
      <c r="B1826" s="18" t="s">
        <v>16612</v>
      </c>
      <c r="C1826" s="18" t="s">
        <v>16771</v>
      </c>
      <c r="D1826" s="5" t="str">
        <f ca="1">IFERROR(__xludf.DUMMYFUNCTION("GOOGLETRANSLATE(B1826,""ja"",""vi"")"),"Suit đen")</f>
        <v>Suit đen</v>
      </c>
      <c r="E1826" s="5" t="str">
        <f ca="1">IFERROR(__xludf.DUMMYFUNCTION("GOOGLETRANSLATE(C1826,""ja"",""vi"")"),"Đấu giá&gt; Thời trang&gt; Quần áo nam&gt; chính&gt; Suit Đen")</f>
        <v>Đấu giá&gt; Thời trang&gt; Quần áo nam&gt; chính&gt; Suit Đen</v>
      </c>
      <c r="F1826" t="str">
        <f t="shared" ca="1" si="28"/>
        <v>"2084005922" : "Suit đen",</v>
      </c>
    </row>
    <row r="1827" spans="1:6" ht="15.75" customHeight="1">
      <c r="A1827" s="18">
        <v>2084005921</v>
      </c>
      <c r="B1827" s="18" t="s">
        <v>16773</v>
      </c>
      <c r="C1827" s="18" t="s">
        <v>16774</v>
      </c>
      <c r="D1827" s="5" t="str">
        <f ca="1">IFERROR(__xludf.DUMMYFUNCTION("GOOGLETRANSLATE(B1827,""ja"",""vi"")"),"Tailcoat, tuxedo")</f>
        <v>Tailcoat, tuxedo</v>
      </c>
      <c r="E1827" s="5" t="str">
        <f ca="1">IFERROR(__xludf.DUMMYFUNCTION("GOOGLETRANSLATE(C1827,""ja"",""vi"")"),"Đấu giá&gt; Thời trang&gt; Quần áo nam&gt; chính&gt; tailcoat, tuxedo")</f>
        <v>Đấu giá&gt; Thời trang&gt; Quần áo nam&gt; chính&gt; tailcoat, tuxedo</v>
      </c>
      <c r="F1827" t="str">
        <f t="shared" ca="1" si="28"/>
        <v>"2084005921" : "Tailcoat, tuxedo",</v>
      </c>
    </row>
    <row r="1828" spans="1:6" ht="15.75" customHeight="1">
      <c r="A1828" s="18">
        <v>2084005479</v>
      </c>
      <c r="B1828" s="18" t="s">
        <v>14997</v>
      </c>
      <c r="C1828" s="18" t="s">
        <v>16782</v>
      </c>
      <c r="D1828" s="5" t="str">
        <f ca="1">IFERROR(__xludf.DUMMYFUNCTION("GOOGLETRANSLATE(B1828,""ja"",""vi"")"),"quần áo Nhật Bản")</f>
        <v>quần áo Nhật Bản</v>
      </c>
      <c r="E1828" s="5" t="str">
        <f ca="1">IFERROR(__xludf.DUMMYFUNCTION("GOOGLETRANSLATE(C1828,""ja"",""vi"")"),"Đấu giá&gt; Thời trang&gt; Quần áo&gt; chính&gt; kimono")</f>
        <v>Đấu giá&gt; Thời trang&gt; Quần áo&gt; chính&gt; kimono</v>
      </c>
      <c r="F1828" t="str">
        <f t="shared" ca="1" si="28"/>
        <v>"2084005479" : "quần áo Nhật Bản",</v>
      </c>
    </row>
    <row r="1829" spans="1:6" ht="15.75" customHeight="1">
      <c r="A1829" s="18">
        <v>2084061234</v>
      </c>
      <c r="B1829" s="18" t="s">
        <v>15017</v>
      </c>
      <c r="C1829" s="18" t="s">
        <v>16790</v>
      </c>
      <c r="D1829" s="5" t="str">
        <f ca="1">IFERROR(__xludf.DUMMYFUNCTION("GOOGLETRANSLATE(B1829,""ja"",""vi"")"),"tràng hạt")</f>
        <v>tràng hạt</v>
      </c>
      <c r="E1829" s="5" t="str">
        <f ca="1">IFERROR(__xludf.DUMMYFUNCTION("GOOGLETRANSLATE(C1829,""ja"",""vi"")"),"Đấu giá&gt; Thời trang&gt; Quần áo&gt; chính&gt; Mân Côi")</f>
        <v>Đấu giá&gt; Thời trang&gt; Quần áo&gt; chính&gt; Mân Côi</v>
      </c>
      <c r="F1829" t="str">
        <f t="shared" ca="1" si="28"/>
        <v>"2084061234" : "tràng hạt",</v>
      </c>
    </row>
    <row r="1830" spans="1:6" ht="15.75" customHeight="1">
      <c r="A1830" s="18">
        <v>2084005923</v>
      </c>
      <c r="B1830" s="18" t="s">
        <v>46</v>
      </c>
      <c r="C1830" s="18" t="s">
        <v>16795</v>
      </c>
      <c r="D1830" s="5" t="str">
        <f ca="1">IFERROR(__xludf.DUMMYFUNCTION("GOOGLETRANSLATE(B1830,""ja"",""vi"")"),"nếu không thì")</f>
        <v>nếu không thì</v>
      </c>
      <c r="E1830" s="5" t="str">
        <f ca="1">IFERROR(__xludf.DUMMYFUNCTION("GOOGLETRANSLATE(C1830,""ja"",""vi"")"),"Đấu giá&gt; Thời trang&gt; Quần áo nam&gt; chính&gt; Khác")</f>
        <v>Đấu giá&gt; Thời trang&gt; Quần áo nam&gt; chính&gt; Khác</v>
      </c>
      <c r="F1830" t="str">
        <f t="shared" ca="1" si="28"/>
        <v>"2084005923" : "nếu không thì",</v>
      </c>
    </row>
    <row r="1831" spans="1:6" ht="15.75" customHeight="1">
      <c r="A1831" s="18">
        <v>2084051834</v>
      </c>
      <c r="B1831" s="18" t="s">
        <v>16799</v>
      </c>
      <c r="C1831" s="18" t="s">
        <v>16801</v>
      </c>
      <c r="D1831" s="5" t="str">
        <f ca="1">IFERROR(__xludf.DUMMYFUNCTION("GOOGLETRANSLATE(B1831,""ja"",""vi"")"),"size S dưới đây")</f>
        <v>size S dưới đây</v>
      </c>
      <c r="E1831" s="5" t="str">
        <f ca="1">IFERROR(__xludf.DUMMYFUNCTION("GOOGLETRANSLATE(C1831,""ja"",""vi"")"),"Đấu giá&gt; Thời trang&gt; Quần áo&gt; Đồ bơi&gt; S kích thước bên dưới")</f>
        <v>Đấu giá&gt; Thời trang&gt; Quần áo&gt; Đồ bơi&gt; S kích thước bên dưới</v>
      </c>
      <c r="F1831" t="str">
        <f t="shared" ca="1" si="28"/>
        <v>"2084051834" : "size S dưới đây",</v>
      </c>
    </row>
    <row r="1832" spans="1:6" ht="15.75" customHeight="1">
      <c r="A1832" s="18">
        <v>2084051835</v>
      </c>
      <c r="B1832" s="18" t="s">
        <v>13351</v>
      </c>
      <c r="C1832" s="18" t="s">
        <v>16809</v>
      </c>
      <c r="D1832" s="5" t="str">
        <f ca="1">IFERROR(__xludf.DUMMYFUNCTION("GOOGLETRANSLATE(B1832,""ja"",""vi"")"),"size M")</f>
        <v>size M</v>
      </c>
      <c r="E1832" s="5" t="str">
        <f ca="1">IFERROR(__xludf.DUMMYFUNCTION("GOOGLETRANSLATE(C1832,""ja"",""vi"")"),"Đấu giá&gt; Thời trang&gt; nam thời trang&gt; áo tắm&gt; size M")</f>
        <v>Đấu giá&gt; Thời trang&gt; nam thời trang&gt; áo tắm&gt; size M</v>
      </c>
      <c r="F1832" t="str">
        <f t="shared" ca="1" si="28"/>
        <v>"2084051835" : "size M",</v>
      </c>
    </row>
    <row r="1833" spans="1:6" ht="15.75" customHeight="1">
      <c r="A1833" s="18">
        <v>2084051836</v>
      </c>
      <c r="B1833" s="18" t="s">
        <v>16814</v>
      </c>
      <c r="C1833" s="18" t="s">
        <v>16816</v>
      </c>
      <c r="D1833" s="5" t="str">
        <f ca="1">IFERROR(__xludf.DUMMYFUNCTION("GOOGLETRANSLATE(B1833,""ja"",""vi"")"),"L lớn hơn hoặc bằng với kích thước")</f>
        <v>L lớn hơn hoặc bằng với kích thước</v>
      </c>
      <c r="E1833" s="5" t="str">
        <f ca="1">IFERROR(__xludf.DUMMYFUNCTION("GOOGLETRANSLATE(C1833,""ja"",""vi"")"),"Đấu giá&gt; Thời trang&gt; nam thời trang&gt; áo tắm&gt; L lớn hơn hoặc bằng với kích thước")</f>
        <v>Đấu giá&gt; Thời trang&gt; nam thời trang&gt; áo tắm&gt; L lớn hơn hoặc bằng với kích thước</v>
      </c>
      <c r="F1833" t="str">
        <f t="shared" ca="1" si="28"/>
        <v>"2084051836" : "L lớn hơn hoặc bằng với kích thước",</v>
      </c>
    </row>
    <row r="1834" spans="1:6" ht="15.75" customHeight="1">
      <c r="A1834" s="18">
        <v>2084051885</v>
      </c>
      <c r="B1834" s="18" t="s">
        <v>15078</v>
      </c>
      <c r="C1834" s="18" t="s">
        <v>16824</v>
      </c>
      <c r="D1834" s="5" t="str">
        <f ca="1">IFERROR(__xludf.DUMMYFUNCTION("GOOGLETRANSLATE(B1834,""ja"",""vi"")"),"môn thể thao")</f>
        <v>môn thể thao</v>
      </c>
      <c r="E1834" s="5" t="str">
        <f ca="1">IFERROR(__xludf.DUMMYFUNCTION("GOOGLETRANSLATE(C1834,""ja"",""vi"")"),"Đấu giá&gt; thời trang thời trang&gt; nam&gt; áo tắm&gt; cho thể thao")</f>
        <v>Đấu giá&gt; thời trang thời trang&gt; nam&gt; áo tắm&gt; cho thể thao</v>
      </c>
      <c r="F1834" t="str">
        <f t="shared" ca="1" si="28"/>
        <v>"2084051885" : "môn thể thao",</v>
      </c>
    </row>
    <row r="1835" spans="1:6" ht="15.75" customHeight="1">
      <c r="A1835" s="18">
        <v>2084051884</v>
      </c>
      <c r="B1835" s="18" t="s">
        <v>1685</v>
      </c>
      <c r="C1835" s="18" t="s">
        <v>16829</v>
      </c>
      <c r="D1835" s="5" t="str">
        <f ca="1">IFERROR(__xludf.DUMMYFUNCTION("GOOGLETRANSLATE(B1835,""ja"",""vi"")"),"phụ kiện")</f>
        <v>phụ kiện</v>
      </c>
      <c r="E1835" s="5" t="str">
        <f ca="1">IFERROR(__xludf.DUMMYFUNCTION("GOOGLETRANSLATE(C1835,""ja"",""vi"")"),"Đấu giá&gt; Thời trang&gt; Quần áo nam&gt; Đồ bơi&gt; Phụ kiện")</f>
        <v>Đấu giá&gt; Thời trang&gt; Quần áo nam&gt; Đồ bơi&gt; Phụ kiện</v>
      </c>
      <c r="F1835" t="str">
        <f t="shared" ca="1" si="28"/>
        <v>"2084051884" : "phụ kiện",</v>
      </c>
    </row>
    <row r="1836" spans="1:6" ht="15.75" customHeight="1">
      <c r="A1836" s="18">
        <v>2084042420</v>
      </c>
      <c r="B1836" s="18" t="s">
        <v>15127</v>
      </c>
      <c r="C1836" s="18" t="s">
        <v>16835</v>
      </c>
      <c r="D1836" s="5" t="str">
        <f ca="1">IFERROR(__xludf.DUMMYFUNCTION("GOOGLETRANSLATE(B1836,""ja"",""vi"")"),"Chơi trong nước Hàng")</f>
        <v>Chơi trong nước Hàng</v>
      </c>
      <c r="E1836" s="5" t="str">
        <f ca="1">IFERROR(__xludf.DUMMYFUNCTION("GOOGLETRANSLATE(C1836,""ja"",""vi"")"),"Đấu giá&gt; Thời trang&gt; thời trang nam&gt; áo tắm&gt; lội Hàng")</f>
        <v>Đấu giá&gt; Thời trang&gt; thời trang nam&gt; áo tắm&gt; lội Hàng</v>
      </c>
      <c r="F1836" t="str">
        <f t="shared" ca="1" si="28"/>
        <v>"2084042420" : "Chơi trong nước Hàng",</v>
      </c>
    </row>
    <row r="1837" spans="1:6" ht="15.75" customHeight="1">
      <c r="A1837" s="18">
        <v>2084263019</v>
      </c>
      <c r="B1837" s="18" t="s">
        <v>15248</v>
      </c>
      <c r="C1837" s="18" t="s">
        <v>15250</v>
      </c>
      <c r="D1837" s="5" t="str">
        <f ca="1">IFERROR(__xludf.DUMMYFUNCTION("GOOGLETRANSLATE(B1837,""ja"",""vi"")"),"mũ bảo hiểm công trình")</f>
        <v>mũ bảo hiểm công trình</v>
      </c>
      <c r="E1837" s="5" t="str">
        <f ca="1">IFERROR(__xludf.DUMMYFUNCTION("GOOGLETRANSLATE(C1837,""ja"",""vi"")"),"Đấu giá&gt; nhà, nội thất&gt; công cụ, DIY mũ bảo hiểm cung cấp&gt; quần áo làm việc&gt; công việc")</f>
        <v>Đấu giá&gt; nhà, nội thất&gt; công cụ, DIY mũ bảo hiểm cung cấp&gt; quần áo làm việc&gt; công việc</v>
      </c>
      <c r="F1837" t="str">
        <f t="shared" ca="1" si="28"/>
        <v>"2084263019" : "mũ bảo hiểm công trình",</v>
      </c>
    </row>
    <row r="1838" spans="1:6" ht="15.75" customHeight="1">
      <c r="A1838" s="18">
        <v>2084210060</v>
      </c>
      <c r="B1838" s="18" t="s">
        <v>15253</v>
      </c>
      <c r="C1838" s="18" t="s">
        <v>15255</v>
      </c>
      <c r="D1838" s="5" t="str">
        <f ca="1">IFERROR(__xludf.DUMMYFUNCTION("GOOGLETRANSLATE(B1838,""ja"",""vi"")"),"Quần áo cho thời tiết lạnh")</f>
        <v>Quần áo cho thời tiết lạnh</v>
      </c>
      <c r="E1838" s="5" t="str">
        <f ca="1">IFERROR(__xludf.DUMMYFUNCTION("GOOGLETRANSLATE(C1838,""ja"",""vi"")"),"Đấu giá&gt; nhà, nội thất&gt; công cụ, DIY nguồn cung cấp&gt; quần áo làm việc&gt; quần áo mùa đông")</f>
        <v>Đấu giá&gt; nhà, nội thất&gt; công cụ, DIY nguồn cung cấp&gt; quần áo làm việc&gt; quần áo mùa đông</v>
      </c>
      <c r="F1838" t="str">
        <f t="shared" ca="1" si="28"/>
        <v>"2084210060" : "Quần áo cho thời tiết lạnh",</v>
      </c>
    </row>
    <row r="1839" spans="1:6" ht="15.75" customHeight="1">
      <c r="A1839" s="18">
        <v>2084210059</v>
      </c>
      <c r="B1839" s="18" t="s">
        <v>15258</v>
      </c>
      <c r="C1839" s="18" t="s">
        <v>15259</v>
      </c>
      <c r="D1839" s="5" t="str">
        <f ca="1">IFERROR(__xludf.DUMMYFUNCTION("GOOGLETRANSLATE(B1839,""ja"",""vi"")"),"Cà vạt, áo liền quần")</f>
        <v>Cà vạt, áo liền quần</v>
      </c>
      <c r="E1839" s="5" t="str">
        <f ca="1">IFERROR(__xludf.DUMMYFUNCTION("GOOGLETRANSLATE(C1839,""ja"",""vi"")"),"Đấu giá&gt; nhà, nội thất&gt; công cụ, DIY nguồn cung cấp&gt; quần áo làm việc&gt; cà vạt, áo liền quần")</f>
        <v>Đấu giá&gt; nhà, nội thất&gt; công cụ, DIY nguồn cung cấp&gt; quần áo làm việc&gt; cà vạt, áo liền quần</v>
      </c>
      <c r="F1839" t="str">
        <f t="shared" ca="1" si="28"/>
        <v>"2084210059" : "Cà vạt, áo liền quần",</v>
      </c>
    </row>
    <row r="1840" spans="1:6" ht="15.75" customHeight="1">
      <c r="A1840" s="18">
        <v>2084210061</v>
      </c>
      <c r="B1840" s="18" t="s">
        <v>13313</v>
      </c>
      <c r="C1840" s="18" t="s">
        <v>15264</v>
      </c>
      <c r="D1840" s="5" t="str">
        <f ca="1">IFERROR(__xludf.DUMMYFUNCTION("GOOGLETRANSLATE(B1840,""ja"",""vi"")"),"Jumper, blouson")</f>
        <v>Jumper, blouson</v>
      </c>
      <c r="E1840" s="5" t="str">
        <f ca="1">IFERROR(__xludf.DUMMYFUNCTION("GOOGLETRANSLATE(C1840,""ja"",""vi"")"),"Đấu giá&gt; nhà, nội thất&gt; công cụ, DIY nguồn cung cấp&gt; quần áo làm việc&gt; jumper, blouson")</f>
        <v>Đấu giá&gt; nhà, nội thất&gt; công cụ, DIY nguồn cung cấp&gt; quần áo làm việc&gt; jumper, blouson</v>
      </c>
      <c r="F1840" t="str">
        <f t="shared" ca="1" si="28"/>
        <v>"2084210061" : "Jumper, blouson",</v>
      </c>
    </row>
    <row r="1841" spans="1:6" ht="15.75" customHeight="1">
      <c r="A1841" s="18">
        <v>2084210062</v>
      </c>
      <c r="B1841" s="18" t="s">
        <v>14999</v>
      </c>
      <c r="C1841" s="18" t="s">
        <v>15268</v>
      </c>
      <c r="D1841" s="5" t="str">
        <f ca="1">IFERROR(__xludf.DUMMYFUNCTION("GOOGLETRANSLATE(B1841,""ja"",""vi"")"),"Áo sơ mi và áo cánh")</f>
        <v>Áo sơ mi và áo cánh</v>
      </c>
      <c r="E1841" s="5" t="str">
        <f ca="1">IFERROR(__xludf.DUMMYFUNCTION("GOOGLETRANSLATE(C1841,""ja"",""vi"")"),"Đấu giá&gt; nhà, nội thất&gt; công cụ, DIY nguồn cung cấp&gt; quần áo làm việc&gt; áo sơ mi, áo")</f>
        <v>Đấu giá&gt; nhà, nội thất&gt; công cụ, DIY nguồn cung cấp&gt; quần áo làm việc&gt; áo sơ mi, áo</v>
      </c>
      <c r="F1841" t="str">
        <f t="shared" ca="1" si="28"/>
        <v>"2084210062" : "Áo sơ mi và áo cánh",</v>
      </c>
    </row>
    <row r="1842" spans="1:6" ht="15.75" customHeight="1">
      <c r="A1842" s="18">
        <v>2084210063</v>
      </c>
      <c r="B1842" s="18" t="s">
        <v>11242</v>
      </c>
      <c r="C1842" s="18" t="s">
        <v>15272</v>
      </c>
      <c r="D1842" s="5" t="str">
        <f ca="1">IFERROR(__xludf.DUMMYFUNCTION("GOOGLETRANSLATE(B1842,""ja"",""vi"")"),"đáy")</f>
        <v>đáy</v>
      </c>
      <c r="E1842" s="5" t="str">
        <f ca="1">IFERROR(__xludf.DUMMYFUNCTION("GOOGLETRANSLATE(C1842,""ja"",""vi"")"),"Đấu giá&gt; nhà, nội thất&gt; công cụ, DIY nguồn cung cấp&gt; quần áo làm việc&gt; Bottoms")</f>
        <v>Đấu giá&gt; nhà, nội thất&gt; công cụ, DIY nguồn cung cấp&gt; quần áo làm việc&gt; Bottoms</v>
      </c>
      <c r="F1842" t="str">
        <f t="shared" ca="1" si="28"/>
        <v>"2084210063" : "đáy",</v>
      </c>
    </row>
    <row r="1843" spans="1:6" ht="15.75" customHeight="1">
      <c r="A1843" s="18">
        <v>2084210064</v>
      </c>
      <c r="B1843" s="18" t="s">
        <v>15276</v>
      </c>
      <c r="C1843" s="18" t="s">
        <v>15278</v>
      </c>
      <c r="D1843" s="5" t="str">
        <f ca="1">IFERROR(__xludf.DUMMYFUNCTION("GOOGLETRANSLATE(B1843,""ja"",""vi"")"),"Phụ kiện, phụ kiện")</f>
        <v>Phụ kiện, phụ kiện</v>
      </c>
      <c r="E1843" s="5" t="str">
        <f ca="1">IFERROR(__xludf.DUMMYFUNCTION("GOOGLETRANSLATE(C1843,""ja"",""vi"")"),"Đấu giá&gt; nhà, nội thất&gt; công cụ, DIY nguồn cung cấp&gt; quần áo làm việc&gt; phụ kiện, phụ kiện")</f>
        <v>Đấu giá&gt; nhà, nội thất&gt; công cụ, DIY nguồn cung cấp&gt; quần áo làm việc&gt; phụ kiện, phụ kiện</v>
      </c>
      <c r="F1843" t="str">
        <f t="shared" ca="1" si="28"/>
        <v>"2084210064" : "Phụ kiện, phụ kiện",</v>
      </c>
    </row>
    <row r="1844" spans="1:6" ht="15.75" customHeight="1">
      <c r="A1844" s="18">
        <v>2084048894</v>
      </c>
      <c r="B1844" s="18" t="s">
        <v>15281</v>
      </c>
      <c r="C1844" s="18" t="s">
        <v>15283</v>
      </c>
      <c r="D1844" s="5" t="str">
        <f ca="1">IFERROR(__xludf.DUMMYFUNCTION("GOOGLETRANSLATE(B1844,""ja"",""vi"")"),"giày dép chuyên dụng")</f>
        <v>giày dép chuyên dụng</v>
      </c>
      <c r="E1844" s="5" t="str">
        <f ca="1">IFERROR(__xludf.DUMMYFUNCTION("GOOGLETRANSLATE(C1844,""ja"",""vi"")"),"Đấu giá&gt; nhà, nội thất&gt; công cụ, DIY nguồn cung cấp&gt; quần áo làm việc&gt; giày công việc")</f>
        <v>Đấu giá&gt; nhà, nội thất&gt; công cụ, DIY nguồn cung cấp&gt; quần áo làm việc&gt; giày công việc</v>
      </c>
      <c r="F1844" t="str">
        <f t="shared" ca="1" si="28"/>
        <v>"2084048894" : "giày dép chuyên dụng",</v>
      </c>
    </row>
    <row r="1845" spans="1:6" ht="15.75" customHeight="1">
      <c r="A1845" s="18">
        <v>2084210067</v>
      </c>
      <c r="B1845" s="18" t="s">
        <v>46</v>
      </c>
      <c r="C1845" s="18" t="s">
        <v>15287</v>
      </c>
      <c r="D1845" s="5" t="str">
        <f ca="1">IFERROR(__xludf.DUMMYFUNCTION("GOOGLETRANSLATE(B1845,""ja"",""vi"")"),"nếu không thì")</f>
        <v>nếu không thì</v>
      </c>
      <c r="E1845" s="5" t="str">
        <f ca="1">IFERROR(__xludf.DUMMYFUNCTION("GOOGLETRANSLATE(C1845,""ja"",""vi"")"),"Đấu giá&gt; nhà, nội thất&gt; công cụ, DIY nguồn cung cấp&gt; quần áo làm việc&gt; Khác")</f>
        <v>Đấu giá&gt; nhà, nội thất&gt; công cụ, DIY nguồn cung cấp&gt; quần áo làm việc&gt; Khác</v>
      </c>
      <c r="F1845" t="str">
        <f t="shared" ca="1" si="28"/>
        <v>"2084210067" : "nếu không thì",</v>
      </c>
    </row>
    <row r="1846" spans="1:6" ht="15.75" customHeight="1">
      <c r="A1846" s="18">
        <v>2084062324</v>
      </c>
      <c r="B1846" s="18" t="s">
        <v>15354</v>
      </c>
      <c r="C1846" s="18" t="s">
        <v>15355</v>
      </c>
      <c r="D1846" s="5" t="str">
        <f ca="1">IFERROR(__xludf.DUMMYFUNCTION("GOOGLETRANSLATE(B1846,""ja"",""vi"")"),"Attache chung")</f>
        <v>Attache chung</v>
      </c>
      <c r="E1846" s="5" t="str">
        <f ca="1">IFERROR(__xludf.DUMMYFUNCTION("GOOGLETRANSLATE(C1846,""ja"",""vi"")"),"Đấu giá&gt; Văn phòng, Cửa hàng cung cấp&gt; túi, va li&gt; trường hợp tùy viên&gt; tùy viên nói chung trường hợp")</f>
        <v>Đấu giá&gt; Văn phòng, Cửa hàng cung cấp&gt; túi, va li&gt; trường hợp tùy viên&gt; tùy viên nói chung trường hợp</v>
      </c>
      <c r="F1846" t="str">
        <f t="shared" ca="1" si="28"/>
        <v>"2084062324" : "Attache chung",</v>
      </c>
    </row>
    <row r="1847" spans="1:6" ht="15.75" customHeight="1">
      <c r="A1847" s="18">
        <v>2084062325</v>
      </c>
      <c r="B1847" s="18" t="s">
        <v>10636</v>
      </c>
      <c r="C1847" s="18" t="s">
        <v>15360</v>
      </c>
      <c r="D1847" s="5" t="str">
        <f ca="1">IFERROR(__xludf.DUMMYFUNCTION("GOOGLETRANSLATE(B1847,""ja"",""vi"")"),"zero Halliburton")</f>
        <v>zero Halliburton</v>
      </c>
      <c r="E1847" s="5" t="str">
        <f ca="1">IFERROR(__xludf.DUMMYFUNCTION("GOOGLETRANSLATE(C1847,""ja"",""vi"")"),"Đấu giá&gt; Văn phòng, Cửa hàng cung cấp&gt; túi, va li&gt; tùy trường hợp&gt; Zero, Halliburton")</f>
        <v>Đấu giá&gt; Văn phòng, Cửa hàng cung cấp&gt; túi, va li&gt; tùy trường hợp&gt; Zero, Halliburton</v>
      </c>
      <c r="F1847" t="str">
        <f t="shared" ca="1" si="28"/>
        <v>"2084062325" : "zero Halliburton",</v>
      </c>
    </row>
    <row r="1848" spans="1:6" ht="15.75" customHeight="1">
      <c r="A1848" s="18">
        <v>2084062326</v>
      </c>
      <c r="B1848" s="18" t="s">
        <v>12145</v>
      </c>
      <c r="C1848" s="18" t="s">
        <v>15364</v>
      </c>
      <c r="D1848" s="5" t="str">
        <f ca="1">IFERROR(__xludf.DUMMYFUNCTION("GOOGLETRANSLATE(B1848,""ja"",""vi"")"),"Rimowa")</f>
        <v>Rimowa</v>
      </c>
      <c r="E1848" s="5" t="str">
        <f ca="1">IFERROR(__xludf.DUMMYFUNCTION("GOOGLETRANSLATE(C1848,""ja"",""vi"")"),"Đấu giá&gt; Văn phòng, Cửa hàng cung cấp&gt; túi, va li&gt; tùy trường hợp&gt; Rimowa")</f>
        <v>Đấu giá&gt; Văn phòng, Cửa hàng cung cấp&gt; túi, va li&gt; tùy trường hợp&gt; Rimowa</v>
      </c>
      <c r="F1848" t="str">
        <f t="shared" ca="1" si="28"/>
        <v>"2084062326" : "Rimowa",</v>
      </c>
    </row>
    <row r="1849" spans="1:6" ht="15.75" customHeight="1">
      <c r="A1849" s="18">
        <v>2084062327</v>
      </c>
      <c r="B1849" s="18" t="s">
        <v>12124</v>
      </c>
      <c r="C1849" s="18" t="s">
        <v>12126</v>
      </c>
      <c r="D1849" s="5" t="str">
        <f ca="1">IFERROR(__xludf.DUMMYFUNCTION("GOOGLETRANSLATE(B1849,""ja"",""vi"")"),"Vali, chung thân")</f>
        <v>Vali, chung thân</v>
      </c>
      <c r="E1849" s="5" t="str">
        <f ca="1">IFERROR(__xludf.DUMMYFUNCTION("GOOGLETRANSLATE(C1849,""ja"",""vi"")"),"Đấu giá&gt; Văn phòng, Cửa hàng cung cấp&gt; túi, va li&gt; va li, thân cây&gt; va li, chung thân")</f>
        <v>Đấu giá&gt; Văn phòng, Cửa hàng cung cấp&gt; túi, va li&gt; va li, thân cây&gt; va li, chung thân</v>
      </c>
      <c r="F1849" t="str">
        <f t="shared" ca="1" si="28"/>
        <v>"2084062327" : "Vali, chung thân",</v>
      </c>
    </row>
    <row r="1850" spans="1:6" ht="15.75" customHeight="1">
      <c r="A1850" s="18">
        <v>2084062331</v>
      </c>
      <c r="B1850" s="18" t="s">
        <v>10138</v>
      </c>
      <c r="C1850" s="18" t="s">
        <v>12132</v>
      </c>
      <c r="D1850" s="5" t="str">
        <f ca="1">IFERROR(__xludf.DUMMYFUNCTION("GOOGLETRANSLATE(B1850,""ja"",""vi"")"),"Samsonite")</f>
        <v>Samsonite</v>
      </c>
      <c r="E1850" s="5" t="str">
        <f ca="1">IFERROR(__xludf.DUMMYFUNCTION("GOOGLETRANSLATE(C1850,""ja"",""vi"")"),"Đấu giá&gt; Văn phòng, Cửa hàng cung cấp&gt; túi, va li&gt; va li, thân cây&gt; Samsonite")</f>
        <v>Đấu giá&gt; Văn phòng, Cửa hàng cung cấp&gt; túi, va li&gt; va li, thân cây&gt; Samsonite</v>
      </c>
      <c r="F1850" t="str">
        <f t="shared" ca="1" si="28"/>
        <v>"2084062331" : "Samsonite",</v>
      </c>
    </row>
    <row r="1851" spans="1:6" ht="15.75" customHeight="1">
      <c r="A1851" s="18">
        <v>2084062328</v>
      </c>
      <c r="B1851" s="18" t="s">
        <v>10636</v>
      </c>
      <c r="C1851" s="18" t="s">
        <v>12137</v>
      </c>
      <c r="D1851" s="5" t="str">
        <f ca="1">IFERROR(__xludf.DUMMYFUNCTION("GOOGLETRANSLATE(B1851,""ja"",""vi"")"),"zero Halliburton")</f>
        <v>zero Halliburton</v>
      </c>
      <c r="E1851" s="5" t="str">
        <f ca="1">IFERROR(__xludf.DUMMYFUNCTION("GOOGLETRANSLATE(C1851,""ja"",""vi"")"),"Đấu giá&gt; Văn phòng, Cửa hàng cung cấp&gt; túi, va li&gt; va li, thân cây&gt; Zero, Halliburton")</f>
        <v>Đấu giá&gt; Văn phòng, Cửa hàng cung cấp&gt; túi, va li&gt; va li, thân cây&gt; Zero, Halliburton</v>
      </c>
      <c r="F1851" t="str">
        <f t="shared" ca="1" si="28"/>
        <v>"2084062328" : "zero Halliburton",</v>
      </c>
    </row>
    <row r="1852" spans="1:6" ht="15.75" customHeight="1">
      <c r="A1852" s="18">
        <v>2084062329</v>
      </c>
      <c r="B1852" s="18" t="s">
        <v>10960</v>
      </c>
      <c r="C1852" s="18" t="s">
        <v>12141</v>
      </c>
      <c r="D1852" s="5" t="str">
        <f ca="1">IFERROR(__xludf.DUMMYFUNCTION("GOOGLETRANSLATE(B1852,""ja"",""vi"")"),"Tumi")</f>
        <v>Tumi</v>
      </c>
      <c r="E1852" s="5" t="str">
        <f ca="1">IFERROR(__xludf.DUMMYFUNCTION("GOOGLETRANSLATE(C1852,""ja"",""vi"")"),"Đấu giá&gt; vật tư văn phòng, cửa hàng&gt; túi, va li&gt; va li, thân cây&gt; Tumi")</f>
        <v>Đấu giá&gt; vật tư văn phòng, cửa hàng&gt; túi, va li&gt; va li, thân cây&gt; Tumi</v>
      </c>
      <c r="F1852" t="str">
        <f t="shared" ca="1" si="28"/>
        <v>"2084062329" : "Tumi",</v>
      </c>
    </row>
    <row r="1853" spans="1:6" ht="15.75" customHeight="1">
      <c r="A1853" s="18">
        <v>2084062330</v>
      </c>
      <c r="B1853" s="18" t="s">
        <v>12145</v>
      </c>
      <c r="C1853" s="18" t="s">
        <v>12147</v>
      </c>
      <c r="D1853" s="5" t="str">
        <f ca="1">IFERROR(__xludf.DUMMYFUNCTION("GOOGLETRANSLATE(B1853,""ja"",""vi"")"),"Rimowa")</f>
        <v>Rimowa</v>
      </c>
      <c r="E1853" s="5" t="str">
        <f ca="1">IFERROR(__xludf.DUMMYFUNCTION("GOOGLETRANSLATE(C1853,""ja"",""vi"")"),"Đấu giá&gt; vật tư văn phòng, cửa hàng&gt; túi, va li&gt; va li, thân cây&gt; Rimowa")</f>
        <v>Đấu giá&gt; vật tư văn phòng, cửa hàng&gt; túi, va li&gt; va li, thân cây&gt; Rimowa</v>
      </c>
      <c r="F1853" t="str">
        <f t="shared" ca="1" si="28"/>
        <v>"2084062330" : "Rimowa",</v>
      </c>
    </row>
    <row r="1854" spans="1:6" ht="15.75" customHeight="1">
      <c r="A1854" s="18">
        <v>2084306948</v>
      </c>
      <c r="B1854" s="18" t="s">
        <v>15403</v>
      </c>
      <c r="C1854" s="18" t="s">
        <v>15405</v>
      </c>
      <c r="D1854" s="5" t="str">
        <f ca="1">IFERROR(__xludf.DUMMYFUNCTION("GOOGLETRANSLATE(B1854,""ja"",""vi"")"),"Silicon Case")</f>
        <v>Silicon Case</v>
      </c>
      <c r="E1854" s="5" t="str">
        <f ca="1">IFERROR(__xludf.DUMMYFUNCTION("GOOGLETRANSLATE(C1854,""ja"",""vi"")"),"Đấu giá&gt; thiết bị điện tử tiêu dùng, AV, camera&gt; điện thoại di động, điện thoại thông minh&gt; Accessories&gt; Case&gt; trường hợp silicon")</f>
        <v>Đấu giá&gt; thiết bị điện tử tiêu dùng, AV, camera&gt; điện thoại di động, điện thoại thông minh&gt; Accessories&gt; Case&gt; trường hợp silicon</v>
      </c>
      <c r="F1854" t="str">
        <f t="shared" ca="1" si="28"/>
        <v>"2084306948" : "Silicon Case",</v>
      </c>
    </row>
    <row r="1855" spans="1:6" ht="15.75" customHeight="1">
      <c r="A1855" s="18">
        <v>2084306949</v>
      </c>
      <c r="B1855" s="18" t="s">
        <v>15406</v>
      </c>
      <c r="C1855" s="18" t="s">
        <v>15408</v>
      </c>
      <c r="D1855" s="5" t="str">
        <f ca="1">IFERROR(__xludf.DUMMYFUNCTION("GOOGLETRANSLATE(B1855,""ja"",""vi"")"),"Trường hợp khó khăn")</f>
        <v>Trường hợp khó khăn</v>
      </c>
      <c r="E1855" s="5" t="str">
        <f ca="1">IFERROR(__xludf.DUMMYFUNCTION("GOOGLETRANSLATE(C1855,""ja"",""vi"")"),"Đấu giá&gt; thiết bị điện tử tiêu dùng, AV, camera&gt; điện thoại di động, điện thoại thông minh&gt; Accessories&gt; Case&gt; Case cứng")</f>
        <v>Đấu giá&gt; thiết bị điện tử tiêu dùng, AV, camera&gt; điện thoại di động, điện thoại thông minh&gt; Accessories&gt; Case&gt; Case cứng</v>
      </c>
      <c r="F1855" t="str">
        <f t="shared" ca="1" si="28"/>
        <v>"2084306949" : "Trường hợp khó khăn",</v>
      </c>
    </row>
    <row r="1856" spans="1:6" ht="15.75" customHeight="1">
      <c r="A1856" s="18">
        <v>2084306950</v>
      </c>
      <c r="B1856" s="18" t="s">
        <v>15409</v>
      </c>
      <c r="C1856" s="18" t="s">
        <v>15411</v>
      </c>
      <c r="D1856" s="5" t="str">
        <f ca="1">IFERROR(__xludf.DUMMYFUNCTION("GOOGLETRANSLATE(B1856,""ja"",""vi"")"),"Leather Case")</f>
        <v>Leather Case</v>
      </c>
      <c r="E1856" s="5" t="str">
        <f ca="1">IFERROR(__xludf.DUMMYFUNCTION("GOOGLETRANSLATE(C1856,""ja"",""vi"")"),"Đấu giá&gt; thiết bị điện tử tiêu dùng, AV, camera&gt; điện thoại di động, điện thoại thông minh&gt; Accessories&gt; Case&gt; Leather Case")</f>
        <v>Đấu giá&gt; thiết bị điện tử tiêu dùng, AV, camera&gt; điện thoại di động, điện thoại thông minh&gt; Accessories&gt; Case&gt; Leather Case</v>
      </c>
      <c r="F1856" t="str">
        <f t="shared" ca="1" si="28"/>
        <v>"2084306950" : "Leather Case",</v>
      </c>
    </row>
    <row r="1857" spans="1:6" ht="15.75" customHeight="1">
      <c r="A1857" s="18">
        <v>2084263726</v>
      </c>
      <c r="B1857" s="18" t="s">
        <v>3697</v>
      </c>
      <c r="C1857" s="18" t="s">
        <v>15413</v>
      </c>
      <c r="D1857" s="5" t="str">
        <f ca="1">IFERROR(__xludf.DUMMYFUNCTION("GOOGLETRANSLATE(B1857,""ja"",""vi"")"),"Trường hợp cho iPhone")</f>
        <v>Trường hợp cho iPhone</v>
      </c>
      <c r="E1857" s="5" t="str">
        <f ca="1">IFERROR(__xludf.DUMMYFUNCTION("GOOGLETRANSLATE(C1857,""ja"",""vi"")"),"Đấu giá&gt; thiết bị điện tử tiêu dùng, AV, camera&gt; điện thoại di động, điện thoại thông minh&gt; Accessories&gt; Case&gt; Case cho iPhone")</f>
        <v>Đấu giá&gt; thiết bị điện tử tiêu dùng, AV, camera&gt; điện thoại di động, điện thoại thông minh&gt; Accessories&gt; Case&gt; Case cho iPhone</v>
      </c>
      <c r="F1857" t="str">
        <f t="shared" ca="1" si="28"/>
        <v>"2084263726" : "Trường hợp cho iPhone",</v>
      </c>
    </row>
    <row r="1858" spans="1:6" ht="15.75" customHeight="1">
      <c r="A1858" s="18">
        <v>2084306951</v>
      </c>
      <c r="B1858" s="18" t="s">
        <v>46</v>
      </c>
      <c r="C1858" s="18" t="s">
        <v>15415</v>
      </c>
      <c r="D1858" s="5" t="str">
        <f ca="1">IFERROR(__xludf.DUMMYFUNCTION("GOOGLETRANSLATE(B1858,""ja"",""vi"")"),"nếu không thì")</f>
        <v>nếu không thì</v>
      </c>
      <c r="E1858" s="5" t="str">
        <f ca="1">IFERROR(__xludf.DUMMYFUNCTION("GOOGLETRANSLATE(C1858,""ja"",""vi"")"),"Đấu giá&gt; thiết bị điện tử tiêu dùng, AV, camera&gt; điện thoại di động, điện thoại thông minh&gt; Accessories&gt; Case&gt; Khác")</f>
        <v>Đấu giá&gt; thiết bị điện tử tiêu dùng, AV, camera&gt; điện thoại di động, điện thoại thông minh&gt; Accessories&gt; Case&gt; Khác</v>
      </c>
      <c r="F1858" t="str">
        <f t="shared" ref="F1858:F1921" ca="1" si="29">CONCATENATE(CHAR(34)&amp;"",A1858,""&amp;CHAR(34)," : ", CHAR(34)&amp;"",D1858,""&amp;CHAR(34),",")</f>
        <v>"2084306951" : "nếu không thì",</v>
      </c>
    </row>
    <row r="1859" spans="1:6" ht="15.75" customHeight="1">
      <c r="A1859" s="18">
        <v>2084292126</v>
      </c>
      <c r="B1859" s="18" t="s">
        <v>15417</v>
      </c>
      <c r="C1859" s="18" t="s">
        <v>16918</v>
      </c>
      <c r="D1859" s="5" t="str">
        <f ca="1">IFERROR(__xludf.DUMMYFUNCTION("GOOGLETRANSLATE(B1859,""ja"",""vi"")"),"Purse (với xu ví)")</f>
        <v>Purse (với xu ví)</v>
      </c>
      <c r="E1859" s="5" t="str">
        <f ca="1">IFERROR(__xludf.DUMMYFUNCTION("GOOGLETRANSLATE(C1859,""ja"",""vi"")"),"Đấu giá&gt; Thời trang&gt; Phụ kiện thời trang&gt; túi xách&gt; dành cho nam giới&gt; Purse (với xu ví)")</f>
        <v>Đấu giá&gt; Thời trang&gt; Phụ kiện thời trang&gt; túi xách&gt; dành cho nam giới&gt; Purse (với xu ví)</v>
      </c>
      <c r="F1859" t="str">
        <f t="shared" ca="1" si="29"/>
        <v>"2084292126" : "Purse (với xu ví)",</v>
      </c>
    </row>
    <row r="1860" spans="1:6" ht="15.75" customHeight="1">
      <c r="A1860" s="18">
        <v>2084292127</v>
      </c>
      <c r="B1860" s="18" t="s">
        <v>15420</v>
      </c>
      <c r="C1860" s="18" t="s">
        <v>16922</v>
      </c>
      <c r="D1860" s="5" t="str">
        <f ca="1">IFERROR(__xludf.DUMMYFUNCTION("GOOGLETRANSLATE(B1860,""ja"",""vi"")"),"Purse (không đồng xu ví)")</f>
        <v>Purse (không đồng xu ví)</v>
      </c>
      <c r="E1860" s="5" t="str">
        <f ca="1">IFERROR(__xludf.DUMMYFUNCTION("GOOGLETRANSLATE(C1860,""ja"",""vi"")"),"Đấu giá&gt; Thời trang&gt; Phụ kiện thời trang&gt; túi xách&gt; cho người đàn ông&gt; ví dài (không đem túi thay đổi)")</f>
        <v>Đấu giá&gt; Thời trang&gt; Phụ kiện thời trang&gt; túi xách&gt; cho người đàn ông&gt; ví dài (không đem túi thay đổi)</v>
      </c>
      <c r="F1860" t="str">
        <f t="shared" ca="1" si="29"/>
        <v>"2084292127" : "Purse (không đồng xu ví)",</v>
      </c>
    </row>
    <row r="1861" spans="1:6" ht="15.75" customHeight="1">
      <c r="A1861" s="18">
        <v>2084292128</v>
      </c>
      <c r="B1861" s="18" t="s">
        <v>15423</v>
      </c>
      <c r="C1861" s="18" t="s">
        <v>16924</v>
      </c>
      <c r="D1861" s="5" t="str">
        <f ca="1">IFERROR(__xludf.DUMMYFUNCTION("GOOGLETRANSLATE(B1861,""ja"",""vi"")"),"ví Bi-fold (với xu ví)")</f>
        <v>ví Bi-fold (với xu ví)</v>
      </c>
      <c r="E1861" s="5" t="str">
        <f ca="1">IFERROR(__xludf.DUMMYFUNCTION("GOOGLETRANSLATE(C1861,""ja"",""vi"")"),"Đấu giá&gt; Thời trang&gt; Phụ kiện thời trang&gt; túi xách&gt; dành cho nam giới&gt; ví bi-fold (với xu ví)")</f>
        <v>Đấu giá&gt; Thời trang&gt; Phụ kiện thời trang&gt; túi xách&gt; dành cho nam giới&gt; ví bi-fold (với xu ví)</v>
      </c>
      <c r="F1861" t="str">
        <f t="shared" ca="1" si="29"/>
        <v>"2084292128" : "ví Bi-fold (với xu ví)",</v>
      </c>
    </row>
    <row r="1862" spans="1:6" ht="15.75" customHeight="1">
      <c r="A1862" s="18">
        <v>2084292129</v>
      </c>
      <c r="B1862" s="18" t="s">
        <v>15426</v>
      </c>
      <c r="C1862" s="18" t="s">
        <v>16927</v>
      </c>
      <c r="D1862" s="5" t="str">
        <f ca="1">IFERROR(__xludf.DUMMYFUNCTION("GOOGLETRANSLATE(B1862,""ja"",""vi"")"),"ví Bi-fold (không đồng xu ví)")</f>
        <v>ví Bi-fold (không đồng xu ví)</v>
      </c>
      <c r="E1862" s="5" t="str">
        <f ca="1">IFERROR(__xludf.DUMMYFUNCTION("GOOGLETRANSLATE(C1862,""ja"",""vi"")"),"Đấu giá&gt; Thời trang&gt; Phụ kiện thời trang&gt; túi xách&gt; dành cho nam giới&gt; ví bi-fold (không đồng xu ví)")</f>
        <v>Đấu giá&gt; Thời trang&gt; Phụ kiện thời trang&gt; túi xách&gt; dành cho nam giới&gt; ví bi-fold (không đồng xu ví)</v>
      </c>
      <c r="F1862" t="str">
        <f t="shared" ca="1" si="29"/>
        <v>"2084292129" : "ví Bi-fold (không đồng xu ví)",</v>
      </c>
    </row>
    <row r="1863" spans="1:6" ht="15.75" customHeight="1">
      <c r="A1863" s="18">
        <v>2084292130</v>
      </c>
      <c r="B1863" s="18" t="s">
        <v>15429</v>
      </c>
      <c r="C1863" s="18" t="s">
        <v>16929</v>
      </c>
      <c r="D1863" s="5" t="str">
        <f ca="1">IFERROR(__xludf.DUMMYFUNCTION("GOOGLETRANSLATE(B1863,""ja"",""vi"")"),"Coin ví, hộp đựng đồng xu")</f>
        <v>Coin ví, hộp đựng đồng xu</v>
      </c>
      <c r="E1863" s="5" t="str">
        <f ca="1">IFERROR(__xludf.DUMMYFUNCTION("GOOGLETRANSLATE(C1863,""ja"",""vi"")"),"Đấu giá&gt; Thời trang&gt; Phụ kiện thời trang&gt; túi xách&gt; dành cho nam giới&gt; ví, hộp đựng đồng xu")</f>
        <v>Đấu giá&gt; Thời trang&gt; Phụ kiện thời trang&gt; túi xách&gt; dành cho nam giới&gt; ví, hộp đựng đồng xu</v>
      </c>
      <c r="F1863" t="str">
        <f t="shared" ca="1" si="29"/>
        <v>"2084292130" : "Coin ví, hộp đựng đồng xu",</v>
      </c>
    </row>
    <row r="1864" spans="1:6" ht="15.75" customHeight="1">
      <c r="A1864" s="18">
        <v>2084023711</v>
      </c>
      <c r="B1864" s="18" t="s">
        <v>16931</v>
      </c>
      <c r="C1864" s="18" t="s">
        <v>16933</v>
      </c>
      <c r="D1864" s="5" t="str">
        <f ca="1">IFERROR(__xludf.DUMMYFUNCTION("GOOGLETRANSLATE(B1864,""ja"",""vi"")"),"Money Clip")</f>
        <v>Money Clip</v>
      </c>
      <c r="E1864" s="5" t="str">
        <f ca="1">IFERROR(__xludf.DUMMYFUNCTION("GOOGLETRANSLATE(C1864,""ja"",""vi"")"),"Đấu giá&gt; Thời trang&gt; Phụ kiện thời trang&gt; túi xách&gt; dành cho nam giới&gt; Money Clip")</f>
        <v>Đấu giá&gt; Thời trang&gt; Phụ kiện thời trang&gt; túi xách&gt; dành cho nam giới&gt; Money Clip</v>
      </c>
      <c r="F1864" t="str">
        <f t="shared" ca="1" si="29"/>
        <v>"2084023711" : "Money Clip",</v>
      </c>
    </row>
    <row r="1865" spans="1:6" ht="15.75" customHeight="1">
      <c r="A1865" s="18">
        <v>2084292136</v>
      </c>
      <c r="B1865" s="18" t="s">
        <v>46</v>
      </c>
      <c r="C1865" s="18" t="s">
        <v>16937</v>
      </c>
      <c r="D1865" s="5" t="str">
        <f ca="1">IFERROR(__xludf.DUMMYFUNCTION("GOOGLETRANSLATE(B1865,""ja"",""vi"")"),"nếu không thì")</f>
        <v>nếu không thì</v>
      </c>
      <c r="E1865" s="5" t="str">
        <f ca="1">IFERROR(__xludf.DUMMYFUNCTION("GOOGLETRANSLATE(C1865,""ja"",""vi"")"),"Đấu giá&gt; Thời trang&gt; Phụ kiện thời trang&gt; túi xách&gt; dành cho nam giới&gt; Khác")</f>
        <v>Đấu giá&gt; Thời trang&gt; Phụ kiện thời trang&gt; túi xách&gt; dành cho nam giới&gt; Khác</v>
      </c>
      <c r="F1865" t="str">
        <f t="shared" ca="1" si="29"/>
        <v>"2084292136" : "nếu không thì",</v>
      </c>
    </row>
    <row r="1866" spans="1:6" ht="15.75" customHeight="1">
      <c r="A1866" s="18">
        <v>2084059583</v>
      </c>
      <c r="B1866" s="18" t="s">
        <v>15469</v>
      </c>
      <c r="C1866" s="18" t="s">
        <v>16938</v>
      </c>
      <c r="D1866" s="5" t="str">
        <f ca="1">IFERROR(__xludf.DUMMYFUNCTION("GOOGLETRANSLATE(B1866,""ja"",""vi"")"),"ASICS")</f>
        <v>ASICS</v>
      </c>
      <c r="E1866" s="5" t="str">
        <f ca="1">IFERROR(__xludf.DUMMYFUNCTION("GOOGLETRANSLATE(C1866,""ja"",""vi"")"),"Đấu giá&gt; Thời trang&gt; Giày dép nam&gt; giày&gt; Asics")</f>
        <v>Đấu giá&gt; Thời trang&gt; Giày dép nam&gt; giày&gt; Asics</v>
      </c>
      <c r="F1866" t="str">
        <f t="shared" ca="1" si="29"/>
        <v>"2084059583" : "ASICS",</v>
      </c>
    </row>
    <row r="1867" spans="1:6" ht="15.75" customHeight="1">
      <c r="A1867" s="18">
        <v>2084005488</v>
      </c>
      <c r="B1867" s="18" t="s">
        <v>8755</v>
      </c>
      <c r="C1867" s="18" t="s">
        <v>16943</v>
      </c>
      <c r="D1867" s="5" t="str">
        <f ca="1">IFERROR(__xludf.DUMMYFUNCTION("GOOGLETRANSLATE(B1867,""ja"",""vi"")"),"Adidas")</f>
        <v>Adidas</v>
      </c>
      <c r="E1867" s="5" t="str">
        <f ca="1">IFERROR(__xludf.DUMMYFUNCTION("GOOGLETRANSLATE(C1867,""ja"",""vi"")"),"Đấu giá&gt; Thời trang&gt; Giày dép nam&gt; giày&gt; Adidas")</f>
        <v>Đấu giá&gt; Thời trang&gt; Giày dép nam&gt; giày&gt; Adidas</v>
      </c>
      <c r="F1867" t="str">
        <f t="shared" ca="1" si="29"/>
        <v>"2084005488" : "Adidas",</v>
      </c>
    </row>
    <row r="1868" spans="1:6" ht="15.75" customHeight="1">
      <c r="A1868" s="18">
        <v>2084007812</v>
      </c>
      <c r="B1868" s="18" t="s">
        <v>9686</v>
      </c>
      <c r="C1868" s="18" t="s">
        <v>16946</v>
      </c>
      <c r="D1868" s="5" t="str">
        <f ca="1">IFERROR(__xludf.DUMMYFUNCTION("GOOGLETRANSLATE(B1868,""ja"",""vi"")"),"Quimper")</f>
        <v>Quimper</v>
      </c>
      <c r="E1868" s="5" t="str">
        <f ca="1">IFERROR(__xludf.DUMMYFUNCTION("GOOGLETRANSLATE(C1868,""ja"",""vi"")"),"Đấu giá&gt; Thời trang&gt; Giày dép nam&gt; giày&gt; Quimper")</f>
        <v>Đấu giá&gt; Thời trang&gt; Giày dép nam&gt; giày&gt; Quimper</v>
      </c>
      <c r="F1868" t="str">
        <f t="shared" ca="1" si="29"/>
        <v>"2084007812" : "Quimper",</v>
      </c>
    </row>
    <row r="1869" spans="1:6" ht="15.75" customHeight="1">
      <c r="A1869" s="18">
        <v>2084007238</v>
      </c>
      <c r="B1869" s="18" t="s">
        <v>15475</v>
      </c>
      <c r="C1869" s="18" t="s">
        <v>16949</v>
      </c>
      <c r="D1869" s="5" t="str">
        <f ca="1">IFERROR(__xludf.DUMMYFUNCTION("GOOGLETRANSLATE(B1869,""ja"",""vi"")"),"Gravis")</f>
        <v>Gravis</v>
      </c>
      <c r="E1869" s="5" t="str">
        <f ca="1">IFERROR(__xludf.DUMMYFUNCTION("GOOGLETRANSLATE(C1869,""ja"",""vi"")"),"Đấu giá&gt; Thời trang&gt; Giày dép nam&gt; giày&gt; Gravis")</f>
        <v>Đấu giá&gt; Thời trang&gt; Giày dép nam&gt; giày&gt; Gravis</v>
      </c>
      <c r="F1869" t="str">
        <f t="shared" ca="1" si="29"/>
        <v>"2084007238" : "Gravis",</v>
      </c>
    </row>
    <row r="1870" spans="1:6" ht="15.75" customHeight="1">
      <c r="A1870" s="18">
        <v>2084005489</v>
      </c>
      <c r="B1870" s="18" t="s">
        <v>15479</v>
      </c>
      <c r="C1870" s="18" t="s">
        <v>16952</v>
      </c>
      <c r="D1870" s="5" t="str">
        <f ca="1">IFERROR(__xludf.DUMMYFUNCTION("GOOGLETRANSLATE(B1870,""ja"",""vi"")"),"ngược")</f>
        <v>ngược</v>
      </c>
      <c r="E1870" s="5" t="str">
        <f ca="1">IFERROR(__xludf.DUMMYFUNCTION("GOOGLETRANSLATE(C1870,""ja"",""vi"")"),"Đấu giá&gt; Thời trang&gt; Giày dép nam&gt; giày&gt; Converse")</f>
        <v>Đấu giá&gt; Thời trang&gt; Giày dép nam&gt; giày&gt; Converse</v>
      </c>
      <c r="F1870" t="str">
        <f t="shared" ca="1" si="29"/>
        <v>"2084005489" : "ngược",</v>
      </c>
    </row>
    <row r="1871" spans="1:6" ht="15.75" customHeight="1">
      <c r="A1871" s="18">
        <v>2084007809</v>
      </c>
      <c r="B1871" s="18" t="s">
        <v>15482</v>
      </c>
      <c r="C1871" s="18" t="s">
        <v>16955</v>
      </c>
      <c r="D1871" s="5" t="str">
        <f ca="1">IFERROR(__xludf.DUMMYFUNCTION("GOOGLETRANSLATE(B1871,""ja"",""vi"")"),"Skechers")</f>
        <v>Skechers</v>
      </c>
      <c r="E1871" s="5" t="str">
        <f ca="1">IFERROR(__xludf.DUMMYFUNCTION("GOOGLETRANSLATE(C1871,""ja"",""vi"")"),"Đấu giá&gt; Thời trang&gt; Giày&gt; giày&gt; Skechers")</f>
        <v>Đấu giá&gt; Thời trang&gt; Giày&gt; giày&gt; Skechers</v>
      </c>
      <c r="F1871" t="str">
        <f t="shared" ca="1" si="29"/>
        <v>"2084007809" : "Skechers",</v>
      </c>
    </row>
    <row r="1872" spans="1:6" ht="15.75" customHeight="1">
      <c r="A1872" s="18">
        <v>2084005487</v>
      </c>
      <c r="B1872" s="18" t="s">
        <v>11145</v>
      </c>
      <c r="C1872" s="18" t="s">
        <v>16957</v>
      </c>
      <c r="D1872" s="5" t="str">
        <f ca="1">IFERROR(__xludf.DUMMYFUNCTION("GOOGLETRANSLATE(B1872,""ja"",""vi"")"),"Nike")</f>
        <v>Nike</v>
      </c>
      <c r="E1872" s="5" t="str">
        <f ca="1">IFERROR(__xludf.DUMMYFUNCTION("GOOGLETRANSLATE(C1872,""ja"",""vi"")"),"Đấu giá&gt; Thời trang&gt; Giày dép nam&gt; giày&gt; Nike")</f>
        <v>Đấu giá&gt; Thời trang&gt; Giày dép nam&gt; giày&gt; Nike</v>
      </c>
      <c r="F1872" t="str">
        <f t="shared" ca="1" si="29"/>
        <v>"2084005487" : "Nike",</v>
      </c>
    </row>
    <row r="1873" spans="1:6" ht="15.75" customHeight="1">
      <c r="A1873" s="18">
        <v>2084005490</v>
      </c>
      <c r="B1873" s="18" t="s">
        <v>15488</v>
      </c>
      <c r="C1873" s="18" t="s">
        <v>16959</v>
      </c>
      <c r="D1873" s="5" t="str">
        <f ca="1">IFERROR(__xludf.DUMMYFUNCTION("GOOGLETRANSLATE(B1873,""ja"",""vi"")"),"New Balance")</f>
        <v>New Balance</v>
      </c>
      <c r="E1873" s="5" t="str">
        <f ca="1">IFERROR(__xludf.DUMMYFUNCTION("GOOGLETRANSLATE(C1873,""ja"",""vi"")"),"Đấu giá&gt; Thời trang&gt; Giày dép nam&gt; giày&gt; New Balance")</f>
        <v>Đấu giá&gt; Thời trang&gt; Giày dép nam&gt; giày&gt; New Balance</v>
      </c>
      <c r="F1873" t="str">
        <f t="shared" ca="1" si="29"/>
        <v>"2084005490" : "New Balance",</v>
      </c>
    </row>
    <row r="1874" spans="1:6" ht="15.75" customHeight="1">
      <c r="A1874" s="18">
        <v>2084007237</v>
      </c>
      <c r="B1874" s="18" t="s">
        <v>15492</v>
      </c>
      <c r="C1874" s="18" t="s">
        <v>16962</v>
      </c>
      <c r="D1874" s="5" t="str">
        <f ca="1">IFERROR(__xludf.DUMMYFUNCTION("GOOGLETRANSLATE(B1874,""ja"",""vi"")"),"Vans")</f>
        <v>Vans</v>
      </c>
      <c r="E1874" s="5" t="str">
        <f ca="1">IFERROR(__xludf.DUMMYFUNCTION("GOOGLETRANSLATE(C1874,""ja"",""vi"")"),"Đấu giá&gt; Thời trang&gt; Giày dép nam&gt; giày&gt; Vans")</f>
        <v>Đấu giá&gt; Thời trang&gt; Giày dép nam&gt; giày&gt; Vans</v>
      </c>
      <c r="F1874" t="str">
        <f t="shared" ca="1" si="29"/>
        <v>"2084007237" : "Vans",</v>
      </c>
    </row>
    <row r="1875" spans="1:6" ht="15.75" customHeight="1">
      <c r="A1875" s="18">
        <v>2084007811</v>
      </c>
      <c r="B1875" s="18" t="s">
        <v>15498</v>
      </c>
      <c r="C1875" s="18" t="s">
        <v>16965</v>
      </c>
      <c r="D1875" s="5" t="str">
        <f ca="1">IFERROR(__xludf.DUMMYFUNCTION("GOOGLETRANSLATE(B1875,""ja"",""vi"")"),"Patrick")</f>
        <v>Patrick</v>
      </c>
      <c r="E1875" s="5" t="str">
        <f ca="1">IFERROR(__xludf.DUMMYFUNCTION("GOOGLETRANSLATE(C1875,""ja"",""vi"")"),"Đấu giá&gt; Thời trang&gt; Giày dép nam&gt; giày&gt; Patrick")</f>
        <v>Đấu giá&gt; Thời trang&gt; Giày dép nam&gt; giày&gt; Patrick</v>
      </c>
      <c r="F1875" t="str">
        <f t="shared" ca="1" si="29"/>
        <v>"2084007811" : "Patrick",</v>
      </c>
    </row>
    <row r="1876" spans="1:6" ht="15.75" customHeight="1">
      <c r="A1876" s="18">
        <v>2084007236</v>
      </c>
      <c r="B1876" s="18" t="s">
        <v>11887</v>
      </c>
      <c r="C1876" s="18" t="s">
        <v>16967</v>
      </c>
      <c r="D1876" s="5" t="str">
        <f ca="1">IFERROR(__xludf.DUMMYFUNCTION("GOOGLETRANSLATE(B1876,""ja"",""vi"")"),"giống cọp ở mỹ")</f>
        <v>giống cọp ở mỹ</v>
      </c>
      <c r="E1876" s="5" t="str">
        <f ca="1">IFERROR(__xludf.DUMMYFUNCTION("GOOGLETRANSLATE(C1876,""ja"",""vi"")"),"Đấu giá&gt; Thời trang&gt; Giày dép nam&gt; giày&gt; Puma")</f>
        <v>Đấu giá&gt; Thời trang&gt; Giày dép nam&gt; giày&gt; Puma</v>
      </c>
      <c r="F1876" t="str">
        <f t="shared" ca="1" si="29"/>
        <v>"2084007236" : "giống cọp ở mỹ",</v>
      </c>
    </row>
    <row r="1877" spans="1:6" ht="15.75" customHeight="1">
      <c r="A1877" s="18">
        <v>2084007807</v>
      </c>
      <c r="B1877" s="18" t="s">
        <v>15507</v>
      </c>
      <c r="C1877" s="18" t="s">
        <v>16971</v>
      </c>
      <c r="D1877" s="5" t="str">
        <f ca="1">IFERROR(__xludf.DUMMYFUNCTION("GOOGLETRANSLATE(B1877,""ja"",""vi"")"),"Purokezzu")</f>
        <v>Purokezzu</v>
      </c>
      <c r="E1877" s="5" t="str">
        <f ca="1">IFERROR(__xludf.DUMMYFUNCTION("GOOGLETRANSLATE(C1877,""ja"",""vi"")"),"Đấu giá&gt; Thời trang&gt; Giày dép nam&gt; giày&gt; Purokezzu")</f>
        <v>Đấu giá&gt; Thời trang&gt; Giày dép nam&gt; giày&gt; Purokezzu</v>
      </c>
      <c r="F1877" t="str">
        <f t="shared" ca="1" si="29"/>
        <v>"2084007807" : "Purokezzu",</v>
      </c>
    </row>
    <row r="1878" spans="1:6" ht="15.75" customHeight="1">
      <c r="A1878" s="18">
        <v>2084007235</v>
      </c>
      <c r="B1878" s="18" t="s">
        <v>15511</v>
      </c>
      <c r="C1878" s="18" t="s">
        <v>16974</v>
      </c>
      <c r="D1878" s="5" t="str">
        <f ca="1">IFERROR(__xludf.DUMMYFUNCTION("GOOGLETRANSLATE(B1878,""ja"",""vi"")"),"Reebok")</f>
        <v>Reebok</v>
      </c>
      <c r="E1878" s="5" t="str">
        <f ca="1">IFERROR(__xludf.DUMMYFUNCTION("GOOGLETRANSLATE(C1878,""ja"",""vi"")"),"Đấu giá&gt; Thời trang&gt; Giày dép nam&gt; giày&gt; Reebok")</f>
        <v>Đấu giá&gt; Thời trang&gt; Giày dép nam&gt; giày&gt; Reebok</v>
      </c>
      <c r="F1878" t="str">
        <f t="shared" ca="1" si="29"/>
        <v>"2084007235" : "Reebok",</v>
      </c>
    </row>
    <row r="1879" spans="1:6" ht="15.75" customHeight="1">
      <c r="A1879" s="18">
        <v>2084005491</v>
      </c>
      <c r="B1879" s="18" t="s">
        <v>46</v>
      </c>
      <c r="C1879" s="18" t="s">
        <v>16976</v>
      </c>
      <c r="D1879" s="5" t="str">
        <f ca="1">IFERROR(__xludf.DUMMYFUNCTION("GOOGLETRANSLATE(B1879,""ja"",""vi"")"),"nếu không thì")</f>
        <v>nếu không thì</v>
      </c>
      <c r="E1879" s="5" t="str">
        <f ca="1">IFERROR(__xludf.DUMMYFUNCTION("GOOGLETRANSLATE(C1879,""ja"",""vi"")"),"Đấu giá&gt; Thời trang&gt; Giày dép nam&gt; giày&gt; Khác")</f>
        <v>Đấu giá&gt; Thời trang&gt; Giày dép nam&gt; giày&gt; Khác</v>
      </c>
      <c r="F1879" t="str">
        <f t="shared" ca="1" si="29"/>
        <v>"2084005491" : "nếu không thì",</v>
      </c>
    </row>
    <row r="1880" spans="1:6" ht="15.75" customHeight="1">
      <c r="A1880" s="18">
        <v>2084213375</v>
      </c>
      <c r="B1880" s="18" t="s">
        <v>16979</v>
      </c>
      <c r="C1880" s="18" t="s">
        <v>16980</v>
      </c>
      <c r="D1880" s="5" t="str">
        <f ca="1">IFERROR(__xludf.DUMMYFUNCTION("GOOGLETRANSLATE(B1880,""ja"",""vi"")"),"24.0cm dưới đây")</f>
        <v>24.0cm dưới đây</v>
      </c>
      <c r="E1880" s="5" t="str">
        <f ca="1">IFERROR(__xludf.DUMMYFUNCTION("GOOGLETRANSLATE(C1880,""ja"",""vi"")"),"Đấu giá&gt; giày thời trang&gt; nam&gt; dép&gt; 24.0cm dưới đây")</f>
        <v>Đấu giá&gt; giày thời trang&gt; nam&gt; dép&gt; 24.0cm dưới đây</v>
      </c>
      <c r="F1880" t="str">
        <f t="shared" ca="1" si="29"/>
        <v>"2084213375" : "24.0cm dưới đây",</v>
      </c>
    </row>
    <row r="1881" spans="1:6" ht="15.75" customHeight="1">
      <c r="A1881" s="18">
        <v>2084213376</v>
      </c>
      <c r="B1881" s="18" t="s">
        <v>15449</v>
      </c>
      <c r="C1881" s="18" t="s">
        <v>16984</v>
      </c>
      <c r="D1881" s="5" t="str">
        <f ca="1">IFERROR(__xludf.DUMMYFUNCTION("GOOGLETRANSLATE(B1881,""ja"",""vi"")"),"24.5cm")</f>
        <v>24.5cm</v>
      </c>
      <c r="E1881" s="5" t="str">
        <f ca="1">IFERROR(__xludf.DUMMYFUNCTION("GOOGLETRANSLATE(C1881,""ja"",""vi"")"),"Đấu giá&gt; Thời trang&gt; Giày&gt; dép&gt; 24.5cm")</f>
        <v>Đấu giá&gt; Thời trang&gt; Giày&gt; dép&gt; 24.5cm</v>
      </c>
      <c r="F1881" t="str">
        <f t="shared" ca="1" si="29"/>
        <v>"2084213376" : "24.5cm",</v>
      </c>
    </row>
    <row r="1882" spans="1:6" ht="15.75" customHeight="1">
      <c r="A1882" s="18">
        <v>2084213377</v>
      </c>
      <c r="B1882" s="18" t="s">
        <v>15453</v>
      </c>
      <c r="C1882" s="18" t="s">
        <v>16986</v>
      </c>
      <c r="D1882" s="5" t="str">
        <f ca="1">IFERROR(__xludf.DUMMYFUNCTION("GOOGLETRANSLATE(B1882,""ja"",""vi"")"),"25,0cm")</f>
        <v>25,0cm</v>
      </c>
      <c r="E1882" s="5" t="str">
        <f ca="1">IFERROR(__xludf.DUMMYFUNCTION("GOOGLETRANSLATE(C1882,""ja"",""vi"")"),"Đấu giá&gt; Thời trang&gt; Giày&gt; dép&gt; 25,0cm")</f>
        <v>Đấu giá&gt; Thời trang&gt; Giày&gt; dép&gt; 25,0cm</v>
      </c>
      <c r="F1882" t="str">
        <f t="shared" ca="1" si="29"/>
        <v>"2084213377" : "25,0cm",</v>
      </c>
    </row>
    <row r="1883" spans="1:6" ht="15.75" customHeight="1">
      <c r="A1883" s="18">
        <v>2084213378</v>
      </c>
      <c r="B1883" s="18" t="s">
        <v>15457</v>
      </c>
      <c r="C1883" s="18" t="s">
        <v>16988</v>
      </c>
      <c r="D1883" s="5" t="str">
        <f ca="1">IFERROR(__xludf.DUMMYFUNCTION("GOOGLETRANSLATE(B1883,""ja"",""vi"")"),"25.5cm")</f>
        <v>25.5cm</v>
      </c>
      <c r="E1883" s="5" t="str">
        <f ca="1">IFERROR(__xludf.DUMMYFUNCTION("GOOGLETRANSLATE(C1883,""ja"",""vi"")"),"Đấu giá&gt; Thời trang&gt; Giày&gt; dép&gt; 25.5cm")</f>
        <v>Đấu giá&gt; Thời trang&gt; Giày&gt; dép&gt; 25.5cm</v>
      </c>
      <c r="F1883" t="str">
        <f t="shared" ca="1" si="29"/>
        <v>"2084213378" : "25.5cm",</v>
      </c>
    </row>
    <row r="1884" spans="1:6" ht="15.75" customHeight="1">
      <c r="A1884" s="18">
        <v>2084213380</v>
      </c>
      <c r="B1884" s="18" t="s">
        <v>16990</v>
      </c>
      <c r="C1884" s="18" t="s">
        <v>16991</v>
      </c>
      <c r="D1884" s="5" t="str">
        <f ca="1">IFERROR(__xludf.DUMMYFUNCTION("GOOGLETRANSLATE(B1884,""ja"",""vi"")"),"26.0cm")</f>
        <v>26.0cm</v>
      </c>
      <c r="E1884" s="5" t="str">
        <f ca="1">IFERROR(__xludf.DUMMYFUNCTION("GOOGLETRANSLATE(C1884,""ja"",""vi"")"),"Đấu giá&gt; Thời trang&gt; Giày&gt; dép&gt; 26.0cm")</f>
        <v>Đấu giá&gt; Thời trang&gt; Giày&gt; dép&gt; 26.0cm</v>
      </c>
      <c r="F1884" t="str">
        <f t="shared" ca="1" si="29"/>
        <v>"2084213380" : "26.0cm",</v>
      </c>
    </row>
    <row r="1885" spans="1:6" ht="15.75" customHeight="1">
      <c r="A1885" s="18">
        <v>2084213381</v>
      </c>
      <c r="B1885" s="18" t="s">
        <v>16992</v>
      </c>
      <c r="C1885" s="18" t="s">
        <v>16993</v>
      </c>
      <c r="D1885" s="5" t="str">
        <f ca="1">IFERROR(__xludf.DUMMYFUNCTION("GOOGLETRANSLATE(B1885,""ja"",""vi"")"),"26.5cm")</f>
        <v>26.5cm</v>
      </c>
      <c r="E1885" s="5" t="str">
        <f ca="1">IFERROR(__xludf.DUMMYFUNCTION("GOOGLETRANSLATE(C1885,""ja"",""vi"")"),"Đấu giá&gt; Thời trang&gt; Giày&gt; dép&gt; 26.5cm")</f>
        <v>Đấu giá&gt; Thời trang&gt; Giày&gt; dép&gt; 26.5cm</v>
      </c>
      <c r="F1885" t="str">
        <f t="shared" ca="1" si="29"/>
        <v>"2084213381" : "26.5cm",</v>
      </c>
    </row>
    <row r="1886" spans="1:6" ht="15.75" customHeight="1">
      <c r="A1886" s="18">
        <v>2084213382</v>
      </c>
      <c r="B1886" s="18" t="s">
        <v>16994</v>
      </c>
      <c r="C1886" s="18" t="s">
        <v>16995</v>
      </c>
      <c r="D1886" s="5" t="str">
        <f ca="1">IFERROR(__xludf.DUMMYFUNCTION("GOOGLETRANSLATE(B1886,""ja"",""vi"")"),"27.0cm")</f>
        <v>27.0cm</v>
      </c>
      <c r="E1886" s="5" t="str">
        <f ca="1">IFERROR(__xludf.DUMMYFUNCTION("GOOGLETRANSLATE(C1886,""ja"",""vi"")"),"Đấu giá&gt; Thời trang&gt; Giày&gt; dép&gt; 27.0cm")</f>
        <v>Đấu giá&gt; Thời trang&gt; Giày&gt; dép&gt; 27.0cm</v>
      </c>
      <c r="F1886" t="str">
        <f t="shared" ca="1" si="29"/>
        <v>"2084213382" : "27.0cm",</v>
      </c>
    </row>
    <row r="1887" spans="1:6" ht="15.75" customHeight="1">
      <c r="A1887" s="18">
        <v>2084213383</v>
      </c>
      <c r="B1887" s="18" t="s">
        <v>16996</v>
      </c>
      <c r="C1887" s="18" t="s">
        <v>16997</v>
      </c>
      <c r="D1887" s="5" t="str">
        <f ca="1">IFERROR(__xludf.DUMMYFUNCTION("GOOGLETRANSLATE(B1887,""ja"",""vi"")"),"27.5cm")</f>
        <v>27.5cm</v>
      </c>
      <c r="E1887" s="5" t="str">
        <f ca="1">IFERROR(__xludf.DUMMYFUNCTION("GOOGLETRANSLATE(C1887,""ja"",""vi"")"),"Đấu giá&gt; Thời trang&gt; Giày&gt; dép&gt; 27.5cm")</f>
        <v>Đấu giá&gt; Thời trang&gt; Giày&gt; dép&gt; 27.5cm</v>
      </c>
      <c r="F1887" t="str">
        <f t="shared" ca="1" si="29"/>
        <v>"2084213383" : "27.5cm",</v>
      </c>
    </row>
    <row r="1888" spans="1:6" ht="15.75" customHeight="1">
      <c r="A1888" s="18">
        <v>2084213384</v>
      </c>
      <c r="B1888" s="18" t="s">
        <v>16998</v>
      </c>
      <c r="C1888" s="18" t="s">
        <v>16999</v>
      </c>
      <c r="D1888" s="5" t="str">
        <f ca="1">IFERROR(__xludf.DUMMYFUNCTION("GOOGLETRANSLATE(B1888,""ja"",""vi"")"),"Hơn 28.0cm")</f>
        <v>Hơn 28.0cm</v>
      </c>
      <c r="E1888" s="5" t="str">
        <f ca="1">IFERROR(__xludf.DUMMYFUNCTION("GOOGLETRANSLATE(C1888,""ja"",""vi"")"),"Đấu giá&gt; Thời trang&gt; Giày&gt; dép&gt; hơn 28.0cm")</f>
        <v>Đấu giá&gt; Thời trang&gt; Giày&gt; dép&gt; hơn 28.0cm</v>
      </c>
      <c r="F1888" t="str">
        <f t="shared" ca="1" si="29"/>
        <v>"2084213384" : "Hơn 28.0cm",</v>
      </c>
    </row>
    <row r="1889" spans="1:6" ht="15.75" customHeight="1">
      <c r="A1889" s="18">
        <v>2084301262</v>
      </c>
      <c r="B1889" s="18" t="s">
        <v>9772</v>
      </c>
      <c r="C1889" s="18" t="s">
        <v>17000</v>
      </c>
      <c r="D1889" s="5" t="str">
        <f ca="1">IFERROR(__xludf.DUMMYFUNCTION("GOOGLETRANSLATE(B1889,""ja"",""vi"")"),"KEEN")</f>
        <v>KEEN</v>
      </c>
      <c r="E1889" s="5" t="str">
        <f ca="1">IFERROR(__xludf.DUMMYFUNCTION("GOOGLETRANSLATE(C1889,""ja"",""vi"")"),"Đấu giá&gt; Thời trang&gt; Giày dép nam&gt; dép&gt; Keen")</f>
        <v>Đấu giá&gt; Thời trang&gt; Giày dép nam&gt; dép&gt; Keen</v>
      </c>
      <c r="F1889" t="str">
        <f t="shared" ca="1" si="29"/>
        <v>"2084301262" : "KEEN",</v>
      </c>
    </row>
    <row r="1890" spans="1:6" ht="15.75" customHeight="1">
      <c r="A1890" s="18">
        <v>2084232995</v>
      </c>
      <c r="B1890" s="18" t="s">
        <v>9943</v>
      </c>
      <c r="C1890" s="18" t="s">
        <v>17003</v>
      </c>
      <c r="D1890" s="5" t="str">
        <f ca="1">IFERROR(__xludf.DUMMYFUNCTION("GOOGLETRANSLATE(B1890,""ja"",""vi"")"),"Crocs")</f>
        <v>Crocs</v>
      </c>
      <c r="E1890" s="5" t="str">
        <f ca="1">IFERROR(__xludf.DUMMYFUNCTION("GOOGLETRANSLATE(C1890,""ja"",""vi"")"),"Đấu giá&gt; Thời trang&gt; Giày dép nam&gt; Sandals&gt; Crocs")</f>
        <v>Đấu giá&gt; Thời trang&gt; Giày dép nam&gt; Sandals&gt; Crocs</v>
      </c>
      <c r="F1890" t="str">
        <f t="shared" ca="1" si="29"/>
        <v>"2084232995" : "Crocs",</v>
      </c>
    </row>
    <row r="1891" spans="1:6" ht="15.75" customHeight="1">
      <c r="A1891" s="18">
        <v>2084056118</v>
      </c>
      <c r="B1891" s="18" t="s">
        <v>11743</v>
      </c>
      <c r="C1891" s="18" t="s">
        <v>17005</v>
      </c>
      <c r="D1891" s="5" t="str">
        <f ca="1">IFERROR(__xludf.DUMMYFUNCTION("GOOGLETRANSLATE(B1891,""ja"",""vi"")"),"Birkenstock")</f>
        <v>Birkenstock</v>
      </c>
      <c r="E1891" s="5" t="str">
        <f ca="1">IFERROR(__xludf.DUMMYFUNCTION("GOOGLETRANSLATE(C1891,""ja"",""vi"")"),"Đấu giá&gt; Thời trang&gt; Giày dép nam&gt; Sandals&gt; Birkenstock")</f>
        <v>Đấu giá&gt; Thời trang&gt; Giày dép nam&gt; Sandals&gt; Birkenstock</v>
      </c>
      <c r="F1891" t="str">
        <f t="shared" ca="1" si="29"/>
        <v>"2084056118" : "Birkenstock",</v>
      </c>
    </row>
    <row r="1892" spans="1:6" ht="15.75" customHeight="1">
      <c r="A1892" s="18">
        <v>2084007823</v>
      </c>
      <c r="B1892" s="18" t="s">
        <v>2241</v>
      </c>
      <c r="C1892" s="18" t="s">
        <v>17006</v>
      </c>
      <c r="D1892" s="5" t="str">
        <f ca="1">IFERROR(__xludf.DUMMYFUNCTION("GOOGLETRANSLATE(B1892,""ja"",""vi"")"),"chung")</f>
        <v>chung</v>
      </c>
      <c r="E1892" s="5" t="str">
        <f ca="1">IFERROR(__xludf.DUMMYFUNCTION("GOOGLETRANSLATE(C1892,""ja"",""vi"")"),"Đấu giá&gt; Thời trang&gt; Giày dép nam&gt; Boots&gt; General")</f>
        <v>Đấu giá&gt; Thời trang&gt; Giày dép nam&gt; Boots&gt; General</v>
      </c>
      <c r="F1892" t="str">
        <f t="shared" ca="1" si="29"/>
        <v>"2084007823" : "chung",</v>
      </c>
    </row>
    <row r="1893" spans="1:6" ht="15.75" customHeight="1">
      <c r="A1893" s="18">
        <v>2084237254</v>
      </c>
      <c r="B1893" s="18" t="s">
        <v>17008</v>
      </c>
      <c r="C1893" s="18" t="s">
        <v>17009</v>
      </c>
      <c r="D1893" s="5" t="str">
        <f ca="1">IFERROR(__xludf.DUMMYFUNCTION("GOOGLETRANSLATE(B1893,""ja"",""vi"")"),"giày tây")</f>
        <v>giày tây</v>
      </c>
      <c r="E1893" s="5" t="str">
        <f ca="1">IFERROR(__xludf.DUMMYFUNCTION("GOOGLETRANSLATE(C1893,""ja"",""vi"")"),"Đấu giá&gt; Thời trang&gt; Giày&gt; khởi động&gt; giày tây")</f>
        <v>Đấu giá&gt; Thời trang&gt; Giày&gt; khởi động&gt; giày tây</v>
      </c>
      <c r="F1893" t="str">
        <f t="shared" ca="1" si="29"/>
        <v>"2084237254" : "giày tây",</v>
      </c>
    </row>
    <row r="1894" spans="1:6" ht="15.75" customHeight="1">
      <c r="A1894" s="18">
        <v>2084237240</v>
      </c>
      <c r="B1894" s="18" t="s">
        <v>17012</v>
      </c>
      <c r="C1894" s="18" t="s">
        <v>17013</v>
      </c>
      <c r="D1894" s="5" t="str">
        <f ca="1">IFERROR(__xludf.DUMMYFUNCTION("GOOGLETRANSLATE(B1894,""ja"",""vi"")"),"khởi động Engineer")</f>
        <v>khởi động Engineer</v>
      </c>
      <c r="E1894" s="5" t="str">
        <f ca="1">IFERROR(__xludf.DUMMYFUNCTION("GOOGLETRANSLATE(C1894,""ja"",""vi"")"),"Đấu giá&gt; Thời trang&gt; Giày&gt; khởi động&gt; khởi động kỹ sư")</f>
        <v>Đấu giá&gt; Thời trang&gt; Giày&gt; khởi động&gt; khởi động kỹ sư</v>
      </c>
      <c r="F1894" t="str">
        <f t="shared" ca="1" si="29"/>
        <v>"2084237240" : "khởi động Engineer",</v>
      </c>
    </row>
    <row r="1895" spans="1:6" ht="15.75" customHeight="1">
      <c r="A1895" s="18">
        <v>2084238680</v>
      </c>
      <c r="B1895" s="18" t="s">
        <v>15587</v>
      </c>
      <c r="C1895" s="18" t="s">
        <v>17016</v>
      </c>
      <c r="D1895" s="5" t="str">
        <f ca="1">IFERROR(__xludf.DUMMYFUNCTION("GOOGLETRANSLATE(B1895,""ja"",""vi"")"),"UGG")</f>
        <v>UGG</v>
      </c>
      <c r="E1895" s="5" t="str">
        <f ca="1">IFERROR(__xludf.DUMMYFUNCTION("GOOGLETRANSLATE(C1895,""ja"",""vi"")"),"Đấu giá&gt; Thời trang&gt; Giày&gt; Boots&gt; UGG")</f>
        <v>Đấu giá&gt; Thời trang&gt; Giày&gt; Boots&gt; UGG</v>
      </c>
      <c r="F1895" t="str">
        <f t="shared" ca="1" si="29"/>
        <v>"2084238680" : "UGG",</v>
      </c>
    </row>
    <row r="1896" spans="1:6" ht="15.75" customHeight="1">
      <c r="A1896" s="18">
        <v>2084007827</v>
      </c>
      <c r="B1896" s="18" t="s">
        <v>17017</v>
      </c>
      <c r="C1896" s="18" t="s">
        <v>17019</v>
      </c>
      <c r="D1896" s="5" t="str">
        <f ca="1">IFERROR(__xludf.DUMMYFUNCTION("GOOGLETRANSLATE(B1896,""ja"",""vi"")"),"Alfred Bannister")</f>
        <v>Alfred Bannister</v>
      </c>
      <c r="E1896" s="5" t="str">
        <f ca="1">IFERROR(__xludf.DUMMYFUNCTION("GOOGLETRANSLATE(C1896,""ja"",""vi"")"),"Đấu giá&gt; Thời trang&gt; Giày dép nam&gt; Boots&gt; Alfred Bannister")</f>
        <v>Đấu giá&gt; Thời trang&gt; Giày dép nam&gt; Boots&gt; Alfred Bannister</v>
      </c>
      <c r="F1896" t="str">
        <f t="shared" ca="1" si="29"/>
        <v>"2084007827" : "Alfred Bannister",</v>
      </c>
    </row>
    <row r="1897" spans="1:6" ht="15.75" customHeight="1">
      <c r="A1897" s="18">
        <v>2084232944</v>
      </c>
      <c r="B1897" s="18" t="s">
        <v>9151</v>
      </c>
      <c r="C1897" s="18" t="s">
        <v>17021</v>
      </c>
      <c r="D1897" s="5" t="str">
        <f ca="1">IFERROR(__xludf.DUMMYFUNCTION("GOOGLETRANSLATE(B1897,""ja"",""vi"")"),"Wesco")</f>
        <v>Wesco</v>
      </c>
      <c r="E1897" s="5" t="str">
        <f ca="1">IFERROR(__xludf.DUMMYFUNCTION("GOOGLETRANSLATE(C1897,""ja"",""vi"")"),"Đấu giá&gt; Thời trang&gt; Giày dép nam&gt; Boots&gt; Wesco")</f>
        <v>Đấu giá&gt; Thời trang&gt; Giày dép nam&gt; Boots&gt; Wesco</v>
      </c>
      <c r="F1897" t="str">
        <f t="shared" ca="1" si="29"/>
        <v>"2084232944" : "Wesco",</v>
      </c>
    </row>
    <row r="1898" spans="1:6" ht="15.75" customHeight="1">
      <c r="A1898" s="18">
        <v>2084244364</v>
      </c>
      <c r="B1898" s="18" t="s">
        <v>15592</v>
      </c>
      <c r="C1898" s="18" t="s">
        <v>17024</v>
      </c>
      <c r="D1898" s="5" t="str">
        <f ca="1">IFERROR(__xludf.DUMMYFUNCTION("GOOGLETRANSLATE(B1898,""ja"",""vi"")"),"emu")</f>
        <v>emu</v>
      </c>
      <c r="E1898" s="5" t="str">
        <f ca="1">IFERROR(__xludf.DUMMYFUNCTION("GOOGLETRANSLATE(C1898,""ja"",""vi"")"),"Đấu giá&gt; Thời trang&gt; Giày dép nam&gt; Boots&gt; Emu")</f>
        <v>Đấu giá&gt; Thời trang&gt; Giày dép nam&gt; Boots&gt; Emu</v>
      </c>
      <c r="F1898" t="str">
        <f t="shared" ca="1" si="29"/>
        <v>"2084244364" : "emu",</v>
      </c>
    </row>
    <row r="1899" spans="1:6" ht="15.75" customHeight="1">
      <c r="A1899" s="18">
        <v>2084007818</v>
      </c>
      <c r="B1899" s="18" t="s">
        <v>9834</v>
      </c>
      <c r="C1899" s="18" t="s">
        <v>17026</v>
      </c>
      <c r="D1899" s="5" t="str">
        <f ca="1">IFERROR(__xludf.DUMMYFUNCTION("GOOGLETRANSLATE(B1899,""ja"",""vi"")"),"Clarks")</f>
        <v>Clarks</v>
      </c>
      <c r="E1899" s="5" t="str">
        <f ca="1">IFERROR(__xludf.DUMMYFUNCTION("GOOGLETRANSLATE(C1899,""ja"",""vi"")"),"Đấu giá&gt; Thời trang&gt; Giày&gt; Boots&gt; Clarks")</f>
        <v>Đấu giá&gt; Thời trang&gt; Giày&gt; Boots&gt; Clarks</v>
      </c>
      <c r="F1899" t="str">
        <f t="shared" ca="1" si="29"/>
        <v>"2084007818" : "Clarks",</v>
      </c>
    </row>
    <row r="1900" spans="1:6" ht="15.75" customHeight="1">
      <c r="A1900" s="18">
        <v>2084007817</v>
      </c>
      <c r="B1900" s="18" t="s">
        <v>10383</v>
      </c>
      <c r="C1900" s="18" t="s">
        <v>17027</v>
      </c>
      <c r="D1900" s="5" t="str">
        <f ca="1">IFERROR(__xludf.DUMMYFUNCTION("GOOGLETRANSLATE(B1900,""ja"",""vi"")"),"George Cox")</f>
        <v>George Cox</v>
      </c>
      <c r="E1900" s="5" t="str">
        <f ca="1">IFERROR(__xludf.DUMMYFUNCTION("GOOGLETRANSLATE(C1900,""ja"",""vi"")"),"Đấu giá&gt; Thời trang&gt; Giày dép nam&gt; Boots&gt; George Cox")</f>
        <v>Đấu giá&gt; Thời trang&gt; Giày dép nam&gt; Boots&gt; George Cox</v>
      </c>
      <c r="F1900" t="str">
        <f t="shared" ca="1" si="29"/>
        <v>"2084007817" : "George Cox",</v>
      </c>
    </row>
    <row r="1901" spans="1:6" ht="15.75" customHeight="1">
      <c r="A1901" s="18">
        <v>2084007826</v>
      </c>
      <c r="B1901" s="18" t="s">
        <v>10705</v>
      </c>
      <c r="C1901" s="18" t="s">
        <v>17028</v>
      </c>
      <c r="D1901" s="5" t="str">
        <f ca="1">IFERROR(__xludf.DUMMYFUNCTION("GOOGLETRANSLATE(B1901,""ja"",""vi"")"),"Danner")</f>
        <v>Danner</v>
      </c>
      <c r="E1901" s="5" t="str">
        <f ca="1">IFERROR(__xludf.DUMMYFUNCTION("GOOGLETRANSLATE(C1901,""ja"",""vi"")"),"Đấu giá&gt; Thời trang&gt; Giày dép nam&gt; giày&gt; Danner")</f>
        <v>Đấu giá&gt; Thời trang&gt; Giày dép nam&gt; giày&gt; Danner</v>
      </c>
      <c r="F1901" t="str">
        <f t="shared" ca="1" si="29"/>
        <v>"2084007826" : "Danner",</v>
      </c>
    </row>
    <row r="1902" spans="1:6" ht="15.75" customHeight="1">
      <c r="A1902" s="18">
        <v>2084007821</v>
      </c>
      <c r="B1902" s="18" t="s">
        <v>10775</v>
      </c>
      <c r="C1902" s="18" t="s">
        <v>17029</v>
      </c>
      <c r="D1902" s="5" t="str">
        <f ca="1">IFERROR(__xludf.DUMMYFUNCTION("GOOGLETRANSLATE(B1902,""ja"",""vi"")"),"Chippewa")</f>
        <v>Chippewa</v>
      </c>
      <c r="E1902" s="5" t="str">
        <f ca="1">IFERROR(__xludf.DUMMYFUNCTION("GOOGLETRANSLATE(C1902,""ja"",""vi"")"),"Đấu giá&gt; Thời trang&gt; Giày dép nam&gt; Boots&gt; Chippewa")</f>
        <v>Đấu giá&gt; Thời trang&gt; Giày dép nam&gt; Boots&gt; Chippewa</v>
      </c>
      <c r="F1902" t="str">
        <f t="shared" ca="1" si="29"/>
        <v>"2084007821" : "Chippewa",</v>
      </c>
    </row>
    <row r="1903" spans="1:6" ht="15.75" customHeight="1">
      <c r="A1903" s="18">
        <v>2084007824</v>
      </c>
      <c r="B1903" s="18" t="s">
        <v>10910</v>
      </c>
      <c r="C1903" s="18" t="s">
        <v>17030</v>
      </c>
      <c r="D1903" s="5" t="str">
        <f ca="1">IFERROR(__xludf.DUMMYFUNCTION("GOOGLETRANSLATE(B1903,""ja"",""vi"")"),"Timberland")</f>
        <v>Timberland</v>
      </c>
      <c r="E1903" s="5" t="str">
        <f ca="1">IFERROR(__xludf.DUMMYFUNCTION("GOOGLETRANSLATE(C1903,""ja"",""vi"")"),"Đấu giá&gt; Thời trang&gt; Giày dép nam&gt; Boots&gt; Timberland")</f>
        <v>Đấu giá&gt; Thời trang&gt; Giày dép nam&gt; Boots&gt; Timberland</v>
      </c>
      <c r="F1903" t="str">
        <f t="shared" ca="1" si="29"/>
        <v>"2084007824" : "Timberland",</v>
      </c>
    </row>
    <row r="1904" spans="1:6" ht="15.75" customHeight="1">
      <c r="A1904" s="18">
        <v>2084007822</v>
      </c>
      <c r="B1904" s="18" t="s">
        <v>11038</v>
      </c>
      <c r="C1904" s="18" t="s">
        <v>17031</v>
      </c>
      <c r="D1904" s="5" t="str">
        <f ca="1">IFERROR(__xludf.DUMMYFUNCTION("GOOGLETRANSLATE(B1904,""ja"",""vi"")"),"Tony Lama")</f>
        <v>Tony Lama</v>
      </c>
      <c r="E1904" s="5" t="str">
        <f ca="1">IFERROR(__xludf.DUMMYFUNCTION("GOOGLETRANSLATE(C1904,""ja"",""vi"")"),"Đấu giá&gt; Thời trang&gt; Giày dép nam&gt; Boots&gt; Tony Lama")</f>
        <v>Đấu giá&gt; Thời trang&gt; Giày dép nam&gt; Boots&gt; Tony Lama</v>
      </c>
      <c r="F1904" t="str">
        <f t="shared" ca="1" si="29"/>
        <v>"2084007822" : "Tony Lama",</v>
      </c>
    </row>
    <row r="1905" spans="1:6" ht="15.75" customHeight="1">
      <c r="A1905" s="18">
        <v>2084007819</v>
      </c>
      <c r="B1905" s="18" t="s">
        <v>11019</v>
      </c>
      <c r="C1905" s="18" t="s">
        <v>17032</v>
      </c>
      <c r="D1905" s="5" t="str">
        <f ca="1">IFERROR(__xludf.DUMMYFUNCTION("GOOGLETRANSLATE(B1905,""ja"",""vi"")"),"Tiến sĩ Martin")</f>
        <v>Tiến sĩ Martin</v>
      </c>
      <c r="E1905" s="5" t="str">
        <f ca="1">IFERROR(__xludf.DUMMYFUNCTION("GOOGLETRANSLATE(C1905,""ja"",""vi"")"),"Đấu giá&gt; Thời trang&gt; Giày dép nam&gt; giày&gt; Tiến sĩ Martin")</f>
        <v>Đấu giá&gt; Thời trang&gt; Giày dép nam&gt; giày&gt; Tiến sĩ Martin</v>
      </c>
      <c r="F1905" t="str">
        <f t="shared" ca="1" si="29"/>
        <v>"2084007819" : "Tiến sĩ Martin",</v>
      </c>
    </row>
    <row r="1906" spans="1:6" ht="15.75" customHeight="1">
      <c r="A1906" s="18">
        <v>2084232962</v>
      </c>
      <c r="B1906" s="18" t="s">
        <v>11547</v>
      </c>
      <c r="C1906" s="18" t="s">
        <v>17033</v>
      </c>
      <c r="D1906" s="5" t="str">
        <f ca="1">IFERROR(__xludf.DUMMYFUNCTION("GOOGLETRANSLATE(B1906,""ja"",""vi"")"),"Parabutsu")</f>
        <v>Parabutsu</v>
      </c>
      <c r="E1906" s="5" t="str">
        <f ca="1">IFERROR(__xludf.DUMMYFUNCTION("GOOGLETRANSLATE(C1906,""ja"",""vi"")"),"Đấu giá&gt; Thời trang&gt; Giày dép nam&gt; Boots&gt; Parabutsu")</f>
        <v>Đấu giá&gt; Thời trang&gt; Giày dép nam&gt; Boots&gt; Parabutsu</v>
      </c>
      <c r="F1906" t="str">
        <f t="shared" ca="1" si="29"/>
        <v>"2084232962" : "Parabutsu",</v>
      </c>
    </row>
    <row r="1907" spans="1:6" ht="15.75" customHeight="1">
      <c r="A1907" s="18">
        <v>2084244354</v>
      </c>
      <c r="B1907" s="18" t="s">
        <v>11893</v>
      </c>
      <c r="C1907" s="18" t="s">
        <v>17034</v>
      </c>
      <c r="D1907" s="5" t="str">
        <f ca="1">IFERROR(__xludf.DUMMYFUNCTION("GOOGLETRANSLATE(B1907,""ja"",""vi"")"),"Fly")</f>
        <v>Fly</v>
      </c>
      <c r="E1907" s="5" t="str">
        <f ca="1">IFERROR(__xludf.DUMMYFUNCTION("GOOGLETRANSLATE(C1907,""ja"",""vi"")"),"Đấu giá&gt; Thời trang&gt; Giày dép nam&gt; Boots&gt; Fly")</f>
        <v>Đấu giá&gt; Thời trang&gt; Giày dép nam&gt; Boots&gt; Fly</v>
      </c>
      <c r="F1907" t="str">
        <f t="shared" ca="1" si="29"/>
        <v>"2084244354" : "Fly",</v>
      </c>
    </row>
    <row r="1908" spans="1:6" ht="15.75" customHeight="1">
      <c r="A1908" s="18">
        <v>2084007820</v>
      </c>
      <c r="B1908" s="18" t="s">
        <v>17035</v>
      </c>
      <c r="C1908" s="18" t="s">
        <v>17036</v>
      </c>
      <c r="D1908" s="5" t="str">
        <f ca="1">IFERROR(__xludf.DUMMYFUNCTION("GOOGLETRANSLATE(B1908,""ja"",""vi"")"),"Hawkins")</f>
        <v>Hawkins</v>
      </c>
      <c r="E1908" s="5" t="str">
        <f ca="1">IFERROR(__xludf.DUMMYFUNCTION("GOOGLETRANSLATE(C1908,""ja"",""vi"")"),"Đấu giá&gt; Thời trang&gt; Giày dép nam&gt; Boots&gt; Hawkins")</f>
        <v>Đấu giá&gt; Thời trang&gt; Giày dép nam&gt; Boots&gt; Hawkins</v>
      </c>
      <c r="F1908" t="str">
        <f t="shared" ca="1" si="29"/>
        <v>"2084007820" : "Hawkins",</v>
      </c>
    </row>
    <row r="1909" spans="1:6" ht="15.75" customHeight="1">
      <c r="A1909" s="18">
        <v>2084232959</v>
      </c>
      <c r="B1909" s="18" t="s">
        <v>12267</v>
      </c>
      <c r="C1909" s="18" t="s">
        <v>17038</v>
      </c>
      <c r="D1909" s="5" t="str">
        <f ca="1">IFERROR(__xludf.DUMMYFUNCTION("GOOGLETRANSLATE(B1909,""ja"",""vi"")"),"Howaitsubutsu")</f>
        <v>Howaitsubutsu</v>
      </c>
      <c r="E1909" s="5" t="str">
        <f ca="1">IFERROR(__xludf.DUMMYFUNCTION("GOOGLETRANSLATE(C1909,""ja"",""vi"")"),"Đấu giá&gt; Thời trang&gt; Giày dép nam&gt; giày&gt; Howaitsubutsu")</f>
        <v>Đấu giá&gt; Thời trang&gt; Giày dép nam&gt; giày&gt; Howaitsubutsu</v>
      </c>
      <c r="F1909" t="str">
        <f t="shared" ca="1" si="29"/>
        <v>"2084232959" : "Howaitsubutsu",</v>
      </c>
    </row>
    <row r="1910" spans="1:6" ht="15.75" customHeight="1">
      <c r="A1910" s="18">
        <v>2084232965</v>
      </c>
      <c r="B1910" s="18" t="s">
        <v>12746</v>
      </c>
      <c r="C1910" s="18" t="s">
        <v>17040</v>
      </c>
      <c r="D1910" s="5" t="str">
        <f ca="1">IFERROR(__xludf.DUMMYFUNCTION("GOOGLETRANSLATE(B1910,""ja"",""vi"")"),"Russell Moccasin")</f>
        <v>Russell Moccasin</v>
      </c>
      <c r="E1910" s="5" t="str">
        <f ca="1">IFERROR(__xludf.DUMMYFUNCTION("GOOGLETRANSLATE(C1910,""ja"",""vi"")"),"Đấu giá&gt; Thời trang&gt; Giày dép nam&gt; Boots&gt; Russell Moccasin")</f>
        <v>Đấu giá&gt; Thời trang&gt; Giày dép nam&gt; Boots&gt; Russell Moccasin</v>
      </c>
      <c r="F1910" t="str">
        <f t="shared" ca="1" si="29"/>
        <v>"2084232965" : "Russell Moccasin",</v>
      </c>
    </row>
    <row r="1911" spans="1:6" ht="15.75" customHeight="1">
      <c r="A1911" s="18">
        <v>2084007816</v>
      </c>
      <c r="B1911" s="18" t="s">
        <v>13002</v>
      </c>
      <c r="C1911" s="18" t="s">
        <v>17044</v>
      </c>
      <c r="D1911" s="5" t="str">
        <f ca="1">IFERROR(__xludf.DUMMYFUNCTION("GOOGLETRANSLATE(B1911,""ja"",""vi"")"),"Red Wing")</f>
        <v>Red Wing</v>
      </c>
      <c r="E1911" s="5" t="str">
        <f ca="1">IFERROR(__xludf.DUMMYFUNCTION("GOOGLETRANSLATE(C1911,""ja"",""vi"")"),"Đấu giá&gt; Thời trang&gt; Giày dép nam&gt; giày&gt; Red Wing")</f>
        <v>Đấu giá&gt; Thời trang&gt; Giày dép nam&gt; giày&gt; Red Wing</v>
      </c>
      <c r="F1911" t="str">
        <f t="shared" ca="1" si="29"/>
        <v>"2084007816" : "Red Wing",</v>
      </c>
    </row>
    <row r="1912" spans="1:6" ht="15.75" customHeight="1">
      <c r="A1912" s="18">
        <v>2084237297</v>
      </c>
      <c r="B1912" s="18" t="s">
        <v>16979</v>
      </c>
      <c r="C1912" s="18" t="s">
        <v>17047</v>
      </c>
      <c r="D1912" s="5" t="str">
        <f ca="1">IFERROR(__xludf.DUMMYFUNCTION("GOOGLETRANSLATE(B1912,""ja"",""vi"")"),"24.0cm dưới đây")</f>
        <v>24.0cm dưới đây</v>
      </c>
      <c r="E1912" s="5" t="str">
        <f ca="1">IFERROR(__xludf.DUMMYFUNCTION("GOOGLETRANSLATE(C1912,""ja"",""vi"")"),"Đấu giá&gt; giày thời trang&gt; nam&gt; giày đi dạo, trượt-ons&gt; 24.0cm dưới đây")</f>
        <v>Đấu giá&gt; giày thời trang&gt; nam&gt; giày đi dạo, trượt-ons&gt; 24.0cm dưới đây</v>
      </c>
      <c r="F1912" t="str">
        <f t="shared" ca="1" si="29"/>
        <v>"2084237297" : "24.0cm dưới đây",</v>
      </c>
    </row>
    <row r="1913" spans="1:6" ht="15.75" customHeight="1">
      <c r="A1913" s="18">
        <v>2084237298</v>
      </c>
      <c r="B1913" s="18" t="s">
        <v>15449</v>
      </c>
      <c r="C1913" s="18" t="s">
        <v>17049</v>
      </c>
      <c r="D1913" s="5" t="str">
        <f ca="1">IFERROR(__xludf.DUMMYFUNCTION("GOOGLETRANSLATE(B1913,""ja"",""vi"")"),"24.5cm")</f>
        <v>24.5cm</v>
      </c>
      <c r="E1913" s="5" t="str">
        <f ca="1">IFERROR(__xludf.DUMMYFUNCTION("GOOGLETRANSLATE(C1913,""ja"",""vi"")"),"Đấu giá&gt; Thời trang&gt; Giày&gt; giày đi dạo, trượt&gt; 24.5cm")</f>
        <v>Đấu giá&gt; Thời trang&gt; Giày&gt; giày đi dạo, trượt&gt; 24.5cm</v>
      </c>
      <c r="F1913" t="str">
        <f t="shared" ca="1" si="29"/>
        <v>"2084237298" : "24.5cm",</v>
      </c>
    </row>
    <row r="1914" spans="1:6" ht="15.75" customHeight="1">
      <c r="A1914" s="18">
        <v>2084237299</v>
      </c>
      <c r="B1914" s="18" t="s">
        <v>15453</v>
      </c>
      <c r="C1914" s="18" t="s">
        <v>17053</v>
      </c>
      <c r="D1914" s="5" t="str">
        <f ca="1">IFERROR(__xludf.DUMMYFUNCTION("GOOGLETRANSLATE(B1914,""ja"",""vi"")"),"25,0cm")</f>
        <v>25,0cm</v>
      </c>
      <c r="E1914" s="5" t="str">
        <f ca="1">IFERROR(__xludf.DUMMYFUNCTION("GOOGLETRANSLATE(C1914,""ja"",""vi"")"),"Đấu giá&gt; Thời trang&gt; Giày&gt; giày đi dạo, trượt&gt; 25,0cm")</f>
        <v>Đấu giá&gt; Thời trang&gt; Giày&gt; giày đi dạo, trượt&gt; 25,0cm</v>
      </c>
      <c r="F1914" t="str">
        <f t="shared" ca="1" si="29"/>
        <v>"2084237299" : "25,0cm",</v>
      </c>
    </row>
    <row r="1915" spans="1:6" ht="15.75" customHeight="1">
      <c r="A1915" s="18">
        <v>2084237300</v>
      </c>
      <c r="B1915" s="18" t="s">
        <v>15457</v>
      </c>
      <c r="C1915" s="18" t="s">
        <v>17055</v>
      </c>
      <c r="D1915" s="5" t="str">
        <f ca="1">IFERROR(__xludf.DUMMYFUNCTION("GOOGLETRANSLATE(B1915,""ja"",""vi"")"),"25.5cm")</f>
        <v>25.5cm</v>
      </c>
      <c r="E1915" s="5" t="str">
        <f ca="1">IFERROR(__xludf.DUMMYFUNCTION("GOOGLETRANSLATE(C1915,""ja"",""vi"")"),"Đấu giá&gt; Thời trang&gt; Giày&gt; giày đi dạo, trượt&gt; 25.5cm")</f>
        <v>Đấu giá&gt; Thời trang&gt; Giày&gt; giày đi dạo, trượt&gt; 25.5cm</v>
      </c>
      <c r="F1915" t="str">
        <f t="shared" ca="1" si="29"/>
        <v>"2084237300" : "25.5cm",</v>
      </c>
    </row>
    <row r="1916" spans="1:6" ht="15.75" customHeight="1">
      <c r="A1916" s="18">
        <v>2084237301</v>
      </c>
      <c r="B1916" s="18" t="s">
        <v>16990</v>
      </c>
      <c r="C1916" s="18" t="s">
        <v>17058</v>
      </c>
      <c r="D1916" s="5" t="str">
        <f ca="1">IFERROR(__xludf.DUMMYFUNCTION("GOOGLETRANSLATE(B1916,""ja"",""vi"")"),"26.0cm")</f>
        <v>26.0cm</v>
      </c>
      <c r="E1916" s="5" t="str">
        <f ca="1">IFERROR(__xludf.DUMMYFUNCTION("GOOGLETRANSLATE(C1916,""ja"",""vi"")"),"Đấu giá&gt; Thời trang&gt; Giày&gt; giày đi dạo, trượt&gt; 26.0cm")</f>
        <v>Đấu giá&gt; Thời trang&gt; Giày&gt; giày đi dạo, trượt&gt; 26.0cm</v>
      </c>
      <c r="F1916" t="str">
        <f t="shared" ca="1" si="29"/>
        <v>"2084237301" : "26.0cm",</v>
      </c>
    </row>
    <row r="1917" spans="1:6" ht="15.75" customHeight="1">
      <c r="A1917" s="18">
        <v>2084237302</v>
      </c>
      <c r="B1917" s="18" t="s">
        <v>16992</v>
      </c>
      <c r="C1917" s="18" t="s">
        <v>17060</v>
      </c>
      <c r="D1917" s="5" t="str">
        <f ca="1">IFERROR(__xludf.DUMMYFUNCTION("GOOGLETRANSLATE(B1917,""ja"",""vi"")"),"26.5cm")</f>
        <v>26.5cm</v>
      </c>
      <c r="E1917" s="5" t="str">
        <f ca="1">IFERROR(__xludf.DUMMYFUNCTION("GOOGLETRANSLATE(C1917,""ja"",""vi"")"),"Đấu giá&gt; Thời trang&gt; Giày&gt; giày đi dạo, trượt&gt; 26.5cm")</f>
        <v>Đấu giá&gt; Thời trang&gt; Giày&gt; giày đi dạo, trượt&gt; 26.5cm</v>
      </c>
      <c r="F1917" t="str">
        <f t="shared" ca="1" si="29"/>
        <v>"2084237302" : "26.5cm",</v>
      </c>
    </row>
    <row r="1918" spans="1:6" ht="15.75" customHeight="1">
      <c r="A1918" s="18">
        <v>2084237303</v>
      </c>
      <c r="B1918" s="18" t="s">
        <v>16994</v>
      </c>
      <c r="C1918" s="18" t="s">
        <v>17065</v>
      </c>
      <c r="D1918" s="5" t="str">
        <f ca="1">IFERROR(__xludf.DUMMYFUNCTION("GOOGLETRANSLATE(B1918,""ja"",""vi"")"),"27.0cm")</f>
        <v>27.0cm</v>
      </c>
      <c r="E1918" s="5" t="str">
        <f ca="1">IFERROR(__xludf.DUMMYFUNCTION("GOOGLETRANSLATE(C1918,""ja"",""vi"")"),"Đấu giá&gt; Thời trang&gt; Giày&gt; giày đi dạo, trượt&gt; 27.0cm")</f>
        <v>Đấu giá&gt; Thời trang&gt; Giày&gt; giày đi dạo, trượt&gt; 27.0cm</v>
      </c>
      <c r="F1918" t="str">
        <f t="shared" ca="1" si="29"/>
        <v>"2084237303" : "27.0cm",</v>
      </c>
    </row>
    <row r="1919" spans="1:6" ht="15.75" customHeight="1">
      <c r="A1919" s="18">
        <v>2084237304</v>
      </c>
      <c r="B1919" s="18" t="s">
        <v>16996</v>
      </c>
      <c r="C1919" s="18" t="s">
        <v>17066</v>
      </c>
      <c r="D1919" s="5" t="str">
        <f ca="1">IFERROR(__xludf.DUMMYFUNCTION("GOOGLETRANSLATE(B1919,""ja"",""vi"")"),"27.5cm")</f>
        <v>27.5cm</v>
      </c>
      <c r="E1919" s="5" t="str">
        <f ca="1">IFERROR(__xludf.DUMMYFUNCTION("GOOGLETRANSLATE(C1919,""ja"",""vi"")"),"Đấu giá&gt; Thời trang&gt; Giày&gt; giày đi dạo, trượt&gt; 27.5cm")</f>
        <v>Đấu giá&gt; Thời trang&gt; Giày&gt; giày đi dạo, trượt&gt; 27.5cm</v>
      </c>
      <c r="F1919" t="str">
        <f t="shared" ca="1" si="29"/>
        <v>"2084237304" : "27.5cm",</v>
      </c>
    </row>
    <row r="1920" spans="1:6" ht="15.75" customHeight="1">
      <c r="A1920" s="18">
        <v>2084237305</v>
      </c>
      <c r="B1920" s="18" t="s">
        <v>17072</v>
      </c>
      <c r="C1920" s="18" t="s">
        <v>17074</v>
      </c>
      <c r="D1920" s="5" t="str">
        <f ca="1">IFERROR(__xludf.DUMMYFUNCTION("GOOGLETRANSLATE(B1920,""ja"",""vi"")"),"28.0cm")</f>
        <v>28.0cm</v>
      </c>
      <c r="E1920" s="5" t="str">
        <f ca="1">IFERROR(__xludf.DUMMYFUNCTION("GOOGLETRANSLATE(C1920,""ja"",""vi"")"),"Đấu giá&gt; Thời trang&gt; Giày&gt; giày đi dạo, trượt&gt; 28.0cm")</f>
        <v>Đấu giá&gt; Thời trang&gt; Giày&gt; giày đi dạo, trượt&gt; 28.0cm</v>
      </c>
      <c r="F1920" t="str">
        <f t="shared" ca="1" si="29"/>
        <v>"2084237305" : "28.0cm",</v>
      </c>
    </row>
    <row r="1921" spans="1:6" ht="15.75" customHeight="1">
      <c r="A1921" s="18">
        <v>2084237306</v>
      </c>
      <c r="B1921" s="18" t="s">
        <v>17078</v>
      </c>
      <c r="C1921" s="18" t="s">
        <v>17079</v>
      </c>
      <c r="D1921" s="5" t="str">
        <f ca="1">IFERROR(__xludf.DUMMYFUNCTION("GOOGLETRANSLATE(B1921,""ja"",""vi"")"),"28.5cm")</f>
        <v>28.5cm</v>
      </c>
      <c r="E1921" s="5" t="str">
        <f ca="1">IFERROR(__xludf.DUMMYFUNCTION("GOOGLETRANSLATE(C1921,""ja"",""vi"")"),"Đấu giá&gt; Thời trang&gt; Giày&gt; giày đi dạo, trượt&gt; 28.5cm")</f>
        <v>Đấu giá&gt; Thời trang&gt; Giày&gt; giày đi dạo, trượt&gt; 28.5cm</v>
      </c>
      <c r="F1921" t="str">
        <f t="shared" ca="1" si="29"/>
        <v>"2084237306" : "28.5cm",</v>
      </c>
    </row>
    <row r="1922" spans="1:6" ht="15.75" customHeight="1">
      <c r="A1922" s="18">
        <v>2084237307</v>
      </c>
      <c r="B1922" s="18" t="s">
        <v>17084</v>
      </c>
      <c r="C1922" s="18" t="s">
        <v>17085</v>
      </c>
      <c r="D1922" s="5" t="str">
        <f ca="1">IFERROR(__xludf.DUMMYFUNCTION("GOOGLETRANSLATE(B1922,""ja"",""vi"")"),"29.0cm")</f>
        <v>29.0cm</v>
      </c>
      <c r="E1922" s="5" t="str">
        <f ca="1">IFERROR(__xludf.DUMMYFUNCTION("GOOGLETRANSLATE(C1922,""ja"",""vi"")"),"Đấu giá&gt; Thời trang&gt; Giày&gt; giày đi dạo, trượt&gt; 29.0cm")</f>
        <v>Đấu giá&gt; Thời trang&gt; Giày&gt; giày đi dạo, trượt&gt; 29.0cm</v>
      </c>
      <c r="F1922" t="str">
        <f t="shared" ref="F1922:F1985" ca="1" si="30">CONCATENATE(CHAR(34)&amp;"",A1922,""&amp;CHAR(34)," : ", CHAR(34)&amp;"",D1922,""&amp;CHAR(34),",")</f>
        <v>"2084237307" : "29.0cm",</v>
      </c>
    </row>
    <row r="1923" spans="1:6" ht="15.75" customHeight="1">
      <c r="A1923" s="18">
        <v>2084237308</v>
      </c>
      <c r="B1923" s="18" t="s">
        <v>17091</v>
      </c>
      <c r="C1923" s="18" t="s">
        <v>17093</v>
      </c>
      <c r="D1923" s="5" t="str">
        <f ca="1">IFERROR(__xludf.DUMMYFUNCTION("GOOGLETRANSLATE(B1923,""ja"",""vi"")"),"29.5cm")</f>
        <v>29.5cm</v>
      </c>
      <c r="E1923" s="5" t="str">
        <f ca="1">IFERROR(__xludf.DUMMYFUNCTION("GOOGLETRANSLATE(C1923,""ja"",""vi"")"),"Đấu giá&gt; Thời trang&gt; Giày&gt; giày đi dạo, trượt&gt; 29.5cm")</f>
        <v>Đấu giá&gt; Thời trang&gt; Giày&gt; giày đi dạo, trượt&gt; 29.5cm</v>
      </c>
      <c r="F1923" t="str">
        <f t="shared" ca="1" si="30"/>
        <v>"2084237308" : "29.5cm",</v>
      </c>
    </row>
    <row r="1924" spans="1:6" ht="15.75" customHeight="1">
      <c r="A1924" s="18">
        <v>2084237309</v>
      </c>
      <c r="B1924" s="18" t="s">
        <v>17100</v>
      </c>
      <c r="C1924" s="18" t="s">
        <v>17101</v>
      </c>
      <c r="D1924" s="5" t="str">
        <f ca="1">IFERROR(__xludf.DUMMYFUNCTION("GOOGLETRANSLATE(B1924,""ja"",""vi"")"),"Hơn 30.0cm")</f>
        <v>Hơn 30.0cm</v>
      </c>
      <c r="E1924" s="5" t="str">
        <f ca="1">IFERROR(__xludf.DUMMYFUNCTION("GOOGLETRANSLATE(C1924,""ja"",""vi"")"),"Đấu giá&gt; Thời trang&gt; Giày dép nam&gt; giày đi dạo, trượt-ons&gt; 30.0cm hơn")</f>
        <v>Đấu giá&gt; Thời trang&gt; Giày dép nam&gt; giày đi dạo, trượt-ons&gt; 30.0cm hơn</v>
      </c>
      <c r="F1924" t="str">
        <f t="shared" ca="1" si="30"/>
        <v>"2084237309" : "Hơn 30.0cm",</v>
      </c>
    </row>
    <row r="1925" spans="1:6" ht="15.75" customHeight="1">
      <c r="A1925" s="18">
        <v>2084049485</v>
      </c>
      <c r="B1925" s="18" t="s">
        <v>16979</v>
      </c>
      <c r="C1925" s="18" t="s">
        <v>17107</v>
      </c>
      <c r="D1925" s="5" t="str">
        <f ca="1">IFERROR(__xludf.DUMMYFUNCTION("GOOGLETRANSLATE(B1925,""ja"",""vi"")"),"24.0cm dưới đây")</f>
        <v>24.0cm dưới đây</v>
      </c>
      <c r="E1925" s="5" t="str">
        <f ca="1">IFERROR(__xludf.DUMMYFUNCTION("GOOGLETRANSLATE(C1925,""ja"",""vi"")"),"Đấu giá&gt; Thời trang&gt; Giày dép nam&gt; giày kinh doanh&gt; 24.0cm dưới đây")</f>
        <v>Đấu giá&gt; Thời trang&gt; Giày dép nam&gt; giày kinh doanh&gt; 24.0cm dưới đây</v>
      </c>
      <c r="F1925" t="str">
        <f t="shared" ca="1" si="30"/>
        <v>"2084049485" : "24.0cm dưới đây",</v>
      </c>
    </row>
    <row r="1926" spans="1:6" ht="15.75" customHeight="1">
      <c r="A1926" s="18">
        <v>2084049486</v>
      </c>
      <c r="B1926" s="18" t="s">
        <v>15449</v>
      </c>
      <c r="C1926" s="18" t="s">
        <v>17113</v>
      </c>
      <c r="D1926" s="5" t="str">
        <f ca="1">IFERROR(__xludf.DUMMYFUNCTION("GOOGLETRANSLATE(B1926,""ja"",""vi"")"),"24.5cm")</f>
        <v>24.5cm</v>
      </c>
      <c r="E1926" s="5" t="str">
        <f ca="1">IFERROR(__xludf.DUMMYFUNCTION("GOOGLETRANSLATE(C1926,""ja"",""vi"")"),"Đấu giá&gt; Thời trang&gt; Giày dép nam&gt; giày kinh doanh&gt; 24.5cm")</f>
        <v>Đấu giá&gt; Thời trang&gt; Giày dép nam&gt; giày kinh doanh&gt; 24.5cm</v>
      </c>
      <c r="F1926" t="str">
        <f t="shared" ca="1" si="30"/>
        <v>"2084049486" : "24.5cm",</v>
      </c>
    </row>
    <row r="1927" spans="1:6" ht="15.75" customHeight="1">
      <c r="A1927" s="18">
        <v>2084049487</v>
      </c>
      <c r="B1927" s="18" t="s">
        <v>15453</v>
      </c>
      <c r="C1927" s="18" t="s">
        <v>17116</v>
      </c>
      <c r="D1927" s="5" t="str">
        <f ca="1">IFERROR(__xludf.DUMMYFUNCTION("GOOGLETRANSLATE(B1927,""ja"",""vi"")"),"25,0cm")</f>
        <v>25,0cm</v>
      </c>
      <c r="E1927" s="5" t="str">
        <f ca="1">IFERROR(__xludf.DUMMYFUNCTION("GOOGLETRANSLATE(C1927,""ja"",""vi"")"),"Đấu giá&gt; Thời trang&gt; Giày dép nam&gt; giày kinh doanh&gt; 25,0cm")</f>
        <v>Đấu giá&gt; Thời trang&gt; Giày dép nam&gt; giày kinh doanh&gt; 25,0cm</v>
      </c>
      <c r="F1927" t="str">
        <f t="shared" ca="1" si="30"/>
        <v>"2084049487" : "25,0cm",</v>
      </c>
    </row>
    <row r="1928" spans="1:6" ht="15.75" customHeight="1">
      <c r="A1928" s="18">
        <v>2084049488</v>
      </c>
      <c r="B1928" s="18" t="s">
        <v>15457</v>
      </c>
      <c r="C1928" s="18" t="s">
        <v>17118</v>
      </c>
      <c r="D1928" s="5" t="str">
        <f ca="1">IFERROR(__xludf.DUMMYFUNCTION("GOOGLETRANSLATE(B1928,""ja"",""vi"")"),"25.5cm")</f>
        <v>25.5cm</v>
      </c>
      <c r="E1928" s="5" t="str">
        <f ca="1">IFERROR(__xludf.DUMMYFUNCTION("GOOGLETRANSLATE(C1928,""ja"",""vi"")"),"Đấu giá&gt; Thời trang&gt; Giày dép nam&gt; giày kinh doanh&gt; 25.5cm")</f>
        <v>Đấu giá&gt; Thời trang&gt; Giày dép nam&gt; giày kinh doanh&gt; 25.5cm</v>
      </c>
      <c r="F1928" t="str">
        <f t="shared" ca="1" si="30"/>
        <v>"2084049488" : "25.5cm",</v>
      </c>
    </row>
    <row r="1929" spans="1:6" ht="15.75" customHeight="1">
      <c r="A1929" s="18">
        <v>2084049489</v>
      </c>
      <c r="B1929" s="18" t="s">
        <v>16990</v>
      </c>
      <c r="C1929" s="18" t="s">
        <v>17121</v>
      </c>
      <c r="D1929" s="5" t="str">
        <f ca="1">IFERROR(__xludf.DUMMYFUNCTION("GOOGLETRANSLATE(B1929,""ja"",""vi"")"),"26.0cm")</f>
        <v>26.0cm</v>
      </c>
      <c r="E1929" s="5" t="str">
        <f ca="1">IFERROR(__xludf.DUMMYFUNCTION("GOOGLETRANSLATE(C1929,""ja"",""vi"")"),"Đấu giá&gt; Thời trang&gt; Giày dép nam&gt; giày kinh doanh&gt; 26.0cm")</f>
        <v>Đấu giá&gt; Thời trang&gt; Giày dép nam&gt; giày kinh doanh&gt; 26.0cm</v>
      </c>
      <c r="F1929" t="str">
        <f t="shared" ca="1" si="30"/>
        <v>"2084049489" : "26.0cm",</v>
      </c>
    </row>
    <row r="1930" spans="1:6" ht="15.75" customHeight="1">
      <c r="A1930" s="18">
        <v>2084049490</v>
      </c>
      <c r="B1930" s="18" t="s">
        <v>16992</v>
      </c>
      <c r="C1930" s="18" t="s">
        <v>17123</v>
      </c>
      <c r="D1930" s="5" t="str">
        <f ca="1">IFERROR(__xludf.DUMMYFUNCTION("GOOGLETRANSLATE(B1930,""ja"",""vi"")"),"26.5cm")</f>
        <v>26.5cm</v>
      </c>
      <c r="E1930" s="5" t="str">
        <f ca="1">IFERROR(__xludf.DUMMYFUNCTION("GOOGLETRANSLATE(C1930,""ja"",""vi"")"),"Đấu giá&gt; Thời trang&gt; Giày dép nam&gt; giày kinh doanh&gt; 26.5cm")</f>
        <v>Đấu giá&gt; Thời trang&gt; Giày dép nam&gt; giày kinh doanh&gt; 26.5cm</v>
      </c>
      <c r="F1930" t="str">
        <f t="shared" ca="1" si="30"/>
        <v>"2084049490" : "26.5cm",</v>
      </c>
    </row>
    <row r="1931" spans="1:6" ht="15.75" customHeight="1">
      <c r="A1931" s="18">
        <v>2084049491</v>
      </c>
      <c r="B1931" s="18" t="s">
        <v>16994</v>
      </c>
      <c r="C1931" s="18" t="s">
        <v>17125</v>
      </c>
      <c r="D1931" s="5" t="str">
        <f ca="1">IFERROR(__xludf.DUMMYFUNCTION("GOOGLETRANSLATE(B1931,""ja"",""vi"")"),"27.0cm")</f>
        <v>27.0cm</v>
      </c>
      <c r="E1931" s="5" t="str">
        <f ca="1">IFERROR(__xludf.DUMMYFUNCTION("GOOGLETRANSLATE(C1931,""ja"",""vi"")"),"Đấu giá&gt; Thời trang&gt; Giày dép nam&gt; giày kinh doanh&gt; 27.0cm")</f>
        <v>Đấu giá&gt; Thời trang&gt; Giày dép nam&gt; giày kinh doanh&gt; 27.0cm</v>
      </c>
      <c r="F1931" t="str">
        <f t="shared" ca="1" si="30"/>
        <v>"2084049491" : "27.0cm",</v>
      </c>
    </row>
    <row r="1932" spans="1:6" ht="15.75" customHeight="1">
      <c r="A1932" s="18">
        <v>2084049492</v>
      </c>
      <c r="B1932" s="18" t="s">
        <v>16996</v>
      </c>
      <c r="C1932" s="18" t="s">
        <v>17126</v>
      </c>
      <c r="D1932" s="5" t="str">
        <f ca="1">IFERROR(__xludf.DUMMYFUNCTION("GOOGLETRANSLATE(B1932,""ja"",""vi"")"),"27.5cm")</f>
        <v>27.5cm</v>
      </c>
      <c r="E1932" s="5" t="str">
        <f ca="1">IFERROR(__xludf.DUMMYFUNCTION("GOOGLETRANSLATE(C1932,""ja"",""vi"")"),"Đấu giá&gt; Thời trang&gt; Giày dép nam&gt; giày kinh doanh&gt; 27.5cm")</f>
        <v>Đấu giá&gt; Thời trang&gt; Giày dép nam&gt; giày kinh doanh&gt; 27.5cm</v>
      </c>
      <c r="F1932" t="str">
        <f t="shared" ca="1" si="30"/>
        <v>"2084049492" : "27.5cm",</v>
      </c>
    </row>
    <row r="1933" spans="1:6" ht="15.75" customHeight="1">
      <c r="A1933" s="18">
        <v>2084049493</v>
      </c>
      <c r="B1933" s="18" t="s">
        <v>16998</v>
      </c>
      <c r="C1933" s="18" t="s">
        <v>17129</v>
      </c>
      <c r="D1933" s="5" t="str">
        <f ca="1">IFERROR(__xludf.DUMMYFUNCTION("GOOGLETRANSLATE(B1933,""ja"",""vi"")"),"Hơn 28.0cm")</f>
        <v>Hơn 28.0cm</v>
      </c>
      <c r="E1933" s="5" t="str">
        <f ca="1">IFERROR(__xludf.DUMMYFUNCTION("GOOGLETRANSLATE(C1933,""ja"",""vi"")"),"Đấu giá&gt; Thời trang&gt; Giày dép nam&gt; giày kinh doanh&gt; 28.0cm hơn")</f>
        <v>Đấu giá&gt; Thời trang&gt; Giày dép nam&gt; giày kinh doanh&gt; 28.0cm hơn</v>
      </c>
      <c r="F1933" t="str">
        <f t="shared" ca="1" si="30"/>
        <v>"2084049493" : "Hơn 28.0cm",</v>
      </c>
    </row>
    <row r="1934" spans="1:6" ht="15.75" customHeight="1">
      <c r="A1934" s="18">
        <v>2084232920</v>
      </c>
      <c r="B1934" s="18" t="s">
        <v>16979</v>
      </c>
      <c r="C1934" s="18" t="s">
        <v>17130</v>
      </c>
      <c r="D1934" s="5" t="str">
        <f ca="1">IFERROR(__xludf.DUMMYFUNCTION("GOOGLETRANSLATE(B1934,""ja"",""vi"")"),"24.0cm dưới đây")</f>
        <v>24.0cm dưới đây</v>
      </c>
      <c r="E1934" s="5" t="str">
        <f ca="1">IFERROR(__xludf.DUMMYFUNCTION("GOOGLETRANSLATE(C1934,""ja"",""vi"")"),"Đấu giá&gt; Thời trang&gt; Giày dép nam&gt; giày boong&gt; 24.0cm dưới đây")</f>
        <v>Đấu giá&gt; Thời trang&gt; Giày dép nam&gt; giày boong&gt; 24.0cm dưới đây</v>
      </c>
      <c r="F1934" t="str">
        <f t="shared" ca="1" si="30"/>
        <v>"2084232920" : "24.0cm dưới đây",</v>
      </c>
    </row>
    <row r="1935" spans="1:6" ht="15.75" customHeight="1">
      <c r="A1935" s="18">
        <v>2084232921</v>
      </c>
      <c r="B1935" s="18" t="s">
        <v>15449</v>
      </c>
      <c r="C1935" s="18" t="s">
        <v>17133</v>
      </c>
      <c r="D1935" s="5" t="str">
        <f ca="1">IFERROR(__xludf.DUMMYFUNCTION("GOOGLETRANSLATE(B1935,""ja"",""vi"")"),"24.5cm")</f>
        <v>24.5cm</v>
      </c>
      <c r="E1935" s="5" t="str">
        <f ca="1">IFERROR(__xludf.DUMMYFUNCTION("GOOGLETRANSLATE(C1935,""ja"",""vi"")"),"Đấu giá&gt; Thời trang&gt; Giày dép nam&gt; giày boong&gt; 24.5cm")</f>
        <v>Đấu giá&gt; Thời trang&gt; Giày dép nam&gt; giày boong&gt; 24.5cm</v>
      </c>
      <c r="F1935" t="str">
        <f t="shared" ca="1" si="30"/>
        <v>"2084232921" : "24.5cm",</v>
      </c>
    </row>
    <row r="1936" spans="1:6" ht="15.75" customHeight="1">
      <c r="A1936" s="18">
        <v>2084232922</v>
      </c>
      <c r="B1936" s="18" t="s">
        <v>15453</v>
      </c>
      <c r="C1936" s="18" t="s">
        <v>17136</v>
      </c>
      <c r="D1936" s="5" t="str">
        <f ca="1">IFERROR(__xludf.DUMMYFUNCTION("GOOGLETRANSLATE(B1936,""ja"",""vi"")"),"25,0cm")</f>
        <v>25,0cm</v>
      </c>
      <c r="E1936" s="5" t="str">
        <f ca="1">IFERROR(__xludf.DUMMYFUNCTION("GOOGLETRANSLATE(C1936,""ja"",""vi"")"),"Đấu giá&gt; Thời trang&gt; Giày dép nam&gt; giày boong&gt; 25,0cm")</f>
        <v>Đấu giá&gt; Thời trang&gt; Giày dép nam&gt; giày boong&gt; 25,0cm</v>
      </c>
      <c r="F1936" t="str">
        <f t="shared" ca="1" si="30"/>
        <v>"2084232922" : "25,0cm",</v>
      </c>
    </row>
    <row r="1937" spans="1:6" ht="15.75" customHeight="1">
      <c r="A1937" s="18">
        <v>2084232923</v>
      </c>
      <c r="B1937" s="18" t="s">
        <v>15457</v>
      </c>
      <c r="C1937" s="18" t="s">
        <v>17137</v>
      </c>
      <c r="D1937" s="5" t="str">
        <f ca="1">IFERROR(__xludf.DUMMYFUNCTION("GOOGLETRANSLATE(B1937,""ja"",""vi"")"),"25.5cm")</f>
        <v>25.5cm</v>
      </c>
      <c r="E1937" s="5" t="str">
        <f ca="1">IFERROR(__xludf.DUMMYFUNCTION("GOOGLETRANSLATE(C1937,""ja"",""vi"")"),"Đấu giá&gt; Thời trang&gt; Giày dép nam&gt; giày boong&gt; 25.5cm")</f>
        <v>Đấu giá&gt; Thời trang&gt; Giày dép nam&gt; giày boong&gt; 25.5cm</v>
      </c>
      <c r="F1937" t="str">
        <f t="shared" ca="1" si="30"/>
        <v>"2084232923" : "25.5cm",</v>
      </c>
    </row>
    <row r="1938" spans="1:6" ht="15.75" customHeight="1">
      <c r="A1938" s="18">
        <v>2084232924</v>
      </c>
      <c r="B1938" s="18" t="s">
        <v>16990</v>
      </c>
      <c r="C1938" s="18" t="s">
        <v>17139</v>
      </c>
      <c r="D1938" s="5" t="str">
        <f ca="1">IFERROR(__xludf.DUMMYFUNCTION("GOOGLETRANSLATE(B1938,""ja"",""vi"")"),"26.0cm")</f>
        <v>26.0cm</v>
      </c>
      <c r="E1938" s="5" t="str">
        <f ca="1">IFERROR(__xludf.DUMMYFUNCTION("GOOGLETRANSLATE(C1938,""ja"",""vi"")"),"Đấu giá&gt; Thời trang&gt; Giày dép nam&gt; giày boong&gt; 26.0cm")</f>
        <v>Đấu giá&gt; Thời trang&gt; Giày dép nam&gt; giày boong&gt; 26.0cm</v>
      </c>
      <c r="F1938" t="str">
        <f t="shared" ca="1" si="30"/>
        <v>"2084232924" : "26.0cm",</v>
      </c>
    </row>
    <row r="1939" spans="1:6" ht="15.75" customHeight="1">
      <c r="A1939" s="18">
        <v>2084232925</v>
      </c>
      <c r="B1939" s="18" t="s">
        <v>16992</v>
      </c>
      <c r="C1939" s="18" t="s">
        <v>17142</v>
      </c>
      <c r="D1939" s="5" t="str">
        <f ca="1">IFERROR(__xludf.DUMMYFUNCTION("GOOGLETRANSLATE(B1939,""ja"",""vi"")"),"26.5cm")</f>
        <v>26.5cm</v>
      </c>
      <c r="E1939" s="5" t="str">
        <f ca="1">IFERROR(__xludf.DUMMYFUNCTION("GOOGLETRANSLATE(C1939,""ja"",""vi"")"),"Đấu giá&gt; Thời trang&gt; Giày dép nam&gt; giày boong&gt; 26.5cm")</f>
        <v>Đấu giá&gt; Thời trang&gt; Giày dép nam&gt; giày boong&gt; 26.5cm</v>
      </c>
      <c r="F1939" t="str">
        <f t="shared" ca="1" si="30"/>
        <v>"2084232925" : "26.5cm",</v>
      </c>
    </row>
    <row r="1940" spans="1:6" ht="15.75" customHeight="1">
      <c r="A1940" s="18">
        <v>2084232926</v>
      </c>
      <c r="B1940" s="18" t="s">
        <v>16994</v>
      </c>
      <c r="C1940" s="18" t="s">
        <v>17145</v>
      </c>
      <c r="D1940" s="5" t="str">
        <f ca="1">IFERROR(__xludf.DUMMYFUNCTION("GOOGLETRANSLATE(B1940,""ja"",""vi"")"),"27.0cm")</f>
        <v>27.0cm</v>
      </c>
      <c r="E1940" s="5" t="str">
        <f ca="1">IFERROR(__xludf.DUMMYFUNCTION("GOOGLETRANSLATE(C1940,""ja"",""vi"")"),"Đấu giá&gt; Thời trang&gt; Giày dép nam&gt; giày boong&gt; 27.0cm")</f>
        <v>Đấu giá&gt; Thời trang&gt; Giày dép nam&gt; giày boong&gt; 27.0cm</v>
      </c>
      <c r="F1940" t="str">
        <f t="shared" ca="1" si="30"/>
        <v>"2084232926" : "27.0cm",</v>
      </c>
    </row>
    <row r="1941" spans="1:6" ht="15.75" customHeight="1">
      <c r="A1941" s="18">
        <v>2084232927</v>
      </c>
      <c r="B1941" s="18" t="s">
        <v>16996</v>
      </c>
      <c r="C1941" s="18" t="s">
        <v>17148</v>
      </c>
      <c r="D1941" s="5" t="str">
        <f ca="1">IFERROR(__xludf.DUMMYFUNCTION("GOOGLETRANSLATE(B1941,""ja"",""vi"")"),"27.5cm")</f>
        <v>27.5cm</v>
      </c>
      <c r="E1941" s="5" t="str">
        <f ca="1">IFERROR(__xludf.DUMMYFUNCTION("GOOGLETRANSLATE(C1941,""ja"",""vi"")"),"Đấu giá&gt; Thời trang&gt; Giày dép nam&gt; giày boong&gt; 27.5cm")</f>
        <v>Đấu giá&gt; Thời trang&gt; Giày dép nam&gt; giày boong&gt; 27.5cm</v>
      </c>
      <c r="F1941" t="str">
        <f t="shared" ca="1" si="30"/>
        <v>"2084232927" : "27.5cm",</v>
      </c>
    </row>
    <row r="1942" spans="1:6" ht="15.75" customHeight="1">
      <c r="A1942" s="18">
        <v>2084232928</v>
      </c>
      <c r="B1942" s="18" t="s">
        <v>17072</v>
      </c>
      <c r="C1942" s="18" t="s">
        <v>17149</v>
      </c>
      <c r="D1942" s="5" t="str">
        <f ca="1">IFERROR(__xludf.DUMMYFUNCTION("GOOGLETRANSLATE(B1942,""ja"",""vi"")"),"28.0cm")</f>
        <v>28.0cm</v>
      </c>
      <c r="E1942" s="5" t="str">
        <f ca="1">IFERROR(__xludf.DUMMYFUNCTION("GOOGLETRANSLATE(C1942,""ja"",""vi"")"),"Đấu giá&gt; Thời trang&gt; Giày dép nam&gt; giày boong&gt; 28.0cm")</f>
        <v>Đấu giá&gt; Thời trang&gt; Giày dép nam&gt; giày boong&gt; 28.0cm</v>
      </c>
      <c r="F1942" t="str">
        <f t="shared" ca="1" si="30"/>
        <v>"2084232928" : "28.0cm",</v>
      </c>
    </row>
    <row r="1943" spans="1:6" ht="15.75" customHeight="1">
      <c r="A1943" s="18">
        <v>2084232929</v>
      </c>
      <c r="B1943" s="18" t="s">
        <v>17078</v>
      </c>
      <c r="C1943" s="18" t="s">
        <v>17151</v>
      </c>
      <c r="D1943" s="5" t="str">
        <f ca="1">IFERROR(__xludf.DUMMYFUNCTION("GOOGLETRANSLATE(B1943,""ja"",""vi"")"),"28.5cm")</f>
        <v>28.5cm</v>
      </c>
      <c r="E1943" s="5" t="str">
        <f ca="1">IFERROR(__xludf.DUMMYFUNCTION("GOOGLETRANSLATE(C1943,""ja"",""vi"")"),"Đấu giá&gt; Thời trang&gt; Giày dép nam&gt; giày boong&gt; 28.5cm")</f>
        <v>Đấu giá&gt; Thời trang&gt; Giày dép nam&gt; giày boong&gt; 28.5cm</v>
      </c>
      <c r="F1943" t="str">
        <f t="shared" ca="1" si="30"/>
        <v>"2084232929" : "28.5cm",</v>
      </c>
    </row>
    <row r="1944" spans="1:6" ht="15.75" customHeight="1">
      <c r="A1944" s="18">
        <v>2084232930</v>
      </c>
      <c r="B1944" s="18" t="s">
        <v>17153</v>
      </c>
      <c r="C1944" s="18" t="s">
        <v>17154</v>
      </c>
      <c r="D1944" s="5" t="str">
        <f ca="1">IFERROR(__xludf.DUMMYFUNCTION("GOOGLETRANSLATE(B1944,""ja"",""vi"")"),"Hơn 29.0cm")</f>
        <v>Hơn 29.0cm</v>
      </c>
      <c r="E1944" s="5" t="str">
        <f ca="1">IFERROR(__xludf.DUMMYFUNCTION("GOOGLETRANSLATE(C1944,""ja"",""vi"")"),"Đấu giá&gt; Thời trang&gt; Giày dép nam&gt; giày boong&gt; 29.0cm hơn")</f>
        <v>Đấu giá&gt; Thời trang&gt; Giày dép nam&gt; giày boong&gt; 29.0cm hơn</v>
      </c>
      <c r="F1944" t="str">
        <f t="shared" ca="1" si="30"/>
        <v>"2084232930" : "Hơn 29.0cm",</v>
      </c>
    </row>
    <row r="1945" spans="1:6" ht="15.75" customHeight="1">
      <c r="A1945" s="18">
        <v>2084062283</v>
      </c>
      <c r="B1945" s="18" t="s">
        <v>16979</v>
      </c>
      <c r="C1945" s="18" t="s">
        <v>17156</v>
      </c>
      <c r="D1945" s="5" t="str">
        <f ca="1">IFERROR(__xludf.DUMMYFUNCTION("GOOGLETRANSLATE(B1945,""ja"",""vi"")"),"24.0cm dưới đây")</f>
        <v>24.0cm dưới đây</v>
      </c>
      <c r="E1945" s="5" t="str">
        <f ca="1">IFERROR(__xludf.DUMMYFUNCTION("GOOGLETRANSLATE(C1945,""ja"",""vi"")"),"Đấu giá&gt; Thời trang&gt; Giày dép nam&gt; giày đi bộ&gt; 24.0cm dưới đây")</f>
        <v>Đấu giá&gt; Thời trang&gt; Giày dép nam&gt; giày đi bộ&gt; 24.0cm dưới đây</v>
      </c>
      <c r="F1945" t="str">
        <f t="shared" ca="1" si="30"/>
        <v>"2084062283" : "24.0cm dưới đây",</v>
      </c>
    </row>
    <row r="1946" spans="1:6" ht="15.75" customHeight="1">
      <c r="A1946" s="18">
        <v>2084062284</v>
      </c>
      <c r="B1946" s="18" t="s">
        <v>15449</v>
      </c>
      <c r="C1946" s="18" t="s">
        <v>17158</v>
      </c>
      <c r="D1946" s="5" t="str">
        <f ca="1">IFERROR(__xludf.DUMMYFUNCTION("GOOGLETRANSLATE(B1946,""ja"",""vi"")"),"24.5cm")</f>
        <v>24.5cm</v>
      </c>
      <c r="E1946" s="5" t="str">
        <f ca="1">IFERROR(__xludf.DUMMYFUNCTION("GOOGLETRANSLATE(C1946,""ja"",""vi"")"),"Đấu giá&gt; Thời trang&gt; Giày dép nam&gt; giày đi bộ&gt; 24.5cm")</f>
        <v>Đấu giá&gt; Thời trang&gt; Giày dép nam&gt; giày đi bộ&gt; 24.5cm</v>
      </c>
      <c r="F1946" t="str">
        <f t="shared" ca="1" si="30"/>
        <v>"2084062284" : "24.5cm",</v>
      </c>
    </row>
    <row r="1947" spans="1:6" ht="15.75" customHeight="1">
      <c r="A1947" s="18">
        <v>2084062285</v>
      </c>
      <c r="B1947" s="18" t="s">
        <v>15453</v>
      </c>
      <c r="C1947" s="18" t="s">
        <v>17161</v>
      </c>
      <c r="D1947" s="5" t="str">
        <f ca="1">IFERROR(__xludf.DUMMYFUNCTION("GOOGLETRANSLATE(B1947,""ja"",""vi"")"),"25,0cm")</f>
        <v>25,0cm</v>
      </c>
      <c r="E1947" s="5" t="str">
        <f ca="1">IFERROR(__xludf.DUMMYFUNCTION("GOOGLETRANSLATE(C1947,""ja"",""vi"")"),"Đấu giá&gt; Thời trang&gt; Giày dép nam&gt; giày đi bộ&gt; 25,0cm")</f>
        <v>Đấu giá&gt; Thời trang&gt; Giày dép nam&gt; giày đi bộ&gt; 25,0cm</v>
      </c>
      <c r="F1947" t="str">
        <f t="shared" ca="1" si="30"/>
        <v>"2084062285" : "25,0cm",</v>
      </c>
    </row>
    <row r="1948" spans="1:6" ht="15.75" customHeight="1">
      <c r="A1948" s="18">
        <v>2084062286</v>
      </c>
      <c r="B1948" s="18" t="s">
        <v>15457</v>
      </c>
      <c r="C1948" s="18" t="s">
        <v>17165</v>
      </c>
      <c r="D1948" s="5" t="str">
        <f ca="1">IFERROR(__xludf.DUMMYFUNCTION("GOOGLETRANSLATE(B1948,""ja"",""vi"")"),"25.5cm")</f>
        <v>25.5cm</v>
      </c>
      <c r="E1948" s="5" t="str">
        <f ca="1">IFERROR(__xludf.DUMMYFUNCTION("GOOGLETRANSLATE(C1948,""ja"",""vi"")"),"Đấu giá&gt; Thời trang&gt; Giày dép nam&gt; giày đi bộ&gt; 25.5cm")</f>
        <v>Đấu giá&gt; Thời trang&gt; Giày dép nam&gt; giày đi bộ&gt; 25.5cm</v>
      </c>
      <c r="F1948" t="str">
        <f t="shared" ca="1" si="30"/>
        <v>"2084062286" : "25.5cm",</v>
      </c>
    </row>
    <row r="1949" spans="1:6" ht="15.75" customHeight="1">
      <c r="A1949" s="18">
        <v>2084062287</v>
      </c>
      <c r="B1949" s="18" t="s">
        <v>16990</v>
      </c>
      <c r="C1949" s="18" t="s">
        <v>17167</v>
      </c>
      <c r="D1949" s="5" t="str">
        <f ca="1">IFERROR(__xludf.DUMMYFUNCTION("GOOGLETRANSLATE(B1949,""ja"",""vi"")"),"26.0cm")</f>
        <v>26.0cm</v>
      </c>
      <c r="E1949" s="5" t="str">
        <f ca="1">IFERROR(__xludf.DUMMYFUNCTION("GOOGLETRANSLATE(C1949,""ja"",""vi"")"),"Đấu giá&gt; Thời trang&gt; Giày dép nam&gt; giày đi bộ&gt; 26.0cm")</f>
        <v>Đấu giá&gt; Thời trang&gt; Giày dép nam&gt; giày đi bộ&gt; 26.0cm</v>
      </c>
      <c r="F1949" t="str">
        <f t="shared" ca="1" si="30"/>
        <v>"2084062287" : "26.0cm",</v>
      </c>
    </row>
    <row r="1950" spans="1:6" ht="15.75" customHeight="1">
      <c r="A1950" s="18">
        <v>2084062288</v>
      </c>
      <c r="B1950" s="18" t="s">
        <v>16992</v>
      </c>
      <c r="C1950" s="18" t="s">
        <v>17172</v>
      </c>
      <c r="D1950" s="5" t="str">
        <f ca="1">IFERROR(__xludf.DUMMYFUNCTION("GOOGLETRANSLATE(B1950,""ja"",""vi"")"),"26.5cm")</f>
        <v>26.5cm</v>
      </c>
      <c r="E1950" s="5" t="str">
        <f ca="1">IFERROR(__xludf.DUMMYFUNCTION("GOOGLETRANSLATE(C1950,""ja"",""vi"")"),"Đấu giá&gt; Thời trang&gt; Giày dép nam&gt; giày đi bộ&gt; 26.5cm")</f>
        <v>Đấu giá&gt; Thời trang&gt; Giày dép nam&gt; giày đi bộ&gt; 26.5cm</v>
      </c>
      <c r="F1950" t="str">
        <f t="shared" ca="1" si="30"/>
        <v>"2084062288" : "26.5cm",</v>
      </c>
    </row>
    <row r="1951" spans="1:6" ht="15.75" customHeight="1">
      <c r="A1951" s="18">
        <v>2084062289</v>
      </c>
      <c r="B1951" s="18" t="s">
        <v>16994</v>
      </c>
      <c r="C1951" s="18" t="s">
        <v>17176</v>
      </c>
      <c r="D1951" s="5" t="str">
        <f ca="1">IFERROR(__xludf.DUMMYFUNCTION("GOOGLETRANSLATE(B1951,""ja"",""vi"")"),"27.0cm")</f>
        <v>27.0cm</v>
      </c>
      <c r="E1951" s="5" t="str">
        <f ca="1">IFERROR(__xludf.DUMMYFUNCTION("GOOGLETRANSLATE(C1951,""ja"",""vi"")"),"Đấu giá&gt; Thời trang&gt; Giày dép nam&gt; giày đi bộ&gt; 27.0cm")</f>
        <v>Đấu giá&gt; Thời trang&gt; Giày dép nam&gt; giày đi bộ&gt; 27.0cm</v>
      </c>
      <c r="F1951" t="str">
        <f t="shared" ca="1" si="30"/>
        <v>"2084062289" : "27.0cm",</v>
      </c>
    </row>
    <row r="1952" spans="1:6" ht="15.75" customHeight="1">
      <c r="A1952" s="18">
        <v>2084062290</v>
      </c>
      <c r="B1952" s="18" t="s">
        <v>16996</v>
      </c>
      <c r="C1952" s="18" t="s">
        <v>17180</v>
      </c>
      <c r="D1952" s="5" t="str">
        <f ca="1">IFERROR(__xludf.DUMMYFUNCTION("GOOGLETRANSLATE(B1952,""ja"",""vi"")"),"27.5cm")</f>
        <v>27.5cm</v>
      </c>
      <c r="E1952" s="5" t="str">
        <f ca="1">IFERROR(__xludf.DUMMYFUNCTION("GOOGLETRANSLATE(C1952,""ja"",""vi"")"),"Đấu giá&gt; Thời trang&gt; Giày dép nam&gt; giày đi bộ&gt; 27.5cm")</f>
        <v>Đấu giá&gt; Thời trang&gt; Giày dép nam&gt; giày đi bộ&gt; 27.5cm</v>
      </c>
      <c r="F1952" t="str">
        <f t="shared" ca="1" si="30"/>
        <v>"2084062290" : "27.5cm",</v>
      </c>
    </row>
    <row r="1953" spans="1:6" ht="15.75" customHeight="1">
      <c r="A1953" s="18">
        <v>2084062291</v>
      </c>
      <c r="B1953" s="18" t="s">
        <v>17072</v>
      </c>
      <c r="C1953" s="18" t="s">
        <v>17185</v>
      </c>
      <c r="D1953" s="5" t="str">
        <f ca="1">IFERROR(__xludf.DUMMYFUNCTION("GOOGLETRANSLATE(B1953,""ja"",""vi"")"),"28.0cm")</f>
        <v>28.0cm</v>
      </c>
      <c r="E1953" s="5" t="str">
        <f ca="1">IFERROR(__xludf.DUMMYFUNCTION("GOOGLETRANSLATE(C1953,""ja"",""vi"")"),"Đấu giá&gt; Thời trang&gt; Giày dép nam&gt; giày đi bộ&gt; 28.0cm")</f>
        <v>Đấu giá&gt; Thời trang&gt; Giày dép nam&gt; giày đi bộ&gt; 28.0cm</v>
      </c>
      <c r="F1953" t="str">
        <f t="shared" ca="1" si="30"/>
        <v>"2084062291" : "28.0cm",</v>
      </c>
    </row>
    <row r="1954" spans="1:6" ht="15.75" customHeight="1">
      <c r="A1954" s="18">
        <v>2084062292</v>
      </c>
      <c r="B1954" s="18" t="s">
        <v>17078</v>
      </c>
      <c r="C1954" s="18" t="s">
        <v>17188</v>
      </c>
      <c r="D1954" s="5" t="str">
        <f ca="1">IFERROR(__xludf.DUMMYFUNCTION("GOOGLETRANSLATE(B1954,""ja"",""vi"")"),"28.5cm")</f>
        <v>28.5cm</v>
      </c>
      <c r="E1954" s="5" t="str">
        <f ca="1">IFERROR(__xludf.DUMMYFUNCTION("GOOGLETRANSLATE(C1954,""ja"",""vi"")"),"Đấu giá&gt; Thời trang&gt; Giày dép nam&gt; giày đi bộ&gt; 28.5cm")</f>
        <v>Đấu giá&gt; Thời trang&gt; Giày dép nam&gt; giày đi bộ&gt; 28.5cm</v>
      </c>
      <c r="F1954" t="str">
        <f t="shared" ca="1" si="30"/>
        <v>"2084062292" : "28.5cm",</v>
      </c>
    </row>
    <row r="1955" spans="1:6" ht="15.75" customHeight="1">
      <c r="A1955" s="18">
        <v>2084062293</v>
      </c>
      <c r="B1955" s="18" t="s">
        <v>17153</v>
      </c>
      <c r="C1955" s="18" t="s">
        <v>17192</v>
      </c>
      <c r="D1955" s="5" t="str">
        <f ca="1">IFERROR(__xludf.DUMMYFUNCTION("GOOGLETRANSLATE(B1955,""ja"",""vi"")"),"Hơn 29.0cm")</f>
        <v>Hơn 29.0cm</v>
      </c>
      <c r="E1955" s="5" t="str">
        <f ca="1">IFERROR(__xludf.DUMMYFUNCTION("GOOGLETRANSLATE(C1955,""ja"",""vi"")"),"Đấu giá&gt; Thời trang&gt; Giày dép nam&gt; giày đi bộ&gt; 29.0cm hơn")</f>
        <v>Đấu giá&gt; Thời trang&gt; Giày dép nam&gt; giày đi bộ&gt; 29.0cm hơn</v>
      </c>
      <c r="F1955" t="str">
        <f t="shared" ca="1" si="30"/>
        <v>"2084062293" : "Hơn 29.0cm",</v>
      </c>
    </row>
    <row r="1956" spans="1:6" ht="15.75" customHeight="1">
      <c r="A1956" s="18">
        <v>2084231853</v>
      </c>
      <c r="B1956" s="18" t="s">
        <v>15690</v>
      </c>
      <c r="C1956" s="18" t="s">
        <v>15693</v>
      </c>
      <c r="D1956" s="5" t="str">
        <f ca="1">IFERROR(__xludf.DUMMYFUNCTION("GOOGLETRANSLATE(B1956,""ja"",""vi"")"),"khởi động an toàn")</f>
        <v>khởi động an toàn</v>
      </c>
      <c r="E1956" s="5" t="str">
        <f ca="1">IFERROR(__xludf.DUMMYFUNCTION("GOOGLETRANSLATE(C1956,""ja"",""vi"")"),"Đấu giá&gt; nhà, nội thất&gt; công cụ, DIY nguồn cung cấp&gt; giày việc&gt; giày an toàn")</f>
        <v>Đấu giá&gt; nhà, nội thất&gt; công cụ, DIY nguồn cung cấp&gt; giày việc&gt; giày an toàn</v>
      </c>
      <c r="F1956" t="str">
        <f t="shared" ca="1" si="30"/>
        <v>"2084231853" : "khởi động an toàn",</v>
      </c>
    </row>
    <row r="1957" spans="1:6" ht="15.75" customHeight="1">
      <c r="A1957" s="18">
        <v>2084231854</v>
      </c>
      <c r="B1957" s="18" t="s">
        <v>46</v>
      </c>
      <c r="C1957" s="18" t="s">
        <v>15696</v>
      </c>
      <c r="D1957" s="5" t="str">
        <f ca="1">IFERROR(__xludf.DUMMYFUNCTION("GOOGLETRANSLATE(B1957,""ja"",""vi"")"),"nếu không thì")</f>
        <v>nếu không thì</v>
      </c>
      <c r="E1957" s="5" t="str">
        <f ca="1">IFERROR(__xludf.DUMMYFUNCTION("GOOGLETRANSLATE(C1957,""ja"",""vi"")"),"Đấu giá&gt; nhà, nội thất&gt; công cụ, DIY nguồn cung cấp&gt; giày công việc&gt; Khác")</f>
        <v>Đấu giá&gt; nhà, nội thất&gt; công cụ, DIY nguồn cung cấp&gt; giày công việc&gt; Khác</v>
      </c>
      <c r="F1957" t="str">
        <f t="shared" ca="1" si="30"/>
        <v>"2084231854" : "nếu không thì",</v>
      </c>
    </row>
    <row r="1958" spans="1:6" ht="15.75" customHeight="1">
      <c r="A1958" s="18">
        <v>2084223924</v>
      </c>
      <c r="B1958" s="18" t="s">
        <v>16979</v>
      </c>
      <c r="C1958" s="18" t="s">
        <v>17204</v>
      </c>
      <c r="D1958" s="5" t="str">
        <f ca="1">IFERROR(__xludf.DUMMYFUNCTION("GOOGLETRANSLATE(B1958,""ja"",""vi"")"),"24.0cm dưới đây")</f>
        <v>24.0cm dưới đây</v>
      </c>
      <c r="E1958" s="5" t="str">
        <f ca="1">IFERROR(__xludf.DUMMYFUNCTION("GOOGLETRANSLATE(C1958,""ja"",""vi"")"),"Đấu giá&gt; Sở thích, văn hóa&gt; quân sự&gt; thiết bị cá nhân&gt; giày&gt; 24.0cm dưới đây")</f>
        <v>Đấu giá&gt; Sở thích, văn hóa&gt; quân sự&gt; thiết bị cá nhân&gt; giày&gt; 24.0cm dưới đây</v>
      </c>
      <c r="F1958" t="str">
        <f t="shared" ca="1" si="30"/>
        <v>"2084223924" : "24.0cm dưới đây",</v>
      </c>
    </row>
    <row r="1959" spans="1:6" ht="15.75" customHeight="1">
      <c r="A1959" s="18">
        <v>2084223926</v>
      </c>
      <c r="B1959" s="18" t="s">
        <v>15449</v>
      </c>
      <c r="C1959" s="18" t="s">
        <v>17209</v>
      </c>
      <c r="D1959" s="5" t="str">
        <f ca="1">IFERROR(__xludf.DUMMYFUNCTION("GOOGLETRANSLATE(B1959,""ja"",""vi"")"),"24.5cm")</f>
        <v>24.5cm</v>
      </c>
      <c r="E1959" s="5" t="str">
        <f ca="1">IFERROR(__xludf.DUMMYFUNCTION("GOOGLETRANSLATE(C1959,""ja"",""vi"")"),"Đấu giá&gt; Sở thích, văn hóa&gt; quân sự&gt; thiết bị cá nhân&gt; giày&gt; 24.5cm")</f>
        <v>Đấu giá&gt; Sở thích, văn hóa&gt; quân sự&gt; thiết bị cá nhân&gt; giày&gt; 24.5cm</v>
      </c>
      <c r="F1959" t="str">
        <f t="shared" ca="1" si="30"/>
        <v>"2084223926" : "24.5cm",</v>
      </c>
    </row>
    <row r="1960" spans="1:6" ht="15.75" customHeight="1">
      <c r="A1960" s="18">
        <v>2084223927</v>
      </c>
      <c r="B1960" s="18" t="s">
        <v>15453</v>
      </c>
      <c r="C1960" s="18" t="s">
        <v>17215</v>
      </c>
      <c r="D1960" s="5" t="str">
        <f ca="1">IFERROR(__xludf.DUMMYFUNCTION("GOOGLETRANSLATE(B1960,""ja"",""vi"")"),"25,0cm")</f>
        <v>25,0cm</v>
      </c>
      <c r="E1960" s="5" t="str">
        <f ca="1">IFERROR(__xludf.DUMMYFUNCTION("GOOGLETRANSLATE(C1960,""ja"",""vi"")"),"Đấu giá&gt; Sở thích, văn hóa&gt; quân sự&gt; thiết bị cá nhân&gt; giày&gt; 25,0cm")</f>
        <v>Đấu giá&gt; Sở thích, văn hóa&gt; quân sự&gt; thiết bị cá nhân&gt; giày&gt; 25,0cm</v>
      </c>
      <c r="F1960" t="str">
        <f t="shared" ca="1" si="30"/>
        <v>"2084223927" : "25,0cm",</v>
      </c>
    </row>
    <row r="1961" spans="1:6" ht="15.75" customHeight="1">
      <c r="A1961" s="18">
        <v>2084223928</v>
      </c>
      <c r="B1961" s="18" t="s">
        <v>15457</v>
      </c>
      <c r="C1961" s="18" t="s">
        <v>17220</v>
      </c>
      <c r="D1961" s="5" t="str">
        <f ca="1">IFERROR(__xludf.DUMMYFUNCTION("GOOGLETRANSLATE(B1961,""ja"",""vi"")"),"25.5cm")</f>
        <v>25.5cm</v>
      </c>
      <c r="E1961" s="5" t="str">
        <f ca="1">IFERROR(__xludf.DUMMYFUNCTION("GOOGLETRANSLATE(C1961,""ja"",""vi"")"),"Đấu giá&gt; Sở thích, văn hóa&gt; quân sự&gt; thiết bị cá nhân&gt; giày&gt; 25.5cm")</f>
        <v>Đấu giá&gt; Sở thích, văn hóa&gt; quân sự&gt; thiết bị cá nhân&gt; giày&gt; 25.5cm</v>
      </c>
      <c r="F1961" t="str">
        <f t="shared" ca="1" si="30"/>
        <v>"2084223928" : "25.5cm",</v>
      </c>
    </row>
    <row r="1962" spans="1:6" ht="15.75" customHeight="1">
      <c r="A1962" s="18">
        <v>2084223929</v>
      </c>
      <c r="B1962" s="18" t="s">
        <v>16990</v>
      </c>
      <c r="C1962" s="18" t="s">
        <v>17221</v>
      </c>
      <c r="D1962" s="5" t="str">
        <f ca="1">IFERROR(__xludf.DUMMYFUNCTION("GOOGLETRANSLATE(B1962,""ja"",""vi"")"),"26.0cm")</f>
        <v>26.0cm</v>
      </c>
      <c r="E1962" s="5" t="str">
        <f ca="1">IFERROR(__xludf.DUMMYFUNCTION("GOOGLETRANSLATE(C1962,""ja"",""vi"")"),"Đấu giá&gt; Sở thích, văn hóa&gt; quân sự&gt; thiết bị cá nhân&gt; giày&gt; 26.0cm")</f>
        <v>Đấu giá&gt; Sở thích, văn hóa&gt; quân sự&gt; thiết bị cá nhân&gt; giày&gt; 26.0cm</v>
      </c>
      <c r="F1962" t="str">
        <f t="shared" ca="1" si="30"/>
        <v>"2084223929" : "26.0cm",</v>
      </c>
    </row>
    <row r="1963" spans="1:6" ht="15.75" customHeight="1">
      <c r="A1963" s="18">
        <v>2084223930</v>
      </c>
      <c r="B1963" s="18" t="s">
        <v>16992</v>
      </c>
      <c r="C1963" s="18" t="s">
        <v>17226</v>
      </c>
      <c r="D1963" s="5" t="str">
        <f ca="1">IFERROR(__xludf.DUMMYFUNCTION("GOOGLETRANSLATE(B1963,""ja"",""vi"")"),"26.5cm")</f>
        <v>26.5cm</v>
      </c>
      <c r="E1963" s="5" t="str">
        <f ca="1">IFERROR(__xludf.DUMMYFUNCTION("GOOGLETRANSLATE(C1963,""ja"",""vi"")"),"Đấu giá&gt; Sở thích, văn hóa&gt; quân sự&gt; thiết bị cá nhân&gt; giày&gt; 26.5cm")</f>
        <v>Đấu giá&gt; Sở thích, văn hóa&gt; quân sự&gt; thiết bị cá nhân&gt; giày&gt; 26.5cm</v>
      </c>
      <c r="F1963" t="str">
        <f t="shared" ca="1" si="30"/>
        <v>"2084223930" : "26.5cm",</v>
      </c>
    </row>
    <row r="1964" spans="1:6" ht="15.75" customHeight="1">
      <c r="A1964" s="18">
        <v>2084223931</v>
      </c>
      <c r="B1964" s="18" t="s">
        <v>16994</v>
      </c>
      <c r="C1964" s="18" t="s">
        <v>17232</v>
      </c>
      <c r="D1964" s="5" t="str">
        <f ca="1">IFERROR(__xludf.DUMMYFUNCTION("GOOGLETRANSLATE(B1964,""ja"",""vi"")"),"27.0cm")</f>
        <v>27.0cm</v>
      </c>
      <c r="E1964" s="5" t="str">
        <f ca="1">IFERROR(__xludf.DUMMYFUNCTION("GOOGLETRANSLATE(C1964,""ja"",""vi"")"),"Đấu giá&gt; Sở thích, văn hóa&gt; quân sự&gt; thiết bị cá nhân&gt; giày&gt; 27.0cm")</f>
        <v>Đấu giá&gt; Sở thích, văn hóa&gt; quân sự&gt; thiết bị cá nhân&gt; giày&gt; 27.0cm</v>
      </c>
      <c r="F1964" t="str">
        <f t="shared" ca="1" si="30"/>
        <v>"2084223931" : "27.0cm",</v>
      </c>
    </row>
    <row r="1965" spans="1:6" ht="15.75" customHeight="1">
      <c r="A1965" s="18">
        <v>2084223932</v>
      </c>
      <c r="B1965" s="18" t="s">
        <v>16996</v>
      </c>
      <c r="C1965" s="18" t="s">
        <v>17235</v>
      </c>
      <c r="D1965" s="5" t="str">
        <f ca="1">IFERROR(__xludf.DUMMYFUNCTION("GOOGLETRANSLATE(B1965,""ja"",""vi"")"),"27.5cm")</f>
        <v>27.5cm</v>
      </c>
      <c r="E1965" s="5" t="str">
        <f ca="1">IFERROR(__xludf.DUMMYFUNCTION("GOOGLETRANSLATE(C1965,""ja"",""vi"")"),"Đấu giá&gt; Sở thích, văn hóa&gt; quân sự&gt; thiết bị cá nhân&gt; giày&gt; 27.5cm")</f>
        <v>Đấu giá&gt; Sở thích, văn hóa&gt; quân sự&gt; thiết bị cá nhân&gt; giày&gt; 27.5cm</v>
      </c>
      <c r="F1965" t="str">
        <f t="shared" ca="1" si="30"/>
        <v>"2084223932" : "27.5cm",</v>
      </c>
    </row>
    <row r="1966" spans="1:6" ht="15.75" customHeight="1">
      <c r="A1966" s="18">
        <v>2084223933</v>
      </c>
      <c r="B1966" s="18" t="s">
        <v>17072</v>
      </c>
      <c r="C1966" s="18" t="s">
        <v>17239</v>
      </c>
      <c r="D1966" s="5" t="str">
        <f ca="1">IFERROR(__xludf.DUMMYFUNCTION("GOOGLETRANSLATE(B1966,""ja"",""vi"")"),"28.0cm")</f>
        <v>28.0cm</v>
      </c>
      <c r="E1966" s="5" t="str">
        <f ca="1">IFERROR(__xludf.DUMMYFUNCTION("GOOGLETRANSLATE(C1966,""ja"",""vi"")"),"Đấu giá&gt; Sở thích, văn hóa&gt; quân sự&gt; thiết bị cá nhân&gt; giày&gt; 28.0cm")</f>
        <v>Đấu giá&gt; Sở thích, văn hóa&gt; quân sự&gt; thiết bị cá nhân&gt; giày&gt; 28.0cm</v>
      </c>
      <c r="F1966" t="str">
        <f t="shared" ca="1" si="30"/>
        <v>"2084223933" : "28.0cm",</v>
      </c>
    </row>
    <row r="1967" spans="1:6" ht="15.75" customHeight="1">
      <c r="A1967" s="18">
        <v>2084223934</v>
      </c>
      <c r="B1967" s="18" t="s">
        <v>17078</v>
      </c>
      <c r="C1967" s="18" t="s">
        <v>17241</v>
      </c>
      <c r="D1967" s="5" t="str">
        <f ca="1">IFERROR(__xludf.DUMMYFUNCTION("GOOGLETRANSLATE(B1967,""ja"",""vi"")"),"28.5cm")</f>
        <v>28.5cm</v>
      </c>
      <c r="E1967" s="5" t="str">
        <f ca="1">IFERROR(__xludf.DUMMYFUNCTION("GOOGLETRANSLATE(C1967,""ja"",""vi"")"),"Đấu giá&gt; Sở thích, văn hóa&gt; quân sự&gt; thiết bị cá nhân&gt; giày&gt; 28.5cm")</f>
        <v>Đấu giá&gt; Sở thích, văn hóa&gt; quân sự&gt; thiết bị cá nhân&gt; giày&gt; 28.5cm</v>
      </c>
      <c r="F1967" t="str">
        <f t="shared" ca="1" si="30"/>
        <v>"2084223934" : "28.5cm",</v>
      </c>
    </row>
    <row r="1968" spans="1:6" ht="15.75" customHeight="1">
      <c r="A1968" s="18">
        <v>2084223935</v>
      </c>
      <c r="B1968" s="18" t="s">
        <v>17153</v>
      </c>
      <c r="C1968" s="18" t="s">
        <v>17245</v>
      </c>
      <c r="D1968" s="5" t="str">
        <f ca="1">IFERROR(__xludf.DUMMYFUNCTION("GOOGLETRANSLATE(B1968,""ja"",""vi"")"),"Hơn 29.0cm")</f>
        <v>Hơn 29.0cm</v>
      </c>
      <c r="E1968" s="5" t="str">
        <f ca="1">IFERROR(__xludf.DUMMYFUNCTION("GOOGLETRANSLATE(C1968,""ja"",""vi"")"),"Đấu giá&gt; Sở thích, văn hóa&gt; quân sự&gt; thiết bị cá nhân&gt; giày&gt; 29.0cm hơn")</f>
        <v>Đấu giá&gt; Sở thích, văn hóa&gt; quân sự&gt; thiết bị cá nhân&gt; giày&gt; 29.0cm hơn</v>
      </c>
      <c r="F1968" t="str">
        <f t="shared" ca="1" si="30"/>
        <v>"2084223935" : "Hơn 29.0cm",</v>
      </c>
    </row>
    <row r="1969" spans="1:6" ht="15.75" customHeight="1">
      <c r="A1969" s="18">
        <v>2084062248</v>
      </c>
      <c r="B1969" s="18" t="s">
        <v>8814</v>
      </c>
      <c r="C1969" s="18" t="s">
        <v>9472</v>
      </c>
      <c r="D1969" s="5" t="str">
        <f ca="1">IFERROR(__xludf.DUMMYFUNCTION("GOOGLETRANSLATE(B1969,""ja"",""vi"")"),"trekking giày")</f>
        <v>trekking giày</v>
      </c>
      <c r="E1969" s="5" t="str">
        <f ca="1">IFERROR(__xludf.DUMMYFUNCTION("GOOGLETRANSLATE(C1969,""ja"",""vi"")"),"Đấu giá&gt; thể thao, giải trí&gt; trại, hàng ngoài trời&gt; giày&gt; giày leo núi")</f>
        <v>Đấu giá&gt; thể thao, giải trí&gt; trại, hàng ngoài trời&gt; giày&gt; giày leo núi</v>
      </c>
      <c r="F1969" t="str">
        <f t="shared" ca="1" si="30"/>
        <v>"2084062248" : "trekking giày",</v>
      </c>
    </row>
    <row r="1970" spans="1:6" ht="15.75" customHeight="1">
      <c r="A1970" s="18">
        <v>2084062251</v>
      </c>
      <c r="B1970" s="18" t="s">
        <v>9476</v>
      </c>
      <c r="C1970" s="18" t="s">
        <v>9478</v>
      </c>
      <c r="D1970" s="5" t="str">
        <f ca="1">IFERROR(__xludf.DUMMYFUNCTION("GOOGLETRANSLATE(B1970,""ja"",""vi"")"),"dép ngoài trời")</f>
        <v>dép ngoài trời</v>
      </c>
      <c r="E1970" s="5" t="str">
        <f ca="1">IFERROR(__xludf.DUMMYFUNCTION("GOOGLETRANSLATE(C1970,""ja"",""vi"")"),"Đấu giá&gt; thể thao, giải trí&gt; trại, hàng ngoài trời&gt; giày&gt; ngoài trời dép")</f>
        <v>Đấu giá&gt; thể thao, giải trí&gt; trại, hàng ngoài trời&gt; giày&gt; ngoài trời dép</v>
      </c>
      <c r="F1970" t="str">
        <f t="shared" ca="1" si="30"/>
        <v>"2084062251" : "dép ngoài trời",</v>
      </c>
    </row>
    <row r="1971" spans="1:6" ht="15.75" customHeight="1">
      <c r="A1971" s="18">
        <v>2084062249</v>
      </c>
      <c r="B1971" s="18" t="s">
        <v>8375</v>
      </c>
      <c r="C1971" s="18" t="s">
        <v>9482</v>
      </c>
      <c r="D1971" s="5" t="str">
        <f ca="1">IFERROR(__xludf.DUMMYFUNCTION("GOOGLETRANSLATE(B1971,""ja"",""vi"")"),"giày đi bộ")</f>
        <v>giày đi bộ</v>
      </c>
      <c r="E1971" s="5" t="str">
        <f ca="1">IFERROR(__xludf.DUMMYFUNCTION("GOOGLETRANSLATE(C1971,""ja"",""vi"")"),"Đấu giá&gt; thể thao, giải trí&gt; trại, hàng ngoài trời&gt; giày&gt; giày đi bộ")</f>
        <v>Đấu giá&gt; thể thao, giải trí&gt; trại, hàng ngoài trời&gt; giày&gt; giày đi bộ</v>
      </c>
      <c r="F1971" t="str">
        <f t="shared" ca="1" si="30"/>
        <v>"2084062249" : "giày đi bộ",</v>
      </c>
    </row>
    <row r="1972" spans="1:6" ht="15.75" customHeight="1">
      <c r="A1972" s="18">
        <v>2084299662</v>
      </c>
      <c r="B1972" s="18" t="s">
        <v>9487</v>
      </c>
      <c r="C1972" s="18" t="s">
        <v>9488</v>
      </c>
      <c r="D1972" s="5" t="str">
        <f ca="1">IFERROR(__xludf.DUMMYFUNCTION("GOOGLETRANSLATE(B1972,""ja"",""vi"")"),"Đinh móc")</f>
        <v>Đinh móc</v>
      </c>
      <c r="E1972" s="5" t="str">
        <f ca="1">IFERROR(__xludf.DUMMYFUNCTION("GOOGLETRANSLATE(C1972,""ja"",""vi"")"),"Đấu giá&gt; thể thao, giải trí&gt; trại, ngoài trời hàng&gt; giày&gt; Aizen")</f>
        <v>Đấu giá&gt; thể thao, giải trí&gt; trại, ngoài trời hàng&gt; giày&gt; Aizen</v>
      </c>
      <c r="F1972" t="str">
        <f t="shared" ca="1" si="30"/>
        <v>"2084299662" : "Đinh móc",</v>
      </c>
    </row>
    <row r="1973" spans="1:6" ht="15.75" customHeight="1">
      <c r="A1973" s="18">
        <v>2084299663</v>
      </c>
      <c r="B1973" s="18" t="s">
        <v>9493</v>
      </c>
      <c r="C1973" s="18" t="s">
        <v>9494</v>
      </c>
      <c r="D1973" s="5" t="str">
        <f ca="1">IFERROR(__xludf.DUMMYFUNCTION("GOOGLETRANSLATE(B1973,""ja"",""vi"")"),"Giày tuyết, giày đi tuyết")</f>
        <v>Giày tuyết, giày đi tuyết</v>
      </c>
      <c r="E1973" s="5" t="str">
        <f ca="1">IFERROR(__xludf.DUMMYFUNCTION("GOOGLETRANSLATE(C1973,""ja"",""vi"")"),"Đấu giá&gt; thể thao, giải trí&gt; trại, hàng ngoài trời&gt; giày&gt; giày tuyết, giày đi tuyết")</f>
        <v>Đấu giá&gt; thể thao, giải trí&gt; trại, hàng ngoài trời&gt; giày&gt; giày tuyết, giày đi tuyết</v>
      </c>
      <c r="F1973" t="str">
        <f t="shared" ca="1" si="30"/>
        <v>"2084299663" : "Giày tuyết, giày đi tuyết",</v>
      </c>
    </row>
    <row r="1974" spans="1:6" ht="15.75" customHeight="1">
      <c r="A1974" s="18">
        <v>2084299661</v>
      </c>
      <c r="B1974" s="18" t="s">
        <v>9499</v>
      </c>
      <c r="C1974" s="18" t="s">
        <v>9501</v>
      </c>
      <c r="D1974" s="5" t="str">
        <f ca="1">IFERROR(__xludf.DUMMYFUNCTION("GOOGLETRANSLATE(B1974,""ja"",""vi"")"),"tuyết khởi động")</f>
        <v>tuyết khởi động</v>
      </c>
      <c r="E1974" s="5" t="str">
        <f ca="1">IFERROR(__xludf.DUMMYFUNCTION("GOOGLETRANSLATE(C1974,""ja"",""vi"")"),"Đấu giá&gt; thể thao, giải trí&gt; trại, hàng ngoài trời&gt; giày&gt; Tuyết Boots")</f>
        <v>Đấu giá&gt; thể thao, giải trí&gt; trại, hàng ngoài trời&gt; giày&gt; Tuyết Boots</v>
      </c>
      <c r="F1974" t="str">
        <f t="shared" ca="1" si="30"/>
        <v>"2084299661" : "tuyết khởi động",</v>
      </c>
    </row>
    <row r="1975" spans="1:6" ht="15.75" customHeight="1">
      <c r="A1975" s="18">
        <v>2084062295</v>
      </c>
      <c r="B1975" s="18" t="s">
        <v>46</v>
      </c>
      <c r="C1975" s="18" t="s">
        <v>9507</v>
      </c>
      <c r="D1975" s="5" t="str">
        <f ca="1">IFERROR(__xludf.DUMMYFUNCTION("GOOGLETRANSLATE(B1975,""ja"",""vi"")"),"nếu không thì")</f>
        <v>nếu không thì</v>
      </c>
      <c r="E1975" s="5" t="str">
        <f ca="1">IFERROR(__xludf.DUMMYFUNCTION("GOOGLETRANSLATE(C1975,""ja"",""vi"")"),"Đấu giá&gt; thể thao, giải trí&gt; trại, ngoài trời hàng&gt; giày&gt; Khác")</f>
        <v>Đấu giá&gt; thể thao, giải trí&gt; trại, ngoài trời hàng&gt; giày&gt; Khác</v>
      </c>
      <c r="F1975" t="str">
        <f t="shared" ca="1" si="30"/>
        <v>"2084062295" : "nếu không thì",</v>
      </c>
    </row>
    <row r="1976" spans="1:6" ht="15.75" customHeight="1">
      <c r="A1976" s="18">
        <v>2084063417</v>
      </c>
      <c r="B1976" s="18" t="s">
        <v>15718</v>
      </c>
      <c r="C1976" s="18" t="s">
        <v>15720</v>
      </c>
      <c r="D1976" s="5" t="str">
        <f ca="1">IFERROR(__xludf.DUMMYFUNCTION("GOOGLETRANSLATE(B1976,""ja"",""vi"")"),"kem")</f>
        <v>kem</v>
      </c>
      <c r="E1976" s="5" t="str">
        <f ca="1">IFERROR(__xludf.DUMMYFUNCTION("GOOGLETRANSLATE(C1976,""ja"",""vi"")"),"Đấu giá&gt; làm đẹp, chăm sóc sức khỏe&gt; ​​Chăm sóc cơ thể&gt; Chăm sóc Foot&gt; kem")</f>
        <v>Đấu giá&gt; làm đẹp, chăm sóc sức khỏe&gt; ​​Chăm sóc cơ thể&gt; Chăm sóc Foot&gt; kem</v>
      </c>
      <c r="F1976" t="str">
        <f t="shared" ca="1" si="30"/>
        <v>"2084063417" : "kem",</v>
      </c>
    </row>
    <row r="1977" spans="1:6" ht="15.75" customHeight="1">
      <c r="A1977" s="18">
        <v>2084063421</v>
      </c>
      <c r="B1977" s="18" t="s">
        <v>4266</v>
      </c>
      <c r="C1977" s="18" t="s">
        <v>15722</v>
      </c>
      <c r="D1977" s="5" t="str">
        <f ca="1">IFERROR(__xludf.DUMMYFUNCTION("GOOGLETRANSLATE(B1977,""ja"",""vi"")"),"foot Bath")</f>
        <v>foot Bath</v>
      </c>
      <c r="E1977" s="5" t="str">
        <f ca="1">IFERROR(__xludf.DUMMYFUNCTION("GOOGLETRANSLATE(C1977,""ja"",""vi"")"),"Đấu giá&gt; làm đẹp, chăm sóc sức khỏe&gt; ​​Chăm sóc cơ thể&gt; Chăm sóc Foot&gt; Foot Bath")</f>
        <v>Đấu giá&gt; làm đẹp, chăm sóc sức khỏe&gt; ​​Chăm sóc cơ thể&gt; Chăm sóc Foot&gt; Foot Bath</v>
      </c>
      <c r="F1977" t="str">
        <f t="shared" ca="1" si="30"/>
        <v>"2084063421" : "foot Bath",</v>
      </c>
    </row>
    <row r="1978" spans="1:6" ht="15.75" customHeight="1">
      <c r="A1978" s="18">
        <v>2084047758</v>
      </c>
      <c r="B1978" s="18" t="s">
        <v>4271</v>
      </c>
      <c r="C1978" s="18" t="s">
        <v>15726</v>
      </c>
      <c r="D1978" s="5" t="str">
        <f ca="1">IFERROR(__xludf.DUMMYFUNCTION("GOOGLETRANSLATE(B1978,""ja"",""vi"")"),"foot Massager")</f>
        <v>foot Massager</v>
      </c>
      <c r="E1978" s="5" t="str">
        <f ca="1">IFERROR(__xludf.DUMMYFUNCTION("GOOGLETRANSLATE(C1978,""ja"",""vi"")"),"Đấu giá&gt; làm đẹp, chăm sóc sức khỏe&gt; ​​Chăm sóc cơ thể&gt; Chăm sóc Foot&gt; Foot Massager")</f>
        <v>Đấu giá&gt; làm đẹp, chăm sóc sức khỏe&gt; ​​Chăm sóc cơ thể&gt; Chăm sóc Foot&gt; Foot Massager</v>
      </c>
      <c r="F1978" t="str">
        <f t="shared" ca="1" si="30"/>
        <v>"2084047758" : "foot Massager",</v>
      </c>
    </row>
    <row r="1979" spans="1:6" ht="15.75" customHeight="1">
      <c r="A1979" s="18">
        <v>2084063418</v>
      </c>
      <c r="B1979" s="18" t="s">
        <v>15729</v>
      </c>
      <c r="C1979" s="18" t="s">
        <v>15730</v>
      </c>
      <c r="D1979" s="5" t="str">
        <f ca="1">IFERROR(__xludf.DUMMYFUNCTION("GOOGLETRANSLATE(B1979,""ja"",""vi"")"),"Khử mùi, vật tư khử mùi")</f>
        <v>Khử mùi, vật tư khử mùi</v>
      </c>
      <c r="E1979" s="5" t="str">
        <f ca="1">IFERROR(__xludf.DUMMYFUNCTION("GOOGLETRANSLATE(C1979,""ja"",""vi"")"),"Đấu giá&gt; làm đẹp, chăm sóc sức khỏe&gt; ​​Chăm sóc cơ thể&gt; Chăm sóc Foot&gt; khử mùi, vật tư khử mùi")</f>
        <v>Đấu giá&gt; làm đẹp, chăm sóc sức khỏe&gt; ​​Chăm sóc cơ thể&gt; Chăm sóc Foot&gt; khử mùi, vật tư khử mùi</v>
      </c>
      <c r="F1979" t="str">
        <f t="shared" ca="1" si="30"/>
        <v>"2084063418" : "Khử mùi, vật tư khử mùi",</v>
      </c>
    </row>
    <row r="1980" spans="1:6" ht="15.75" customHeight="1">
      <c r="A1980" s="18">
        <v>2084063419</v>
      </c>
      <c r="B1980" s="18" t="s">
        <v>46</v>
      </c>
      <c r="C1980" s="18" t="s">
        <v>15733</v>
      </c>
      <c r="D1980" s="5" t="str">
        <f ca="1">IFERROR(__xludf.DUMMYFUNCTION("GOOGLETRANSLATE(B1980,""ja"",""vi"")"),"nếu không thì")</f>
        <v>nếu không thì</v>
      </c>
      <c r="E1980" s="5" t="str">
        <f ca="1">IFERROR(__xludf.DUMMYFUNCTION("GOOGLETRANSLATE(C1980,""ja"",""vi"")"),"Đấu giá&gt; làm đẹp, chăm sóc sức khỏe&gt; ​​Chăm sóc cơ thể&gt; Chăm sóc Foot&gt; Khác")</f>
        <v>Đấu giá&gt; làm đẹp, chăm sóc sức khỏe&gt; ​​Chăm sóc cơ thể&gt; Chăm sóc Foot&gt; Khác</v>
      </c>
      <c r="F1980" t="str">
        <f t="shared" ca="1" si="30"/>
        <v>"2084063419" : "nếu không thì",</v>
      </c>
    </row>
    <row r="1981" spans="1:6" ht="15.75" customHeight="1">
      <c r="A1981" s="18">
        <v>2084214902</v>
      </c>
      <c r="B1981" s="18" t="s">
        <v>6465</v>
      </c>
      <c r="C1981" s="18" t="s">
        <v>17288</v>
      </c>
      <c r="D1981" s="5" t="str">
        <f ca="1">IFERROR(__xludf.DUMMYFUNCTION("GOOGLETRANSLATE(B1981,""ja"",""vi"")"),"Thiết lập, Lots Bán buôn")</f>
        <v>Thiết lập, Lots Bán buôn</v>
      </c>
      <c r="E1981" s="5" t="str">
        <f ca="1">IFERROR(__xludf.DUMMYFUNCTION("GOOGLETRANSLATE(C1981,""ja"",""vi"")"),"Đấu giá&gt; Thời trang&gt; Phụ kiện thời trang&gt; vớ&gt; dành cho nam giới&gt; thiết lập, Lots Bán buôn")</f>
        <v>Đấu giá&gt; Thời trang&gt; Phụ kiện thời trang&gt; vớ&gt; dành cho nam giới&gt; thiết lập, Lots Bán buôn</v>
      </c>
      <c r="F1981" t="str">
        <f t="shared" ca="1" si="30"/>
        <v>"2084214902" : "Thiết lập, Lots Bán buôn",</v>
      </c>
    </row>
    <row r="1982" spans="1:6" ht="15.75" customHeight="1">
      <c r="A1982" s="18">
        <v>2084214903</v>
      </c>
      <c r="B1982" s="18" t="s">
        <v>2241</v>
      </c>
      <c r="C1982" s="18" t="s">
        <v>17290</v>
      </c>
      <c r="D1982" s="5" t="str">
        <f ca="1">IFERROR(__xludf.DUMMYFUNCTION("GOOGLETRANSLATE(B1982,""ja"",""vi"")"),"chung")</f>
        <v>chung</v>
      </c>
      <c r="E1982" s="5" t="str">
        <f ca="1">IFERROR(__xludf.DUMMYFUNCTION("GOOGLETRANSLATE(C1982,""ja"",""vi"")"),"Đấu giá&gt; Thời trang&gt; Phụ kiện thời trang&gt; vớ&gt; dành cho nam giới&gt; General")</f>
        <v>Đấu giá&gt; Thời trang&gt; Phụ kiện thời trang&gt; vớ&gt; dành cho nam giới&gt; General</v>
      </c>
      <c r="F1982" t="str">
        <f t="shared" ca="1" si="30"/>
        <v>"2084214903" : "chung",</v>
      </c>
    </row>
    <row r="1983" spans="1:6" ht="15.75" customHeight="1">
      <c r="A1983" s="18">
        <v>2084214907</v>
      </c>
      <c r="B1983" s="18" t="s">
        <v>15669</v>
      </c>
      <c r="C1983" s="18" t="s">
        <v>17291</v>
      </c>
      <c r="D1983" s="5" t="str">
        <f ca="1">IFERROR(__xludf.DUMMYFUNCTION("GOOGLETRANSLATE(B1983,""ja"",""vi"")"),"Năm ngón tay, vớ loại")</f>
        <v>Năm ngón tay, vớ loại</v>
      </c>
      <c r="E1983" s="5" t="str">
        <f ca="1">IFERROR(__xludf.DUMMYFUNCTION("GOOGLETRANSLATE(C1983,""ja"",""vi"")"),"Đấu giá&gt; Thời trang&gt; Phụ kiện thời trang&gt; vớ&gt; dành cho nam giới&gt; 5 ngón tay, vớ loại")</f>
        <v>Đấu giá&gt; Thời trang&gt; Phụ kiện thời trang&gt; vớ&gt; dành cho nam giới&gt; 5 ngón tay, vớ loại</v>
      </c>
      <c r="F1983" t="str">
        <f t="shared" ca="1" si="30"/>
        <v>"2084214907" : "Năm ngón tay, vớ loại",</v>
      </c>
    </row>
    <row r="1984" spans="1:6" ht="15.75" customHeight="1">
      <c r="A1984" s="18">
        <v>2084214906</v>
      </c>
      <c r="B1984" s="18" t="s">
        <v>15674</v>
      </c>
      <c r="C1984" s="18" t="s">
        <v>17293</v>
      </c>
      <c r="D1984" s="5" t="str">
        <f ca="1">IFERROR(__xludf.DUMMYFUNCTION("GOOGLETRANSLATE(B1984,""ja"",""vi"")"),"ngắn Socks")</f>
        <v>ngắn Socks</v>
      </c>
      <c r="E1984" s="5" t="str">
        <f ca="1">IFERROR(__xludf.DUMMYFUNCTION("GOOGLETRANSLATE(C1984,""ja"",""vi"")"),"Đấu giá&gt; Thời trang&gt; Phụ kiện thời trang&gt; vớ&gt; dành cho nam giới&gt; ngắn Socks")</f>
        <v>Đấu giá&gt; Thời trang&gt; Phụ kiện thời trang&gt; vớ&gt; dành cho nam giới&gt; ngắn Socks</v>
      </c>
      <c r="F1984" t="str">
        <f t="shared" ca="1" si="30"/>
        <v>"2084214906" : "ngắn Socks",</v>
      </c>
    </row>
    <row r="1985" spans="1:6" ht="15.75" customHeight="1">
      <c r="A1985" s="18">
        <v>2084214908</v>
      </c>
      <c r="B1985" s="18" t="s">
        <v>46</v>
      </c>
      <c r="C1985" s="18" t="s">
        <v>17295</v>
      </c>
      <c r="D1985" s="5" t="str">
        <f ca="1">IFERROR(__xludf.DUMMYFUNCTION("GOOGLETRANSLATE(B1985,""ja"",""vi"")"),"nếu không thì")</f>
        <v>nếu không thì</v>
      </c>
      <c r="E1985" s="5" t="str">
        <f ca="1">IFERROR(__xludf.DUMMYFUNCTION("GOOGLETRANSLATE(C1985,""ja"",""vi"")"),"Đấu giá&gt; Thời trang&gt; Phụ kiện thời trang&gt; vớ&gt; dành cho nam giới&gt; Khác")</f>
        <v>Đấu giá&gt; Thời trang&gt; Phụ kiện thời trang&gt; vớ&gt; dành cho nam giới&gt; Khác</v>
      </c>
      <c r="F1985" t="str">
        <f t="shared" ca="1" si="30"/>
        <v>"2084214908" : "nếu không thì",</v>
      </c>
    </row>
    <row r="1986" spans="1:6" ht="15.75" customHeight="1">
      <c r="A1986" s="18">
        <v>2084238535</v>
      </c>
      <c r="B1986" s="18" t="s">
        <v>15734</v>
      </c>
      <c r="C1986" s="18" t="s">
        <v>15736</v>
      </c>
      <c r="D1986" s="5" t="str">
        <f ca="1">IFERROR(__xludf.DUMMYFUNCTION("GOOGLETRANSLATE(B1986,""ja"",""vi"")"),"cây giày")</f>
        <v>cây giày</v>
      </c>
      <c r="E1986" s="5" t="str">
        <f ca="1">IFERROR(__xludf.DUMMYFUNCTION("GOOGLETRANSLATE(C1986,""ja"",""vi"")"),"Đấu giá&gt; nhà, nội thất&gt; hàng gia dụng&gt; giày nguồn cung cấp&gt; cây giày")</f>
        <v>Đấu giá&gt; nhà, nội thất&gt; hàng gia dụng&gt; giày nguồn cung cấp&gt; cây giày</v>
      </c>
      <c r="F1986" t="str">
        <f t="shared" ref="F1986:F2049" ca="1" si="31">CONCATENATE(CHAR(34)&amp;"",A1986,""&amp;CHAR(34)," : ", CHAR(34)&amp;"",D1986,""&amp;CHAR(34),",")</f>
        <v>"2084238535" : "cây giày",</v>
      </c>
    </row>
    <row r="1987" spans="1:6" ht="15.75" customHeight="1">
      <c r="A1987" s="18">
        <v>2084238531</v>
      </c>
      <c r="B1987" s="18" t="s">
        <v>15738</v>
      </c>
      <c r="C1987" s="18" t="s">
        <v>15740</v>
      </c>
      <c r="D1987" s="5" t="str">
        <f ca="1">IFERROR(__xludf.DUMMYFUNCTION("GOOGLETRANSLATE(B1987,""ja"",""vi"")"),"Bảo thủ dầu, dầu")</f>
        <v>Bảo thủ dầu, dầu</v>
      </c>
      <c r="E1987" s="5" t="str">
        <f ca="1">IFERROR(__xludf.DUMMYFUNCTION("GOOGLETRANSLATE(C1987,""ja"",""vi"")"),"Đấu giá&gt; nhà, nội thất&gt; hàng gia dụng&gt; giày nguồn cung cấp&gt; bảo thủ dầu, dầu")</f>
        <v>Đấu giá&gt; nhà, nội thất&gt; hàng gia dụng&gt; giày nguồn cung cấp&gt; bảo thủ dầu, dầu</v>
      </c>
      <c r="F1987" t="str">
        <f t="shared" ca="1" si="31"/>
        <v>"2084238531" : "Bảo thủ dầu, dầu",</v>
      </c>
    </row>
    <row r="1988" spans="1:6" ht="15.75" customHeight="1">
      <c r="A1988" s="18">
        <v>2084238530</v>
      </c>
      <c r="B1988" s="18" t="s">
        <v>15741</v>
      </c>
      <c r="C1988" s="18" t="s">
        <v>15743</v>
      </c>
      <c r="D1988" s="5" t="str">
        <f ca="1">IFERROR(__xludf.DUMMYFUNCTION("GOOGLETRANSLATE(B1988,""ja"",""vi"")"),"đại lý chống thấm")</f>
        <v>đại lý chống thấm</v>
      </c>
      <c r="E1988" s="5" t="str">
        <f ca="1">IFERROR(__xludf.DUMMYFUNCTION("GOOGLETRANSLATE(C1988,""ja"",""vi"")"),"Đấu giá&gt; nhà, nội thất&gt; hàng gia dụng&gt; giày nguồn cung cấp&gt; đại lý chống thấm")</f>
        <v>Đấu giá&gt; nhà, nội thất&gt; hàng gia dụng&gt; giày nguồn cung cấp&gt; đại lý chống thấm</v>
      </c>
      <c r="F1988" t="str">
        <f t="shared" ca="1" si="31"/>
        <v>"2084238530" : "đại lý chống thấm",</v>
      </c>
    </row>
    <row r="1989" spans="1:6" ht="15.75" customHeight="1">
      <c r="A1989" s="18">
        <v>2084238538</v>
      </c>
      <c r="B1989" s="18" t="s">
        <v>46</v>
      </c>
      <c r="C1989" s="18" t="s">
        <v>15745</v>
      </c>
      <c r="D1989" s="5" t="str">
        <f ca="1">IFERROR(__xludf.DUMMYFUNCTION("GOOGLETRANSLATE(B1989,""ja"",""vi"")"),"nếu không thì")</f>
        <v>nếu không thì</v>
      </c>
      <c r="E1989" s="5" t="str">
        <f ca="1">IFERROR(__xludf.DUMMYFUNCTION("GOOGLETRANSLATE(C1989,""ja"",""vi"")"),"Đấu giá&gt; nhà, nội thất&gt; hàng gia dụng&gt; giày nguồn cung cấp&gt; Khác")</f>
        <v>Đấu giá&gt; nhà, nội thất&gt; hàng gia dụng&gt; giày nguồn cung cấp&gt; Khác</v>
      </c>
      <c r="F1989" t="str">
        <f t="shared" ca="1" si="31"/>
        <v>"2084238538" : "nếu không thì",</v>
      </c>
    </row>
    <row r="1990" spans="1:6" ht="15.75" customHeight="1">
      <c r="A1990" s="18">
        <v>2084211880</v>
      </c>
      <c r="B1990" s="18" t="s">
        <v>15809</v>
      </c>
      <c r="C1990" s="18" t="s">
        <v>17299</v>
      </c>
      <c r="D1990" s="5" t="str">
        <f ca="1">IFERROR(__xludf.DUMMYFUNCTION("GOOGLETRANSLATE(B1990,""ja"",""vi"")"),"Một bộ ba điểm")</f>
        <v>Một bộ ba điểm</v>
      </c>
      <c r="E1990" s="5" t="str">
        <f ca="1">IFERROR(__xludf.DUMMYFUNCTION("GOOGLETRANSLATE(C1990,""ja"",""vi"")"),"Đấu giá&gt; thời trang&gt; man quần áo Nhật Bản, kimono&gt; yukata&gt; bộ ba điểm")</f>
        <v>Đấu giá&gt; thời trang&gt; man quần áo Nhật Bản, kimono&gt; yukata&gt; bộ ba điểm</v>
      </c>
      <c r="F1990" t="str">
        <f t="shared" ca="1" si="31"/>
        <v>"2084211880" : "Một bộ ba điểm",</v>
      </c>
    </row>
    <row r="1991" spans="1:6" ht="15.75" customHeight="1">
      <c r="A1991" s="18">
        <v>2084211883</v>
      </c>
      <c r="B1991" s="18" t="s">
        <v>8463</v>
      </c>
      <c r="C1991" s="18" t="s">
        <v>17301</v>
      </c>
      <c r="D1991" s="5" t="str">
        <f ca="1">IFERROR(__xludf.DUMMYFUNCTION("GOOGLETRANSLATE(B1991,""ja"",""vi"")"),"dây lưng lụa")</f>
        <v>dây lưng lụa</v>
      </c>
      <c r="E1991" s="5" t="str">
        <f ca="1">IFERROR(__xludf.DUMMYFUNCTION("GOOGLETRANSLATE(C1991,""ja"",""vi"")"),"Đấu giá&gt; thời trang&gt; man quần áo Nhật Bản, kimono&gt; yukata&gt; band")</f>
        <v>Đấu giá&gt; thời trang&gt; man quần áo Nhật Bản, kimono&gt; yukata&gt; band</v>
      </c>
      <c r="F1991" t="str">
        <f t="shared" ca="1" si="31"/>
        <v>"2084211883" : "dây lưng lụa",</v>
      </c>
    </row>
    <row r="1992" spans="1:6" ht="15.75" customHeight="1">
      <c r="A1992" s="18">
        <v>2084211885</v>
      </c>
      <c r="B1992" s="18" t="s">
        <v>15819</v>
      </c>
      <c r="C1992" s="18" t="s">
        <v>17303</v>
      </c>
      <c r="D1992" s="5" t="str">
        <f ca="1">IFERROR(__xludf.DUMMYFUNCTION("GOOGLETRANSLATE(B1992,""ja"",""vi"")"),"vải")</f>
        <v>vải</v>
      </c>
      <c r="E1992" s="5" t="str">
        <f ca="1">IFERROR(__xludf.DUMMYFUNCTION("GOOGLETRANSLATE(C1992,""ja"",""vi"")"),"Đấu giá&gt; thời trang&gt; man quần áo Nhật Bản, kimono&gt; yukata&gt; vải")</f>
        <v>Đấu giá&gt; thời trang&gt; man quần áo Nhật Bản, kimono&gt; yukata&gt; vải</v>
      </c>
      <c r="F1992" t="str">
        <f t="shared" ca="1" si="31"/>
        <v>"2084211885" : "vải",</v>
      </c>
    </row>
    <row r="1993" spans="1:6" ht="15.75" customHeight="1">
      <c r="A1993" s="18">
        <v>2084211855</v>
      </c>
      <c r="B1993" s="18" t="s">
        <v>15824</v>
      </c>
      <c r="C1993" s="18" t="s">
        <v>17305</v>
      </c>
      <c r="D1993" s="5" t="str">
        <f ca="1">IFERROR(__xludf.DUMMYFUNCTION("GOOGLETRANSLATE(B1993,""ja"",""vi"")"),"Yukata (với ban nhạc)")</f>
        <v>Yukata (với ban nhạc)</v>
      </c>
      <c r="E1993" s="5" t="str">
        <f ca="1">IFERROR(__xludf.DUMMYFUNCTION("GOOGLETRANSLATE(C1993,""ja"",""vi"")"),"Đấu giá&gt; thời trang&gt; man quần áo Nhật Bản, kimono&gt; yukata&gt; yukata (với ban nhạc)")</f>
        <v>Đấu giá&gt; thời trang&gt; man quần áo Nhật Bản, kimono&gt; yukata&gt; yukata (với ban nhạc)</v>
      </c>
      <c r="F1993" t="str">
        <f t="shared" ca="1" si="31"/>
        <v>"2084211855" : "Yukata (với ban nhạc)",</v>
      </c>
    </row>
    <row r="1994" spans="1:6" ht="15.75" customHeight="1">
      <c r="A1994" s="18">
        <v>2084211836</v>
      </c>
      <c r="B1994" s="18" t="s">
        <v>15829</v>
      </c>
      <c r="C1994" s="18" t="s">
        <v>17308</v>
      </c>
      <c r="D1994" s="5" t="str">
        <f ca="1">IFERROR(__xludf.DUMMYFUNCTION("GOOGLETRANSLATE(B1994,""ja"",""vi"")"),"Yukata (không hợp nhất)")</f>
        <v>Yukata (không hợp nhất)</v>
      </c>
      <c r="E1994" s="5" t="str">
        <f ca="1">IFERROR(__xludf.DUMMYFUNCTION("GOOGLETRANSLATE(C1994,""ja"",""vi"")"),"Đấu giá&gt; thời trang&gt; man quần áo Nhật Bản, kimono&gt; yukata&gt; yukata (không hợp nhất)")</f>
        <v>Đấu giá&gt; thời trang&gt; man quần áo Nhật Bản, kimono&gt; yukata&gt; yukata (không hợp nhất)</v>
      </c>
      <c r="F1994" t="str">
        <f t="shared" ca="1" si="31"/>
        <v>"2084211836" : "Yukata (không hợp nhất)",</v>
      </c>
    </row>
    <row r="1995" spans="1:6" ht="15.75" customHeight="1">
      <c r="A1995" s="18">
        <v>2084211886</v>
      </c>
      <c r="B1995" s="18" t="s">
        <v>46</v>
      </c>
      <c r="C1995" s="18" t="s">
        <v>17311</v>
      </c>
      <c r="D1995" s="5" t="str">
        <f ca="1">IFERROR(__xludf.DUMMYFUNCTION("GOOGLETRANSLATE(B1995,""ja"",""vi"")"),"nếu không thì")</f>
        <v>nếu không thì</v>
      </c>
      <c r="E1995" s="5" t="str">
        <f ca="1">IFERROR(__xludf.DUMMYFUNCTION("GOOGLETRANSLATE(C1995,""ja"",""vi"")"),"Đấu giá&gt; thời trang&gt; man quần áo Nhật Bản, kimono&gt; yukata&gt; Khác")</f>
        <v>Đấu giá&gt; thời trang&gt; man quần áo Nhật Bản, kimono&gt; yukata&gt; Khác</v>
      </c>
      <c r="F1995" t="str">
        <f t="shared" ca="1" si="31"/>
        <v>"2084211886" : "nếu không thì",</v>
      </c>
    </row>
    <row r="1996" spans="1:6" ht="15.75" customHeight="1">
      <c r="A1996" s="18">
        <v>2084061202</v>
      </c>
      <c r="B1996" s="18" t="s">
        <v>15843</v>
      </c>
      <c r="C1996" s="18" t="s">
        <v>17313</v>
      </c>
      <c r="D1996" s="5" t="str">
        <f ca="1">IFERROR(__xludf.DUMMYFUNCTION("GOOGLETRANSLATE(B1996,""ja"",""vi"")"),"wrapper lụa nhỏ")</f>
        <v>wrapper lụa nhỏ</v>
      </c>
      <c r="E1996" s="5" t="str">
        <f ca="1">IFERROR(__xludf.DUMMYFUNCTION("GOOGLETRANSLATE(C1996,""ja"",""vi"")"),"Đấu giá&gt; thời trang&gt; man quần áo Nhật Bản, kimono&gt; kimono phụ kiện&gt; Fukusa")</f>
        <v>Đấu giá&gt; thời trang&gt; man quần áo Nhật Bản, kimono&gt; kimono phụ kiện&gt; Fukusa</v>
      </c>
      <c r="F1996" t="str">
        <f t="shared" ca="1" si="31"/>
        <v>"2084061202" : "wrapper lụa nhỏ",</v>
      </c>
    </row>
    <row r="1997" spans="1:6" ht="15.75" customHeight="1">
      <c r="A1997" s="18">
        <v>2084057811</v>
      </c>
      <c r="B1997" s="18" t="s">
        <v>6771</v>
      </c>
      <c r="C1997" s="18" t="s">
        <v>17315</v>
      </c>
      <c r="D1997" s="5" t="str">
        <f ca="1">IFERROR(__xludf.DUMMYFUNCTION("GOOGLETRANSLATE(B1997,""ja"",""vi"")"),"netsuke")</f>
        <v>netsuke</v>
      </c>
      <c r="E1997" s="5" t="str">
        <f ca="1">IFERROR(__xludf.DUMMYFUNCTION("GOOGLETRANSLATE(C1997,""ja"",""vi"")"),"Đấu giá&gt; thời trang&gt; man quần áo Nhật Bản, kimono&gt; kimono phụ kiện&gt; netsuke")</f>
        <v>Đấu giá&gt; thời trang&gt; man quần áo Nhật Bản, kimono&gt; kimono phụ kiện&gt; netsuke</v>
      </c>
      <c r="F1997" t="str">
        <f t="shared" ca="1" si="31"/>
        <v>"2084057811" : "netsuke",</v>
      </c>
    </row>
    <row r="1998" spans="1:6" ht="15.75" customHeight="1">
      <c r="A1998" s="18">
        <v>2084045073</v>
      </c>
      <c r="B1998" s="18" t="s">
        <v>15229</v>
      </c>
      <c r="C1998" s="18" t="s">
        <v>17317</v>
      </c>
      <c r="D1998" s="5" t="str">
        <f ca="1">IFERROR(__xludf.DUMMYFUNCTION("GOOGLETRANSLATE(B1998,""ja"",""vi"")"),"quạt gấp")</f>
        <v>quạt gấp</v>
      </c>
      <c r="E1998" s="5" t="str">
        <f ca="1">IFERROR(__xludf.DUMMYFUNCTION("GOOGLETRANSLATE(C1998,""ja"",""vi"")"),"Đấu giá&gt; thời trang&gt; man quần áo Nhật Bản, kimono&gt; kimono phụ kiện&gt; Fans")</f>
        <v>Đấu giá&gt; thời trang&gt; man quần áo Nhật Bản, kimono&gt; kimono phụ kiện&gt; Fans</v>
      </c>
      <c r="F1998" t="str">
        <f t="shared" ca="1" si="31"/>
        <v>"2084045073" : "quạt gấp",</v>
      </c>
    </row>
    <row r="1999" spans="1:6" ht="15.75" customHeight="1">
      <c r="A1999" s="18">
        <v>2084061203</v>
      </c>
      <c r="B1999" s="18" t="s">
        <v>15871</v>
      </c>
      <c r="C1999" s="18" t="s">
        <v>17319</v>
      </c>
      <c r="D1999" s="5" t="str">
        <f ca="1">IFERROR(__xludf.DUMMYFUNCTION("GOOGLETRANSLATE(B1999,""ja"",""vi"")"),"vải gói")</f>
        <v>vải gói</v>
      </c>
      <c r="E1999" s="5" t="str">
        <f ca="1">IFERROR(__xludf.DUMMYFUNCTION("GOOGLETRANSLATE(C1999,""ja"",""vi"")"),"Đấu giá&gt; thời trang&gt; man quần áo Nhật Bản, kimono&gt; kimono phụ kiện&gt; táo")</f>
        <v>Đấu giá&gt; thời trang&gt; man quần áo Nhật Bản, kimono&gt; kimono phụ kiện&gt; táo</v>
      </c>
      <c r="F1999" t="str">
        <f t="shared" ca="1" si="31"/>
        <v>"2084061203" : "vải gói",</v>
      </c>
    </row>
    <row r="2000" spans="1:6" ht="15.75" customHeight="1">
      <c r="A2000" s="18">
        <v>2084061632</v>
      </c>
      <c r="B2000" s="18" t="s">
        <v>46</v>
      </c>
      <c r="C2000" s="18" t="s">
        <v>17321</v>
      </c>
      <c r="D2000" s="5" t="str">
        <f ca="1">IFERROR(__xludf.DUMMYFUNCTION("GOOGLETRANSLATE(B2000,""ja"",""vi"")"),"nếu không thì")</f>
        <v>nếu không thì</v>
      </c>
      <c r="E2000" s="5" t="str">
        <f ca="1">IFERROR(__xludf.DUMMYFUNCTION("GOOGLETRANSLATE(C2000,""ja"",""vi"")"),"Đấu giá&gt; thời trang&gt; man quần áo Nhật Bản, kimono&gt; kimono phụ kiện&gt; khác")</f>
        <v>Đấu giá&gt; thời trang&gt; man quần áo Nhật Bản, kimono&gt; kimono phụ kiện&gt; khác</v>
      </c>
      <c r="F2000" t="str">
        <f t="shared" ca="1" si="31"/>
        <v>"2084061632" : "nếu không thì",</v>
      </c>
    </row>
    <row r="2001" spans="1:6" ht="15.75" customHeight="1">
      <c r="A2001" s="18">
        <v>2084298119</v>
      </c>
      <c r="B2001" s="18" t="s">
        <v>17323</v>
      </c>
      <c r="C2001" s="18" t="s">
        <v>17324</v>
      </c>
      <c r="D2001" s="5" t="str">
        <f ca="1">IFERROR(__xludf.DUMMYFUNCTION("GOOGLETRANSLATE(B2001,""ja"",""vi"")"),"H &amp; M")</f>
        <v>H &amp; M</v>
      </c>
      <c r="E2001" s="5" t="str">
        <f ca="1">IFERROR(__xludf.DUMMYFUNCTION("GOOGLETRANSLATE(C2001,""ja"",""vi"")"),"Đấu giá&gt; Thời trang&gt; Kids, em bé thời trang&gt; Thương hiệu&gt; H &amp; M")</f>
        <v>Đấu giá&gt; Thời trang&gt; Kids, em bé thời trang&gt; Thương hiệu&gt; H &amp; M</v>
      </c>
      <c r="F2001" t="str">
        <f t="shared" ca="1" si="31"/>
        <v>"2084298119" : "H &amp; M",</v>
      </c>
    </row>
    <row r="2002" spans="1:6" ht="15.75" customHeight="1">
      <c r="A2002" s="18">
        <v>2084238682</v>
      </c>
      <c r="B2002" s="18" t="s">
        <v>8684</v>
      </c>
      <c r="C2002" s="18" t="s">
        <v>17325</v>
      </c>
      <c r="D2002" s="5" t="str">
        <f ca="1">IFERROR(__xludf.DUMMYFUNCTION("GOOGLETRANSLATE(B2002,""ja"",""vi"")"),"UGG Úc")</f>
        <v>UGG Úc</v>
      </c>
      <c r="E2002" s="5" t="str">
        <f ca="1">IFERROR(__xludf.DUMMYFUNCTION("GOOGLETRANSLATE(C2002,""ja"",""vi"")"),"Đấu giá&gt; Thời trang&gt; Kids, em bé thời trang&gt; Thương hiệu&gt; UGG Úc")</f>
        <v>Đấu giá&gt; Thời trang&gt; Kids, em bé thời trang&gt; Thương hiệu&gt; UGG Úc</v>
      </c>
      <c r="F2002" t="str">
        <f t="shared" ca="1" si="31"/>
        <v>"2084238682" : "UGG Úc",</v>
      </c>
    </row>
    <row r="2003" spans="1:6" ht="15.75" customHeight="1">
      <c r="A2003" s="18">
        <v>2084206294</v>
      </c>
      <c r="B2003" s="18" t="s">
        <v>8728</v>
      </c>
      <c r="C2003" s="18" t="s">
        <v>17327</v>
      </c>
      <c r="D2003" s="5" t="str">
        <f ca="1">IFERROR(__xludf.DUMMYFUNCTION("GOOGLETRANSLATE(B2003,""ja"",""vi"")"),"Trái đất kỳ diệu")</f>
        <v>Trái đất kỳ diệu</v>
      </c>
      <c r="E2003" s="5" t="str">
        <f ca="1">IFERROR(__xludf.DUMMYFUNCTION("GOOGLETRANSLATE(C2003,""ja"",""vi"")"),"Đấu giá&gt; Thời trang&gt; Kids, Baby Thời trang&gt; By Nhãn hiệu&gt; Trái đất kỳ diệu")</f>
        <v>Đấu giá&gt; Thời trang&gt; Kids, Baby Thời trang&gt; By Nhãn hiệu&gt; Trái đất kỳ diệu</v>
      </c>
      <c r="F2003" t="str">
        <f t="shared" ca="1" si="31"/>
        <v>"2084206294" : "Trái đất kỳ diệu",</v>
      </c>
    </row>
    <row r="2004" spans="1:6" ht="15.75" customHeight="1">
      <c r="A2004" s="18">
        <v>2084293016</v>
      </c>
      <c r="B2004" s="18" t="s">
        <v>8809</v>
      </c>
      <c r="C2004" s="18" t="s">
        <v>17329</v>
      </c>
      <c r="D2004" s="5" t="str">
        <f ca="1">IFERROR(__xludf.DUMMYFUNCTION("GOOGLETRANSLATE(B2004,""ja"",""vi"")"),"Aniesube")</f>
        <v>Aniesube</v>
      </c>
      <c r="E2004" s="5" t="str">
        <f ca="1">IFERROR(__xludf.DUMMYFUNCTION("GOOGLETRANSLATE(C2004,""ja"",""vi"")"),"Đấu giá&gt; Thời trang&gt; Kids, Baby Thời trang&gt; By Nhãn hiệu&gt; Aniesube")</f>
        <v>Đấu giá&gt; Thời trang&gt; Kids, Baby Thời trang&gt; By Nhãn hiệu&gt; Aniesube</v>
      </c>
      <c r="F2004" t="str">
        <f t="shared" ca="1" si="31"/>
        <v>"2084293016" : "Aniesube",</v>
      </c>
    </row>
    <row r="2005" spans="1:6" ht="15.75" customHeight="1">
      <c r="A2005" s="18">
        <v>2084283086</v>
      </c>
      <c r="B2005" s="18" t="s">
        <v>9300</v>
      </c>
      <c r="C2005" s="18" t="s">
        <v>17331</v>
      </c>
      <c r="D2005" s="5" t="str">
        <f ca="1">IFERROR(__xludf.DUMMYFUNCTION("GOOGLETRANSLATE(B2005,""ja"",""vi"")"),"X-Girl")</f>
        <v>X-Girl</v>
      </c>
      <c r="E2005" s="5" t="str">
        <f ca="1">IFERROR(__xludf.DUMMYFUNCTION("GOOGLETRANSLATE(C2005,""ja"",""vi"")"),"Đấu giá&gt; Thời trang&gt; Kids, Baby Thời trang&gt; By Nhãn hiệu&gt; X-Girl")</f>
        <v>Đấu giá&gt; Thời trang&gt; Kids, Baby Thời trang&gt; By Nhãn hiệu&gt; X-Girl</v>
      </c>
      <c r="F2005" t="str">
        <f t="shared" ca="1" si="31"/>
        <v>"2084283086" : "X-Girl",</v>
      </c>
    </row>
    <row r="2006" spans="1:6" ht="15.75" customHeight="1">
      <c r="A2006" s="18">
        <v>2084298121</v>
      </c>
      <c r="B2006" s="18" t="s">
        <v>9463</v>
      </c>
      <c r="C2006" s="18" t="s">
        <v>17332</v>
      </c>
      <c r="D2006" s="5" t="str">
        <f ca="1">IFERROR(__xludf.DUMMYFUNCTION("GOOGLETRANSLATE(B2006,""ja"",""vi"")"),"El")</f>
        <v>El</v>
      </c>
      <c r="E2006" s="5" t="str">
        <f ca="1">IFERROR(__xludf.DUMMYFUNCTION("GOOGLETRANSLATE(C2006,""ja"",""vi"")"),"Đấu giá&gt; Thời trang&gt; Kids, Baby Thời trang&gt; By Nhãn hiệu&gt; El")</f>
        <v>Đấu giá&gt; Thời trang&gt; Kids, Baby Thời trang&gt; By Nhãn hiệu&gt; El</v>
      </c>
      <c r="F2006" t="str">
        <f t="shared" ca="1" si="31"/>
        <v>"2084298121" : "El",</v>
      </c>
    </row>
    <row r="2007" spans="1:6" ht="15.75" customHeight="1">
      <c r="A2007" s="18">
        <v>2084050194</v>
      </c>
      <c r="B2007" s="18" t="s">
        <v>9484</v>
      </c>
      <c r="C2007" s="18" t="s">
        <v>17334</v>
      </c>
      <c r="D2007" s="5" t="str">
        <f ca="1">IFERROR(__xludf.DUMMYFUNCTION("GOOGLETRANSLATE(B2007,""ja"",""vi"")"),"thiên thần xanh")</f>
        <v>thiên thần xanh</v>
      </c>
      <c r="E2007" s="5" t="str">
        <f ca="1">IFERROR(__xludf.DUMMYFUNCTION("GOOGLETRANSLATE(C2007,""ja"",""vi"")"),"Đấu giá&gt; Thời trang&gt; Kids, Baby Thời trang&gt; By Nhãn hiệu&gt; Angel Xanh")</f>
        <v>Đấu giá&gt; Thời trang&gt; Kids, Baby Thời trang&gt; By Nhãn hiệu&gt; Angel Xanh</v>
      </c>
      <c r="F2007" t="str">
        <f t="shared" ca="1" si="31"/>
        <v>"2084050194" : "thiên thần xanh",</v>
      </c>
    </row>
    <row r="2008" spans="1:6" ht="15.75" customHeight="1">
      <c r="A2008" s="18">
        <v>2084303237</v>
      </c>
      <c r="B2008" s="18" t="s">
        <v>9559</v>
      </c>
      <c r="C2008" s="18" t="s">
        <v>17337</v>
      </c>
      <c r="D2008" s="5" t="str">
        <f ca="1">IFERROR(__xludf.DUMMYFUNCTION("GOOGLETRANSLATE(B2008,""ja"",""vi"")"),"Old Navy")</f>
        <v>Old Navy</v>
      </c>
      <c r="E2008" s="5" t="str">
        <f ca="1">IFERROR(__xludf.DUMMYFUNCTION("GOOGLETRANSLATE(C2008,""ja"",""vi"")"),"Đấu giá&gt; Thời trang&gt; Kids, Baby Thời trang&gt; By Nhãn hiệu&gt; Old Navy")</f>
        <v>Đấu giá&gt; Thời trang&gt; Kids, Baby Thời trang&gt; By Nhãn hiệu&gt; Old Navy</v>
      </c>
      <c r="F2008" t="str">
        <f t="shared" ca="1" si="31"/>
        <v>"2084303237" : "Old Navy",</v>
      </c>
    </row>
    <row r="2009" spans="1:6" ht="15.75" customHeight="1">
      <c r="A2009" s="18">
        <v>2084293020</v>
      </c>
      <c r="B2009" s="18" t="s">
        <v>9519</v>
      </c>
      <c r="C2009" s="18" t="s">
        <v>17340</v>
      </c>
      <c r="D2009" s="5" t="str">
        <f ca="1">IFERROR(__xludf.DUMMYFUNCTION("GOOGLETRANSLATE(B2009,""ja"",""vi"")"),"Oshkosh")</f>
        <v>Oshkosh</v>
      </c>
      <c r="E2009" s="5" t="str">
        <f ca="1">IFERROR(__xludf.DUMMYFUNCTION("GOOGLETRANSLATE(C2009,""ja"",""vi"")"),"Đấu giá&gt; Thời trang&gt; Kids, Baby Thời trang&gt; By Nhãn hiệu&gt; Oshkosh")</f>
        <v>Đấu giá&gt; Thời trang&gt; Kids, Baby Thời trang&gt; By Nhãn hiệu&gt; Oshkosh</v>
      </c>
      <c r="F2009" t="str">
        <f t="shared" ca="1" si="31"/>
        <v>"2084293020" : "Oshkosh",</v>
      </c>
    </row>
    <row r="2010" spans="1:6" ht="15.75" customHeight="1">
      <c r="A2010" s="18">
        <v>2084293022</v>
      </c>
      <c r="B2010" s="18" t="s">
        <v>17344</v>
      </c>
      <c r="C2010" s="18" t="s">
        <v>17345</v>
      </c>
      <c r="D2010" s="5" t="str">
        <f ca="1">IFERROR(__xludf.DUMMYFUNCTION("GOOGLETRANSLATE(B2010,""ja"",""vi"")"),"GAP")</f>
        <v>GAP</v>
      </c>
      <c r="E2010" s="5" t="str">
        <f ca="1">IFERROR(__xludf.DUMMYFUNCTION("GOOGLETRANSLATE(C2010,""ja"",""vi"")"),"Đấu giá&gt; Thời trang&gt; Kids, Baby Thời trang&gt; By Nhãn hiệu&gt; GAP")</f>
        <v>Đấu giá&gt; Thời trang&gt; Kids, Baby Thời trang&gt; By Nhãn hiệu&gt; GAP</v>
      </c>
      <c r="F2010" t="str">
        <f t="shared" ca="1" si="31"/>
        <v>"2084293022" : "GAP",</v>
      </c>
    </row>
    <row r="2011" spans="1:6" ht="15.75" customHeight="1">
      <c r="A2011" s="18">
        <v>2084206308</v>
      </c>
      <c r="B2011" s="18" t="s">
        <v>9954</v>
      </c>
      <c r="C2011" s="18" t="s">
        <v>17351</v>
      </c>
      <c r="D2011" s="5" t="str">
        <f ca="1">IFERROR(__xludf.DUMMYFUNCTION("GOOGLETRANSLATE(B2011,""ja"",""vi"")"),"K.L.C.")</f>
        <v>K.L.C.</v>
      </c>
      <c r="E2011" s="5" t="str">
        <f ca="1">IFERROR(__xludf.DUMMYFUNCTION("GOOGLETRANSLATE(C2011,""ja"",""vi"")"),"Đấu giá&gt; Thời trang&gt; Kids, Baby Thời trang&gt; By Nhãn hiệu&gt; K.L.C.")</f>
        <v>Đấu giá&gt; Thời trang&gt; Kids, Baby Thời trang&gt; By Nhãn hiệu&gt; K.L.C.</v>
      </c>
      <c r="F2011" t="str">
        <f t="shared" ca="1" si="31"/>
        <v>"2084206308" : "K.L.C.",</v>
      </c>
    </row>
    <row r="2012" spans="1:6" ht="15.75" customHeight="1">
      <c r="A2012" s="18">
        <v>2084048591</v>
      </c>
      <c r="B2012" s="18" t="s">
        <v>9990</v>
      </c>
      <c r="C2012" s="18" t="s">
        <v>17356</v>
      </c>
      <c r="D2012" s="5" t="str">
        <f ca="1">IFERROR(__xludf.DUMMYFUNCTION("GOOGLETRANSLATE(B2012,""ja"",""vi"")"),"KP")</f>
        <v>KP</v>
      </c>
      <c r="E2012" s="5" t="str">
        <f ca="1">IFERROR(__xludf.DUMMYFUNCTION("GOOGLETRANSLATE(C2012,""ja"",""vi"")"),"Đấu giá&gt; Thời trang&gt; Kids, Baby Thời trang&gt; By Nhãn hiệu&gt; KP")</f>
        <v>Đấu giá&gt; Thời trang&gt; Kids, Baby Thời trang&gt; By Nhãn hiệu&gt; KP</v>
      </c>
      <c r="F2012" t="str">
        <f t="shared" ca="1" si="31"/>
        <v>"2084048591" : "KP",</v>
      </c>
    </row>
    <row r="2013" spans="1:6" ht="15.75" customHeight="1">
      <c r="A2013" s="18">
        <v>2084293021</v>
      </c>
      <c r="B2013" s="18" t="s">
        <v>17358</v>
      </c>
      <c r="C2013" s="18" t="s">
        <v>17361</v>
      </c>
      <c r="D2013" s="5" t="str">
        <f ca="1">IFERROR(__xludf.DUMMYFUNCTION("GOOGLETRANSLATE(B2013,""ja"",""vi"")"),"Carter")</f>
        <v>Carter</v>
      </c>
      <c r="E2013" s="5" t="str">
        <f ca="1">IFERROR(__xludf.DUMMYFUNCTION("GOOGLETRANSLATE(C2013,""ja"",""vi"")"),"Đấu giá&gt; Thời trang&gt; Kids, Baby Thời trang&gt; By Nhãn hiệu&gt; Carter")</f>
        <v>Đấu giá&gt; Thời trang&gt; Kids, Baby Thời trang&gt; By Nhãn hiệu&gt; Carter</v>
      </c>
      <c r="F2013" t="str">
        <f t="shared" ca="1" si="31"/>
        <v>"2084293021" : "Carter",</v>
      </c>
    </row>
    <row r="2014" spans="1:6" ht="15.75" customHeight="1">
      <c r="A2014" s="18">
        <v>2084298123</v>
      </c>
      <c r="B2014" s="18" t="s">
        <v>9590</v>
      </c>
      <c r="C2014" s="18" t="s">
        <v>17365</v>
      </c>
      <c r="D2014" s="5" t="str">
        <f ca="1">IFERROR(__xludf.DUMMYFUNCTION("GOOGLETRANSLATE(B2014,""ja"",""vi"")"),"Castelbajac")</f>
        <v>Castelbajac</v>
      </c>
      <c r="E2014" s="5" t="str">
        <f ca="1">IFERROR(__xludf.DUMMYFUNCTION("GOOGLETRANSLATE(C2014,""ja"",""vi"")"),"Đấu giá&gt; Thời trang&gt; Kids, Baby Thời trang&gt; By Nhãn hiệu&gt; Castelbajac")</f>
        <v>Đấu giá&gt; Thời trang&gt; Kids, Baby Thời trang&gt; By Nhãn hiệu&gt; Castelbajac</v>
      </c>
      <c r="F2014" t="str">
        <f t="shared" ca="1" si="31"/>
        <v>"2084298123" : "Castelbajac",</v>
      </c>
    </row>
    <row r="2015" spans="1:6" ht="15.75" customHeight="1">
      <c r="A2015" s="18">
        <v>2084298261</v>
      </c>
      <c r="B2015" s="18" t="s">
        <v>9747</v>
      </c>
      <c r="C2015" s="18" t="s">
        <v>17369</v>
      </c>
      <c r="D2015" s="5" t="str">
        <f ca="1">IFERROR(__xludf.DUMMYFUNCTION("GOOGLETRANSLATE(B2015,""ja"",""vi"")"),"Captain ông già Noel")</f>
        <v>Captain ông già Noel</v>
      </c>
      <c r="E2015" s="5" t="str">
        <f ca="1">IFERROR(__xludf.DUMMYFUNCTION("GOOGLETRANSLATE(C2015,""ja"",""vi"")"),"Đấu giá&gt; Thời trang&gt; Kids, Baby Thời trang&gt; By Nhãn hiệu&gt; Captain ông già Noel")</f>
        <v>Đấu giá&gt; Thời trang&gt; Kids, Baby Thời trang&gt; By Nhãn hiệu&gt; Captain ông già Noel</v>
      </c>
      <c r="F2015" t="str">
        <f t="shared" ca="1" si="31"/>
        <v>"2084298261" : "Captain ông già Noel",</v>
      </c>
    </row>
    <row r="2016" spans="1:6" ht="15.75" customHeight="1">
      <c r="A2016" s="18">
        <v>2084232998</v>
      </c>
      <c r="B2016" s="18" t="s">
        <v>9943</v>
      </c>
      <c r="C2016" s="18" t="s">
        <v>17371</v>
      </c>
      <c r="D2016" s="5" t="str">
        <f ca="1">IFERROR(__xludf.DUMMYFUNCTION("GOOGLETRANSLATE(B2016,""ja"",""vi"")"),"Crocs")</f>
        <v>Crocs</v>
      </c>
      <c r="E2016" s="5" t="str">
        <f ca="1">IFERROR(__xludf.DUMMYFUNCTION("GOOGLETRANSLATE(C2016,""ja"",""vi"")"),"Đấu giá&gt; Thời trang&gt; Kids, em bé thời trang&gt; Thương hiệu&gt; Crocs")</f>
        <v>Đấu giá&gt; Thời trang&gt; Kids, em bé thời trang&gt; Thương hiệu&gt; Crocs</v>
      </c>
      <c r="F2016" t="str">
        <f t="shared" ca="1" si="31"/>
        <v>"2084232998" : "Crocs",</v>
      </c>
    </row>
    <row r="2017" spans="1:6" ht="15.75" customHeight="1">
      <c r="A2017" s="18">
        <v>2084293026</v>
      </c>
      <c r="B2017" s="18" t="s">
        <v>10041</v>
      </c>
      <c r="C2017" s="18" t="s">
        <v>17374</v>
      </c>
      <c r="D2017" s="5" t="str">
        <f ca="1">IFERROR(__xludf.DUMMYFUNCTION("GOOGLETRANSLATE(B2017,""ja"",""vi"")"),"Com de chế độ")</f>
        <v>Com de chế độ</v>
      </c>
      <c r="E2017" s="5" t="str">
        <f ca="1">IFERROR(__xludf.DUMMYFUNCTION("GOOGLETRANSLATE(C2017,""ja"",""vi"")"),"Đấu giá&gt; Thời trang&gt; Kids, Baby Thời trang&gt; By Nhãn hiệu&gt; com de chế độ")</f>
        <v>Đấu giá&gt; Thời trang&gt; Kids, Baby Thời trang&gt; By Nhãn hiệu&gt; com de chế độ</v>
      </c>
      <c r="F2017" t="str">
        <f t="shared" ca="1" si="31"/>
        <v>"2084293026" : "Com de chế độ",</v>
      </c>
    </row>
    <row r="2018" spans="1:6" ht="15.75" customHeight="1">
      <c r="A2018" s="18">
        <v>2084293028</v>
      </c>
      <c r="B2018" s="18" t="s">
        <v>10051</v>
      </c>
      <c r="C2018" s="18" t="s">
        <v>17378</v>
      </c>
      <c r="D2018" s="5" t="str">
        <f ca="1">IFERROR(__xludf.DUMMYFUNCTION("GOOGLETRANSLATE(B2018,""ja"",""vi"")"),"Komusaizumu")</f>
        <v>Komusaizumu</v>
      </c>
      <c r="E2018" s="5" t="str">
        <f ca="1">IFERROR(__xludf.DUMMYFUNCTION("GOOGLETRANSLATE(C2018,""ja"",""vi"")"),"Đấu giá&gt; Thời trang&gt; Kids, Baby Thời trang&gt; By Nhãn hiệu&gt; Komusaizumu")</f>
        <v>Đấu giá&gt; Thời trang&gt; Kids, Baby Thời trang&gt; By Nhãn hiệu&gt; Komusaizumu</v>
      </c>
      <c r="F2018" t="str">
        <f t="shared" ca="1" si="31"/>
        <v>"2084293028" : "Komusaizumu",</v>
      </c>
    </row>
    <row r="2019" spans="1:6" ht="15.75" customHeight="1">
      <c r="A2019" s="18">
        <v>2084293029</v>
      </c>
      <c r="B2019" s="18" t="s">
        <v>17381</v>
      </c>
      <c r="C2019" s="18" t="s">
        <v>17383</v>
      </c>
      <c r="D2019" s="5" t="str">
        <f ca="1">IFERROR(__xludf.DUMMYFUNCTION("GOOGLETRANSLATE(B2019,""ja"",""vi"")"),"Konbimini")</f>
        <v>Konbimini</v>
      </c>
      <c r="E2019" s="5" t="str">
        <f ca="1">IFERROR(__xludf.DUMMYFUNCTION("GOOGLETRANSLATE(C2019,""ja"",""vi"")"),"Đấu giá&gt; Thời trang&gt; Kids, Baby Thời trang&gt; By Nhãn hiệu&gt; Konbimini")</f>
        <v>Đấu giá&gt; Thời trang&gt; Kids, Baby Thời trang&gt; By Nhãn hiệu&gt; Konbimini</v>
      </c>
      <c r="F2019" t="str">
        <f t="shared" ca="1" si="31"/>
        <v>"2084293029" : "Konbimini",</v>
      </c>
    </row>
    <row r="2020" spans="1:6" ht="15.75" customHeight="1">
      <c r="A2020" s="18">
        <v>2084298116</v>
      </c>
      <c r="B2020" s="18" t="s">
        <v>9826</v>
      </c>
      <c r="C2020" s="18" t="s">
        <v>17386</v>
      </c>
      <c r="D2020" s="5" t="str">
        <f ca="1">IFERROR(__xludf.DUMMYFUNCTION("GOOGLETRANSLATE(B2020,""ja"",""vi"")"),"bộ")</f>
        <v>bộ</v>
      </c>
      <c r="E2020" s="5" t="str">
        <f ca="1">IFERROR(__xludf.DUMMYFUNCTION("GOOGLETRANSLATE(C2020,""ja"",""vi"")"),"Đấu giá&gt; Thời trang&gt; Kids, Baby Thời trang&gt; By Nhãn hiệu&gt; Suite")</f>
        <v>Đấu giá&gt; Thời trang&gt; Kids, Baby Thời trang&gt; By Nhãn hiệu&gt; Suite</v>
      </c>
      <c r="F2020" t="str">
        <f t="shared" ca="1" si="31"/>
        <v>"2084298116" : "bộ",</v>
      </c>
    </row>
    <row r="2021" spans="1:6" ht="15.75" customHeight="1">
      <c r="A2021" s="18">
        <v>2084315874</v>
      </c>
      <c r="B2021" s="18" t="s">
        <v>10273</v>
      </c>
      <c r="C2021" s="18" t="s">
        <v>17390</v>
      </c>
      <c r="D2021" s="5" t="str">
        <f ca="1">IFERROR(__xludf.DUMMYFUNCTION("GOOGLETRANSLATE(B2021,""ja"",""vi"")"),"GU (GU)")</f>
        <v>GU (GU)</v>
      </c>
      <c r="E2021" s="5" t="str">
        <f ca="1">IFERROR(__xludf.DUMMYFUNCTION("GOOGLETRANSLATE(C2021,""ja"",""vi"")"),"Đấu giá&gt; Thời trang&gt; Kids, Baby Thời trang&gt; By Nhãn hiệu&gt; GU (GU)")</f>
        <v>Đấu giá&gt; Thời trang&gt; Kids, Baby Thời trang&gt; By Nhãn hiệu&gt; GU (GU)</v>
      </c>
      <c r="F2021" t="str">
        <f t="shared" ca="1" si="31"/>
        <v>"2084315874" : "GU (GU)",</v>
      </c>
    </row>
    <row r="2022" spans="1:6" ht="15.75" customHeight="1">
      <c r="A2022" s="18">
        <v>2084299002</v>
      </c>
      <c r="B2022" s="18" t="s">
        <v>10177</v>
      </c>
      <c r="C2022" s="18" t="s">
        <v>17394</v>
      </c>
      <c r="D2022" s="5" t="str">
        <f ca="1">IFERROR(__xludf.DUMMYFUNCTION("GOOGLETRANSLATE(B2022,""ja"",""vi"")"),"J. Press")</f>
        <v>J. Press</v>
      </c>
      <c r="E2022" s="5" t="str">
        <f ca="1">IFERROR(__xludf.DUMMYFUNCTION("GOOGLETRANSLATE(C2022,""ja"",""vi"")"),"Đấu giá&gt; Thời trang&gt; Kids, Baby Thời trang&gt; By Nhãn hiệu&gt; J. Press")</f>
        <v>Đấu giá&gt; Thời trang&gt; Kids, Baby Thời trang&gt; By Nhãn hiệu&gt; J. Press</v>
      </c>
      <c r="F2022" t="str">
        <f t="shared" ca="1" si="31"/>
        <v>"2084299002" : "J. Press",</v>
      </c>
    </row>
    <row r="2023" spans="1:6" ht="15.75" customHeight="1">
      <c r="A2023" s="18">
        <v>2084293030</v>
      </c>
      <c r="B2023" s="18" t="s">
        <v>10155</v>
      </c>
      <c r="C2023" s="18" t="s">
        <v>17398</v>
      </c>
      <c r="D2023" s="5" t="str">
        <f ca="1">IFERROR(__xludf.DUMMYFUNCTION("GOOGLETRANSLATE(B2023,""ja"",""vi"")"),"Zara")</f>
        <v>Zara</v>
      </c>
      <c r="E2023" s="5" t="str">
        <f ca="1">IFERROR(__xludf.DUMMYFUNCTION("GOOGLETRANSLATE(C2023,""ja"",""vi"")"),"Đấu giá&gt; Thời trang&gt; Kids, em bé thời trang&gt; Thương hiệu&gt; Zara")</f>
        <v>Đấu giá&gt; Thời trang&gt; Kids, em bé thời trang&gt; Thương hiệu&gt; Zara</v>
      </c>
      <c r="F2023" t="str">
        <f t="shared" ca="1" si="31"/>
        <v>"2084293030" : "Zara",</v>
      </c>
    </row>
    <row r="2024" spans="1:6" ht="15.75" customHeight="1">
      <c r="A2024" s="18">
        <v>2084007332</v>
      </c>
      <c r="B2024" s="18" t="s">
        <v>10282</v>
      </c>
      <c r="C2024" s="18" t="s">
        <v>17402</v>
      </c>
      <c r="D2024" s="5" t="str">
        <f ca="1">IFERROR(__xludf.DUMMYFUNCTION("GOOGLETRANSLATE(B2024,""ja"",""vi"")"),"Shirley Temple")</f>
        <v>Shirley Temple</v>
      </c>
      <c r="E2024" s="5" t="str">
        <f ca="1">IFERROR(__xludf.DUMMYFUNCTION("GOOGLETRANSLATE(C2024,""ja"",""vi"")"),"Đấu giá&gt; Thời trang&gt; Kids, Baby Thời trang&gt; By Nhãn hiệu&gt; Shirley Temple")</f>
        <v>Đấu giá&gt; Thời trang&gt; Kids, Baby Thời trang&gt; By Nhãn hiệu&gt; Shirley Temple</v>
      </c>
      <c r="F2024" t="str">
        <f t="shared" ca="1" si="31"/>
        <v>"2084007332" : "Shirley Temple",</v>
      </c>
    </row>
    <row r="2025" spans="1:6" ht="15.75" customHeight="1">
      <c r="A2025" s="18">
        <v>2084238606</v>
      </c>
      <c r="B2025" s="18" t="s">
        <v>10210</v>
      </c>
      <c r="C2025" s="18" t="s">
        <v>17405</v>
      </c>
      <c r="D2025" s="5" t="str">
        <f ca="1">IFERROR(__xludf.DUMMYFUNCTION("GOOGLETRANSLATE(B2025,""ja"",""vi"")"),"Jennie")</f>
        <v>Jennie</v>
      </c>
      <c r="E2025" s="5" t="str">
        <f ca="1">IFERROR(__xludf.DUMMYFUNCTION("GOOGLETRANSLATE(C2025,""ja"",""vi"")"),"Đấu giá&gt; Thời trang&gt; Kids, Baby Thời trang&gt; By Nhãn hiệu&gt; Jennie")</f>
        <v>Đấu giá&gt; Thời trang&gt; Kids, Baby Thời trang&gt; By Nhãn hiệu&gt; Jennie</v>
      </c>
      <c r="F2025" t="str">
        <f t="shared" ca="1" si="31"/>
        <v>"2084238606" : "Jennie",</v>
      </c>
    </row>
    <row r="2026" spans="1:6" ht="15.75" customHeight="1">
      <c r="A2026" s="18">
        <v>2084301249</v>
      </c>
      <c r="B2026" s="18" t="s">
        <v>10342</v>
      </c>
      <c r="C2026" s="18" t="s">
        <v>17409</v>
      </c>
      <c r="D2026" s="5" t="str">
        <f ca="1">IFERROR(__xludf.DUMMYFUNCTION("GOOGLETRANSLATE(B2026,""ja"",""vi"")"),"đồ ăn vặt")</f>
        <v>đồ ăn vặt</v>
      </c>
      <c r="E2026" s="5" t="str">
        <f ca="1">IFERROR(__xludf.DUMMYFUNCTION("GOOGLETRANSLATE(C2026,""ja"",""vi"")"),"Đấu giá&gt; Thời trang&gt; Kids, Baby Thời trang&gt; By Nhãn hiệu&gt; đồ ăn vặt")</f>
        <v>Đấu giá&gt; Thời trang&gt; Kids, Baby Thời trang&gt; By Nhãn hiệu&gt; đồ ăn vặt</v>
      </c>
      <c r="F2026" t="str">
        <f t="shared" ca="1" si="31"/>
        <v>"2084301249" : "đồ ăn vặt",</v>
      </c>
    </row>
    <row r="2027" spans="1:6" ht="15.75" customHeight="1">
      <c r="A2027" s="18">
        <v>2084238573</v>
      </c>
      <c r="B2027" s="18" t="s">
        <v>10457</v>
      </c>
      <c r="C2027" s="18" t="s">
        <v>17412</v>
      </c>
      <c r="D2027" s="5" t="str">
        <f ca="1">IFERROR(__xludf.DUMMYFUNCTION("GOOGLETRANSLATE(B2027,""ja"",""vi"")"),"Gymboree")</f>
        <v>Gymboree</v>
      </c>
      <c r="E2027" s="5" t="str">
        <f ca="1">IFERROR(__xludf.DUMMYFUNCTION("GOOGLETRANSLATE(C2027,""ja"",""vi"")"),"Đấu giá&gt; Thời trang&gt; Kids, Baby Thời trang&gt; By Nhãn hiệu&gt; Gymboree")</f>
        <v>Đấu giá&gt; Thời trang&gt; Kids, Baby Thời trang&gt; By Nhãn hiệu&gt; Gymboree</v>
      </c>
      <c r="F2027" t="str">
        <f t="shared" ca="1" si="31"/>
        <v>"2084238573" : "Gymboree",</v>
      </c>
    </row>
    <row r="2028" spans="1:6" ht="15.75" customHeight="1">
      <c r="A2028" s="18">
        <v>2084205585</v>
      </c>
      <c r="B2028" s="18" t="s">
        <v>10623</v>
      </c>
      <c r="C2028" s="18" t="s">
        <v>17416</v>
      </c>
      <c r="D2028" s="5" t="str">
        <f ca="1">IFERROR(__xludf.DUMMYFUNCTION("GOOGLETRANSLATE(B2028,""ja"",""vi"")"),"Celine")</f>
        <v>Celine</v>
      </c>
      <c r="E2028" s="5" t="str">
        <f ca="1">IFERROR(__xludf.DUMMYFUNCTION("GOOGLETRANSLATE(C2028,""ja"",""vi"")"),"Đấu giá&gt; Thời trang&gt; Kids, em bé thời trang&gt; Thương hiệu&gt; Celine")</f>
        <v>Đấu giá&gt; Thời trang&gt; Kids, em bé thời trang&gt; Thương hiệu&gt; Celine</v>
      </c>
      <c r="F2028" t="str">
        <f t="shared" ca="1" si="31"/>
        <v>"2084205585" : "Celine",</v>
      </c>
    </row>
    <row r="2029" spans="1:6" ht="15.75" customHeight="1">
      <c r="A2029" s="18">
        <v>2084293036</v>
      </c>
      <c r="B2029" s="18" t="s">
        <v>17418</v>
      </c>
      <c r="C2029" s="18" t="s">
        <v>17420</v>
      </c>
      <c r="D2029" s="5" t="str">
        <f ca="1">IFERROR(__xludf.DUMMYFUNCTION("GOOGLETRANSLATE(B2029,""ja"",""vi"")"),"D &amp; G Junior")</f>
        <v>D &amp; G Junior</v>
      </c>
      <c r="E2029" s="5" t="str">
        <f ca="1">IFERROR(__xludf.DUMMYFUNCTION("GOOGLETRANSLATE(C2029,""ja"",""vi"")"),"Đấu giá&gt; Thời trang&gt; Kids, em bé thời trang&gt; Thương hiệu&gt; D &amp; G Junior")</f>
        <v>Đấu giá&gt; Thời trang&gt; Kids, em bé thời trang&gt; Thương hiệu&gt; D &amp; G Junior</v>
      </c>
      <c r="F2029" t="str">
        <f t="shared" ca="1" si="31"/>
        <v>"2084293036" : "D &amp; G Junior",</v>
      </c>
    </row>
    <row r="2030" spans="1:6" ht="15.75" customHeight="1">
      <c r="A2030" s="18">
        <v>2084205975</v>
      </c>
      <c r="B2030" s="18" t="s">
        <v>10801</v>
      </c>
      <c r="C2030" s="18" t="s">
        <v>17423</v>
      </c>
      <c r="D2030" s="5" t="str">
        <f ca="1">IFERROR(__xludf.DUMMYFUNCTION("GOOGLETRANSLATE(B2030,""ja"",""vi"")"),"Chabigyangu")</f>
        <v>Chabigyangu</v>
      </c>
      <c r="E2030" s="5" t="str">
        <f ca="1">IFERROR(__xludf.DUMMYFUNCTION("GOOGLETRANSLATE(C2030,""ja"",""vi"")"),"Đấu giá&gt; Thời trang&gt; Kids, Baby Thời trang&gt; By Nhãn hiệu&gt; Chabigyangu")</f>
        <v>Đấu giá&gt; Thời trang&gt; Kids, Baby Thời trang&gt; By Nhãn hiệu&gt; Chabigyangu</v>
      </c>
      <c r="F2030" t="str">
        <f t="shared" ca="1" si="31"/>
        <v>"2084205975" : "Chabigyangu",</v>
      </c>
    </row>
    <row r="2031" spans="1:6" ht="15.75" customHeight="1">
      <c r="A2031" s="18">
        <v>2084048616</v>
      </c>
      <c r="B2031" s="18" t="s">
        <v>10846</v>
      </c>
      <c r="C2031" s="18" t="s">
        <v>17427</v>
      </c>
      <c r="D2031" s="5" t="str">
        <f ca="1">IFERROR(__xludf.DUMMYFUNCTION("GOOGLETRANSLATE(B2031,""ja"",""vi"")"),"Tinker Bell")</f>
        <v>Tinker Bell</v>
      </c>
      <c r="E2031" s="5" t="str">
        <f ca="1">IFERROR(__xludf.DUMMYFUNCTION("GOOGLETRANSLATE(C2031,""ja"",""vi"")"),"Đấu giá&gt; Thời trang&gt; Kids, Baby Thời trang&gt; By Nhãn hiệu&gt; Tinker Bell")</f>
        <v>Đấu giá&gt; Thời trang&gt; Kids, Baby Thời trang&gt; By Nhãn hiệu&gt; Tinker Bell</v>
      </c>
      <c r="F2031" t="str">
        <f t="shared" ca="1" si="31"/>
        <v>"2084048616" : "Tinker Bell",</v>
      </c>
    </row>
    <row r="2032" spans="1:6" ht="15.75" customHeight="1">
      <c r="A2032" s="18">
        <v>2084205407</v>
      </c>
      <c r="B2032" s="18" t="s">
        <v>10862</v>
      </c>
      <c r="C2032" s="18" t="s">
        <v>17431</v>
      </c>
      <c r="D2032" s="5" t="str">
        <f ca="1">IFERROR(__xludf.DUMMYFUNCTION("GOOGLETRANSLATE(B2032,""ja"",""vi"")"),"Daisy Lovers")</f>
        <v>Daisy Lovers</v>
      </c>
      <c r="E2032" s="5" t="str">
        <f ca="1">IFERROR(__xludf.DUMMYFUNCTION("GOOGLETRANSLATE(C2032,""ja"",""vi"")"),"Đấu giá&gt; Thời trang&gt; Kids, Baby Thời trang&gt; By Nhãn hiệu&gt; Daisy Lovers")</f>
        <v>Đấu giá&gt; Thời trang&gt; Kids, Baby Thời trang&gt; By Nhãn hiệu&gt; Daisy Lovers</v>
      </c>
      <c r="F2032" t="str">
        <f t="shared" ca="1" si="31"/>
        <v>"2084205407" : "Daisy Lovers",</v>
      </c>
    </row>
    <row r="2033" spans="1:6" ht="15.75" customHeight="1">
      <c r="A2033" s="18">
        <v>2084298244</v>
      </c>
      <c r="B2033" s="18" t="s">
        <v>10919</v>
      </c>
      <c r="C2033" s="18" t="s">
        <v>17435</v>
      </c>
      <c r="D2033" s="5" t="str">
        <f ca="1">IFERROR(__xludf.DUMMYFUNCTION("GOOGLETRANSLATE(B2033,""ja"",""vi"")"),"Denim &amp; loại vải thô")</f>
        <v>Denim &amp; loại vải thô</v>
      </c>
      <c r="E2033" s="5" t="str">
        <f ca="1">IFERROR(__xludf.DUMMYFUNCTION("GOOGLETRANSLATE(C2033,""ja"",""vi"")"),"Đấu giá&gt; Thời trang&gt; Kids, em bé thời trang&gt; Thương hiệu&gt; Denim &amp; loại vải thô")</f>
        <v>Đấu giá&gt; Thời trang&gt; Kids, em bé thời trang&gt; Thương hiệu&gt; Denim &amp; loại vải thô</v>
      </c>
      <c r="F2033" t="str">
        <f t="shared" ca="1" si="31"/>
        <v>"2084298244" : "Denim &amp; loại vải thô",</v>
      </c>
    </row>
    <row r="2034" spans="1:6" ht="15.75" customHeight="1">
      <c r="A2034" s="18">
        <v>2084301446</v>
      </c>
      <c r="B2034" s="18" t="s">
        <v>11100</v>
      </c>
      <c r="C2034" s="18" t="s">
        <v>17440</v>
      </c>
      <c r="D2034" s="5" t="str">
        <f ca="1">IFERROR(__xludf.DUMMYFUNCTION("GOOGLETRANSLATE(B2034,""ja"",""vi"")"),"Cửa hàng kéo")</f>
        <v>Cửa hàng kéo</v>
      </c>
      <c r="E2034" s="5" t="str">
        <f ca="1">IFERROR(__xludf.DUMMYFUNCTION("GOOGLETRANSLATE(C2034,""ja"",""vi"")"),"Đấu giá&gt; Thời trang&gt; Kids, Baby Thời trang&gt; By Nhãn hiệu&gt; Cửa hàng kéo")</f>
        <v>Đấu giá&gt; Thời trang&gt; Kids, Baby Thời trang&gt; By Nhãn hiệu&gt; Cửa hàng kéo</v>
      </c>
      <c r="F2034" t="str">
        <f t="shared" ca="1" si="31"/>
        <v>"2084301446" : "Cửa hàng kéo",</v>
      </c>
    </row>
    <row r="2035" spans="1:6" ht="15.75" customHeight="1">
      <c r="A2035" s="18">
        <v>2084205914</v>
      </c>
      <c r="B2035" s="18" t="s">
        <v>17442</v>
      </c>
      <c r="C2035" s="18" t="s">
        <v>17443</v>
      </c>
      <c r="D2035" s="5" t="str">
        <f ca="1">IFERROR(__xludf.DUMMYFUNCTION("GOOGLETRANSLATE(B2035,""ja"",""vi"")"),"PAPP")</f>
        <v>PAPP</v>
      </c>
      <c r="E2035" s="5" t="str">
        <f ca="1">IFERROR(__xludf.DUMMYFUNCTION("GOOGLETRANSLATE(C2035,""ja"",""vi"")"),"Đấu giá&gt; Thời trang&gt; Kids, Baby Thời trang&gt; By Nhãn hiệu&gt; PAPP")</f>
        <v>Đấu giá&gt; Thời trang&gt; Kids, Baby Thời trang&gt; By Nhãn hiệu&gt; PAPP</v>
      </c>
      <c r="F2035" t="str">
        <f t="shared" ca="1" si="31"/>
        <v>"2084205914" : "PAPP",</v>
      </c>
    </row>
    <row r="2036" spans="1:6" ht="15.75" customHeight="1">
      <c r="A2036" s="18">
        <v>2084298345</v>
      </c>
      <c r="B2036" s="18" t="s">
        <v>11377</v>
      </c>
      <c r="C2036" s="18" t="s">
        <v>17447</v>
      </c>
      <c r="D2036" s="5" t="str">
        <f ca="1">IFERROR(__xludf.DUMMYFUNCTION("GOOGLETRANSLATE(B2036,""ja"",""vi"")"),"tro băm")</f>
        <v>tro băm</v>
      </c>
      <c r="E2036" s="5" t="str">
        <f ca="1">IFERROR(__xludf.DUMMYFUNCTION("GOOGLETRANSLATE(C2036,""ja"",""vi"")"),"Đấu giá&gt; Thời trang&gt; Kids, Baby Thời trang&gt; By Nhãn hiệu&gt; băm Ash")</f>
        <v>Đấu giá&gt; Thời trang&gt; Kids, Baby Thời trang&gt; By Nhãn hiệu&gt; băm Ash</v>
      </c>
      <c r="F2036" t="str">
        <f t="shared" ca="1" si="31"/>
        <v>"2084298345" : "tro băm",</v>
      </c>
    </row>
    <row r="2037" spans="1:6" ht="15.75" customHeight="1">
      <c r="A2037" s="18">
        <v>2084293042</v>
      </c>
      <c r="B2037" s="18" t="s">
        <v>11443</v>
      </c>
      <c r="C2037" s="18" t="s">
        <v>17451</v>
      </c>
      <c r="D2037" s="5" t="str">
        <f ca="1">IFERROR(__xludf.DUMMYFUNCTION("GOOGLETRANSLATE(B2037,""ja"",""vi"")"),"chổ lồi ở cây")</f>
        <v>chổ lồi ở cây</v>
      </c>
      <c r="E2037" s="5" t="str">
        <f ca="1">IFERROR(__xludf.DUMMYFUNCTION("GOOGLETRANSLATE(C2037,""ja"",""vi"")"),"Đấu giá&gt; Thời trang&gt; Kids, Baby Thời trang&gt; By Nhãn hiệu&gt; Burberry")</f>
        <v>Đấu giá&gt; Thời trang&gt; Kids, Baby Thời trang&gt; By Nhãn hiệu&gt; Burberry</v>
      </c>
      <c r="F2037" t="str">
        <f t="shared" ca="1" si="31"/>
        <v>"2084293042" : "chổ lồi ở cây",</v>
      </c>
    </row>
    <row r="2038" spans="1:6" ht="15.75" customHeight="1">
      <c r="A2038" s="18">
        <v>2084205745</v>
      </c>
      <c r="B2038" s="18" t="s">
        <v>7429</v>
      </c>
      <c r="C2038" s="18" t="s">
        <v>17454</v>
      </c>
      <c r="D2038" s="5" t="str">
        <f ca="1">IFERROR(__xludf.DUMMYFUNCTION("GOOGLETRANSLATE(B2038,""ja"",""vi"")"),"búp bê Barbie")</f>
        <v>búp bê Barbie</v>
      </c>
      <c r="E2038" s="5" t="str">
        <f ca="1">IFERROR(__xludf.DUMMYFUNCTION("GOOGLETRANSLATE(C2038,""ja"",""vi"")"),"Đấu giá&gt; Thời trang&gt; Kids, Baby Thời trang&gt; By Nhãn hiệu&gt; Barbie")</f>
        <v>Đấu giá&gt; Thời trang&gt; Kids, Baby Thời trang&gt; By Nhãn hiệu&gt; Barbie</v>
      </c>
      <c r="F2038" t="str">
        <f t="shared" ca="1" si="31"/>
        <v>"2084205745" : "búp bê Barbie",</v>
      </c>
    </row>
    <row r="2039" spans="1:6" ht="15.75" customHeight="1">
      <c r="A2039" s="18">
        <v>2084301241</v>
      </c>
      <c r="B2039" s="18" t="s">
        <v>11390</v>
      </c>
      <c r="C2039" s="18" t="s">
        <v>17458</v>
      </c>
      <c r="D2039" s="5" t="str">
        <f ca="1">IFERROR(__xludf.DUMMYFUNCTION("GOOGLETRANSLATE(B2039,""ja"",""vi"")"),"trừng trị")</f>
        <v>trừng trị</v>
      </c>
      <c r="E2039" s="5" t="str">
        <f ca="1">IFERROR(__xludf.DUMMYFUNCTION("GOOGLETRANSLATE(C2039,""ja"",""vi"")"),"Đấu giá&gt; Thời trang&gt; Kids, Baby Thời trang&gt; By Nhãn hiệu&gt; trừng phạt")</f>
        <v>Đấu giá&gt; Thời trang&gt; Kids, Baby Thời trang&gt; By Nhãn hiệu&gt; trừng phạt</v>
      </c>
      <c r="F2039" t="str">
        <f t="shared" ca="1" si="31"/>
        <v>"2084301241" : "trừng trị",</v>
      </c>
    </row>
    <row r="2040" spans="1:6" ht="15.75" customHeight="1">
      <c r="A2040" s="18">
        <v>2084206902</v>
      </c>
      <c r="B2040" s="18" t="s">
        <v>11421</v>
      </c>
      <c r="C2040" s="18" t="s">
        <v>17463</v>
      </c>
      <c r="D2040" s="5" t="str">
        <f ca="1">IFERROR(__xludf.DUMMYFUNCTION("GOOGLETRANSLATE(B2040,""ja"",""vi"")"),"chuối chiên")</f>
        <v>chuối chiên</v>
      </c>
      <c r="E2040" s="5" t="str">
        <f ca="1">IFERROR(__xludf.DUMMYFUNCTION("GOOGLETRANSLATE(C2040,""ja"",""vi"")"),"Đấu giá&gt; Thời trang&gt; Kids, Baby Thời trang&gt; By Nhãn hiệu&gt; chip chuối")</f>
        <v>Đấu giá&gt; Thời trang&gt; Kids, Baby Thời trang&gt; By Nhãn hiệu&gt; chip chuối</v>
      </c>
      <c r="F2040" t="str">
        <f t="shared" ca="1" si="31"/>
        <v>"2084206902" : "chuối chiên",</v>
      </c>
    </row>
    <row r="2041" spans="1:6" ht="15.75" customHeight="1">
      <c r="A2041" s="18">
        <v>2084293039</v>
      </c>
      <c r="B2041" s="18" t="s">
        <v>11370</v>
      </c>
      <c r="C2041" s="18" t="s">
        <v>17467</v>
      </c>
      <c r="D2041" s="5" t="str">
        <f ca="1">IFERROR(__xludf.DUMMYFUNCTION("GOOGLETRANSLATE(B2041,""ja"",""vi"")"),"Parsons")</f>
        <v>Parsons</v>
      </c>
      <c r="E2041" s="5" t="str">
        <f ca="1">IFERROR(__xludf.DUMMYFUNCTION("GOOGLETRANSLATE(C2041,""ja"",""vi"")"),"Đấu giá&gt; Thời trang&gt; Kids, Baby Thời trang&gt; By Nhãn hiệu&gt; Parsons")</f>
        <v>Đấu giá&gt; Thời trang&gt; Kids, Baby Thời trang&gt; By Nhãn hiệu&gt; Parsons</v>
      </c>
      <c r="F2041" t="str">
        <f t="shared" ca="1" si="31"/>
        <v>"2084293039" : "Parsons",</v>
      </c>
    </row>
    <row r="2042" spans="1:6" ht="15.75" customHeight="1">
      <c r="A2042" s="18">
        <v>2084298339</v>
      </c>
      <c r="B2042" s="18" t="s">
        <v>11876</v>
      </c>
      <c r="C2042" s="18" t="s">
        <v>17471</v>
      </c>
      <c r="D2042" s="5" t="str">
        <f ca="1">IFERROR(__xludf.DUMMYFUNCTION("GOOGLETRANSLATE(B2042,""ja"",""vi"")"),"Puchibato")</f>
        <v>Puchibato</v>
      </c>
      <c r="E2042" s="5" t="str">
        <f ca="1">IFERROR(__xludf.DUMMYFUNCTION("GOOGLETRANSLATE(C2042,""ja"",""vi"")"),"Đấu giá&gt; Thời trang&gt; Kids, Baby Thời trang&gt; By Nhãn hiệu&gt; Puchibato")</f>
        <v>Đấu giá&gt; Thời trang&gt; Kids, Baby Thời trang&gt; By Nhãn hiệu&gt; Puchibato</v>
      </c>
      <c r="F2042" t="str">
        <f t="shared" ca="1" si="31"/>
        <v>"2084298339" : "Puchibato",</v>
      </c>
    </row>
    <row r="2043" spans="1:6" ht="15.75" customHeight="1">
      <c r="A2043" s="18">
        <v>2084048622</v>
      </c>
      <c r="B2043" s="18" t="s">
        <v>11616</v>
      </c>
      <c r="C2043" s="18" t="s">
        <v>17474</v>
      </c>
      <c r="D2043" s="5" t="str">
        <f ca="1">IFERROR(__xludf.DUMMYFUNCTION("GOOGLETRANSLATE(B2043,""ja"",""vi"")"),"Hysteric Mini")</f>
        <v>Hysteric Mini</v>
      </c>
      <c r="E2043" s="5" t="str">
        <f ca="1">IFERROR(__xludf.DUMMYFUNCTION("GOOGLETRANSLATE(C2043,""ja"",""vi"")"),"Đấu giá&gt; Thời trang&gt; Kids, Baby Thời trang&gt; By Nhãn hiệu&gt; Hysteric Mini")</f>
        <v>Đấu giá&gt; Thời trang&gt; Kids, Baby Thời trang&gt; By Nhãn hiệu&gt; Hysteric Mini</v>
      </c>
      <c r="F2043" t="str">
        <f t="shared" ca="1" si="31"/>
        <v>"2084048622" : "Hysteric Mini",</v>
      </c>
    </row>
    <row r="2044" spans="1:6" ht="15.75" customHeight="1">
      <c r="A2044" s="18">
        <v>2084293047</v>
      </c>
      <c r="B2044" s="18" t="s">
        <v>11762</v>
      </c>
      <c r="C2044" s="18" t="s">
        <v>17479</v>
      </c>
      <c r="D2044" s="5" t="str">
        <f ca="1">IFERROR(__xludf.DUMMYFUNCTION("GOOGLETRANSLATE(B2044,""ja"",""vi"")"),"nhà màu hồng")</f>
        <v>nhà màu hồng</v>
      </c>
      <c r="E2044" s="5" t="str">
        <f ca="1">IFERROR(__xludf.DUMMYFUNCTION("GOOGLETRANSLATE(C2044,""ja"",""vi"")"),"Đấu giá&gt; Thời trang&gt; Kids, Baby Thời trang&gt; By Nhãn hiệu&gt; Pink House")</f>
        <v>Đấu giá&gt; Thời trang&gt; Kids, Baby Thời trang&gt; By Nhãn hiệu&gt; Pink House</v>
      </c>
      <c r="F2044" t="str">
        <f t="shared" ca="1" si="31"/>
        <v>"2084293047" : "nhà màu hồng",</v>
      </c>
    </row>
    <row r="2045" spans="1:6" ht="15.75" customHeight="1">
      <c r="A2045" s="18">
        <v>2084048624</v>
      </c>
      <c r="B2045" s="18" t="s">
        <v>10895</v>
      </c>
      <c r="C2045" s="18" t="s">
        <v>17484</v>
      </c>
      <c r="D2045" s="5" t="str">
        <f ca="1">IFERROR(__xludf.DUMMYFUNCTION("GOOGLETRANSLATE(B2045,""ja"",""vi"")"),"quen")</f>
        <v>quen</v>
      </c>
      <c r="E2045" s="5" t="str">
        <f ca="1">IFERROR(__xludf.DUMMYFUNCTION("GOOGLETRANSLATE(C2045,""ja"",""vi"")"),"Đấu giá&gt; Thời trang&gt; Kids, Baby Thời trang&gt; By Nhãn hiệu&gt; gia đình")</f>
        <v>Đấu giá&gt; Thời trang&gt; Kids, Baby Thời trang&gt; By Nhãn hiệu&gt; gia đình</v>
      </c>
      <c r="F2045" t="str">
        <f t="shared" ca="1" si="31"/>
        <v>"2084048624" : "quen",</v>
      </c>
    </row>
    <row r="2046" spans="1:6" ht="15.75" customHeight="1">
      <c r="A2046" s="18">
        <v>2084293050</v>
      </c>
      <c r="B2046" s="18" t="s">
        <v>11813</v>
      </c>
      <c r="C2046" s="18" t="s">
        <v>17486</v>
      </c>
      <c r="D2046" s="5" t="str">
        <f ca="1">IFERROR(__xludf.DUMMYFUNCTION("GOOGLETRANSLATE(B2046,""ja"",""vi"")"),"Fira")</f>
        <v>Fira</v>
      </c>
      <c r="E2046" s="5" t="str">
        <f ca="1">IFERROR(__xludf.DUMMYFUNCTION("GOOGLETRANSLATE(C2046,""ja"",""vi"")"),"Đấu giá&gt; Thời trang&gt; Kids, Baby Thời trang&gt; By Nhãn hiệu&gt; Fira")</f>
        <v>Đấu giá&gt; Thời trang&gt; Kids, Baby Thời trang&gt; By Nhãn hiệu&gt; Fira</v>
      </c>
      <c r="F2046" t="str">
        <f t="shared" ca="1" si="31"/>
        <v>"2084293050" : "Fira",</v>
      </c>
    </row>
    <row r="2047" spans="1:6" ht="15.75" customHeight="1">
      <c r="A2047" s="18">
        <v>2084210398</v>
      </c>
      <c r="B2047" s="18" t="s">
        <v>11882</v>
      </c>
      <c r="C2047" s="18" t="s">
        <v>17490</v>
      </c>
      <c r="D2047" s="5" t="str">
        <f ca="1">IFERROR(__xludf.DUMMYFUNCTION("GOOGLETRANSLATE(B2047,""ja"",""vi"")"),"Bufuu")</f>
        <v>Bufuu</v>
      </c>
      <c r="E2047" s="5" t="str">
        <f ca="1">IFERROR(__xludf.DUMMYFUNCTION("GOOGLETRANSLATE(C2047,""ja"",""vi"")"),"Đấu giá&gt; Thời trang&gt; Kids, Baby Thời trang&gt; By Nhãn hiệu&gt; Bufuu")</f>
        <v>Đấu giá&gt; Thời trang&gt; Kids, Baby Thời trang&gt; By Nhãn hiệu&gt; Bufuu</v>
      </c>
      <c r="F2047" t="str">
        <f t="shared" ca="1" si="31"/>
        <v>"2084210398" : "Bufuu",</v>
      </c>
    </row>
    <row r="2048" spans="1:6" ht="15.75" customHeight="1">
      <c r="A2048" s="18">
        <v>2084205423</v>
      </c>
      <c r="B2048" s="18" t="s">
        <v>11969</v>
      </c>
      <c r="C2048" s="18" t="s">
        <v>17494</v>
      </c>
      <c r="D2048" s="5" t="str">
        <f ca="1">IFERROR(__xludf.DUMMYFUNCTION("GOOGLETRANSLATE(B2048,""ja"",""vi"")"),"blue Cross")</f>
        <v>blue Cross</v>
      </c>
      <c r="E2048" s="5" t="str">
        <f ca="1">IFERROR(__xludf.DUMMYFUNCTION("GOOGLETRANSLATE(C2048,""ja"",""vi"")"),"Đấu giá&gt; Thời trang&gt; Kids, em bé thời trang&gt; Thương hiệu&gt; Blue Cross")</f>
        <v>Đấu giá&gt; Thời trang&gt; Kids, em bé thời trang&gt; Thương hiệu&gt; Blue Cross</v>
      </c>
      <c r="F2048" t="str">
        <f t="shared" ca="1" si="31"/>
        <v>"2084205423" : "blue Cross",</v>
      </c>
    </row>
    <row r="2049" spans="1:6" ht="15.75" customHeight="1">
      <c r="A2049" s="18">
        <v>2084048627</v>
      </c>
      <c r="B2049" s="18" t="s">
        <v>11870</v>
      </c>
      <c r="C2049" s="18" t="s">
        <v>17498</v>
      </c>
      <c r="D2049" s="5" t="str">
        <f ca="1">IFERROR(__xludf.DUMMYFUNCTION("GOOGLETRANSLATE(B2049,""ja"",""vi"")"),"Petit Junko")</f>
        <v>Petit Junko</v>
      </c>
      <c r="E2049" s="5" t="str">
        <f ca="1">IFERROR(__xludf.DUMMYFUNCTION("GOOGLETRANSLATE(C2049,""ja"",""vi"")"),"Đấu giá&gt; Thời trang&gt; Kids, em bé thời trang&gt; Thương hiệu&gt; Petit Junko")</f>
        <v>Đấu giá&gt; Thời trang&gt; Kids, em bé thời trang&gt; Thương hiệu&gt; Petit Junko</v>
      </c>
      <c r="F2049" t="str">
        <f t="shared" ca="1" si="31"/>
        <v>"2084048627" : "Petit Junko",</v>
      </c>
    </row>
    <row r="2050" spans="1:6" ht="15.75" customHeight="1">
      <c r="A2050" s="18">
        <v>2084048630</v>
      </c>
      <c r="B2050" s="18" t="s">
        <v>12119</v>
      </c>
      <c r="C2050" s="18" t="s">
        <v>17502</v>
      </c>
      <c r="D2050" s="5" t="str">
        <f ca="1">IFERROR(__xludf.DUMMYFUNCTION("GOOGLETRANSLATE(B2050,""ja"",""vi"")"),"bé Dior")</f>
        <v>bé Dior</v>
      </c>
      <c r="E2050" s="5" t="str">
        <f ca="1">IFERROR(__xludf.DUMMYFUNCTION("GOOGLETRANSLATE(C2050,""ja"",""vi"")"),"Đấu giá&gt; Thời trang&gt; Kids, Baby Thời trang&gt; By Nhãn hiệu&gt; Baby Dior")</f>
        <v>Đấu giá&gt; Thời trang&gt; Kids, Baby Thời trang&gt; By Nhãn hiệu&gt; Baby Dior</v>
      </c>
      <c r="F2050" t="str">
        <f t="shared" ref="F2050:F2113" ca="1" si="32">CONCATENATE(CHAR(34)&amp;"",A2050,""&amp;CHAR(34)," : ", CHAR(34)&amp;"",D2050,""&amp;CHAR(34),",")</f>
        <v>"2084048630" : "bé Dior",</v>
      </c>
    </row>
    <row r="2051" spans="1:6" ht="15.75" customHeight="1">
      <c r="A2051" s="18">
        <v>2084297919</v>
      </c>
      <c r="B2051" s="18" t="s">
        <v>15044</v>
      </c>
      <c r="C2051" s="18" t="s">
        <v>17504</v>
      </c>
      <c r="D2051" s="5" t="str">
        <f ca="1">IFERROR(__xludf.DUMMYFUNCTION("GOOGLETRANSLATE(B2051,""ja"",""vi"")"),"baby Doll")</f>
        <v>baby Doll</v>
      </c>
      <c r="E2051" s="5" t="str">
        <f ca="1">IFERROR(__xludf.DUMMYFUNCTION("GOOGLETRANSLATE(C2051,""ja"",""vi"")"),"Đấu giá&gt; Thời trang&gt; Kids, Baby Thời trang&gt; By Nhãn hiệu&gt; Baby Doll")</f>
        <v>Đấu giá&gt; Thời trang&gt; Kids, Baby Thời trang&gt; By Nhãn hiệu&gt; Baby Doll</v>
      </c>
      <c r="F2051" t="str">
        <f t="shared" ca="1" si="32"/>
        <v>"2084297919" : "baby Doll",</v>
      </c>
    </row>
    <row r="2052" spans="1:6" ht="15.75" customHeight="1">
      <c r="A2052" s="18">
        <v>2084293055</v>
      </c>
      <c r="B2052" s="18" t="s">
        <v>12125</v>
      </c>
      <c r="C2052" s="18" t="s">
        <v>17508</v>
      </c>
      <c r="D2052" s="5" t="str">
        <f ca="1">IFERROR(__xludf.DUMMYFUNCTION("GOOGLETRANSLATE(B2052,""ja"",""vi"")"),"Bebe")</f>
        <v>Bebe</v>
      </c>
      <c r="E2052" s="5" t="str">
        <f ca="1">IFERROR(__xludf.DUMMYFUNCTION("GOOGLETRANSLATE(C2052,""ja"",""vi"")"),"Đấu giá&gt; Thời trang&gt; Kids, Baby Thời trang&gt; By Nhãn hiệu&gt; Bebe")</f>
        <v>Đấu giá&gt; Thời trang&gt; Kids, Baby Thời trang&gt; By Nhãn hiệu&gt; Bebe</v>
      </c>
      <c r="F2052" t="str">
        <f t="shared" ca="1" si="32"/>
        <v>"2084293055" : "Bebe",</v>
      </c>
    </row>
    <row r="2053" spans="1:6" ht="15.75" customHeight="1">
      <c r="A2053" s="18">
        <v>2084293058</v>
      </c>
      <c r="B2053" s="18" t="s">
        <v>12297</v>
      </c>
      <c r="C2053" s="18" t="s">
        <v>17512</v>
      </c>
      <c r="D2053" s="5" t="str">
        <f ca="1">IFERROR(__xludf.DUMMYFUNCTION("GOOGLETRANSLATE(B2053,""ja"",""vi"")"),"Bonpowan")</f>
        <v>Bonpowan</v>
      </c>
      <c r="E2053" s="5" t="str">
        <f ca="1">IFERROR(__xludf.DUMMYFUNCTION("GOOGLETRANSLATE(C2053,""ja"",""vi"")"),"Đấu giá&gt; Thời trang&gt; Kids, Baby Thời trang&gt; By Nhãn hiệu&gt; Bonpowan")</f>
        <v>Đấu giá&gt; Thời trang&gt; Kids, Baby Thời trang&gt; By Nhãn hiệu&gt; Bonpowan</v>
      </c>
      <c r="F2053" t="str">
        <f t="shared" ca="1" si="32"/>
        <v>"2084293058" : "Bonpowan",</v>
      </c>
    </row>
    <row r="2054" spans="1:6" ht="15.75" customHeight="1">
      <c r="A2054" s="18">
        <v>2084048773</v>
      </c>
      <c r="B2054" s="18" t="s">
        <v>12301</v>
      </c>
      <c r="C2054" s="18" t="s">
        <v>17517</v>
      </c>
      <c r="D2054" s="5" t="str">
        <f ca="1">IFERROR(__xludf.DUMMYFUNCTION("GOOGLETRANSLATE(B2054,""ja"",""vi"")"),"Ponponetto")</f>
        <v>Ponponetto</v>
      </c>
      <c r="E2054" s="5" t="str">
        <f ca="1">IFERROR(__xludf.DUMMYFUNCTION("GOOGLETRANSLATE(C2054,""ja"",""vi"")"),"Đấu giá&gt; Thời trang&gt; Kids, Baby Thời trang&gt; By Nhãn hiệu&gt; Ponponetto")</f>
        <v>Đấu giá&gt; Thời trang&gt; Kids, Baby Thời trang&gt; By Nhãn hiệu&gt; Ponponetto</v>
      </c>
      <c r="F2054" t="str">
        <f t="shared" ca="1" si="32"/>
        <v>"2084048773" : "Ponponetto",</v>
      </c>
    </row>
    <row r="2055" spans="1:6" ht="15.75" customHeight="1">
      <c r="A2055" s="18">
        <v>2084048633</v>
      </c>
      <c r="B2055" s="18" t="s">
        <v>12436</v>
      </c>
      <c r="C2055" s="18" t="s">
        <v>17522</v>
      </c>
      <c r="D2055" s="5" t="str">
        <f ca="1">IFERROR(__xludf.DUMMYFUNCTION("GOOGLETRANSLATE(B2055,""ja"",""vi"")"),"Miki")</f>
        <v>Miki</v>
      </c>
      <c r="E2055" s="5" t="str">
        <f ca="1">IFERROR(__xludf.DUMMYFUNCTION("GOOGLETRANSLATE(C2055,""ja"",""vi"")"),"Đấu giá&gt; Thời trang&gt; Kids, Baby Thời trang&gt; By Nhãn hiệu&gt; Miki")</f>
        <v>Đấu giá&gt; Thời trang&gt; Kids, Baby Thời trang&gt; By Nhãn hiệu&gt; Miki</v>
      </c>
      <c r="F2055" t="str">
        <f t="shared" ca="1" si="32"/>
        <v>"2084048633" : "Miki",</v>
      </c>
    </row>
    <row r="2056" spans="1:6" ht="15.75" customHeight="1">
      <c r="A2056" s="18">
        <v>2084048634</v>
      </c>
      <c r="B2056" s="18" t="s">
        <v>12486</v>
      </c>
      <c r="C2056" s="18" t="s">
        <v>17528</v>
      </c>
      <c r="D2056" s="5" t="str">
        <f ca="1">IFERROR(__xludf.DUMMYFUNCTION("GOOGLETRANSLATE(B2056,""ja"",""vi"")"),"Mini K")</f>
        <v>Mini K</v>
      </c>
      <c r="E2056" s="5" t="str">
        <f ca="1">IFERROR(__xludf.DUMMYFUNCTION("GOOGLETRANSLATE(C2056,""ja"",""vi"")"),"Đấu giá&gt; Thời trang&gt; Kids, em bé thời trang&gt; Thương hiệu&gt; Mini K")</f>
        <v>Đấu giá&gt; Thời trang&gt; Kids, em bé thời trang&gt; Thương hiệu&gt; Mini K</v>
      </c>
      <c r="F2056" t="str">
        <f t="shared" ca="1" si="32"/>
        <v>"2084048634" : "Mini K",</v>
      </c>
    </row>
    <row r="2057" spans="1:6" ht="15.75" customHeight="1">
      <c r="A2057" s="18">
        <v>2084048636</v>
      </c>
      <c r="B2057" s="18" t="s">
        <v>12552</v>
      </c>
      <c r="C2057" s="18" t="s">
        <v>17533</v>
      </c>
      <c r="D2057" s="5" t="str">
        <f ca="1">IFERROR(__xludf.DUMMYFUNCTION("GOOGLETRANSLATE(B2057,""ja"",""vi"")"),"Mu John John")</f>
        <v>Mu John John</v>
      </c>
      <c r="E2057" s="5" t="str">
        <f ca="1">IFERROR(__xludf.DUMMYFUNCTION("GOOGLETRANSLATE(C2057,""ja"",""vi"")"),"Đấu giá&gt; Thời trang&gt; Kids, Baby Thời trang&gt; By Nhãn hiệu&gt; Mu John John")</f>
        <v>Đấu giá&gt; Thời trang&gt; Kids, Baby Thời trang&gt; By Nhãn hiệu&gt; Mu John John</v>
      </c>
      <c r="F2057" t="str">
        <f t="shared" ca="1" si="32"/>
        <v>"2084048636" : "Mu John John",</v>
      </c>
    </row>
    <row r="2058" spans="1:6" ht="15.75" customHeight="1">
      <c r="A2058" s="18">
        <v>2084293065</v>
      </c>
      <c r="B2058" s="18" t="s">
        <v>12560</v>
      </c>
      <c r="C2058" s="18" t="s">
        <v>17536</v>
      </c>
      <c r="D2058" s="5" t="str">
        <f ca="1">IFERROR(__xludf.DUMMYFUNCTION("GOOGLETRANSLATE(B2058,""ja"",""vi"")"),"Muchacha")</f>
        <v>Muchacha</v>
      </c>
      <c r="E2058" s="5" t="str">
        <f ca="1">IFERROR(__xludf.DUMMYFUNCTION("GOOGLETRANSLATE(C2058,""ja"",""vi"")"),"Đấu giá&gt; Thời trang&gt; Kids, Baby Thời trang&gt; By Nhãn hiệu&gt; Muchacha")</f>
        <v>Đấu giá&gt; Thời trang&gt; Kids, Baby Thời trang&gt; By Nhãn hiệu&gt; Muchacha</v>
      </c>
      <c r="F2058" t="str">
        <f t="shared" ca="1" si="32"/>
        <v>"2084293065" : "Muchacha",</v>
      </c>
    </row>
    <row r="2059" spans="1:6" ht="15.75" customHeight="1">
      <c r="A2059" s="18">
        <v>2084048705</v>
      </c>
      <c r="B2059" s="18" t="s">
        <v>12569</v>
      </c>
      <c r="C2059" s="18" t="s">
        <v>17539</v>
      </c>
      <c r="D2059" s="5" t="str">
        <f ca="1">IFERROR(__xludf.DUMMYFUNCTION("GOOGLETRANSLATE(B2059,""ja"",""vi"")"),"Mezzo đàn piano")</f>
        <v>Mezzo đàn piano</v>
      </c>
      <c r="E2059" s="5" t="str">
        <f ca="1">IFERROR(__xludf.DUMMYFUNCTION("GOOGLETRANSLATE(C2059,""ja"",""vi"")"),"Đấu giá&gt; Thời trang&gt; Kids, Baby Thời trang&gt; By Nhãn hiệu&gt; mezzo đàn piano")</f>
        <v>Đấu giá&gt; Thời trang&gt; Kids, Baby Thời trang&gt; By Nhãn hiệu&gt; mezzo đàn piano</v>
      </c>
      <c r="F2059" t="str">
        <f t="shared" ca="1" si="32"/>
        <v>"2084048705" : "Mezzo đàn piano",</v>
      </c>
    </row>
    <row r="2060" spans="1:6" ht="15.75" customHeight="1">
      <c r="A2060" s="18">
        <v>2084293062</v>
      </c>
      <c r="B2060" s="18" t="s">
        <v>12541</v>
      </c>
      <c r="C2060" s="18" t="s">
        <v>17542</v>
      </c>
      <c r="D2060" s="5" t="str">
        <f ca="1">IFERROR(__xludf.DUMMYFUNCTION("GOOGLETRANSLATE(B2060,""ja"",""vi"")"),"Muji")</f>
        <v>Muji</v>
      </c>
      <c r="E2060" s="5" t="str">
        <f ca="1">IFERROR(__xludf.DUMMYFUNCTION("GOOGLETRANSLATE(C2060,""ja"",""vi"")"),"Đấu giá&gt; Thời trang&gt; Kids, Baby Thời trang&gt; By Nhãn hiệu&gt; Muji")</f>
        <v>Đấu giá&gt; Thời trang&gt; Kids, Baby Thời trang&gt; By Nhãn hiệu&gt; Muji</v>
      </c>
      <c r="F2060" t="str">
        <f t="shared" ca="1" si="32"/>
        <v>"2084293062" : "Muji",</v>
      </c>
    </row>
    <row r="2061" spans="1:6" ht="15.75" customHeight="1">
      <c r="A2061" s="18">
        <v>2084293068</v>
      </c>
      <c r="B2061" s="18" t="s">
        <v>12655</v>
      </c>
      <c r="C2061" s="18" t="s">
        <v>17544</v>
      </c>
      <c r="D2061" s="5" t="str">
        <f ca="1">IFERROR(__xludf.DUMMYFUNCTION("GOOGLETRANSLATE(B2061,""ja"",""vi"")"),"Uniqlo")</f>
        <v>Uniqlo</v>
      </c>
      <c r="E2061" s="5" t="str">
        <f ca="1">IFERROR(__xludf.DUMMYFUNCTION("GOOGLETRANSLATE(C2061,""ja"",""vi"")"),"Đấu giá&gt; Thời trang&gt; Kids, em bé thời trang&gt; Thương hiệu&gt; Uniqlo")</f>
        <v>Đấu giá&gt; Thời trang&gt; Kids, em bé thời trang&gt; Thương hiệu&gt; Uniqlo</v>
      </c>
      <c r="F2061" t="str">
        <f t="shared" ca="1" si="32"/>
        <v>"2084293068" : "Uniqlo",</v>
      </c>
    </row>
    <row r="2062" spans="1:6" ht="15.75" customHeight="1">
      <c r="A2062" s="18">
        <v>2084293071</v>
      </c>
      <c r="B2062" s="18" t="s">
        <v>13102</v>
      </c>
      <c r="C2062" s="18" t="s">
        <v>17548</v>
      </c>
      <c r="D2062" s="5" t="str">
        <f ca="1">IFERROR(__xludf.DUMMYFUNCTION("GOOGLETRANSLATE(B2062,""ja"",""vi"")"),"Roni")</f>
        <v>Roni</v>
      </c>
      <c r="E2062" s="5" t="str">
        <f ca="1">IFERROR(__xludf.DUMMYFUNCTION("GOOGLETRANSLATE(C2062,""ja"",""vi"")"),"Đấu giá&gt; Thời trang&gt; Kids, Baby Thời trang&gt; By Nhãn hiệu&gt; Roni")</f>
        <v>Đấu giá&gt; Thời trang&gt; Kids, Baby Thời trang&gt; By Nhãn hiệu&gt; Roni</v>
      </c>
      <c r="F2062" t="str">
        <f t="shared" ca="1" si="32"/>
        <v>"2084293071" : "Roni",</v>
      </c>
    </row>
    <row r="2063" spans="1:6" ht="15.75" customHeight="1">
      <c r="A2063" s="18">
        <v>2084293070</v>
      </c>
      <c r="B2063" s="18" t="s">
        <v>12786</v>
      </c>
      <c r="C2063" s="18" t="s">
        <v>17551</v>
      </c>
      <c r="D2063" s="5" t="str">
        <f ca="1">IFERROR(__xludf.DUMMYFUNCTION("GOOGLETRANSLATE(B2063,""ja"",""vi"")"),"Ralph Lauren")</f>
        <v>Ralph Lauren</v>
      </c>
      <c r="E2063" s="5" t="str">
        <f ca="1">IFERROR(__xludf.DUMMYFUNCTION("GOOGLETRANSLATE(C2063,""ja"",""vi"")"),"Đấu giá&gt; Thời trang&gt; Kids, Baby Thời trang&gt; By Nhãn hiệu&gt; Ralph Lauren")</f>
        <v>Đấu giá&gt; Thời trang&gt; Kids, Baby Thời trang&gt; By Nhãn hiệu&gt; Ralph Lauren</v>
      </c>
      <c r="F2063" t="str">
        <f t="shared" ca="1" si="32"/>
        <v>"2084293070" : "Ralph Lauren",</v>
      </c>
    </row>
    <row r="2064" spans="1:6" ht="15.75" customHeight="1">
      <c r="A2064" s="18">
        <v>2084298246</v>
      </c>
      <c r="B2064" s="18" t="s">
        <v>12866</v>
      </c>
      <c r="C2064" s="18" t="s">
        <v>17555</v>
      </c>
      <c r="D2064" s="5" t="str">
        <f ca="1">IFERROR(__xludf.DUMMYFUNCTION("GOOGLETRANSLATE(B2064,""ja"",""vi"")"),"Levi của")</f>
        <v>Levi của</v>
      </c>
      <c r="E2064" s="5" t="str">
        <f ca="1">IFERROR(__xludf.DUMMYFUNCTION("GOOGLETRANSLATE(C2064,""ja"",""vi"")"),"Đấu giá&gt; Thời trang&gt; Kids, Baby Thời trang&gt; By Nhãn hiệu&gt; Levi của")</f>
        <v>Đấu giá&gt; Thời trang&gt; Kids, Baby Thời trang&gt; By Nhãn hiệu&gt; Levi của</v>
      </c>
      <c r="F2064" t="str">
        <f t="shared" ca="1" si="32"/>
        <v>"2084298246" : "Levi của",</v>
      </c>
    </row>
    <row r="2065" spans="1:6" ht="15.75" customHeight="1">
      <c r="A2065" s="18">
        <v>2084061987</v>
      </c>
      <c r="B2065" s="18" t="s">
        <v>17556</v>
      </c>
      <c r="C2065" s="18" t="s">
        <v>17558</v>
      </c>
      <c r="D2065" s="5" t="str">
        <f ca="1">IFERROR(__xludf.DUMMYFUNCTION("GOOGLETRANSLATE(B2065,""ja"",""vi"")"),"Laura Ashley")</f>
        <v>Laura Ashley</v>
      </c>
      <c r="E2065" s="5" t="str">
        <f ca="1">IFERROR(__xludf.DUMMYFUNCTION("GOOGLETRANSLATE(C2065,""ja"",""vi"")"),"Đấu giá&gt; Thời trang&gt; Kids, Baby Thời trang&gt; By Nhãn hiệu&gt; Laura Ashley")</f>
        <v>Đấu giá&gt; Thời trang&gt; Kids, Baby Thời trang&gt; By Nhãn hiệu&gt; Laura Ashley</v>
      </c>
      <c r="F2065" t="str">
        <f t="shared" ca="1" si="32"/>
        <v>"2084061987" : "Laura Ashley",</v>
      </c>
    </row>
    <row r="2066" spans="1:6" ht="15.75" customHeight="1">
      <c r="A2066" s="18">
        <v>2084205947</v>
      </c>
      <c r="B2066" s="18" t="s">
        <v>13207</v>
      </c>
      <c r="C2066" s="18" t="s">
        <v>17561</v>
      </c>
      <c r="D2066" s="5" t="str">
        <f ca="1">IFERROR(__xludf.DUMMYFUNCTION("GOOGLETRANSLATE(B2066,""ja"",""vi"")"),"Wasque")</f>
        <v>Wasque</v>
      </c>
      <c r="E2066" s="5" t="str">
        <f ca="1">IFERROR(__xludf.DUMMYFUNCTION("GOOGLETRANSLATE(C2066,""ja"",""vi"")"),"Đấu giá&gt; Thời trang&gt; Kids, Baby Thời trang&gt; By Nhãn hiệu&gt; Wasque")</f>
        <v>Đấu giá&gt; Thời trang&gt; Kids, Baby Thời trang&gt; By Nhãn hiệu&gt; Wasque</v>
      </c>
      <c r="F2066" t="str">
        <f t="shared" ca="1" si="32"/>
        <v>"2084205947" : "Wasque",</v>
      </c>
    </row>
    <row r="2067" spans="1:6" ht="15.75" customHeight="1">
      <c r="A2067" s="18">
        <v>2084259187</v>
      </c>
      <c r="B2067" s="18" t="s">
        <v>13214</v>
      </c>
      <c r="C2067" s="18" t="s">
        <v>17565</v>
      </c>
      <c r="D2067" s="5" t="str">
        <f ca="1">IFERROR(__xludf.DUMMYFUNCTION("GOOGLETRANSLATE(B2067,""ja"",""vi"")"),"Waffu Ailen waffle")</f>
        <v>Waffu Ailen waffle</v>
      </c>
      <c r="E2067" s="5" t="str">
        <f ca="1">IFERROR(__xludf.DUMMYFUNCTION("GOOGLETRANSLATE(C2067,""ja"",""vi"")"),"Đấu giá&gt; Thời trang&gt; Kids, Baby Thời trang&gt; By Nhãn hiệu&gt; Waffu Ailen waffle")</f>
        <v>Đấu giá&gt; Thời trang&gt; Kids, Baby Thời trang&gt; By Nhãn hiệu&gt; Waffu Ailen waffle</v>
      </c>
      <c r="F2067" t="str">
        <f t="shared" ca="1" si="32"/>
        <v>"2084259187" : "Waffu Ailen waffle",</v>
      </c>
    </row>
    <row r="2068" spans="1:6" ht="15.75" customHeight="1">
      <c r="A2068" s="18">
        <v>2084313342</v>
      </c>
      <c r="B2068" s="18" t="s">
        <v>6465</v>
      </c>
      <c r="C2068" s="18" t="s">
        <v>17569</v>
      </c>
      <c r="D2068" s="5" t="str">
        <f ca="1">IFERROR(__xludf.DUMMYFUNCTION("GOOGLETRANSLATE(B2068,""ja"",""vi"")"),"Thiết lập, Lots Bán buôn")</f>
        <v>Thiết lập, Lots Bán buôn</v>
      </c>
      <c r="E2068" s="5" t="str">
        <f ca="1">IFERROR(__xludf.DUMMYFUNCTION("GOOGLETRANSLATE(C2068,""ja"",""vi"")"),"Đấu giá&gt; Thời trang&gt; Kids, em bé thời trang&gt; quần áo trẻ em (cho con gái)&gt; set, Lots Bán buôn")</f>
        <v>Đấu giá&gt; Thời trang&gt; Kids, em bé thời trang&gt; quần áo trẻ em (cho con gái)&gt; set, Lots Bán buôn</v>
      </c>
      <c r="F2068" t="str">
        <f t="shared" ca="1" si="32"/>
        <v>"2084313342" : "Thiết lập, Lots Bán buôn",</v>
      </c>
    </row>
    <row r="2069" spans="1:6" ht="15.75" customHeight="1">
      <c r="A2069" s="18">
        <v>2084006516</v>
      </c>
      <c r="B2069" s="18" t="s">
        <v>11217</v>
      </c>
      <c r="C2069" s="18" t="s">
        <v>17573</v>
      </c>
      <c r="D2069" s="5" t="str">
        <f ca="1">IFERROR(__xludf.DUMMYFUNCTION("GOOGLETRANSLATE(B2069,""ja"",""vi"")"),"áo")</f>
        <v>áo</v>
      </c>
      <c r="E2069" s="5" t="str">
        <f ca="1">IFERROR(__xludf.DUMMYFUNCTION("GOOGLETRANSLATE(C2069,""ja"",""vi"")"),"Đấu giá&gt; Thời trang&gt; Kids, em bé thời trang&gt; quần áo trẻ em (đối với nữ)&gt; áo")</f>
        <v>Đấu giá&gt; Thời trang&gt; Kids, em bé thời trang&gt; quần áo trẻ em (đối với nữ)&gt; áo</v>
      </c>
      <c r="F2069" t="str">
        <f t="shared" ca="1" si="32"/>
        <v>"2084006516" : "áo",</v>
      </c>
    </row>
    <row r="2070" spans="1:6" ht="15.75" customHeight="1">
      <c r="A2070" s="18">
        <v>2084006504</v>
      </c>
      <c r="B2070" s="18" t="s">
        <v>11223</v>
      </c>
      <c r="C2070" s="18" t="s">
        <v>17577</v>
      </c>
      <c r="D2070" s="5" t="str">
        <f ca="1">IFERROR(__xludf.DUMMYFUNCTION("GOOGLETRANSLATE(B2070,""ja"",""vi"")"),"Áo khoác, áo khoác")</f>
        <v>Áo khoác, áo khoác</v>
      </c>
      <c r="E2070" s="5" t="str">
        <f ca="1">IFERROR(__xludf.DUMMYFUNCTION("GOOGLETRANSLATE(C2070,""ja"",""vi"")"),"Đấu giá&gt; Thời trang&gt; Kids, em bé thời trang&gt; quần áo trẻ em (đối với nữ)&gt; áo khoác, áo khoác")</f>
        <v>Đấu giá&gt; Thời trang&gt; Kids, em bé thời trang&gt; quần áo trẻ em (đối với nữ)&gt; áo khoác, áo khoác</v>
      </c>
      <c r="F2070" t="str">
        <f t="shared" ca="1" si="32"/>
        <v>"2084006504" : "Áo khoác, áo khoác",</v>
      </c>
    </row>
    <row r="2071" spans="1:6" ht="15.75" customHeight="1">
      <c r="A2071" s="18">
        <v>2084006593</v>
      </c>
      <c r="B2071" s="18" t="s">
        <v>11235</v>
      </c>
      <c r="C2071" s="18" t="s">
        <v>17579</v>
      </c>
      <c r="D2071" s="5" t="str">
        <f ca="1">IFERROR(__xludf.DUMMYFUNCTION("GOOGLETRANSLATE(B2071,""ja"",""vi"")"),"tops")</f>
        <v>tops</v>
      </c>
      <c r="E2071" s="5" t="str">
        <f ca="1">IFERROR(__xludf.DUMMYFUNCTION("GOOGLETRANSLATE(C2071,""ja"",""vi"")"),"Đấu giá&gt; Thời trang&gt; Kids, em bé thời trang&gt; quần áo trẻ em (đối với nữ)&gt; ngọn")</f>
        <v>Đấu giá&gt; Thời trang&gt; Kids, em bé thời trang&gt; quần áo trẻ em (đối với nữ)&gt; ngọn</v>
      </c>
      <c r="F2071" t="str">
        <f t="shared" ca="1" si="32"/>
        <v>"2084006593" : "tops",</v>
      </c>
    </row>
    <row r="2072" spans="1:6" ht="15.75" customHeight="1">
      <c r="A2072" s="18">
        <v>2084006560</v>
      </c>
      <c r="B2072" s="18" t="s">
        <v>11242</v>
      </c>
      <c r="C2072" s="18" t="s">
        <v>17583</v>
      </c>
      <c r="D2072" s="5" t="str">
        <f ca="1">IFERROR(__xludf.DUMMYFUNCTION("GOOGLETRANSLATE(B2072,""ja"",""vi"")"),"đáy")</f>
        <v>đáy</v>
      </c>
      <c r="E2072" s="5" t="str">
        <f ca="1">IFERROR(__xludf.DUMMYFUNCTION("GOOGLETRANSLATE(C2072,""ja"",""vi"")"),"Đấu giá&gt; Thời trang&gt; Kids, em bé thời trang&gt; quần áo trẻ em (đối với nữ)&gt; đáy")</f>
        <v>Đấu giá&gt; Thời trang&gt; Kids, em bé thời trang&gt; quần áo trẻ em (đối với nữ)&gt; đáy</v>
      </c>
      <c r="F2072" t="str">
        <f t="shared" ca="1" si="32"/>
        <v>"2084006560" : "đáy",</v>
      </c>
    </row>
    <row r="2073" spans="1:6" ht="15.75" customHeight="1">
      <c r="A2073" s="18">
        <v>2084006556</v>
      </c>
      <c r="B2073" s="18" t="s">
        <v>7472</v>
      </c>
      <c r="C2073" s="18" t="s">
        <v>17585</v>
      </c>
      <c r="D2073" s="5" t="str">
        <f ca="1">IFERROR(__xludf.DUMMYFUNCTION("GOOGLETRANSLATE(B2073,""ja"",""vi"")"),"One piece")</f>
        <v>One piece</v>
      </c>
      <c r="E2073" s="5" t="str">
        <f ca="1">IFERROR(__xludf.DUMMYFUNCTION("GOOGLETRANSLATE(C2073,""ja"",""vi"")"),"Đấu giá&gt; Thời trang&gt; Kids, em bé thời trang&gt; quần áo trẻ em (đối với nữ)&gt; One Piece")</f>
        <v>Đấu giá&gt; Thời trang&gt; Kids, em bé thời trang&gt; quần áo trẻ em (đối với nữ)&gt; One Piece</v>
      </c>
      <c r="F2073" t="str">
        <f t="shared" ca="1" si="32"/>
        <v>"2084006556" : "One piece",</v>
      </c>
    </row>
    <row r="2074" spans="1:6" ht="15.75" customHeight="1">
      <c r="A2074" s="18">
        <v>2084052855</v>
      </c>
      <c r="B2074" s="18" t="s">
        <v>13562</v>
      </c>
      <c r="C2074" s="18" t="s">
        <v>17587</v>
      </c>
      <c r="D2074" s="5" t="str">
        <f ca="1">IFERROR(__xludf.DUMMYFUNCTION("GOOGLETRANSLATE(B2074,""ja"",""vi"")"),"tie")</f>
        <v>tie</v>
      </c>
      <c r="E2074" s="5" t="str">
        <f ca="1">IFERROR(__xludf.DUMMYFUNCTION("GOOGLETRANSLATE(C2074,""ja"",""vi"")"),"Đấu giá&gt; Thời trang&gt; Kids, em bé thời trang&gt; quần áo trẻ em (cho con gái)&gt; tie")</f>
        <v>Đấu giá&gt; Thời trang&gt; Kids, em bé thời trang&gt; quần áo trẻ em (cho con gái)&gt; tie</v>
      </c>
      <c r="F2074" t="str">
        <f t="shared" ca="1" si="32"/>
        <v>"2084052855" : "tie",</v>
      </c>
    </row>
    <row r="2075" spans="1:6" ht="15.75" customHeight="1">
      <c r="A2075" s="18">
        <v>2084006656</v>
      </c>
      <c r="B2075" s="18" t="s">
        <v>11248</v>
      </c>
      <c r="C2075" s="18" t="s">
        <v>17593</v>
      </c>
      <c r="D2075" s="5" t="str">
        <f ca="1">IFERROR(__xludf.DUMMYFUNCTION("GOOGLETRANSLATE(B2075,""ja"",""vi"")"),"Mang nội")</f>
        <v>Mang nội</v>
      </c>
      <c r="E2075" s="5" t="str">
        <f ca="1">IFERROR(__xludf.DUMMYFUNCTION("GOOGLETRANSLATE(C2075,""ja"",""vi"")"),"Đấu giá&gt; Thời trang&gt; Kids, em bé thời trang&gt; quần áo trẻ em (đối với nữ)&gt; mặc bên trong")</f>
        <v>Đấu giá&gt; Thời trang&gt; Kids, em bé thời trang&gt; quần áo trẻ em (đối với nữ)&gt; mặc bên trong</v>
      </c>
      <c r="F2075" t="str">
        <f t="shared" ca="1" si="32"/>
        <v>"2084006656" : "Mang nội",</v>
      </c>
    </row>
    <row r="2076" spans="1:6" ht="15.75" customHeight="1">
      <c r="A2076" s="18">
        <v>2084006554</v>
      </c>
      <c r="B2076" s="18" t="s">
        <v>17595</v>
      </c>
      <c r="C2076" s="18" t="s">
        <v>17597</v>
      </c>
      <c r="D2076" s="5" t="str">
        <f ca="1">IFERROR(__xludf.DUMMYFUNCTION("GOOGLETRANSLATE(B2076,""ja"",""vi"")"),"áo sơ mi của đàn bà")</f>
        <v>áo sơ mi của đàn bà</v>
      </c>
      <c r="E2076" s="5" t="str">
        <f ca="1">IFERROR(__xludf.DUMMYFUNCTION("GOOGLETRANSLATE(C2076,""ja"",""vi"")"),"Đấu giá&gt; Thời trang&gt; Kids, em bé thời trang&gt; quần áo trẻ em (cho con gái)&gt; áo khoác")</f>
        <v>Đấu giá&gt; Thời trang&gt; Kids, em bé thời trang&gt; quần áo trẻ em (cho con gái)&gt; áo khoác</v>
      </c>
      <c r="F2076" t="str">
        <f t="shared" ca="1" si="32"/>
        <v>"2084006554" : "áo sơ mi của đàn bà",</v>
      </c>
    </row>
    <row r="2077" spans="1:6" ht="15.75" customHeight="1">
      <c r="A2077" s="18">
        <v>2084052986</v>
      </c>
      <c r="B2077" s="18" t="s">
        <v>17600</v>
      </c>
      <c r="C2077" s="18" t="s">
        <v>17603</v>
      </c>
      <c r="D2077" s="5" t="str">
        <f ca="1">IFERROR(__xludf.DUMMYFUNCTION("GOOGLETRANSLATE(B2077,""ja"",""vi"")"),"thiết lập")</f>
        <v>thiết lập</v>
      </c>
      <c r="E2077" s="5" t="str">
        <f ca="1">IFERROR(__xludf.DUMMYFUNCTION("GOOGLETRANSLATE(C2077,""ja"",""vi"")"),"Đấu giá&gt; Thời trang&gt; Kids, em bé thời trang&gt; quần áo trẻ em (cho con gái)&gt; thiết lập")</f>
        <v>Đấu giá&gt; Thời trang&gt; Kids, em bé thời trang&gt; quần áo trẻ em (cho con gái)&gt; thiết lập</v>
      </c>
      <c r="F2077" t="str">
        <f t="shared" ca="1" si="32"/>
        <v>"2084052986" : "thiết lập",</v>
      </c>
    </row>
    <row r="2078" spans="1:6" ht="15.75" customHeight="1">
      <c r="A2078" s="18">
        <v>2084006587</v>
      </c>
      <c r="B2078" s="18" t="s">
        <v>13968</v>
      </c>
      <c r="C2078" s="18" t="s">
        <v>17606</v>
      </c>
      <c r="D2078" s="5" t="str">
        <f ca="1">IFERROR(__xludf.DUMMYFUNCTION("GOOGLETRANSLATE(B2078,""ja"",""vi"")"),"áo ngủ")</f>
        <v>áo ngủ</v>
      </c>
      <c r="E2078" s="5" t="str">
        <f ca="1">IFERROR(__xludf.DUMMYFUNCTION("GOOGLETRANSLATE(C2078,""ja"",""vi"")"),"Đấu giá&gt; Thời trang&gt; Kids, em bé thời trang&gt; quần áo trẻ em (đối với nữ)&gt; đồ ngủ")</f>
        <v>Đấu giá&gt; Thời trang&gt; Kids, em bé thời trang&gt; quần áo trẻ em (đối với nữ)&gt; đồ ngủ</v>
      </c>
      <c r="F2078" t="str">
        <f t="shared" ca="1" si="32"/>
        <v>"2084006587" : "áo ngủ",</v>
      </c>
    </row>
    <row r="2079" spans="1:6" ht="15.75" customHeight="1">
      <c r="A2079" s="18">
        <v>2084006546</v>
      </c>
      <c r="B2079" s="18" t="s">
        <v>13613</v>
      </c>
      <c r="C2079" s="18" t="s">
        <v>17608</v>
      </c>
      <c r="D2079" s="5" t="str">
        <f ca="1">IFERROR(__xludf.DUMMYFUNCTION("GOOGLETRANSLATE(B2079,""ja"",""vi"")"),"chính thức")</f>
        <v>chính thức</v>
      </c>
      <c r="E2079" s="5" t="str">
        <f ca="1">IFERROR(__xludf.DUMMYFUNCTION("GOOGLETRANSLATE(C2079,""ja"",""vi"")"),"Đấu giá&gt; Thời trang&gt; Kids, em bé thời trang&gt; quần áo trẻ em (đối với nữ)&gt; chính thức")</f>
        <v>Đấu giá&gt; Thời trang&gt; Kids, em bé thời trang&gt; quần áo trẻ em (đối với nữ)&gt; chính thức</v>
      </c>
      <c r="F2079" t="str">
        <f t="shared" ca="1" si="32"/>
        <v>"2084006546" : "chính thức",</v>
      </c>
    </row>
    <row r="2080" spans="1:6" ht="15.75" customHeight="1">
      <c r="A2080" s="18">
        <v>2084006553</v>
      </c>
      <c r="B2080" s="18" t="s">
        <v>13764</v>
      </c>
      <c r="C2080" s="18" t="s">
        <v>17611</v>
      </c>
      <c r="D2080" s="5" t="str">
        <f ca="1">IFERROR(__xludf.DUMMYFUNCTION("GOOGLETRANSLATE(B2080,""ja"",""vi"")"),"quần áo trẻ con")</f>
        <v>quần áo trẻ con</v>
      </c>
      <c r="E2080" s="5" t="str">
        <f ca="1">IFERROR(__xludf.DUMMYFUNCTION("GOOGLETRANSLATE(C2080,""ja"",""vi"")"),"Đấu giá&gt; Thời trang&gt; Kids, em bé thời trang&gt; quần áo trẻ em (cho con gái)&gt; rompers")</f>
        <v>Đấu giá&gt; Thời trang&gt; Kids, em bé thời trang&gt; quần áo trẻ em (cho con gái)&gt; rompers</v>
      </c>
      <c r="F2080" t="str">
        <f t="shared" ca="1" si="32"/>
        <v>"2084006553" : "quần áo trẻ con",</v>
      </c>
    </row>
    <row r="2081" spans="1:6" ht="15.75" customHeight="1">
      <c r="A2081" s="18">
        <v>2084006548</v>
      </c>
      <c r="B2081" s="18" t="s">
        <v>14997</v>
      </c>
      <c r="C2081" s="18" t="s">
        <v>17616</v>
      </c>
      <c r="D2081" s="5" t="str">
        <f ca="1">IFERROR(__xludf.DUMMYFUNCTION("GOOGLETRANSLATE(B2081,""ja"",""vi"")"),"quần áo Nhật Bản")</f>
        <v>quần áo Nhật Bản</v>
      </c>
      <c r="E2081" s="5" t="str">
        <f ca="1">IFERROR(__xludf.DUMMYFUNCTION("GOOGLETRANSLATE(C2081,""ja"",""vi"")"),"Đấu giá&gt; Thời trang&gt; Kids, em bé thời trang&gt; quần áo trẻ em (đối với nữ)&gt; quần áo Nhật Bản")</f>
        <v>Đấu giá&gt; Thời trang&gt; Kids, em bé thời trang&gt; quần áo trẻ em (đối với nữ)&gt; quần áo Nhật Bản</v>
      </c>
      <c r="F2081" t="str">
        <f t="shared" ca="1" si="32"/>
        <v>"2084006548" : "quần áo Nhật Bản",</v>
      </c>
    </row>
    <row r="2082" spans="1:6" ht="15.75" customHeight="1">
      <c r="A2082" s="18">
        <v>2084051669</v>
      </c>
      <c r="B2082" s="18" t="s">
        <v>17619</v>
      </c>
      <c r="C2082" s="18" t="s">
        <v>17620</v>
      </c>
      <c r="D2082" s="5" t="str">
        <f ca="1">IFERROR(__xludf.DUMMYFUNCTION("GOOGLETRANSLATE(B2082,""ja"",""vi"")"),"yukata")</f>
        <v>yukata</v>
      </c>
      <c r="E2082" s="5" t="str">
        <f ca="1">IFERROR(__xludf.DUMMYFUNCTION("GOOGLETRANSLATE(C2082,""ja"",""vi"")"),"Đấu giá&gt; Thời trang&gt; Kids, em bé thời trang&gt; quần áo trẻ em (cho con gái)&gt; yukata")</f>
        <v>Đấu giá&gt; Thời trang&gt; Kids, em bé thời trang&gt; quần áo trẻ em (cho con gái)&gt; yukata</v>
      </c>
      <c r="F2082" t="str">
        <f t="shared" ca="1" si="32"/>
        <v>"2084051669" : "yukata",</v>
      </c>
    </row>
    <row r="2083" spans="1:6" ht="15.75" customHeight="1">
      <c r="A2083" s="18">
        <v>2084051670</v>
      </c>
      <c r="B2083" s="18" t="s">
        <v>17622</v>
      </c>
      <c r="C2083" s="18" t="s">
        <v>17623</v>
      </c>
      <c r="D2083" s="5" t="str">
        <f ca="1">IFERROR(__xludf.DUMMYFUNCTION("GOOGLETRANSLATE(B2083,""ja"",""vi"")"),"Jinbei")</f>
        <v>Jinbei</v>
      </c>
      <c r="E2083" s="5" t="str">
        <f ca="1">IFERROR(__xludf.DUMMYFUNCTION("GOOGLETRANSLATE(C2083,""ja"",""vi"")"),"Đấu giá&gt; Thời trang&gt; Kids, em bé thời trang&gt; quần áo trẻ em (cho con gái)&gt; Jinbei")</f>
        <v>Đấu giá&gt; Thời trang&gt; Kids, em bé thời trang&gt; quần áo trẻ em (cho con gái)&gt; Jinbei</v>
      </c>
      <c r="F2083" t="str">
        <f t="shared" ca="1" si="32"/>
        <v>"2084051670" : "Jinbei",</v>
      </c>
    </row>
    <row r="2084" spans="1:6" ht="15.75" customHeight="1">
      <c r="A2084" s="18">
        <v>2084006428</v>
      </c>
      <c r="B2084" s="18" t="s">
        <v>17624</v>
      </c>
      <c r="C2084" s="18" t="s">
        <v>17625</v>
      </c>
      <c r="D2084" s="5" t="str">
        <f ca="1">IFERROR(__xludf.DUMMYFUNCTION("GOOGLETRANSLATE(B2084,""ja"",""vi"")"),"Phụ kiện thời trang")</f>
        <v>Phụ kiện thời trang</v>
      </c>
      <c r="E2084" s="5" t="str">
        <f ca="1">IFERROR(__xludf.DUMMYFUNCTION("GOOGLETRANSLATE(C2084,""ja"",""vi"")"),"Đấu giá&gt; Thời trang&gt; Kids, em bé thời trang&gt; quần áo trẻ em (cho con gái)&gt; Phụ kiện thời trang")</f>
        <v>Đấu giá&gt; Thời trang&gt; Kids, em bé thời trang&gt; quần áo trẻ em (cho con gái)&gt; Phụ kiện thời trang</v>
      </c>
      <c r="F2084" t="str">
        <f t="shared" ca="1" si="32"/>
        <v>"2084006428" : "Phụ kiện thời trang",</v>
      </c>
    </row>
    <row r="2085" spans="1:6" ht="15.75" customHeight="1">
      <c r="A2085" s="18">
        <v>2084006383</v>
      </c>
      <c r="B2085" s="18" t="s">
        <v>7493</v>
      </c>
      <c r="C2085" s="18" t="s">
        <v>17626</v>
      </c>
      <c r="D2085" s="5" t="str">
        <f ca="1">IFERROR(__xludf.DUMMYFUNCTION("GOOGLETRANSLATE(B2085,""ja"",""vi"")"),"đôi giày")</f>
        <v>đôi giày</v>
      </c>
      <c r="E2085" s="5" t="str">
        <f ca="1">IFERROR(__xludf.DUMMYFUNCTION("GOOGLETRANSLATE(C2085,""ja"",""vi"")"),"Đấu giá&gt; Thời trang&gt; Kids, em bé thời trang&gt; quần áo trẻ em (cho con gái)&gt; Giày dép")</f>
        <v>Đấu giá&gt; Thời trang&gt; Kids, em bé thời trang&gt; quần áo trẻ em (cho con gái)&gt; Giày dép</v>
      </c>
      <c r="F2085" t="str">
        <f t="shared" ca="1" si="32"/>
        <v>"2084006383" : "đôi giày",</v>
      </c>
    </row>
    <row r="2086" spans="1:6" ht="15.75" customHeight="1">
      <c r="A2086" s="18">
        <v>2084051831</v>
      </c>
      <c r="B2086" s="18" t="s">
        <v>17627</v>
      </c>
      <c r="C2086" s="18" t="s">
        <v>17628</v>
      </c>
      <c r="D2086" s="5" t="str">
        <f ca="1">IFERROR(__xludf.DUMMYFUNCTION("GOOGLETRANSLATE(B2086,""ja"",""vi"")"),"áo bơi liền mảnh")</f>
        <v>áo bơi liền mảnh</v>
      </c>
      <c r="E2086" s="5" t="str">
        <f ca="1">IFERROR(__xludf.DUMMYFUNCTION("GOOGLETRANSLATE(C2086,""ja"",""vi"")"),"Đấu giá&gt; Thời trang&gt; Kids, em bé thời trang&gt; quần áo trẻ em (cho con gái)&gt; áo tắm")</f>
        <v>Đấu giá&gt; Thời trang&gt; Kids, em bé thời trang&gt; quần áo trẻ em (cho con gái)&gt; áo tắm</v>
      </c>
      <c r="F2086" t="str">
        <f t="shared" ca="1" si="32"/>
        <v>"2084051831" : "áo bơi liền mảnh",</v>
      </c>
    </row>
    <row r="2087" spans="1:6" ht="15.75" customHeight="1">
      <c r="A2087" s="18">
        <v>2084240603</v>
      </c>
      <c r="B2087" s="18" t="s">
        <v>7989</v>
      </c>
      <c r="C2087" s="18" t="s">
        <v>17629</v>
      </c>
      <c r="D2087" s="5" t="str">
        <f ca="1">IFERROR(__xludf.DUMMYFUNCTION("GOOGLETRANSLATE(B2087,""ja"",""vi"")"),"làm bằng tay")</f>
        <v>làm bằng tay</v>
      </c>
      <c r="E2087" s="5" t="str">
        <f ca="1">IFERROR(__xludf.DUMMYFUNCTION("GOOGLETRANSLATE(C2087,""ja"",""vi"")"),"Đấu giá&gt; Thời trang&gt; Kids, em bé thời trang&gt; quần áo trẻ em (cho con gái)&gt; handmade")</f>
        <v>Đấu giá&gt; Thời trang&gt; Kids, em bé thời trang&gt; quần áo trẻ em (cho con gái)&gt; handmade</v>
      </c>
      <c r="F2087" t="str">
        <f t="shared" ca="1" si="32"/>
        <v>"2084240603" : "làm bằng tay",</v>
      </c>
    </row>
    <row r="2088" spans="1:6" ht="15.75" customHeight="1">
      <c r="A2088" s="18">
        <v>2084006476</v>
      </c>
      <c r="B2088" s="18" t="s">
        <v>1685</v>
      </c>
      <c r="C2088" s="18" t="s">
        <v>17630</v>
      </c>
      <c r="D2088" s="5" t="str">
        <f ca="1">IFERROR(__xludf.DUMMYFUNCTION("GOOGLETRANSLATE(B2088,""ja"",""vi"")"),"phụ kiện")</f>
        <v>phụ kiện</v>
      </c>
      <c r="E2088" s="5" t="str">
        <f ca="1">IFERROR(__xludf.DUMMYFUNCTION("GOOGLETRANSLATE(C2088,""ja"",""vi"")"),"Đấu giá&gt; Thời trang&gt; Kids, em bé thời trang&gt; quần áo trẻ em (cho con gái)&gt; Accessories")</f>
        <v>Đấu giá&gt; Thời trang&gt; Kids, em bé thời trang&gt; quần áo trẻ em (cho con gái)&gt; Accessories</v>
      </c>
      <c r="F2088" t="str">
        <f t="shared" ca="1" si="32"/>
        <v>"2084006476" : "phụ kiện",</v>
      </c>
    </row>
    <row r="2089" spans="1:6" ht="15.75" customHeight="1">
      <c r="A2089" s="18">
        <v>2084051664</v>
      </c>
      <c r="B2089" s="18" t="s">
        <v>46</v>
      </c>
      <c r="C2089" s="18" t="s">
        <v>17631</v>
      </c>
      <c r="D2089" s="5" t="str">
        <f ca="1">IFERROR(__xludf.DUMMYFUNCTION("GOOGLETRANSLATE(B2089,""ja"",""vi"")"),"nếu không thì")</f>
        <v>nếu không thì</v>
      </c>
      <c r="E2089" s="5" t="str">
        <f ca="1">IFERROR(__xludf.DUMMYFUNCTION("GOOGLETRANSLATE(C2089,""ja"",""vi"")"),"Đấu giá&gt; Thời trang&gt; Kids, em bé thời trang&gt; quần áo trẻ em (cho con gái)&gt; Khác")</f>
        <v>Đấu giá&gt; Thời trang&gt; Kids, em bé thời trang&gt; quần áo trẻ em (cho con gái)&gt; Khác</v>
      </c>
      <c r="F2089" t="str">
        <f t="shared" ca="1" si="32"/>
        <v>"2084051664" : "nếu không thì",</v>
      </c>
    </row>
    <row r="2090" spans="1:6" ht="15.75" customHeight="1">
      <c r="A2090" s="18">
        <v>2084313343</v>
      </c>
      <c r="B2090" s="18" t="s">
        <v>6465</v>
      </c>
      <c r="C2090" s="18" t="s">
        <v>17632</v>
      </c>
      <c r="D2090" s="5" t="str">
        <f ca="1">IFERROR(__xludf.DUMMYFUNCTION("GOOGLETRANSLATE(B2090,""ja"",""vi"")"),"Thiết lập, Lots Bán buôn")</f>
        <v>Thiết lập, Lots Bán buôn</v>
      </c>
      <c r="E2090" s="5" t="str">
        <f ca="1">IFERROR(__xludf.DUMMYFUNCTION("GOOGLETRANSLATE(C2090,""ja"",""vi"")"),"Đấu giá&gt; Thời trang&gt; Kids, em bé thời trang&gt; quần áo trẻ em (đối với cậu bé)&gt; set, Lots Bán buôn")</f>
        <v>Đấu giá&gt; Thời trang&gt; Kids, em bé thời trang&gt; quần áo trẻ em (đối với cậu bé)&gt; set, Lots Bán buôn</v>
      </c>
      <c r="F2090" t="str">
        <f t="shared" ca="1" si="32"/>
        <v>"2084313343" : "Thiết lập, Lots Bán buôn",</v>
      </c>
    </row>
    <row r="2091" spans="1:6" ht="15.75" customHeight="1">
      <c r="A2091" s="18">
        <v>2084006517</v>
      </c>
      <c r="B2091" s="18" t="s">
        <v>11217</v>
      </c>
      <c r="C2091" s="18" t="s">
        <v>17633</v>
      </c>
      <c r="D2091" s="5" t="str">
        <f ca="1">IFERROR(__xludf.DUMMYFUNCTION("GOOGLETRANSLATE(B2091,""ja"",""vi"")"),"áo")</f>
        <v>áo</v>
      </c>
      <c r="E2091" s="5" t="str">
        <f ca="1">IFERROR(__xludf.DUMMYFUNCTION("GOOGLETRANSLATE(C2091,""ja"",""vi"")"),"Đấu giá&gt; Thời trang&gt; Kids, em bé thời trang&gt; quần áo trẻ em (đối với cậu bé)&gt; áo")</f>
        <v>Đấu giá&gt; Thời trang&gt; Kids, em bé thời trang&gt; quần áo trẻ em (đối với cậu bé)&gt; áo</v>
      </c>
      <c r="F2091" t="str">
        <f t="shared" ca="1" si="32"/>
        <v>"2084006517" : "áo",</v>
      </c>
    </row>
    <row r="2092" spans="1:6" ht="15.75" customHeight="1">
      <c r="A2092" s="18">
        <v>2084006503</v>
      </c>
      <c r="B2092" s="18" t="s">
        <v>11223</v>
      </c>
      <c r="C2092" s="18" t="s">
        <v>17634</v>
      </c>
      <c r="D2092" s="5" t="str">
        <f ca="1">IFERROR(__xludf.DUMMYFUNCTION("GOOGLETRANSLATE(B2092,""ja"",""vi"")"),"Áo khoác, áo khoác")</f>
        <v>Áo khoác, áo khoác</v>
      </c>
      <c r="E2092" s="5" t="str">
        <f ca="1">IFERROR(__xludf.DUMMYFUNCTION("GOOGLETRANSLATE(C2092,""ja"",""vi"")"),"Đấu giá&gt; Thời trang&gt; Kids, em bé thời trang&gt; quần áo trẻ em (đối với cậu bé)&gt; áo khoác, áo khoác")</f>
        <v>Đấu giá&gt; Thời trang&gt; Kids, em bé thời trang&gt; quần áo trẻ em (đối với cậu bé)&gt; áo khoác, áo khoác</v>
      </c>
      <c r="F2092" t="str">
        <f t="shared" ca="1" si="32"/>
        <v>"2084006503" : "Áo khoác, áo khoác",</v>
      </c>
    </row>
    <row r="2093" spans="1:6" ht="15.75" customHeight="1">
      <c r="A2093" s="18">
        <v>2084006555</v>
      </c>
      <c r="B2093" s="18" t="s">
        <v>17595</v>
      </c>
      <c r="C2093" s="18" t="s">
        <v>17635</v>
      </c>
      <c r="D2093" s="5" t="str">
        <f ca="1">IFERROR(__xludf.DUMMYFUNCTION("GOOGLETRANSLATE(B2093,""ja"",""vi"")"),"áo sơ mi của đàn bà")</f>
        <v>áo sơ mi của đàn bà</v>
      </c>
      <c r="E2093" s="5" t="str">
        <f ca="1">IFERROR(__xludf.DUMMYFUNCTION("GOOGLETRANSLATE(C2093,""ja"",""vi"")"),"Đấu giá&gt; Thời trang&gt; Kids, em bé thời trang&gt; quần áo trẻ em (đối với cậu bé)&gt; áo khoác")</f>
        <v>Đấu giá&gt; Thời trang&gt; Kids, em bé thời trang&gt; quần áo trẻ em (đối với cậu bé)&gt; áo khoác</v>
      </c>
      <c r="F2093" t="str">
        <f t="shared" ca="1" si="32"/>
        <v>"2084006555" : "áo sơ mi của đàn bà",</v>
      </c>
    </row>
    <row r="2094" spans="1:6" ht="15.75" customHeight="1">
      <c r="A2094" s="18">
        <v>2084052960</v>
      </c>
      <c r="B2094" s="18" t="s">
        <v>17600</v>
      </c>
      <c r="C2094" s="18" t="s">
        <v>17636</v>
      </c>
      <c r="D2094" s="5" t="str">
        <f ca="1">IFERROR(__xludf.DUMMYFUNCTION("GOOGLETRANSLATE(B2094,""ja"",""vi"")"),"thiết lập")</f>
        <v>thiết lập</v>
      </c>
      <c r="E2094" s="5" t="str">
        <f ca="1">IFERROR(__xludf.DUMMYFUNCTION("GOOGLETRANSLATE(C2094,""ja"",""vi"")"),"Đấu giá&gt; Thời trang&gt; Kids, em bé thời trang&gt; quần áo trẻ em (đối với cậu bé)&gt; thiết lập")</f>
        <v>Đấu giá&gt; Thời trang&gt; Kids, em bé thời trang&gt; quần áo trẻ em (đối với cậu bé)&gt; thiết lập</v>
      </c>
      <c r="F2094" t="str">
        <f t="shared" ca="1" si="32"/>
        <v>"2084052960" : "thiết lập",</v>
      </c>
    </row>
    <row r="2095" spans="1:6" ht="15.75" customHeight="1">
      <c r="A2095" s="18">
        <v>2084006594</v>
      </c>
      <c r="B2095" s="18" t="s">
        <v>11235</v>
      </c>
      <c r="C2095" s="18" t="s">
        <v>17637</v>
      </c>
      <c r="D2095" s="5" t="str">
        <f ca="1">IFERROR(__xludf.DUMMYFUNCTION("GOOGLETRANSLATE(B2095,""ja"",""vi"")"),"tops")</f>
        <v>tops</v>
      </c>
      <c r="E2095" s="5" t="str">
        <f ca="1">IFERROR(__xludf.DUMMYFUNCTION("GOOGLETRANSLATE(C2095,""ja"",""vi"")"),"Đấu giá&gt; Thời trang&gt; Kids, em bé thời trang&gt; quần áo trẻ em (đối với cậu bé)&gt; ngọn")</f>
        <v>Đấu giá&gt; Thời trang&gt; Kids, em bé thời trang&gt; quần áo trẻ em (đối với cậu bé)&gt; ngọn</v>
      </c>
      <c r="F2095" t="str">
        <f t="shared" ca="1" si="32"/>
        <v>"2084006594" : "tops",</v>
      </c>
    </row>
    <row r="2096" spans="1:6" ht="15.75" customHeight="1">
      <c r="A2096" s="18">
        <v>2084006585</v>
      </c>
      <c r="B2096" s="18" t="s">
        <v>13968</v>
      </c>
      <c r="C2096" s="18" t="s">
        <v>17639</v>
      </c>
      <c r="D2096" s="5" t="str">
        <f ca="1">IFERROR(__xludf.DUMMYFUNCTION("GOOGLETRANSLATE(B2096,""ja"",""vi"")"),"áo ngủ")</f>
        <v>áo ngủ</v>
      </c>
      <c r="E2096" s="5" t="str">
        <f ca="1">IFERROR(__xludf.DUMMYFUNCTION("GOOGLETRANSLATE(C2096,""ja"",""vi"")"),"Đấu giá&gt; Thời trang&gt; Kids, em bé thời trang&gt; quần áo trẻ em (đối với cậu bé)&gt; đồ ngủ")</f>
        <v>Đấu giá&gt; Thời trang&gt; Kids, em bé thời trang&gt; quần áo trẻ em (đối với cậu bé)&gt; đồ ngủ</v>
      </c>
      <c r="F2096" t="str">
        <f t="shared" ca="1" si="32"/>
        <v>"2084006585" : "áo ngủ",</v>
      </c>
    </row>
    <row r="2097" spans="1:6" ht="15.75" customHeight="1">
      <c r="A2097" s="18">
        <v>2084006418</v>
      </c>
      <c r="B2097" s="18" t="s">
        <v>17624</v>
      </c>
      <c r="C2097" s="18" t="s">
        <v>17641</v>
      </c>
      <c r="D2097" s="5" t="str">
        <f ca="1">IFERROR(__xludf.DUMMYFUNCTION("GOOGLETRANSLATE(B2097,""ja"",""vi"")"),"Phụ kiện thời trang")</f>
        <v>Phụ kiện thời trang</v>
      </c>
      <c r="E2097" s="5" t="str">
        <f ca="1">IFERROR(__xludf.DUMMYFUNCTION("GOOGLETRANSLATE(C2097,""ja"",""vi"")"),"Đấu giá&gt; Thời trang&gt; Kids, em bé thời trang&gt; quần áo trẻ em (đối với cậu bé)&gt; Phụ kiện thời trang")</f>
        <v>Đấu giá&gt; Thời trang&gt; Kids, em bé thời trang&gt; quần áo trẻ em (đối với cậu bé)&gt; Phụ kiện thời trang</v>
      </c>
      <c r="F2097" t="str">
        <f t="shared" ca="1" si="32"/>
        <v>"2084006418" : "Phụ kiện thời trang",</v>
      </c>
    </row>
    <row r="2098" spans="1:6" ht="15.75" customHeight="1">
      <c r="A2098" s="18">
        <v>2084006541</v>
      </c>
      <c r="B2098" s="18" t="s">
        <v>13613</v>
      </c>
      <c r="C2098" s="18" t="s">
        <v>17642</v>
      </c>
      <c r="D2098" s="5" t="str">
        <f ca="1">IFERROR(__xludf.DUMMYFUNCTION("GOOGLETRANSLATE(B2098,""ja"",""vi"")"),"chính thức")</f>
        <v>chính thức</v>
      </c>
      <c r="E2098" s="5" t="str">
        <f ca="1">IFERROR(__xludf.DUMMYFUNCTION("GOOGLETRANSLATE(C2098,""ja"",""vi"")"),"Đấu giá&gt; Thời trang&gt; Kids, em bé thời trang&gt; quần áo trẻ em (đối với cậu bé)&gt; chính thức")</f>
        <v>Đấu giá&gt; Thời trang&gt; Kids, em bé thời trang&gt; quần áo trẻ em (đối với cậu bé)&gt; chính thức</v>
      </c>
      <c r="F2098" t="str">
        <f t="shared" ca="1" si="32"/>
        <v>"2084006541" : "chính thức",</v>
      </c>
    </row>
    <row r="2099" spans="1:6" ht="15.75" customHeight="1">
      <c r="A2099" s="18">
        <v>2084006561</v>
      </c>
      <c r="B2099" s="18" t="s">
        <v>11242</v>
      </c>
      <c r="C2099" s="18" t="s">
        <v>17644</v>
      </c>
      <c r="D2099" s="5" t="str">
        <f ca="1">IFERROR(__xludf.DUMMYFUNCTION("GOOGLETRANSLATE(B2099,""ja"",""vi"")"),"đáy")</f>
        <v>đáy</v>
      </c>
      <c r="E2099" s="5" t="str">
        <f ca="1">IFERROR(__xludf.DUMMYFUNCTION("GOOGLETRANSLATE(C2099,""ja"",""vi"")"),"Đấu giá&gt; Thời trang&gt; Kids, em bé thời trang&gt; quần áo trẻ em (đối với cậu bé)&gt; Bottoms")</f>
        <v>Đấu giá&gt; Thời trang&gt; Kids, em bé thời trang&gt; quần áo trẻ em (đối với cậu bé)&gt; Bottoms</v>
      </c>
      <c r="F2099" t="str">
        <f t="shared" ca="1" si="32"/>
        <v>"2084006561" : "đáy",</v>
      </c>
    </row>
    <row r="2100" spans="1:6" ht="15.75" customHeight="1">
      <c r="A2100" s="18">
        <v>2084006552</v>
      </c>
      <c r="B2100" s="18" t="s">
        <v>13764</v>
      </c>
      <c r="C2100" s="18" t="s">
        <v>17647</v>
      </c>
      <c r="D2100" s="5" t="str">
        <f ca="1">IFERROR(__xludf.DUMMYFUNCTION("GOOGLETRANSLATE(B2100,""ja"",""vi"")"),"quần áo trẻ con")</f>
        <v>quần áo trẻ con</v>
      </c>
      <c r="E2100" s="5" t="str">
        <f ca="1">IFERROR(__xludf.DUMMYFUNCTION("GOOGLETRANSLATE(C2100,""ja"",""vi"")"),"Đấu giá&gt; Thời trang&gt; Kids, em bé thời trang&gt; quần áo trẻ em (đối với cậu bé)&gt; rompers")</f>
        <v>Đấu giá&gt; Thời trang&gt; Kids, em bé thời trang&gt; quần áo trẻ em (đối với cậu bé)&gt; rompers</v>
      </c>
      <c r="F2100" t="str">
        <f t="shared" ca="1" si="32"/>
        <v>"2084006552" : "quần áo trẻ con",</v>
      </c>
    </row>
    <row r="2101" spans="1:6" ht="15.75" customHeight="1">
      <c r="A2101" s="18">
        <v>2084006543</v>
      </c>
      <c r="B2101" s="18" t="s">
        <v>14997</v>
      </c>
      <c r="C2101" s="18" t="s">
        <v>17649</v>
      </c>
      <c r="D2101" s="5" t="str">
        <f ca="1">IFERROR(__xludf.DUMMYFUNCTION("GOOGLETRANSLATE(B2101,""ja"",""vi"")"),"quần áo Nhật Bản")</f>
        <v>quần áo Nhật Bản</v>
      </c>
      <c r="E2101" s="5" t="str">
        <f ca="1">IFERROR(__xludf.DUMMYFUNCTION("GOOGLETRANSLATE(C2101,""ja"",""vi"")"),"Đấu giá&gt; Thời trang&gt; Kids, em bé thời trang&gt; quần áo trẻ em (đối với cậu bé)&gt; kimono")</f>
        <v>Đấu giá&gt; Thời trang&gt; Kids, em bé thời trang&gt; quần áo trẻ em (đối với cậu bé)&gt; kimono</v>
      </c>
      <c r="F2101" t="str">
        <f t="shared" ca="1" si="32"/>
        <v>"2084006543" : "quần áo Nhật Bản",</v>
      </c>
    </row>
    <row r="2102" spans="1:6" ht="15.75" customHeight="1">
      <c r="A2102" s="18">
        <v>2084051667</v>
      </c>
      <c r="B2102" s="18" t="s">
        <v>17619</v>
      </c>
      <c r="C2102" s="18" t="s">
        <v>17651</v>
      </c>
      <c r="D2102" s="5" t="str">
        <f ca="1">IFERROR(__xludf.DUMMYFUNCTION("GOOGLETRANSLATE(B2102,""ja"",""vi"")"),"yukata")</f>
        <v>yukata</v>
      </c>
      <c r="E2102" s="5" t="str">
        <f ca="1">IFERROR(__xludf.DUMMYFUNCTION("GOOGLETRANSLATE(C2102,""ja"",""vi"")"),"Đấu giá&gt; Thời trang&gt; Kids, em bé thời trang&gt; quần áo trẻ em (đối với cậu bé)&gt; yukata")</f>
        <v>Đấu giá&gt; Thời trang&gt; Kids, em bé thời trang&gt; quần áo trẻ em (đối với cậu bé)&gt; yukata</v>
      </c>
      <c r="F2102" t="str">
        <f t="shared" ca="1" si="32"/>
        <v>"2084051667" : "yukata",</v>
      </c>
    </row>
    <row r="2103" spans="1:6" ht="15.75" customHeight="1">
      <c r="A2103" s="18">
        <v>2084051668</v>
      </c>
      <c r="B2103" s="18" t="s">
        <v>17622</v>
      </c>
      <c r="C2103" s="18" t="s">
        <v>17654</v>
      </c>
      <c r="D2103" s="5" t="str">
        <f ca="1">IFERROR(__xludf.DUMMYFUNCTION("GOOGLETRANSLATE(B2103,""ja"",""vi"")"),"Jinbei")</f>
        <v>Jinbei</v>
      </c>
      <c r="E2103" s="5" t="str">
        <f ca="1">IFERROR(__xludf.DUMMYFUNCTION("GOOGLETRANSLATE(C2103,""ja"",""vi"")"),"Đấu giá&gt; Thời trang&gt; Kids, em bé thời trang&gt; quần áo trẻ em (đối với cậu bé)&gt; Jinbei")</f>
        <v>Đấu giá&gt; Thời trang&gt; Kids, em bé thời trang&gt; quần áo trẻ em (đối với cậu bé)&gt; Jinbei</v>
      </c>
      <c r="F2103" t="str">
        <f t="shared" ca="1" si="32"/>
        <v>"2084051668" : "Jinbei",</v>
      </c>
    </row>
    <row r="2104" spans="1:6" ht="15.75" customHeight="1">
      <c r="A2104" s="18">
        <v>2084052846</v>
      </c>
      <c r="B2104" s="18" t="s">
        <v>13562</v>
      </c>
      <c r="C2104" s="18" t="s">
        <v>17657</v>
      </c>
      <c r="D2104" s="5" t="str">
        <f ca="1">IFERROR(__xludf.DUMMYFUNCTION("GOOGLETRANSLATE(B2104,""ja"",""vi"")"),"tie")</f>
        <v>tie</v>
      </c>
      <c r="E2104" s="5" t="str">
        <f ca="1">IFERROR(__xludf.DUMMYFUNCTION("GOOGLETRANSLATE(C2104,""ja"",""vi"")"),"Đấu giá&gt; Thời trang&gt; Kids, em bé thời trang&gt; quần áo trẻ em (đối với cậu bé)&gt; tie")</f>
        <v>Đấu giá&gt; Thời trang&gt; Kids, em bé thời trang&gt; quần áo trẻ em (đối với cậu bé)&gt; tie</v>
      </c>
      <c r="F2104" t="str">
        <f t="shared" ca="1" si="32"/>
        <v>"2084052846" : "tie",</v>
      </c>
    </row>
    <row r="2105" spans="1:6" ht="15.75" customHeight="1">
      <c r="A2105" s="18">
        <v>2084006589</v>
      </c>
      <c r="B2105" s="18" t="s">
        <v>11248</v>
      </c>
      <c r="C2105" s="18" t="s">
        <v>17659</v>
      </c>
      <c r="D2105" s="5" t="str">
        <f ca="1">IFERROR(__xludf.DUMMYFUNCTION("GOOGLETRANSLATE(B2105,""ja"",""vi"")"),"Mang nội")</f>
        <v>Mang nội</v>
      </c>
      <c r="E2105" s="5" t="str">
        <f ca="1">IFERROR(__xludf.DUMMYFUNCTION("GOOGLETRANSLATE(C2105,""ja"",""vi"")"),"Đấu giá&gt; Thời trang&gt; Kids, em bé thời trang&gt; quần áo trẻ em (đối với cậu bé)&gt; Mang Nội")</f>
        <v>Đấu giá&gt; Thời trang&gt; Kids, em bé thời trang&gt; quần áo trẻ em (đối với cậu bé)&gt; Mang Nội</v>
      </c>
      <c r="F2105" t="str">
        <f t="shared" ca="1" si="32"/>
        <v>"2084006589" : "Mang nội",</v>
      </c>
    </row>
    <row r="2106" spans="1:6" ht="15.75" customHeight="1">
      <c r="A2106" s="18">
        <v>2084006382</v>
      </c>
      <c r="B2106" s="18" t="s">
        <v>7493</v>
      </c>
      <c r="C2106" s="18" t="s">
        <v>17662</v>
      </c>
      <c r="D2106" s="5" t="str">
        <f ca="1">IFERROR(__xludf.DUMMYFUNCTION("GOOGLETRANSLATE(B2106,""ja"",""vi"")"),"đôi giày")</f>
        <v>đôi giày</v>
      </c>
      <c r="E2106" s="5" t="str">
        <f ca="1">IFERROR(__xludf.DUMMYFUNCTION("GOOGLETRANSLATE(C2106,""ja"",""vi"")"),"Đấu giá&gt; Thời trang&gt; Kids, em bé thời trang&gt; quần áo trẻ em (đối với cậu bé)&gt; Giày dép")</f>
        <v>Đấu giá&gt; Thời trang&gt; Kids, em bé thời trang&gt; quần áo trẻ em (đối với cậu bé)&gt; Giày dép</v>
      </c>
      <c r="F2106" t="str">
        <f t="shared" ca="1" si="32"/>
        <v>"2084006382" : "đôi giày",</v>
      </c>
    </row>
    <row r="2107" spans="1:6" ht="15.75" customHeight="1">
      <c r="A2107" s="18">
        <v>2084051830</v>
      </c>
      <c r="B2107" s="18" t="s">
        <v>17627</v>
      </c>
      <c r="C2107" s="18" t="s">
        <v>17664</v>
      </c>
      <c r="D2107" s="5" t="str">
        <f ca="1">IFERROR(__xludf.DUMMYFUNCTION("GOOGLETRANSLATE(B2107,""ja"",""vi"")"),"áo bơi liền mảnh")</f>
        <v>áo bơi liền mảnh</v>
      </c>
      <c r="E2107" s="5" t="str">
        <f ca="1">IFERROR(__xludf.DUMMYFUNCTION("GOOGLETRANSLATE(C2107,""ja"",""vi"")"),"Đấu giá&gt; Thời trang&gt; Kids, em bé thời trang&gt; quần áo trẻ em (đối với cậu bé)&gt; áo tắm")</f>
        <v>Đấu giá&gt; Thời trang&gt; Kids, em bé thời trang&gt; quần áo trẻ em (đối với cậu bé)&gt; áo tắm</v>
      </c>
      <c r="F2107" t="str">
        <f t="shared" ca="1" si="32"/>
        <v>"2084051830" : "áo bơi liền mảnh",</v>
      </c>
    </row>
    <row r="2108" spans="1:6" ht="15.75" customHeight="1">
      <c r="A2108" s="18">
        <v>2084240603</v>
      </c>
      <c r="B2108" s="18" t="s">
        <v>7989</v>
      </c>
      <c r="C2108" s="18" t="s">
        <v>17667</v>
      </c>
      <c r="D2108" s="5" t="str">
        <f ca="1">IFERROR(__xludf.DUMMYFUNCTION("GOOGLETRANSLATE(B2108,""ja"",""vi"")"),"làm bằng tay")</f>
        <v>làm bằng tay</v>
      </c>
      <c r="E2108" s="5" t="str">
        <f ca="1">IFERROR(__xludf.DUMMYFUNCTION("GOOGLETRANSLATE(C2108,""ja"",""vi"")"),"Đấu giá&gt; Thời trang&gt; Kids, em bé thời trang&gt; quần áo trẻ em (đối với cậu bé)&gt; handmade")</f>
        <v>Đấu giá&gt; Thời trang&gt; Kids, em bé thời trang&gt; quần áo trẻ em (đối với cậu bé)&gt; handmade</v>
      </c>
      <c r="F2108" t="str">
        <f t="shared" ca="1" si="32"/>
        <v>"2084240603" : "làm bằng tay",</v>
      </c>
    </row>
    <row r="2109" spans="1:6" ht="15.75" customHeight="1">
      <c r="A2109" s="18">
        <v>2084051663</v>
      </c>
      <c r="B2109" s="18" t="s">
        <v>46</v>
      </c>
      <c r="C2109" s="18" t="s">
        <v>17669</v>
      </c>
      <c r="D2109" s="5" t="str">
        <f ca="1">IFERROR(__xludf.DUMMYFUNCTION("GOOGLETRANSLATE(B2109,""ja"",""vi"")"),"nếu không thì")</f>
        <v>nếu không thì</v>
      </c>
      <c r="E2109" s="5" t="str">
        <f ca="1">IFERROR(__xludf.DUMMYFUNCTION("GOOGLETRANSLATE(C2109,""ja"",""vi"")"),"Đấu giá&gt; Thời trang&gt; Kids, em bé thời trang&gt; quần áo trẻ em (đối với cậu bé)&gt; Khác")</f>
        <v>Đấu giá&gt; Thời trang&gt; Kids, em bé thời trang&gt; quần áo trẻ em (đối với cậu bé)&gt; Khác</v>
      </c>
      <c r="F2109" t="str">
        <f t="shared" ca="1" si="32"/>
        <v>"2084051663" : "nếu không thì",</v>
      </c>
    </row>
    <row r="2110" spans="1:6" ht="15.75" customHeight="1">
      <c r="A2110" s="18">
        <v>2084313344</v>
      </c>
      <c r="B2110" s="18" t="s">
        <v>6465</v>
      </c>
      <c r="C2110" s="18" t="s">
        <v>17671</v>
      </c>
      <c r="D2110" s="5" t="str">
        <f ca="1">IFERROR(__xludf.DUMMYFUNCTION("GOOGLETRANSLATE(B2110,""ja"",""vi"")"),"Thiết lập, Lots Bán buôn")</f>
        <v>Thiết lập, Lots Bán buôn</v>
      </c>
      <c r="E2110" s="5" t="str">
        <f ca="1">IFERROR(__xludf.DUMMYFUNCTION("GOOGLETRANSLATE(C2110,""ja"",""vi"")"),"Đấu giá&gt; Thời trang&gt; Kids, em bé thời trang&gt; quần áo trẻ em (unisex)&gt; set, Lots Bán buôn")</f>
        <v>Đấu giá&gt; Thời trang&gt; Kids, em bé thời trang&gt; quần áo trẻ em (unisex)&gt; set, Lots Bán buôn</v>
      </c>
      <c r="F2110" t="str">
        <f t="shared" ca="1" si="32"/>
        <v>"2084313344" : "Thiết lập, Lots Bán buôn",</v>
      </c>
    </row>
    <row r="2111" spans="1:6" ht="15.75" customHeight="1">
      <c r="A2111" s="18">
        <v>2084053275</v>
      </c>
      <c r="B2111" s="18" t="s">
        <v>11217</v>
      </c>
      <c r="C2111" s="18" t="s">
        <v>17673</v>
      </c>
      <c r="D2111" s="5" t="str">
        <f ca="1">IFERROR(__xludf.DUMMYFUNCTION("GOOGLETRANSLATE(B2111,""ja"",""vi"")"),"áo")</f>
        <v>áo</v>
      </c>
      <c r="E2111" s="5" t="str">
        <f ca="1">IFERROR(__xludf.DUMMYFUNCTION("GOOGLETRANSLATE(C2111,""ja"",""vi"")"),"Đấu giá&gt; Thời trang&gt; Kids, em bé thời trang&gt; quần áo trẻ em (unisex)&gt; áo")</f>
        <v>Đấu giá&gt; Thời trang&gt; Kids, em bé thời trang&gt; quần áo trẻ em (unisex)&gt; áo</v>
      </c>
      <c r="F2111" t="str">
        <f t="shared" ca="1" si="32"/>
        <v>"2084053275" : "áo",</v>
      </c>
    </row>
    <row r="2112" spans="1:6" ht="15.75" customHeight="1">
      <c r="A2112" s="18">
        <v>2084053294</v>
      </c>
      <c r="B2112" s="18" t="s">
        <v>11223</v>
      </c>
      <c r="C2112" s="18" t="s">
        <v>17675</v>
      </c>
      <c r="D2112" s="5" t="str">
        <f ca="1">IFERROR(__xludf.DUMMYFUNCTION("GOOGLETRANSLATE(B2112,""ja"",""vi"")"),"Áo khoác, áo khoác")</f>
        <v>Áo khoác, áo khoác</v>
      </c>
      <c r="E2112" s="5" t="str">
        <f ca="1">IFERROR(__xludf.DUMMYFUNCTION("GOOGLETRANSLATE(C2112,""ja"",""vi"")"),"Đấu giá&gt; Thời trang&gt; Kids, em bé thời trang&gt; quần áo trẻ em (unisex)&gt; áo khoác, áo khoác")</f>
        <v>Đấu giá&gt; Thời trang&gt; Kids, em bé thời trang&gt; quần áo trẻ em (unisex)&gt; áo khoác, áo khoác</v>
      </c>
      <c r="F2112" t="str">
        <f t="shared" ca="1" si="32"/>
        <v>"2084053294" : "Áo khoác, áo khoác",</v>
      </c>
    </row>
    <row r="2113" spans="1:6" ht="15.75" customHeight="1">
      <c r="A2113" s="18">
        <v>2084053277</v>
      </c>
      <c r="B2113" s="18" t="s">
        <v>11235</v>
      </c>
      <c r="C2113" s="18" t="s">
        <v>17677</v>
      </c>
      <c r="D2113" s="5" t="str">
        <f ca="1">IFERROR(__xludf.DUMMYFUNCTION("GOOGLETRANSLATE(B2113,""ja"",""vi"")"),"tops")</f>
        <v>tops</v>
      </c>
      <c r="E2113" s="5" t="str">
        <f ca="1">IFERROR(__xludf.DUMMYFUNCTION("GOOGLETRANSLATE(C2113,""ja"",""vi"")"),"Đấu giá&gt; Thời trang&gt; Kids, em bé thời trang&gt; quần áo trẻ em (unisex)&gt; Tops")</f>
        <v>Đấu giá&gt; Thời trang&gt; Kids, em bé thời trang&gt; quần áo trẻ em (unisex)&gt; Tops</v>
      </c>
      <c r="F2113" t="str">
        <f t="shared" ca="1" si="32"/>
        <v>"2084053277" : "tops",</v>
      </c>
    </row>
    <row r="2114" spans="1:6" ht="15.75" customHeight="1">
      <c r="A2114" s="18">
        <v>2084053278</v>
      </c>
      <c r="B2114" s="18" t="s">
        <v>11242</v>
      </c>
      <c r="C2114" s="18" t="s">
        <v>17680</v>
      </c>
      <c r="D2114" s="5" t="str">
        <f ca="1">IFERROR(__xludf.DUMMYFUNCTION("GOOGLETRANSLATE(B2114,""ja"",""vi"")"),"đáy")</f>
        <v>đáy</v>
      </c>
      <c r="E2114" s="5" t="str">
        <f ca="1">IFERROR(__xludf.DUMMYFUNCTION("GOOGLETRANSLATE(C2114,""ja"",""vi"")"),"Đấu giá&gt; Thời trang&gt; Kids, em bé thời trang&gt; quần áo trẻ em (unisex)&gt; Bottoms")</f>
        <v>Đấu giá&gt; Thời trang&gt; Kids, em bé thời trang&gt; quần áo trẻ em (unisex)&gt; Bottoms</v>
      </c>
      <c r="F2114" t="str">
        <f t="shared" ref="F2114:F2177" ca="1" si="33">CONCATENATE(CHAR(34)&amp;"",A2114,""&amp;CHAR(34)," : ", CHAR(34)&amp;"",D2114,""&amp;CHAR(34),",")</f>
        <v>"2084053278" : "đáy",</v>
      </c>
    </row>
    <row r="2115" spans="1:6" ht="15.75" customHeight="1">
      <c r="A2115" s="18">
        <v>2084054683</v>
      </c>
      <c r="B2115" s="18" t="s">
        <v>17600</v>
      </c>
      <c r="C2115" s="18" t="s">
        <v>17682</v>
      </c>
      <c r="D2115" s="5" t="str">
        <f ca="1">IFERROR(__xludf.DUMMYFUNCTION("GOOGLETRANSLATE(B2115,""ja"",""vi"")"),"thiết lập")</f>
        <v>thiết lập</v>
      </c>
      <c r="E2115" s="5" t="str">
        <f ca="1">IFERROR(__xludf.DUMMYFUNCTION("GOOGLETRANSLATE(C2115,""ja"",""vi"")"),"Đấu giá&gt; Thời trang&gt; Kids, em bé thời trang&gt; quần áo trẻ em (unisex)&gt; thiết lập")</f>
        <v>Đấu giá&gt; Thời trang&gt; Kids, em bé thời trang&gt; quần áo trẻ em (unisex)&gt; thiết lập</v>
      </c>
      <c r="F2115" t="str">
        <f t="shared" ca="1" si="33"/>
        <v>"2084054683" : "thiết lập",</v>
      </c>
    </row>
    <row r="2116" spans="1:6" ht="15.75" customHeight="1">
      <c r="A2116" s="18">
        <v>2084053664</v>
      </c>
      <c r="B2116" s="18" t="s">
        <v>13968</v>
      </c>
      <c r="C2116" s="18" t="s">
        <v>17684</v>
      </c>
      <c r="D2116" s="5" t="str">
        <f ca="1">IFERROR(__xludf.DUMMYFUNCTION("GOOGLETRANSLATE(B2116,""ja"",""vi"")"),"áo ngủ")</f>
        <v>áo ngủ</v>
      </c>
      <c r="E2116" s="5" t="str">
        <f ca="1">IFERROR(__xludf.DUMMYFUNCTION("GOOGLETRANSLATE(C2116,""ja"",""vi"")"),"Đấu giá&gt; Thời trang&gt; Kids, em bé thời trang&gt; quần áo trẻ em (unisex)&gt; đồ ngủ")</f>
        <v>Đấu giá&gt; Thời trang&gt; Kids, em bé thời trang&gt; quần áo trẻ em (unisex)&gt; đồ ngủ</v>
      </c>
      <c r="F2116" t="str">
        <f t="shared" ca="1" si="33"/>
        <v>"2084053664" : "áo ngủ",</v>
      </c>
    </row>
    <row r="2117" spans="1:6" ht="15.75" customHeight="1">
      <c r="A2117" s="18">
        <v>2084240603</v>
      </c>
      <c r="B2117" s="18" t="s">
        <v>7989</v>
      </c>
      <c r="C2117" s="18" t="s">
        <v>17685</v>
      </c>
      <c r="D2117" s="5" t="str">
        <f ca="1">IFERROR(__xludf.DUMMYFUNCTION("GOOGLETRANSLATE(B2117,""ja"",""vi"")"),"làm bằng tay")</f>
        <v>làm bằng tay</v>
      </c>
      <c r="E2117" s="5" t="str">
        <f ca="1">IFERROR(__xludf.DUMMYFUNCTION("GOOGLETRANSLATE(C2117,""ja"",""vi"")"),"Đấu giá&gt; Thời trang&gt; Kids, em bé thời trang&gt; quần áo trẻ em (unisex)&gt; handmade")</f>
        <v>Đấu giá&gt; Thời trang&gt; Kids, em bé thời trang&gt; quần áo trẻ em (unisex)&gt; handmade</v>
      </c>
      <c r="F2117" t="str">
        <f t="shared" ca="1" si="33"/>
        <v>"2084240603" : "làm bằng tay",</v>
      </c>
    </row>
    <row r="2118" spans="1:6" ht="15.75" customHeight="1">
      <c r="A2118" s="18">
        <v>2084006383</v>
      </c>
      <c r="B2118" s="18" t="s">
        <v>13667</v>
      </c>
      <c r="C2118" s="18" t="s">
        <v>17687</v>
      </c>
      <c r="D2118" s="5" t="str">
        <f ca="1">IFERROR(__xludf.DUMMYFUNCTION("GOOGLETRANSLATE(B2118,""ja"",""vi"")"),"Đối với cô gái")</f>
        <v>Đối với cô gái</v>
      </c>
      <c r="E2118" s="5" t="str">
        <f ca="1">IFERROR(__xludf.DUMMYFUNCTION("GOOGLETRANSLATE(C2118,""ja"",""vi"")"),"Đấu giá&gt; Thời trang&gt; Kids, em bé thời trang&gt; giày cho trẻ em&gt; cho cô gái")</f>
        <v>Đấu giá&gt; Thời trang&gt; Kids, em bé thời trang&gt; giày cho trẻ em&gt; cho cô gái</v>
      </c>
      <c r="F2118" t="str">
        <f t="shared" ca="1" si="33"/>
        <v>"2084006383" : "Đối với cô gái",</v>
      </c>
    </row>
    <row r="2119" spans="1:6" ht="15.75" customHeight="1">
      <c r="A2119" s="18">
        <v>2084006382</v>
      </c>
      <c r="B2119" s="18" t="s">
        <v>13673</v>
      </c>
      <c r="C2119" s="18" t="s">
        <v>17689</v>
      </c>
      <c r="D2119" s="5" t="str">
        <f ca="1">IFERROR(__xludf.DUMMYFUNCTION("GOOGLETRANSLATE(B2119,""ja"",""vi"")"),"for Boys")</f>
        <v>for Boys</v>
      </c>
      <c r="E2119" s="5" t="str">
        <f ca="1">IFERROR(__xludf.DUMMYFUNCTION("GOOGLETRANSLATE(C2119,""ja"",""vi"")"),"Đấu giá&gt; Thời trang&gt; Kids, em bé thời trang&gt; giày cho trẻ em&gt; cho boy")</f>
        <v>Đấu giá&gt; Thời trang&gt; Kids, em bé thời trang&gt; giày cho trẻ em&gt; cho boy</v>
      </c>
      <c r="F2119" t="str">
        <f t="shared" ca="1" si="33"/>
        <v>"2084006382" : "for Boys",</v>
      </c>
    </row>
    <row r="2120" spans="1:6" ht="15.75" customHeight="1">
      <c r="A2120" s="18">
        <v>2084006475</v>
      </c>
      <c r="B2120" s="18" t="s">
        <v>13667</v>
      </c>
      <c r="C2120" s="18" t="s">
        <v>17691</v>
      </c>
      <c r="D2120" s="5" t="str">
        <f ca="1">IFERROR(__xludf.DUMMYFUNCTION("GOOGLETRANSLATE(B2120,""ja"",""vi"")"),"Đối với cô gái")</f>
        <v>Đối với cô gái</v>
      </c>
      <c r="E2120" s="5" t="str">
        <f ca="1">IFERROR(__xludf.DUMMYFUNCTION("GOOGLETRANSLATE(C2120,""ja"",""vi"")"),"Đấu giá&gt; Thời trang&gt; Kids, em bé thời trang&gt; túi cho trẻ em&gt; cho cô gái")</f>
        <v>Đấu giá&gt; Thời trang&gt; Kids, em bé thời trang&gt; túi cho trẻ em&gt; cho cô gái</v>
      </c>
      <c r="F2120" t="str">
        <f t="shared" ca="1" si="33"/>
        <v>"2084006475" : "Đối với cô gái",</v>
      </c>
    </row>
    <row r="2121" spans="1:6" ht="15.75" customHeight="1">
      <c r="A2121" s="18">
        <v>2084006474</v>
      </c>
      <c r="B2121" s="18" t="s">
        <v>13673</v>
      </c>
      <c r="C2121" s="18" t="s">
        <v>17692</v>
      </c>
      <c r="D2121" s="5" t="str">
        <f ca="1">IFERROR(__xludf.DUMMYFUNCTION("GOOGLETRANSLATE(B2121,""ja"",""vi"")"),"for Boys")</f>
        <v>for Boys</v>
      </c>
      <c r="E2121" s="5" t="str">
        <f ca="1">IFERROR(__xludf.DUMMYFUNCTION("GOOGLETRANSLATE(C2121,""ja"",""vi"")"),"Đấu giá&gt; Thời trang&gt; Kids, em bé thời trang&gt; túi cho trẻ em&gt; cho boy")</f>
        <v>Đấu giá&gt; Thời trang&gt; Kids, em bé thời trang&gt; túi cho trẻ em&gt; cho boy</v>
      </c>
      <c r="F2121" t="str">
        <f t="shared" ca="1" si="33"/>
        <v>"2084006474" : "for Boys",</v>
      </c>
    </row>
    <row r="2122" spans="1:6" ht="15.75" customHeight="1">
      <c r="A2122" s="18">
        <v>2084233228</v>
      </c>
      <c r="B2122" s="18" t="s">
        <v>9292</v>
      </c>
      <c r="C2122" s="18" t="s">
        <v>17694</v>
      </c>
      <c r="D2122" s="5" t="str">
        <f ca="1">IFERROR(__xludf.DUMMYFUNCTION("GOOGLETRANSLATE(B2122,""ja"",""vi"")"),"unisex")</f>
        <v>unisex</v>
      </c>
      <c r="E2122" s="5" t="str">
        <f ca="1">IFERROR(__xludf.DUMMYFUNCTION("GOOGLETRANSLATE(C2122,""ja"",""vi"")"),"Đấu giá&gt; Thời trang&gt; Kids, em bé thời trang&gt; túi cho trẻ em&gt; Unisex")</f>
        <v>Đấu giá&gt; Thời trang&gt; Kids, em bé thời trang&gt; túi cho trẻ em&gt; Unisex</v>
      </c>
      <c r="F2122" t="str">
        <f t="shared" ca="1" si="33"/>
        <v>"2084233228" : "unisex",</v>
      </c>
    </row>
    <row r="2123" spans="1:6" ht="15.75" customHeight="1">
      <c r="A2123" s="18">
        <v>2084240599</v>
      </c>
      <c r="B2123" s="18" t="s">
        <v>7989</v>
      </c>
      <c r="C2123" s="18" t="s">
        <v>17696</v>
      </c>
      <c r="D2123" s="5" t="str">
        <f ca="1">IFERROR(__xludf.DUMMYFUNCTION("GOOGLETRANSLATE(B2123,""ja"",""vi"")"),"làm bằng tay")</f>
        <v>làm bằng tay</v>
      </c>
      <c r="E2123" s="5" t="str">
        <f ca="1">IFERROR(__xludf.DUMMYFUNCTION("GOOGLETRANSLATE(C2123,""ja"",""vi"")"),"Đấu giá&gt; Thời trang&gt; Kids, em bé thời trang&gt; túi cho trẻ em&gt; handmade")</f>
        <v>Đấu giá&gt; Thời trang&gt; Kids, em bé thời trang&gt; túi cho trẻ em&gt; handmade</v>
      </c>
      <c r="F2123" t="str">
        <f t="shared" ca="1" si="33"/>
        <v>"2084240599" : "làm bằng tay",</v>
      </c>
    </row>
    <row r="2124" spans="1:6" ht="15.75" customHeight="1">
      <c r="A2124" s="18">
        <v>2084006558</v>
      </c>
      <c r="B2124" s="18" t="s">
        <v>15156</v>
      </c>
      <c r="C2124" s="18" t="s">
        <v>17698</v>
      </c>
      <c r="D2124" s="5" t="str">
        <f ca="1">IFERROR(__xludf.DUMMYFUNCTION("GOOGLETRANSLATE(B2124,""ja"",""vi"")"),"khăn")</f>
        <v>khăn</v>
      </c>
      <c r="E2124" s="5" t="str">
        <f ca="1">IFERROR(__xludf.DUMMYFUNCTION("GOOGLETRANSLATE(C2124,""ja"",""vi"")"),"Đấu giá&gt; Thời trang&gt; Kids, Baby Thời trang&gt; Phụ kiện thời trang cho trẻ em&gt; tạp dề")</f>
        <v>Đấu giá&gt; Thời trang&gt; Kids, Baby Thời trang&gt; Phụ kiện thời trang cho trẻ em&gt; tạp dề</v>
      </c>
      <c r="F2124" t="str">
        <f t="shared" ca="1" si="33"/>
        <v>"2084006558" : "khăn",</v>
      </c>
    </row>
    <row r="2125" spans="1:6" ht="15.75" customHeight="1">
      <c r="A2125" s="18">
        <v>2084006646</v>
      </c>
      <c r="B2125" s="18" t="s">
        <v>15169</v>
      </c>
      <c r="C2125" s="18" t="s">
        <v>17700</v>
      </c>
      <c r="D2125" s="5" t="str">
        <f ca="1">IFERROR(__xludf.DUMMYFUNCTION("GOOGLETRANSLATE(B2125,""ja"",""vi"")"),"đường bị gián đoạn")</f>
        <v>đường bị gián đoạn</v>
      </c>
      <c r="E2125" s="5" t="str">
        <f ca="1">IFERROR(__xludf.DUMMYFUNCTION("GOOGLETRANSLATE(C2125,""ja"",""vi"")"),"Đấu giá&gt; Thời trang&gt; Kids, Baby Thời trang&gt; Phụ kiện thời trang cho trẻ em&gt; treo")</f>
        <v>Đấu giá&gt; Thời trang&gt; Kids, Baby Thời trang&gt; Phụ kiện thời trang cho trẻ em&gt; treo</v>
      </c>
      <c r="F2125" t="str">
        <f t="shared" ca="1" si="33"/>
        <v>"2084006646" : "đường bị gián đoạn",</v>
      </c>
    </row>
    <row r="2126" spans="1:6" ht="15.75" customHeight="1">
      <c r="A2126" s="18">
        <v>2084006554</v>
      </c>
      <c r="B2126" s="18" t="s">
        <v>17595</v>
      </c>
      <c r="C2126" s="18" t="s">
        <v>17702</v>
      </c>
      <c r="D2126" s="5" t="str">
        <f ca="1">IFERROR(__xludf.DUMMYFUNCTION("GOOGLETRANSLATE(B2126,""ja"",""vi"")"),"áo sơ mi của đàn bà")</f>
        <v>áo sơ mi của đàn bà</v>
      </c>
      <c r="E2126" s="5" t="str">
        <f ca="1">IFERROR(__xludf.DUMMYFUNCTION("GOOGLETRANSLATE(C2126,""ja"",""vi"")"),"Đấu giá&gt; Thời trang&gt; Kids, Baby Thời trang&gt; Phụ kiện thời trang cho trẻ em&gt; áo khoác")</f>
        <v>Đấu giá&gt; Thời trang&gt; Kids, Baby Thời trang&gt; Phụ kiện thời trang cho trẻ em&gt; áo khoác</v>
      </c>
      <c r="F2126" t="str">
        <f t="shared" ca="1" si="33"/>
        <v>"2084006554" : "áo sơ mi của đàn bà",</v>
      </c>
    </row>
    <row r="2127" spans="1:6" ht="15.75" customHeight="1">
      <c r="A2127" s="18">
        <v>2084006649</v>
      </c>
      <c r="B2127" s="18" t="s">
        <v>15091</v>
      </c>
      <c r="C2127" s="18" t="s">
        <v>17704</v>
      </c>
      <c r="D2127" s="5" t="str">
        <f ca="1">IFERROR(__xludf.DUMMYFUNCTION("GOOGLETRANSLATE(B2127,""ja"",""vi"")"),"vớ")</f>
        <v>vớ</v>
      </c>
      <c r="E2127" s="5" t="str">
        <f ca="1">IFERROR(__xludf.DUMMYFUNCTION("GOOGLETRANSLATE(C2127,""ja"",""vi"")"),"Đấu giá&gt; Thời trang&gt; Kids, Baby Thời trang&gt; Phụ kiện thời trang cho trẻ em&gt; quần bó")</f>
        <v>Đấu giá&gt; Thời trang&gt; Kids, Baby Thời trang&gt; Phụ kiện thời trang cho trẻ em&gt; quần bó</v>
      </c>
      <c r="F2127" t="str">
        <f t="shared" ca="1" si="33"/>
        <v>"2084006649" : "vớ",</v>
      </c>
    </row>
    <row r="2128" spans="1:6" ht="15.75" customHeight="1">
      <c r="A2128" s="18">
        <v>2084006435</v>
      </c>
      <c r="B2128" s="18" t="s">
        <v>16689</v>
      </c>
      <c r="C2128" s="18" t="s">
        <v>17707</v>
      </c>
      <c r="D2128" s="5" t="str">
        <f ca="1">IFERROR(__xludf.DUMMYFUNCTION("GOOGLETRANSLATE(B2128,""ja"",""vi"")"),"khăn tay")</f>
        <v>khăn tay</v>
      </c>
      <c r="E2128" s="5" t="str">
        <f ca="1">IFERROR(__xludf.DUMMYFUNCTION("GOOGLETRANSLATE(C2128,""ja"",""vi"")"),"Đấu giá&gt; Thời trang&gt; Kids, Baby Thời trang&gt; Phụ kiện thời trang cho trẻ em&gt; khăn tay")</f>
        <v>Đấu giá&gt; Thời trang&gt; Kids, Baby Thời trang&gt; Phụ kiện thời trang cho trẻ em&gt; khăn tay</v>
      </c>
      <c r="F2128" t="str">
        <f t="shared" ca="1" si="33"/>
        <v>"2084006435" : "khăn tay",</v>
      </c>
    </row>
    <row r="2129" spans="1:6" ht="15.75" customHeight="1">
      <c r="A2129" s="18">
        <v>2084006432</v>
      </c>
      <c r="B2129" s="18" t="s">
        <v>15191</v>
      </c>
      <c r="C2129" s="18" t="s">
        <v>17709</v>
      </c>
      <c r="D2129" s="5" t="str">
        <f ca="1">IFERROR(__xludf.DUMMYFUNCTION("GOOGLETRANSLATE(B2129,""ja"",""vi"")"),"khăn rằn")</f>
        <v>khăn rằn</v>
      </c>
      <c r="E2129" s="5" t="str">
        <f ca="1">IFERROR(__xludf.DUMMYFUNCTION("GOOGLETRANSLATE(C2129,""ja"",""vi"")"),"Đấu giá&gt; Thời trang&gt; Kids, Baby Thời trang&gt; Phụ kiện thời trang cho trẻ em&gt; bandana")</f>
        <v>Đấu giá&gt; Thời trang&gt; Kids, Baby Thời trang&gt; Phụ kiện thời trang cho trẻ em&gt; bandana</v>
      </c>
      <c r="F2129" t="str">
        <f t="shared" ca="1" si="33"/>
        <v>"2084006432" : "khăn rằn",</v>
      </c>
    </row>
    <row r="2130" spans="1:6" ht="15.75" customHeight="1">
      <c r="A2130" s="18">
        <v>2084006433</v>
      </c>
      <c r="B2130" s="18" t="s">
        <v>15199</v>
      </c>
      <c r="C2130" s="18" t="s">
        <v>17711</v>
      </c>
      <c r="D2130" s="5" t="str">
        <f ca="1">IFERROR(__xludf.DUMMYFUNCTION("GOOGLETRANSLATE(B2130,""ja"",""vi"")"),"dây lưng")</f>
        <v>dây lưng</v>
      </c>
      <c r="E2130" s="5" t="str">
        <f ca="1">IFERROR(__xludf.DUMMYFUNCTION("GOOGLETRANSLATE(C2130,""ja"",""vi"")"),"Đấu giá&gt; Thời trang&gt; Kids, Baby Thời trang&gt; Phụ kiện thời trang cho trẻ em&gt; vành đai")</f>
        <v>Đấu giá&gt; Thời trang&gt; Kids, Baby Thời trang&gt; Phụ kiện thời trang cho trẻ em&gt; vành đai</v>
      </c>
      <c r="F2130" t="str">
        <f t="shared" ca="1" si="33"/>
        <v>"2084006433" : "dây lưng",</v>
      </c>
    </row>
    <row r="2131" spans="1:6" ht="15.75" customHeight="1">
      <c r="A2131" s="18">
        <v>2084006430</v>
      </c>
      <c r="B2131" s="18" t="s">
        <v>14210</v>
      </c>
      <c r="C2131" s="18" t="s">
        <v>17713</v>
      </c>
      <c r="D2131" s="5" t="str">
        <f ca="1">IFERROR(__xludf.DUMMYFUNCTION("GOOGLETRANSLATE(B2131,""ja"",""vi"")"),"khăn choàng cổ")</f>
        <v>khăn choàng cổ</v>
      </c>
      <c r="E2131" s="5" t="str">
        <f ca="1">IFERROR(__xludf.DUMMYFUNCTION("GOOGLETRANSLATE(C2131,""ja"",""vi"")"),"Đấu giá&gt; Thời trang&gt; Kids, Baby Thời trang&gt; Phụ kiện thời trang cho trẻ em&gt; muffler")</f>
        <v>Đấu giá&gt; Thời trang&gt; Kids, Baby Thời trang&gt; Phụ kiện thời trang cho trẻ em&gt; muffler</v>
      </c>
      <c r="F2131" t="str">
        <f t="shared" ca="1" si="33"/>
        <v>"2084006430" : "khăn choàng cổ",</v>
      </c>
    </row>
    <row r="2132" spans="1:6" ht="15.75" customHeight="1">
      <c r="A2132" s="18">
        <v>2084006527</v>
      </c>
      <c r="B2132" s="18" t="s">
        <v>13269</v>
      </c>
      <c r="C2132" s="18" t="s">
        <v>17715</v>
      </c>
      <c r="D2132" s="5" t="str">
        <f ca="1">IFERROR(__xludf.DUMMYFUNCTION("GOOGLETRANSLATE(B2132,""ja"",""vi"")"),"áo mưa")</f>
        <v>áo mưa</v>
      </c>
      <c r="E2132" s="5" t="str">
        <f ca="1">IFERROR(__xludf.DUMMYFUNCTION("GOOGLETRANSLATE(C2132,""ja"",""vi"")"),"Đấu giá&gt; Thời trang&gt; Kids, Baby Thời trang&gt; Phụ kiện thời trang cho trẻ em&gt; áo mưa")</f>
        <v>Đấu giá&gt; Thời trang&gt; Kids, Baby Thời trang&gt; Phụ kiện thời trang cho trẻ em&gt; áo mưa</v>
      </c>
      <c r="F2132" t="str">
        <f t="shared" ca="1" si="33"/>
        <v>"2084006527" : "áo mưa",</v>
      </c>
    </row>
    <row r="2133" spans="1:6" ht="15.75" customHeight="1">
      <c r="A2133" s="18">
        <v>2084006650</v>
      </c>
      <c r="B2133" s="18" t="s">
        <v>15099</v>
      </c>
      <c r="C2133" s="18" t="s">
        <v>17717</v>
      </c>
      <c r="D2133" s="5" t="str">
        <f ca="1">IFERROR(__xludf.DUMMYFUNCTION("GOOGLETRANSLATE(B2133,""ja"",""vi"")"),"bít tất")</f>
        <v>bít tất</v>
      </c>
      <c r="E2133" s="5" t="str">
        <f ca="1">IFERROR(__xludf.DUMMYFUNCTION("GOOGLETRANSLATE(C2133,""ja"",""vi"")"),"Đấu giá&gt; Thời trang&gt; Kids, Baby Thời trang&gt; Phụ kiện thời trang cho trẻ em&gt; vớ")</f>
        <v>Đấu giá&gt; Thời trang&gt; Kids, Baby Thời trang&gt; Phụ kiện thời trang cho trẻ em&gt; vớ</v>
      </c>
      <c r="F2133" t="str">
        <f t="shared" ca="1" si="33"/>
        <v>"2084006650" : "bít tất",</v>
      </c>
    </row>
    <row r="2134" spans="1:6" ht="15.75" customHeight="1">
      <c r="A2134" s="18">
        <v>2084006436</v>
      </c>
      <c r="B2134" s="18" t="s">
        <v>17720</v>
      </c>
      <c r="C2134" s="18" t="s">
        <v>17721</v>
      </c>
      <c r="D2134" s="5" t="str">
        <f ca="1">IFERROR(__xludf.DUMMYFUNCTION("GOOGLETRANSLATE(B2134,""ja"",""vi"")"),"ô")</f>
        <v>ô</v>
      </c>
      <c r="E2134" s="5" t="str">
        <f ca="1">IFERROR(__xludf.DUMMYFUNCTION("GOOGLETRANSLATE(C2134,""ja"",""vi"")"),"Đấu giá&gt; Thời trang&gt; Kids, Baby Thời trang&gt; Phụ kiện thời trang cho trẻ em&gt; ô")</f>
        <v>Đấu giá&gt; Thời trang&gt; Kids, Baby Thời trang&gt; Phụ kiện thời trang cho trẻ em&gt; ô</v>
      </c>
      <c r="F2134" t="str">
        <f t="shared" ca="1" si="33"/>
        <v>"2084006436" : "ô",</v>
      </c>
    </row>
    <row r="2135" spans="1:6" ht="15.75" customHeight="1">
      <c r="A2135" s="18">
        <v>2084006434</v>
      </c>
      <c r="B2135" s="18" t="s">
        <v>15223</v>
      </c>
      <c r="C2135" s="18" t="s">
        <v>17724</v>
      </c>
      <c r="D2135" s="5" t="str">
        <f ca="1">IFERROR(__xludf.DUMMYFUNCTION("GOOGLETRANSLATE(B2135,""ja"",""vi"")"),"găng tay")</f>
        <v>găng tay</v>
      </c>
      <c r="E2135" s="5" t="str">
        <f ca="1">IFERROR(__xludf.DUMMYFUNCTION("GOOGLETRANSLATE(C2135,""ja"",""vi"")"),"Đấu giá&gt; Thời trang&gt; Kids, Baby Thời trang&gt; Phụ kiện thời trang&gt; Găng tay cho trẻ em")</f>
        <v>Đấu giá&gt; Thời trang&gt; Kids, Baby Thời trang&gt; Phụ kiện thời trang&gt; Găng tay cho trẻ em</v>
      </c>
      <c r="F2135" t="str">
        <f t="shared" ca="1" si="33"/>
        <v>"2084006434" : "găng tay",</v>
      </c>
    </row>
    <row r="2136" spans="1:6" ht="15.75" customHeight="1">
      <c r="A2136" s="18">
        <v>2084006429</v>
      </c>
      <c r="B2136" s="18" t="s">
        <v>7449</v>
      </c>
      <c r="C2136" s="18" t="s">
        <v>17727</v>
      </c>
      <c r="D2136" s="5" t="str">
        <f ca="1">IFERROR(__xludf.DUMMYFUNCTION("GOOGLETRANSLATE(B2136,""ja"",""vi"")"),"mũ")</f>
        <v>mũ</v>
      </c>
      <c r="E2136" s="5" t="str">
        <f ca="1">IFERROR(__xludf.DUMMYFUNCTION("GOOGLETRANSLATE(C2136,""ja"",""vi"")"),"Đấu giá&gt; Thời trang&gt; Kids, Baby Thời trang&gt; Phụ kiện thời trang cho trẻ em&gt; mũ")</f>
        <v>Đấu giá&gt; Thời trang&gt; Kids, Baby Thời trang&gt; Phụ kiện thời trang cho trẻ em&gt; mũ</v>
      </c>
      <c r="F2136" t="str">
        <f t="shared" ca="1" si="33"/>
        <v>"2084006429" : "mũ",</v>
      </c>
    </row>
    <row r="2137" spans="1:6" ht="15.75" customHeight="1">
      <c r="A2137" s="18">
        <v>2084059747</v>
      </c>
      <c r="B2137" s="18" t="s">
        <v>17729</v>
      </c>
      <c r="C2137" s="18" t="s">
        <v>17730</v>
      </c>
      <c r="D2137" s="5" t="str">
        <f ca="1">IFERROR(__xludf.DUMMYFUNCTION("GOOGLETRANSLATE(B2137,""ja"",""vi"")"),"mũ bảo hiểm xe đạp")</f>
        <v>mũ bảo hiểm xe đạp</v>
      </c>
      <c r="E2137" s="5" t="str">
        <f ca="1">IFERROR(__xludf.DUMMYFUNCTION("GOOGLETRANSLATE(C2137,""ja"",""vi"")"),"Đấu giá&gt; Thời trang&gt; Kids, Baby Thời trang&gt; Phụ kiện thời trang trẻ em&gt; Mũ bảo hiểm xe đạp")</f>
        <v>Đấu giá&gt; Thời trang&gt; Kids, Baby Thời trang&gt; Phụ kiện thời trang trẻ em&gt; Mũ bảo hiểm xe đạp</v>
      </c>
      <c r="F2137" t="str">
        <f t="shared" ca="1" si="33"/>
        <v>"2084059747" : "mũ bảo hiểm xe đạp",</v>
      </c>
    </row>
    <row r="2138" spans="1:6" ht="15.75" customHeight="1">
      <c r="A2138" s="18">
        <v>2084006431</v>
      </c>
      <c r="B2138" s="18" t="s">
        <v>46</v>
      </c>
      <c r="C2138" s="18" t="s">
        <v>17733</v>
      </c>
      <c r="D2138" s="5" t="str">
        <f ca="1">IFERROR(__xludf.DUMMYFUNCTION("GOOGLETRANSLATE(B2138,""ja"",""vi"")"),"nếu không thì")</f>
        <v>nếu không thì</v>
      </c>
      <c r="E2138" s="5" t="str">
        <f ca="1">IFERROR(__xludf.DUMMYFUNCTION("GOOGLETRANSLATE(C2138,""ja"",""vi"")"),"Đấu giá&gt; Thời trang&gt; Kids, Baby Thời trang&gt; Phụ kiện thời trang&gt; Trẻ em Khác")</f>
        <v>Đấu giá&gt; Thời trang&gt; Kids, Baby Thời trang&gt; Phụ kiện thời trang&gt; Trẻ em Khác</v>
      </c>
      <c r="F2138" t="str">
        <f t="shared" ca="1" si="33"/>
        <v>"2084006431" : "nếu không thì",</v>
      </c>
    </row>
    <row r="2139" spans="1:6" ht="15.75" customHeight="1">
      <c r="A2139" s="18">
        <v>2084313345</v>
      </c>
      <c r="B2139" s="18" t="s">
        <v>6465</v>
      </c>
      <c r="C2139" s="18" t="s">
        <v>17736</v>
      </c>
      <c r="D2139" s="5" t="str">
        <f ca="1">IFERROR(__xludf.DUMMYFUNCTION("GOOGLETRANSLATE(B2139,""ja"",""vi"")"),"Thiết lập, Lots Bán buôn")</f>
        <v>Thiết lập, Lots Bán buôn</v>
      </c>
      <c r="E2139" s="5" t="str">
        <f ca="1">IFERROR(__xludf.DUMMYFUNCTION("GOOGLETRANSLATE(C2139,""ja"",""vi"")"),"Đấu giá&gt; Thời trang&gt; Kids, Baby thời trang&gt; quần áo trẻ em&gt; bộ, Lots Bán buôn")</f>
        <v>Đấu giá&gt; Thời trang&gt; Kids, Baby thời trang&gt; quần áo trẻ em&gt; bộ, Lots Bán buôn</v>
      </c>
      <c r="F2139" t="str">
        <f t="shared" ca="1" si="33"/>
        <v>"2084313345" : "Thiết lập, Lots Bán buôn",</v>
      </c>
    </row>
    <row r="2140" spans="1:6" ht="15.75" customHeight="1">
      <c r="A2140" s="18">
        <v>2084023868</v>
      </c>
      <c r="B2140" s="18" t="s">
        <v>17738</v>
      </c>
      <c r="C2140" s="18" t="s">
        <v>17739</v>
      </c>
      <c r="D2140" s="5" t="str">
        <f ca="1">IFERROR(__xludf.DUMMYFUNCTION("GOOGLETRANSLATE(B2140,""ja"",""vi"")"),"bìa tã")</f>
        <v>bìa tã</v>
      </c>
      <c r="E2140" s="5" t="str">
        <f ca="1">IFERROR(__xludf.DUMMYFUNCTION("GOOGLETRANSLATE(C2140,""ja"",""vi"")"),"Đấu giá&gt; Thời trang&gt; Kids, Baby thời trang&gt; quần áo trẻ em&gt; bìa tã")</f>
        <v>Đấu giá&gt; Thời trang&gt; Kids, Baby thời trang&gt; quần áo trẻ em&gt; bìa tã</v>
      </c>
      <c r="F2140" t="str">
        <f t="shared" ca="1" si="33"/>
        <v>"2084023868" : "bìa tã",</v>
      </c>
    </row>
    <row r="2141" spans="1:6" ht="15.75" customHeight="1">
      <c r="A2141" s="18">
        <v>2084023849</v>
      </c>
      <c r="B2141" s="18" t="s">
        <v>17742</v>
      </c>
      <c r="C2141" s="18" t="s">
        <v>17743</v>
      </c>
      <c r="D2141" s="5" t="str">
        <f ca="1">IFERROR(__xludf.DUMMYFUNCTION("GOOGLETRANSLATE(B2141,""ja"",""vi"")"),"Afghanistan")</f>
        <v>Afghanistan</v>
      </c>
      <c r="E2141" s="5" t="str">
        <f ca="1">IFERROR(__xludf.DUMMYFUNCTION("GOOGLETRANSLATE(C2141,""ja"",""vi"")"),"Đấu giá&gt; Thời trang&gt; Kids, Baby thời trang&gt; quần áo trẻ em&gt; Afghanistan")</f>
        <v>Đấu giá&gt; Thời trang&gt; Kids, Baby thời trang&gt; quần áo trẻ em&gt; Afghanistan</v>
      </c>
      <c r="F2141" t="str">
        <f t="shared" ca="1" si="33"/>
        <v>"2084023849" : "Afghanistan",</v>
      </c>
    </row>
    <row r="2142" spans="1:6" ht="15.75" customHeight="1">
      <c r="A2142" s="18">
        <v>2084007276</v>
      </c>
      <c r="B2142" s="18" t="s">
        <v>11248</v>
      </c>
      <c r="C2142" s="18" t="s">
        <v>17746</v>
      </c>
      <c r="D2142" s="5" t="str">
        <f ca="1">IFERROR(__xludf.DUMMYFUNCTION("GOOGLETRANSLATE(B2142,""ja"",""vi"")"),"Mang nội")</f>
        <v>Mang nội</v>
      </c>
      <c r="E2142" s="5" t="str">
        <f ca="1">IFERROR(__xludf.DUMMYFUNCTION("GOOGLETRANSLATE(C2142,""ja"",""vi"")"),"Đấu giá&gt; Thời trang&gt; Kids, Baby thời trang&gt; quần áo trẻ em&gt; mặc bên trong")</f>
        <v>Đấu giá&gt; Thời trang&gt; Kids, Baby thời trang&gt; quần áo trẻ em&gt; mặc bên trong</v>
      </c>
      <c r="F2142" t="str">
        <f t="shared" ca="1" si="33"/>
        <v>"2084007276" : "Mang nội",</v>
      </c>
    </row>
    <row r="2143" spans="1:6" ht="15.75" customHeight="1">
      <c r="A2143" s="18">
        <v>2084007272</v>
      </c>
      <c r="B2143" s="18" t="s">
        <v>13774</v>
      </c>
      <c r="C2143" s="18" t="s">
        <v>17749</v>
      </c>
      <c r="D2143" s="5" t="str">
        <f ca="1">IFERROR(__xludf.DUMMYFUNCTION("GOOGLETRANSLATE(B2143,""ja"",""vi"")"),"Yếm, tie")</f>
        <v>Yếm, tie</v>
      </c>
      <c r="E2143" s="5" t="str">
        <f ca="1">IFERROR(__xludf.DUMMYFUNCTION("GOOGLETRANSLATE(C2143,""ja"",""vi"")"),"Đấu giá&gt; Thời trang&gt; Kids, Baby thời trang&gt; quần áo trẻ em&gt; yếm, tie")</f>
        <v>Đấu giá&gt; Thời trang&gt; Kids, Baby thời trang&gt; quần áo trẻ em&gt; yếm, tie</v>
      </c>
      <c r="F2143" t="str">
        <f t="shared" ca="1" si="33"/>
        <v>"2084007272" : "Yếm, tie",</v>
      </c>
    </row>
    <row r="2144" spans="1:6" ht="15.75" customHeight="1">
      <c r="A2144" s="18">
        <v>2084007275</v>
      </c>
      <c r="B2144" s="18" t="s">
        <v>17753</v>
      </c>
      <c r="C2144" s="18" t="s">
        <v>17754</v>
      </c>
      <c r="D2144" s="5" t="str">
        <f ca="1">IFERROR(__xludf.DUMMYFUNCTION("GOOGLETRANSLATE(B2144,""ja"",""vi"")"),"Áo khoác, nhảy")</f>
        <v>Áo khoác, nhảy</v>
      </c>
      <c r="E2144" s="5" t="str">
        <f ca="1">IFERROR(__xludf.DUMMYFUNCTION("GOOGLETRANSLATE(C2144,""ja"",""vi"")"),"Đấu giá&gt; Thời trang&gt; Kids, Baby thời trang&gt; quần áo trẻ em&gt; áo, nhảy")</f>
        <v>Đấu giá&gt; Thời trang&gt; Kids, Baby thời trang&gt; quần áo trẻ em&gt; áo, nhảy</v>
      </c>
      <c r="F2144" t="str">
        <f t="shared" ca="1" si="33"/>
        <v>"2084007275" : "Áo khoác, nhảy",</v>
      </c>
    </row>
    <row r="2145" spans="1:6" ht="15.75" customHeight="1">
      <c r="A2145" s="18">
        <v>2084007274</v>
      </c>
      <c r="B2145" s="18" t="s">
        <v>13696</v>
      </c>
      <c r="C2145" s="18" t="s">
        <v>17757</v>
      </c>
      <c r="D2145" s="5" t="str">
        <f ca="1">IFERROR(__xludf.DUMMYFUNCTION("GOOGLETRANSLATE(B2145,""ja"",""vi"")"),"Suit, thiết lập")</f>
        <v>Suit, thiết lập</v>
      </c>
      <c r="E2145" s="5" t="str">
        <f ca="1">IFERROR(__xludf.DUMMYFUNCTION("GOOGLETRANSLATE(C2145,""ja"",""vi"")"),"Đấu giá&gt; Thời trang&gt; Kids, Baby thời trang&gt; quần áo trẻ em&gt; phù hợp, cài đặt")</f>
        <v>Đấu giá&gt; Thời trang&gt; Kids, Baby thời trang&gt; quần áo trẻ em&gt; phù hợp, cài đặt</v>
      </c>
      <c r="F2145" t="str">
        <f t="shared" ca="1" si="33"/>
        <v>"2084007274" : "Suit, thiết lập",</v>
      </c>
    </row>
    <row r="2146" spans="1:6" ht="15.75" customHeight="1">
      <c r="A2146" s="18">
        <v>2084007259</v>
      </c>
      <c r="B2146" s="18" t="s">
        <v>11235</v>
      </c>
      <c r="C2146" s="18" t="s">
        <v>17760</v>
      </c>
      <c r="D2146" s="5" t="str">
        <f ca="1">IFERROR(__xludf.DUMMYFUNCTION("GOOGLETRANSLATE(B2146,""ja"",""vi"")"),"tops")</f>
        <v>tops</v>
      </c>
      <c r="E2146" s="5" t="str">
        <f ca="1">IFERROR(__xludf.DUMMYFUNCTION("GOOGLETRANSLATE(C2146,""ja"",""vi"")"),"Đấu giá&gt; Thời trang&gt; Kids, Baby Thời trang&gt; Quần áo&gt; Tops")</f>
        <v>Đấu giá&gt; Thời trang&gt; Kids, Baby Thời trang&gt; Quần áo&gt; Tops</v>
      </c>
      <c r="F2146" t="str">
        <f t="shared" ca="1" si="33"/>
        <v>"2084007259" : "tops",</v>
      </c>
    </row>
    <row r="2147" spans="1:6" ht="15.75" customHeight="1">
      <c r="A2147" s="18">
        <v>2084052820</v>
      </c>
      <c r="B2147" s="18" t="s">
        <v>13324</v>
      </c>
      <c r="C2147" s="18" t="s">
        <v>17763</v>
      </c>
      <c r="D2147" s="5" t="str">
        <f ca="1">IFERROR(__xludf.DUMMYFUNCTION("GOOGLETRANSLATE(B2147,""ja"",""vi"")"),"qụa khoan")</f>
        <v>qụa khoan</v>
      </c>
      <c r="E2147" s="5" t="str">
        <f ca="1">IFERROR(__xludf.DUMMYFUNCTION("GOOGLETRANSLATE(C2147,""ja"",""vi"")"),"Đấu giá&gt; Thời trang&gt; Kids, Baby thời trang&gt; quần áo trẻ em&gt; parka")</f>
        <v>Đấu giá&gt; Thời trang&gt; Kids, Baby thời trang&gt; quần áo trẻ em&gt; parka</v>
      </c>
      <c r="F2147" t="str">
        <f t="shared" ca="1" si="33"/>
        <v>"2084052820" : "qụa khoan",</v>
      </c>
    </row>
    <row r="2148" spans="1:6" ht="15.75" customHeight="1">
      <c r="A2148" s="18">
        <v>2084007277</v>
      </c>
      <c r="B2148" s="18" t="s">
        <v>13968</v>
      </c>
      <c r="C2148" s="18" t="s">
        <v>17765</v>
      </c>
      <c r="D2148" s="5" t="str">
        <f ca="1">IFERROR(__xludf.DUMMYFUNCTION("GOOGLETRANSLATE(B2148,""ja"",""vi"")"),"áo ngủ")</f>
        <v>áo ngủ</v>
      </c>
      <c r="E2148" s="5" t="str">
        <f ca="1">IFERROR(__xludf.DUMMYFUNCTION("GOOGLETRANSLATE(C2148,""ja"",""vi"")"),"Đấu giá&gt; Thời trang&gt; Kids, Baby thời trang&gt; quần áo trẻ em&gt; đồ ngủ")</f>
        <v>Đấu giá&gt; Thời trang&gt; Kids, Baby thời trang&gt; quần áo trẻ em&gt; đồ ngủ</v>
      </c>
      <c r="F2148" t="str">
        <f t="shared" ca="1" si="33"/>
        <v>"2084007277" : "áo ngủ",</v>
      </c>
    </row>
    <row r="2149" spans="1:6" ht="15.75" customHeight="1">
      <c r="A2149" s="18">
        <v>2084007317</v>
      </c>
      <c r="B2149" s="18" t="s">
        <v>13613</v>
      </c>
      <c r="C2149" s="18" t="s">
        <v>17767</v>
      </c>
      <c r="D2149" s="5" t="str">
        <f ca="1">IFERROR(__xludf.DUMMYFUNCTION("GOOGLETRANSLATE(B2149,""ja"",""vi"")"),"chính thức")</f>
        <v>chính thức</v>
      </c>
      <c r="E2149" s="5" t="str">
        <f ca="1">IFERROR(__xludf.DUMMYFUNCTION("GOOGLETRANSLATE(C2149,""ja"",""vi"")"),"Đấu giá&gt; Thời trang&gt; Kids, Baby thời trang&gt; quần áo trẻ em&gt; chính thức")</f>
        <v>Đấu giá&gt; Thời trang&gt; Kids, Baby thời trang&gt; quần áo trẻ em&gt; chính thức</v>
      </c>
      <c r="F2149" t="str">
        <f t="shared" ca="1" si="33"/>
        <v>"2084007317" : "chính thức",</v>
      </c>
    </row>
    <row r="2150" spans="1:6" ht="15.75" customHeight="1">
      <c r="A2150" s="18">
        <v>2084007265</v>
      </c>
      <c r="B2150" s="18" t="s">
        <v>11242</v>
      </c>
      <c r="C2150" s="18" t="s">
        <v>17770</v>
      </c>
      <c r="D2150" s="5" t="str">
        <f ca="1">IFERROR(__xludf.DUMMYFUNCTION("GOOGLETRANSLATE(B2150,""ja"",""vi"")"),"đáy")</f>
        <v>đáy</v>
      </c>
      <c r="E2150" s="5" t="str">
        <f ca="1">IFERROR(__xludf.DUMMYFUNCTION("GOOGLETRANSLATE(C2150,""ja"",""vi"")"),"Đấu giá&gt; Thời trang&gt; Kids, Baby thời trang&gt; quần áo trẻ em&gt; Bottoms")</f>
        <v>Đấu giá&gt; Thời trang&gt; Kids, Baby thời trang&gt; quần áo trẻ em&gt; Bottoms</v>
      </c>
      <c r="F2150" t="str">
        <f t="shared" ca="1" si="33"/>
        <v>"2084007265" : "đáy",</v>
      </c>
    </row>
    <row r="2151" spans="1:6" ht="15.75" customHeight="1">
      <c r="A2151" s="18">
        <v>2084007271</v>
      </c>
      <c r="B2151" s="18" t="s">
        <v>7472</v>
      </c>
      <c r="C2151" s="18" t="s">
        <v>17774</v>
      </c>
      <c r="D2151" s="5" t="str">
        <f ca="1">IFERROR(__xludf.DUMMYFUNCTION("GOOGLETRANSLATE(B2151,""ja"",""vi"")"),"One piece")</f>
        <v>One piece</v>
      </c>
      <c r="E2151" s="5" t="str">
        <f ca="1">IFERROR(__xludf.DUMMYFUNCTION("GOOGLETRANSLATE(C2151,""ja"",""vi"")"),"Đấu giá&gt; Thời trang&gt; Kids, Baby Thời trang&gt; Baby Quần áo&gt; One Piece")</f>
        <v>Đấu giá&gt; Thời trang&gt; Kids, Baby Thời trang&gt; Baby Quần áo&gt; One Piece</v>
      </c>
      <c r="F2151" t="str">
        <f t="shared" ca="1" si="33"/>
        <v>"2084007271" : "One piece",</v>
      </c>
    </row>
    <row r="2152" spans="1:6" ht="15.75" customHeight="1">
      <c r="A2152" s="18">
        <v>2084051666</v>
      </c>
      <c r="B2152" s="18" t="s">
        <v>17622</v>
      </c>
      <c r="C2152" s="18" t="s">
        <v>17776</v>
      </c>
      <c r="D2152" s="5" t="str">
        <f ca="1">IFERROR(__xludf.DUMMYFUNCTION("GOOGLETRANSLATE(B2152,""ja"",""vi"")"),"Jinbei")</f>
        <v>Jinbei</v>
      </c>
      <c r="E2152" s="5" t="str">
        <f ca="1">IFERROR(__xludf.DUMMYFUNCTION("GOOGLETRANSLATE(C2152,""ja"",""vi"")"),"Đấu giá&gt; Thời trang&gt; Kids, Baby thời trang&gt; quần áo trẻ em&gt; Jinbei")</f>
        <v>Đấu giá&gt; Thời trang&gt; Kids, Baby thời trang&gt; quần áo trẻ em&gt; Jinbei</v>
      </c>
      <c r="F2152" t="str">
        <f t="shared" ca="1" si="33"/>
        <v>"2084051666" : "Jinbei",</v>
      </c>
    </row>
    <row r="2153" spans="1:6" ht="15.75" customHeight="1">
      <c r="A2153" s="18">
        <v>2084051665</v>
      </c>
      <c r="B2153" s="18" t="s">
        <v>17619</v>
      </c>
      <c r="C2153" s="18" t="s">
        <v>17779</v>
      </c>
      <c r="D2153" s="5" t="str">
        <f ca="1">IFERROR(__xludf.DUMMYFUNCTION("GOOGLETRANSLATE(B2153,""ja"",""vi"")"),"yukata")</f>
        <v>yukata</v>
      </c>
      <c r="E2153" s="5" t="str">
        <f ca="1">IFERROR(__xludf.DUMMYFUNCTION("GOOGLETRANSLATE(C2153,""ja"",""vi"")"),"Đấu giá&gt; Thời trang&gt; Kids, Baby thời trang&gt; quần áo trẻ em&gt; yukata")</f>
        <v>Đấu giá&gt; Thời trang&gt; Kids, Baby thời trang&gt; quần áo trẻ em&gt; yukata</v>
      </c>
      <c r="F2153" t="str">
        <f t="shared" ca="1" si="33"/>
        <v>"2084051665" : "yukata",</v>
      </c>
    </row>
    <row r="2154" spans="1:6" ht="15.75" customHeight="1">
      <c r="A2154" s="18">
        <v>2084005310</v>
      </c>
      <c r="B2154" s="18" t="s">
        <v>17781</v>
      </c>
      <c r="C2154" s="18" t="s">
        <v>17783</v>
      </c>
      <c r="D2154" s="5" t="str">
        <f ca="1">IFERROR(__xludf.DUMMYFUNCTION("GOOGLETRANSLATE(B2154,""ja"",""vi"")"),"giày bé")</f>
        <v>giày bé</v>
      </c>
      <c r="E2154" s="5" t="str">
        <f ca="1">IFERROR(__xludf.DUMMYFUNCTION("GOOGLETRANSLATE(C2154,""ja"",""vi"")"),"Đấu giá&gt; Thời trang&gt; Kids, Baby Thời trang&gt; Baby Quần áo&gt; giày bé")</f>
        <v>Đấu giá&gt; Thời trang&gt; Kids, Baby Thời trang&gt; Baby Quần áo&gt; giày bé</v>
      </c>
      <c r="F2154" t="str">
        <f t="shared" ca="1" si="33"/>
        <v>"2084005310" : "giày bé",</v>
      </c>
    </row>
    <row r="2155" spans="1:6" ht="15.75" customHeight="1">
      <c r="A2155" s="18">
        <v>2084051832</v>
      </c>
      <c r="B2155" s="18" t="s">
        <v>17627</v>
      </c>
      <c r="C2155" s="18" t="s">
        <v>17785</v>
      </c>
      <c r="D2155" s="5" t="str">
        <f ca="1">IFERROR(__xludf.DUMMYFUNCTION("GOOGLETRANSLATE(B2155,""ja"",""vi"")"),"áo bơi liền mảnh")</f>
        <v>áo bơi liền mảnh</v>
      </c>
      <c r="E2155" s="5" t="str">
        <f ca="1">IFERROR(__xludf.DUMMYFUNCTION("GOOGLETRANSLATE(C2155,""ja"",""vi"")"),"Đấu giá&gt; Thời trang&gt; Kids, Baby thời trang&gt; quần áo trẻ em&gt; áo tắm")</f>
        <v>Đấu giá&gt; Thời trang&gt; Kids, Baby thời trang&gt; quần áo trẻ em&gt; áo tắm</v>
      </c>
      <c r="F2155" t="str">
        <f t="shared" ca="1" si="33"/>
        <v>"2084051832" : "áo bơi liền mảnh",</v>
      </c>
    </row>
    <row r="2156" spans="1:6" ht="15.75" customHeight="1">
      <c r="A2156" s="18">
        <v>2084240602</v>
      </c>
      <c r="B2156" s="18" t="s">
        <v>7989</v>
      </c>
      <c r="C2156" s="18" t="s">
        <v>17790</v>
      </c>
      <c r="D2156" s="5" t="str">
        <f ca="1">IFERROR(__xludf.DUMMYFUNCTION("GOOGLETRANSLATE(B2156,""ja"",""vi"")"),"làm bằng tay")</f>
        <v>làm bằng tay</v>
      </c>
      <c r="E2156" s="5" t="str">
        <f ca="1">IFERROR(__xludf.DUMMYFUNCTION("GOOGLETRANSLATE(C2156,""ja"",""vi"")"),"Đấu giá&gt; Thời trang&gt; Kids, Baby thời trang&gt; quần áo trẻ em&gt; handmade")</f>
        <v>Đấu giá&gt; Thời trang&gt; Kids, Baby thời trang&gt; quần áo trẻ em&gt; handmade</v>
      </c>
      <c r="F2156" t="str">
        <f t="shared" ca="1" si="33"/>
        <v>"2084240602" : "làm bằng tay",</v>
      </c>
    </row>
    <row r="2157" spans="1:6" ht="15.75" customHeight="1">
      <c r="A2157" s="18">
        <v>24202</v>
      </c>
      <c r="B2157" s="18" t="s">
        <v>184</v>
      </c>
      <c r="C2157" s="18" t="s">
        <v>17792</v>
      </c>
      <c r="D2157" s="5" t="str">
        <f ca="1">IFERROR(__xludf.DUMMYFUNCTION("GOOGLETRANSLATE(B2157,""ja"",""vi"")"),"nguồn cung cấp con")</f>
        <v>nguồn cung cấp con</v>
      </c>
      <c r="E2157" s="5" t="str">
        <f ca="1">IFERROR(__xludf.DUMMYFUNCTION("GOOGLETRANSLATE(C2157,""ja"",""vi"")"),"Đấu giá&gt; Thời trang&gt; Kids, Baby Thời trang&gt; Quần áo Baby&gt; Sản phẩm Baby")</f>
        <v>Đấu giá&gt; Thời trang&gt; Kids, Baby Thời trang&gt; Quần áo Baby&gt; Sản phẩm Baby</v>
      </c>
      <c r="F2157" t="str">
        <f t="shared" ca="1" si="33"/>
        <v>"24202" : "nguồn cung cấp con",</v>
      </c>
    </row>
    <row r="2158" spans="1:6" ht="15.75" customHeight="1">
      <c r="A2158" s="18">
        <v>2084006309</v>
      </c>
      <c r="B2158" s="18" t="s">
        <v>17794</v>
      </c>
      <c r="C2158" s="18" t="s">
        <v>17795</v>
      </c>
      <c r="D2158" s="5" t="str">
        <f ca="1">IFERROR(__xludf.DUMMYFUNCTION("GOOGLETRANSLATE(B2158,""ja"",""vi"")"),"Mang thai sản")</f>
        <v>Mang thai sản</v>
      </c>
      <c r="E2158" s="5" t="str">
        <f ca="1">IFERROR(__xludf.DUMMYFUNCTION("GOOGLETRANSLATE(C2158,""ja"",""vi"")"),"Đấu giá&gt; Thời trang&gt; Kids, Baby Thời trang&gt; Baby Quần áo&gt; Áo đầm bầu")</f>
        <v>Đấu giá&gt; Thời trang&gt; Kids, Baby Thời trang&gt; Baby Quần áo&gt; Áo đầm bầu</v>
      </c>
      <c r="F2158" t="str">
        <f t="shared" ca="1" si="33"/>
        <v>"2084006309" : "Mang thai sản",</v>
      </c>
    </row>
    <row r="2159" spans="1:6" ht="15.75" customHeight="1">
      <c r="A2159" s="18">
        <v>2084005312</v>
      </c>
      <c r="B2159" s="18" t="s">
        <v>46</v>
      </c>
      <c r="C2159" s="18" t="s">
        <v>17798</v>
      </c>
      <c r="D2159" s="5" t="str">
        <f ca="1">IFERROR(__xludf.DUMMYFUNCTION("GOOGLETRANSLATE(B2159,""ja"",""vi"")"),"nếu không thì")</f>
        <v>nếu không thì</v>
      </c>
      <c r="E2159" s="5" t="str">
        <f ca="1">IFERROR(__xludf.DUMMYFUNCTION("GOOGLETRANSLATE(C2159,""ja"",""vi"")"),"Đấu giá&gt; Thời trang&gt; Kids, Baby Thời trang&gt; Quần áo&gt; Khác")</f>
        <v>Đấu giá&gt; Thời trang&gt; Kids, Baby Thời trang&gt; Quần áo&gt; Khác</v>
      </c>
      <c r="F2159" t="str">
        <f t="shared" ca="1" si="33"/>
        <v>"2084005312" : "nếu không thì",</v>
      </c>
    </row>
    <row r="2160" spans="1:6" ht="15.75" customHeight="1">
      <c r="A2160" s="18">
        <v>2084053760</v>
      </c>
      <c r="B2160" s="18" t="s">
        <v>8377</v>
      </c>
      <c r="C2160" s="18" t="s">
        <v>13823</v>
      </c>
      <c r="D2160" s="5" t="str">
        <f ca="1">IFERROR(__xludf.DUMMYFUNCTION("GOOGLETRANSLATE(B2160,""ja"",""vi"")"),"giày thể thao")</f>
        <v>giày thể thao</v>
      </c>
      <c r="E2160" s="5" t="str">
        <f ca="1">IFERROR(__xludf.DUMMYFUNCTION("GOOGLETRANSLATE(C2160,""ja"",""vi"")"),"Đấu giá&gt; Thời trang&gt; Kids, em bé thời trang&gt; giày bé&gt; giày")</f>
        <v>Đấu giá&gt; Thời trang&gt; Kids, em bé thời trang&gt; giày bé&gt; giày</v>
      </c>
      <c r="F2160" t="str">
        <f t="shared" ca="1" si="33"/>
        <v>"2084053760" : "giày thể thao",</v>
      </c>
    </row>
    <row r="2161" spans="1:6" ht="15.75" customHeight="1">
      <c r="A2161" s="18">
        <v>2084053761</v>
      </c>
      <c r="B2161" s="18" t="s">
        <v>13827</v>
      </c>
      <c r="C2161" s="18" t="s">
        <v>13829</v>
      </c>
      <c r="D2161" s="5" t="str">
        <f ca="1">IFERROR(__xludf.DUMMYFUNCTION("GOOGLETRANSLATE(B2161,""ja"",""vi"")"),"dép xăng đan")</f>
        <v>dép xăng đan</v>
      </c>
      <c r="E2161" s="5" t="str">
        <f ca="1">IFERROR(__xludf.DUMMYFUNCTION("GOOGLETRANSLATE(C2161,""ja"",""vi"")"),"Đấu giá&gt; Thời trang&gt; Kids, em bé thời trang&gt; giày bé&gt; Sandals")</f>
        <v>Đấu giá&gt; Thời trang&gt; Kids, em bé thời trang&gt; giày bé&gt; Sandals</v>
      </c>
      <c r="F2161" t="str">
        <f t="shared" ca="1" si="33"/>
        <v>"2084053761" : "dép xăng đan",</v>
      </c>
    </row>
    <row r="2162" spans="1:6" ht="15.75" customHeight="1">
      <c r="A2162" s="18">
        <v>2084053769</v>
      </c>
      <c r="B2162" s="18" t="s">
        <v>13833</v>
      </c>
      <c r="C2162" s="18" t="s">
        <v>13835</v>
      </c>
      <c r="D2162" s="5" t="str">
        <f ca="1">IFERROR(__xludf.DUMMYFUNCTION("GOOGLETRANSLATE(B2162,""ja"",""vi"")"),"giày dây đeo")</f>
        <v>giày dây đeo</v>
      </c>
      <c r="E2162" s="5" t="str">
        <f ca="1">IFERROR(__xludf.DUMMYFUNCTION("GOOGLETRANSLATE(C2162,""ja"",""vi"")"),"Đấu giá&gt; Thời trang&gt; Kids, em bé thời trang&gt; giày bé&gt; giày dây đeo")</f>
        <v>Đấu giá&gt; Thời trang&gt; Kids, em bé thời trang&gt; giày bé&gt; giày dây đeo</v>
      </c>
      <c r="F2162" t="str">
        <f t="shared" ca="1" si="33"/>
        <v>"2084053769" : "giày dây đeo",</v>
      </c>
    </row>
    <row r="2163" spans="1:6" ht="15.75" customHeight="1">
      <c r="A2163" s="18">
        <v>2084053790</v>
      </c>
      <c r="B2163" s="18" t="s">
        <v>13839</v>
      </c>
      <c r="C2163" s="18" t="s">
        <v>13841</v>
      </c>
      <c r="D2163" s="5" t="str">
        <f ca="1">IFERROR(__xludf.DUMMYFUNCTION("GOOGLETRANSLATE(B2163,""ja"",""vi"")"),"Slip-on, giày vải")</f>
        <v>Slip-on, giày vải</v>
      </c>
      <c r="E2163" s="5" t="str">
        <f ca="1">IFERROR(__xludf.DUMMYFUNCTION("GOOGLETRANSLATE(C2163,""ja"",""vi"")"),"Đấu giá&gt; Thời trang&gt; Kids, em bé thời trang&gt; giày bé&gt; slip-on giày vải")</f>
        <v>Đấu giá&gt; Thời trang&gt; Kids, em bé thời trang&gt; giày bé&gt; slip-on giày vải</v>
      </c>
      <c r="F2163" t="str">
        <f t="shared" ca="1" si="33"/>
        <v>"2084053790" : "Slip-on, giày vải",</v>
      </c>
    </row>
    <row r="2164" spans="1:6" ht="15.75" customHeight="1">
      <c r="A2164" s="18">
        <v>2084053762</v>
      </c>
      <c r="B2164" s="18" t="s">
        <v>13714</v>
      </c>
      <c r="C2164" s="18" t="s">
        <v>13846</v>
      </c>
      <c r="D2164" s="5" t="str">
        <f ca="1">IFERROR(__xludf.DUMMYFUNCTION("GOOGLETRANSLATE(B2164,""ja"",""vi"")"),"giày chính thức")</f>
        <v>giày chính thức</v>
      </c>
      <c r="E2164" s="5" t="str">
        <f ca="1">IFERROR(__xludf.DUMMYFUNCTION("GOOGLETRANSLATE(C2164,""ja"",""vi"")"),"Đấu giá&gt; Thời trang&gt; Kids, em bé thời trang&gt; giày bé&gt; giày chính thức")</f>
        <v>Đấu giá&gt; Thời trang&gt; Kids, em bé thời trang&gt; giày bé&gt; giày chính thức</v>
      </c>
      <c r="F2164" t="str">
        <f t="shared" ca="1" si="33"/>
        <v>"2084053762" : "giày chính thức",</v>
      </c>
    </row>
    <row r="2165" spans="1:6" ht="15.75" customHeight="1">
      <c r="A2165" s="18">
        <v>2084053764</v>
      </c>
      <c r="B2165" s="18" t="s">
        <v>8537</v>
      </c>
      <c r="C2165" s="18" t="s">
        <v>13851</v>
      </c>
      <c r="D2165" s="5" t="str">
        <f ca="1">IFERROR(__xludf.DUMMYFUNCTION("GOOGLETRANSLATE(B2165,""ja"",""vi"")"),"giày ống")</f>
        <v>giày ống</v>
      </c>
      <c r="E2165" s="5" t="str">
        <f ca="1">IFERROR(__xludf.DUMMYFUNCTION("GOOGLETRANSLATE(C2165,""ja"",""vi"")"),"Đấu giá&gt; Thời trang&gt; Kids, em bé thời trang&gt; giày bé&gt; Boots")</f>
        <v>Đấu giá&gt; Thời trang&gt; Kids, em bé thời trang&gt; giày bé&gt; Boots</v>
      </c>
      <c r="F2165" t="str">
        <f t="shared" ca="1" si="33"/>
        <v>"2084053764" : "giày ống",</v>
      </c>
    </row>
    <row r="2166" spans="1:6" ht="15.75" customHeight="1">
      <c r="A2166" s="18">
        <v>2084053763</v>
      </c>
      <c r="B2166" s="18" t="s">
        <v>13856</v>
      </c>
      <c r="C2166" s="18" t="s">
        <v>13857</v>
      </c>
      <c r="D2166" s="5" t="str">
        <f ca="1">IFERROR(__xludf.DUMMYFUNCTION("GOOGLETRANSLATE(B2166,""ja"",""vi"")"),"Giày đi dạo, giày da đanh")</f>
        <v>Giày đi dạo, giày da đanh</v>
      </c>
      <c r="E2166" s="5" t="str">
        <f ca="1">IFERROR(__xludf.DUMMYFUNCTION("GOOGLETRANSLATE(C2166,""ja"",""vi"")"),"Đấu giá&gt; Thời trang&gt; Kids, em bé thời trang&gt; giày bé&gt; giày da, giày da đanh")</f>
        <v>Đấu giá&gt; Thời trang&gt; Kids, em bé thời trang&gt; giày bé&gt; giày da, giày da đanh</v>
      </c>
      <c r="F2166" t="str">
        <f t="shared" ca="1" si="33"/>
        <v>"2084053763" : "Giày đi dạo, giày da đanh",</v>
      </c>
    </row>
    <row r="2167" spans="1:6" ht="15.75" customHeight="1">
      <c r="A2167" s="18">
        <v>2084053765</v>
      </c>
      <c r="B2167" s="18" t="s">
        <v>13863</v>
      </c>
      <c r="C2167" s="18" t="s">
        <v>13864</v>
      </c>
      <c r="D2167" s="5" t="str">
        <f ca="1">IFERROR(__xludf.DUMMYFUNCTION("GOOGLETRANSLATE(B2167,""ja"",""vi"")"),"giày ống")</f>
        <v>giày ống</v>
      </c>
      <c r="E2167" s="5" t="str">
        <f ca="1">IFERROR(__xludf.DUMMYFUNCTION("GOOGLETRANSLATE(C2167,""ja"",""vi"")"),"Đấu giá&gt; Thời trang&gt; Kids, em bé thời trang&gt; giày bé&gt; giày")</f>
        <v>Đấu giá&gt; Thời trang&gt; Kids, em bé thời trang&gt; giày bé&gt; giày</v>
      </c>
      <c r="F2167" t="str">
        <f t="shared" ca="1" si="33"/>
        <v>"2084053765" : "giày ống",</v>
      </c>
    </row>
    <row r="2168" spans="1:6" ht="15.75" customHeight="1">
      <c r="A2168" s="18">
        <v>2084007257</v>
      </c>
      <c r="B2168" s="18" t="s">
        <v>17813</v>
      </c>
      <c r="C2168" s="18" t="s">
        <v>17815</v>
      </c>
      <c r="D2168" s="5" t="str">
        <f ca="1">IFERROR(__xludf.DUMMYFUNCTION("GOOGLETRANSLATE(B2168,""ja"",""vi"")"),"Style, Bib")</f>
        <v>Style, Bib</v>
      </c>
      <c r="E2168" s="5" t="str">
        <f ca="1">IFERROR(__xludf.DUMMYFUNCTION("GOOGLETRANSLATE(C2168,""ja"",""vi"")"),"Đấu giá&gt; Thời trang&gt; Kids, Baby Thời trang&gt; Phụ kiện thời trang cho bé&gt; phong cách, Bib")</f>
        <v>Đấu giá&gt; Thời trang&gt; Kids, Baby Thời trang&gt; Phụ kiện thời trang cho bé&gt; phong cách, Bib</v>
      </c>
      <c r="F2168" t="str">
        <f t="shared" ca="1" si="33"/>
        <v>"2084007257" : "Style, Bib",</v>
      </c>
    </row>
    <row r="2169" spans="1:6" ht="15.75" customHeight="1">
      <c r="A2169" s="18">
        <v>2084005311</v>
      </c>
      <c r="B2169" s="18" t="s">
        <v>15099</v>
      </c>
      <c r="C2169" s="18" t="s">
        <v>17817</v>
      </c>
      <c r="D2169" s="5" t="str">
        <f ca="1">IFERROR(__xludf.DUMMYFUNCTION("GOOGLETRANSLATE(B2169,""ja"",""vi"")"),"bít tất")</f>
        <v>bít tất</v>
      </c>
      <c r="E2169" s="5" t="str">
        <f ca="1">IFERROR(__xludf.DUMMYFUNCTION("GOOGLETRANSLATE(C2169,""ja"",""vi"")"),"Đấu giá&gt; Thời trang&gt; Kids, Baby Thời trang&gt; Phụ kiện thời trang cho bé&gt; vớ")</f>
        <v>Đấu giá&gt; Thời trang&gt; Kids, Baby Thời trang&gt; Phụ kiện thời trang cho bé&gt; vớ</v>
      </c>
      <c r="F2169" t="str">
        <f t="shared" ca="1" si="33"/>
        <v>"2084005311" : "bít tất",</v>
      </c>
    </row>
    <row r="2170" spans="1:6" ht="15.75" customHeight="1">
      <c r="A2170" s="18">
        <v>2084007256</v>
      </c>
      <c r="B2170" s="18" t="s">
        <v>15223</v>
      </c>
      <c r="C2170" s="18" t="s">
        <v>17819</v>
      </c>
      <c r="D2170" s="5" t="str">
        <f ca="1">IFERROR(__xludf.DUMMYFUNCTION("GOOGLETRANSLATE(B2170,""ja"",""vi"")"),"găng tay")</f>
        <v>găng tay</v>
      </c>
      <c r="E2170" s="5" t="str">
        <f ca="1">IFERROR(__xludf.DUMMYFUNCTION("GOOGLETRANSLATE(C2170,""ja"",""vi"")"),"Đấu giá&gt; Thời trang&gt; Kids, em bé thời trang&gt; Phụ kiện thời trang trẻ em&gt; găng tay")</f>
        <v>Đấu giá&gt; Thời trang&gt; Kids, em bé thời trang&gt; Phụ kiện thời trang trẻ em&gt; găng tay</v>
      </c>
      <c r="F2170" t="str">
        <f t="shared" ca="1" si="33"/>
        <v>"2084007256" : "găng tay",</v>
      </c>
    </row>
    <row r="2171" spans="1:6" ht="15.75" customHeight="1">
      <c r="A2171" s="18">
        <v>2084007255</v>
      </c>
      <c r="B2171" s="18" t="s">
        <v>7449</v>
      </c>
      <c r="C2171" s="18" t="s">
        <v>17821</v>
      </c>
      <c r="D2171" s="5" t="str">
        <f ca="1">IFERROR(__xludf.DUMMYFUNCTION("GOOGLETRANSLATE(B2171,""ja"",""vi"")"),"mũ")</f>
        <v>mũ</v>
      </c>
      <c r="E2171" s="5" t="str">
        <f ca="1">IFERROR(__xludf.DUMMYFUNCTION("GOOGLETRANSLATE(C2171,""ja"",""vi"")"),"Đấu giá&gt; Thời trang&gt; Kids, Baby Thời trang&gt; Phụ kiện thời trang cho bé&gt; mũ")</f>
        <v>Đấu giá&gt; Thời trang&gt; Kids, Baby Thời trang&gt; Phụ kiện thời trang cho bé&gt; mũ</v>
      </c>
      <c r="F2171" t="str">
        <f t="shared" ca="1" si="33"/>
        <v>"2084007255" : "mũ",</v>
      </c>
    </row>
    <row r="2172" spans="1:6" ht="15.75" customHeight="1">
      <c r="A2172" s="18">
        <v>2084007258</v>
      </c>
      <c r="B2172" s="18" t="s">
        <v>46</v>
      </c>
      <c r="C2172" s="18" t="s">
        <v>17823</v>
      </c>
      <c r="D2172" s="5" t="str">
        <f ca="1">IFERROR(__xludf.DUMMYFUNCTION("GOOGLETRANSLATE(B2172,""ja"",""vi"")"),"nếu không thì")</f>
        <v>nếu không thì</v>
      </c>
      <c r="E2172" s="5" t="str">
        <f ca="1">IFERROR(__xludf.DUMMYFUNCTION("GOOGLETRANSLATE(C2172,""ja"",""vi"")"),"Đấu giá&gt; Thời trang&gt; Kids, Baby Thời trang&gt; Phụ kiện thời trang&gt; Baby khác")</f>
        <v>Đấu giá&gt; Thời trang&gt; Kids, Baby Thời trang&gt; Phụ kiện thời trang&gt; Baby khác</v>
      </c>
      <c r="F2172" t="str">
        <f t="shared" ca="1" si="33"/>
        <v>"2084007258" : "nếu không thì",</v>
      </c>
    </row>
    <row r="2173" spans="1:6" ht="15.75" customHeight="1">
      <c r="A2173" s="18">
        <v>2084048833</v>
      </c>
      <c r="B2173" s="18" t="s">
        <v>17825</v>
      </c>
      <c r="C2173" s="18" t="s">
        <v>17826</v>
      </c>
      <c r="D2173" s="5" t="str">
        <f ca="1">IFERROR(__xludf.DUMMYFUNCTION("GOOGLETRANSLATE(B2173,""ja"",""vi"")"),"kẹp tóc")</f>
        <v>kẹp tóc</v>
      </c>
      <c r="E2173" s="5" t="str">
        <f ca="1">IFERROR(__xludf.DUMMYFUNCTION("GOOGLETRANSLATE(C2173,""ja"",""vi"")"),"Đấu giá&gt; Thời trang&gt; Kimono, kimono&gt; kẹp tóc")</f>
        <v>Đấu giá&gt; Thời trang&gt; Kimono, kimono&gt; kẹp tóc</v>
      </c>
      <c r="F2173" t="str">
        <f t="shared" ca="1" si="33"/>
        <v>"2084048833" : "kẹp tóc",</v>
      </c>
    </row>
    <row r="2174" spans="1:6" ht="15.75" customHeight="1">
      <c r="A2174" s="18">
        <v>2084005470</v>
      </c>
      <c r="B2174" s="18" t="s">
        <v>17828</v>
      </c>
      <c r="C2174" s="18" t="s">
        <v>17829</v>
      </c>
      <c r="D2174" s="5" t="str">
        <f ca="1">IFERROR(__xludf.DUMMYFUNCTION("GOOGLETRANSLATE(B2174,""ja"",""vi"")"),"Ví, túi xách")</f>
        <v>Ví, túi xách</v>
      </c>
      <c r="E2174" s="5" t="str">
        <f ca="1">IFERROR(__xludf.DUMMYFUNCTION("GOOGLETRANSLATE(C2174,""ja"",""vi"")"),"Đấu giá&gt; Thời trang&gt; Kimono, kimono&gt; ví, túi xách")</f>
        <v>Đấu giá&gt; Thời trang&gt; Kimono, kimono&gt; ví, túi xách</v>
      </c>
      <c r="F2174" t="str">
        <f t="shared" ca="1" si="33"/>
        <v>"2084005470" : "Ví, túi xách",</v>
      </c>
    </row>
    <row r="2175" spans="1:6" ht="15.75" customHeight="1">
      <c r="A2175" s="18">
        <v>2084005473</v>
      </c>
      <c r="B2175" s="18" t="s">
        <v>17830</v>
      </c>
      <c r="C2175" s="18" t="s">
        <v>17831</v>
      </c>
      <c r="D2175" s="5" t="str">
        <f ca="1">IFERROR(__xludf.DUMMYFUNCTION("GOOGLETRANSLATE(B2175,""ja"",""vi"")"),"Áo khoác, trên đường đi để mặc")</f>
        <v>Áo khoác, trên đường đi để mặc</v>
      </c>
      <c r="E2175" s="5" t="str">
        <f ca="1">IFERROR(__xludf.DUMMYFUNCTION("GOOGLETRANSLATE(C2175,""ja"",""vi"")"),"Đấu giá&gt; Thời trang&gt; Kimono, kimono&gt; áo, trên đường đi để mặc")</f>
        <v>Đấu giá&gt; Thời trang&gt; Kimono, kimono&gt; áo, trên đường đi để mặc</v>
      </c>
      <c r="F2175" t="str">
        <f t="shared" ca="1" si="33"/>
        <v>"2084005473" : "Áo khoác, trên đường đi để mặc",</v>
      </c>
    </row>
    <row r="2176" spans="1:6" ht="15.75" customHeight="1">
      <c r="A2176" s="18">
        <v>2084005469</v>
      </c>
      <c r="B2176" s="18" t="s">
        <v>17833</v>
      </c>
      <c r="C2176" s="18" t="s">
        <v>17834</v>
      </c>
      <c r="D2176" s="5" t="str">
        <f ca="1">IFERROR(__xludf.DUMMYFUNCTION("GOOGLETRANSLATE(B2176,""ja"",""vi"")"),"Geta, dép")</f>
        <v>Geta, dép</v>
      </c>
      <c r="E2176" s="5" t="str">
        <f ca="1">IFERROR(__xludf.DUMMYFUNCTION("GOOGLETRANSLATE(C2176,""ja"",""vi"")"),"Đấu giá&gt; Thời trang&gt; Kimono, kimono&gt; geta, dép")</f>
        <v>Đấu giá&gt; Thời trang&gt; Kimono, kimono&gt; geta, dép</v>
      </c>
      <c r="F2176" t="str">
        <f t="shared" ca="1" si="33"/>
        <v>"2084005469" : "Geta, dép",</v>
      </c>
    </row>
    <row r="2177" spans="1:6" ht="15.75" customHeight="1">
      <c r="A2177" s="18">
        <v>2084005465</v>
      </c>
      <c r="B2177" s="18" t="s">
        <v>17836</v>
      </c>
      <c r="C2177" s="18" t="s">
        <v>17837</v>
      </c>
      <c r="D2177" s="5" t="str">
        <f ca="1">IFERROR(__xludf.DUMMYFUNCTION("GOOGLETRANSLATE(B2177,""ja"",""vi"")"),"Komon")</f>
        <v>Komon</v>
      </c>
      <c r="E2177" s="5" t="str">
        <f ca="1">IFERROR(__xludf.DUMMYFUNCTION("GOOGLETRANSLATE(C2177,""ja"",""vi"")"),"Đấu giá&gt; Thời trang&gt; Kimono, kimono&gt; Komon")</f>
        <v>Đấu giá&gt; Thời trang&gt; Kimono, kimono&gt; Komon</v>
      </c>
      <c r="F2177" t="str">
        <f t="shared" ca="1" si="33"/>
        <v>"2084005465" : "Komon",</v>
      </c>
    </row>
    <row r="2178" spans="1:6" ht="15.75" customHeight="1">
      <c r="A2178" s="18">
        <v>2084005466</v>
      </c>
      <c r="B2178" s="18" t="s">
        <v>17839</v>
      </c>
      <c r="C2178" s="18" t="s">
        <v>17840</v>
      </c>
      <c r="D2178" s="5" t="str">
        <f ca="1">IFERROR(__xludf.DUMMYFUNCTION("GOOGLETRANSLATE(B2178,""ja"",""vi"")"),"màu đồng bằng")</f>
        <v>màu đồng bằng</v>
      </c>
      <c r="E2178" s="5" t="str">
        <f ca="1">IFERROR(__xludf.DUMMYFUNCTION("GOOGLETRANSLATE(C2178,""ja"",""vi"")"),"Đấu giá&gt; Thời trang&gt; Kimono, kimono&gt; đồng bằng màu")</f>
        <v>Đấu giá&gt; Thời trang&gt; Kimono, kimono&gt; đồng bằng màu</v>
      </c>
      <c r="F2178" t="str">
        <f t="shared" ref="F2178:F2241" ca="1" si="34">CONCATENATE(CHAR(34)&amp;"",A2178,""&amp;CHAR(34)," : ", CHAR(34)&amp;"",D2178,""&amp;CHAR(34),",")</f>
        <v>"2084005466" : "màu đồng bằng",</v>
      </c>
    </row>
    <row r="2179" spans="1:6" ht="15.75" customHeight="1">
      <c r="A2179" s="18">
        <v>2084005461</v>
      </c>
      <c r="B2179" s="18" t="s">
        <v>17842</v>
      </c>
      <c r="C2179" s="18" t="s">
        <v>17843</v>
      </c>
      <c r="D2179" s="5" t="str">
        <f ca="1">IFERROR(__xludf.DUMMYFUNCTION("GOOGLETRANSLATE(B2179,""ja"",""vi"")"),"Dài tay áo kimono")</f>
        <v>Dài tay áo kimono</v>
      </c>
      <c r="E2179" s="5" t="str">
        <f ca="1">IFERROR(__xludf.DUMMYFUNCTION("GOOGLETRANSLATE(C2179,""ja"",""vi"")"),"Đấu giá&gt; Thời trang&gt; Kimono, kimono&gt; kimono")</f>
        <v>Đấu giá&gt; Thời trang&gt; Kimono, kimono&gt; kimono</v>
      </c>
      <c r="F2179" t="str">
        <f t="shared" ca="1" si="34"/>
        <v>"2084005461" : "Dài tay áo kimono",</v>
      </c>
    </row>
    <row r="2180" spans="1:6" ht="15.75" customHeight="1">
      <c r="A2180" s="18">
        <v>2084005468</v>
      </c>
      <c r="B2180" s="18" t="s">
        <v>8463</v>
      </c>
      <c r="C2180" s="18" t="s">
        <v>17846</v>
      </c>
      <c r="D2180" s="5" t="str">
        <f ca="1">IFERROR(__xludf.DUMMYFUNCTION("GOOGLETRANSLATE(B2180,""ja"",""vi"")"),"dây lưng lụa")</f>
        <v>dây lưng lụa</v>
      </c>
      <c r="E2180" s="5" t="str">
        <f ca="1">IFERROR(__xludf.DUMMYFUNCTION("GOOGLETRANSLATE(C2180,""ja"",""vi"")"),"Đấu giá&gt; Thời trang&gt; Kimono, kimono&gt; band")</f>
        <v>Đấu giá&gt; Thời trang&gt; Kimono, kimono&gt; band</v>
      </c>
      <c r="F2180" t="str">
        <f t="shared" ca="1" si="34"/>
        <v>"2084005468" : "dây lưng lụa",</v>
      </c>
    </row>
    <row r="2181" spans="1:6" ht="15.75" customHeight="1">
      <c r="A2181" s="18">
        <v>2084048387</v>
      </c>
      <c r="B2181" s="18" t="s">
        <v>17849</v>
      </c>
      <c r="C2181" s="18" t="s">
        <v>17850</v>
      </c>
      <c r="D2181" s="5" t="str">
        <f ca="1">IFERROR(__xludf.DUMMYFUNCTION("GOOGLETRANSLATE(B2181,""ja"",""vi"")"),"Loại tơ sống, giấy triệu tập")</f>
        <v>Loại tơ sống, giấy triệu tập</v>
      </c>
      <c r="E2181" s="5" t="str">
        <f ca="1">IFERROR(__xludf.DUMMYFUNCTION("GOOGLETRANSLATE(C2181,""ja"",""vi"")"),"Đấu giá&gt; Thời trang&gt; Kimono, kimono&gt; loại tơ sống, giấy triệu tập")</f>
        <v>Đấu giá&gt; Thời trang&gt; Kimono, kimono&gt; loại tơ sống, giấy triệu tập</v>
      </c>
      <c r="F2181" t="str">
        <f t="shared" ca="1" si="34"/>
        <v>"2084048387" : "Loại tơ sống, giấy triệu tập",</v>
      </c>
    </row>
    <row r="2182" spans="1:6" ht="15.75" customHeight="1">
      <c r="A2182" s="18">
        <v>2084005464</v>
      </c>
      <c r="B2182" s="18" t="s">
        <v>17852</v>
      </c>
      <c r="C2182" s="18" t="s">
        <v>17853</v>
      </c>
      <c r="D2182" s="5" t="str">
        <f ca="1">IFERROR(__xludf.DUMMYFUNCTION("GOOGLETRANSLATE(B2182,""ja"",""vi"")"),"Tsukesage")</f>
        <v>Tsukesage</v>
      </c>
      <c r="E2182" s="5" t="str">
        <f ca="1">IFERROR(__xludf.DUMMYFUNCTION("GOOGLETRANSLATE(C2182,""ja"",""vi"")"),"Đấu giá&gt; Thời trang&gt; Kimono, kimono&gt; Tsukesage")</f>
        <v>Đấu giá&gt; Thời trang&gt; Kimono, kimono&gt; Tsukesage</v>
      </c>
      <c r="F2182" t="str">
        <f t="shared" ca="1" si="34"/>
        <v>"2084005464" : "Tsukesage",</v>
      </c>
    </row>
    <row r="2183" spans="1:6" ht="15.75" customHeight="1">
      <c r="A2183" s="18">
        <v>2084005463</v>
      </c>
      <c r="B2183" s="18" t="s">
        <v>17854</v>
      </c>
      <c r="C2183" s="18" t="s">
        <v>17855</v>
      </c>
      <c r="D2183" s="5" t="str">
        <f ca="1">IFERROR(__xludf.DUMMYFUNCTION("GOOGLETRANSLATE(B2183,""ja"",""vi"")"),"Houmongi")</f>
        <v>Houmongi</v>
      </c>
      <c r="E2183" s="5" t="str">
        <f ca="1">IFERROR(__xludf.DUMMYFUNCTION("GOOGLETRANSLATE(C2183,""ja"",""vi"")"),"Đấu giá&gt; Thời trang&gt; Kimono, kimono&gt; Houmongi")</f>
        <v>Đấu giá&gt; Thời trang&gt; Kimono, kimono&gt; Houmongi</v>
      </c>
      <c r="F2183" t="str">
        <f t="shared" ca="1" si="34"/>
        <v>"2084005463" : "Houmongi",</v>
      </c>
    </row>
    <row r="2184" spans="1:6" ht="15.75" customHeight="1">
      <c r="A2184" s="18">
        <v>2084005467</v>
      </c>
      <c r="B2184" s="18" t="s">
        <v>17619</v>
      </c>
      <c r="C2184" s="18" t="s">
        <v>17857</v>
      </c>
      <c r="D2184" s="5" t="str">
        <f ca="1">IFERROR(__xludf.DUMMYFUNCTION("GOOGLETRANSLATE(B2184,""ja"",""vi"")"),"yukata")</f>
        <v>yukata</v>
      </c>
      <c r="E2184" s="5" t="str">
        <f ca="1">IFERROR(__xludf.DUMMYFUNCTION("GOOGLETRANSLATE(C2184,""ja"",""vi"")"),"Đấu giá&gt; Thời trang&gt; Kimono, kimono&gt; yukata")</f>
        <v>Đấu giá&gt; Thời trang&gt; Kimono, kimono&gt; yukata</v>
      </c>
      <c r="F2184" t="str">
        <f t="shared" ca="1" si="34"/>
        <v>"2084005467" : "yukata",</v>
      </c>
    </row>
    <row r="2185" spans="1:6" ht="15.75" customHeight="1">
      <c r="A2185" s="18">
        <v>2084005462</v>
      </c>
      <c r="B2185" s="18" t="s">
        <v>17859</v>
      </c>
      <c r="C2185" s="18" t="s">
        <v>17860</v>
      </c>
      <c r="D2185" s="5" t="str">
        <f ca="1">IFERROR(__xludf.DUMMYFUNCTION("GOOGLETRANSLATE(B2185,""ja"",""vi"")"),"tomesode")</f>
        <v>tomesode</v>
      </c>
      <c r="E2185" s="5" t="str">
        <f ca="1">IFERROR(__xludf.DUMMYFUNCTION("GOOGLETRANSLATE(C2185,""ja"",""vi"")"),"Đấu giá&gt; Thời trang&gt; Kimono, kimono&gt; tomesode")</f>
        <v>Đấu giá&gt; Thời trang&gt; Kimono, kimono&gt; tomesode</v>
      </c>
      <c r="F2185" t="str">
        <f t="shared" ca="1" si="34"/>
        <v>"2084005462" : "tomesode",</v>
      </c>
    </row>
    <row r="2186" spans="1:6" ht="15.75" customHeight="1">
      <c r="A2186" s="18">
        <v>2084059847</v>
      </c>
      <c r="B2186" s="18" t="s">
        <v>17864</v>
      </c>
      <c r="C2186" s="18" t="s">
        <v>17866</v>
      </c>
      <c r="D2186" s="5" t="str">
        <f ca="1">IFERROR(__xludf.DUMMYFUNCTION("GOOGLETRANSLATE(B2186,""ja"",""vi"")"),"Nagajuban")</f>
        <v>Nagajuban</v>
      </c>
      <c r="E2186" s="5" t="str">
        <f ca="1">IFERROR(__xludf.DUMMYFUNCTION("GOOGLETRANSLATE(C2186,""ja"",""vi"")"),"Đấu giá&gt; Thời trang&gt; Kimono, kimono&gt; Nagajuban")</f>
        <v>Đấu giá&gt; Thời trang&gt; Kimono, kimono&gt; Nagajuban</v>
      </c>
      <c r="F2186" t="str">
        <f t="shared" ca="1" si="34"/>
        <v>"2084059847" : "Nagajuban",</v>
      </c>
    </row>
    <row r="2187" spans="1:6" ht="15.75" customHeight="1">
      <c r="A2187" s="18">
        <v>2084061635</v>
      </c>
      <c r="B2187" s="18" t="s">
        <v>15087</v>
      </c>
      <c r="C2187" s="18" t="s">
        <v>17870</v>
      </c>
      <c r="D2187" s="5" t="str">
        <f ca="1">IFERROR(__xludf.DUMMYFUNCTION("GOOGLETRANSLATE(B2187,""ja"",""vi"")"),"Kimono cho Inner Mang")</f>
        <v>Kimono cho Inner Mang</v>
      </c>
      <c r="E2187" s="5" t="str">
        <f ca="1">IFERROR(__xludf.DUMMYFUNCTION("GOOGLETRANSLATE(C2187,""ja"",""vi"")"),"Đấu giá&gt; Thời trang&gt; Kimono, kimono&gt; mặc bên trong quần áo của Nhật Bản")</f>
        <v>Đấu giá&gt; Thời trang&gt; Kimono, kimono&gt; mặc bên trong quần áo của Nhật Bản</v>
      </c>
      <c r="F2187" t="str">
        <f t="shared" ca="1" si="34"/>
        <v>"2084061635" : "Kimono cho Inner Mang",</v>
      </c>
    </row>
    <row r="2188" spans="1:6" ht="15.75" customHeight="1">
      <c r="A2188" s="18">
        <v>2084005472</v>
      </c>
      <c r="B2188" s="18" t="s">
        <v>17874</v>
      </c>
      <c r="C2188" s="18" t="s">
        <v>17877</v>
      </c>
      <c r="D2188" s="5" t="str">
        <f ca="1">IFERROR(__xludf.DUMMYFUNCTION("GOOGLETRANSLATE(B2188,""ja"",""vi"")"),"phụ kiện kimono")</f>
        <v>phụ kiện kimono</v>
      </c>
      <c r="E2188" s="5" t="str">
        <f ca="1">IFERROR(__xludf.DUMMYFUNCTION("GOOGLETRANSLATE(C2188,""ja"",""vi"")"),"Đấu giá&gt; Thời trang&gt; Kimono, kimono&gt; kimono phụ kiện")</f>
        <v>Đấu giá&gt; Thời trang&gt; Kimono, kimono&gt; kimono phụ kiện</v>
      </c>
      <c r="F2188" t="str">
        <f t="shared" ca="1" si="34"/>
        <v>"2084005472" : "phụ kiện kimono",</v>
      </c>
    </row>
    <row r="2189" spans="1:6" ht="15.75" customHeight="1">
      <c r="A2189" s="18">
        <v>2084311305</v>
      </c>
      <c r="B2189" s="18" t="s">
        <v>2880</v>
      </c>
      <c r="C2189" s="18" t="s">
        <v>17881</v>
      </c>
      <c r="D2189" s="5" t="str">
        <f ca="1">IFERROR(__xludf.DUMMYFUNCTION("GOOGLETRANSLATE(B2189,""ja"",""vi"")"),"đồ cổ")</f>
        <v>đồ cổ</v>
      </c>
      <c r="E2189" s="5" t="str">
        <f ca="1">IFERROR(__xludf.DUMMYFUNCTION("GOOGLETRANSLATE(C2189,""ja"",""vi"")"),"Đấu giá&gt; Thời trang&gt; Kimono, kimono&gt; Antique")</f>
        <v>Đấu giá&gt; Thời trang&gt; Kimono, kimono&gt; Antique</v>
      </c>
      <c r="F2189" t="str">
        <f t="shared" ca="1" si="34"/>
        <v>"2084311305" : "đồ cổ",</v>
      </c>
    </row>
    <row r="2190" spans="1:6" ht="15.75" customHeight="1">
      <c r="A2190" s="18">
        <v>2084307760</v>
      </c>
      <c r="B2190" s="18" t="s">
        <v>370</v>
      </c>
      <c r="C2190" s="18" t="s">
        <v>17887</v>
      </c>
      <c r="D2190" s="5" t="str">
        <f ca="1">IFERROR(__xludf.DUMMYFUNCTION("GOOGLETRANSLATE(B2190,""ja"",""vi"")"),"mặc quần áo")</f>
        <v>mặc quần áo</v>
      </c>
      <c r="E2190" s="5" t="str">
        <f ca="1">IFERROR(__xludf.DUMMYFUNCTION("GOOGLETRANSLATE(C2190,""ja"",""vi"")"),"Đấu giá&gt; Thời trang&gt; Kimono, kimono&gt; thay đồ")</f>
        <v>Đấu giá&gt; Thời trang&gt; Kimono, kimono&gt; thay đồ</v>
      </c>
      <c r="F2190" t="str">
        <f t="shared" ca="1" si="34"/>
        <v>"2084307760" : "mặc quần áo",</v>
      </c>
    </row>
    <row r="2191" spans="1:6" ht="15.75" customHeight="1">
      <c r="A2191" s="18">
        <v>2084005474</v>
      </c>
      <c r="B2191" s="18" t="s">
        <v>46</v>
      </c>
      <c r="C2191" s="18" t="s">
        <v>17891</v>
      </c>
      <c r="D2191" s="5" t="str">
        <f ca="1">IFERROR(__xludf.DUMMYFUNCTION("GOOGLETRANSLATE(B2191,""ja"",""vi"")"),"nếu không thì")</f>
        <v>nếu không thì</v>
      </c>
      <c r="E2191" s="5" t="str">
        <f ca="1">IFERROR(__xludf.DUMMYFUNCTION("GOOGLETRANSLATE(C2191,""ja"",""vi"")"),"Đấu giá&gt; Thời trang&gt; Kimono, kimono&gt; Khác")</f>
        <v>Đấu giá&gt; Thời trang&gt; Kimono, kimono&gt; Khác</v>
      </c>
      <c r="F2191" t="str">
        <f t="shared" ca="1" si="34"/>
        <v>"2084005474" : "nếu không thì",</v>
      </c>
    </row>
    <row r="2192" spans="1:6" ht="15.75" customHeight="1">
      <c r="A2192" s="18">
        <v>2084045098</v>
      </c>
      <c r="B2192" s="18" t="s">
        <v>2241</v>
      </c>
      <c r="C2192" s="18" t="s">
        <v>17895</v>
      </c>
      <c r="D2192" s="5" t="str">
        <f ca="1">IFERROR(__xludf.DUMMYFUNCTION("GOOGLETRANSLATE(B2192,""ja"",""vi"")"),"chung")</f>
        <v>chung</v>
      </c>
      <c r="E2192" s="5" t="str">
        <f ca="1">IFERROR(__xludf.DUMMYFUNCTION("GOOGLETRANSLATE(C2192,""ja"",""vi"")"),"Đấu giá&gt; thời trang&gt; man quần áo Nhật Bản, kimono&gt; General")</f>
        <v>Đấu giá&gt; thời trang&gt; man quần áo Nhật Bản, kimono&gt; General</v>
      </c>
      <c r="F2192" t="str">
        <f t="shared" ca="1" si="34"/>
        <v>"2084045098" : "chung",</v>
      </c>
    </row>
    <row r="2193" spans="1:6" ht="15.75" customHeight="1">
      <c r="A2193" s="18">
        <v>2084045102</v>
      </c>
      <c r="B2193" s="18" t="s">
        <v>17833</v>
      </c>
      <c r="C2193" s="18" t="s">
        <v>17900</v>
      </c>
      <c r="D2193" s="5" t="str">
        <f ca="1">IFERROR(__xludf.DUMMYFUNCTION("GOOGLETRANSLATE(B2193,""ja"",""vi"")"),"Geta, dép")</f>
        <v>Geta, dép</v>
      </c>
      <c r="E2193" s="5" t="str">
        <f ca="1">IFERROR(__xludf.DUMMYFUNCTION("GOOGLETRANSLATE(C2193,""ja"",""vi"")"),"Đấu giá&gt; thời trang&gt; man quần áo Nhật Bản, kimono&gt; geta, dép")</f>
        <v>Đấu giá&gt; thời trang&gt; man quần áo Nhật Bản, kimono&gt; geta, dép</v>
      </c>
      <c r="F2193" t="str">
        <f t="shared" ca="1" si="34"/>
        <v>"2084045102" : "Geta, dép",</v>
      </c>
    </row>
    <row r="2194" spans="1:6" ht="15.75" customHeight="1">
      <c r="A2194" s="18">
        <v>2084045101</v>
      </c>
      <c r="B2194" s="18" t="s">
        <v>17901</v>
      </c>
      <c r="C2194" s="18" t="s">
        <v>17904</v>
      </c>
      <c r="D2194" s="5" t="str">
        <f ca="1">IFERROR(__xludf.DUMMYFUNCTION("GOOGLETRANSLATE(B2194,""ja"",""vi"")"),"quần áo làm việc Monk")</f>
        <v>quần áo làm việc Monk</v>
      </c>
      <c r="E2194" s="5" t="str">
        <f ca="1">IFERROR(__xludf.DUMMYFUNCTION("GOOGLETRANSLATE(C2194,""ja"",""vi"")"),"Đấu giá&gt; thời trang&gt; man quần áo Nhật Bản, kimono&gt; Samue")</f>
        <v>Đấu giá&gt; thời trang&gt; man quần áo Nhật Bản, kimono&gt; Samue</v>
      </c>
      <c r="F2194" t="str">
        <f t="shared" ca="1" si="34"/>
        <v>"2084045101" : "quần áo làm việc Monk",</v>
      </c>
    </row>
    <row r="2195" spans="1:6" ht="15.75" customHeight="1">
      <c r="A2195" s="18">
        <v>2084045100</v>
      </c>
      <c r="B2195" s="18" t="s">
        <v>17622</v>
      </c>
      <c r="C2195" s="18" t="s">
        <v>17907</v>
      </c>
      <c r="D2195" s="5" t="str">
        <f ca="1">IFERROR(__xludf.DUMMYFUNCTION("GOOGLETRANSLATE(B2195,""ja"",""vi"")"),"Jinbei")</f>
        <v>Jinbei</v>
      </c>
      <c r="E2195" s="5" t="str">
        <f ca="1">IFERROR(__xludf.DUMMYFUNCTION("GOOGLETRANSLATE(C2195,""ja"",""vi"")"),"Đấu giá&gt; thời trang&gt; man quần áo Nhật Bản, kimono&gt; Jinbei")</f>
        <v>Đấu giá&gt; thời trang&gt; man quần áo Nhật Bản, kimono&gt; Jinbei</v>
      </c>
      <c r="F2195" t="str">
        <f t="shared" ca="1" si="34"/>
        <v>"2084045100" : "Jinbei",</v>
      </c>
    </row>
    <row r="2196" spans="1:6" ht="15.75" customHeight="1">
      <c r="A2196" s="18">
        <v>2084045103</v>
      </c>
      <c r="B2196" s="18" t="s">
        <v>8463</v>
      </c>
      <c r="C2196" s="18" t="s">
        <v>17912</v>
      </c>
      <c r="D2196" s="5" t="str">
        <f ca="1">IFERROR(__xludf.DUMMYFUNCTION("GOOGLETRANSLATE(B2196,""ja"",""vi"")"),"dây lưng lụa")</f>
        <v>dây lưng lụa</v>
      </c>
      <c r="E2196" s="5" t="str">
        <f ca="1">IFERROR(__xludf.DUMMYFUNCTION("GOOGLETRANSLATE(C2196,""ja"",""vi"")"),"Đấu giá&gt; thời trang&gt; man quần áo Nhật Bản, kimono&gt; band")</f>
        <v>Đấu giá&gt; thời trang&gt; man quần áo Nhật Bản, kimono&gt; band</v>
      </c>
      <c r="F2196" t="str">
        <f t="shared" ca="1" si="34"/>
        <v>"2084045103" : "dây lưng lụa",</v>
      </c>
    </row>
    <row r="2197" spans="1:6" ht="15.75" customHeight="1">
      <c r="A2197" s="18">
        <v>2084045099</v>
      </c>
      <c r="B2197" s="18" t="s">
        <v>17619</v>
      </c>
      <c r="C2197" s="18" t="s">
        <v>17917</v>
      </c>
      <c r="D2197" s="5" t="str">
        <f ca="1">IFERROR(__xludf.DUMMYFUNCTION("GOOGLETRANSLATE(B2197,""ja"",""vi"")"),"yukata")</f>
        <v>yukata</v>
      </c>
      <c r="E2197" s="5" t="str">
        <f ca="1">IFERROR(__xludf.DUMMYFUNCTION("GOOGLETRANSLATE(C2197,""ja"",""vi"")"),"Đấu giá&gt; thời trang&gt; man quần áo Nhật Bản, kimono&gt; yukata")</f>
        <v>Đấu giá&gt; thời trang&gt; man quần áo Nhật Bản, kimono&gt; yukata</v>
      </c>
      <c r="F2197" t="str">
        <f t="shared" ca="1" si="34"/>
        <v>"2084045099" : "yukata",</v>
      </c>
    </row>
    <row r="2198" spans="1:6" ht="15.75" customHeight="1">
      <c r="A2198" s="18">
        <v>2084059848</v>
      </c>
      <c r="B2198" s="18" t="s">
        <v>17864</v>
      </c>
      <c r="C2198" s="18" t="s">
        <v>17922</v>
      </c>
      <c r="D2198" s="5" t="str">
        <f ca="1">IFERROR(__xludf.DUMMYFUNCTION("GOOGLETRANSLATE(B2198,""ja"",""vi"")"),"Nagajuban")</f>
        <v>Nagajuban</v>
      </c>
      <c r="E2198" s="5" t="str">
        <f ca="1">IFERROR(__xludf.DUMMYFUNCTION("GOOGLETRANSLATE(C2198,""ja"",""vi"")"),"Đấu giá&gt; thời trang&gt; man quần áo Nhật Bản, kimono&gt; Nagajuban")</f>
        <v>Đấu giá&gt; thời trang&gt; man quần áo Nhật Bản, kimono&gt; Nagajuban</v>
      </c>
      <c r="F2198" t="str">
        <f t="shared" ca="1" si="34"/>
        <v>"2084059848" : "Nagajuban",</v>
      </c>
    </row>
    <row r="2199" spans="1:6" ht="15.75" customHeight="1">
      <c r="A2199" s="18">
        <v>2084061633</v>
      </c>
      <c r="B2199" s="18" t="s">
        <v>16757</v>
      </c>
      <c r="C2199" s="18" t="s">
        <v>17923</v>
      </c>
      <c r="D2199" s="5" t="str">
        <f ca="1">IFERROR(__xludf.DUMMYFUNCTION("GOOGLETRANSLATE(B2199,""ja"",""vi"")"),"khố")</f>
        <v>khố</v>
      </c>
      <c r="E2199" s="5" t="str">
        <f ca="1">IFERROR(__xludf.DUMMYFUNCTION("GOOGLETRANSLATE(C2199,""ja"",""vi"")"),"Đấu giá&gt; thời trang&gt; man quần áo Nhật Bản, kimono&gt; khố")</f>
        <v>Đấu giá&gt; thời trang&gt; man quần áo Nhật Bản, kimono&gt; khố</v>
      </c>
      <c r="F2199" t="str">
        <f t="shared" ca="1" si="34"/>
        <v>"2084061633" : "khố",</v>
      </c>
    </row>
    <row r="2200" spans="1:6" ht="15.75" customHeight="1">
      <c r="A2200" s="18">
        <v>2084061631</v>
      </c>
      <c r="B2200" s="18" t="s">
        <v>17874</v>
      </c>
      <c r="C2200" s="18" t="s">
        <v>17927</v>
      </c>
      <c r="D2200" s="5" t="str">
        <f ca="1">IFERROR(__xludf.DUMMYFUNCTION("GOOGLETRANSLATE(B2200,""ja"",""vi"")"),"phụ kiện kimono")</f>
        <v>phụ kiện kimono</v>
      </c>
      <c r="E2200" s="5" t="str">
        <f ca="1">IFERROR(__xludf.DUMMYFUNCTION("GOOGLETRANSLATE(C2200,""ja"",""vi"")"),"Đấu giá&gt; thời trang&gt; man quần áo Nhật Bản, kimono&gt; kimono phụ kiện")</f>
        <v>Đấu giá&gt; thời trang&gt; man quần áo Nhật Bản, kimono&gt; kimono phụ kiện</v>
      </c>
      <c r="F2200" t="str">
        <f t="shared" ca="1" si="34"/>
        <v>"2084061631" : "phụ kiện kimono",</v>
      </c>
    </row>
    <row r="2201" spans="1:6" ht="15.75" customHeight="1">
      <c r="A2201" s="18">
        <v>2084006543</v>
      </c>
      <c r="B2201" s="18" t="s">
        <v>17932</v>
      </c>
      <c r="C2201" s="18" t="s">
        <v>17933</v>
      </c>
      <c r="D2201" s="5" t="str">
        <f ca="1">IFERROR(__xludf.DUMMYFUNCTION("GOOGLETRANSLATE(B2201,""ja"",""vi"")"),"quần áo Nhật Bản nói chung")</f>
        <v>quần áo Nhật Bản nói chung</v>
      </c>
      <c r="E2201" s="5" t="str">
        <f ca="1">IFERROR(__xludf.DUMMYFUNCTION("GOOGLETRANSLATE(C2201,""ja"",""vi"")"),"Đấu giá&gt; thời trang&gt; quần áo Nhật Bản, kimono&gt; Cần nam&gt; kimono chung")</f>
        <v>Đấu giá&gt; thời trang&gt; quần áo Nhật Bản, kimono&gt; Cần nam&gt; kimono chung</v>
      </c>
      <c r="F2201" t="str">
        <f t="shared" ca="1" si="34"/>
        <v>"2084006543" : "quần áo Nhật Bản nói chung",</v>
      </c>
    </row>
    <row r="2202" spans="1:6" ht="15.75" customHeight="1">
      <c r="A2202" s="18">
        <v>2084051667</v>
      </c>
      <c r="B2202" s="18" t="s">
        <v>17619</v>
      </c>
      <c r="C2202" s="18" t="s">
        <v>17938</v>
      </c>
      <c r="D2202" s="5" t="str">
        <f ca="1">IFERROR(__xludf.DUMMYFUNCTION("GOOGLETRANSLATE(B2202,""ja"",""vi"")"),"yukata")</f>
        <v>yukata</v>
      </c>
      <c r="E2202" s="5" t="str">
        <f ca="1">IFERROR(__xludf.DUMMYFUNCTION("GOOGLETRANSLATE(C2202,""ja"",""vi"")"),"Đấu giá&gt; thời trang&gt; quần áo Nhật Bản, kimono&gt; Cần nam&gt; yukata")</f>
        <v>Đấu giá&gt; thời trang&gt; quần áo Nhật Bản, kimono&gt; Cần nam&gt; yukata</v>
      </c>
      <c r="F2202" t="str">
        <f t="shared" ca="1" si="34"/>
        <v>"2084051667" : "yukata",</v>
      </c>
    </row>
    <row r="2203" spans="1:6" ht="15.75" customHeight="1">
      <c r="A2203" s="18">
        <v>2084051668</v>
      </c>
      <c r="B2203" s="18" t="s">
        <v>17622</v>
      </c>
      <c r="C2203" s="18" t="s">
        <v>17943</v>
      </c>
      <c r="D2203" s="5" t="str">
        <f ca="1">IFERROR(__xludf.DUMMYFUNCTION("GOOGLETRANSLATE(B2203,""ja"",""vi"")"),"Jinbei")</f>
        <v>Jinbei</v>
      </c>
      <c r="E2203" s="5" t="str">
        <f ca="1">IFERROR(__xludf.DUMMYFUNCTION("GOOGLETRANSLATE(C2203,""ja"",""vi"")"),"Đấu giá&gt; thời trang&gt; quần áo Nhật Bản, kimono&gt; Cần nam&gt; Jinbei")</f>
        <v>Đấu giá&gt; thời trang&gt; quần áo Nhật Bản, kimono&gt; Cần nam&gt; Jinbei</v>
      </c>
      <c r="F2203" t="str">
        <f t="shared" ca="1" si="34"/>
        <v>"2084051668" : "Jinbei",</v>
      </c>
    </row>
    <row r="2204" spans="1:6" ht="15.75" customHeight="1">
      <c r="A2204" s="18">
        <v>2084006548</v>
      </c>
      <c r="B2204" s="18" t="s">
        <v>17932</v>
      </c>
      <c r="C2204" s="18" t="s">
        <v>17948</v>
      </c>
      <c r="D2204" s="5" t="str">
        <f ca="1">IFERROR(__xludf.DUMMYFUNCTION("GOOGLETRANSLATE(B2204,""ja"",""vi"")"),"quần áo Nhật Bản nói chung")</f>
        <v>quần áo Nhật Bản nói chung</v>
      </c>
      <c r="E2204" s="5" t="str">
        <f ca="1">IFERROR(__xludf.DUMMYFUNCTION("GOOGLETRANSLATE(C2204,""ja"",""vi"")"),"Đấu giá&gt; thời trang&gt; quần áo Nhật Bản, kimono&gt; cho trẻ em gái&gt; kimono chung")</f>
        <v>Đấu giá&gt; thời trang&gt; quần áo Nhật Bản, kimono&gt; cho trẻ em gái&gt; kimono chung</v>
      </c>
      <c r="F2204" t="str">
        <f t="shared" ca="1" si="34"/>
        <v>"2084006548" : "quần áo Nhật Bản nói chung",</v>
      </c>
    </row>
    <row r="2205" spans="1:6" ht="15.75" customHeight="1">
      <c r="A2205" s="18">
        <v>2084051669</v>
      </c>
      <c r="B2205" s="18" t="s">
        <v>17619</v>
      </c>
      <c r="C2205" s="18" t="s">
        <v>17953</v>
      </c>
      <c r="D2205" s="5" t="str">
        <f ca="1">IFERROR(__xludf.DUMMYFUNCTION("GOOGLETRANSLATE(B2205,""ja"",""vi"")"),"yukata")</f>
        <v>yukata</v>
      </c>
      <c r="E2205" s="5" t="str">
        <f ca="1">IFERROR(__xludf.DUMMYFUNCTION("GOOGLETRANSLATE(C2205,""ja"",""vi"")"),"Đấu giá&gt; thời trang&gt; quần áo Nhật Bản, kimono&gt; cho trẻ em gái&gt; yukata")</f>
        <v>Đấu giá&gt; thời trang&gt; quần áo Nhật Bản, kimono&gt; cho trẻ em gái&gt; yukata</v>
      </c>
      <c r="F2205" t="str">
        <f t="shared" ca="1" si="34"/>
        <v>"2084051669" : "yukata",</v>
      </c>
    </row>
    <row r="2206" spans="1:6" ht="15.75" customHeight="1">
      <c r="A2206" s="18">
        <v>2084051670</v>
      </c>
      <c r="B2206" s="18" t="s">
        <v>17622</v>
      </c>
      <c r="C2206" s="18" t="s">
        <v>17959</v>
      </c>
      <c r="D2206" s="5" t="str">
        <f ca="1">IFERROR(__xludf.DUMMYFUNCTION("GOOGLETRANSLATE(B2206,""ja"",""vi"")"),"Jinbei")</f>
        <v>Jinbei</v>
      </c>
      <c r="E2206" s="5" t="str">
        <f ca="1">IFERROR(__xludf.DUMMYFUNCTION("GOOGLETRANSLATE(C2206,""ja"",""vi"")"),"Đấu giá&gt; thời trang&gt; quần áo Nhật Bản, kimono&gt; cho trẻ em gái&gt; Jinbei")</f>
        <v>Đấu giá&gt; thời trang&gt; quần áo Nhật Bản, kimono&gt; cho trẻ em gái&gt; Jinbei</v>
      </c>
      <c r="F2206" t="str">
        <f t="shared" ca="1" si="34"/>
        <v>"2084051670" : "Jinbei",</v>
      </c>
    </row>
    <row r="2207" spans="1:6" ht="15.75" customHeight="1">
      <c r="A2207" s="18">
        <v>2084007319</v>
      </c>
      <c r="B2207" s="18" t="s">
        <v>17932</v>
      </c>
      <c r="C2207" s="18" t="s">
        <v>17963</v>
      </c>
      <c r="D2207" s="5" t="str">
        <f ca="1">IFERROR(__xludf.DUMMYFUNCTION("GOOGLETRANSLATE(B2207,""ja"",""vi"")"),"quần áo Nhật Bản nói chung")</f>
        <v>quần áo Nhật Bản nói chung</v>
      </c>
      <c r="E2207" s="5" t="str">
        <f ca="1">IFERROR(__xludf.DUMMYFUNCTION("GOOGLETRANSLATE(C2207,""ja"",""vi"")"),"Đấu giá&gt; thời trang&gt; quần áo Nhật Bản, kimono&gt; Baby&gt; kimono chung")</f>
        <v>Đấu giá&gt; thời trang&gt; quần áo Nhật Bản, kimono&gt; Baby&gt; kimono chung</v>
      </c>
      <c r="F2207" t="str">
        <f t="shared" ca="1" si="34"/>
        <v>"2084007319" : "quần áo Nhật Bản nói chung",</v>
      </c>
    </row>
    <row r="2208" spans="1:6" ht="15.75" customHeight="1">
      <c r="A2208" s="18">
        <v>2084051665</v>
      </c>
      <c r="B2208" s="18" t="s">
        <v>17619</v>
      </c>
      <c r="C2208" s="18" t="s">
        <v>17970</v>
      </c>
      <c r="D2208" s="5" t="str">
        <f ca="1">IFERROR(__xludf.DUMMYFUNCTION("GOOGLETRANSLATE(B2208,""ja"",""vi"")"),"yukata")</f>
        <v>yukata</v>
      </c>
      <c r="E2208" s="5" t="str">
        <f ca="1">IFERROR(__xludf.DUMMYFUNCTION("GOOGLETRANSLATE(C2208,""ja"",""vi"")"),"Đấu giá&gt; thời trang&gt; quần áo Nhật Bản, kimono&gt; Baby&gt; yukata")</f>
        <v>Đấu giá&gt; thời trang&gt; quần áo Nhật Bản, kimono&gt; Baby&gt; yukata</v>
      </c>
      <c r="F2208" t="str">
        <f t="shared" ca="1" si="34"/>
        <v>"2084051665" : "yukata",</v>
      </c>
    </row>
    <row r="2209" spans="1:6" ht="15.75" customHeight="1">
      <c r="A2209" s="18">
        <v>2084051666</v>
      </c>
      <c r="B2209" s="18" t="s">
        <v>17622</v>
      </c>
      <c r="C2209" s="18" t="s">
        <v>17977</v>
      </c>
      <c r="D2209" s="5" t="str">
        <f ca="1">IFERROR(__xludf.DUMMYFUNCTION("GOOGLETRANSLATE(B2209,""ja"",""vi"")"),"Jinbei")</f>
        <v>Jinbei</v>
      </c>
      <c r="E2209" s="5" t="str">
        <f ca="1">IFERROR(__xludf.DUMMYFUNCTION("GOOGLETRANSLATE(C2209,""ja"",""vi"")"),"Đấu giá&gt; thời trang&gt; quần áo Nhật Bản, kimono&gt; Baby&gt; Jinbei")</f>
        <v>Đấu giá&gt; thời trang&gt; quần áo Nhật Bản, kimono&gt; Baby&gt; Jinbei</v>
      </c>
      <c r="F2209" t="str">
        <f t="shared" ca="1" si="34"/>
        <v>"2084051666" : "Jinbei",</v>
      </c>
    </row>
    <row r="2210" spans="1:6" ht="15.75" customHeight="1">
      <c r="A2210" s="18">
        <v>2084240606</v>
      </c>
      <c r="B2210" s="18" t="s">
        <v>14406</v>
      </c>
      <c r="C2210" s="18" t="s">
        <v>17984</v>
      </c>
      <c r="D2210" s="5" t="str">
        <f ca="1">IFERROR(__xludf.DUMMYFUNCTION("GOOGLETRANSLATE(B2210,""ja"",""vi"")"),"áo của giám mục")</f>
        <v>áo của giám mục</v>
      </c>
      <c r="E2210" s="5" t="str">
        <f ca="1">IFERROR(__xludf.DUMMYFUNCTION("GOOGLETRANSLATE(C2210,""ja"",""vi"")"),"Đấu giá&gt; Thời trang&gt; handmade&gt; cho phụ nữ&gt; áo dài")</f>
        <v>Đấu giá&gt; Thời trang&gt; handmade&gt; cho phụ nữ&gt; áo dài</v>
      </c>
      <c r="F2210" t="str">
        <f t="shared" ca="1" si="34"/>
        <v>"2084240606" : "áo của giám mục",</v>
      </c>
    </row>
    <row r="2211" spans="1:6" ht="15.75" customHeight="1">
      <c r="A2211" s="18">
        <v>2084240607</v>
      </c>
      <c r="B2211" s="18" t="s">
        <v>11235</v>
      </c>
      <c r="C2211" s="18" t="s">
        <v>17990</v>
      </c>
      <c r="D2211" s="5" t="str">
        <f ca="1">IFERROR(__xludf.DUMMYFUNCTION("GOOGLETRANSLATE(B2211,""ja"",""vi"")"),"tops")</f>
        <v>tops</v>
      </c>
      <c r="E2211" s="5" t="str">
        <f ca="1">IFERROR(__xludf.DUMMYFUNCTION("GOOGLETRANSLATE(C2211,""ja"",""vi"")"),"Đấu giá&gt; Thời trang&gt; handmade&gt; cho phụ nữ&gt; ngọn")</f>
        <v>Đấu giá&gt; Thời trang&gt; handmade&gt; cho phụ nữ&gt; ngọn</v>
      </c>
      <c r="F2211" t="str">
        <f t="shared" ca="1" si="34"/>
        <v>"2084240607" : "tops",</v>
      </c>
    </row>
    <row r="2212" spans="1:6" ht="15.75" customHeight="1">
      <c r="A2212" s="18">
        <v>2084240608</v>
      </c>
      <c r="B2212" s="18" t="s">
        <v>11242</v>
      </c>
      <c r="C2212" s="18" t="s">
        <v>17995</v>
      </c>
      <c r="D2212" s="5" t="str">
        <f ca="1">IFERROR(__xludf.DUMMYFUNCTION("GOOGLETRANSLATE(B2212,""ja"",""vi"")"),"đáy")</f>
        <v>đáy</v>
      </c>
      <c r="E2212" s="5" t="str">
        <f ca="1">IFERROR(__xludf.DUMMYFUNCTION("GOOGLETRANSLATE(C2212,""ja"",""vi"")"),"Đấu giá&gt; Thời trang&gt; handmade&gt; Phụ nữ&gt; Bottoms")</f>
        <v>Đấu giá&gt; Thời trang&gt; handmade&gt; Phụ nữ&gt; Bottoms</v>
      </c>
      <c r="F2212" t="str">
        <f t="shared" ca="1" si="34"/>
        <v>"2084240608" : "đáy",</v>
      </c>
    </row>
    <row r="2213" spans="1:6" ht="15.75" customHeight="1">
      <c r="A2213" s="18">
        <v>2084240609</v>
      </c>
      <c r="B2213" s="18" t="s">
        <v>7472</v>
      </c>
      <c r="C2213" s="18" t="s">
        <v>17998</v>
      </c>
      <c r="D2213" s="5" t="str">
        <f ca="1">IFERROR(__xludf.DUMMYFUNCTION("GOOGLETRANSLATE(B2213,""ja"",""vi"")"),"One piece")</f>
        <v>One piece</v>
      </c>
      <c r="E2213" s="5" t="str">
        <f ca="1">IFERROR(__xludf.DUMMYFUNCTION("GOOGLETRANSLATE(C2213,""ja"",""vi"")"),"Đấu giá&gt; Thời trang&gt; handmade&gt; cho phụ nữ&gt; One Piece")</f>
        <v>Đấu giá&gt; Thời trang&gt; handmade&gt; cho phụ nữ&gt; One Piece</v>
      </c>
      <c r="F2213" t="str">
        <f t="shared" ca="1" si="34"/>
        <v>"2084240609" : "One piece",</v>
      </c>
    </row>
    <row r="2214" spans="1:6" ht="15.75" customHeight="1">
      <c r="A2214" s="18">
        <v>2084240605</v>
      </c>
      <c r="B2214" s="18" t="s">
        <v>46</v>
      </c>
      <c r="C2214" s="18" t="s">
        <v>18003</v>
      </c>
      <c r="D2214" s="5" t="str">
        <f ca="1">IFERROR(__xludf.DUMMYFUNCTION("GOOGLETRANSLATE(B2214,""ja"",""vi"")"),"nếu không thì")</f>
        <v>nếu không thì</v>
      </c>
      <c r="E2214" s="5" t="str">
        <f ca="1">IFERROR(__xludf.DUMMYFUNCTION("GOOGLETRANSLATE(C2214,""ja"",""vi"")"),"Đấu giá&gt; Thời trang&gt; handmade&gt; Phụ nữ&gt; Khác")</f>
        <v>Đấu giá&gt; Thời trang&gt; handmade&gt; Phụ nữ&gt; Khác</v>
      </c>
      <c r="F2214" t="str">
        <f t="shared" ca="1" si="34"/>
        <v>"2084240605" : "nếu không thì",</v>
      </c>
    </row>
    <row r="2215" spans="1:6" ht="15.75" customHeight="1">
      <c r="A2215" s="18">
        <v>2084240612</v>
      </c>
      <c r="B2215" s="18" t="s">
        <v>17010</v>
      </c>
      <c r="C2215" s="18" t="s">
        <v>18007</v>
      </c>
      <c r="D2215" s="5" t="str">
        <f ca="1">IFERROR(__xludf.DUMMYFUNCTION("GOOGLETRANSLATE(B2215,""ja"",""vi"")"),"đứa bé")</f>
        <v>đứa bé</v>
      </c>
      <c r="E2215" s="5" t="str">
        <f ca="1">IFERROR(__xludf.DUMMYFUNCTION("GOOGLETRANSLATE(C2215,""ja"",""vi"")"),"Đấu giá&gt; Thời trang&gt; handmade&gt; Quần áo Phụ kiện&gt; Baby")</f>
        <v>Đấu giá&gt; Thời trang&gt; handmade&gt; Quần áo Phụ kiện&gt; Baby</v>
      </c>
      <c r="F2215" t="str">
        <f t="shared" ca="1" si="34"/>
        <v>"2084240612" : "đứa bé",</v>
      </c>
    </row>
    <row r="2216" spans="1:6" ht="15.75" customHeight="1">
      <c r="A2216" s="18">
        <v>2084240613</v>
      </c>
      <c r="B2216" s="18" t="s">
        <v>9298</v>
      </c>
      <c r="C2216" s="18" t="s">
        <v>18011</v>
      </c>
      <c r="D2216" s="5" t="str">
        <f ca="1">IFERROR(__xludf.DUMMYFUNCTION("GOOGLETRANSLATE(B2216,""ja"",""vi"")"),"Đối với trẻ em")</f>
        <v>Đối với trẻ em</v>
      </c>
      <c r="E2216" s="5" t="str">
        <f ca="1">IFERROR(__xludf.DUMMYFUNCTION("GOOGLETRANSLATE(C2216,""ja"",""vi"")"),"Đấu giá&gt; Thời trang&gt; handmade&gt; Quần áo Phụ kiện&gt; cho trẻ em")</f>
        <v>Đấu giá&gt; Thời trang&gt; handmade&gt; Quần áo Phụ kiện&gt; cho trẻ em</v>
      </c>
      <c r="F2216" t="str">
        <f t="shared" ca="1" si="34"/>
        <v>"2084240613" : "Đối với trẻ em",</v>
      </c>
    </row>
    <row r="2217" spans="1:6" ht="15.75" customHeight="1">
      <c r="A2217" s="18">
        <v>2084240614</v>
      </c>
      <c r="B2217" s="18" t="s">
        <v>9286</v>
      </c>
      <c r="C2217" s="18" t="s">
        <v>18015</v>
      </c>
      <c r="D2217" s="5" t="str">
        <f ca="1">IFERROR(__xludf.DUMMYFUNCTION("GOOGLETRANSLATE(B2217,""ja"",""vi"")"),"Đối với phụ nữ")</f>
        <v>Đối với phụ nữ</v>
      </c>
      <c r="E2217" s="5" t="str">
        <f ca="1">IFERROR(__xludf.DUMMYFUNCTION("GOOGLETRANSLATE(C2217,""ja"",""vi"")"),"Đấu giá&gt; Thời trang&gt; handmade&gt; Quần áo Phụ kiện&gt; cho phụ nữ")</f>
        <v>Đấu giá&gt; Thời trang&gt; handmade&gt; Quần áo Phụ kiện&gt; cho phụ nữ</v>
      </c>
      <c r="F2217" t="str">
        <f t="shared" ca="1" si="34"/>
        <v>"2084240614" : "Đối với phụ nữ",</v>
      </c>
    </row>
    <row r="2218" spans="1:6" ht="15.75" customHeight="1">
      <c r="A2218" s="18">
        <v>2084240615</v>
      </c>
      <c r="B2218" s="18" t="s">
        <v>9280</v>
      </c>
      <c r="C2218" s="18" t="s">
        <v>18019</v>
      </c>
      <c r="D2218" s="5" t="str">
        <f ca="1">IFERROR(__xludf.DUMMYFUNCTION("GOOGLETRANSLATE(B2218,""ja"",""vi"")"),"Đối với nam giới")</f>
        <v>Đối với nam giới</v>
      </c>
      <c r="E2218" s="5" t="str">
        <f ca="1">IFERROR(__xludf.DUMMYFUNCTION("GOOGLETRANSLATE(C2218,""ja"",""vi"")"),"Đấu giá&gt; Thời trang&gt; handmade&gt; Quần áo Phụ kiện&gt; Đàn ông")</f>
        <v>Đấu giá&gt; Thời trang&gt; handmade&gt; Quần áo Phụ kiện&gt; Đàn ông</v>
      </c>
      <c r="F2218" t="str">
        <f t="shared" ca="1" si="34"/>
        <v>"2084240615" : "Đối với nam giới",</v>
      </c>
    </row>
    <row r="2219" spans="1:6" ht="15.75" customHeight="1">
      <c r="A2219" s="18">
        <v>2084240599</v>
      </c>
      <c r="B2219" s="18" t="s">
        <v>18022</v>
      </c>
      <c r="C2219" s="18" t="s">
        <v>18023</v>
      </c>
      <c r="D2219" s="5" t="str">
        <f ca="1">IFERROR(__xludf.DUMMYFUNCTION("GOOGLETRANSLATE(B2219,""ja"",""vi"")"),"Baby, cho trẻ em")</f>
        <v>Baby, cho trẻ em</v>
      </c>
      <c r="E2219" s="5" t="str">
        <f ca="1">IFERROR(__xludf.DUMMYFUNCTION("GOOGLETRANSLATE(C2219,""ja"",""vi"")"),"Đấu giá&gt; Thời trang&gt; handmade&gt; túi, túi&gt; em bé, cho trẻ em")</f>
        <v>Đấu giá&gt; Thời trang&gt; handmade&gt; túi, túi&gt; em bé, cho trẻ em</v>
      </c>
      <c r="F2219" t="str">
        <f t="shared" ca="1" si="34"/>
        <v>"2084240599" : "Baby, cho trẻ em",</v>
      </c>
    </row>
    <row r="2220" spans="1:6" ht="15.75" customHeight="1">
      <c r="A2220" s="18">
        <v>2084240600</v>
      </c>
      <c r="B2220" s="18" t="s">
        <v>9286</v>
      </c>
      <c r="C2220" s="18" t="s">
        <v>18029</v>
      </c>
      <c r="D2220" s="5" t="str">
        <f ca="1">IFERROR(__xludf.DUMMYFUNCTION("GOOGLETRANSLATE(B2220,""ja"",""vi"")"),"Đối với phụ nữ")</f>
        <v>Đối với phụ nữ</v>
      </c>
      <c r="E2220" s="5" t="str">
        <f ca="1">IFERROR(__xludf.DUMMYFUNCTION("GOOGLETRANSLATE(C2220,""ja"",""vi"")"),"Đấu giá&gt; Thời trang&gt; handmade&gt; túi, túi&gt; cho phụ nữ")</f>
        <v>Đấu giá&gt; Thời trang&gt; handmade&gt; túi, túi&gt; cho phụ nữ</v>
      </c>
      <c r="F2220" t="str">
        <f t="shared" ca="1" si="34"/>
        <v>"2084240600" : "Đối với phụ nữ",</v>
      </c>
    </row>
    <row r="2221" spans="1:6" ht="15.75" customHeight="1">
      <c r="A2221" s="18">
        <v>2084240601</v>
      </c>
      <c r="B2221" s="18" t="s">
        <v>9280</v>
      </c>
      <c r="C2221" s="18" t="s">
        <v>18034</v>
      </c>
      <c r="D2221" s="5" t="str">
        <f ca="1">IFERROR(__xludf.DUMMYFUNCTION("GOOGLETRANSLATE(B2221,""ja"",""vi"")"),"Đối với nam giới")</f>
        <v>Đối với nam giới</v>
      </c>
      <c r="E2221" s="5" t="str">
        <f ca="1">IFERROR(__xludf.DUMMYFUNCTION("GOOGLETRANSLATE(C2221,""ja"",""vi"")"),"Đấu giá&gt; Thời trang&gt; handmade&gt; túi, túi&gt; dành cho nam giới")</f>
        <v>Đấu giá&gt; Thời trang&gt; handmade&gt; túi, túi&gt; dành cho nam giới</v>
      </c>
      <c r="F2221" t="str">
        <f t="shared" ca="1" si="34"/>
        <v>"2084240601" : "Đối với nam giới",</v>
      </c>
    </row>
    <row r="2222" spans="1:6" ht="15.75" customHeight="1">
      <c r="A2222" s="18">
        <v>2084240617</v>
      </c>
      <c r="B2222" s="18" t="s">
        <v>18039</v>
      </c>
      <c r="C2222" s="18" t="s">
        <v>18041</v>
      </c>
      <c r="D2222" s="5" t="str">
        <f ca="1">IFERROR(__xludf.DUMMYFUNCTION("GOOGLETRANSLATE(B2222,""ja"",""vi"")"),"Phụ kiện (đối với nữ)")</f>
        <v>Phụ kiện (đối với nữ)</v>
      </c>
      <c r="E2222" s="5" t="str">
        <f ca="1">IFERROR(__xludf.DUMMYFUNCTION("GOOGLETRANSLATE(C2222,""ja"",""vi"")"),"Đấu giá&gt; Accessories, Đồng hồ&gt; handmade&gt; Phụ kiện (đối với nữ)")</f>
        <v>Đấu giá&gt; Accessories, Đồng hồ&gt; handmade&gt; Phụ kiện (đối với nữ)</v>
      </c>
      <c r="F2222" t="str">
        <f t="shared" ca="1" si="34"/>
        <v>"2084240617" : "Phụ kiện (đối với nữ)",</v>
      </c>
    </row>
    <row r="2223" spans="1:6" ht="15.75" customHeight="1">
      <c r="A2223" s="18">
        <v>2084236962</v>
      </c>
      <c r="B2223" s="18" t="s">
        <v>7699</v>
      </c>
      <c r="C2223" s="18" t="s">
        <v>18046</v>
      </c>
      <c r="D2223" s="5" t="str">
        <f ca="1">IFERROR(__xludf.DUMMYFUNCTION("GOOGLETRANSLATE(B2223,""ja"",""vi"")"),"key Chains")</f>
        <v>key Chains</v>
      </c>
      <c r="E2223" s="5" t="str">
        <f ca="1">IFERROR(__xludf.DUMMYFUNCTION("GOOGLETRANSLATE(C2223,""ja"",""vi"")"),"Đấu giá&gt; Accessories, Đồng hồ&gt; handmade&gt; Keychain")</f>
        <v>Đấu giá&gt; Accessories, Đồng hồ&gt; handmade&gt; Keychain</v>
      </c>
      <c r="F2223" t="str">
        <f t="shared" ca="1" si="34"/>
        <v>"2084236962" : "key Chains",</v>
      </c>
    </row>
    <row r="2224" spans="1:6" ht="15.75" customHeight="1">
      <c r="A2224" s="18">
        <v>2084236963</v>
      </c>
      <c r="B2224" s="18" t="s">
        <v>7764</v>
      </c>
      <c r="C2224" s="18" t="s">
        <v>18051</v>
      </c>
      <c r="D2224" s="5" t="str">
        <f ca="1">IFERROR(__xludf.DUMMYFUNCTION("GOOGLETRANSLATE(B2224,""ja"",""vi"")"),"Điện thoại di Strap")</f>
        <v>Điện thoại di Strap</v>
      </c>
      <c r="E2224" s="5" t="str">
        <f ca="1">IFERROR(__xludf.DUMMYFUNCTION("GOOGLETRANSLATE(C2224,""ja"",""vi"")"),"Đấu giá&gt; Accessories, Đồng hồ&gt; handmade&gt; Dây đeo điện thoại di động")</f>
        <v>Đấu giá&gt; Accessories, Đồng hồ&gt; handmade&gt; Dây đeo điện thoại di động</v>
      </c>
      <c r="F2224" t="str">
        <f t="shared" ca="1" si="34"/>
        <v>"2084236963" : "Điện thoại di Strap",</v>
      </c>
    </row>
    <row r="2225" spans="1:6" ht="15.75" customHeight="1">
      <c r="A2225" s="18">
        <v>20924</v>
      </c>
      <c r="B2225" s="18" t="s">
        <v>18057</v>
      </c>
      <c r="C2225" s="18" t="s">
        <v>18060</v>
      </c>
      <c r="D2225" s="5" t="str">
        <f ca="1">IFERROR(__xludf.DUMMYFUNCTION("GOOGLETRANSLATE(B2225,""ja"",""vi"")"),"nguyên liệu handmade")</f>
        <v>nguyên liệu handmade</v>
      </c>
      <c r="E2225" s="5" t="str">
        <f ca="1">IFERROR(__xludf.DUMMYFUNCTION("GOOGLETRANSLATE(C2225,""ja"",""vi"")"),"Đấu giá&gt; Accessories, Đồng hồ&gt; handmade&gt; nguyên liệu handmade")</f>
        <v>Đấu giá&gt; Accessories, Đồng hồ&gt; handmade&gt; nguyên liệu handmade</v>
      </c>
      <c r="F2225" t="str">
        <f t="shared" ca="1" si="34"/>
        <v>"20924" : "nguyên liệu handmade",</v>
      </c>
    </row>
    <row r="2226" spans="1:6" ht="15.75" customHeight="1">
      <c r="A2226" s="18">
        <v>2084240623</v>
      </c>
      <c r="B2226" s="18" t="s">
        <v>46</v>
      </c>
      <c r="C2226" s="18" t="s">
        <v>18064</v>
      </c>
      <c r="D2226" s="5" t="str">
        <f ca="1">IFERROR(__xludf.DUMMYFUNCTION("GOOGLETRANSLATE(B2226,""ja"",""vi"")"),"nếu không thì")</f>
        <v>nếu không thì</v>
      </c>
      <c r="E2226" s="5" t="str">
        <f ca="1">IFERROR(__xludf.DUMMYFUNCTION("GOOGLETRANSLATE(C2226,""ja"",""vi"")"),"Đấu giá&gt; Accessories, Đồng hồ&gt; handmade&gt; Khác")</f>
        <v>Đấu giá&gt; Accessories, Đồng hồ&gt; handmade&gt; Khác</v>
      </c>
      <c r="F2226" t="str">
        <f t="shared" ca="1" si="34"/>
        <v>"2084240623" : "nếu không thì",</v>
      </c>
    </row>
    <row r="2227" spans="1:6" ht="15.75" customHeight="1">
      <c r="A2227" s="18">
        <v>2084240627</v>
      </c>
      <c r="B2227" s="18" t="s">
        <v>18068</v>
      </c>
      <c r="C2227" s="18" t="s">
        <v>18069</v>
      </c>
      <c r="D2227" s="5" t="str">
        <f ca="1">IFERROR(__xludf.DUMMYFUNCTION("GOOGLETRANSLATE(B2227,""ja"",""vi"")"),"Máy móc gia dụng nhà bếp")</f>
        <v>Máy móc gia dụng nhà bếp</v>
      </c>
      <c r="E2227" s="5" t="str">
        <f ca="1">IFERROR(__xludf.DUMMYFUNCTION("GOOGLETRANSLATE(C2227,""ja"",""vi"")"),"Đấu giá&gt; nhà, nội thất&gt; công việc thủ công&gt; Thiết bị nhà bếp")</f>
        <v>Đấu giá&gt; nhà, nội thất&gt; công việc thủ công&gt; Thiết bị nhà bếp</v>
      </c>
      <c r="F2227" t="str">
        <f t="shared" ca="1" si="34"/>
        <v>"2084240627" : "Máy móc gia dụng nhà bếp",</v>
      </c>
    </row>
    <row r="2228" spans="1:6" ht="15.75" customHeight="1">
      <c r="A2228" s="18">
        <v>2084304870</v>
      </c>
      <c r="B2228" s="18" t="s">
        <v>18074</v>
      </c>
      <c r="C2228" s="18" t="s">
        <v>18075</v>
      </c>
      <c r="D2228" s="5" t="str">
        <f ca="1">IFERROR(__xludf.DUMMYFUNCTION("GOOGLETRANSLATE(B2228,""ja"",""vi"")"),"Rèm cửa, vải")</f>
        <v>Rèm cửa, vải</v>
      </c>
      <c r="E2228" s="5" t="str">
        <f ca="1">IFERROR(__xludf.DUMMYFUNCTION("GOOGLETRANSLATE(C2228,""ja"",""vi"")"),"Đấu giá&gt; nhà, nội thất&gt; công việc thủ công&gt; rèm, vải")</f>
        <v>Đấu giá&gt; nhà, nội thất&gt; công việc thủ công&gt; rèm, vải</v>
      </c>
      <c r="F2228" t="str">
        <f t="shared" ca="1" si="34"/>
        <v>"2084304870" : "Rèm cửa, vải",</v>
      </c>
    </row>
    <row r="2229" spans="1:6" ht="15.75" customHeight="1">
      <c r="A2229" s="18">
        <v>2084304889</v>
      </c>
      <c r="B2229" s="18" t="s">
        <v>18080</v>
      </c>
      <c r="C2229" s="18" t="s">
        <v>18081</v>
      </c>
      <c r="D2229" s="5" t="str">
        <f ca="1">IFERROR(__xludf.DUMMYFUNCTION("GOOGLETRANSLATE(B2229,""ja"",""vi"")"),"Trường hợp, túi lưu trữ")</f>
        <v>Trường hợp, túi lưu trữ</v>
      </c>
      <c r="E2229" s="5" t="str">
        <f ca="1">IFERROR(__xludf.DUMMYFUNCTION("GOOGLETRANSLATE(C2229,""ja"",""vi"")"),"Đấu giá&gt; nhà, nội thất&gt; công việc thủ công&gt; trường hợp, túi lưu trữ")</f>
        <v>Đấu giá&gt; nhà, nội thất&gt; công việc thủ công&gt; trường hợp, túi lưu trữ</v>
      </c>
      <c r="F2229" t="str">
        <f t="shared" ca="1" si="34"/>
        <v>"2084304889" : "Trường hợp, túi lưu trữ",</v>
      </c>
    </row>
    <row r="2230" spans="1:6" ht="15.75" customHeight="1">
      <c r="A2230" s="18">
        <v>2084240628</v>
      </c>
      <c r="B2230" s="18" t="s">
        <v>18083</v>
      </c>
      <c r="C2230" s="18" t="s">
        <v>18085</v>
      </c>
      <c r="D2230" s="5" t="str">
        <f ca="1">IFERROR(__xludf.DUMMYFUNCTION("GOOGLETRANSLATE(B2230,""ja"",""vi"")"),"Nội thất, ghế")</f>
        <v>Nội thất, ghế</v>
      </c>
      <c r="E2230" s="5" t="str">
        <f ca="1">IFERROR(__xludf.DUMMYFUNCTION("GOOGLETRANSLATE(C2230,""ja"",""vi"")"),"Đấu giá&gt; nhà, nội thất&gt; công việc thủ công&gt; đồ nội thất, ghế")</f>
        <v>Đấu giá&gt; nhà, nội thất&gt; công việc thủ công&gt; đồ nội thất, ghế</v>
      </c>
      <c r="F2230" t="str">
        <f t="shared" ca="1" si="34"/>
        <v>"2084240628" : "Nội thất, ghế",</v>
      </c>
    </row>
    <row r="2231" spans="1:6" ht="15.75" customHeight="1">
      <c r="A2231" s="18">
        <v>2084304879</v>
      </c>
      <c r="B2231" s="18" t="s">
        <v>16578</v>
      </c>
      <c r="C2231" s="18" t="s">
        <v>18089</v>
      </c>
      <c r="D2231" s="5" t="str">
        <f ca="1">IFERROR(__xludf.DUMMYFUNCTION("GOOGLETRANSLATE(B2231,""ja"",""vi"")"),"Bộ đồ giường")</f>
        <v>Bộ đồ giường</v>
      </c>
      <c r="E2231" s="5" t="str">
        <f ca="1">IFERROR(__xludf.DUMMYFUNCTION("GOOGLETRANSLATE(C2231,""ja"",""vi"")"),"Đấu giá&gt; nhà, nội thất&gt; Công trình làm bằng tay&gt; Bộ đồ giường")</f>
        <v>Đấu giá&gt; nhà, nội thất&gt; Công trình làm bằng tay&gt; Bộ đồ giường</v>
      </c>
      <c r="F2231" t="str">
        <f t="shared" ca="1" si="34"/>
        <v>"2084304879" : "Bộ đồ giường",</v>
      </c>
    </row>
    <row r="2232" spans="1:6" ht="15.75" customHeight="1">
      <c r="A2232" s="18">
        <v>2084240629</v>
      </c>
      <c r="B2232" s="18" t="s">
        <v>18093</v>
      </c>
      <c r="C2232" s="18" t="s">
        <v>18094</v>
      </c>
      <c r="D2232" s="5" t="str">
        <f ca="1">IFERROR(__xludf.DUMMYFUNCTION("GOOGLETRANSLATE(B2232,""ja"",""vi"")"),"Nội vụ, Hàng")</f>
        <v>Nội vụ, Hàng</v>
      </c>
      <c r="E2232" s="5" t="str">
        <f ca="1">IFERROR(__xludf.DUMMYFUNCTION("GOOGLETRANSLATE(C2232,""ja"",""vi"")"),"Đấu giá&gt; nhà, nội thất&gt; công việc thủ công&gt; nội thất, hàng hóa linh tinh")</f>
        <v>Đấu giá&gt; nhà, nội thất&gt; công việc thủ công&gt; nội thất, hàng hóa linh tinh</v>
      </c>
      <c r="F2232" t="str">
        <f t="shared" ca="1" si="34"/>
        <v>"2084240629" : "Nội vụ, Hàng",</v>
      </c>
    </row>
    <row r="2233" spans="1:6" ht="15.75" customHeight="1">
      <c r="A2233" s="18">
        <v>2084304897</v>
      </c>
      <c r="B2233" s="18" t="s">
        <v>18099</v>
      </c>
      <c r="C2233" s="18" t="s">
        <v>18100</v>
      </c>
      <c r="D2233" s="5" t="str">
        <f ca="1">IFERROR(__xludf.DUMMYFUNCTION("GOOGLETRANSLATE(B2233,""ja"",""vi"")"),"Vật tư thú cưng")</f>
        <v>Vật tư thú cưng</v>
      </c>
      <c r="E2233" s="5" t="str">
        <f ca="1">IFERROR(__xludf.DUMMYFUNCTION("GOOGLETRANSLATE(C2233,""ja"",""vi"")"),"Đấu giá&gt; nhà, nội thất&gt; công việc thủ công&gt; Vật tư thú nuôi")</f>
        <v>Đấu giá&gt; nhà, nội thất&gt; công việc thủ công&gt; Vật tư thú nuôi</v>
      </c>
      <c r="F2233" t="str">
        <f t="shared" ca="1" si="34"/>
        <v>"2084304897" : "Vật tư thú cưng",</v>
      </c>
    </row>
    <row r="2234" spans="1:6" ht="15.75" customHeight="1">
      <c r="A2234" s="18">
        <v>2084304904</v>
      </c>
      <c r="B2234" s="18" t="s">
        <v>18105</v>
      </c>
      <c r="C2234" s="18" t="s">
        <v>18106</v>
      </c>
      <c r="D2234" s="5" t="str">
        <f ca="1">IFERROR(__xludf.DUMMYFUNCTION("GOOGLETRANSLATE(B2234,""ja"",""vi"")"),"nguồn cung cấp tổ chức sự kiện hàng năm")</f>
        <v>nguồn cung cấp tổ chức sự kiện hàng năm</v>
      </c>
      <c r="E2234" s="5" t="str">
        <f ca="1">IFERROR(__xludf.DUMMYFUNCTION("GOOGLETRANSLATE(C2234,""ja"",""vi"")"),"Đấu giá&gt; nhà, nội thất&gt; công việc thủ công&gt; nguồn cung cấp sự kiện thường niên")</f>
        <v>Đấu giá&gt; nhà, nội thất&gt; công việc thủ công&gt; nguồn cung cấp sự kiện thường niên</v>
      </c>
      <c r="F2234" t="str">
        <f t="shared" ca="1" si="34"/>
        <v>"2084304904" : "nguồn cung cấp tổ chức sự kiện hàng năm",</v>
      </c>
    </row>
    <row r="2235" spans="1:6" ht="15.75" customHeight="1">
      <c r="A2235" s="18">
        <v>2084304905</v>
      </c>
      <c r="B2235" s="18" t="s">
        <v>18108</v>
      </c>
      <c r="C2235" s="18" t="s">
        <v>18110</v>
      </c>
      <c r="D2235" s="5" t="str">
        <f ca="1">IFERROR(__xludf.DUMMYFUNCTION("GOOGLETRANSLATE(B2235,""ja"",""vi"")"),"nguồn cung cấp đám cưới")</f>
        <v>nguồn cung cấp đám cưới</v>
      </c>
      <c r="E2235" s="5" t="str">
        <f ca="1">IFERROR(__xludf.DUMMYFUNCTION("GOOGLETRANSLATE(C2235,""ja"",""vi"")"),"Đấu giá&gt; nhà, nội thất&gt; công việc thủ công&gt; Wedding Supplies")</f>
        <v>Đấu giá&gt; nhà, nội thất&gt; công việc thủ công&gt; Wedding Supplies</v>
      </c>
      <c r="F2235" t="str">
        <f t="shared" ca="1" si="34"/>
        <v>"2084304905" : "nguồn cung cấp đám cưới",</v>
      </c>
    </row>
    <row r="2236" spans="1:6" ht="15.75" customHeight="1">
      <c r="A2236" s="18">
        <v>20924</v>
      </c>
      <c r="B2236" s="18" t="s">
        <v>18057</v>
      </c>
      <c r="C2236" s="18" t="s">
        <v>18114</v>
      </c>
      <c r="D2236" s="5" t="str">
        <f ca="1">IFERROR(__xludf.DUMMYFUNCTION("GOOGLETRANSLATE(B2236,""ja"",""vi"")"),"nguyên liệu handmade")</f>
        <v>nguyên liệu handmade</v>
      </c>
      <c r="E2236" s="5" t="str">
        <f ca="1">IFERROR(__xludf.DUMMYFUNCTION("GOOGLETRANSLATE(C2236,""ja"",""vi"")"),"Đấu giá&gt; nhà, nội thất&gt; công việc thủ công&gt; nguyên liệu handmade")</f>
        <v>Đấu giá&gt; nhà, nội thất&gt; công việc thủ công&gt; nguyên liệu handmade</v>
      </c>
      <c r="F2236" t="str">
        <f t="shared" ca="1" si="34"/>
        <v>"20924" : "nguyên liệu handmade",</v>
      </c>
    </row>
    <row r="2237" spans="1:6" ht="15.75" customHeight="1">
      <c r="A2237" s="18">
        <v>2084240630</v>
      </c>
      <c r="B2237" s="18" t="s">
        <v>46</v>
      </c>
      <c r="C2237" s="18" t="s">
        <v>18118</v>
      </c>
      <c r="D2237" s="5" t="str">
        <f ca="1">IFERROR(__xludf.DUMMYFUNCTION("GOOGLETRANSLATE(B2237,""ja"",""vi"")"),"nếu không thì")</f>
        <v>nếu không thì</v>
      </c>
      <c r="E2237" s="5" t="str">
        <f ca="1">IFERROR(__xludf.DUMMYFUNCTION("GOOGLETRANSLATE(C2237,""ja"",""vi"")"),"Đấu giá&gt; nhà, nội thất&gt; công việc thủ công&gt; Khác")</f>
        <v>Đấu giá&gt; nhà, nội thất&gt; công việc thủ công&gt; Khác</v>
      </c>
      <c r="F2237" t="str">
        <f t="shared" ca="1" si="34"/>
        <v>"2084240630" : "nếu không thì",</v>
      </c>
    </row>
    <row r="2238" spans="1:6" ht="15.75" customHeight="1">
      <c r="A2238" s="18">
        <v>24414</v>
      </c>
      <c r="B2238" s="18" t="s">
        <v>7397</v>
      </c>
      <c r="C2238" s="18" t="s">
        <v>18123</v>
      </c>
      <c r="D2238" s="5" t="str">
        <f ca="1">IFERROR(__xludf.DUMMYFUNCTION("GOOGLETRANSLATE(B2238,""ja"",""vi"")"),"May, thêu ren")</f>
        <v>May, thêu ren</v>
      </c>
      <c r="E2238" s="5" t="str">
        <f ca="1">IFERROR(__xludf.DUMMYFUNCTION("GOOGLETRANSLATE(C2238,""ja"",""vi"")"),"Đấu giá&gt; Sở thích, văn hóa&gt; thủ công, thủ công mỹ nghệ&gt; may, thêu ren")</f>
        <v>Đấu giá&gt; Sở thích, văn hóa&gt; thủ công, thủ công mỹ nghệ&gt; may, thêu ren</v>
      </c>
      <c r="F2238" t="str">
        <f t="shared" ca="1" si="34"/>
        <v>"24414" : "May, thêu ren",</v>
      </c>
    </row>
    <row r="2239" spans="1:6" ht="15.75" customHeight="1">
      <c r="A2239" s="18">
        <v>2084008354</v>
      </c>
      <c r="B2239" s="18" t="s">
        <v>6956</v>
      </c>
      <c r="C2239" s="18" t="s">
        <v>18128</v>
      </c>
      <c r="D2239" s="5" t="str">
        <f ca="1">IFERROR(__xludf.DUMMYFUNCTION("GOOGLETRANSLATE(B2239,""ja"",""vi"")"),"máy may")</f>
        <v>máy may</v>
      </c>
      <c r="E2239" s="5" t="str">
        <f ca="1">IFERROR(__xludf.DUMMYFUNCTION("GOOGLETRANSLATE(C2239,""ja"",""vi"")"),"Đấu giá&gt; Sở thích, văn hóa&gt; thủ công, thủ công mỹ nghệ&gt; máy may")</f>
        <v>Đấu giá&gt; Sở thích, văn hóa&gt; thủ công, thủ công mỹ nghệ&gt; máy may</v>
      </c>
      <c r="F2239" t="str">
        <f t="shared" ca="1" si="34"/>
        <v>"2084008354" : "máy may",</v>
      </c>
    </row>
    <row r="2240" spans="1:6" ht="15.75" customHeight="1">
      <c r="A2240" s="18">
        <v>2084042445</v>
      </c>
      <c r="B2240" s="18" t="s">
        <v>7390</v>
      </c>
      <c r="C2240" s="18" t="s">
        <v>18131</v>
      </c>
      <c r="D2240" s="5" t="str">
        <f ca="1">IFERROR(__xludf.DUMMYFUNCTION("GOOGLETRANSLATE(B2240,""ja"",""vi"")"),"Chế tác hạt")</f>
        <v>Chế tác hạt</v>
      </c>
      <c r="E2240" s="5" t="str">
        <f ca="1">IFERROR(__xludf.DUMMYFUNCTION("GOOGLETRANSLATE(C2240,""ja"",""vi"")"),"Đấu giá&gt; Sở thích, văn hóa&gt; thủ công, thủ công mỹ nghệ&gt; nghệ thuật kết cườm")</f>
        <v>Đấu giá&gt; Sở thích, văn hóa&gt; thủ công, thủ công mỹ nghệ&gt; nghệ thuật kết cườm</v>
      </c>
      <c r="F2240" t="str">
        <f t="shared" ca="1" si="34"/>
        <v>"2084042445" : "Chế tác hạt",</v>
      </c>
    </row>
    <row r="2241" spans="1:6" ht="15.75" customHeight="1">
      <c r="A2241" s="18">
        <v>2084045848</v>
      </c>
      <c r="B2241" s="18" t="s">
        <v>7407</v>
      </c>
      <c r="C2241" s="18" t="s">
        <v>18133</v>
      </c>
      <c r="D2241" s="5" t="str">
        <f ca="1">IFERROR(__xludf.DUMMYFUNCTION("GOOGLETRANSLATE(B2241,""ja"",""vi"")"),"đan")</f>
        <v>đan</v>
      </c>
      <c r="E2241" s="5" t="str">
        <f ca="1">IFERROR(__xludf.DUMMYFUNCTION("GOOGLETRANSLATE(C2241,""ja"",""vi"")"),"Đấu giá&gt; Sở thích, văn hóa&gt; thủ công, thủ công mỹ nghệ&gt; đan")</f>
        <v>Đấu giá&gt; Sở thích, văn hóa&gt; thủ công, thủ công mỹ nghệ&gt; đan</v>
      </c>
      <c r="F2241" t="str">
        <f t="shared" ca="1" si="34"/>
        <v>"2084045848" : "đan",</v>
      </c>
    </row>
    <row r="2242" spans="1:6" ht="15.75" customHeight="1">
      <c r="A2242" s="18">
        <v>2084042444</v>
      </c>
      <c r="B2242" s="18" t="s">
        <v>18136</v>
      </c>
      <c r="C2242" s="18" t="s">
        <v>18138</v>
      </c>
      <c r="D2242" s="5" t="str">
        <f ca="1">IFERROR(__xludf.DUMMYFUNCTION("GOOGLETRANSLATE(B2242,""ja"",""vi"")"),"hàng thủ công đất sét")</f>
        <v>hàng thủ công đất sét</v>
      </c>
      <c r="E2242" s="5" t="str">
        <f ca="1">IFERROR(__xludf.DUMMYFUNCTION("GOOGLETRANSLATE(C2242,""ja"",""vi"")"),"Đấu giá&gt; Sở thích, văn hóa&gt; thủ công, thủ công mỹ nghệ&gt; nghề sét")</f>
        <v>Đấu giá&gt; Sở thích, văn hóa&gt; thủ công, thủ công mỹ nghệ&gt; nghề sét</v>
      </c>
      <c r="F2242" t="str">
        <f t="shared" ref="F2242:F2305" ca="1" si="35">CONCATENATE(CHAR(34)&amp;"",A2242,""&amp;CHAR(34)," : ", CHAR(34)&amp;"",D2242,""&amp;CHAR(34),",")</f>
        <v>"2084042444" : "hàng thủ công đất sét",</v>
      </c>
    </row>
    <row r="2243" spans="1:6" ht="15.75" customHeight="1">
      <c r="A2243" s="18">
        <v>2084063304</v>
      </c>
      <c r="B2243" s="18" t="s">
        <v>7394</v>
      </c>
      <c r="C2243" s="18" t="s">
        <v>18139</v>
      </c>
      <c r="D2243" s="5" t="str">
        <f ca="1">IFERROR(__xludf.DUMMYFUNCTION("GOOGLETRANSLATE(B2243,""ja"",""vi"")"),"da nghề")</f>
        <v>da nghề</v>
      </c>
      <c r="E2243" s="5" t="str">
        <f ca="1">IFERROR(__xludf.DUMMYFUNCTION("GOOGLETRANSLATE(C2243,""ja"",""vi"")"),"Đấu giá&gt; Sở thích, văn hóa&gt; thủ công, thủ công mỹ nghệ&gt; da nghề")</f>
        <v>Đấu giá&gt; Sở thích, văn hóa&gt; thủ công, thủ công mỹ nghệ&gt; da nghề</v>
      </c>
      <c r="F2243" t="str">
        <f t="shared" ca="1" si="35"/>
        <v>"2084063304" : "da nghề",</v>
      </c>
    </row>
    <row r="2244" spans="1:6" ht="15.75" customHeight="1">
      <c r="A2244" s="18">
        <v>2084063305</v>
      </c>
      <c r="B2244" s="18" t="s">
        <v>18141</v>
      </c>
      <c r="C2244" s="18" t="s">
        <v>18143</v>
      </c>
      <c r="D2244" s="5" t="str">
        <f ca="1">IFERROR(__xludf.DUMMYFUNCTION("GOOGLETRANSLATE(B2244,""ja"",""vi"")"),"Craft giấy")</f>
        <v>Craft giấy</v>
      </c>
      <c r="E2244" s="5" t="str">
        <f ca="1">IFERROR(__xludf.DUMMYFUNCTION("GOOGLETRANSLATE(C2244,""ja"",""vi"")"),"Đấu giá&gt; Sở thích, văn hóa&gt; thủ công, thủ công mỹ nghệ&gt; nghề giấy")</f>
        <v>Đấu giá&gt; Sở thích, văn hóa&gt; thủ công, thủ công mỹ nghệ&gt; nghề giấy</v>
      </c>
      <c r="F2244" t="str">
        <f t="shared" ca="1" si="35"/>
        <v>"2084063305" : "Craft giấy",</v>
      </c>
    </row>
    <row r="2245" spans="1:6" ht="15.75" customHeight="1">
      <c r="A2245" s="18">
        <v>2084006705</v>
      </c>
      <c r="B2245" s="18" t="s">
        <v>18144</v>
      </c>
      <c r="C2245" s="18" t="s">
        <v>18145</v>
      </c>
      <c r="D2245" s="5" t="str">
        <f ca="1">IFERROR(__xludf.DUMMYFUNCTION("GOOGLETRANSLATE(B2245,""ja"",""vi"")"),"Nghệ thuật hoa, hoa ép")</f>
        <v>Nghệ thuật hoa, hoa ép</v>
      </c>
      <c r="E2245" s="5" t="str">
        <f ca="1">IFERROR(__xludf.DUMMYFUNCTION("GOOGLETRANSLATE(C2245,""ja"",""vi"")"),"Đấu giá&gt; Sở thích, văn hóa&gt; thủ công, thủ công mỹ nghệ&gt; Nghệ thuật hoa, hoa ép")</f>
        <v>Đấu giá&gt; Sở thích, văn hóa&gt; thủ công, thủ công mỹ nghệ&gt; Nghệ thuật hoa, hoa ép</v>
      </c>
      <c r="F2245" t="str">
        <f t="shared" ca="1" si="35"/>
        <v>"2084006705" : "Nghệ thuật hoa, hoa ép",</v>
      </c>
    </row>
    <row r="2246" spans="1:6" ht="15.75" customHeight="1">
      <c r="A2246" s="18">
        <v>2084042440</v>
      </c>
      <c r="B2246" s="18" t="s">
        <v>18147</v>
      </c>
      <c r="C2246" s="18" t="s">
        <v>18148</v>
      </c>
      <c r="D2246" s="5" t="str">
        <f ca="1">IFERROR(__xludf.DUMMYFUNCTION("GOOGLETRANSLATE(B2246,""ja"",""vi"")"),"Máy làm đồ gỗ, sơn")</f>
        <v>Máy làm đồ gỗ, sơn</v>
      </c>
      <c r="E2246" s="5" t="str">
        <f ca="1">IFERROR(__xludf.DUMMYFUNCTION("GOOGLETRANSLATE(C2246,""ja"",""vi"")"),"Đấu giá&gt; Sở thích, văn hóa&gt; thủ công, thủ công mỹ nghệ&gt; chế biến gỗ, sơn")</f>
        <v>Đấu giá&gt; Sở thích, văn hóa&gt; thủ công, thủ công mỹ nghệ&gt; chế biến gỗ, sơn</v>
      </c>
      <c r="F2246" t="str">
        <f t="shared" ca="1" si="35"/>
        <v>"2084042440" : "Máy làm đồ gỗ, sơn",</v>
      </c>
    </row>
    <row r="2247" spans="1:6" ht="15.75" customHeight="1">
      <c r="A2247" s="18">
        <v>2084042442</v>
      </c>
      <c r="B2247" s="18" t="s">
        <v>18151</v>
      </c>
      <c r="C2247" s="18" t="s">
        <v>18152</v>
      </c>
      <c r="D2247" s="5" t="str">
        <f ca="1">IFERROR(__xludf.DUMMYFUNCTION("GOOGLETRANSLATE(B2247,""ja"",""vi"")"),"hàng thủ công kính")</f>
        <v>hàng thủ công kính</v>
      </c>
      <c r="E2247" s="5" t="str">
        <f ca="1">IFERROR(__xludf.DUMMYFUNCTION("GOOGLETRANSLATE(C2247,""ja"",""vi"")"),"Đấu giá&gt; Sở thích, văn hóa&gt; thủ công, thủ công mỹ nghệ&gt; thủ công kính")</f>
        <v>Đấu giá&gt; Sở thích, văn hóa&gt; thủ công, thủ công mỹ nghệ&gt; thủ công kính</v>
      </c>
      <c r="F2247" t="str">
        <f t="shared" ca="1" si="35"/>
        <v>"2084042442" : "hàng thủ công kính",</v>
      </c>
    </row>
    <row r="2248" spans="1:6" ht="15.75" customHeight="1">
      <c r="A2248" s="18">
        <v>2084305345</v>
      </c>
      <c r="B2248" s="18" t="s">
        <v>18158</v>
      </c>
      <c r="C2248" s="18" t="s">
        <v>18159</v>
      </c>
      <c r="D2248" s="5" t="str">
        <f ca="1">IFERROR(__xludf.DUMMYFUNCTION("GOOGLETRANSLATE(B2248,""ja"",""vi"")"),"bạc Clay")</f>
        <v>bạc Clay</v>
      </c>
      <c r="E2248" s="5" t="str">
        <f ca="1">IFERROR(__xludf.DUMMYFUNCTION("GOOGLETRANSLATE(C2248,""ja"",""vi"")"),"Đấu giá&gt; Sở thích, văn hóa&gt; thủ công, thủ công mỹ nghệ&gt; Bạc Clay")</f>
        <v>Đấu giá&gt; Sở thích, văn hóa&gt; thủ công, thủ công mỹ nghệ&gt; Bạc Clay</v>
      </c>
      <c r="F2248" t="str">
        <f t="shared" ca="1" si="35"/>
        <v>"2084305345" : "bạc Clay",</v>
      </c>
    </row>
    <row r="2249" spans="1:6" ht="15.75" customHeight="1">
      <c r="A2249" s="18">
        <v>2084042443</v>
      </c>
      <c r="B2249" s="18" t="s">
        <v>18165</v>
      </c>
      <c r="C2249" s="18" t="s">
        <v>18166</v>
      </c>
      <c r="D2249" s="5" t="str">
        <f ca="1">IFERROR(__xludf.DUMMYFUNCTION("GOOGLETRANSLATE(B2249,""ja"",""vi"")"),"chế biến kim loại, khắc")</f>
        <v>chế biến kim loại, khắc</v>
      </c>
      <c r="E2249" s="5" t="str">
        <f ca="1">IFERROR(__xludf.DUMMYFUNCTION("GOOGLETRANSLATE(C2249,""ja"",""vi"")"),"Đấu giá&gt; Sở thích, văn hóa&gt; thủ công, thủ công mỹ nghệ&gt; gia công kim loại, khắc")</f>
        <v>Đấu giá&gt; Sở thích, văn hóa&gt; thủ công, thủ công mỹ nghệ&gt; gia công kim loại, khắc</v>
      </c>
      <c r="F2249" t="str">
        <f t="shared" ca="1" si="35"/>
        <v>"2084042443" : "chế biến kim loại, khắc",</v>
      </c>
    </row>
    <row r="2250" spans="1:6" ht="15.75" customHeight="1">
      <c r="A2250" s="18">
        <v>2084305332</v>
      </c>
      <c r="B2250" s="18" t="s">
        <v>18169</v>
      </c>
      <c r="C2250" s="18" t="s">
        <v>18170</v>
      </c>
      <c r="D2250" s="5" t="str">
        <f ca="1">IFERROR(__xludf.DUMMYFUNCTION("GOOGLETRANSLATE(B2250,""ja"",""vi"")"),"nến")</f>
        <v>nến</v>
      </c>
      <c r="E2250" s="5" t="str">
        <f ca="1">IFERROR(__xludf.DUMMYFUNCTION("GOOGLETRANSLATE(C2250,""ja"",""vi"")"),"Đấu giá&gt; Sở thích, văn hóa&gt; thủ công, thủ công mỹ nghệ&gt; nến")</f>
        <v>Đấu giá&gt; Sở thích, văn hóa&gt; thủ công, thủ công mỹ nghệ&gt; nến</v>
      </c>
      <c r="F2250" t="str">
        <f t="shared" ca="1" si="35"/>
        <v>"2084305332" : "nến",</v>
      </c>
    </row>
    <row r="2251" spans="1:6" ht="15.75" customHeight="1">
      <c r="A2251" s="18">
        <v>2084063367</v>
      </c>
      <c r="B2251" s="18" t="s">
        <v>18173</v>
      </c>
      <c r="C2251" s="18" t="s">
        <v>18174</v>
      </c>
      <c r="D2251" s="5" t="str">
        <f ca="1">IFERROR(__xludf.DUMMYFUNCTION("GOOGLETRANSLATE(B2251,""ja"",""vi"")"),"Dekopatsu")</f>
        <v>Dekopatsu</v>
      </c>
      <c r="E2251" s="5" t="str">
        <f ca="1">IFERROR(__xludf.DUMMYFUNCTION("GOOGLETRANSLATE(C2251,""ja"",""vi"")"),"Đấu giá&gt; Sở thích, văn hóa&gt; thủ công, thủ công mỹ nghệ&gt; Dekopatsu")</f>
        <v>Đấu giá&gt; Sở thích, văn hóa&gt; thủ công, thủ công mỹ nghệ&gt; Dekopatsu</v>
      </c>
      <c r="F2251" t="str">
        <f t="shared" ca="1" si="35"/>
        <v>"2084063367" : "Dekopatsu",</v>
      </c>
    </row>
    <row r="2252" spans="1:6" ht="15.75" customHeight="1">
      <c r="A2252" s="18">
        <v>25864</v>
      </c>
      <c r="B2252" s="18" t="s">
        <v>7305</v>
      </c>
      <c r="C2252" s="18" t="s">
        <v>18178</v>
      </c>
      <c r="D2252" s="5" t="str">
        <f ca="1">IFERROR(__xludf.DUMMYFUNCTION("GOOGLETRANSLATE(B2252,""ja"",""vi"")"),"tùy chỉnh búp bê")</f>
        <v>tùy chỉnh búp bê</v>
      </c>
      <c r="E2252" s="5" t="str">
        <f ca="1">IFERROR(__xludf.DUMMYFUNCTION("GOOGLETRANSLATE(C2252,""ja"",""vi"")"),"Đấu giá&gt; Sở thích, văn hóa&gt; thủ công, thủ công mỹ nghệ&gt; búp bê tùy chỉnh")</f>
        <v>Đấu giá&gt; Sở thích, văn hóa&gt; thủ công, thủ công mỹ nghệ&gt; búp bê tùy chỉnh</v>
      </c>
      <c r="F2252" t="str">
        <f t="shared" ca="1" si="35"/>
        <v>"25864" : "tùy chỉnh búp bê",</v>
      </c>
    </row>
    <row r="2253" spans="1:6" ht="15.75" customHeight="1">
      <c r="A2253" s="18">
        <v>2084008951</v>
      </c>
      <c r="B2253" s="18" t="s">
        <v>18182</v>
      </c>
      <c r="C2253" s="18" t="s">
        <v>18184</v>
      </c>
      <c r="D2253" s="5" t="str">
        <f ca="1">IFERROR(__xludf.DUMMYFUNCTION("GOOGLETRANSLATE(B2253,""ja"",""vi"")"),"Thủ công mỹ nghệ Sách")</f>
        <v>Thủ công mỹ nghệ Sách</v>
      </c>
      <c r="E2253" s="5" t="str">
        <f ca="1">IFERROR(__xludf.DUMMYFUNCTION("GOOGLETRANSLATE(C2253,""ja"",""vi"")"),"Đấu giá&gt; Sở thích, văn hóa&gt; thủ công, thủ công mỹ nghệ&gt; Thủ công mỹ nghệ này")</f>
        <v>Đấu giá&gt; Sở thích, văn hóa&gt; thủ công, thủ công mỹ nghệ&gt; Thủ công mỹ nghệ này</v>
      </c>
      <c r="F2253" t="str">
        <f t="shared" ca="1" si="35"/>
        <v>"2084008951" : "Thủ công mỹ nghệ Sách",</v>
      </c>
    </row>
    <row r="2254" spans="1:6" ht="15.75" customHeight="1">
      <c r="A2254" s="18">
        <v>20124</v>
      </c>
      <c r="B2254" s="18" t="s">
        <v>18187</v>
      </c>
      <c r="C2254" s="18" t="s">
        <v>18191</v>
      </c>
      <c r="D2254" s="5" t="str">
        <f ca="1">IFERROR(__xludf.DUMMYFUNCTION("GOOGLETRANSLATE(B2254,""ja"",""vi"")"),"Art Supplies")</f>
        <v>Art Supplies</v>
      </c>
      <c r="E2254" s="5" t="str">
        <f ca="1">IFERROR(__xludf.DUMMYFUNCTION("GOOGLETRANSLATE(C2254,""ja"",""vi"")"),"Đấu giá&gt; Sở thích, văn hóa&gt; thủ công, thủ công mỹ nghệ&gt; Art Supplies")</f>
        <v>Đấu giá&gt; Sở thích, văn hóa&gt; thủ công, thủ công mỹ nghệ&gt; Art Supplies</v>
      </c>
      <c r="F2254" t="str">
        <f t="shared" ca="1" si="35"/>
        <v>"20124" : "Art Supplies",</v>
      </c>
    </row>
    <row r="2255" spans="1:6" ht="15.75" customHeight="1">
      <c r="A2255" s="18">
        <v>2084045790</v>
      </c>
      <c r="B2255" s="18" t="s">
        <v>7383</v>
      </c>
      <c r="C2255" s="18" t="s">
        <v>18195</v>
      </c>
      <c r="D2255" s="5" t="str">
        <f ca="1">IFERROR(__xludf.DUMMYFUNCTION("GOOGLETRANSLATE(B2255,""ja"",""vi"")"),"giống như người mẫu")</f>
        <v>giống như người mẫu</v>
      </c>
      <c r="E2255" s="5" t="str">
        <f ca="1">IFERROR(__xludf.DUMMYFUNCTION("GOOGLETRANSLATE(C2255,""ja"",""vi"")"),"Đấu giá&gt; Sở thích, văn hóa&gt; thủ công, thủ công mỹ nghệ&gt; nộm")</f>
        <v>Đấu giá&gt; Sở thích, văn hóa&gt; thủ công, thủ công mỹ nghệ&gt; nộm</v>
      </c>
      <c r="F2255" t="str">
        <f t="shared" ca="1" si="35"/>
        <v>"2084045790" : "giống như người mẫu",</v>
      </c>
    </row>
    <row r="2256" spans="1:6" ht="15.75" customHeight="1">
      <c r="A2256" s="18">
        <v>2084220297</v>
      </c>
      <c r="B2256" s="18" t="s">
        <v>3665</v>
      </c>
      <c r="C2256" s="18" t="s">
        <v>18200</v>
      </c>
      <c r="D2256" s="5" t="str">
        <f ca="1">IFERROR(__xludf.DUMMYFUNCTION("GOOGLETRANSLATE(B2256,""ja"",""vi"")"),"thành phẩm")</f>
        <v>thành phẩm</v>
      </c>
      <c r="E2256" s="5" t="str">
        <f ca="1">IFERROR(__xludf.DUMMYFUNCTION("GOOGLETRANSLATE(C2256,""ja"",""vi"")"),"Đấu giá&gt; Sở thích, văn hóa&gt; thủ công, thủ công mỹ nghệ&gt; thành phẩm")</f>
        <v>Đấu giá&gt; Sở thích, văn hóa&gt; thủ công, thủ công mỹ nghệ&gt; thành phẩm</v>
      </c>
      <c r="F2256" t="str">
        <f t="shared" ca="1" si="35"/>
        <v>"2084220297" : "thành phẩm",</v>
      </c>
    </row>
    <row r="2257" spans="1:6" ht="15.75" customHeight="1">
      <c r="A2257" s="18">
        <v>2084042439</v>
      </c>
      <c r="B2257" s="18" t="s">
        <v>46</v>
      </c>
      <c r="C2257" s="18" t="s">
        <v>18204</v>
      </c>
      <c r="D2257" s="5" t="str">
        <f ca="1">IFERROR(__xludf.DUMMYFUNCTION("GOOGLETRANSLATE(B2257,""ja"",""vi"")"),"nếu không thì")</f>
        <v>nếu không thì</v>
      </c>
      <c r="E2257" s="5" t="str">
        <f ca="1">IFERROR(__xludf.DUMMYFUNCTION("GOOGLETRANSLATE(C2257,""ja"",""vi"")"),"Đấu giá&gt; Sở thích, văn hóa&gt; thủ công, thủ công mỹ nghệ&gt; Khác")</f>
        <v>Đấu giá&gt; Sở thích, văn hóa&gt; thủ công, thủ công mỹ nghệ&gt; Khác</v>
      </c>
      <c r="F2257" t="str">
        <f t="shared" ca="1" si="35"/>
        <v>"2084042439" : "nếu không thì",</v>
      </c>
    </row>
    <row r="2258" spans="1:6" ht="15.75" customHeight="1">
      <c r="A2258" s="18">
        <v>2084061912</v>
      </c>
      <c r="B2258" s="18" t="s">
        <v>9214</v>
      </c>
      <c r="C2258" s="18" t="s">
        <v>18209</v>
      </c>
      <c r="D2258" s="5" t="str">
        <f ca="1">IFERROR(__xludf.DUMMYFUNCTION("GOOGLETRANSLATE(B2258,""ja"",""vi"")"),"A &amp; G")</f>
        <v>A &amp; G</v>
      </c>
      <c r="E2258" s="5" t="str">
        <f ca="1">IFERROR(__xludf.DUMMYFUNCTION("GOOGLETRANSLATE(C2258,""ja"",""vi"")"),"Đấu giá&gt; phụ kiện, đồng hồ&gt; thương hiệu phụ kiện&gt; A &amp; G")</f>
        <v>Đấu giá&gt; phụ kiện, đồng hồ&gt; thương hiệu phụ kiện&gt; A &amp; G</v>
      </c>
      <c r="F2258" t="str">
        <f t="shared" ca="1" si="35"/>
        <v>"2084061912" : "A &amp; G",</v>
      </c>
    </row>
    <row r="2259" spans="1:6" ht="15.75" customHeight="1">
      <c r="A2259" s="18">
        <v>2084301266</v>
      </c>
      <c r="B2259" s="18" t="s">
        <v>18212</v>
      </c>
      <c r="C2259" s="18" t="s">
        <v>18213</v>
      </c>
      <c r="D2259" s="5" t="str">
        <f ca="1">IFERROR(__xludf.DUMMYFUNCTION("GOOGLETRANSLATE(B2259,""ja"",""vi"")"),"Aker")</f>
        <v>Aker</v>
      </c>
      <c r="E2259" s="5" t="str">
        <f ca="1">IFERROR(__xludf.DUMMYFUNCTION("GOOGLETRANSLATE(C2259,""ja"",""vi"")"),"Đấu giá&gt; phụ kiện, đồng hồ&gt; thương hiệu phụ kiện&gt; Aker")</f>
        <v>Đấu giá&gt; phụ kiện, đồng hồ&gt; thương hiệu phụ kiện&gt; Aker</v>
      </c>
      <c r="F2259" t="str">
        <f t="shared" ca="1" si="35"/>
        <v>"2084301266" : "Aker",</v>
      </c>
    </row>
    <row r="2260" spans="1:6" ht="15.75" customHeight="1">
      <c r="A2260" s="18">
        <v>2084057874</v>
      </c>
      <c r="B2260" s="18" t="s">
        <v>18216</v>
      </c>
      <c r="C2260" s="18" t="s">
        <v>18219</v>
      </c>
      <c r="D2260" s="5" t="str">
        <f ca="1">IFERROR(__xludf.DUMMYFUNCTION("GOOGLETRANSLATE(B2260,""ja"",""vi"")"),"Agata")</f>
        <v>Agata</v>
      </c>
      <c r="E2260" s="5" t="str">
        <f ca="1">IFERROR(__xludf.DUMMYFUNCTION("GOOGLETRANSLATE(C2260,""ja"",""vi"")"),"Đấu giá&gt; phụ kiện, đồng hồ&gt; thương hiệu phụ kiện&gt; Agata")</f>
        <v>Đấu giá&gt; phụ kiện, đồng hồ&gt; thương hiệu phụ kiện&gt; Agata</v>
      </c>
      <c r="F2260" t="str">
        <f t="shared" ca="1" si="35"/>
        <v>"2084057874" : "Agata",</v>
      </c>
    </row>
    <row r="2261" spans="1:6" ht="15.75" customHeight="1">
      <c r="A2261" s="18">
        <v>2084061839</v>
      </c>
      <c r="B2261" s="18" t="s">
        <v>18221</v>
      </c>
      <c r="C2261" s="18" t="s">
        <v>18223</v>
      </c>
      <c r="D2261" s="5" t="str">
        <f ca="1">IFERROR(__xludf.DUMMYFUNCTION("GOOGLETRANSLATE(B2261,""ja"",""vi"")"),"Agat")</f>
        <v>Agat</v>
      </c>
      <c r="E2261" s="5" t="str">
        <f ca="1">IFERROR(__xludf.DUMMYFUNCTION("GOOGLETRANSLATE(C2261,""ja"",""vi"")"),"Đấu giá&gt; phụ kiện, đồng hồ&gt; thương hiệu phụ kiện&gt; Agat")</f>
        <v>Đấu giá&gt; phụ kiện, đồng hồ&gt; thương hiệu phụ kiện&gt; Agat</v>
      </c>
      <c r="F2261" t="str">
        <f t="shared" ca="1" si="35"/>
        <v>"2084061839" : "Agat",</v>
      </c>
    </row>
    <row r="2262" spans="1:6" ht="15.75" customHeight="1">
      <c r="A2262" s="18">
        <v>2084061779</v>
      </c>
      <c r="B2262" s="18" t="s">
        <v>8848</v>
      </c>
      <c r="C2262" s="18" t="s">
        <v>18227</v>
      </c>
      <c r="D2262" s="5" t="str">
        <f ca="1">IFERROR(__xludf.DUMMYFUNCTION("GOOGLETRANSLATE(B2262,""ja"",""vi"")"),"Abercrombie &amp; Fitch")</f>
        <v>Abercrombie &amp; Fitch</v>
      </c>
      <c r="E2262" s="5" t="str">
        <f ca="1">IFERROR(__xludf.DUMMYFUNCTION("GOOGLETRANSLATE(C2262,""ja"",""vi"")"),"Đấu giá&gt; phụ kiện, đồng hồ&gt; thương hiệu phụ kiện&gt; Abercrombie &amp; Fitch")</f>
        <v>Đấu giá&gt; phụ kiện, đồng hồ&gt; thương hiệu phụ kiện&gt; Abercrombie &amp; Fitch</v>
      </c>
      <c r="F2262" t="str">
        <f t="shared" ca="1" si="35"/>
        <v>"2084061779" : "Abercrombie &amp; Fitch",</v>
      </c>
    </row>
    <row r="2263" spans="1:6" ht="15.75" customHeight="1">
      <c r="A2263" s="18">
        <v>2084057765</v>
      </c>
      <c r="B2263" s="18" t="s">
        <v>9475</v>
      </c>
      <c r="C2263" s="18" t="s">
        <v>18232</v>
      </c>
      <c r="D2263" s="5" t="str">
        <f ca="1">IFERROR(__xludf.DUMMYFUNCTION("GOOGLETRANSLATE(B2263,""ja"",""vi"")"),"Hermes")</f>
        <v>Hermes</v>
      </c>
      <c r="E2263" s="5" t="str">
        <f ca="1">IFERROR(__xludf.DUMMYFUNCTION("GOOGLETRANSLATE(C2263,""ja"",""vi"")"),"Đấu giá&gt; phụ kiện, đồng hồ&gt; thương hiệu phụ kiện&gt; Hermes")</f>
        <v>Đấu giá&gt; phụ kiện, đồng hồ&gt; thương hiệu phụ kiện&gt; Hermes</v>
      </c>
      <c r="F2263" t="str">
        <f t="shared" ca="1" si="35"/>
        <v>"2084057765" : "Hermes",</v>
      </c>
    </row>
    <row r="2264" spans="1:6" ht="15.75" customHeight="1">
      <c r="A2264" s="18">
        <v>2084245337</v>
      </c>
      <c r="B2264" s="18" t="s">
        <v>18234</v>
      </c>
      <c r="C2264" s="18" t="s">
        <v>18235</v>
      </c>
      <c r="D2264" s="5" t="str">
        <f ca="1">IFERROR(__xludf.DUMMYFUNCTION("GOOGLETRANSLATE(B2264,""ja"",""vi"")"),"Q-pot")</f>
        <v>Q-pot</v>
      </c>
      <c r="E2264" s="5" t="str">
        <f ca="1">IFERROR(__xludf.DUMMYFUNCTION("GOOGLETRANSLATE(C2264,""ja"",""vi"")"),"Đấu giá&gt; phụ kiện, đồng hồ&gt; thương hiệu phụ kiện&gt; Q-pot")</f>
        <v>Đấu giá&gt; phụ kiện, đồng hồ&gt; thương hiệu phụ kiện&gt; Q-pot</v>
      </c>
      <c r="F2264" t="str">
        <f t="shared" ca="1" si="35"/>
        <v>"2084245337" : "Q-pot",</v>
      </c>
    </row>
    <row r="2265" spans="1:6" ht="15.75" customHeight="1">
      <c r="A2265" s="18">
        <v>2084052585</v>
      </c>
      <c r="B2265" s="18" t="s">
        <v>9658</v>
      </c>
      <c r="C2265" s="18" t="s">
        <v>18238</v>
      </c>
      <c r="D2265" s="5" t="str">
        <f ca="1">IFERROR(__xludf.DUMMYFUNCTION("GOOGLETRANSLATE(B2265,""ja"",""vi"")"),"Cartier")</f>
        <v>Cartier</v>
      </c>
      <c r="E2265" s="5" t="str">
        <f ca="1">IFERROR(__xludf.DUMMYFUNCTION("GOOGLETRANSLATE(C2265,""ja"",""vi"")"),"Đấu giá&gt; phụ kiện, đồng hồ&gt; thương hiệu phụ kiện&gt; Cartier")</f>
        <v>Đấu giá&gt; phụ kiện, đồng hồ&gt; thương hiệu phụ kiện&gt; Cartier</v>
      </c>
      <c r="F2265" t="str">
        <f t="shared" ca="1" si="35"/>
        <v>"2084052585" : "Cartier",</v>
      </c>
    </row>
    <row r="2266" spans="1:6" ht="15.75" customHeight="1">
      <c r="A2266" s="18">
        <v>2084224327</v>
      </c>
      <c r="B2266" s="18" t="s">
        <v>18241</v>
      </c>
      <c r="C2266" s="18" t="s">
        <v>18242</v>
      </c>
      <c r="D2266" s="5" t="str">
        <f ca="1">IFERROR(__xludf.DUMMYFUNCTION("GOOGLETRANSLATE(B2266,""ja"",""vi"")"),"Carrera y Carrera")</f>
        <v>Carrera y Carrera</v>
      </c>
      <c r="E2266" s="5" t="str">
        <f ca="1">IFERROR(__xludf.DUMMYFUNCTION("GOOGLETRANSLATE(C2266,""ja"",""vi"")"),"Đấu giá&gt; phụ kiện, đồng hồ&gt; thương hiệu phụ kiện&gt; Carrera y Carrera")</f>
        <v>Đấu giá&gt; phụ kiện, đồng hồ&gt; thương hiệu phụ kiện&gt; Carrera y Carrera</v>
      </c>
      <c r="F2266" t="str">
        <f t="shared" ca="1" si="35"/>
        <v>"2084224327" : "Carrera y Carrera",</v>
      </c>
    </row>
    <row r="2267" spans="1:6" ht="15.75" customHeight="1">
      <c r="A2267" s="18">
        <v>2084057913</v>
      </c>
      <c r="B2267" s="18" t="s">
        <v>18245</v>
      </c>
      <c r="C2267" s="18" t="s">
        <v>18246</v>
      </c>
      <c r="D2267" s="5" t="str">
        <f ca="1">IFERROR(__xludf.DUMMYFUNCTION("GOOGLETRANSLATE(B2267,""ja"",""vi"")"),"Gabor")</f>
        <v>Gabor</v>
      </c>
      <c r="E2267" s="5" t="str">
        <f ca="1">IFERROR(__xludf.DUMMYFUNCTION("GOOGLETRANSLATE(C2267,""ja"",""vi"")"),"Đấu giá&gt; phụ kiện, đồng hồ&gt; thương hiệu phụ kiện&gt; Gabor")</f>
        <v>Đấu giá&gt; phụ kiện, đồng hồ&gt; thương hiệu phụ kiện&gt; Gabor</v>
      </c>
      <c r="F2267" t="str">
        <f t="shared" ca="1" si="35"/>
        <v>"2084057913" : "Gabor",</v>
      </c>
    </row>
    <row r="2268" spans="1:6" ht="15.75" customHeight="1">
      <c r="A2268" s="18">
        <v>2084057781</v>
      </c>
      <c r="B2268" s="18" t="s">
        <v>9858</v>
      </c>
      <c r="C2268" s="18" t="s">
        <v>18251</v>
      </c>
      <c r="D2268" s="5" t="str">
        <f ca="1">IFERROR(__xludf.DUMMYFUNCTION("GOOGLETRANSLATE(B2268,""ja"",""vi"")"),"Christian Dior")</f>
        <v>Christian Dior</v>
      </c>
      <c r="E2268" s="5" t="str">
        <f ca="1">IFERROR(__xludf.DUMMYFUNCTION("GOOGLETRANSLATE(C2268,""ja"",""vi"")"),"Đấu giá&gt; phụ kiện, đồng hồ&gt; thương hiệu phụ kiện&gt; Christian Dior")</f>
        <v>Đấu giá&gt; phụ kiện, đồng hồ&gt; thương hiệu phụ kiện&gt; Christian Dior</v>
      </c>
      <c r="F2268" t="str">
        <f t="shared" ca="1" si="35"/>
        <v>"2084057781" : "Christian Dior",</v>
      </c>
    </row>
    <row r="2269" spans="1:6" ht="15.75" customHeight="1">
      <c r="A2269" s="18">
        <v>2084214586</v>
      </c>
      <c r="B2269" s="18" t="s">
        <v>9921</v>
      </c>
      <c r="C2269" s="18" t="s">
        <v>18254</v>
      </c>
      <c r="D2269" s="5" t="str">
        <f ca="1">IFERROR(__xludf.DUMMYFUNCTION("GOOGLETRANSLATE(B2269,""ja"",""vi"")"),"Courreges")</f>
        <v>Courreges</v>
      </c>
      <c r="E2269" s="5" t="str">
        <f ca="1">IFERROR(__xludf.DUMMYFUNCTION("GOOGLETRANSLATE(C2269,""ja"",""vi"")"),"Đấu giá&gt; phụ kiện, đồng hồ&gt; thương hiệu phụ kiện&gt; Courreges")</f>
        <v>Đấu giá&gt; phụ kiện, đồng hồ&gt; thương hiệu phụ kiện&gt; Courreges</v>
      </c>
      <c r="F2269" t="str">
        <f t="shared" ca="1" si="35"/>
        <v>"2084214586" : "Courreges",</v>
      </c>
    </row>
    <row r="2270" spans="1:6" ht="15.75" customHeight="1">
      <c r="A2270" s="18">
        <v>2084195400</v>
      </c>
      <c r="B2270" s="18" t="s">
        <v>18255</v>
      </c>
      <c r="C2270" s="18" t="s">
        <v>18257</v>
      </c>
      <c r="D2270" s="5" t="str">
        <f ca="1">IFERROR(__xludf.DUMMYFUNCTION("GOOGLETRANSLATE(B2270,""ja"",""vi"")"),"điên Pig")</f>
        <v>điên Pig</v>
      </c>
      <c r="E2270" s="5" t="str">
        <f ca="1">IFERROR(__xludf.DUMMYFUNCTION("GOOGLETRANSLATE(C2270,""ja"",""vi"")"),"Đấu giá&gt; phụ kiện, đồng hồ&gt; thương hiệu phụ kiện&gt; Crazy Pig")</f>
        <v>Đấu giá&gt; phụ kiện, đồng hồ&gt; thương hiệu phụ kiện&gt; Crazy Pig</v>
      </c>
      <c r="F2270" t="str">
        <f t="shared" ca="1" si="35"/>
        <v>"2084195400" : "điên Pig",</v>
      </c>
    </row>
    <row r="2271" spans="1:6" ht="15.75" customHeight="1">
      <c r="A2271" s="18">
        <v>2084052569</v>
      </c>
      <c r="B2271" s="18" t="s">
        <v>9947</v>
      </c>
      <c r="C2271" s="18" t="s">
        <v>18260</v>
      </c>
      <c r="D2271" s="5" t="str">
        <f ca="1">IFERROR(__xludf.DUMMYFUNCTION("GOOGLETRANSLATE(B2271,""ja"",""vi"")"),"Chrome Hearts")</f>
        <v>Chrome Hearts</v>
      </c>
      <c r="E2271" s="5" t="str">
        <f ca="1">IFERROR(__xludf.DUMMYFUNCTION("GOOGLETRANSLATE(C2271,""ja"",""vi"")"),"Đấu giá&gt; phụ kiện, đồng hồ&gt; thương hiệu phụ kiện&gt; Chrome Hearts")</f>
        <v>Đấu giá&gt; phụ kiện, đồng hồ&gt; thương hiệu phụ kiện&gt; Chrome Hearts</v>
      </c>
      <c r="F2271" t="str">
        <f t="shared" ca="1" si="35"/>
        <v>"2084052569" : "Chrome Hearts",</v>
      </c>
    </row>
    <row r="2272" spans="1:6" ht="15.75" customHeight="1">
      <c r="A2272" s="18">
        <v>2084057773</v>
      </c>
      <c r="B2272" s="18" t="s">
        <v>9815</v>
      </c>
      <c r="C2272" s="18" t="s">
        <v>18263</v>
      </c>
      <c r="D2272" s="5" t="str">
        <f ca="1">IFERROR(__xludf.DUMMYFUNCTION("GOOGLETRANSLATE(B2272,""ja"",""vi"")"),"Gucci")</f>
        <v>Gucci</v>
      </c>
      <c r="E2272" s="5" t="str">
        <f ca="1">IFERROR(__xludf.DUMMYFUNCTION("GOOGLETRANSLATE(C2272,""ja"",""vi"")"),"Đấu giá&gt; phụ kiện, đồng hồ&gt; thương hiệu phụ kiện&gt; Gucci")</f>
        <v>Đấu giá&gt; phụ kiện, đồng hồ&gt; thương hiệu phụ kiện&gt; Gucci</v>
      </c>
      <c r="F2272" t="str">
        <f t="shared" ca="1" si="35"/>
        <v>"2084057773" : "Gucci",</v>
      </c>
    </row>
    <row r="2273" spans="1:6" ht="15.75" customHeight="1">
      <c r="A2273" s="18">
        <v>2084285568</v>
      </c>
      <c r="B2273" s="18" t="s">
        <v>10036</v>
      </c>
      <c r="C2273" s="18" t="s">
        <v>18268</v>
      </c>
      <c r="D2273" s="5" t="str">
        <f ca="1">IFERROR(__xludf.DUMMYFUNCTION("GOOGLETRANSLATE(B2273,""ja"",""vi"")"),"huấn luyện viên")</f>
        <v>huấn luyện viên</v>
      </c>
      <c r="E2273" s="5" t="str">
        <f ca="1">IFERROR(__xludf.DUMMYFUNCTION("GOOGLETRANSLATE(C2273,""ja"",""vi"")"),"Đấu giá&gt; phụ kiện, đồng hồ&gt; thương hiệu phụ kiện&gt; HLV")</f>
        <v>Đấu giá&gt; phụ kiện, đồng hồ&gt; thương hiệu phụ kiện&gt; HLV</v>
      </c>
      <c r="F2273" t="str">
        <f t="shared" ca="1" si="35"/>
        <v>"2084285568" : "huấn luyện viên",</v>
      </c>
    </row>
    <row r="2274" spans="1:6" ht="15.75" customHeight="1">
      <c r="A2274" s="18">
        <v>2084057919</v>
      </c>
      <c r="B2274" s="18" t="s">
        <v>10041</v>
      </c>
      <c r="C2274" s="18" t="s">
        <v>18271</v>
      </c>
      <c r="D2274" s="5" t="str">
        <f ca="1">IFERROR(__xludf.DUMMYFUNCTION("GOOGLETRANSLATE(B2274,""ja"",""vi"")"),"Com de chế độ")</f>
        <v>Com de chế độ</v>
      </c>
      <c r="E2274" s="5" t="str">
        <f ca="1">IFERROR(__xludf.DUMMYFUNCTION("GOOGLETRANSLATE(C2274,""ja"",""vi"")"),"Đấu giá&gt; phụ kiện, đồng hồ&gt; thương hiệu phụ kiện&gt; com de chế độ")</f>
        <v>Đấu giá&gt; phụ kiện, đồng hồ&gt; thương hiệu phụ kiện&gt; com de chế độ</v>
      </c>
      <c r="F2274" t="str">
        <f t="shared" ca="1" si="35"/>
        <v>"2084057919" : "Com de chế độ",</v>
      </c>
    </row>
    <row r="2275" spans="1:6" ht="15.75" customHeight="1">
      <c r="A2275" s="18">
        <v>2084292916</v>
      </c>
      <c r="B2275" s="18" t="s">
        <v>10082</v>
      </c>
      <c r="C2275" s="18" t="s">
        <v>18273</v>
      </c>
      <c r="D2275" s="5" t="str">
        <f ca="1">IFERROR(__xludf.DUMMYFUNCTION("GOOGLETRANSLATE(B2275,""ja"",""vi"")"),"Gorozu")</f>
        <v>Gorozu</v>
      </c>
      <c r="E2275" s="5" t="str">
        <f ca="1">IFERROR(__xludf.DUMMYFUNCTION("GOOGLETRANSLATE(C2275,""ja"",""vi"")"),"Đấu giá&gt; phụ kiện, đồng hồ&gt; thương hiệu phụ kiện&gt; Gorozu")</f>
        <v>Đấu giá&gt; phụ kiện, đồng hồ&gt; thương hiệu phụ kiện&gt; Gorozu</v>
      </c>
      <c r="F2275" t="str">
        <f t="shared" ca="1" si="35"/>
        <v>"2084292916" : "Gorozu",</v>
      </c>
    </row>
    <row r="2276" spans="1:6" ht="15.75" customHeight="1">
      <c r="A2276" s="18">
        <v>2084057791</v>
      </c>
      <c r="B2276" s="18" t="s">
        <v>10288</v>
      </c>
      <c r="C2276" s="18" t="s">
        <v>18278</v>
      </c>
      <c r="D2276" s="5" t="str">
        <f ca="1">IFERROR(__xludf.DUMMYFUNCTION("GOOGLETRANSLATE(B2276,""ja"",""vi"")"),"Chanel")</f>
        <v>Chanel</v>
      </c>
      <c r="E2276" s="5" t="str">
        <f ca="1">IFERROR(__xludf.DUMMYFUNCTION("GOOGLETRANSLATE(C2276,""ja"",""vi"")"),"Đấu giá&gt; phụ kiện, đồng hồ&gt; thương hiệu phụ kiện&gt; Chanel")</f>
        <v>Đấu giá&gt; phụ kiện, đồng hồ&gt; thương hiệu phụ kiện&gt; Chanel</v>
      </c>
      <c r="F2276" t="str">
        <f t="shared" ca="1" si="35"/>
        <v>"2084057791" : "Chanel",</v>
      </c>
    </row>
    <row r="2277" spans="1:6" ht="15.75" customHeight="1">
      <c r="A2277" s="18">
        <v>2084057916</v>
      </c>
      <c r="B2277" s="18" t="s">
        <v>18281</v>
      </c>
      <c r="C2277" s="18" t="s">
        <v>18283</v>
      </c>
      <c r="D2277" s="5" t="str">
        <f ca="1">IFERROR(__xludf.DUMMYFUNCTION("GOOGLETRANSLATE(B2277,""ja"",""vi"")"),"CHAUMET")</f>
        <v>CHAUMET</v>
      </c>
      <c r="E2277" s="5" t="str">
        <f ca="1">IFERROR(__xludf.DUMMYFUNCTION("GOOGLETRANSLATE(C2277,""ja"",""vi"")"),"Đấu giá&gt; phụ kiện, đồng hồ&gt; thương hiệu phụ kiện&gt; CHAUMET")</f>
        <v>Đấu giá&gt; phụ kiện, đồng hồ&gt; thương hiệu phụ kiện&gt; CHAUMET</v>
      </c>
      <c r="F2277" t="str">
        <f t="shared" ca="1" si="35"/>
        <v>"2084057916" : "CHAUMET",</v>
      </c>
    </row>
    <row r="2278" spans="1:6" ht="15.75" customHeight="1">
      <c r="A2278" s="18">
        <v>2084057887</v>
      </c>
      <c r="B2278" s="18" t="s">
        <v>18284</v>
      </c>
      <c r="C2278" s="18" t="s">
        <v>18286</v>
      </c>
      <c r="D2278" s="5" t="str">
        <f ca="1">IFERROR(__xludf.DUMMYFUNCTION("GOOGLETRANSLATE(B2278,""ja"",""vi"")"),"Chopard")</f>
        <v>Chopard</v>
      </c>
      <c r="E2278" s="5" t="str">
        <f ca="1">IFERROR(__xludf.DUMMYFUNCTION("GOOGLETRANSLATE(C2278,""ja"",""vi"")"),"Đấu giá&gt; phụ kiện, đồng hồ&gt; thương hiệu phụ kiện&gt; Chopard")</f>
        <v>Đấu giá&gt; phụ kiện, đồng hồ&gt; thương hiệu phụ kiện&gt; Chopard</v>
      </c>
      <c r="F2278" t="str">
        <f t="shared" ca="1" si="35"/>
        <v>"2084057887" : "Chopard",</v>
      </c>
    </row>
    <row r="2279" spans="1:6" ht="15.75" customHeight="1">
      <c r="A2279" s="18">
        <v>2084062113</v>
      </c>
      <c r="B2279" s="18" t="s">
        <v>10250</v>
      </c>
      <c r="C2279" s="18" t="s">
        <v>18290</v>
      </c>
      <c r="D2279" s="5" t="str">
        <f ca="1">IFERROR(__xludf.DUMMYFUNCTION("GOOGLETRANSLATE(B2279,""ja"",""vi"")"),"Givenchy")</f>
        <v>Givenchy</v>
      </c>
      <c r="E2279" s="5" t="str">
        <f ca="1">IFERROR(__xludf.DUMMYFUNCTION("GOOGLETRANSLATE(C2279,""ja"",""vi"")"),"Đấu giá&gt; phụ kiện, đồng hồ&gt; thương hiệu phụ kiện&gt; Givenchy")</f>
        <v>Đấu giá&gt; phụ kiện, đồng hồ&gt; thương hiệu phụ kiện&gt; Givenchy</v>
      </c>
      <c r="F2279" t="str">
        <f t="shared" ca="1" si="35"/>
        <v>"2084062113" : "Givenchy",</v>
      </c>
    </row>
    <row r="2280" spans="1:6" ht="15.75" customHeight="1">
      <c r="A2280" s="18">
        <v>2084259184</v>
      </c>
      <c r="B2280" s="18" t="s">
        <v>18296</v>
      </c>
      <c r="C2280" s="18" t="s">
        <v>18297</v>
      </c>
      <c r="D2280" s="5" t="str">
        <f ca="1">IFERROR(__xludf.DUMMYFUNCTION("GOOGLETRANSLATE(B2280,""ja"",""vi"")"),"Justin Davis")</f>
        <v>Justin Davis</v>
      </c>
      <c r="E2280" s="5" t="str">
        <f ca="1">IFERROR(__xludf.DUMMYFUNCTION("GOOGLETRANSLATE(C2280,""ja"",""vi"")"),"Đấu giá&gt; phụ kiện, đồng hồ&gt; thương hiệu phụ kiện&gt; Justin Davis")</f>
        <v>Đấu giá&gt; phụ kiện, đồng hồ&gt; thương hiệu phụ kiện&gt; Justin Davis</v>
      </c>
      <c r="F2280" t="str">
        <f t="shared" ca="1" si="35"/>
        <v>"2084259184" : "Justin Davis",</v>
      </c>
    </row>
    <row r="2281" spans="1:6" ht="15.75" customHeight="1">
      <c r="A2281" s="18">
        <v>2084211403</v>
      </c>
      <c r="B2281" s="18" t="s">
        <v>18301</v>
      </c>
      <c r="C2281" s="18" t="s">
        <v>18302</v>
      </c>
      <c r="D2281" s="5" t="str">
        <f ca="1">IFERROR(__xludf.DUMMYFUNCTION("GOOGLETRANSLATE(B2281,""ja"",""vi"")"),"Jam Homemade")</f>
        <v>Jam Homemade</v>
      </c>
      <c r="E2281" s="5" t="str">
        <f ca="1">IFERROR(__xludf.DUMMYFUNCTION("GOOGLETRANSLATE(C2281,""ja"",""vi"")"),"Đấu giá&gt; phụ kiện, đồng hồ&gt; thương hiệu phụ kiện&gt; Jam Home Made")</f>
        <v>Đấu giá&gt; phụ kiện, đồng hồ&gt; thương hiệu phụ kiện&gt; Jam Home Made</v>
      </c>
      <c r="F2281" t="str">
        <f t="shared" ca="1" si="35"/>
        <v>"2084211403" : "Jam Homemade",</v>
      </c>
    </row>
    <row r="2282" spans="1:6" ht="15.75" customHeight="1">
      <c r="A2282" s="18">
        <v>2084195385</v>
      </c>
      <c r="B2282" s="18" t="s">
        <v>18306</v>
      </c>
      <c r="C2282" s="18" t="s">
        <v>18307</v>
      </c>
      <c r="D2282" s="5" t="str">
        <f ca="1">IFERROR(__xludf.DUMMYFUNCTION("GOOGLETRANSLATE(B2282,""ja"",""vi"")"),"George Jensen")</f>
        <v>George Jensen</v>
      </c>
      <c r="E2282" s="5" t="str">
        <f ca="1">IFERROR(__xludf.DUMMYFUNCTION("GOOGLETRANSLATE(C2282,""ja"",""vi"")"),"Đấu giá&gt; phụ kiện, đồng hồ&gt; thương hiệu phụ kiện&gt; George Jensen")</f>
        <v>Đấu giá&gt; phụ kiện, đồng hồ&gt; thương hiệu phụ kiện&gt; George Jensen</v>
      </c>
      <c r="F2282" t="str">
        <f t="shared" ca="1" si="35"/>
        <v>"2084195385" : "George Jensen",</v>
      </c>
    </row>
    <row r="2283" spans="1:6" ht="15.75" customHeight="1">
      <c r="A2283" s="18">
        <v>2084057892</v>
      </c>
      <c r="B2283" s="18" t="s">
        <v>18312</v>
      </c>
      <c r="C2283" s="18" t="s">
        <v>18313</v>
      </c>
      <c r="D2283" s="5" t="str">
        <f ca="1">IFERROR(__xludf.DUMMYFUNCTION("GOOGLETRANSLATE(B2283,""ja"",""vi"")"),"đồ trang sức sao")</f>
        <v>đồ trang sức sao</v>
      </c>
      <c r="E2283" s="5" t="str">
        <f ca="1">IFERROR(__xludf.DUMMYFUNCTION("GOOGLETRANSLATE(C2283,""ja"",""vi"")"),"Đấu giá&gt; phụ kiện, đồng hồ&gt; thương hiệu phụ kiện&gt; đồ trang sức sao")</f>
        <v>Đấu giá&gt; phụ kiện, đồng hồ&gt; thương hiệu phụ kiện&gt; đồ trang sức sao</v>
      </c>
      <c r="F2283" t="str">
        <f t="shared" ca="1" si="35"/>
        <v>"2084057892" : "đồ trang sức sao",</v>
      </c>
    </row>
    <row r="2284" spans="1:6" ht="15.75" customHeight="1">
      <c r="A2284" s="18">
        <v>2084212690</v>
      </c>
      <c r="B2284" s="18" t="s">
        <v>18317</v>
      </c>
      <c r="C2284" s="18" t="s">
        <v>18319</v>
      </c>
      <c r="D2284" s="5" t="str">
        <f ca="1">IFERROR(__xludf.DUMMYFUNCTION("GOOGLETRANSLATE(B2284,""ja"",""vi"")"),"Swarovski")</f>
        <v>Swarovski</v>
      </c>
      <c r="E2284" s="5" t="str">
        <f ca="1">IFERROR(__xludf.DUMMYFUNCTION("GOOGLETRANSLATE(C2284,""ja"",""vi"")"),"Đấu giá&gt; phụ kiện, đồng hồ&gt; thương hiệu phụ kiện&gt; Swarovski")</f>
        <v>Đấu giá&gt; phụ kiện, đồng hồ&gt; thương hiệu phụ kiện&gt; Swarovski</v>
      </c>
      <c r="F2284" t="str">
        <f t="shared" ca="1" si="35"/>
        <v>"2084212690" : "Swarovski",</v>
      </c>
    </row>
    <row r="2285" spans="1:6" ht="15.75" customHeight="1">
      <c r="A2285" s="18">
        <v>2084061872</v>
      </c>
      <c r="B2285" s="18" t="s">
        <v>18322</v>
      </c>
      <c r="C2285" s="18" t="s">
        <v>18324</v>
      </c>
      <c r="D2285" s="5" t="str">
        <f ca="1">IFERROR(__xludf.DUMMYFUNCTION("GOOGLETRANSLATE(B2285,""ja"",""vi"")"),"Tateoshian")</f>
        <v>Tateoshian</v>
      </c>
      <c r="E2285" s="5" t="str">
        <f ca="1">IFERROR(__xludf.DUMMYFUNCTION("GOOGLETRANSLATE(C2285,""ja"",""vi"")"),"Đấu giá&gt; phụ kiện, đồng hồ&gt; thương hiệu phụ kiện&gt; Tateoshian")</f>
        <v>Đấu giá&gt; phụ kiện, đồng hồ&gt; thương hiệu phụ kiện&gt; Tateoshian</v>
      </c>
      <c r="F2285" t="str">
        <f t="shared" ca="1" si="35"/>
        <v>"2084061872" : "Tateoshian",</v>
      </c>
    </row>
    <row r="2286" spans="1:6" ht="15.75" customHeight="1">
      <c r="A2286" s="18">
        <v>2084211290</v>
      </c>
      <c r="B2286" s="18" t="s">
        <v>18329</v>
      </c>
      <c r="C2286" s="18" t="s">
        <v>18332</v>
      </c>
      <c r="D2286" s="5" t="str">
        <f ca="1">IFERROR(__xludf.DUMMYFUNCTION("GOOGLETRANSLATE(B2286,""ja"",""vi"")"),"Damiani")</f>
        <v>Damiani</v>
      </c>
      <c r="E2286" s="5" t="str">
        <f ca="1">IFERROR(__xludf.DUMMYFUNCTION("GOOGLETRANSLATE(C2286,""ja"",""vi"")"),"Đấu giá&gt; phụ kiện, đồng hồ&gt; thương hiệu phụ kiện&gt; Damiani")</f>
        <v>Đấu giá&gt; phụ kiện, đồng hồ&gt; thương hiệu phụ kiện&gt; Damiani</v>
      </c>
      <c r="F2286" t="str">
        <f t="shared" ca="1" si="35"/>
        <v>"2084211290" : "Damiani",</v>
      </c>
    </row>
    <row r="2287" spans="1:6" ht="15.75" customHeight="1">
      <c r="A2287" s="18">
        <v>2084061866</v>
      </c>
      <c r="B2287" s="18" t="s">
        <v>10762</v>
      </c>
      <c r="C2287" s="18" t="s">
        <v>18335</v>
      </c>
      <c r="D2287" s="5" t="str">
        <f ca="1">IFERROR(__xludf.DUMMYFUNCTION("GOOGLETRANSLATE(B2287,""ja"",""vi"")"),"Dunhill")</f>
        <v>Dunhill</v>
      </c>
      <c r="E2287" s="5" t="str">
        <f ca="1">IFERROR(__xludf.DUMMYFUNCTION("GOOGLETRANSLATE(C2287,""ja"",""vi"")"),"Đấu giá&gt; phụ kiện, đồng hồ&gt; thương hiệu phụ kiện&gt; Dunhill")</f>
        <v>Đấu giá&gt; phụ kiện, đồng hồ&gt; thương hiệu phụ kiện&gt; Dunhill</v>
      </c>
      <c r="F2287" t="str">
        <f t="shared" ca="1" si="35"/>
        <v>"2084061866" : "Dunhill",</v>
      </c>
    </row>
    <row r="2288" spans="1:6" ht="15.75" customHeight="1">
      <c r="A2288" s="18">
        <v>2084052592</v>
      </c>
      <c r="B2288" s="18" t="s">
        <v>10898</v>
      </c>
      <c r="C2288" s="18" t="s">
        <v>18338</v>
      </c>
      <c r="D2288" s="5" t="str">
        <f ca="1">IFERROR(__xludf.DUMMYFUNCTION("GOOGLETRANSLATE(B2288,""ja"",""vi"")"),"vải mõng")</f>
        <v>vải mõng</v>
      </c>
      <c r="E2288" s="5" t="str">
        <f ca="1">IFERROR(__xludf.DUMMYFUNCTION("GOOGLETRANSLATE(C2288,""ja"",""vi"")"),"Đấu giá&gt; phụ kiện, đồng hồ&gt; thương hiệu phụ kiện&gt; Tiffany")</f>
        <v>Đấu giá&gt; phụ kiện, đồng hồ&gt; thương hiệu phụ kiện&gt; Tiffany</v>
      </c>
      <c r="F2288" t="str">
        <f t="shared" ca="1" si="35"/>
        <v>"2084052592" : "vải mõng",</v>
      </c>
    </row>
    <row r="2289" spans="1:6" ht="15.75" customHeight="1">
      <c r="A2289" s="18">
        <v>2084195391</v>
      </c>
      <c r="B2289" s="18" t="s">
        <v>18343</v>
      </c>
      <c r="C2289" s="18" t="s">
        <v>18344</v>
      </c>
      <c r="D2289" s="5" t="str">
        <f ca="1">IFERROR(__xludf.DUMMYFUNCTION("GOOGLETRANSLATE(B2289,""ja"",""vi"")"),"de Beers")</f>
        <v>de Beers</v>
      </c>
      <c r="E2289" s="5" t="str">
        <f ca="1">IFERROR(__xludf.DUMMYFUNCTION("GOOGLETRANSLATE(C2289,""ja"",""vi"")"),"Đấu giá&gt; phụ kiện, đồng hồ&gt; thương hiệu phụ kiện&gt; De Beers")</f>
        <v>Đấu giá&gt; phụ kiện, đồng hồ&gt; thương hiệu phụ kiện&gt; De Beers</v>
      </c>
      <c r="F2289" t="str">
        <f t="shared" ca="1" si="35"/>
        <v>"2084195391" : "de Beers",</v>
      </c>
    </row>
    <row r="2290" spans="1:6" ht="15.75" customHeight="1">
      <c r="A2290" s="18">
        <v>2084211400</v>
      </c>
      <c r="B2290" s="18" t="s">
        <v>18346</v>
      </c>
      <c r="C2290" s="18" t="s">
        <v>18347</v>
      </c>
      <c r="D2290" s="5" t="str">
        <f ca="1">IFERROR(__xludf.DUMMYFUNCTION("GOOGLETRANSLATE(B2290,""ja"",""vi"")"),"nhân viên Travis")</f>
        <v>nhân viên Travis</v>
      </c>
      <c r="E2290" s="5" t="str">
        <f ca="1">IFERROR(__xludf.DUMMYFUNCTION("GOOGLETRANSLATE(C2290,""ja"",""vi"")"),"Đấu giá&gt; phụ kiện, đồng hồ&gt; thương hiệu phụ kiện&gt; nhân viên Travis")</f>
        <v>Đấu giá&gt; phụ kiện, đồng hồ&gt; thương hiệu phụ kiện&gt; nhân viên Travis</v>
      </c>
      <c r="F2290" t="str">
        <f t="shared" ca="1" si="35"/>
        <v>"2084211400" : "nhân viên Travis",</v>
      </c>
    </row>
    <row r="2291" spans="1:6" ht="15.75" customHeight="1">
      <c r="A2291" s="18">
        <v>2084059826</v>
      </c>
      <c r="B2291" s="18" t="s">
        <v>11111</v>
      </c>
      <c r="C2291" s="18" t="s">
        <v>18351</v>
      </c>
      <c r="D2291" s="5" t="str">
        <f ca="1">IFERROR(__xludf.DUMMYFUNCTION("GOOGLETRANSLATE(B2291,""ja"",""vi"")"),"Dolce &amp; Gabbana")</f>
        <v>Dolce &amp; Gabbana</v>
      </c>
      <c r="E2291" s="5" t="str">
        <f ca="1">IFERROR(__xludf.DUMMYFUNCTION("GOOGLETRANSLATE(C2291,""ja"",""vi"")"),"Đấu giá&gt; phụ kiện, đồng hồ&gt; thương hiệu phụ kiện&gt; Dolce &amp; Gabbana")</f>
        <v>Đấu giá&gt; phụ kiện, đồng hồ&gt; thương hiệu phụ kiện&gt; Dolce &amp; Gabbana</v>
      </c>
      <c r="F2291" t="str">
        <f t="shared" ca="1" si="35"/>
        <v>"2084059826" : "Dolce &amp; Gabbana",</v>
      </c>
    </row>
    <row r="2292" spans="1:6" ht="15.75" customHeight="1">
      <c r="A2292" s="18">
        <v>2084061900</v>
      </c>
      <c r="B2292" s="18" t="s">
        <v>18354</v>
      </c>
      <c r="C2292" s="18" t="s">
        <v>18357</v>
      </c>
      <c r="D2292" s="5" t="str">
        <f ca="1">IFERROR(__xludf.DUMMYFUNCTION("GOOGLETRANSLATE(B2292,""ja"",""vi"")"),"Tasaki Shinju Co., Ltd.")</f>
        <v>Tasaki Shinju Co., Ltd.</v>
      </c>
      <c r="E2292" s="5" t="str">
        <f ca="1">IFERROR(__xludf.DUMMYFUNCTION("GOOGLETRANSLATE(C2292,""ja"",""vi"")"),"Đấu giá&gt; phụ kiện, đồng hồ&gt; thương hiệu phụ kiện&gt; Tasaki Shinju Co., Ltd.")</f>
        <v>Đấu giá&gt; phụ kiện, đồng hồ&gt; thương hiệu phụ kiện&gt; Tasaki Shinju Co., Ltd.</v>
      </c>
      <c r="F2292" t="str">
        <f t="shared" ca="1" si="35"/>
        <v>"2084061900" : "Tasaki Shinju Co., Ltd.",</v>
      </c>
    </row>
    <row r="2293" spans="1:6" ht="15.75" customHeight="1">
      <c r="A2293" s="18">
        <v>2084061782</v>
      </c>
      <c r="B2293" s="18" t="s">
        <v>11203</v>
      </c>
      <c r="C2293" s="18" t="s">
        <v>18360</v>
      </c>
      <c r="D2293" s="5" t="str">
        <f ca="1">IFERROR(__xludf.DUMMYFUNCTION("GOOGLETRANSLATE(B2293,""ja"",""vi"")"),"số Nine")</f>
        <v>số Nine</v>
      </c>
      <c r="E2293" s="5" t="str">
        <f ca="1">IFERROR(__xludf.DUMMYFUNCTION("GOOGLETRANSLATE(C2293,""ja"",""vi"")"),"Đấu giá&gt; phụ kiện, đồng hồ&gt; thương hiệu phụ kiện&gt; Số Nine")</f>
        <v>Đấu giá&gt; phụ kiện, đồng hồ&gt; thương hiệu phụ kiện&gt; Số Nine</v>
      </c>
      <c r="F2293" t="str">
        <f t="shared" ca="1" si="35"/>
        <v>"2084061782" : "số Nine",</v>
      </c>
    </row>
    <row r="2294" spans="1:6" ht="15.75" customHeight="1">
      <c r="A2294" s="18">
        <v>2084057897</v>
      </c>
      <c r="B2294" s="18" t="s">
        <v>11252</v>
      </c>
      <c r="C2294" s="18" t="s">
        <v>18365</v>
      </c>
      <c r="D2294" s="5" t="str">
        <f ca="1">IFERROR(__xludf.DUMMYFUNCTION("GOOGLETRANSLATE(B2294,""ja"",""vi"")"),"Nina Ricci")</f>
        <v>Nina Ricci</v>
      </c>
      <c r="E2294" s="5" t="str">
        <f ca="1">IFERROR(__xludf.DUMMYFUNCTION("GOOGLETRANSLATE(C2294,""ja"",""vi"")"),"Đấu giá&gt; phụ kiện, đồng hồ&gt; thương hiệu phụ kiện&gt; Nina Ricci")</f>
        <v>Đấu giá&gt; phụ kiện, đồng hồ&gt; thương hiệu phụ kiện&gt; Nina Ricci</v>
      </c>
      <c r="F2294" t="str">
        <f t="shared" ca="1" si="35"/>
        <v>"2084057897" : "Nina Ricci",</v>
      </c>
    </row>
    <row r="2295" spans="1:6" ht="15.75" customHeight="1">
      <c r="A2295" s="18">
        <v>2084242562</v>
      </c>
      <c r="B2295" s="18" t="s">
        <v>18367</v>
      </c>
      <c r="C2295" s="18" t="s">
        <v>18369</v>
      </c>
      <c r="D2295" s="5" t="str">
        <f ca="1">IFERROR(__xludf.DUMMYFUNCTION("GOOGLETRANSLATE(B2295,""ja"",""vi"")"),"Nojesu")</f>
        <v>Nojesu</v>
      </c>
      <c r="E2295" s="5" t="str">
        <f ca="1">IFERROR(__xludf.DUMMYFUNCTION("GOOGLETRANSLATE(C2295,""ja"",""vi"")"),"Đấu giá&gt; phụ kiện, đồng hồ&gt; thương hiệu phụ kiện&gt; Nojesu")</f>
        <v>Đấu giá&gt; phụ kiện, đồng hồ&gt; thương hiệu phụ kiện&gt; Nojesu</v>
      </c>
      <c r="F2295" t="str">
        <f t="shared" ca="1" si="35"/>
        <v>"2084242562" : "Nojesu",</v>
      </c>
    </row>
    <row r="2296" spans="1:6" ht="15.75" customHeight="1">
      <c r="A2296" s="18">
        <v>2084211287</v>
      </c>
      <c r="B2296" s="18" t="s">
        <v>18371</v>
      </c>
      <c r="C2296" s="18" t="s">
        <v>18372</v>
      </c>
      <c r="D2296" s="5" t="str">
        <f ca="1">IFERROR(__xludf.DUMMYFUNCTION("GOOGLETRANSLATE(B2296,""ja"",""vi"")"),"Harry Winston")</f>
        <v>Harry Winston</v>
      </c>
      <c r="E2296" s="5" t="str">
        <f ca="1">IFERROR(__xludf.DUMMYFUNCTION("GOOGLETRANSLATE(C2296,""ja"",""vi"")"),"Đấu giá&gt; phụ kiện, đồng hồ&gt; thương hiệu phụ kiện&gt; Harry Winston")</f>
        <v>Đấu giá&gt; phụ kiện, đồng hồ&gt; thương hiệu phụ kiện&gt; Harry Winston</v>
      </c>
      <c r="F2296" t="str">
        <f t="shared" ca="1" si="35"/>
        <v>"2084211287" : "Harry Winston",</v>
      </c>
    </row>
    <row r="2297" spans="1:6" ht="15.75" customHeight="1">
      <c r="A2297" s="18">
        <v>2084057901</v>
      </c>
      <c r="B2297" s="18" t="s">
        <v>18376</v>
      </c>
      <c r="C2297" s="18" t="s">
        <v>18377</v>
      </c>
      <c r="D2297" s="5" t="str">
        <f ca="1">IFERROR(__xludf.DUMMYFUNCTION("GOOGLETRANSLATE(B2297,""ja"",""vi"")"),"Baccarat")</f>
        <v>Baccarat</v>
      </c>
      <c r="E2297" s="5" t="str">
        <f ca="1">IFERROR(__xludf.DUMMYFUNCTION("GOOGLETRANSLATE(C2297,""ja"",""vi"")"),"Đấu giá&gt; phụ kiện, đồng hồ&gt; thương hiệu phụ kiện&gt; Baccarat")</f>
        <v>Đấu giá&gt; phụ kiện, đồng hồ&gt; thương hiệu phụ kiện&gt; Baccarat</v>
      </c>
      <c r="F2297" t="str">
        <f t="shared" ca="1" si="35"/>
        <v>"2084057901" : "Baccarat",</v>
      </c>
    </row>
    <row r="2298" spans="1:6" ht="15.75" customHeight="1">
      <c r="A2298" s="18">
        <v>2084195403</v>
      </c>
      <c r="B2298" s="18" t="s">
        <v>18380</v>
      </c>
      <c r="C2298" s="18" t="s">
        <v>18382</v>
      </c>
      <c r="D2298" s="5" t="str">
        <f ca="1">IFERROR(__xludf.DUMMYFUNCTION("GOOGLETRANSLATE(B2298,""ja"",""vi"")"),"Bill Tường Da")</f>
        <v>Bill Tường Da</v>
      </c>
      <c r="E2298" s="5" t="str">
        <f ca="1">IFERROR(__xludf.DUMMYFUNCTION("GOOGLETRANSLATE(C2298,""ja"",""vi"")"),"Đấu giá&gt; phụ kiện, đồng hồ&gt; thương hiệu phụ kiện&gt; Bill Tường Da")</f>
        <v>Đấu giá&gt; phụ kiện, đồng hồ&gt; thương hiệu phụ kiện&gt; Bill Tường Da</v>
      </c>
      <c r="F2298" t="str">
        <f t="shared" ca="1" si="35"/>
        <v>"2084195403" : "Bill Tường Da",</v>
      </c>
    </row>
    <row r="2299" spans="1:6" ht="15.75" customHeight="1">
      <c r="A2299" s="18">
        <v>2084211293</v>
      </c>
      <c r="B2299" s="18" t="s">
        <v>18383</v>
      </c>
      <c r="C2299" s="18" t="s">
        <v>18384</v>
      </c>
      <c r="D2299" s="5" t="str">
        <f ca="1">IFERROR(__xludf.DUMMYFUNCTION("GOOGLETRANSLATE(B2299,""ja"",""vi"")"),"Piaget")</f>
        <v>Piaget</v>
      </c>
      <c r="E2299" s="5" t="str">
        <f ca="1">IFERROR(__xludf.DUMMYFUNCTION("GOOGLETRANSLATE(C2299,""ja"",""vi"")"),"Đấu giá&gt; phụ kiện, đồng hồ&gt; thương hiệu phụ kiện&gt; Piaget")</f>
        <v>Đấu giá&gt; phụ kiện, đồng hồ&gt; thương hiệu phụ kiện&gt; Piaget</v>
      </c>
      <c r="F2299" t="str">
        <f t="shared" ca="1" si="35"/>
        <v>"2084211293" : "Piaget",</v>
      </c>
    </row>
    <row r="2300" spans="1:6" ht="15.75" customHeight="1">
      <c r="A2300" s="18">
        <v>2084057904</v>
      </c>
      <c r="B2300" s="18" t="s">
        <v>18388</v>
      </c>
      <c r="C2300" s="18" t="s">
        <v>18389</v>
      </c>
      <c r="D2300" s="5" t="str">
        <f ca="1">IFERROR(__xludf.DUMMYFUNCTION("GOOGLETRANSLATE(B2300,""ja"",""vi"")"),"follie FOLLI")</f>
        <v>follie FOLLI</v>
      </c>
      <c r="E2300" s="5" t="str">
        <f ca="1">IFERROR(__xludf.DUMMYFUNCTION("GOOGLETRANSLATE(C2300,""ja"",""vi"")"),"Đấu giá&gt; phụ kiện, đồng hồ&gt; thương hiệu phụ kiện&gt; FOLLI FOLLIE")</f>
        <v>Đấu giá&gt; phụ kiện, đồng hồ&gt; thương hiệu phụ kiện&gt; FOLLI FOLLIE</v>
      </c>
      <c r="F2300" t="str">
        <f t="shared" ca="1" si="35"/>
        <v>"2084057904" : "follie FOLLI",</v>
      </c>
    </row>
    <row r="2301" spans="1:6" ht="15.75" customHeight="1">
      <c r="A2301" s="18">
        <v>2084195409</v>
      </c>
      <c r="B2301" s="18" t="s">
        <v>18392</v>
      </c>
      <c r="C2301" s="18" t="s">
        <v>18394</v>
      </c>
      <c r="D2301" s="5" t="str">
        <f ca="1">IFERROR(__xludf.DUMMYFUNCTION("GOOGLETRANSLATE(B2301,""ja"",""vi"")"),"Freestyle")</f>
        <v>Freestyle</v>
      </c>
      <c r="E2301" s="5" t="str">
        <f ca="1">IFERROR(__xludf.DUMMYFUNCTION("GOOGLETRANSLATE(C2301,""ja"",""vi"")"),"Đấu giá&gt; phụ kiện, đồng hồ&gt; thương hiệu phụ kiện&gt; Freestyle")</f>
        <v>Đấu giá&gt; phụ kiện, đồng hồ&gt; thương hiệu phụ kiện&gt; Freestyle</v>
      </c>
      <c r="F2301" t="str">
        <f t="shared" ca="1" si="35"/>
        <v>"2084195409" : "Freestyle",</v>
      </c>
    </row>
    <row r="2302" spans="1:6" ht="15.75" customHeight="1">
      <c r="A2302" s="18">
        <v>2084211300</v>
      </c>
      <c r="B2302" s="18" t="s">
        <v>18395</v>
      </c>
      <c r="C2302" s="18" t="s">
        <v>18397</v>
      </c>
      <c r="D2302" s="5" t="str">
        <f ca="1">IFERROR(__xludf.DUMMYFUNCTION("GOOGLETRANSLATE(B2302,""ja"",""vi"")"),"Boucheron")</f>
        <v>Boucheron</v>
      </c>
      <c r="E2302" s="5" t="str">
        <f ca="1">IFERROR(__xludf.DUMMYFUNCTION("GOOGLETRANSLATE(C2302,""ja"",""vi"")"),"Đấu giá&gt; phụ kiện, đồng hồ&gt; thương hiệu phụ kiện&gt; Boucheron")</f>
        <v>Đấu giá&gt; phụ kiện, đồng hồ&gt; thương hiệu phụ kiện&gt; Boucheron</v>
      </c>
      <c r="F2302" t="str">
        <f t="shared" ca="1" si="35"/>
        <v>"2084211300" : "Boucheron",</v>
      </c>
    </row>
    <row r="2303" spans="1:6" ht="15.75" customHeight="1">
      <c r="A2303" s="18">
        <v>2084195393</v>
      </c>
      <c r="B2303" s="18" t="s">
        <v>18400</v>
      </c>
      <c r="C2303" s="18" t="s">
        <v>18401</v>
      </c>
      <c r="D2303" s="5" t="str">
        <f ca="1">IFERROR(__xludf.DUMMYFUNCTION("GOOGLETRANSLATE(B2303,""ja"",""vi"")"),"Bloody Mary")</f>
        <v>Bloody Mary</v>
      </c>
      <c r="E2303" s="5" t="str">
        <f ca="1">IFERROR(__xludf.DUMMYFUNCTION("GOOGLETRANSLATE(C2303,""ja"",""vi"")"),"Đấu giá&gt; phụ kiện, đồng hồ&gt; thương hiệu phụ kiện&gt; Bloody Mary")</f>
        <v>Đấu giá&gt; phụ kiện, đồng hồ&gt; thương hiệu phụ kiện&gt; Bloody Mary</v>
      </c>
      <c r="F2303" t="str">
        <f t="shared" ca="1" si="35"/>
        <v>"2084195393" : "Bloody Mary",</v>
      </c>
    </row>
    <row r="2304" spans="1:6" ht="15.75" customHeight="1">
      <c r="A2304" s="18">
        <v>2084195392</v>
      </c>
      <c r="B2304" s="18" t="s">
        <v>18404</v>
      </c>
      <c r="C2304" s="18" t="s">
        <v>18405</v>
      </c>
      <c r="D2304" s="5" t="str">
        <f ca="1">IFERROR(__xludf.DUMMYFUNCTION("GOOGLETRANSLATE(B2304,""ja"",""vi"")"),"nở hoa")</f>
        <v>nở hoa</v>
      </c>
      <c r="E2304" s="5" t="str">
        <f ca="1">IFERROR(__xludf.DUMMYFUNCTION("GOOGLETRANSLATE(C2304,""ja"",""vi"")"),"Đấu giá&gt; phụ kiện, đồng hồ&gt; thương hiệu phụ kiện&gt; Broome")</f>
        <v>Đấu giá&gt; phụ kiện, đồng hồ&gt; thương hiệu phụ kiện&gt; Broome</v>
      </c>
      <c r="F2304" t="str">
        <f t="shared" ca="1" si="35"/>
        <v>"2084195392" : "nở hoa",</v>
      </c>
    </row>
    <row r="2305" spans="1:6" ht="15.75" customHeight="1">
      <c r="A2305" s="18">
        <v>2084052554</v>
      </c>
      <c r="B2305" s="18" t="s">
        <v>11984</v>
      </c>
      <c r="C2305" s="18" t="s">
        <v>18406</v>
      </c>
      <c r="D2305" s="5" t="str">
        <f ca="1">IFERROR(__xludf.DUMMYFUNCTION("GOOGLETRANSLATE(B2305,""ja"",""vi"")"),"Bulgari")</f>
        <v>Bulgari</v>
      </c>
      <c r="E2305" s="5" t="str">
        <f ca="1">IFERROR(__xludf.DUMMYFUNCTION("GOOGLETRANSLATE(C2305,""ja"",""vi"")"),"Đấu giá&gt; phụ kiện, đồng hồ&gt; thương hiệu phụ kiện&gt; Bulgari")</f>
        <v>Đấu giá&gt; phụ kiện, đồng hồ&gt; thương hiệu phụ kiện&gt; Bulgari</v>
      </c>
      <c r="F2305" t="str">
        <f t="shared" ca="1" si="35"/>
        <v>"2084052554" : "Bulgari",</v>
      </c>
    </row>
    <row r="2306" spans="1:6" ht="15.75" customHeight="1">
      <c r="A2306" s="18">
        <v>2084061856</v>
      </c>
      <c r="B2306" s="18" t="s">
        <v>12242</v>
      </c>
      <c r="C2306" s="18" t="s">
        <v>18408</v>
      </c>
      <c r="D2306" s="5" t="str">
        <f ca="1">IFERROR(__xludf.DUMMYFUNCTION("GOOGLETRANSLATE(B2306,""ja"",""vi"")"),"Paul Smith")</f>
        <v>Paul Smith</v>
      </c>
      <c r="E2306" s="5" t="str">
        <f ca="1">IFERROR(__xludf.DUMMYFUNCTION("GOOGLETRANSLATE(C2306,""ja"",""vi"")"),"Đấu giá&gt; phụ kiện, đồng hồ&gt; thương hiệu phụ kiện&gt; Paul Smith")</f>
        <v>Đấu giá&gt; phụ kiện, đồng hồ&gt; thương hiệu phụ kiện&gt; Paul Smith</v>
      </c>
      <c r="F2306" t="str">
        <f t="shared" ref="F2306:F2369" ca="1" si="36">CONCATENATE(CHAR(34)&amp;"",A2306,""&amp;CHAR(34)," : ", CHAR(34)&amp;"",D2306,""&amp;CHAR(34),",")</f>
        <v>"2084061856" : "Paul Smith",</v>
      </c>
    </row>
    <row r="2307" spans="1:6" ht="15.75" customHeight="1">
      <c r="A2307" s="18">
        <v>2084211297</v>
      </c>
      <c r="B2307" s="18" t="s">
        <v>18410</v>
      </c>
      <c r="C2307" s="18" t="s">
        <v>18411</v>
      </c>
      <c r="D2307" s="5" t="str">
        <f ca="1">IFERROR(__xludf.DUMMYFUNCTION("GOOGLETRANSLATE(B2307,""ja"",""vi"")"),"Pomellato")</f>
        <v>Pomellato</v>
      </c>
      <c r="E2307" s="5" t="str">
        <f ca="1">IFERROR(__xludf.DUMMYFUNCTION("GOOGLETRANSLATE(C2307,""ja"",""vi"")"),"Đấu giá&gt; phụ kiện, đồng hồ&gt; thương hiệu phụ kiện&gt; Pomellato")</f>
        <v>Đấu giá&gt; phụ kiện, đồng hồ&gt; thương hiệu phụ kiện&gt; Pomellato</v>
      </c>
      <c r="F2307" t="str">
        <f t="shared" ca="1" si="36"/>
        <v>"2084211297" : "Pomellato",</v>
      </c>
    </row>
    <row r="2308" spans="1:6" ht="15.75" customHeight="1">
      <c r="A2308" s="18">
        <v>2084301273</v>
      </c>
      <c r="B2308" s="18" t="s">
        <v>18414</v>
      </c>
      <c r="C2308" s="18" t="s">
        <v>18415</v>
      </c>
      <c r="D2308" s="5" t="str">
        <f ca="1">IFERROR(__xludf.DUMMYFUNCTION("GOOGLETRANSLATE(B2308,""ja"",""vi"")"),"Ponte Vecchio")</f>
        <v>Ponte Vecchio</v>
      </c>
      <c r="E2308" s="5" t="str">
        <f ca="1">IFERROR(__xludf.DUMMYFUNCTION("GOOGLETRANSLATE(C2308,""ja"",""vi"")"),"Đấu giá&gt; phụ kiện, đồng hồ&gt; thương hiệu phụ kiện&gt; Ponte Vecchio")</f>
        <v>Đấu giá&gt; phụ kiện, đồng hồ&gt; thương hiệu phụ kiện&gt; Ponte Vecchio</v>
      </c>
      <c r="F2308" t="str">
        <f t="shared" ca="1" si="36"/>
        <v>"2084301273" : "Ponte Vecchio",</v>
      </c>
    </row>
    <row r="2309" spans="1:6" ht="15.75" customHeight="1">
      <c r="A2309" s="18">
        <v>2084057880</v>
      </c>
      <c r="B2309" s="18" t="s">
        <v>18419</v>
      </c>
      <c r="C2309" s="18" t="s">
        <v>18421</v>
      </c>
      <c r="D2309" s="5" t="str">
        <f ca="1">IFERROR(__xludf.DUMMYFUNCTION("GOOGLETRANSLATE(B2309,""ja"",""vi"")"),"Van Cleef &amp; Arpels")</f>
        <v>Van Cleef &amp; Arpels</v>
      </c>
      <c r="E2309" s="5" t="str">
        <f ca="1">IFERROR(__xludf.DUMMYFUNCTION("GOOGLETRANSLATE(C2309,""ja"",""vi"")"),"Đấu giá&gt; phụ kiện, đồng hồ&gt; thương hiệu phụ kiện&gt; Van Cleef &amp; Arpels")</f>
        <v>Đấu giá&gt; phụ kiện, đồng hồ&gt; thương hiệu phụ kiện&gt; Van Cleef &amp; Arpels</v>
      </c>
      <c r="F2309" t="str">
        <f t="shared" ca="1" si="36"/>
        <v>"2084057880" : "Van Cleef &amp; Arpels",</v>
      </c>
    </row>
    <row r="2310" spans="1:6" ht="15.75" customHeight="1">
      <c r="A2310" s="18">
        <v>2084057883</v>
      </c>
      <c r="B2310" s="18" t="s">
        <v>18423</v>
      </c>
      <c r="C2310" s="18" t="s">
        <v>18424</v>
      </c>
      <c r="D2310" s="5" t="str">
        <f ca="1">IFERROR(__xludf.DUMMYFUNCTION("GOOGLETRANSLATE(B2310,""ja"",""vi"")"),"Vendome Aoyama")</f>
        <v>Vendome Aoyama</v>
      </c>
      <c r="E2310" s="5" t="str">
        <f ca="1">IFERROR(__xludf.DUMMYFUNCTION("GOOGLETRANSLATE(C2310,""ja"",""vi"")"),"Đấu giá&gt; phụ kiện, đồng hồ&gt; thương hiệu phụ kiện&gt; Vendome Aoyama")</f>
        <v>Đấu giá&gt; phụ kiện, đồng hồ&gt; thương hiệu phụ kiện&gt; Vendome Aoyama</v>
      </c>
      <c r="F2310" t="str">
        <f t="shared" ca="1" si="36"/>
        <v>"2084057883" : "Vendome Aoyama",</v>
      </c>
    </row>
    <row r="2311" spans="1:6" ht="15.75" customHeight="1">
      <c r="A2311" s="18">
        <v>2084061789</v>
      </c>
      <c r="B2311" s="18" t="s">
        <v>9176</v>
      </c>
      <c r="C2311" s="18" t="s">
        <v>18431</v>
      </c>
      <c r="D2311" s="5" t="str">
        <f ca="1">IFERROR(__xludf.DUMMYFUNCTION("GOOGLETRANSLATE(B2311,""ja"",""vi"")"),"Vivienne Westwood")</f>
        <v>Vivienne Westwood</v>
      </c>
      <c r="E2311" s="5" t="str">
        <f ca="1">IFERROR(__xludf.DUMMYFUNCTION("GOOGLETRANSLATE(C2311,""ja"",""vi"")"),"Đấu giá&gt; phụ kiện, đồng hồ&gt; thương hiệu phụ kiện&gt; Vivienne Westwood")</f>
        <v>Đấu giá&gt; phụ kiện, đồng hồ&gt; thương hiệu phụ kiện&gt; Vivienne Westwood</v>
      </c>
      <c r="F2311" t="str">
        <f t="shared" ca="1" si="36"/>
        <v>"2084061789" : "Vivienne Westwood",</v>
      </c>
    </row>
    <row r="2312" spans="1:6" ht="15.75" customHeight="1">
      <c r="A2312" s="18">
        <v>2084061906</v>
      </c>
      <c r="B2312" s="18" t="s">
        <v>18437</v>
      </c>
      <c r="C2312" s="18" t="s">
        <v>18438</v>
      </c>
      <c r="D2312" s="5" t="str">
        <f ca="1">IFERROR(__xludf.DUMMYFUNCTION("GOOGLETRANSLATE(B2312,""ja"",""vi"")"),"Mikimoto")</f>
        <v>Mikimoto</v>
      </c>
      <c r="E2312" s="5" t="str">
        <f ca="1">IFERROR(__xludf.DUMMYFUNCTION("GOOGLETRANSLATE(C2312,""ja"",""vi"")"),"Đấu giá&gt; phụ kiện, đồng hồ&gt; thương hiệu phụ kiện&gt; Mikimoto")</f>
        <v>Đấu giá&gt; phụ kiện, đồng hồ&gt; thương hiệu phụ kiện&gt; Mikimoto</v>
      </c>
      <c r="F2312" t="str">
        <f t="shared" ca="1" si="36"/>
        <v>"2084061906" : "Mikimoto",</v>
      </c>
    </row>
    <row r="2313" spans="1:6" ht="15.75" customHeight="1">
      <c r="A2313" s="18">
        <v>2084224324</v>
      </c>
      <c r="B2313" s="18" t="s">
        <v>18440</v>
      </c>
      <c r="C2313" s="18" t="s">
        <v>18441</v>
      </c>
      <c r="D2313" s="5" t="str">
        <f ca="1">IFERROR(__xludf.DUMMYFUNCTION("GOOGLETRANSLATE(B2313,""ja"",""vi"")"),"Michael Negrin")</f>
        <v>Michael Negrin</v>
      </c>
      <c r="E2313" s="5" t="str">
        <f ca="1">IFERROR(__xludf.DUMMYFUNCTION("GOOGLETRANSLATE(C2313,""ja"",""vi"")"),"Đấu giá&gt; phụ kiện, đồng hồ&gt; thương hiệu phụ kiện&gt; Michael Negrin")</f>
        <v>Đấu giá&gt; phụ kiện, đồng hồ&gt; thương hiệu phụ kiện&gt; Michael Negrin</v>
      </c>
      <c r="F2313" t="str">
        <f t="shared" ca="1" si="36"/>
        <v>"2084224324" : "Michael Negrin",</v>
      </c>
    </row>
    <row r="2314" spans="1:6" ht="15.75" customHeight="1">
      <c r="A2314" s="18">
        <v>2084224321</v>
      </c>
      <c r="B2314" s="18" t="s">
        <v>18444</v>
      </c>
      <c r="C2314" s="18" t="s">
        <v>18445</v>
      </c>
      <c r="D2314" s="5" t="str">
        <f ca="1">IFERROR(__xludf.DUMMYFUNCTION("GOOGLETRANSLATE(B2314,""ja"",""vi"")"),"Miriam Haskell")</f>
        <v>Miriam Haskell</v>
      </c>
      <c r="E2314" s="5" t="str">
        <f ca="1">IFERROR(__xludf.DUMMYFUNCTION("GOOGLETRANSLATE(C2314,""ja"",""vi"")"),"Đấu giá&gt; phụ kiện, đồng hồ&gt; thương hiệu phụ kiện&gt; Miriam Haskell")</f>
        <v>Đấu giá&gt; phụ kiện, đồng hồ&gt; thương hiệu phụ kiện&gt; Miriam Haskell</v>
      </c>
      <c r="F2314" t="str">
        <f t="shared" ca="1" si="36"/>
        <v>"2084224321" : "Miriam Haskell",</v>
      </c>
    </row>
    <row r="2315" spans="1:6" ht="15.75" customHeight="1">
      <c r="A2315" s="18">
        <v>2084057866</v>
      </c>
      <c r="B2315" s="18" t="s">
        <v>12694</v>
      </c>
      <c r="C2315" s="18" t="s">
        <v>18448</v>
      </c>
      <c r="D2315" s="5" t="str">
        <f ca="1">IFERROR(__xludf.DUMMYFUNCTION("GOOGLETRANSLATE(B2315,""ja"",""vi"")"),"4 ℃")</f>
        <v>4 ℃</v>
      </c>
      <c r="E2315" s="5" t="str">
        <f ca="1">IFERROR(__xludf.DUMMYFUNCTION("GOOGLETRANSLATE(C2315,""ja"",""vi"")"),"Đấu giá&gt; phụ kiện, đồng hồ&gt; thương hiệu phụ kiện&gt; 4 ℃")</f>
        <v>Đấu giá&gt; phụ kiện, đồng hồ&gt; thương hiệu phụ kiện&gt; 4 ℃</v>
      </c>
      <c r="F2315" t="str">
        <f t="shared" ca="1" si="36"/>
        <v>"2084057866" : "4 ℃",</v>
      </c>
    </row>
    <row r="2316" spans="1:6" ht="15.75" customHeight="1">
      <c r="A2316" s="18">
        <v>2084061772</v>
      </c>
      <c r="B2316" s="18" t="s">
        <v>12897</v>
      </c>
      <c r="C2316" s="18" t="s">
        <v>18450</v>
      </c>
      <c r="D2316" s="5" t="str">
        <f ca="1">IFERROR(__xludf.DUMMYFUNCTION("GOOGLETRANSLATE(B2316,""ja"",""vi"")"),"Louis Vuitton")</f>
        <v>Louis Vuitton</v>
      </c>
      <c r="E2316" s="5" t="str">
        <f ca="1">IFERROR(__xludf.DUMMYFUNCTION("GOOGLETRANSLATE(C2316,""ja"",""vi"")"),"Đấu giá&gt; phụ kiện, đồng hồ&gt; thương hiệu phụ kiện&gt; Louis Vuitton")</f>
        <v>Đấu giá&gt; phụ kiện, đồng hồ&gt; thương hiệu phụ kiện&gt; Louis Vuitton</v>
      </c>
      <c r="F2316" t="str">
        <f t="shared" ca="1" si="36"/>
        <v>"2084061772" : "Louis Vuitton",</v>
      </c>
    </row>
    <row r="2317" spans="1:6" ht="15.75" customHeight="1">
      <c r="A2317" s="18">
        <v>2084057910</v>
      </c>
      <c r="B2317" s="18" t="s">
        <v>18454</v>
      </c>
      <c r="C2317" s="18" t="s">
        <v>18455</v>
      </c>
      <c r="D2317" s="5" t="str">
        <f ca="1">IFERROR(__xludf.DUMMYFUNCTION("GOOGLETRANSLATE(B2317,""ja"",""vi"")"),"Leonard Kamuhoto, Ronwanzu")</f>
        <v>Leonard Kamuhoto, Ronwanzu</v>
      </c>
      <c r="E2317" s="5" t="str">
        <f ca="1">IFERROR(__xludf.DUMMYFUNCTION("GOOGLETRANSLATE(C2317,""ja"",""vi"")"),"Đấu giá&gt; phụ kiện, đồng hồ&gt; thương hiệu phụ kiện&gt; Leonard Kamuhoto, Ronwanzu")</f>
        <v>Đấu giá&gt; phụ kiện, đồng hồ&gt; thương hiệu phụ kiện&gt; Leonard Kamuhoto, Ronwanzu</v>
      </c>
      <c r="F2317" t="str">
        <f t="shared" ca="1" si="36"/>
        <v>"2084057910" : "Leonard Kamuhoto, Ronwanzu",</v>
      </c>
    </row>
    <row r="2318" spans="1:6" ht="15.75" customHeight="1">
      <c r="A2318" s="18">
        <v>2084214030</v>
      </c>
      <c r="B2318" s="18" t="s">
        <v>18459</v>
      </c>
      <c r="C2318" s="18" t="s">
        <v>18460</v>
      </c>
      <c r="D2318" s="5" t="str">
        <f ca="1">IFERROR(__xludf.DUMMYFUNCTION("GOOGLETRANSLATE(B2318,""ja"",""vi"")"),"đường Camelot")</f>
        <v>đường Camelot</v>
      </c>
      <c r="E2318" s="5" t="str">
        <f ca="1">IFERROR(__xludf.DUMMYFUNCTION("GOOGLETRANSLATE(C2318,""ja"",""vi"")"),"Đấu giá&gt; phụ kiện, đồng hồ&gt; thương hiệu phụ kiện&gt; Đường Camelot")</f>
        <v>Đấu giá&gt; phụ kiện, đồng hồ&gt; thương hiệu phụ kiện&gt; Đường Camelot</v>
      </c>
      <c r="F2318" t="str">
        <f t="shared" ca="1" si="36"/>
        <v>"2084214030" : "đường Camelot",</v>
      </c>
    </row>
    <row r="2319" spans="1:6" ht="15.75" customHeight="1">
      <c r="A2319" s="18">
        <v>2084210883</v>
      </c>
      <c r="B2319" s="18" t="s">
        <v>18463</v>
      </c>
      <c r="C2319" s="18" t="s">
        <v>18465</v>
      </c>
      <c r="D2319" s="5" t="str">
        <f ca="1">IFERROR(__xludf.DUMMYFUNCTION("GOOGLETRANSLATE(B2319,""ja"",""vi"")"),"Raleigh Rodokin")</f>
        <v>Raleigh Rodokin</v>
      </c>
      <c r="E2319" s="5" t="str">
        <f ca="1">IFERROR(__xludf.DUMMYFUNCTION("GOOGLETRANSLATE(C2319,""ja"",""vi"")"),"Đấu giá&gt; phụ kiện, đồng hồ&gt; thương hiệu phụ kiện&gt; Raleigh Rodokin")</f>
        <v>Đấu giá&gt; phụ kiện, đồng hồ&gt; thương hiệu phụ kiện&gt; Raleigh Rodokin</v>
      </c>
      <c r="F2319" t="str">
        <f t="shared" ca="1" si="36"/>
        <v>"2084210883" : "Raleigh Rodokin",</v>
      </c>
    </row>
    <row r="2320" spans="1:6" ht="15.75" customHeight="1">
      <c r="A2320" s="18">
        <v>2084195394</v>
      </c>
      <c r="B2320" s="18" t="s">
        <v>18467</v>
      </c>
      <c r="C2320" s="18" t="s">
        <v>18469</v>
      </c>
      <c r="D2320" s="5" t="str">
        <f ca="1">IFERROR(__xludf.DUMMYFUNCTION("GOOGLETRANSLATE(B2320,""ja"",""vi"")"),"Hoàng gia theo thứ tự")</f>
        <v>Hoàng gia theo thứ tự</v>
      </c>
      <c r="E2320" s="5" t="str">
        <f ca="1">IFERROR(__xludf.DUMMYFUNCTION("GOOGLETRANSLATE(C2320,""ja"",""vi"")"),"Đấu giá&gt; phụ kiện, đồng hồ&gt; thương hiệu phụ kiện&gt; Royal thứ tự")</f>
        <v>Đấu giá&gt; phụ kiện, đồng hồ&gt; thương hiệu phụ kiện&gt; Royal thứ tự</v>
      </c>
      <c r="F2320" t="str">
        <f t="shared" ca="1" si="36"/>
        <v>"2084195394" : "Hoàng gia theo thứ tự",</v>
      </c>
    </row>
    <row r="2321" spans="1:6" ht="15.75" customHeight="1">
      <c r="A2321" s="18">
        <v>2084284916</v>
      </c>
      <c r="B2321" s="18" t="s">
        <v>46</v>
      </c>
      <c r="C2321" s="18" t="s">
        <v>18471</v>
      </c>
      <c r="D2321" s="5" t="str">
        <f ca="1">IFERROR(__xludf.DUMMYFUNCTION("GOOGLETRANSLATE(B2321,""ja"",""vi"")"),"nếu không thì")</f>
        <v>nếu không thì</v>
      </c>
      <c r="E2321" s="5" t="str">
        <f ca="1">IFERROR(__xludf.DUMMYFUNCTION("GOOGLETRANSLATE(C2321,""ja"",""vi"")"),"Đấu giá&gt; phụ kiện, đồng hồ&gt; phụ kiện thương hiệu&gt; Khác")</f>
        <v>Đấu giá&gt; phụ kiện, đồng hồ&gt; phụ kiện thương hiệu&gt; Khác</v>
      </c>
      <c r="F2321" t="str">
        <f t="shared" ca="1" si="36"/>
        <v>"2084284916" : "nếu không thì",</v>
      </c>
    </row>
    <row r="2322" spans="1:6" ht="15.75" customHeight="1">
      <c r="A2322" s="18">
        <v>2084005389</v>
      </c>
      <c r="B2322" s="18" t="s">
        <v>18475</v>
      </c>
      <c r="C2322" s="18" t="s">
        <v>18476</v>
      </c>
      <c r="D2322" s="5" t="str">
        <f ca="1">IFERROR(__xludf.DUMMYFUNCTION("GOOGLETRANSLATE(B2322,""ja"",""vi"")"),"Vòng cổ, mặt dây chuyền")</f>
        <v>Vòng cổ, mặt dây chuyền</v>
      </c>
      <c r="E2322" s="5" t="str">
        <f ca="1">IFERROR(__xludf.DUMMYFUNCTION("GOOGLETRANSLATE(C2322,""ja"",""vi"")"),"Đấu giá&gt; Accessories, Đồng hồ&gt; nữ phụ kiện&gt; dây chuyền, mặt dây chuyền")</f>
        <v>Đấu giá&gt; Accessories, Đồng hồ&gt; nữ phụ kiện&gt; dây chuyền, mặt dây chuyền</v>
      </c>
      <c r="F2322" t="str">
        <f t="shared" ca="1" si="36"/>
        <v>"2084005389" : "Vòng cổ, mặt dây chuyền",</v>
      </c>
    </row>
    <row r="2323" spans="1:6" ht="15.75" customHeight="1">
      <c r="A2323" s="18">
        <v>2084060087</v>
      </c>
      <c r="B2323" s="18" t="s">
        <v>18479</v>
      </c>
      <c r="C2323" s="18" t="s">
        <v>18480</v>
      </c>
      <c r="D2323" s="5" t="str">
        <f ca="1">IFERROR(__xludf.DUMMYFUNCTION("GOOGLETRANSLATE(B2323,""ja"",""vi"")"),"Mặt dây chuyền, Charms")</f>
        <v>Mặt dây chuyền, Charms</v>
      </c>
      <c r="E2323" s="5" t="str">
        <f ca="1">IFERROR(__xludf.DUMMYFUNCTION("GOOGLETRANSLATE(C2323,""ja"",""vi"")"),"Đấu giá&gt; Accessories, Đồng hồ&gt; nữ phụ kiện&gt; Vòng đeo, Charms")</f>
        <v>Đấu giá&gt; Accessories, Đồng hồ&gt; nữ phụ kiện&gt; Vòng đeo, Charms</v>
      </c>
      <c r="F2323" t="str">
        <f t="shared" ca="1" si="36"/>
        <v>"2084060087" : "Mặt dây chuyền, Charms",</v>
      </c>
    </row>
    <row r="2324" spans="1:6" ht="15.75" customHeight="1">
      <c r="A2324" s="18">
        <v>2084060086</v>
      </c>
      <c r="B2324" s="18" t="s">
        <v>18484</v>
      </c>
      <c r="C2324" s="18" t="s">
        <v>18485</v>
      </c>
      <c r="D2324" s="5" t="str">
        <f ca="1">IFERROR(__xludf.DUMMYFUNCTION("GOOGLETRANSLATE(B2324,""ja"",""vi"")"),"Necklace (chỉ chuỗi)")</f>
        <v>Necklace (chỉ chuỗi)</v>
      </c>
      <c r="E2324" s="5" t="str">
        <f ca="1">IFERROR(__xludf.DUMMYFUNCTION("GOOGLETRANSLATE(C2324,""ja"",""vi"")"),"Đấu giá&gt; Accessories, Đồng hồ&gt; dùng cho phụ nữ&gt; vòng cổ (chuỗi chỉ)")</f>
        <v>Đấu giá&gt; Accessories, Đồng hồ&gt; dùng cho phụ nữ&gt; vòng cổ (chuỗi chỉ)</v>
      </c>
      <c r="F2324" t="str">
        <f t="shared" ca="1" si="36"/>
        <v>"2084060086" : "Necklace (chỉ chuỗi)",</v>
      </c>
    </row>
    <row r="2325" spans="1:6" ht="15.75" customHeight="1">
      <c r="A2325" s="18">
        <v>2084005391</v>
      </c>
      <c r="B2325" s="18" t="s">
        <v>18489</v>
      </c>
      <c r="C2325" s="18" t="s">
        <v>18490</v>
      </c>
      <c r="D2325" s="5" t="str">
        <f ca="1">IFERROR(__xludf.DUMMYFUNCTION("GOOGLETRANSLATE(B2325,""ja"",""vi"")"),"khăn quàng cổ")</f>
        <v>khăn quàng cổ</v>
      </c>
      <c r="E2325" s="5" t="str">
        <f ca="1">IFERROR(__xludf.DUMMYFUNCTION("GOOGLETRANSLATE(C2325,""ja"",""vi"")"),"Đấu giá&gt; Accessories, Đồng hồ&gt; dùng cho phụ nữ&gt; choker")</f>
        <v>Đấu giá&gt; Accessories, Đồng hồ&gt; dùng cho phụ nữ&gt; choker</v>
      </c>
      <c r="F2325" t="str">
        <f t="shared" ca="1" si="36"/>
        <v>"2084005391" : "khăn quàng cổ",</v>
      </c>
    </row>
    <row r="2326" spans="1:6" ht="15.75" customHeight="1">
      <c r="A2326" s="18">
        <v>2084005425</v>
      </c>
      <c r="B2326" s="18" t="s">
        <v>18491</v>
      </c>
      <c r="C2326" s="18" t="s">
        <v>18493</v>
      </c>
      <c r="D2326" s="5" t="str">
        <f ca="1">IFERROR(__xludf.DUMMYFUNCTION("GOOGLETRANSLATE(B2326,""ja"",""vi"")"),"vòng")</f>
        <v>vòng</v>
      </c>
      <c r="E2326" s="5" t="str">
        <f ca="1">IFERROR(__xludf.DUMMYFUNCTION("GOOGLETRANSLATE(C2326,""ja"",""vi"")"),"Đấu giá&gt; Accessories, Đồng hồ&gt; dùng cho phụ nữ&gt; Nhẫn")</f>
        <v>Đấu giá&gt; Accessories, Đồng hồ&gt; dùng cho phụ nữ&gt; Nhẫn</v>
      </c>
      <c r="F2326" t="str">
        <f t="shared" ca="1" si="36"/>
        <v>"2084005425" : "vòng",</v>
      </c>
    </row>
    <row r="2327" spans="1:6" ht="15.75" customHeight="1">
      <c r="A2327" s="18">
        <v>2084005417</v>
      </c>
      <c r="B2327" s="18" t="s">
        <v>18495</v>
      </c>
      <c r="C2327" s="18" t="s">
        <v>18496</v>
      </c>
      <c r="D2327" s="5" t="str">
        <f ca="1">IFERROR(__xludf.DUMMYFUNCTION("GOOGLETRANSLATE(B2327,""ja"",""vi"")"),"Bông tai")</f>
        <v>Bông tai</v>
      </c>
      <c r="E2327" s="5" t="str">
        <f ca="1">IFERROR(__xludf.DUMMYFUNCTION("GOOGLETRANSLATE(C2327,""ja"",""vi"")"),"Đấu giá&gt; Accessories, Đồng hồ&gt; dùng cho phụ nữ&gt; Bông tai")</f>
        <v>Đấu giá&gt; Accessories, Đồng hồ&gt; dùng cho phụ nữ&gt; Bông tai</v>
      </c>
      <c r="F2327" t="str">
        <f t="shared" ca="1" si="36"/>
        <v>"2084005417" : "Bông tai",</v>
      </c>
    </row>
    <row r="2328" spans="1:6" ht="15.75" customHeight="1">
      <c r="A2328" s="18">
        <v>2084005410</v>
      </c>
      <c r="B2328" s="18" t="s">
        <v>18499</v>
      </c>
      <c r="C2328" s="18" t="s">
        <v>18500</v>
      </c>
      <c r="D2328" s="5" t="str">
        <f ca="1">IFERROR(__xludf.DUMMYFUNCTION("GOOGLETRANSLATE(B2328,""ja"",""vi"")"),"Bông tai")</f>
        <v>Bông tai</v>
      </c>
      <c r="E2328" s="5" t="str">
        <f ca="1">IFERROR(__xludf.DUMMYFUNCTION("GOOGLETRANSLATE(C2328,""ja"",""vi"")"),"Đấu giá&gt; Accessories, Đồng hồ&gt; dùng cho phụ nữ&gt; bông tai")</f>
        <v>Đấu giá&gt; Accessories, Đồng hồ&gt; dùng cho phụ nữ&gt; bông tai</v>
      </c>
      <c r="F2328" t="str">
        <f t="shared" ca="1" si="36"/>
        <v>"2084005410" : "Bông tai",</v>
      </c>
    </row>
    <row r="2329" spans="1:6" ht="15.75" customHeight="1">
      <c r="A2329" s="18">
        <v>2084005365</v>
      </c>
      <c r="B2329" s="18" t="s">
        <v>18503</v>
      </c>
      <c r="C2329" s="18" t="s">
        <v>18504</v>
      </c>
      <c r="D2329" s="5" t="str">
        <f ca="1">IFERROR(__xludf.DUMMYFUNCTION("GOOGLETRANSLATE(B2329,""ja"",""vi"")"),"Vòng đeo tay, vòng")</f>
        <v>Vòng đeo tay, vòng</v>
      </c>
      <c r="E2329" s="5" t="str">
        <f ca="1">IFERROR(__xludf.DUMMYFUNCTION("GOOGLETRANSLATE(C2329,""ja"",""vi"")"),"Đấu giá&gt; Accessories, Đồng hồ&gt; dùng cho phụ nữ&gt; vòng đeo tay, vòng")</f>
        <v>Đấu giá&gt; Accessories, Đồng hồ&gt; dùng cho phụ nữ&gt; vòng đeo tay, vòng</v>
      </c>
      <c r="F2329" t="str">
        <f t="shared" ca="1" si="36"/>
        <v>"2084005365" : "Vòng đeo tay, vòng",</v>
      </c>
    </row>
    <row r="2330" spans="1:6" ht="15.75" customHeight="1">
      <c r="A2330" s="18">
        <v>2084005436</v>
      </c>
      <c r="B2330" s="18" t="s">
        <v>18506</v>
      </c>
      <c r="C2330" s="18" t="s">
        <v>18509</v>
      </c>
      <c r="D2330" s="5" t="str">
        <f ca="1">IFERROR(__xludf.DUMMYFUNCTION("GOOGLETRANSLATE(B2330,""ja"",""vi"")"),"vòng chân")</f>
        <v>vòng chân</v>
      </c>
      <c r="E2330" s="5" t="str">
        <f ca="1">IFERROR(__xludf.DUMMYFUNCTION("GOOGLETRANSLATE(C2330,""ja"",""vi"")"),"Đấu giá&gt; Accessories, Đồng hồ&gt; dùng cho phụ nữ&gt; vòng chân")</f>
        <v>Đấu giá&gt; Accessories, Đồng hồ&gt; dùng cho phụ nữ&gt; vòng chân</v>
      </c>
      <c r="F2330" t="str">
        <f t="shared" ca="1" si="36"/>
        <v>"2084005436" : "vòng chân",</v>
      </c>
    </row>
    <row r="2331" spans="1:6" ht="15.75" customHeight="1">
      <c r="A2331" s="18">
        <v>2084019048</v>
      </c>
      <c r="B2331" s="18" t="s">
        <v>18512</v>
      </c>
      <c r="C2331" s="18" t="s">
        <v>18513</v>
      </c>
      <c r="D2331" s="5" t="str">
        <f ca="1">IFERROR(__xludf.DUMMYFUNCTION("GOOGLETRANSLATE(B2331,""ja"",""vi"")"),"Trần đá, Ruth")</f>
        <v>Trần đá, Ruth</v>
      </c>
      <c r="E2331" s="5" t="str">
        <f ca="1">IFERROR(__xludf.DUMMYFUNCTION("GOOGLETRANSLATE(C2331,""ja"",""vi"")"),"Đấu giá&gt; Accessories, Đồng hồ&gt; nữ phụ kiện&gt; đá trần truồng, Ruth")</f>
        <v>Đấu giá&gt; Accessories, Đồng hồ&gt; nữ phụ kiện&gt; đá trần truồng, Ruth</v>
      </c>
      <c r="F2331" t="str">
        <f t="shared" ca="1" si="36"/>
        <v>"2084019048" : "Trần đá, Ruth",</v>
      </c>
    </row>
    <row r="2332" spans="1:6" ht="15.75" customHeight="1">
      <c r="A2332" s="18">
        <v>2084005369</v>
      </c>
      <c r="B2332" s="18" t="s">
        <v>18515</v>
      </c>
      <c r="C2332" s="18" t="s">
        <v>18517</v>
      </c>
      <c r="D2332" s="5" t="str">
        <f ca="1">IFERROR(__xludf.DUMMYFUNCTION("GOOGLETRANSLATE(B2332,""ja"",""vi"")"),"trâm")</f>
        <v>trâm</v>
      </c>
      <c r="E2332" s="5" t="str">
        <f ca="1">IFERROR(__xludf.DUMMYFUNCTION("GOOGLETRANSLATE(C2332,""ja"",""vi"")"),"Đấu giá&gt; Accessories, Đồng hồ&gt; dùng cho phụ nữ&gt; trâm")</f>
        <v>Đấu giá&gt; Accessories, Đồng hồ&gt; dùng cho phụ nữ&gt; trâm</v>
      </c>
      <c r="F2332" t="str">
        <f t="shared" ca="1" si="36"/>
        <v>"2084005369" : "trâm",</v>
      </c>
    </row>
    <row r="2333" spans="1:6" ht="15.75" customHeight="1">
      <c r="A2333" s="18">
        <v>2084005370</v>
      </c>
      <c r="B2333" s="18" t="s">
        <v>18520</v>
      </c>
      <c r="C2333" s="18" t="s">
        <v>18521</v>
      </c>
      <c r="D2333" s="5" t="str">
        <f ca="1">IFERROR(__xludf.DUMMYFUNCTION("GOOGLETRANSLATE(B2333,""ja"",""vi"")"),"phụ kiện tóc")</f>
        <v>phụ kiện tóc</v>
      </c>
      <c r="E2333" s="5" t="str">
        <f ca="1">IFERROR(__xludf.DUMMYFUNCTION("GOOGLETRANSLATE(C2333,""ja"",""vi"")"),"Đấu giá&gt; Accessories, Đồng hồ&gt; dùng cho phụ nữ&gt; Phụ kiện tóc")</f>
        <v>Đấu giá&gt; Accessories, Đồng hồ&gt; dùng cho phụ nữ&gt; Phụ kiện tóc</v>
      </c>
      <c r="F2333" t="str">
        <f t="shared" ca="1" si="36"/>
        <v>"2084005370" : "phụ kiện tóc",</v>
      </c>
    </row>
    <row r="2334" spans="1:6" ht="15.75" customHeight="1">
      <c r="A2334" s="18">
        <v>2084012460</v>
      </c>
      <c r="B2334" s="18" t="s">
        <v>15162</v>
      </c>
      <c r="C2334" s="18" t="s">
        <v>18526</v>
      </c>
      <c r="D2334" s="5" t="str">
        <f ca="1">IFERROR(__xludf.DUMMYFUNCTION("GOOGLETRANSLATE(B2334,""ja"",""vi"")"),"phần trên áo đàn bà")</f>
        <v>phần trên áo đàn bà</v>
      </c>
      <c r="E2334" s="5" t="str">
        <f ca="1">IFERROR(__xludf.DUMMYFUNCTION("GOOGLETRANSLATE(C2334,""ja"",""vi"")"),"Đấu giá&gt; Accessories, Đồng hồ&gt; dùng cho phụ nữ&gt; corsage")</f>
        <v>Đấu giá&gt; Accessories, Đồng hồ&gt; dùng cho phụ nữ&gt; corsage</v>
      </c>
      <c r="F2334" t="str">
        <f t="shared" ca="1" si="36"/>
        <v>"2084012460" : "phần trên áo đàn bà",</v>
      </c>
    </row>
    <row r="2335" spans="1:6" ht="15.75" customHeight="1">
      <c r="A2335" s="18">
        <v>2084023700</v>
      </c>
      <c r="B2335" s="18" t="s">
        <v>18529</v>
      </c>
      <c r="C2335" s="18" t="s">
        <v>18532</v>
      </c>
      <c r="D2335" s="5" t="str">
        <f ca="1">IFERROR(__xludf.DUMMYFUNCTION("GOOGLETRANSLATE(B2335,""ja"",""vi"")"),"Body Piercing")</f>
        <v>Body Piercing</v>
      </c>
      <c r="E2335" s="5" t="str">
        <f ca="1">IFERROR(__xludf.DUMMYFUNCTION("GOOGLETRANSLATE(C2335,""ja"",""vi"")"),"Đấu giá&gt; Accessories, Đồng hồ&gt; dùng cho phụ nữ&gt; Body Piercing")</f>
        <v>Đấu giá&gt; Accessories, Đồng hồ&gt; dùng cho phụ nữ&gt; Body Piercing</v>
      </c>
      <c r="F2335" t="str">
        <f t="shared" ca="1" si="36"/>
        <v>"2084023700" : "Body Piercing",</v>
      </c>
    </row>
    <row r="2336" spans="1:6" ht="15.75" customHeight="1">
      <c r="A2336" s="18">
        <v>2084060087</v>
      </c>
      <c r="B2336" s="18" t="s">
        <v>18534</v>
      </c>
      <c r="C2336" s="18" t="s">
        <v>18537</v>
      </c>
      <c r="D2336" s="5" t="str">
        <f ca="1">IFERROR(__xludf.DUMMYFUNCTION("GOOGLETRANSLATE(B2336,""ja"",""vi"")"),"quyến rũ")</f>
        <v>quyến rũ</v>
      </c>
      <c r="E2336" s="5" t="str">
        <f ca="1">IFERROR(__xludf.DUMMYFUNCTION("GOOGLETRANSLATE(C2336,""ja"",""vi"")"),"Đấu giá&gt; Accessories, Đồng hồ&gt; dùng cho phụ nữ&gt; Charm")</f>
        <v>Đấu giá&gt; Accessories, Đồng hồ&gt; dùng cho phụ nữ&gt; Charm</v>
      </c>
      <c r="F2336" t="str">
        <f t="shared" ca="1" si="36"/>
        <v>"2084060087" : "quyến rũ",</v>
      </c>
    </row>
    <row r="2337" spans="1:6" ht="15.75" customHeight="1">
      <c r="A2337" s="18">
        <v>2084005064</v>
      </c>
      <c r="B2337" s="18" t="s">
        <v>7764</v>
      </c>
      <c r="C2337" s="18" t="s">
        <v>18542</v>
      </c>
      <c r="D2337" s="5" t="str">
        <f ca="1">IFERROR(__xludf.DUMMYFUNCTION("GOOGLETRANSLATE(B2337,""ja"",""vi"")"),"Điện thoại di Strap")</f>
        <v>Điện thoại di Strap</v>
      </c>
      <c r="E2337" s="5" t="str">
        <f ca="1">IFERROR(__xludf.DUMMYFUNCTION("GOOGLETRANSLATE(C2337,""ja"",""vi"")"),"Đấu giá&gt; Accessories, Đồng hồ&gt; dùng cho phụ nữ&gt; Dây đeo điện thoại di động")</f>
        <v>Đấu giá&gt; Accessories, Đồng hồ&gt; dùng cho phụ nữ&gt; Dây đeo điện thoại di động</v>
      </c>
      <c r="F2337" t="str">
        <f t="shared" ca="1" si="36"/>
        <v>"2084005064" : "Điện thoại di Strap",</v>
      </c>
    </row>
    <row r="2338" spans="1:6" ht="15.75" customHeight="1">
      <c r="A2338" s="18">
        <v>2084005437</v>
      </c>
      <c r="B2338" s="18" t="s">
        <v>18547</v>
      </c>
      <c r="C2338" s="18" t="s">
        <v>18549</v>
      </c>
      <c r="D2338" s="5" t="str">
        <f ca="1">IFERROR(__xludf.DUMMYFUNCTION("GOOGLETRANSLATE(B2338,""ja"",""vi"")"),"phụ kiện Các trường hợp")</f>
        <v>phụ kiện Các trường hợp</v>
      </c>
      <c r="E2338" s="5" t="str">
        <f ca="1">IFERROR(__xludf.DUMMYFUNCTION("GOOGLETRANSLATE(C2338,""ja"",""vi"")"),"Đấu giá&gt; Accessories, Đồng hồ&gt; dùng cho phụ nữ&gt; Phụ kiện Các trường hợp")</f>
        <v>Đấu giá&gt; Accessories, Đồng hồ&gt; dùng cho phụ nữ&gt; Phụ kiện Các trường hợp</v>
      </c>
      <c r="F2338" t="str">
        <f t="shared" ca="1" si="36"/>
        <v>"2084005437" : "phụ kiện Các trường hợp",</v>
      </c>
    </row>
    <row r="2339" spans="1:6" ht="15.75" customHeight="1">
      <c r="A2339" s="18">
        <v>2084006909</v>
      </c>
      <c r="B2339" s="18" t="s">
        <v>18554</v>
      </c>
      <c r="C2339" s="18" t="s">
        <v>18556</v>
      </c>
      <c r="D2339" s="5" t="str">
        <f ca="1">IFERROR(__xludf.DUMMYFUNCTION("GOOGLETRANSLATE(B2339,""ja"",""vi"")"),"chuỗi hạt")</f>
        <v>chuỗi hạt</v>
      </c>
      <c r="E2339" s="5" t="str">
        <f ca="1">IFERROR(__xludf.DUMMYFUNCTION("GOOGLETRANSLATE(C2339,""ja"",""vi"")"),"Đấu giá&gt; Accessories, Đồng hồ&gt; Phụ kiện nam&gt; Dây chuyền")</f>
        <v>Đấu giá&gt; Accessories, Đồng hồ&gt; Phụ kiện nam&gt; Dây chuyền</v>
      </c>
      <c r="F2339" t="str">
        <f t="shared" ca="1" si="36"/>
        <v>"2084006909" : "chuỗi hạt",</v>
      </c>
    </row>
    <row r="2340" spans="1:6" ht="15.75" customHeight="1">
      <c r="A2340" s="18">
        <v>2084006910</v>
      </c>
      <c r="B2340" s="18" t="s">
        <v>18559</v>
      </c>
      <c r="C2340" s="18" t="s">
        <v>18561</v>
      </c>
      <c r="D2340" s="5" t="str">
        <f ca="1">IFERROR(__xludf.DUMMYFUNCTION("GOOGLETRANSLATE(B2340,""ja"",""vi"")"),"mặt dây chuyền")</f>
        <v>mặt dây chuyền</v>
      </c>
      <c r="E2340" s="5" t="str">
        <f ca="1">IFERROR(__xludf.DUMMYFUNCTION("GOOGLETRANSLATE(C2340,""ja"",""vi"")"),"Đấu giá&gt; Accessories, Đồng hồ&gt; nam Phụ kiện&gt; mặt dây chuyền")</f>
        <v>Đấu giá&gt; Accessories, Đồng hồ&gt; nam Phụ kiện&gt; mặt dây chuyền</v>
      </c>
      <c r="F2340" t="str">
        <f t="shared" ca="1" si="36"/>
        <v>"2084006910" : "mặt dây chuyền",</v>
      </c>
    </row>
    <row r="2341" spans="1:6" ht="15.75" customHeight="1">
      <c r="A2341" s="18">
        <v>2084292881</v>
      </c>
      <c r="B2341" s="18" t="s">
        <v>18479</v>
      </c>
      <c r="C2341" s="18" t="s">
        <v>18563</v>
      </c>
      <c r="D2341" s="5" t="str">
        <f ca="1">IFERROR(__xludf.DUMMYFUNCTION("GOOGLETRANSLATE(B2341,""ja"",""vi"")"),"Mặt dây chuyền, Charms")</f>
        <v>Mặt dây chuyền, Charms</v>
      </c>
      <c r="E2341" s="5" t="str">
        <f ca="1">IFERROR(__xludf.DUMMYFUNCTION("GOOGLETRANSLATE(C2341,""ja"",""vi"")"),"Đấu giá&gt; Accessories, Đồng hồ&gt; nam Phụ kiện&gt; Vòng đeo, Charms")</f>
        <v>Đấu giá&gt; Accessories, Đồng hồ&gt; nam Phụ kiện&gt; Vòng đeo, Charms</v>
      </c>
      <c r="F2341" t="str">
        <f t="shared" ca="1" si="36"/>
        <v>"2084292881" : "Mặt dây chuyền, Charms",</v>
      </c>
    </row>
    <row r="2342" spans="1:6" ht="15.75" customHeight="1">
      <c r="A2342" s="18">
        <v>2084005360</v>
      </c>
      <c r="B2342" s="18" t="s">
        <v>18503</v>
      </c>
      <c r="C2342" s="18" t="s">
        <v>18566</v>
      </c>
      <c r="D2342" s="5" t="str">
        <f ca="1">IFERROR(__xludf.DUMMYFUNCTION("GOOGLETRANSLATE(B2342,""ja"",""vi"")"),"Vòng đeo tay, vòng")</f>
        <v>Vòng đeo tay, vòng</v>
      </c>
      <c r="E2342" s="5" t="str">
        <f ca="1">IFERROR(__xludf.DUMMYFUNCTION("GOOGLETRANSLATE(C2342,""ja"",""vi"")"),"Đấu giá&gt; Accessories, Đồng hồ&gt; nam Phụ kiện&gt; vòng đeo tay, vòng")</f>
        <v>Đấu giá&gt; Accessories, Đồng hồ&gt; nam Phụ kiện&gt; vòng đeo tay, vòng</v>
      </c>
      <c r="F2342" t="str">
        <f t="shared" ca="1" si="36"/>
        <v>"2084005360" : "Vòng đeo tay, vòng",</v>
      </c>
    </row>
    <row r="2343" spans="1:6" ht="15.75" customHeight="1">
      <c r="A2343" s="18">
        <v>2084007896</v>
      </c>
      <c r="B2343" s="18" t="s">
        <v>18491</v>
      </c>
      <c r="C2343" s="18" t="s">
        <v>18570</v>
      </c>
      <c r="D2343" s="5" t="str">
        <f ca="1">IFERROR(__xludf.DUMMYFUNCTION("GOOGLETRANSLATE(B2343,""ja"",""vi"")"),"vòng")</f>
        <v>vòng</v>
      </c>
      <c r="E2343" s="5" t="str">
        <f ca="1">IFERROR(__xludf.DUMMYFUNCTION("GOOGLETRANSLATE(C2343,""ja"",""vi"")"),"Đấu giá&gt; Accessories, Đồng hồ&gt; Phụ kiện nam&gt; Nhẫn")</f>
        <v>Đấu giá&gt; Accessories, Đồng hồ&gt; Phụ kiện nam&gt; Nhẫn</v>
      </c>
      <c r="F2343" t="str">
        <f t="shared" ca="1" si="36"/>
        <v>"2084007896" : "vòng",</v>
      </c>
    </row>
    <row r="2344" spans="1:6" ht="15.75" customHeight="1">
      <c r="A2344" s="18">
        <v>2084023760</v>
      </c>
      <c r="B2344" s="18" t="s">
        <v>18573</v>
      </c>
      <c r="C2344" s="18" t="s">
        <v>18575</v>
      </c>
      <c r="D2344" s="5" t="str">
        <f ca="1">IFERROR(__xludf.DUMMYFUNCTION("GOOGLETRANSLATE(B2344,""ja"",""vi"")"),"móc chìa khóa, dây chuyền ví")</f>
        <v>móc chìa khóa, dây chuyền ví</v>
      </c>
      <c r="E2344" s="5" t="str">
        <f ca="1">IFERROR(__xludf.DUMMYFUNCTION("GOOGLETRANSLATE(C2344,""ja"",""vi"")"),"Đấu giá&gt; Accessories, Đồng hồ&gt; nam Phụ kiện&gt; móc chìa khóa, dây chuyền ví")</f>
        <v>Đấu giá&gt; Accessories, Đồng hồ&gt; nam Phụ kiện&gt; móc chìa khóa, dây chuyền ví</v>
      </c>
      <c r="F2344" t="str">
        <f t="shared" ca="1" si="36"/>
        <v>"2084023760" : "móc chìa khóa, dây chuyền ví",</v>
      </c>
    </row>
    <row r="2345" spans="1:6" ht="15.75" customHeight="1">
      <c r="A2345" s="18">
        <v>2084005363</v>
      </c>
      <c r="B2345" s="18" t="s">
        <v>18579</v>
      </c>
      <c r="C2345" s="18" t="s">
        <v>18580</v>
      </c>
      <c r="D2345" s="5" t="str">
        <f ca="1">IFERROR(__xludf.DUMMYFUNCTION("GOOGLETRANSLATE(B2345,""ja"",""vi"")"),"Taiping")</f>
        <v>Taiping</v>
      </c>
      <c r="E2345" s="5" t="str">
        <f ca="1">IFERROR(__xludf.DUMMYFUNCTION("GOOGLETRANSLATE(C2345,""ja"",""vi"")"),"Đấu giá&gt; Accessories, Đồng hồ&gt; Phụ kiện nam&gt; Taiping")</f>
        <v>Đấu giá&gt; Accessories, Đồng hồ&gt; Phụ kiện nam&gt; Taiping</v>
      </c>
      <c r="F2345" t="str">
        <f t="shared" ca="1" si="36"/>
        <v>"2084005363" : "Taiping",</v>
      </c>
    </row>
    <row r="2346" spans="1:6" ht="15.75" customHeight="1">
      <c r="A2346" s="18">
        <v>2084005362</v>
      </c>
      <c r="B2346" s="18" t="s">
        <v>18581</v>
      </c>
      <c r="C2346" s="18" t="s">
        <v>18583</v>
      </c>
      <c r="D2346" s="5" t="str">
        <f ca="1">IFERROR(__xludf.DUMMYFUNCTION("GOOGLETRANSLATE(B2346,""ja"",""vi"")"),"còng")</f>
        <v>còng</v>
      </c>
      <c r="E2346" s="5" t="str">
        <f ca="1">IFERROR(__xludf.DUMMYFUNCTION("GOOGLETRANSLATE(C2346,""ja"",""vi"")"),"Đấu giá&gt; Accessories, Đồng hồ&gt; Phụ kiện nam&gt; Cufflinks")</f>
        <v>Đấu giá&gt; Accessories, Đồng hồ&gt; Phụ kiện nam&gt; Cufflinks</v>
      </c>
      <c r="F2346" t="str">
        <f t="shared" ca="1" si="36"/>
        <v>"2084005362" : "còng",</v>
      </c>
    </row>
    <row r="2347" spans="1:6" ht="15.75" customHeight="1">
      <c r="A2347" s="18">
        <v>2084007897</v>
      </c>
      <c r="B2347" s="18" t="s">
        <v>18495</v>
      </c>
      <c r="C2347" s="18" t="s">
        <v>18588</v>
      </c>
      <c r="D2347" s="5" t="str">
        <f ca="1">IFERROR(__xludf.DUMMYFUNCTION("GOOGLETRANSLATE(B2347,""ja"",""vi"")"),"Bông tai")</f>
        <v>Bông tai</v>
      </c>
      <c r="E2347" s="5" t="str">
        <f ca="1">IFERROR(__xludf.DUMMYFUNCTION("GOOGLETRANSLATE(C2347,""ja"",""vi"")"),"Đấu giá&gt; Accessories, Đồng hồ&gt; Phụ kiện nam&gt; Bông tai")</f>
        <v>Đấu giá&gt; Accessories, Đồng hồ&gt; Phụ kiện nam&gt; Bông tai</v>
      </c>
      <c r="F2347" t="str">
        <f t="shared" ca="1" si="36"/>
        <v>"2084007897" : "Bông tai",</v>
      </c>
    </row>
    <row r="2348" spans="1:6" ht="15.75" customHeight="1">
      <c r="A2348" s="18">
        <v>2084023699</v>
      </c>
      <c r="B2348" s="18" t="s">
        <v>18529</v>
      </c>
      <c r="C2348" s="18" t="s">
        <v>18592</v>
      </c>
      <c r="D2348" s="5" t="str">
        <f ca="1">IFERROR(__xludf.DUMMYFUNCTION("GOOGLETRANSLATE(B2348,""ja"",""vi"")"),"Body Piercing")</f>
        <v>Body Piercing</v>
      </c>
      <c r="E2348" s="5" t="str">
        <f ca="1">IFERROR(__xludf.DUMMYFUNCTION("GOOGLETRANSLATE(C2348,""ja"",""vi"")"),"Đấu giá&gt; Accessories, Đồng hồ&gt; Phụ kiện nam&gt; Body Piercing")</f>
        <v>Đấu giá&gt; Accessories, Đồng hồ&gt; Phụ kiện nam&gt; Body Piercing</v>
      </c>
      <c r="F2348" t="str">
        <f t="shared" ca="1" si="36"/>
        <v>"2084023699" : "Body Piercing",</v>
      </c>
    </row>
    <row r="2349" spans="1:6" ht="15.75" customHeight="1">
      <c r="A2349" s="18">
        <v>2084023706</v>
      </c>
      <c r="B2349" s="18" t="s">
        <v>18595</v>
      </c>
      <c r="C2349" s="18" t="s">
        <v>18596</v>
      </c>
      <c r="D2349" s="5" t="str">
        <f ca="1">IFERROR(__xludf.DUMMYFUNCTION("GOOGLETRANSLATE(B2349,""ja"",""vi"")"),"khóa")</f>
        <v>khóa</v>
      </c>
      <c r="E2349" s="5" t="str">
        <f ca="1">IFERROR(__xludf.DUMMYFUNCTION("GOOGLETRANSLATE(C2349,""ja"",""vi"")"),"Đấu giá&gt; Accessories, Đồng hồ&gt; nam Phụ kiện&gt; khóa")</f>
        <v>Đấu giá&gt; Accessories, Đồng hồ&gt; nam Phụ kiện&gt; khóa</v>
      </c>
      <c r="F2349" t="str">
        <f t="shared" ca="1" si="36"/>
        <v>"2084023706" : "khóa",</v>
      </c>
    </row>
    <row r="2350" spans="1:6" ht="15.75" customHeight="1">
      <c r="A2350" s="18">
        <v>2084023711</v>
      </c>
      <c r="B2350" s="18" t="s">
        <v>16931</v>
      </c>
      <c r="C2350" s="18" t="s">
        <v>18600</v>
      </c>
      <c r="D2350" s="5" t="str">
        <f ca="1">IFERROR(__xludf.DUMMYFUNCTION("GOOGLETRANSLATE(B2350,""ja"",""vi"")"),"Money Clip")</f>
        <v>Money Clip</v>
      </c>
      <c r="E2350" s="5" t="str">
        <f ca="1">IFERROR(__xludf.DUMMYFUNCTION("GOOGLETRANSLATE(C2350,""ja"",""vi"")"),"Đấu giá&gt; Accessories, Đồng hồ&gt; nam Phụ kiện&gt; Money Clip")</f>
        <v>Đấu giá&gt; Accessories, Đồng hồ&gt; nam Phụ kiện&gt; Money Clip</v>
      </c>
      <c r="F2350" t="str">
        <f t="shared" ca="1" si="36"/>
        <v>"2084023711" : "Money Clip",</v>
      </c>
    </row>
    <row r="2351" spans="1:6" ht="15.75" customHeight="1">
      <c r="A2351" s="18">
        <v>2084062533</v>
      </c>
      <c r="B2351" s="18" t="s">
        <v>18603</v>
      </c>
      <c r="C2351" s="18" t="s">
        <v>18604</v>
      </c>
      <c r="D2351" s="5" t="str">
        <f ca="1">IFERROR(__xludf.DUMMYFUNCTION("GOOGLETRANSLATE(B2351,""ja"",""vi"")"),"tóc giả")</f>
        <v>tóc giả</v>
      </c>
      <c r="E2351" s="5" t="str">
        <f ca="1">IFERROR(__xludf.DUMMYFUNCTION("GOOGLETRANSLATE(C2351,""ja"",""vi"")"),"Đấu giá&gt; Accessories, Đồng hồ&gt; Phụ kiện nam&gt; Wig")</f>
        <v>Đấu giá&gt; Accessories, Đồng hồ&gt; Phụ kiện nam&gt; Wig</v>
      </c>
      <c r="F2351" t="str">
        <f t="shared" ca="1" si="36"/>
        <v>"2084062533" : "tóc giả",</v>
      </c>
    </row>
    <row r="2352" spans="1:6" ht="15.75" customHeight="1">
      <c r="A2352" s="18">
        <v>40427</v>
      </c>
      <c r="B2352" s="18" t="s">
        <v>7699</v>
      </c>
      <c r="C2352" s="18" t="s">
        <v>18608</v>
      </c>
      <c r="D2352" s="5" t="str">
        <f ca="1">IFERROR(__xludf.DUMMYFUNCTION("GOOGLETRANSLATE(B2352,""ja"",""vi"")"),"key Chains")</f>
        <v>key Chains</v>
      </c>
      <c r="E2352" s="5" t="str">
        <f ca="1">IFERROR(__xludf.DUMMYFUNCTION("GOOGLETRANSLATE(C2352,""ja"",""vi"")"),"Đấu giá&gt; Accessories, Đồng hồ&gt; Phụ kiện nam&gt; Keychain")</f>
        <v>Đấu giá&gt; Accessories, Đồng hồ&gt; Phụ kiện nam&gt; Keychain</v>
      </c>
      <c r="F2352" t="str">
        <f t="shared" ca="1" si="36"/>
        <v>"40427" : "key Chains",</v>
      </c>
    </row>
    <row r="2353" spans="1:6" ht="15.75" customHeight="1">
      <c r="A2353" s="18">
        <v>2084006911</v>
      </c>
      <c r="B2353" s="18" t="s">
        <v>18489</v>
      </c>
      <c r="C2353" s="18" t="s">
        <v>18610</v>
      </c>
      <c r="D2353" s="5" t="str">
        <f ca="1">IFERROR(__xludf.DUMMYFUNCTION("GOOGLETRANSLATE(B2353,""ja"",""vi"")"),"khăn quàng cổ")</f>
        <v>khăn quàng cổ</v>
      </c>
      <c r="E2353" s="5" t="str">
        <f ca="1">IFERROR(__xludf.DUMMYFUNCTION("GOOGLETRANSLATE(C2353,""ja"",""vi"")"),"Đấu giá&gt; Accessories, Đồng hồ&gt; nam Phụ kiện&gt; choker")</f>
        <v>Đấu giá&gt; Accessories, Đồng hồ&gt; nam Phụ kiện&gt; choker</v>
      </c>
      <c r="F2353" t="str">
        <f t="shared" ca="1" si="36"/>
        <v>"2084006911" : "khăn quàng cổ",</v>
      </c>
    </row>
    <row r="2354" spans="1:6" ht="15.75" customHeight="1">
      <c r="A2354" s="18">
        <v>26138</v>
      </c>
      <c r="B2354" s="18" t="s">
        <v>7519</v>
      </c>
      <c r="C2354" s="18" t="s">
        <v>18613</v>
      </c>
      <c r="D2354" s="5" t="str">
        <f ca="1">IFERROR(__xludf.DUMMYFUNCTION("GOOGLETRANSLATE(B2354,""ja"",""vi"")"),"Writer")</f>
        <v>Writer</v>
      </c>
      <c r="E2354" s="5" t="str">
        <f ca="1">IFERROR(__xludf.DUMMYFUNCTION("GOOGLETRANSLATE(C2354,""ja"",""vi"")"),"Đấu giá&gt; Accessories, Đồng hồ&gt; nam Phụ kiện&gt; nhà văn")</f>
        <v>Đấu giá&gt; Accessories, Đồng hồ&gt; nam Phụ kiện&gt; nhà văn</v>
      </c>
      <c r="F2354" t="str">
        <f t="shared" ca="1" si="36"/>
        <v>"26138" : "Writer",</v>
      </c>
    </row>
    <row r="2355" spans="1:6" ht="15.75" customHeight="1">
      <c r="A2355" s="18">
        <v>2084005064</v>
      </c>
      <c r="B2355" s="18" t="s">
        <v>7764</v>
      </c>
      <c r="C2355" s="18" t="s">
        <v>18617</v>
      </c>
      <c r="D2355" s="5" t="str">
        <f ca="1">IFERROR(__xludf.DUMMYFUNCTION("GOOGLETRANSLATE(B2355,""ja"",""vi"")"),"Điện thoại di Strap")</f>
        <v>Điện thoại di Strap</v>
      </c>
      <c r="E2355" s="5" t="str">
        <f ca="1">IFERROR(__xludf.DUMMYFUNCTION("GOOGLETRANSLATE(C2355,""ja"",""vi"")"),"Đấu giá&gt; Accessories, Đồng hồ&gt; nam Phụ kiện&gt; Điện thoại di động Strap")</f>
        <v>Đấu giá&gt; Accessories, Đồng hồ&gt; nam Phụ kiện&gt; Điện thoại di động Strap</v>
      </c>
      <c r="F2355" t="str">
        <f t="shared" ca="1" si="36"/>
        <v>"2084005064" : "Điện thoại di Strap",</v>
      </c>
    </row>
    <row r="2356" spans="1:6" ht="15.75" customHeight="1">
      <c r="A2356" s="18">
        <v>2084008418</v>
      </c>
      <c r="B2356" s="18" t="s">
        <v>18619</v>
      </c>
      <c r="C2356" s="18" t="s">
        <v>18621</v>
      </c>
      <c r="D2356" s="5" t="str">
        <f ca="1">IFERROR(__xludf.DUMMYFUNCTION("GOOGLETRANSLATE(B2356,""ja"",""vi"")"),"Trường hợp điện thoại di động")</f>
        <v>Trường hợp điện thoại di động</v>
      </c>
      <c r="E2356" s="5" t="str">
        <f ca="1">IFERROR(__xludf.DUMMYFUNCTION("GOOGLETRANSLATE(C2356,""ja"",""vi"")"),"Đấu giá&gt; Accessories, Đồng hồ&gt; Phụ kiện nam&gt; Điện thoại di động Điện thoại trường hợp")</f>
        <v>Đấu giá&gt; Accessories, Đồng hồ&gt; Phụ kiện nam&gt; Điện thoại di động Điện thoại trường hợp</v>
      </c>
      <c r="F2356" t="str">
        <f t="shared" ca="1" si="36"/>
        <v>"2084008418" : "Trường hợp điện thoại di động",</v>
      </c>
    </row>
    <row r="2357" spans="1:6" ht="15.75" customHeight="1">
      <c r="A2357" s="18">
        <v>2084019048</v>
      </c>
      <c r="B2357" s="18" t="s">
        <v>18512</v>
      </c>
      <c r="C2357" s="18" t="s">
        <v>18622</v>
      </c>
      <c r="D2357" s="5" t="str">
        <f ca="1">IFERROR(__xludf.DUMMYFUNCTION("GOOGLETRANSLATE(B2357,""ja"",""vi"")"),"Trần đá, Ruth")</f>
        <v>Trần đá, Ruth</v>
      </c>
      <c r="E2357" s="5" t="str">
        <f ca="1">IFERROR(__xludf.DUMMYFUNCTION("GOOGLETRANSLATE(C2357,""ja"",""vi"")"),"Đấu giá&gt; Accessories, Đồng hồ&gt; nam Phụ kiện&gt; đá trần truồng, Ruth")</f>
        <v>Đấu giá&gt; Accessories, Đồng hồ&gt; nam Phụ kiện&gt; đá trần truồng, Ruth</v>
      </c>
      <c r="F2357" t="str">
        <f t="shared" ca="1" si="36"/>
        <v>"2084019048" : "Trần đá, Ruth",</v>
      </c>
    </row>
    <row r="2358" spans="1:6" ht="15.75" customHeight="1">
      <c r="A2358" s="18">
        <v>2084062070</v>
      </c>
      <c r="B2358" s="18" t="s">
        <v>46</v>
      </c>
      <c r="C2358" s="18" t="s">
        <v>18623</v>
      </c>
      <c r="D2358" s="5" t="str">
        <f ca="1">IFERROR(__xludf.DUMMYFUNCTION("GOOGLETRANSLATE(B2358,""ja"",""vi"")"),"nếu không thì")</f>
        <v>nếu không thì</v>
      </c>
      <c r="E2358" s="5" t="str">
        <f ca="1">IFERROR(__xludf.DUMMYFUNCTION("GOOGLETRANSLATE(C2358,""ja"",""vi"")"),"Đấu giá&gt; Accessories, Đồng hồ&gt; nam Phụ kiện&gt; Khác")</f>
        <v>Đấu giá&gt; Accessories, Đồng hồ&gt; nam Phụ kiện&gt; Khác</v>
      </c>
      <c r="F2358" t="str">
        <f t="shared" ca="1" si="36"/>
        <v>"2084062070" : "nếu không thì",</v>
      </c>
    </row>
    <row r="2359" spans="1:6" ht="15.75" customHeight="1">
      <c r="A2359" s="18">
        <v>2084006501</v>
      </c>
      <c r="B2359" s="18" t="s">
        <v>18625</v>
      </c>
      <c r="C2359" s="18" t="s">
        <v>18626</v>
      </c>
      <c r="D2359" s="5" t="str">
        <f ca="1">IFERROR(__xludf.DUMMYFUNCTION("GOOGLETRANSLATE(B2359,""ja"",""vi"")"),"Valletta")</f>
        <v>Valletta</v>
      </c>
      <c r="E2359" s="5" t="str">
        <f ca="1">IFERROR(__xludf.DUMMYFUNCTION("GOOGLETRANSLATE(C2359,""ja"",""vi"")"),"Đấu giá&gt; phụ kiện, đồng hồ&gt; phụ kiện dành cho trẻ em&gt; Valletta")</f>
        <v>Đấu giá&gt; phụ kiện, đồng hồ&gt; phụ kiện dành cho trẻ em&gt; Valletta</v>
      </c>
      <c r="F2359" t="str">
        <f t="shared" ca="1" si="36"/>
        <v>"2084006501" : "Valletta",</v>
      </c>
    </row>
    <row r="2360" spans="1:6" ht="15.75" customHeight="1">
      <c r="A2360" s="18">
        <v>2084006665</v>
      </c>
      <c r="B2360" s="18" t="s">
        <v>18627</v>
      </c>
      <c r="C2360" s="18" t="s">
        <v>18628</v>
      </c>
      <c r="D2360" s="5" t="str">
        <f ca="1">IFERROR(__xludf.DUMMYFUNCTION("GOOGLETRANSLATE(B2360,""ja"",""vi"")"),"Tóc, Chou")</f>
        <v>Tóc, Chou</v>
      </c>
      <c r="E2360" s="5" t="str">
        <f ca="1">IFERROR(__xludf.DUMMYFUNCTION("GOOGLETRANSLATE(C2360,""ja"",""vi"")"),"Đấu giá&gt; phụ kiện, đồng hồ&gt; phụ kiện dành cho trẻ em&gt; tóc, Chou")</f>
        <v>Đấu giá&gt; phụ kiện, đồng hồ&gt; phụ kiện dành cho trẻ em&gt; tóc, Chou</v>
      </c>
      <c r="F2360" t="str">
        <f t="shared" ca="1" si="36"/>
        <v>"2084006665" : "Tóc, Chou",</v>
      </c>
    </row>
    <row r="2361" spans="1:6" ht="15.75" customHeight="1">
      <c r="A2361" s="18">
        <v>2084006500</v>
      </c>
      <c r="B2361" s="18" t="s">
        <v>18630</v>
      </c>
      <c r="C2361" s="18" t="s">
        <v>18631</v>
      </c>
      <c r="D2361" s="5" t="str">
        <f ca="1">IFERROR(__xludf.DUMMYFUNCTION("GOOGLETRANSLATE(B2361,""ja"",""vi"")"),"dây buộc tóc, Katyusha")</f>
        <v>dây buộc tóc, Katyusha</v>
      </c>
      <c r="E2361" s="5" t="str">
        <f ca="1">IFERROR(__xludf.DUMMYFUNCTION("GOOGLETRANSLATE(C2361,""ja"",""vi"")"),"Đấu giá&gt; Accessories, Đồng hồ&gt; Trẻ em Phụ kiện&gt; dây buộc tóc, Katyusha")</f>
        <v>Đấu giá&gt; Accessories, Đồng hồ&gt; Trẻ em Phụ kiện&gt; dây buộc tóc, Katyusha</v>
      </c>
      <c r="F2361" t="str">
        <f t="shared" ca="1" si="36"/>
        <v>"2084006500" : "dây buộc tóc, Katyusha",</v>
      </c>
    </row>
    <row r="2362" spans="1:6" ht="15.75" customHeight="1">
      <c r="A2362" s="18">
        <v>2084006502</v>
      </c>
      <c r="B2362" s="18" t="s">
        <v>18632</v>
      </c>
      <c r="C2362" s="18" t="s">
        <v>18634</v>
      </c>
      <c r="D2362" s="5" t="str">
        <f ca="1">IFERROR(__xludf.DUMMYFUNCTION("GOOGLETRANSLATE(B2362,""ja"",""vi"")"),"kẹp tóc")</f>
        <v>kẹp tóc</v>
      </c>
      <c r="E2362" s="5" t="str">
        <f ca="1">IFERROR(__xludf.DUMMYFUNCTION("GOOGLETRANSLATE(C2362,""ja"",""vi"")"),"Đấu giá&gt; phụ kiện, đồng hồ&gt; phụ kiện dành cho trẻ em&gt; kẹp tóc")</f>
        <v>Đấu giá&gt; phụ kiện, đồng hồ&gt; phụ kiện dành cho trẻ em&gt; kẹp tóc</v>
      </c>
      <c r="F2362" t="str">
        <f t="shared" ca="1" si="36"/>
        <v>"2084006502" : "kẹp tóc",</v>
      </c>
    </row>
    <row r="2363" spans="1:6" ht="15.75" customHeight="1">
      <c r="A2363" s="18">
        <v>2084006477</v>
      </c>
      <c r="B2363" s="18" t="s">
        <v>16266</v>
      </c>
      <c r="C2363" s="18" t="s">
        <v>18635</v>
      </c>
      <c r="D2363" s="5" t="str">
        <f ca="1">IFERROR(__xludf.DUMMYFUNCTION("GOOGLETRANSLATE(B2363,""ja"",""vi"")"),"dây băng")</f>
        <v>dây băng</v>
      </c>
      <c r="E2363" s="5" t="str">
        <f ca="1">IFERROR(__xludf.DUMMYFUNCTION("GOOGLETRANSLATE(C2363,""ja"",""vi"")"),"Đấu giá&gt; phụ kiện, đồng hồ&gt; phụ kiện dành cho trẻ em&gt; ruy băng")</f>
        <v>Đấu giá&gt; phụ kiện, đồng hồ&gt; phụ kiện dành cho trẻ em&gt; ruy băng</v>
      </c>
      <c r="F2363" t="str">
        <f t="shared" ca="1" si="36"/>
        <v>"2084006477" : "dây băng",</v>
      </c>
    </row>
    <row r="2364" spans="1:6" ht="15.75" customHeight="1">
      <c r="A2364" s="18">
        <v>2084006478</v>
      </c>
      <c r="B2364" s="18" t="s">
        <v>46</v>
      </c>
      <c r="C2364" s="18" t="s">
        <v>18637</v>
      </c>
      <c r="D2364" s="5" t="str">
        <f ca="1">IFERROR(__xludf.DUMMYFUNCTION("GOOGLETRANSLATE(B2364,""ja"",""vi"")"),"nếu không thì")</f>
        <v>nếu không thì</v>
      </c>
      <c r="E2364" s="5" t="str">
        <f ca="1">IFERROR(__xludf.DUMMYFUNCTION("GOOGLETRANSLATE(C2364,""ja"",""vi"")"),"Đấu giá&gt; Accessories, Đồng hồ&gt; Trẻ em Phụ kiện&gt; Khác")</f>
        <v>Đấu giá&gt; Accessories, Đồng hồ&gt; Trẻ em Phụ kiện&gt; Khác</v>
      </c>
      <c r="F2364" t="str">
        <f t="shared" ca="1" si="36"/>
        <v>"2084006478" : "nếu không thì",</v>
      </c>
    </row>
    <row r="2365" spans="1:6" ht="15.75" customHeight="1">
      <c r="A2365" s="18">
        <v>2084059709</v>
      </c>
      <c r="B2365" s="18" t="s">
        <v>554</v>
      </c>
      <c r="C2365" s="18" t="s">
        <v>6179</v>
      </c>
      <c r="D2365" s="5" t="str">
        <f ca="1">IFERROR(__xludf.DUMMYFUNCTION("GOOGLETRANSLATE(B2365,""ja"",""vi"")"),"hàng nitơ")</f>
        <v>hàng nitơ</v>
      </c>
      <c r="E2365" s="5" t="str">
        <f ca="1">IFERROR(__xludf.DUMMYFUNCTION("GOOGLETRANSLATE(C2365,""ja"",""vi"")"),"Đấu giá&gt; phụ kiện, đồng hồ&gt; thương hiệu đồng hồ đeo tay&gt; hàng nitơ")</f>
        <v>Đấu giá&gt; phụ kiện, đồng hồ&gt; thương hiệu đồng hồ đeo tay&gt; hàng nitơ</v>
      </c>
      <c r="F2365" t="str">
        <f t="shared" ca="1" si="36"/>
        <v>"2084059709" : "hàng nitơ",</v>
      </c>
    </row>
    <row r="2366" spans="1:6" ht="15.75" customHeight="1">
      <c r="A2366" s="18">
        <v>2084059710</v>
      </c>
      <c r="B2366" s="18" t="s">
        <v>562</v>
      </c>
      <c r="C2366" s="18" t="s">
        <v>6180</v>
      </c>
      <c r="D2366" s="5" t="str">
        <f ca="1">IFERROR(__xludf.DUMMYFUNCTION("GOOGLETRANSLATE(B2366,""ja"",""vi"")"),"hoặc hàng")</f>
        <v>hoặc hàng</v>
      </c>
      <c r="E2366" s="5" t="str">
        <f ca="1">IFERROR(__xludf.DUMMYFUNCTION("GOOGLETRANSLATE(C2366,""ja"",""vi"")"),"Đấu giá&gt; phụ kiện, đồng hồ&gt; thương hiệu đồng hồ đeo tay&gt; hoặc hàng")</f>
        <v>Đấu giá&gt; phụ kiện, đồng hồ&gt; thương hiệu đồng hồ đeo tay&gt; hoặc hàng</v>
      </c>
      <c r="F2366" t="str">
        <f t="shared" ca="1" si="36"/>
        <v>"2084059710" : "hoặc hàng",</v>
      </c>
    </row>
    <row r="2367" spans="1:6" ht="15.75" customHeight="1">
      <c r="A2367" s="18">
        <v>2084059711</v>
      </c>
      <c r="B2367" s="18" t="s">
        <v>570</v>
      </c>
      <c r="C2367" s="18" t="s">
        <v>6181</v>
      </c>
      <c r="D2367" s="5" t="str">
        <f ca="1">IFERROR(__xludf.DUMMYFUNCTION("GOOGLETRANSLATE(B2367,""ja"",""vi"")"),"Các chữ s")</f>
        <v>Các chữ s</v>
      </c>
      <c r="E2367" s="5" t="str">
        <f ca="1">IFERROR(__xludf.DUMMYFUNCTION("GOOGLETRANSLATE(C2367,""ja"",""vi"")"),"Đấu giá&gt; phụ kiện, đồng hồ&gt; thương hiệu đồng hồ đeo tay&gt; chữ s")</f>
        <v>Đấu giá&gt; phụ kiện, đồng hồ&gt; thương hiệu đồng hồ đeo tay&gt; chữ s</v>
      </c>
      <c r="F2367" t="str">
        <f t="shared" ca="1" si="36"/>
        <v>"2084059711" : "Các chữ s",</v>
      </c>
    </row>
    <row r="2368" spans="1:6" ht="15.75" customHeight="1">
      <c r="A2368" s="18">
        <v>2084059712</v>
      </c>
      <c r="B2368" s="18" t="s">
        <v>578</v>
      </c>
      <c r="C2368" s="18" t="s">
        <v>6182</v>
      </c>
      <c r="D2368" s="5" t="str">
        <f ca="1">IFERROR(__xludf.DUMMYFUNCTION("GOOGLETRANSLATE(B2368,""ja"",""vi"")"),"Tagyo")</f>
        <v>Tagyo</v>
      </c>
      <c r="E2368" s="5" t="str">
        <f ca="1">IFERROR(__xludf.DUMMYFUNCTION("GOOGLETRANSLATE(C2368,""ja"",""vi"")"),"Đấu giá&gt; phụ kiện, đồng hồ&gt; brand đồng hồ đeo tay&gt; Tagyo")</f>
        <v>Đấu giá&gt; phụ kiện, đồng hồ&gt; brand đồng hồ đeo tay&gt; Tagyo</v>
      </c>
      <c r="F2368" t="str">
        <f t="shared" ca="1" si="36"/>
        <v>"2084059712" : "Tagyo",</v>
      </c>
    </row>
    <row r="2369" spans="1:6" ht="15.75" customHeight="1">
      <c r="A2369" s="18">
        <v>2084212694</v>
      </c>
      <c r="B2369" s="18" t="s">
        <v>587</v>
      </c>
      <c r="C2369" s="18" t="s">
        <v>6183</v>
      </c>
      <c r="D2369" s="5" t="str">
        <f ca="1">IFERROR(__xludf.DUMMYFUNCTION("GOOGLETRANSLATE(B2369,""ja"",""vi"")"),"Một dòng")</f>
        <v>Một dòng</v>
      </c>
      <c r="E2369" s="5" t="str">
        <f ca="1">IFERROR(__xludf.DUMMYFUNCTION("GOOGLETRANSLATE(C2369,""ja"",""vi"")"),"Đấu giá&gt; phụ kiện, đồng hồ&gt; thương hiệu đồng hồ đeo tay&gt; hàng")</f>
        <v>Đấu giá&gt; phụ kiện, đồng hồ&gt; thương hiệu đồng hồ đeo tay&gt; hàng</v>
      </c>
      <c r="F2369" t="str">
        <f t="shared" ca="1" si="36"/>
        <v>"2084212694" : "Một dòng",</v>
      </c>
    </row>
    <row r="2370" spans="1:6" ht="15.75" customHeight="1">
      <c r="A2370" s="18">
        <v>2084059714</v>
      </c>
      <c r="B2370" s="18" t="s">
        <v>592</v>
      </c>
      <c r="C2370" s="18" t="s">
        <v>6184</v>
      </c>
      <c r="D2370" s="5" t="str">
        <f ca="1">IFERROR(__xludf.DUMMYFUNCTION("GOOGLETRANSLATE(B2370,""ja"",""vi"")"),"hàng")</f>
        <v>hàng</v>
      </c>
      <c r="E2370" s="5" t="str">
        <f ca="1">IFERROR(__xludf.DUMMYFUNCTION("GOOGLETRANSLATE(C2370,""ja"",""vi"")"),"Đấu giá&gt; phụ kiện, đồng hồ&gt; thương hiệu đồng hồ đeo tay&gt; hàng")</f>
        <v>Đấu giá&gt; phụ kiện, đồng hồ&gt; thương hiệu đồng hồ đeo tay&gt; hàng</v>
      </c>
      <c r="F2370" t="str">
        <f t="shared" ref="F2370:F2433" ca="1" si="37">CONCATENATE(CHAR(34)&amp;"",A2370,""&amp;CHAR(34)," : ", CHAR(34)&amp;"",D2370,""&amp;CHAR(34),",")</f>
        <v>"2084059714" : "hàng",</v>
      </c>
    </row>
    <row r="2371" spans="1:6" ht="15.75" customHeight="1">
      <c r="A2371" s="18">
        <v>2084229196</v>
      </c>
      <c r="B2371" s="18" t="s">
        <v>6185</v>
      </c>
      <c r="C2371" s="18" t="s">
        <v>6186</v>
      </c>
      <c r="D2371" s="5" t="str">
        <f ca="1">IFERROR(__xludf.DUMMYFUNCTION("GOOGLETRANSLATE(B2371,""ja"",""vi"")"),"Hoặc đường dây, hoặc hàng")</f>
        <v>Hoặc đường dây, hoặc hàng</v>
      </c>
      <c r="E2371" s="5" t="str">
        <f ca="1">IFERROR(__xludf.DUMMYFUNCTION("GOOGLETRANSLATE(C2371,""ja"",""vi"")"),"Đấu giá&gt; phụ kiện, đồng hồ&gt; thương hiệu đồng hồ đeo tay&gt; hoặc dòng, hoặc hàng")</f>
        <v>Đấu giá&gt; phụ kiện, đồng hồ&gt; thương hiệu đồng hồ đeo tay&gt; hoặc dòng, hoặc hàng</v>
      </c>
      <c r="F2371" t="str">
        <f t="shared" ca="1" si="37"/>
        <v>"2084229196" : "Hoặc đường dây, hoặc hàng",</v>
      </c>
    </row>
    <row r="2372" spans="1:6" ht="15.75" customHeight="1">
      <c r="A2372" s="18">
        <v>2084059713</v>
      </c>
      <c r="B2372" s="18" t="s">
        <v>689</v>
      </c>
      <c r="C2372" s="18" t="s">
        <v>6187</v>
      </c>
      <c r="D2372" s="5" t="str">
        <f ca="1">IFERROR(__xludf.DUMMYFUNCTION("GOOGLETRANSLATE(B2372,""ja"",""vi"")"),"Racovian")</f>
        <v>Racovian</v>
      </c>
      <c r="E2372" s="5" t="str">
        <f ca="1">IFERROR(__xludf.DUMMYFUNCTION("GOOGLETRANSLATE(C2372,""ja"",""vi"")"),"Đấu giá&gt; phụ kiện, đồng hồ&gt; thương hiệu đồng hồ đeo tay&gt; Racovian")</f>
        <v>Đấu giá&gt; phụ kiện, đồng hồ&gt; thương hiệu đồng hồ đeo tay&gt; Racovian</v>
      </c>
      <c r="F2372" t="str">
        <f t="shared" ca="1" si="37"/>
        <v>"2084059713" : "Racovian",</v>
      </c>
    </row>
    <row r="2373" spans="1:6" ht="15.75" customHeight="1">
      <c r="A2373" s="18">
        <v>2084050111</v>
      </c>
      <c r="B2373" s="18" t="s">
        <v>6188</v>
      </c>
      <c r="C2373" s="18" t="s">
        <v>6214</v>
      </c>
      <c r="D2373" s="5" t="str">
        <f ca="1">IFERROR(__xludf.DUMMYFUNCTION("GOOGLETRANSLATE(B2373,""ja"",""vi"")"),"Analog (Quartz)")</f>
        <v>Analog (Quartz)</v>
      </c>
      <c r="E2373" s="5" t="str">
        <f ca="1">IFERROR(__xludf.DUMMYFUNCTION("GOOGLETRANSLATE(C2373,""ja"",""vi"")"),"Đấu giá&gt; Accessories, Đồng hồ&gt; Đồng hồ nam&gt; Analog (Quartz)")</f>
        <v>Đấu giá&gt; Accessories, Đồng hồ&gt; Đồng hồ nam&gt; Analog (Quartz)</v>
      </c>
      <c r="F2373" t="str">
        <f t="shared" ca="1" si="37"/>
        <v>"2084050111" : "Analog (Quartz)",</v>
      </c>
    </row>
    <row r="2374" spans="1:6" ht="15.75" customHeight="1">
      <c r="A2374" s="18">
        <v>2084050114</v>
      </c>
      <c r="B2374" s="18" t="s">
        <v>6190</v>
      </c>
      <c r="C2374" s="18" t="s">
        <v>6216</v>
      </c>
      <c r="D2374" s="5" t="str">
        <f ca="1">IFERROR(__xludf.DUMMYFUNCTION("GOOGLETRANSLATE(B2374,""ja"",""vi"")"),"Analog (Tự động)")</f>
        <v>Analog (Tự động)</v>
      </c>
      <c r="E2374" s="5" t="str">
        <f ca="1">IFERROR(__xludf.DUMMYFUNCTION("GOOGLETRANSLATE(C2374,""ja"",""vi"")"),"Đấu giá&gt; Accessories, Đồng hồ&gt; Đồng hồ nam&gt; Analog (Tự động)")</f>
        <v>Đấu giá&gt; Accessories, Đồng hồ&gt; Đồng hồ nam&gt; Analog (Tự động)</v>
      </c>
      <c r="F2374" t="str">
        <f t="shared" ca="1" si="37"/>
        <v>"2084050114" : "Analog (Tự động)",</v>
      </c>
    </row>
    <row r="2375" spans="1:6" ht="15.75" customHeight="1">
      <c r="A2375" s="18">
        <v>2084050113</v>
      </c>
      <c r="B2375" s="18" t="s">
        <v>6192</v>
      </c>
      <c r="C2375" s="18" t="s">
        <v>6218</v>
      </c>
      <c r="D2375" s="5" t="str">
        <f ca="1">IFERROR(__xludf.DUMMYFUNCTION("GOOGLETRANSLATE(B2375,""ja"",""vi"")"),"Analog (cuộn bằng tay)")</f>
        <v>Analog (cuộn bằng tay)</v>
      </c>
      <c r="E2375" s="5" t="str">
        <f ca="1">IFERROR(__xludf.DUMMYFUNCTION("GOOGLETRANSLATE(C2375,""ja"",""vi"")"),"Đấu giá&gt; Accessories, Đồng hồ&gt; Đồng hồ nam&gt; analog (cuộn bằng tay)")</f>
        <v>Đấu giá&gt; Accessories, Đồng hồ&gt; Đồng hồ nam&gt; analog (cuộn bằng tay)</v>
      </c>
      <c r="F2375" t="str">
        <f t="shared" ca="1" si="37"/>
        <v>"2084050113" : "Analog (cuộn bằng tay)",</v>
      </c>
    </row>
    <row r="2376" spans="1:6" ht="15.75" customHeight="1">
      <c r="A2376" s="18">
        <v>2084032153</v>
      </c>
      <c r="B2376" s="18" t="s">
        <v>6194</v>
      </c>
      <c r="C2376" s="18" t="s">
        <v>6220</v>
      </c>
      <c r="D2376" s="5" t="str">
        <f ca="1">IFERROR(__xludf.DUMMYFUNCTION("GOOGLETRANSLATE(B2376,""ja"",""vi"")"),"kỹ thuật số")</f>
        <v>kỹ thuật số</v>
      </c>
      <c r="E2376" s="5" t="str">
        <f ca="1">IFERROR(__xludf.DUMMYFUNCTION("GOOGLETRANSLATE(C2376,""ja"",""vi"")"),"Đấu giá&gt; Accessories, Đồng hồ&gt; Đồng hồ nam&gt; kỹ thuật số")</f>
        <v>Đấu giá&gt; Accessories, Đồng hồ&gt; Đồng hồ nam&gt; kỹ thuật số</v>
      </c>
      <c r="F2376" t="str">
        <f t="shared" ca="1" si="37"/>
        <v>"2084032153" : "kỹ thuật số",</v>
      </c>
    </row>
    <row r="2377" spans="1:6" ht="15.75" customHeight="1">
      <c r="A2377" s="18">
        <v>2084005347</v>
      </c>
      <c r="B2377" s="18" t="s">
        <v>6196</v>
      </c>
      <c r="C2377" s="18" t="s">
        <v>6222</v>
      </c>
      <c r="D2377" s="5" t="str">
        <f ca="1">IFERROR(__xludf.DUMMYFUNCTION("GOOGLETRANSLATE(B2377,""ja"",""vi"")"),"SWATCH")</f>
        <v>SWATCH</v>
      </c>
      <c r="E2377" s="5" t="str">
        <f ca="1">IFERROR(__xludf.DUMMYFUNCTION("GOOGLETRANSLATE(C2377,""ja"",""vi"")"),"Đấu giá&gt; Accessories, Đồng hồ&gt; Đồng hồ nam&gt; SWATCH")</f>
        <v>Đấu giá&gt; Accessories, Đồng hồ&gt; Đồng hồ nam&gt; SWATCH</v>
      </c>
      <c r="F2377" t="str">
        <f t="shared" ca="1" si="37"/>
        <v>"2084005347" : "SWATCH",</v>
      </c>
    </row>
    <row r="2378" spans="1:6" ht="15.75" customHeight="1">
      <c r="A2378" s="18">
        <v>2084032114</v>
      </c>
      <c r="B2378" s="18" t="s">
        <v>1806</v>
      </c>
      <c r="C2378" s="18" t="s">
        <v>6224</v>
      </c>
      <c r="D2378" s="5" t="str">
        <f ca="1">IFERROR(__xludf.DUMMYFUNCTION("GOOGLETRANSLATE(B2378,""ja"",""vi"")"),"Casio")</f>
        <v>Casio</v>
      </c>
      <c r="E2378" s="5" t="str">
        <f ca="1">IFERROR(__xludf.DUMMYFUNCTION("GOOGLETRANSLATE(C2378,""ja"",""vi"")"),"Đấu giá&gt; Accessories, Đồng hồ&gt; Đồng hồ nam&gt; Casio")</f>
        <v>Đấu giá&gt; Accessories, Đồng hồ&gt; Đồng hồ nam&gt; Casio</v>
      </c>
      <c r="F2378" t="str">
        <f t="shared" ca="1" si="37"/>
        <v>"2084032114" : "Casio",</v>
      </c>
    </row>
    <row r="2379" spans="1:6" ht="15.75" customHeight="1">
      <c r="A2379" s="18">
        <v>2084024505</v>
      </c>
      <c r="B2379" s="18" t="s">
        <v>4583</v>
      </c>
      <c r="C2379" s="18" t="s">
        <v>6225</v>
      </c>
      <c r="D2379" s="5" t="str">
        <f ca="1">IFERROR(__xludf.DUMMYFUNCTION("GOOGLETRANSLATE(B2379,""ja"",""vi"")"),"công dân")</f>
        <v>công dân</v>
      </c>
      <c r="E2379" s="5" t="str">
        <f ca="1">IFERROR(__xludf.DUMMYFUNCTION("GOOGLETRANSLATE(C2379,""ja"",""vi"")"),"Đấu giá&gt; Accessories, Đồng hồ&gt; Đồng hồ nam&gt; Citizen")</f>
        <v>Đấu giá&gt; Accessories, Đồng hồ&gt; Đồng hồ nam&gt; Citizen</v>
      </c>
      <c r="F2379" t="str">
        <f t="shared" ca="1" si="37"/>
        <v>"2084024505" : "công dân",</v>
      </c>
    </row>
    <row r="2380" spans="1:6" ht="15.75" customHeight="1">
      <c r="A2380" s="18">
        <v>2084024503</v>
      </c>
      <c r="B2380" s="18" t="s">
        <v>4283</v>
      </c>
      <c r="C2380" s="18" t="s">
        <v>6227</v>
      </c>
      <c r="D2380" s="5" t="str">
        <f ca="1">IFERROR(__xludf.DUMMYFUNCTION("GOOGLETRANSLATE(B2380,""ja"",""vi"")"),"Seiko")</f>
        <v>Seiko</v>
      </c>
      <c r="E2380" s="5" t="str">
        <f ca="1">IFERROR(__xludf.DUMMYFUNCTION("GOOGLETRANSLATE(C2380,""ja"",""vi"")"),"Đấu giá&gt; Accessories, Đồng hồ&gt; Đồng hồ nam&gt; Seiko")</f>
        <v>Đấu giá&gt; Accessories, Đồng hồ&gt; Đồng hồ nam&gt; Seiko</v>
      </c>
      <c r="F2380" t="str">
        <f t="shared" ca="1" si="37"/>
        <v>"2084024503" : "Seiko",</v>
      </c>
    </row>
    <row r="2381" spans="1:6" ht="15.75" customHeight="1">
      <c r="A2381" s="18">
        <v>2084051029</v>
      </c>
      <c r="B2381" s="18" t="s">
        <v>6229</v>
      </c>
      <c r="C2381" s="18" t="s">
        <v>6230</v>
      </c>
      <c r="D2381" s="5" t="str">
        <f ca="1">IFERROR(__xludf.DUMMYFUNCTION("GOOGLETRANSLATE(B2381,""ja"",""vi"")"),"Luminox")</f>
        <v>Luminox</v>
      </c>
      <c r="E2381" s="5" t="str">
        <f ca="1">IFERROR(__xludf.DUMMYFUNCTION("GOOGLETRANSLATE(C2381,""ja"",""vi"")"),"Đấu giá&gt; Accessories, Đồng hồ&gt; Đồng hồ nam&gt; Luminox")</f>
        <v>Đấu giá&gt; Accessories, Đồng hồ&gt; Đồng hồ nam&gt; Luminox</v>
      </c>
      <c r="F2381" t="str">
        <f t="shared" ca="1" si="37"/>
        <v>"2084051029" : "Luminox",</v>
      </c>
    </row>
    <row r="2382" spans="1:6" ht="15.75" customHeight="1">
      <c r="A2382" s="18">
        <v>2084050117</v>
      </c>
      <c r="B2382" s="18" t="s">
        <v>6188</v>
      </c>
      <c r="C2382" s="18" t="s">
        <v>6189</v>
      </c>
      <c r="D2382" s="5" t="str">
        <f ca="1">IFERROR(__xludf.DUMMYFUNCTION("GOOGLETRANSLATE(B2382,""ja"",""vi"")"),"Analog (Quartz)")</f>
        <v>Analog (Quartz)</v>
      </c>
      <c r="E2382" s="5" t="str">
        <f ca="1">IFERROR(__xludf.DUMMYFUNCTION("GOOGLETRANSLATE(C2382,""ja"",""vi"")"),"Đấu giá&gt; Accessories, Đồng hồ&gt; Đồng hồ nữ&gt; Analog (Quartz)")</f>
        <v>Đấu giá&gt; Accessories, Đồng hồ&gt; Đồng hồ nữ&gt; Analog (Quartz)</v>
      </c>
      <c r="F2382" t="str">
        <f t="shared" ca="1" si="37"/>
        <v>"2084050117" : "Analog (Quartz)",</v>
      </c>
    </row>
    <row r="2383" spans="1:6" ht="15.75" customHeight="1">
      <c r="A2383" s="18">
        <v>2084050120</v>
      </c>
      <c r="B2383" s="18" t="s">
        <v>6190</v>
      </c>
      <c r="C2383" s="18" t="s">
        <v>6191</v>
      </c>
      <c r="D2383" s="5" t="str">
        <f ca="1">IFERROR(__xludf.DUMMYFUNCTION("GOOGLETRANSLATE(B2383,""ja"",""vi"")"),"Analog (Tự động)")</f>
        <v>Analog (Tự động)</v>
      </c>
      <c r="E2383" s="5" t="str">
        <f ca="1">IFERROR(__xludf.DUMMYFUNCTION("GOOGLETRANSLATE(C2383,""ja"",""vi"")"),"Đấu giá&gt; Accessories, Đồng hồ&gt; Đồng hồ nữ&gt; Analog (Tự động)")</f>
        <v>Đấu giá&gt; Accessories, Đồng hồ&gt; Đồng hồ nữ&gt; Analog (Tự động)</v>
      </c>
      <c r="F2383" t="str">
        <f t="shared" ca="1" si="37"/>
        <v>"2084050120" : "Analog (Tự động)",</v>
      </c>
    </row>
    <row r="2384" spans="1:6" ht="15.75" customHeight="1">
      <c r="A2384" s="18">
        <v>2084050119</v>
      </c>
      <c r="B2384" s="18" t="s">
        <v>6192</v>
      </c>
      <c r="C2384" s="18" t="s">
        <v>6193</v>
      </c>
      <c r="D2384" s="5" t="str">
        <f ca="1">IFERROR(__xludf.DUMMYFUNCTION("GOOGLETRANSLATE(B2384,""ja"",""vi"")"),"Analog (cuộn bằng tay)")</f>
        <v>Analog (cuộn bằng tay)</v>
      </c>
      <c r="E2384" s="5" t="str">
        <f ca="1">IFERROR(__xludf.DUMMYFUNCTION("GOOGLETRANSLATE(C2384,""ja"",""vi"")"),"Đấu giá&gt; Accessories, Đồng hồ&gt; Đồng hồ nữ&gt; analog (cuộn bằng tay)")</f>
        <v>Đấu giá&gt; Accessories, Đồng hồ&gt; Đồng hồ nữ&gt; analog (cuộn bằng tay)</v>
      </c>
      <c r="F2384" t="str">
        <f t="shared" ca="1" si="37"/>
        <v>"2084050119" : "Analog (cuộn bằng tay)",</v>
      </c>
    </row>
    <row r="2385" spans="1:6" ht="15.75" customHeight="1">
      <c r="A2385" s="18">
        <v>2084032150</v>
      </c>
      <c r="B2385" s="18" t="s">
        <v>6194</v>
      </c>
      <c r="C2385" s="18" t="s">
        <v>6195</v>
      </c>
      <c r="D2385" s="5" t="str">
        <f ca="1">IFERROR(__xludf.DUMMYFUNCTION("GOOGLETRANSLATE(B2385,""ja"",""vi"")"),"kỹ thuật số")</f>
        <v>kỹ thuật số</v>
      </c>
      <c r="E2385" s="5" t="str">
        <f ca="1">IFERROR(__xludf.DUMMYFUNCTION("GOOGLETRANSLATE(C2385,""ja"",""vi"")"),"Đấu giá&gt; Accessories, Đồng hồ&gt; Đồng hồ nữ&gt; kỹ thuật số")</f>
        <v>Đấu giá&gt; Accessories, Đồng hồ&gt; Đồng hồ nữ&gt; kỹ thuật số</v>
      </c>
      <c r="F2385" t="str">
        <f t="shared" ca="1" si="37"/>
        <v>"2084032150" : "kỹ thuật số",</v>
      </c>
    </row>
    <row r="2386" spans="1:6" ht="15.75" customHeight="1">
      <c r="A2386" s="18">
        <v>2084005347</v>
      </c>
      <c r="B2386" s="18" t="s">
        <v>6196</v>
      </c>
      <c r="C2386" s="18" t="s">
        <v>6197</v>
      </c>
      <c r="D2386" s="5" t="str">
        <f ca="1">IFERROR(__xludf.DUMMYFUNCTION("GOOGLETRANSLATE(B2386,""ja"",""vi"")"),"SWATCH")</f>
        <v>SWATCH</v>
      </c>
      <c r="E2386" s="5" t="str">
        <f ca="1">IFERROR(__xludf.DUMMYFUNCTION("GOOGLETRANSLATE(C2386,""ja"",""vi"")"),"Đấu giá&gt; Accessories, Đồng hồ&gt; Đồng hồ nữ&gt; SWATCH")</f>
        <v>Đấu giá&gt; Accessories, Đồng hồ&gt; Đồng hồ nữ&gt; SWATCH</v>
      </c>
      <c r="F2386" t="str">
        <f t="shared" ca="1" si="37"/>
        <v>"2084005347" : "SWATCH",</v>
      </c>
    </row>
    <row r="2387" spans="1:6" ht="15.75" customHeight="1">
      <c r="A2387" s="18">
        <v>2084032114</v>
      </c>
      <c r="B2387" s="18" t="s">
        <v>1806</v>
      </c>
      <c r="C2387" s="18" t="s">
        <v>6198</v>
      </c>
      <c r="D2387" s="5" t="str">
        <f ca="1">IFERROR(__xludf.DUMMYFUNCTION("GOOGLETRANSLATE(B2387,""ja"",""vi"")"),"Casio")</f>
        <v>Casio</v>
      </c>
      <c r="E2387" s="5" t="str">
        <f ca="1">IFERROR(__xludf.DUMMYFUNCTION("GOOGLETRANSLATE(C2387,""ja"",""vi"")"),"Đấu giá&gt; Accessories, Đồng hồ&gt; Đồng hồ nữ&gt; Casio")</f>
        <v>Đấu giá&gt; Accessories, Đồng hồ&gt; Đồng hồ nữ&gt; Casio</v>
      </c>
      <c r="F2387" t="str">
        <f t="shared" ca="1" si="37"/>
        <v>"2084032114" : "Casio",</v>
      </c>
    </row>
    <row r="2388" spans="1:6" ht="15.75" customHeight="1">
      <c r="A2388" s="18">
        <v>2084024505</v>
      </c>
      <c r="B2388" s="18" t="s">
        <v>4583</v>
      </c>
      <c r="C2388" s="18" t="s">
        <v>6199</v>
      </c>
      <c r="D2388" s="5" t="str">
        <f ca="1">IFERROR(__xludf.DUMMYFUNCTION("GOOGLETRANSLATE(B2388,""ja"",""vi"")"),"công dân")</f>
        <v>công dân</v>
      </c>
      <c r="E2388" s="5" t="str">
        <f ca="1">IFERROR(__xludf.DUMMYFUNCTION("GOOGLETRANSLATE(C2388,""ja"",""vi"")"),"Đấu giá&gt; Accessories, Đồng hồ&gt; Đồng hồ nữ&gt; Citizen")</f>
        <v>Đấu giá&gt; Accessories, Đồng hồ&gt; Đồng hồ nữ&gt; Citizen</v>
      </c>
      <c r="F2388" t="str">
        <f t="shared" ca="1" si="37"/>
        <v>"2084024505" : "công dân",</v>
      </c>
    </row>
    <row r="2389" spans="1:6" ht="15.75" customHeight="1">
      <c r="A2389" s="18">
        <v>2084024503</v>
      </c>
      <c r="B2389" s="18" t="s">
        <v>4283</v>
      </c>
      <c r="C2389" s="18" t="s">
        <v>6200</v>
      </c>
      <c r="D2389" s="5" t="str">
        <f ca="1">IFERROR(__xludf.DUMMYFUNCTION("GOOGLETRANSLATE(B2389,""ja"",""vi"")"),"Seiko")</f>
        <v>Seiko</v>
      </c>
      <c r="E2389" s="5" t="str">
        <f ca="1">IFERROR(__xludf.DUMMYFUNCTION("GOOGLETRANSLATE(C2389,""ja"",""vi"")"),"Đấu giá&gt; Accessories, Đồng hồ&gt; Đồng hồ nữ&gt; Seiko")</f>
        <v>Đấu giá&gt; Accessories, Đồng hồ&gt; Đồng hồ nữ&gt; Seiko</v>
      </c>
      <c r="F2389" t="str">
        <f t="shared" ca="1" si="37"/>
        <v>"2084024503" : "Seiko",</v>
      </c>
    </row>
    <row r="2390" spans="1:6" ht="15.75" customHeight="1">
      <c r="A2390" s="18">
        <v>2084053708</v>
      </c>
      <c r="B2390" s="18" t="s">
        <v>6188</v>
      </c>
      <c r="C2390" s="18" t="s">
        <v>6201</v>
      </c>
      <c r="D2390" s="5" t="str">
        <f ca="1">IFERROR(__xludf.DUMMYFUNCTION("GOOGLETRANSLATE(B2390,""ja"",""vi"")"),"Analog (Quartz)")</f>
        <v>Analog (Quartz)</v>
      </c>
      <c r="E2390" s="5" t="str">
        <f ca="1">IFERROR(__xludf.DUMMYFUNCTION("GOOGLETRANSLATE(C2390,""ja"",""vi"")"),"Đấu giá&gt; Accessories, Đồng hồ&gt; Đồng hồ Unisex&gt; Analog (Quartz)")</f>
        <v>Đấu giá&gt; Accessories, Đồng hồ&gt; Đồng hồ Unisex&gt; Analog (Quartz)</v>
      </c>
      <c r="F2390" t="str">
        <f t="shared" ca="1" si="37"/>
        <v>"2084053708" : "Analog (Quartz)",</v>
      </c>
    </row>
    <row r="2391" spans="1:6" ht="15.75" customHeight="1">
      <c r="A2391" s="18">
        <v>2084053710</v>
      </c>
      <c r="B2391" s="18" t="s">
        <v>6190</v>
      </c>
      <c r="C2391" s="18" t="s">
        <v>6202</v>
      </c>
      <c r="D2391" s="5" t="str">
        <f ca="1">IFERROR(__xludf.DUMMYFUNCTION("GOOGLETRANSLATE(B2391,""ja"",""vi"")"),"Analog (Tự động)")</f>
        <v>Analog (Tự động)</v>
      </c>
      <c r="E2391" s="5" t="str">
        <f ca="1">IFERROR(__xludf.DUMMYFUNCTION("GOOGLETRANSLATE(C2391,""ja"",""vi"")"),"Đấu giá&gt; Accessories, Đồng hồ&gt; Đồng hồ Unisex&gt; Analog (Tự động)")</f>
        <v>Đấu giá&gt; Accessories, Đồng hồ&gt; Đồng hồ Unisex&gt; Analog (Tự động)</v>
      </c>
      <c r="F2391" t="str">
        <f t="shared" ca="1" si="37"/>
        <v>"2084053710" : "Analog (Tự động)",</v>
      </c>
    </row>
    <row r="2392" spans="1:6" ht="15.75" customHeight="1">
      <c r="A2392" s="18">
        <v>2084053711</v>
      </c>
      <c r="B2392" s="18" t="s">
        <v>6192</v>
      </c>
      <c r="C2392" s="18" t="s">
        <v>6203</v>
      </c>
      <c r="D2392" s="5" t="str">
        <f ca="1">IFERROR(__xludf.DUMMYFUNCTION("GOOGLETRANSLATE(B2392,""ja"",""vi"")"),"Analog (cuộn bằng tay)")</f>
        <v>Analog (cuộn bằng tay)</v>
      </c>
      <c r="E2392" s="5" t="str">
        <f ca="1">IFERROR(__xludf.DUMMYFUNCTION("GOOGLETRANSLATE(C2392,""ja"",""vi"")"),"Đấu giá&gt; Accessories, Đồng hồ&gt; Đồng hồ Unisex&gt; analog (cuộn bằng tay)")</f>
        <v>Đấu giá&gt; Accessories, Đồng hồ&gt; Đồng hồ Unisex&gt; analog (cuộn bằng tay)</v>
      </c>
      <c r="F2392" t="str">
        <f t="shared" ca="1" si="37"/>
        <v>"2084053711" : "Analog (cuộn bằng tay)",</v>
      </c>
    </row>
    <row r="2393" spans="1:6" ht="15.75" customHeight="1">
      <c r="A2393" s="18">
        <v>2084032152</v>
      </c>
      <c r="B2393" s="18" t="s">
        <v>6194</v>
      </c>
      <c r="C2393" s="18" t="s">
        <v>6205</v>
      </c>
      <c r="D2393" s="5" t="str">
        <f ca="1">IFERROR(__xludf.DUMMYFUNCTION("GOOGLETRANSLATE(B2393,""ja"",""vi"")"),"kỹ thuật số")</f>
        <v>kỹ thuật số</v>
      </c>
      <c r="E2393" s="5" t="str">
        <f ca="1">IFERROR(__xludf.DUMMYFUNCTION("GOOGLETRANSLATE(C2393,""ja"",""vi"")"),"Đấu giá&gt; Accessories, Đồng hồ&gt; Đồng hồ Unisex&gt; kỹ thuật số")</f>
        <v>Đấu giá&gt; Accessories, Đồng hồ&gt; Đồng hồ Unisex&gt; kỹ thuật số</v>
      </c>
      <c r="F2393" t="str">
        <f t="shared" ca="1" si="37"/>
        <v>"2084032152" : "kỹ thuật số",</v>
      </c>
    </row>
    <row r="2394" spans="1:6" ht="15.75" customHeight="1">
      <c r="A2394" s="18">
        <v>2084032114</v>
      </c>
      <c r="B2394" s="18" t="s">
        <v>1806</v>
      </c>
      <c r="C2394" s="18" t="s">
        <v>6207</v>
      </c>
      <c r="D2394" s="5" t="str">
        <f ca="1">IFERROR(__xludf.DUMMYFUNCTION("GOOGLETRANSLATE(B2394,""ja"",""vi"")"),"Casio")</f>
        <v>Casio</v>
      </c>
      <c r="E2394" s="5" t="str">
        <f ca="1">IFERROR(__xludf.DUMMYFUNCTION("GOOGLETRANSLATE(C2394,""ja"",""vi"")"),"Đấu giá&gt; Accessories, Đồng hồ&gt; Đồng hồ Unisex&gt; Casio")</f>
        <v>Đấu giá&gt; Accessories, Đồng hồ&gt; Đồng hồ Unisex&gt; Casio</v>
      </c>
      <c r="F2394" t="str">
        <f t="shared" ca="1" si="37"/>
        <v>"2084032114" : "Casio",</v>
      </c>
    </row>
    <row r="2395" spans="1:6" ht="15.75" customHeight="1">
      <c r="A2395" s="18">
        <v>2084024505</v>
      </c>
      <c r="B2395" s="18" t="s">
        <v>4583</v>
      </c>
      <c r="C2395" s="18" t="s">
        <v>6209</v>
      </c>
      <c r="D2395" s="5" t="str">
        <f ca="1">IFERROR(__xludf.DUMMYFUNCTION("GOOGLETRANSLATE(B2395,""ja"",""vi"")"),"công dân")</f>
        <v>công dân</v>
      </c>
      <c r="E2395" s="5" t="str">
        <f ca="1">IFERROR(__xludf.DUMMYFUNCTION("GOOGLETRANSLATE(C2395,""ja"",""vi"")"),"Đấu giá&gt; Accessories, Đồng hồ&gt; Đồng hồ Unisex&gt; Citizen")</f>
        <v>Đấu giá&gt; Accessories, Đồng hồ&gt; Đồng hồ Unisex&gt; Citizen</v>
      </c>
      <c r="F2395" t="str">
        <f t="shared" ca="1" si="37"/>
        <v>"2084024505" : "công dân",</v>
      </c>
    </row>
    <row r="2396" spans="1:6" ht="15.75" customHeight="1">
      <c r="A2396" s="18">
        <v>2084024503</v>
      </c>
      <c r="B2396" s="18" t="s">
        <v>4283</v>
      </c>
      <c r="C2396" s="18" t="s">
        <v>6211</v>
      </c>
      <c r="D2396" s="5" t="str">
        <f ca="1">IFERROR(__xludf.DUMMYFUNCTION("GOOGLETRANSLATE(B2396,""ja"",""vi"")"),"Seiko")</f>
        <v>Seiko</v>
      </c>
      <c r="E2396" s="5" t="str">
        <f ca="1">IFERROR(__xludf.DUMMYFUNCTION("GOOGLETRANSLATE(C2396,""ja"",""vi"")"),"Đấu giá&gt; Accessories, Đồng hồ&gt; Đồng hồ Unisex&gt; Seiko")</f>
        <v>Đấu giá&gt; Accessories, Đồng hồ&gt; Đồng hồ Unisex&gt; Seiko</v>
      </c>
      <c r="F2396" t="str">
        <f t="shared" ca="1" si="37"/>
        <v>"2084024503" : "Seiko",</v>
      </c>
    </row>
    <row r="2397" spans="1:6" ht="15.75" customHeight="1">
      <c r="A2397" s="18">
        <v>2084045713</v>
      </c>
      <c r="B2397" s="18" t="s">
        <v>4202</v>
      </c>
      <c r="C2397" s="18" t="s">
        <v>6174</v>
      </c>
      <c r="D2397" s="5" t="str">
        <f ca="1">IFERROR(__xludf.DUMMYFUNCTION("GOOGLETRANSLATE(B2397,""ja"",""vi"")"),"lục lạo")</f>
        <v>lục lạo</v>
      </c>
      <c r="E2397" s="5" t="str">
        <f ca="1">IFERROR(__xludf.DUMMYFUNCTION("GOOGLETRANSLATE(C2397,""ja"",""vi"")"),"Đấu giá&gt; phụ kiện, đồng hồ&gt; nhân vật đồng hồ đeo tay&gt; Snoopy")</f>
        <v>Đấu giá&gt; phụ kiện, đồng hồ&gt; nhân vật đồng hồ đeo tay&gt; Snoopy</v>
      </c>
      <c r="F2397" t="str">
        <f t="shared" ca="1" si="37"/>
        <v>"2084045713" : "lục lạo",</v>
      </c>
    </row>
    <row r="2398" spans="1:6" ht="15.75" customHeight="1">
      <c r="A2398" s="18">
        <v>2084045712</v>
      </c>
      <c r="B2398" s="18" t="s">
        <v>2828</v>
      </c>
      <c r="C2398" s="18" t="s">
        <v>6175</v>
      </c>
      <c r="D2398" s="5" t="str">
        <f ca="1">IFERROR(__xludf.DUMMYFUNCTION("GOOGLETRANSLATE(B2398,""ja"",""vi"")"),"Disney")</f>
        <v>Disney</v>
      </c>
      <c r="E2398" s="5" t="str">
        <f ca="1">IFERROR(__xludf.DUMMYFUNCTION("GOOGLETRANSLATE(C2398,""ja"",""vi"")"),"Đấu giá&gt; phụ kiện, đồng hồ&gt; nhân vật đồng hồ đeo tay&gt; Disney")</f>
        <v>Đấu giá&gt; phụ kiện, đồng hồ&gt; nhân vật đồng hồ đeo tay&gt; Disney</v>
      </c>
      <c r="F2398" t="str">
        <f t="shared" ca="1" si="37"/>
        <v>"2084045712" : "Disney",</v>
      </c>
    </row>
    <row r="2399" spans="1:6" ht="15.75" customHeight="1">
      <c r="A2399" s="18">
        <v>2084045715</v>
      </c>
      <c r="B2399" s="18" t="s">
        <v>1049</v>
      </c>
      <c r="C2399" s="18" t="s">
        <v>6176</v>
      </c>
      <c r="D2399" s="5" t="str">
        <f ca="1">IFERROR(__xludf.DUMMYFUNCTION("GOOGLETRANSLATE(B2399,""ja"",""vi"")"),"Doraemon")</f>
        <v>Doraemon</v>
      </c>
      <c r="E2399" s="5" t="str">
        <f ca="1">IFERROR(__xludf.DUMMYFUNCTION("GOOGLETRANSLATE(C2399,""ja"",""vi"")"),"Đấu giá&gt; phụ kiện, đồng hồ&gt; nhân vật đồng hồ đeo tay&gt; Doraemon")</f>
        <v>Đấu giá&gt; phụ kiện, đồng hồ&gt; nhân vật đồng hồ đeo tay&gt; Doraemon</v>
      </c>
      <c r="F2399" t="str">
        <f t="shared" ca="1" si="37"/>
        <v>"2084045715" : "Doraemon",</v>
      </c>
    </row>
    <row r="2400" spans="1:6" ht="15.75" customHeight="1">
      <c r="A2400" s="18">
        <v>2084045714</v>
      </c>
      <c r="B2400" s="18" t="s">
        <v>1265</v>
      </c>
      <c r="C2400" s="18" t="s">
        <v>6177</v>
      </c>
      <c r="D2400" s="5" t="str">
        <f ca="1">IFERROR(__xludf.DUMMYFUNCTION("GOOGLETRANSLATE(B2400,""ja"",""vi"")"),"Hello Kitty")</f>
        <v>Hello Kitty</v>
      </c>
      <c r="E2400" s="5" t="str">
        <f ca="1">IFERROR(__xludf.DUMMYFUNCTION("GOOGLETRANSLATE(C2400,""ja"",""vi"")"),"Đấu giá&gt; phụ kiện, đồng hồ&gt; nhân vật đồng hồ đeo tay&gt; Hello Kitty")</f>
        <v>Đấu giá&gt; phụ kiện, đồng hồ&gt; nhân vật đồng hồ đeo tay&gt; Hello Kitty</v>
      </c>
      <c r="F2400" t="str">
        <f t="shared" ca="1" si="37"/>
        <v>"2084045714" : "Hello Kitty",</v>
      </c>
    </row>
    <row r="2401" spans="1:6" ht="15.75" customHeight="1">
      <c r="A2401" s="18">
        <v>2084045716</v>
      </c>
      <c r="B2401" s="18" t="s">
        <v>46</v>
      </c>
      <c r="C2401" s="18" t="s">
        <v>6178</v>
      </c>
      <c r="D2401" s="5" t="str">
        <f ca="1">IFERROR(__xludf.DUMMYFUNCTION("GOOGLETRANSLATE(B2401,""ja"",""vi"")"),"nếu không thì")</f>
        <v>nếu không thì</v>
      </c>
      <c r="E2401" s="5" t="str">
        <f ca="1">IFERROR(__xludf.DUMMYFUNCTION("GOOGLETRANSLATE(C2401,""ja"",""vi"")"),"Đấu giá&gt; phụ kiện, đồng hồ&gt; nhân vật đồng hồ đeo tay&gt; Khác")</f>
        <v>Đấu giá&gt; phụ kiện, đồng hồ&gt; nhân vật đồng hồ đeo tay&gt; Khác</v>
      </c>
      <c r="F2401" t="str">
        <f t="shared" ca="1" si="37"/>
        <v>"2084045716" : "nếu không thì",</v>
      </c>
    </row>
    <row r="2402" spans="1:6" ht="15.75" customHeight="1">
      <c r="A2402" s="18">
        <v>2084062953</v>
      </c>
      <c r="B2402" s="18" t="s">
        <v>6232</v>
      </c>
      <c r="C2402" s="18" t="s">
        <v>6233</v>
      </c>
      <c r="D2402" s="5" t="str">
        <f ca="1">IFERROR(__xludf.DUMMYFUNCTION("GOOGLETRANSLATE(B2402,""ja"",""vi"")"),"đá thạch anh")</f>
        <v>đá thạch anh</v>
      </c>
      <c r="E2402" s="5" t="str">
        <f ca="1">IFERROR(__xludf.DUMMYFUNCTION("GOOGLETRANSLATE(C2402,""ja"",""vi"")"),"Đấu giá&gt; phụ kiện, đồng hồ&gt; đồng hồ bỏ túi&gt; Quartz")</f>
        <v>Đấu giá&gt; phụ kiện, đồng hồ&gt; đồng hồ bỏ túi&gt; Quartz</v>
      </c>
      <c r="F2402" t="str">
        <f t="shared" ca="1" si="37"/>
        <v>"2084062953" : "đá thạch anh",</v>
      </c>
    </row>
    <row r="2403" spans="1:6" ht="15.75" customHeight="1">
      <c r="A2403" s="18">
        <v>2084062954</v>
      </c>
      <c r="B2403" s="18" t="s">
        <v>6235</v>
      </c>
      <c r="C2403" s="18" t="s">
        <v>6236</v>
      </c>
      <c r="D2403" s="5" t="str">
        <f ca="1">IFERROR(__xludf.DUMMYFUNCTION("GOOGLETRANSLATE(B2403,""ja"",""vi"")"),"Cơ")</f>
        <v>Cơ</v>
      </c>
      <c r="E2403" s="5" t="str">
        <f ca="1">IFERROR(__xludf.DUMMYFUNCTION("GOOGLETRANSLATE(C2403,""ja"",""vi"")"),"Đấu giá&gt; phụ kiện, đồng hồ&gt; đồng hồ bỏ túi&gt; cơ khí")</f>
        <v>Đấu giá&gt; phụ kiện, đồng hồ&gt; đồng hồ bỏ túi&gt; cơ khí</v>
      </c>
      <c r="F2403" t="str">
        <f t="shared" ca="1" si="37"/>
        <v>"2084062954" : "Cơ",</v>
      </c>
    </row>
    <row r="2404" spans="1:6" ht="15.75" customHeight="1">
      <c r="A2404" s="18">
        <v>2084062472</v>
      </c>
      <c r="B2404" s="18" t="s">
        <v>18744</v>
      </c>
      <c r="C2404" s="18" t="s">
        <v>18746</v>
      </c>
      <c r="D2404" s="5" t="str">
        <f ca="1">IFERROR(__xludf.DUMMYFUNCTION("GOOGLETRANSLATE(B2404,""ja"",""vi"")"),"vành đai cao su")</f>
        <v>vành đai cao su</v>
      </c>
      <c r="E2404" s="5" t="str">
        <f ca="1">IFERROR(__xludf.DUMMYFUNCTION("GOOGLETRANSLATE(C2404,""ja"",""vi"")"),"Đấu giá&gt; Accessories, Đồng hồ&gt; vành đai đồng hồ, ban nhạc&gt; vành đai cao su")</f>
        <v>Đấu giá&gt; Accessories, Đồng hồ&gt; vành đai đồng hồ, ban nhạc&gt; vành đai cao su</v>
      </c>
      <c r="F2404" t="str">
        <f t="shared" ca="1" si="37"/>
        <v>"2084062472" : "vành đai cao su",</v>
      </c>
    </row>
    <row r="2405" spans="1:6" ht="15.75" customHeight="1">
      <c r="A2405" s="18">
        <v>2084062470</v>
      </c>
      <c r="B2405" s="18" t="s">
        <v>18749</v>
      </c>
      <c r="C2405" s="18" t="s">
        <v>18751</v>
      </c>
      <c r="D2405" s="5" t="str">
        <f ca="1">IFERROR(__xludf.DUMMYFUNCTION("GOOGLETRANSLATE(B2405,""ja"",""vi"")"),"thắt lưng da")</f>
        <v>thắt lưng da</v>
      </c>
      <c r="E2405" s="5" t="str">
        <f ca="1">IFERROR(__xludf.DUMMYFUNCTION("GOOGLETRANSLATE(C2405,""ja"",""vi"")"),"Đấu giá&gt; Accessories, Đồng hồ&gt; vành đai đồng hồ, ban nhạc&gt; thắt lưng da")</f>
        <v>Đấu giá&gt; Accessories, Đồng hồ&gt; vành đai đồng hồ, ban nhạc&gt; thắt lưng da</v>
      </c>
      <c r="F2405" t="str">
        <f t="shared" ca="1" si="37"/>
        <v>"2084062470" : "thắt lưng da",</v>
      </c>
    </row>
    <row r="2406" spans="1:6" ht="15.75" customHeight="1">
      <c r="A2406" s="18">
        <v>2084062471</v>
      </c>
      <c r="B2406" s="18" t="s">
        <v>18755</v>
      </c>
      <c r="C2406" s="18" t="s">
        <v>18757</v>
      </c>
      <c r="D2406" s="5" t="str">
        <f ca="1">IFERROR(__xludf.DUMMYFUNCTION("GOOGLETRANSLATE(B2406,""ja"",""vi"")"),"vành đai kim loại")</f>
        <v>vành đai kim loại</v>
      </c>
      <c r="E2406" s="5" t="str">
        <f ca="1">IFERROR(__xludf.DUMMYFUNCTION("GOOGLETRANSLATE(C2406,""ja"",""vi"")"),"Đấu giá&gt; Accessories, Đồng hồ&gt; vành đai đồng hồ, ban nhạc&gt; vành đai kim loại")</f>
        <v>Đấu giá&gt; Accessories, Đồng hồ&gt; vành đai đồng hồ, ban nhạc&gt; vành đai kim loại</v>
      </c>
      <c r="F2406" t="str">
        <f t="shared" ca="1" si="37"/>
        <v>"2084062471" : "vành đai kim loại",</v>
      </c>
    </row>
    <row r="2407" spans="1:6" ht="15.75" customHeight="1">
      <c r="A2407" s="18">
        <v>2084062473</v>
      </c>
      <c r="B2407" s="18" t="s">
        <v>18760</v>
      </c>
      <c r="C2407" s="18" t="s">
        <v>18762</v>
      </c>
      <c r="D2407" s="5" t="str">
        <f ca="1">IFERROR(__xludf.DUMMYFUNCTION("GOOGLETRANSLATE(B2407,""ja"",""vi"")"),"dây vải")</f>
        <v>dây vải</v>
      </c>
      <c r="E2407" s="5" t="str">
        <f ca="1">IFERROR(__xludf.DUMMYFUNCTION("GOOGLETRANSLATE(C2407,""ja"",""vi"")"),"Đấu giá&gt; Accessories, Đồng hồ&gt; vành đai đồng hồ, ban nhạc&gt; dây vải")</f>
        <v>Đấu giá&gt; Accessories, Đồng hồ&gt; vành đai đồng hồ, ban nhạc&gt; dây vải</v>
      </c>
      <c r="F2407" t="str">
        <f t="shared" ca="1" si="37"/>
        <v>"2084062473" : "dây vải",</v>
      </c>
    </row>
    <row r="2408" spans="1:6" ht="15.75" customHeight="1">
      <c r="A2408" s="18">
        <v>2084062481</v>
      </c>
      <c r="B2408" s="18" t="s">
        <v>18763</v>
      </c>
      <c r="C2408" s="18" t="s">
        <v>18764</v>
      </c>
      <c r="D2408" s="5" t="str">
        <f ca="1">IFERROR(__xludf.DUMMYFUNCTION("GOOGLETRANSLATE(B2408,""ja"",""vi"")"),"Mùa xuân Bohazushi")</f>
        <v>Mùa xuân Bohazushi</v>
      </c>
      <c r="E2408" s="5" t="str">
        <f ca="1">IFERROR(__xludf.DUMMYFUNCTION("GOOGLETRANSLATE(C2408,""ja"",""vi"")"),"Đấu giá&gt; Accessories, Đồng hồ&gt; vành đai đồng hồ, ban nhạc&gt; mùa xuân Bohazushi")</f>
        <v>Đấu giá&gt; Accessories, Đồng hồ&gt; vành đai đồng hồ, ban nhạc&gt; mùa xuân Bohazushi</v>
      </c>
      <c r="F2408" t="str">
        <f t="shared" ca="1" si="37"/>
        <v>"2084062481" : "Mùa xuân Bohazushi",</v>
      </c>
    </row>
    <row r="2409" spans="1:6" ht="15.75" customHeight="1">
      <c r="A2409" s="18">
        <v>2084062482</v>
      </c>
      <c r="B2409" s="18" t="s">
        <v>17462</v>
      </c>
      <c r="C2409" s="18" t="s">
        <v>18769</v>
      </c>
      <c r="D2409" s="5" t="str">
        <f ca="1">IFERROR(__xludf.DUMMYFUNCTION("GOOGLETRANSLATE(B2409,""ja"",""vi"")"),"Chính xác Screwdriver")</f>
        <v>Chính xác Screwdriver</v>
      </c>
      <c r="E2409" s="5" t="str">
        <f ca="1">IFERROR(__xludf.DUMMYFUNCTION("GOOGLETRANSLATE(C2409,""ja"",""vi"")"),"Đấu giá&gt; Accessories, Đồng hồ&gt; vành đai đồng hồ, ban nhạc&gt; chính xác screwdriver")</f>
        <v>Đấu giá&gt; Accessories, Đồng hồ&gt; vành đai đồng hồ, ban nhạc&gt; chính xác screwdriver</v>
      </c>
      <c r="F2409" t="str">
        <f t="shared" ca="1" si="37"/>
        <v>"2084062482" : "Chính xác Screwdriver",</v>
      </c>
    </row>
    <row r="2410" spans="1:6" ht="15.75" customHeight="1">
      <c r="A2410" s="18">
        <v>2084062474</v>
      </c>
      <c r="B2410" s="18" t="s">
        <v>18774</v>
      </c>
      <c r="C2410" s="18" t="s">
        <v>18776</v>
      </c>
      <c r="D2410" s="5" t="str">
        <f ca="1">IFERROR(__xludf.DUMMYFUNCTION("GOOGLETRANSLATE(B2410,""ja"",""vi"")"),"phần vành đai")</f>
        <v>phần vành đai</v>
      </c>
      <c r="E2410" s="5" t="str">
        <f ca="1">IFERROR(__xludf.DUMMYFUNCTION("GOOGLETRANSLATE(C2410,""ja"",""vi"")"),"Đấu giá&gt; Accessories, Đồng hồ&gt; vành đai đồng hồ, ban nhạc&gt; phần vành đai")</f>
        <v>Đấu giá&gt; Accessories, Đồng hồ&gt; vành đai đồng hồ, ban nhạc&gt; phần vành đai</v>
      </c>
      <c r="F2410" t="str">
        <f t="shared" ca="1" si="37"/>
        <v>"2084062474" : "phần vành đai",</v>
      </c>
    </row>
    <row r="2411" spans="1:6" ht="15.75" customHeight="1">
      <c r="A2411" s="18">
        <v>2084062478</v>
      </c>
      <c r="B2411" s="18" t="s">
        <v>46</v>
      </c>
      <c r="C2411" s="18" t="s">
        <v>18779</v>
      </c>
      <c r="D2411" s="5" t="str">
        <f ca="1">IFERROR(__xludf.DUMMYFUNCTION("GOOGLETRANSLATE(B2411,""ja"",""vi"")"),"nếu không thì")</f>
        <v>nếu không thì</v>
      </c>
      <c r="E2411" s="5" t="str">
        <f ca="1">IFERROR(__xludf.DUMMYFUNCTION("GOOGLETRANSLATE(C2411,""ja"",""vi"")"),"Đấu giá&gt; Accessories, Đồng hồ&gt; vành đai đồng hồ, ban nhạc&gt; Khác")</f>
        <v>Đấu giá&gt; Accessories, Đồng hồ&gt; vành đai đồng hồ, ban nhạc&gt; Khác</v>
      </c>
      <c r="F2411" t="str">
        <f t="shared" ca="1" si="37"/>
        <v>"2084062478" : "nếu không thì",</v>
      </c>
    </row>
    <row r="2412" spans="1:6" ht="15.75" customHeight="1">
      <c r="A2412" s="18">
        <v>2084062493</v>
      </c>
      <c r="B2412" s="18" t="s">
        <v>18786</v>
      </c>
      <c r="C2412" s="18" t="s">
        <v>18788</v>
      </c>
      <c r="D2412" s="5" t="str">
        <f ca="1">IFERROR(__xludf.DUMMYFUNCTION("GOOGLETRANSLATE(B2412,""ja"",""vi"")"),"Lưu trữ nói chung trường hợp")</f>
        <v>Lưu trữ nói chung trường hợp</v>
      </c>
      <c r="E2412" s="5" t="str">
        <f ca="1">IFERROR(__xludf.DUMMYFUNCTION("GOOGLETRANSLATE(C2412,""ja"",""vi"")"),"Đấu giá&gt; Accessories, Đồng hồ&gt; trường hợp đồng hồ&gt; nói chung trường hợp lưu trữ")</f>
        <v>Đấu giá&gt; Accessories, Đồng hồ&gt; trường hợp đồng hồ&gt; nói chung trường hợp lưu trữ</v>
      </c>
      <c r="F2412" t="str">
        <f t="shared" ca="1" si="37"/>
        <v>"2084062493" : "Lưu trữ nói chung trường hợp",</v>
      </c>
    </row>
    <row r="2413" spans="1:6" ht="15.75" customHeight="1">
      <c r="A2413" s="18">
        <v>2084062496</v>
      </c>
      <c r="B2413" s="18" t="s">
        <v>18792</v>
      </c>
      <c r="C2413" s="18" t="s">
        <v>18793</v>
      </c>
      <c r="D2413" s="5" t="str">
        <f ca="1">IFERROR(__xludf.DUMMYFUNCTION("GOOGLETRANSLATE(B2413,""ja"",""vi"")"),"loại đứng")</f>
        <v>loại đứng</v>
      </c>
      <c r="E2413" s="5" t="str">
        <f ca="1">IFERROR(__xludf.DUMMYFUNCTION("GOOGLETRANSLATE(C2413,""ja"",""vi"")"),"Đấu giá&gt; Accessories, Đồng hồ&gt; trường hợp đồng hồ&gt; kiểu đứng")</f>
        <v>Đấu giá&gt; Accessories, Đồng hồ&gt; trường hợp đồng hồ&gt; kiểu đứng</v>
      </c>
      <c r="F2413" t="str">
        <f t="shared" ca="1" si="37"/>
        <v>"2084062496" : "loại đứng",</v>
      </c>
    </row>
    <row r="2414" spans="1:6" ht="15.75" customHeight="1">
      <c r="A2414" s="18">
        <v>2084062498</v>
      </c>
      <c r="B2414" s="18" t="s">
        <v>18797</v>
      </c>
      <c r="C2414" s="18" t="s">
        <v>18798</v>
      </c>
      <c r="D2414" s="5" t="str">
        <f ca="1">IFERROR(__xludf.DUMMYFUNCTION("GOOGLETRANSLATE(B2414,""ja"",""vi"")"),"Winding chức năng với")</f>
        <v>Winding chức năng với</v>
      </c>
      <c r="E2414" s="5" t="str">
        <f ca="1">IFERROR(__xludf.DUMMYFUNCTION("GOOGLETRANSLATE(C2414,""ja"",""vi"")"),"Đấu giá&gt; Accessories, Đồng hồ&gt; trường hợp đồng hồ&gt; quanh co chức năng với")</f>
        <v>Đấu giá&gt; Accessories, Đồng hồ&gt; trường hợp đồng hồ&gt; quanh co chức năng với</v>
      </c>
      <c r="F2414" t="str">
        <f t="shared" ca="1" si="37"/>
        <v>"2084062498" : "Winding chức năng với",</v>
      </c>
    </row>
    <row r="2415" spans="1:6" ht="15.75" customHeight="1">
      <c r="A2415" s="18">
        <v>2084062497</v>
      </c>
      <c r="B2415" s="18" t="s">
        <v>18801</v>
      </c>
      <c r="C2415" s="18" t="s">
        <v>18803</v>
      </c>
      <c r="D2415" s="5" t="str">
        <f ca="1">IFERROR(__xludf.DUMMYFUNCTION("GOOGLETRANSLATE(B2415,""ja"",""vi"")"),"di động")</f>
        <v>di động</v>
      </c>
      <c r="E2415" s="5" t="str">
        <f ca="1">IFERROR(__xludf.DUMMYFUNCTION("GOOGLETRANSLATE(C2415,""ja"",""vi"")"),"Đấu giá&gt; Accessories, Đồng hồ&gt; watch trường hợp&gt; cho điện thoại di động")</f>
        <v>Đấu giá&gt; Accessories, Đồng hồ&gt; watch trường hợp&gt; cho điện thoại di động</v>
      </c>
      <c r="F2415" t="str">
        <f t="shared" ca="1" si="37"/>
        <v>"2084062497" : "di động",</v>
      </c>
    </row>
    <row r="2416" spans="1:6" ht="15.75" customHeight="1">
      <c r="A2416" s="18">
        <v>2084062479</v>
      </c>
      <c r="B2416" s="18" t="s">
        <v>3138</v>
      </c>
      <c r="C2416" s="18" t="s">
        <v>18808</v>
      </c>
      <c r="D2416" s="5" t="str">
        <f ca="1">IFERROR(__xludf.DUMMYFUNCTION("GOOGLETRANSLATE(B2416,""ja"",""vi"")"),"bộ")</f>
        <v>bộ</v>
      </c>
      <c r="E2416" s="5" t="str">
        <f ca="1">IFERROR(__xludf.DUMMYFUNCTION("GOOGLETRANSLATE(C2416,""ja"",""vi"")"),"Đấu giá&gt; Accessories, Đồng hồ&gt; Xem công cụ&gt; bộ")</f>
        <v>Đấu giá&gt; Accessories, Đồng hồ&gt; Xem công cụ&gt; bộ</v>
      </c>
      <c r="F2416" t="str">
        <f t="shared" ca="1" si="37"/>
        <v>"2084062479" : "bộ",</v>
      </c>
    </row>
    <row r="2417" spans="1:6" ht="15.75" customHeight="1">
      <c r="A2417" s="18">
        <v>2084062480</v>
      </c>
      <c r="B2417" s="18" t="s">
        <v>18813</v>
      </c>
      <c r="C2417" s="18" t="s">
        <v>18816</v>
      </c>
      <c r="D2417" s="5" t="str">
        <f ca="1">IFERROR(__xludf.DUMMYFUNCTION("GOOGLETRANSLATE(B2417,""ja"",""vi"")"),"người mở")</f>
        <v>người mở</v>
      </c>
      <c r="E2417" s="5" t="str">
        <f ca="1">IFERROR(__xludf.DUMMYFUNCTION("GOOGLETRANSLATE(C2417,""ja"",""vi"")"),"Đấu giá&gt; Accessories, Đồng hồ&gt; Xem công cụ&gt; mở")</f>
        <v>Đấu giá&gt; Accessories, Đồng hồ&gt; Xem công cụ&gt; mở</v>
      </c>
      <c r="F2417" t="str">
        <f t="shared" ca="1" si="37"/>
        <v>"2084062480" : "người mở",</v>
      </c>
    </row>
    <row r="2418" spans="1:6" ht="15.75" customHeight="1">
      <c r="A2418" s="18">
        <v>2084062481</v>
      </c>
      <c r="B2418" s="18" t="s">
        <v>18763</v>
      </c>
      <c r="C2418" s="18" t="s">
        <v>18821</v>
      </c>
      <c r="D2418" s="5" t="str">
        <f ca="1">IFERROR(__xludf.DUMMYFUNCTION("GOOGLETRANSLATE(B2418,""ja"",""vi"")"),"Mùa xuân Bohazushi")</f>
        <v>Mùa xuân Bohazushi</v>
      </c>
      <c r="E2418" s="5" t="str">
        <f ca="1">IFERROR(__xludf.DUMMYFUNCTION("GOOGLETRANSLATE(C2418,""ja"",""vi"")"),"Đấu giá&gt; Accessories, Đồng hồ&gt; Xem công cụ&gt; mùa xuân Bohazushi")</f>
        <v>Đấu giá&gt; Accessories, Đồng hồ&gt; Xem công cụ&gt; mùa xuân Bohazushi</v>
      </c>
      <c r="F2418" t="str">
        <f t="shared" ca="1" si="37"/>
        <v>"2084062481" : "Mùa xuân Bohazushi",</v>
      </c>
    </row>
    <row r="2419" spans="1:6" ht="15.75" customHeight="1">
      <c r="A2419" s="18">
        <v>2084062483</v>
      </c>
      <c r="B2419" s="18" t="s">
        <v>18822</v>
      </c>
      <c r="C2419" s="18" t="s">
        <v>18824</v>
      </c>
      <c r="D2419" s="5" t="str">
        <f ca="1">IFERROR(__xludf.DUMMYFUNCTION("GOOGLETRANSLATE(B2419,""ja"",""vi"")"),"cái nhíp nhổ tóc")</f>
        <v>cái nhíp nhổ tóc</v>
      </c>
      <c r="E2419" s="5" t="str">
        <f ca="1">IFERROR(__xludf.DUMMYFUNCTION("GOOGLETRANSLATE(C2419,""ja"",""vi"")"),"Đấu giá&gt; Accessories, Đồng hồ&gt; công cụ đồng hồ&gt; nhíp")</f>
        <v>Đấu giá&gt; Accessories, Đồng hồ&gt; công cụ đồng hồ&gt; nhíp</v>
      </c>
      <c r="F2419" t="str">
        <f t="shared" ca="1" si="37"/>
        <v>"2084062483" : "cái nhíp nhổ tóc",</v>
      </c>
    </row>
    <row r="2420" spans="1:6" ht="15.75" customHeight="1">
      <c r="A2420" s="18">
        <v>2084042044</v>
      </c>
      <c r="B2420" s="18" t="s">
        <v>17497</v>
      </c>
      <c r="C2420" s="18" t="s">
        <v>18829</v>
      </c>
      <c r="D2420" s="5" t="str">
        <f ca="1">IFERROR(__xludf.DUMMYFUNCTION("GOOGLETRANSLATE(B2420,""ja"",""vi"")"),"cái kìm")</f>
        <v>cái kìm</v>
      </c>
      <c r="E2420" s="5" t="str">
        <f ca="1">IFERROR(__xludf.DUMMYFUNCTION("GOOGLETRANSLATE(C2420,""ja"",""vi"")"),"Đấu giá&gt; Accessories, Đồng hồ&gt; công cụ đồng hồ&gt; Kìm")</f>
        <v>Đấu giá&gt; Accessories, Đồng hồ&gt; công cụ đồng hồ&gt; Kìm</v>
      </c>
      <c r="F2420" t="str">
        <f t="shared" ca="1" si="37"/>
        <v>"2084042044" : "cái kìm",</v>
      </c>
    </row>
    <row r="2421" spans="1:6" ht="15.75" customHeight="1">
      <c r="A2421" s="18">
        <v>2084062484</v>
      </c>
      <c r="B2421" s="18" t="s">
        <v>18830</v>
      </c>
      <c r="C2421" s="18" t="s">
        <v>18833</v>
      </c>
      <c r="D2421" s="5" t="str">
        <f ca="1">IFERROR(__xludf.DUMMYFUNCTION("GOOGLETRANSLATE(B2421,""ja"",""vi"")"),"lúp kính")</f>
        <v>lúp kính</v>
      </c>
      <c r="E2421" s="5" t="str">
        <f ca="1">IFERROR(__xludf.DUMMYFUNCTION("GOOGLETRANSLATE(C2421,""ja"",""vi"")"),"Đấu giá&gt; Accessories, Đồng hồ&gt; Xem công cụ&gt; kính lúp")</f>
        <v>Đấu giá&gt; Accessories, Đồng hồ&gt; Xem công cụ&gt; kính lúp</v>
      </c>
      <c r="F2421" t="str">
        <f t="shared" ca="1" si="37"/>
        <v>"2084062484" : "lúp kính",</v>
      </c>
    </row>
    <row r="2422" spans="1:6" ht="15.75" customHeight="1">
      <c r="A2422" s="18">
        <v>2084062482</v>
      </c>
      <c r="B2422" s="18" t="s">
        <v>17462</v>
      </c>
      <c r="C2422" s="18" t="s">
        <v>18838</v>
      </c>
      <c r="D2422" s="5" t="str">
        <f ca="1">IFERROR(__xludf.DUMMYFUNCTION("GOOGLETRANSLATE(B2422,""ja"",""vi"")"),"Chính xác Screwdriver")</f>
        <v>Chính xác Screwdriver</v>
      </c>
      <c r="E2422" s="5" t="str">
        <f ca="1">IFERROR(__xludf.DUMMYFUNCTION("GOOGLETRANSLATE(C2422,""ja"",""vi"")"),"Đấu giá&gt; Accessories, Đồng hồ&gt; Xem công cụ&gt; chính xác screwdriver")</f>
        <v>Đấu giá&gt; Accessories, Đồng hồ&gt; Xem công cụ&gt; chính xác screwdriver</v>
      </c>
      <c r="F2422" t="str">
        <f t="shared" ca="1" si="37"/>
        <v>"2084062482" : "Chính xác Screwdriver",</v>
      </c>
    </row>
    <row r="2423" spans="1:6" ht="15.75" customHeight="1">
      <c r="A2423" s="18">
        <v>2084062491</v>
      </c>
      <c r="B2423" s="18" t="s">
        <v>18840</v>
      </c>
      <c r="C2423" s="18" t="s">
        <v>18842</v>
      </c>
      <c r="D2423" s="5" t="str">
        <f ca="1">IFERROR(__xludf.DUMMYFUNCTION("GOOGLETRANSLATE(B2423,""ja"",""vi"")"),"pin đồng hồ")</f>
        <v>pin đồng hồ</v>
      </c>
      <c r="E2423" s="5" t="str">
        <f ca="1">IFERROR(__xludf.DUMMYFUNCTION("GOOGLETRANSLATE(C2423,""ja"",""vi"")"),"Đấu giá&gt; Accessories, Đồng hồ&gt; Xem công cụ&gt; pin đồng hồ")</f>
        <v>Đấu giá&gt; Accessories, Đồng hồ&gt; Xem công cụ&gt; pin đồng hồ</v>
      </c>
      <c r="F2423" t="str">
        <f t="shared" ca="1" si="37"/>
        <v>"2084062491" : "pin đồng hồ",</v>
      </c>
    </row>
    <row r="2424" spans="1:6" ht="15.75" customHeight="1">
      <c r="A2424" s="18">
        <v>2084062485</v>
      </c>
      <c r="B2424" s="18" t="s">
        <v>46</v>
      </c>
      <c r="C2424" s="18" t="s">
        <v>18847</v>
      </c>
      <c r="D2424" s="5" t="str">
        <f ca="1">IFERROR(__xludf.DUMMYFUNCTION("GOOGLETRANSLATE(B2424,""ja"",""vi"")"),"nếu không thì")</f>
        <v>nếu không thì</v>
      </c>
      <c r="E2424" s="5" t="str">
        <f ca="1">IFERROR(__xludf.DUMMYFUNCTION("GOOGLETRANSLATE(C2424,""ja"",""vi"")"),"Đấu giá&gt; Accessories, Đồng hồ&gt; Xem công cụ&gt; Khác")</f>
        <v>Đấu giá&gt; Accessories, Đồng hồ&gt; Xem công cụ&gt; Khác</v>
      </c>
      <c r="F2424" t="str">
        <f t="shared" ca="1" si="37"/>
        <v>"2084062485" : "nếu không thì",</v>
      </c>
    </row>
    <row r="2425" spans="1:6" ht="15.75" customHeight="1">
      <c r="A2425" s="18">
        <v>2084032127</v>
      </c>
      <c r="B2425" s="18" t="s">
        <v>6238</v>
      </c>
      <c r="C2425" s="18" t="s">
        <v>6240</v>
      </c>
      <c r="D2425" s="5" t="str">
        <f ca="1">IFERROR(__xludf.DUMMYFUNCTION("GOOGLETRANSLATE(B2425,""ja"",""vi"")"),"đồng hồ treo tường, đồng hồ treo tường")</f>
        <v>đồng hồ treo tường, đồng hồ treo tường</v>
      </c>
      <c r="E2425" s="5" t="str">
        <f ca="1">IFERROR(__xludf.DUMMYFUNCTION("GOOGLETRANSLATE(C2425,""ja"",""vi"")"),"Đấu giá&gt; nhà, nội thất&gt; nội thất, nội thất&gt; Nội thất Phụ kiện&gt; bảng đồng hồ, đồng hồ treo tường&gt; đồng hồ treo tường, đồng hồ treo tường")</f>
        <v>Đấu giá&gt; nhà, nội thất&gt; nội thất, nội thất&gt; Nội thất Phụ kiện&gt; bảng đồng hồ, đồng hồ treo tường&gt; đồng hồ treo tường, đồng hồ treo tường</v>
      </c>
      <c r="F2425" t="str">
        <f t="shared" ca="1" si="37"/>
        <v>"2084032127" : "đồng hồ treo tường, đồng hồ treo tường",</v>
      </c>
    </row>
    <row r="2426" spans="1:6" ht="15.75" customHeight="1">
      <c r="A2426" s="18">
        <v>2084024556</v>
      </c>
      <c r="B2426" s="18" t="s">
        <v>6242</v>
      </c>
      <c r="C2426" s="18" t="s">
        <v>6243</v>
      </c>
      <c r="D2426" s="5" t="str">
        <f ca="1">IFERROR(__xludf.DUMMYFUNCTION("GOOGLETRANSLATE(B2426,""ja"",""vi"")"),"dụng cụ")</f>
        <v>dụng cụ</v>
      </c>
      <c r="E2426" s="5" t="str">
        <f ca="1">IFERROR(__xludf.DUMMYFUNCTION("GOOGLETRANSLATE(C2426,""ja"",""vi"")"),"Đấu giá&gt; nhà, nội thất&gt; nội thất, nội thất&gt; Nội thất Phụ kiện&gt; bảng đồng hồ, đồng hồ treo tường&gt; công cụ")</f>
        <v>Đấu giá&gt; nhà, nội thất&gt; nội thất, nội thất&gt; Nội thất Phụ kiện&gt; bảng đồng hồ, đồng hồ treo tường&gt; công cụ</v>
      </c>
      <c r="F2426" t="str">
        <f t="shared" ca="1" si="37"/>
        <v>"2084024556" : "dụng cụ",</v>
      </c>
    </row>
    <row r="2427" spans="1:6" ht="15.75" customHeight="1">
      <c r="A2427" s="18">
        <v>2084032118</v>
      </c>
      <c r="B2427" s="18" t="s">
        <v>6245</v>
      </c>
      <c r="C2427" s="18" t="s">
        <v>6246</v>
      </c>
      <c r="D2427" s="5" t="str">
        <f ca="1">IFERROR(__xludf.DUMMYFUNCTION("GOOGLETRANSLATE(B2427,""ja"",""vi"")"),"đồng hồ bảng")</f>
        <v>đồng hồ bảng</v>
      </c>
      <c r="E2427" s="5" t="str">
        <f ca="1">IFERROR(__xludf.DUMMYFUNCTION("GOOGLETRANSLATE(C2427,""ja"",""vi"")"),"Đấu giá&gt; nhà, nội thất&gt; nội thất, nội thất&gt; Nội thất Phụ kiện&gt; bảng đồng hồ, đồng hồ treo tường&gt; đồng hồ")</f>
        <v>Đấu giá&gt; nhà, nội thất&gt; nội thất, nội thất&gt; Nội thất Phụ kiện&gt; bảng đồng hồ, đồng hồ treo tường&gt; đồng hồ</v>
      </c>
      <c r="F2427" t="str">
        <f t="shared" ca="1" si="37"/>
        <v>"2084032118" : "đồng hồ bảng",</v>
      </c>
    </row>
    <row r="2428" spans="1:6" ht="15.75" customHeight="1">
      <c r="A2428" s="18">
        <v>2084240617</v>
      </c>
      <c r="B2428" s="18" t="s">
        <v>18039</v>
      </c>
      <c r="C2428" s="18" t="s">
        <v>18041</v>
      </c>
      <c r="D2428" s="5" t="str">
        <f ca="1">IFERROR(__xludf.DUMMYFUNCTION("GOOGLETRANSLATE(B2428,""ja"",""vi"")"),"Phụ kiện (đối với nữ)")</f>
        <v>Phụ kiện (đối với nữ)</v>
      </c>
      <c r="E2428" s="5" t="str">
        <f ca="1">IFERROR(__xludf.DUMMYFUNCTION("GOOGLETRANSLATE(C2428,""ja"",""vi"")"),"Đấu giá&gt; Accessories, Đồng hồ&gt; handmade&gt; Phụ kiện (đối với nữ)")</f>
        <v>Đấu giá&gt; Accessories, Đồng hồ&gt; handmade&gt; Phụ kiện (đối với nữ)</v>
      </c>
      <c r="F2428" t="str">
        <f t="shared" ca="1" si="37"/>
        <v>"2084240617" : "Phụ kiện (đối với nữ)",</v>
      </c>
    </row>
    <row r="2429" spans="1:6" ht="15.75" customHeight="1">
      <c r="A2429" s="18">
        <v>2084236962</v>
      </c>
      <c r="B2429" s="18" t="s">
        <v>7699</v>
      </c>
      <c r="C2429" s="18" t="s">
        <v>18046</v>
      </c>
      <c r="D2429" s="5" t="str">
        <f ca="1">IFERROR(__xludf.DUMMYFUNCTION("GOOGLETRANSLATE(B2429,""ja"",""vi"")"),"key Chains")</f>
        <v>key Chains</v>
      </c>
      <c r="E2429" s="5" t="str">
        <f ca="1">IFERROR(__xludf.DUMMYFUNCTION("GOOGLETRANSLATE(C2429,""ja"",""vi"")"),"Đấu giá&gt; Accessories, Đồng hồ&gt; handmade&gt; Keychain")</f>
        <v>Đấu giá&gt; Accessories, Đồng hồ&gt; handmade&gt; Keychain</v>
      </c>
      <c r="F2429" t="str">
        <f t="shared" ca="1" si="37"/>
        <v>"2084236962" : "key Chains",</v>
      </c>
    </row>
    <row r="2430" spans="1:6" ht="15.75" customHeight="1">
      <c r="A2430" s="18">
        <v>2084236963</v>
      </c>
      <c r="B2430" s="18" t="s">
        <v>7764</v>
      </c>
      <c r="C2430" s="18" t="s">
        <v>18051</v>
      </c>
      <c r="D2430" s="5" t="str">
        <f ca="1">IFERROR(__xludf.DUMMYFUNCTION("GOOGLETRANSLATE(B2430,""ja"",""vi"")"),"Điện thoại di Strap")</f>
        <v>Điện thoại di Strap</v>
      </c>
      <c r="E2430" s="5" t="str">
        <f ca="1">IFERROR(__xludf.DUMMYFUNCTION("GOOGLETRANSLATE(C2430,""ja"",""vi"")"),"Đấu giá&gt; Accessories, Đồng hồ&gt; handmade&gt; Dây đeo điện thoại di động")</f>
        <v>Đấu giá&gt; Accessories, Đồng hồ&gt; handmade&gt; Dây đeo điện thoại di động</v>
      </c>
      <c r="F2430" t="str">
        <f t="shared" ca="1" si="37"/>
        <v>"2084236963" : "Điện thoại di Strap",</v>
      </c>
    </row>
    <row r="2431" spans="1:6" ht="15.75" customHeight="1">
      <c r="A2431" s="18">
        <v>20924</v>
      </c>
      <c r="B2431" s="18" t="s">
        <v>18057</v>
      </c>
      <c r="C2431" s="18" t="s">
        <v>18060</v>
      </c>
      <c r="D2431" s="5" t="str">
        <f ca="1">IFERROR(__xludf.DUMMYFUNCTION("GOOGLETRANSLATE(B2431,""ja"",""vi"")"),"nguyên liệu handmade")</f>
        <v>nguyên liệu handmade</v>
      </c>
      <c r="E2431" s="5" t="str">
        <f ca="1">IFERROR(__xludf.DUMMYFUNCTION("GOOGLETRANSLATE(C2431,""ja"",""vi"")"),"Đấu giá&gt; Accessories, Đồng hồ&gt; handmade&gt; nguyên liệu handmade")</f>
        <v>Đấu giá&gt; Accessories, Đồng hồ&gt; handmade&gt; nguyên liệu handmade</v>
      </c>
      <c r="F2431" t="str">
        <f t="shared" ca="1" si="37"/>
        <v>"20924" : "nguyên liệu handmade",</v>
      </c>
    </row>
    <row r="2432" spans="1:6" ht="15.75" customHeight="1">
      <c r="A2432" s="18">
        <v>2084240623</v>
      </c>
      <c r="B2432" s="18" t="s">
        <v>46</v>
      </c>
      <c r="C2432" s="18" t="s">
        <v>18064</v>
      </c>
      <c r="D2432" s="5" t="str">
        <f ca="1">IFERROR(__xludf.DUMMYFUNCTION("GOOGLETRANSLATE(B2432,""ja"",""vi"")"),"nếu không thì")</f>
        <v>nếu không thì</v>
      </c>
      <c r="E2432" s="5" t="str">
        <f ca="1">IFERROR(__xludf.DUMMYFUNCTION("GOOGLETRANSLATE(C2432,""ja"",""vi"")"),"Đấu giá&gt; Accessories, Đồng hồ&gt; handmade&gt; Khác")</f>
        <v>Đấu giá&gt; Accessories, Đồng hồ&gt; handmade&gt; Khác</v>
      </c>
      <c r="F2432" t="str">
        <f t="shared" ca="1" si="37"/>
        <v>"2084240623" : "nếu không thì",</v>
      </c>
    </row>
    <row r="2433" spans="1:6" ht="15.75" customHeight="1">
      <c r="A2433" s="18">
        <v>2084263642</v>
      </c>
      <c r="B2433" s="18" t="s">
        <v>9614</v>
      </c>
      <c r="C2433" s="18" t="s">
        <v>18888</v>
      </c>
      <c r="D2433" s="5" t="str">
        <f ca="1">IFERROR(__xludf.DUMMYFUNCTION("GOOGLETRANSLATE(B2433,""ja"",""vi"")"),"KAVU")</f>
        <v>KAVU</v>
      </c>
      <c r="E2433" s="5" t="str">
        <f ca="1">IFERROR(__xludf.DUMMYFUNCTION("GOOGLETRANSLATE(C2433,""ja"",""vi"")"),"Đấu giá&gt; thể thao, giải trí&gt; mặc ngoài trời&gt; Nhãn hiệu&gt; KAVU")</f>
        <v>Đấu giá&gt; thể thao, giải trí&gt; mặc ngoài trời&gt; Nhãn hiệu&gt; KAVU</v>
      </c>
      <c r="F2433" t="str">
        <f t="shared" ca="1" si="37"/>
        <v>"2084263642" : "KAVU",</v>
      </c>
    </row>
    <row r="2434" spans="1:6" ht="15.75" customHeight="1">
      <c r="A2434" s="18">
        <v>2084226699</v>
      </c>
      <c r="B2434" s="18" t="s">
        <v>9436</v>
      </c>
      <c r="C2434" s="18" t="s">
        <v>18894</v>
      </c>
      <c r="D2434" s="5" t="str">
        <f ca="1">IFERROR(__xludf.DUMMYFUNCTION("GOOGLETRANSLATE(B2434,""ja"",""vi"")"),"L.L.Bean")</f>
        <v>L.L.Bean</v>
      </c>
      <c r="E2434" s="5" t="str">
        <f ca="1">IFERROR(__xludf.DUMMYFUNCTION("GOOGLETRANSLATE(C2434,""ja"",""vi"")"),"Đấu giá&gt; thể thao, giải trí&gt; mặc ngoài trời&gt; Nhãn hiệu&gt; L.L.Bean")</f>
        <v>Đấu giá&gt; thể thao, giải trí&gt; mặc ngoài trời&gt; Nhãn hiệu&gt; L.L.Bean</v>
      </c>
      <c r="F2434" t="str">
        <f t="shared" ref="F2434:F2497" ca="1" si="38">CONCATENATE(CHAR(34)&amp;"",A2434,""&amp;CHAR(34)," : ", CHAR(34)&amp;"",D2434,""&amp;CHAR(34),",")</f>
        <v>"2084226699" : "L.L.Bean",</v>
      </c>
    </row>
    <row r="2435" spans="1:6" ht="15.75" customHeight="1">
      <c r="A2435" s="18">
        <v>2084203606</v>
      </c>
      <c r="B2435" s="18" t="s">
        <v>8702</v>
      </c>
      <c r="C2435" s="18" t="s">
        <v>18900</v>
      </c>
      <c r="D2435" s="5" t="str">
        <f ca="1">IFERROR(__xludf.DUMMYFUNCTION("GOOGLETRANSLATE(B2435,""ja"",""vi"")"),"Arc'teryx")</f>
        <v>Arc'teryx</v>
      </c>
      <c r="E2435" s="5" t="str">
        <f ca="1">IFERROR(__xludf.DUMMYFUNCTION("GOOGLETRANSLATE(C2435,""ja"",""vi"")"),"Đấu giá&gt; thể thao, giải trí&gt; mặc ngoài trời&gt; bởi thương hiệu&gt; Arc'teryx")</f>
        <v>Đấu giá&gt; thể thao, giải trí&gt; mặc ngoài trời&gt; bởi thương hiệu&gt; Arc'teryx</v>
      </c>
      <c r="F2435" t="str">
        <f t="shared" ca="1" si="38"/>
        <v>"2084203606" : "Arc'teryx",</v>
      </c>
    </row>
    <row r="2436" spans="1:6" ht="15.75" customHeight="1">
      <c r="A2436" s="18">
        <v>2084050169</v>
      </c>
      <c r="B2436" s="18" t="s">
        <v>8678</v>
      </c>
      <c r="C2436" s="18" t="s">
        <v>18903</v>
      </c>
      <c r="D2436" s="5" t="str">
        <f ca="1">IFERROR(__xludf.DUMMYFUNCTION("GOOGLETRANSLATE(B2436,""ja"",""vi"")"),"Sản phẩm ngoài trời")</f>
        <v>Sản phẩm ngoài trời</v>
      </c>
      <c r="E2436" s="5" t="str">
        <f ca="1">IFERROR(__xludf.DUMMYFUNCTION("GOOGLETRANSLATE(C2436,""ja"",""vi"")"),"Đấu giá&gt; thể thao, giải trí&gt; mặc ngoài trời&gt; Nhãn hiệu&gt; Sản phẩm ngoài trời")</f>
        <v>Đấu giá&gt; thể thao, giải trí&gt; mặc ngoài trời&gt; Nhãn hiệu&gt; Sản phẩm ngoài trời</v>
      </c>
      <c r="F2436" t="str">
        <f t="shared" ca="1" si="38"/>
        <v>"2084050169" : "Sản phẩm ngoài trời",</v>
      </c>
    </row>
    <row r="2437" spans="1:6" ht="15.75" customHeight="1">
      <c r="A2437" s="18">
        <v>2084226775</v>
      </c>
      <c r="B2437" s="18" t="s">
        <v>9250</v>
      </c>
      <c r="C2437" s="18" t="s">
        <v>18910</v>
      </c>
      <c r="D2437" s="5" t="str">
        <f ca="1">IFERROR(__xludf.DUMMYFUNCTION("GOOGLETRANSLATE(B2437,""ja"",""vi"")"),"Aigle")</f>
        <v>Aigle</v>
      </c>
      <c r="E2437" s="5" t="str">
        <f ca="1">IFERROR(__xludf.DUMMYFUNCTION("GOOGLETRANSLATE(C2437,""ja"",""vi"")"),"Đấu giá&gt; thể thao, giải trí&gt; mặc ngoài trời&gt; Nhãn hiệu&gt; Aigle")</f>
        <v>Đấu giá&gt; thể thao, giải trí&gt; mặc ngoài trời&gt; Nhãn hiệu&gt; Aigle</v>
      </c>
      <c r="F2437" t="str">
        <f t="shared" ca="1" si="38"/>
        <v>"2084226775" : "Aigle",</v>
      </c>
    </row>
    <row r="2438" spans="1:6" ht="15.75" customHeight="1">
      <c r="A2438" s="18">
        <v>2084230662</v>
      </c>
      <c r="B2438" s="18" t="s">
        <v>9305</v>
      </c>
      <c r="C2438" s="18" t="s">
        <v>18916</v>
      </c>
      <c r="D2438" s="5" t="str">
        <f ca="1">IFERROR(__xludf.DUMMYFUNCTION("GOOGLETRANSLATE(B2438,""ja"",""vi"")"),"Eddie Bauer")</f>
        <v>Eddie Bauer</v>
      </c>
      <c r="E2438" s="5" t="str">
        <f ca="1">IFERROR(__xludf.DUMMYFUNCTION("GOOGLETRANSLATE(C2438,""ja"",""vi"")"),"Đấu giá&gt; thể thao, giải trí&gt; mặc ngoài trời&gt; Nhãn hiệu&gt; Eddie Bauer")</f>
        <v>Đấu giá&gt; thể thao, giải trí&gt; mặc ngoài trời&gt; Nhãn hiệu&gt; Eddie Bauer</v>
      </c>
      <c r="F2438" t="str">
        <f t="shared" ca="1" si="38"/>
        <v>"2084230662" : "Eddie Bauer",</v>
      </c>
    </row>
    <row r="2439" spans="1:6" ht="15.75" customHeight="1">
      <c r="A2439" s="18">
        <v>2084203609</v>
      </c>
      <c r="B2439" s="18" t="s">
        <v>9653</v>
      </c>
      <c r="C2439" s="18" t="s">
        <v>18922</v>
      </c>
      <c r="D2439" s="5" t="str">
        <f ca="1">IFERROR(__xludf.DUMMYFUNCTION("GOOGLETRANSLATE(B2439,""ja"",""vi"")"),"Karima")</f>
        <v>Karima</v>
      </c>
      <c r="E2439" s="5" t="str">
        <f ca="1">IFERROR(__xludf.DUMMYFUNCTION("GOOGLETRANSLATE(C2439,""ja"",""vi"")"),"Đấu giá&gt; thể thao, giải trí&gt; mặc ngoài trời&gt; Nhãn hiệu&gt; Carimar")</f>
        <v>Đấu giá&gt; thể thao, giải trí&gt; mặc ngoài trời&gt; Nhãn hiệu&gt; Carimar</v>
      </c>
      <c r="F2439" t="str">
        <f t="shared" ca="1" si="38"/>
        <v>"2084203609" : "Karima",</v>
      </c>
    </row>
    <row r="2440" spans="1:6" ht="15.75" customHeight="1">
      <c r="A2440" s="18">
        <v>2084229213</v>
      </c>
      <c r="B2440" s="18" t="s">
        <v>9845</v>
      </c>
      <c r="C2440" s="18" t="s">
        <v>18929</v>
      </c>
      <c r="D2440" s="5" t="str">
        <f ca="1">IFERROR(__xludf.DUMMYFUNCTION("GOOGLETRANSLATE(B2440,""ja"",""vi"")"),"đám mây Vail")</f>
        <v>đám mây Vail</v>
      </c>
      <c r="E2440" s="5" t="str">
        <f ca="1">IFERROR(__xludf.DUMMYFUNCTION("GOOGLETRANSLATE(C2440,""ja"",""vi"")"),"Đấu giá&gt; thể thao, giải trí&gt; mặc ngoài trời&gt; Nhãn hiệu&gt; đám mây Vail")</f>
        <v>Đấu giá&gt; thể thao, giải trí&gt; mặc ngoài trời&gt; Nhãn hiệu&gt; đám mây Vail</v>
      </c>
      <c r="F2440" t="str">
        <f t="shared" ca="1" si="38"/>
        <v>"2084229213" : "đám mây Vail",</v>
      </c>
    </row>
    <row r="2441" spans="1:6" ht="15.75" customHeight="1">
      <c r="A2441" s="18">
        <v>2084226703</v>
      </c>
      <c r="B2441" s="18" t="s">
        <v>9868</v>
      </c>
      <c r="C2441" s="18" t="s">
        <v>18933</v>
      </c>
      <c r="D2441" s="5" t="str">
        <f ca="1">IFERROR(__xludf.DUMMYFUNCTION("GOOGLETRANSLATE(B2441,""ja"",""vi"")"),"Guramichi")</f>
        <v>Guramichi</v>
      </c>
      <c r="E2441" s="5" t="str">
        <f ca="1">IFERROR(__xludf.DUMMYFUNCTION("GOOGLETRANSLATE(C2441,""ja"",""vi"")"),"Đấu giá&gt; thể thao, giải trí&gt; mặc ngoài trời&gt; Nhãn hiệu&gt; Guramichi")</f>
        <v>Đấu giá&gt; thể thao, giải trí&gt; mặc ngoài trời&gt; Nhãn hiệu&gt; Guramichi</v>
      </c>
      <c r="F2441" t="str">
        <f t="shared" ca="1" si="38"/>
        <v>"2084226703" : "Guramichi",</v>
      </c>
    </row>
    <row r="2442" spans="1:6" ht="15.75" customHeight="1">
      <c r="A2442" s="18">
        <v>2084057324</v>
      </c>
      <c r="B2442" s="18" t="s">
        <v>9437</v>
      </c>
      <c r="C2442" s="18" t="s">
        <v>18936</v>
      </c>
      <c r="D2442" s="5" t="str">
        <f ca="1">IFERROR(__xludf.DUMMYFUNCTION("GOOGLETRANSLATE(B2442,""ja"",""vi"")"),"Columbia")</f>
        <v>Columbia</v>
      </c>
      <c r="E2442" s="5" t="str">
        <f ca="1">IFERROR(__xludf.DUMMYFUNCTION("GOOGLETRANSLATE(C2442,""ja"",""vi"")"),"Đấu giá&gt; thể thao, giải trí&gt; mặc ngoài trời&gt; Nhãn hiệu&gt; Colombia")</f>
        <v>Đấu giá&gt; thể thao, giải trí&gt; mặc ngoài trời&gt; Nhãn hiệu&gt; Colombia</v>
      </c>
      <c r="F2442" t="str">
        <f t="shared" ca="1" si="38"/>
        <v>"2084057324" : "Columbia",</v>
      </c>
    </row>
    <row r="2443" spans="1:6" ht="15.75" customHeight="1">
      <c r="A2443" s="18">
        <v>2084057301</v>
      </c>
      <c r="B2443" s="18" t="s">
        <v>9443</v>
      </c>
      <c r="C2443" s="18" t="s">
        <v>18942</v>
      </c>
      <c r="D2443" s="5" t="str">
        <f ca="1">IFERROR(__xludf.DUMMYFUNCTION("GOOGLETRANSLATE(B2443,""ja"",""vi"")"),"The North Face")</f>
        <v>The North Face</v>
      </c>
      <c r="E2443" s="5" t="str">
        <f ca="1">IFERROR(__xludf.DUMMYFUNCTION("GOOGLETRANSLATE(C2443,""ja"",""vi"")"),"Đấu giá&gt; thể thao, giải trí&gt; mặc ngoài trời&gt; bởi thương hiệu&gt; The North Face")</f>
        <v>Đấu giá&gt; thể thao, giải trí&gt; mặc ngoài trời&gt; bởi thương hiệu&gt; The North Face</v>
      </c>
      <c r="F2443" t="str">
        <f t="shared" ca="1" si="38"/>
        <v>"2084057301" : "The North Face",</v>
      </c>
    </row>
    <row r="2444" spans="1:6" ht="15.75" customHeight="1">
      <c r="A2444" s="18">
        <v>2084050233</v>
      </c>
      <c r="B2444" s="18" t="s">
        <v>10195</v>
      </c>
      <c r="C2444" s="18" t="s">
        <v>18949</v>
      </c>
      <c r="D2444" s="5" t="str">
        <f ca="1">IFERROR(__xludf.DUMMYFUNCTION("GOOGLETRANSLATE(B2444,""ja"",""vi"")"),"Sierra Thiết kế")</f>
        <v>Sierra Thiết kế</v>
      </c>
      <c r="E2444" s="5" t="str">
        <f ca="1">IFERROR(__xludf.DUMMYFUNCTION("GOOGLETRANSLATE(C2444,""ja"",""vi"")"),"Đấu giá&gt; thể thao, giải trí&gt; mặc ngoài trời&gt; Nhãn hiệu&gt; Sierra Thiết kế")</f>
        <v>Đấu giá&gt; thể thao, giải trí&gt; mặc ngoài trời&gt; Nhãn hiệu&gt; Sierra Thiết kế</v>
      </c>
      <c r="F2444" t="str">
        <f t="shared" ca="1" si="38"/>
        <v>"2084050233" : "Sierra Thiết kế",</v>
      </c>
    </row>
    <row r="2445" spans="1:6" ht="15.75" customHeight="1">
      <c r="A2445" s="18">
        <v>2084226719</v>
      </c>
      <c r="B2445" s="18" t="s">
        <v>10336</v>
      </c>
      <c r="C2445" s="18" t="s">
        <v>18952</v>
      </c>
      <c r="D2445" s="5" t="str">
        <f ca="1">IFERROR(__xludf.DUMMYFUNCTION("GOOGLETRANSLATE(B2445,""ja"",""vi"")"),"Jack Wolfskin")</f>
        <v>Jack Wolfskin</v>
      </c>
      <c r="E2445" s="5" t="str">
        <f ca="1">IFERROR(__xludf.DUMMYFUNCTION("GOOGLETRANSLATE(C2445,""ja"",""vi"")"),"Đấu giá&gt; thể thao, giải trí&gt; mặc ngoài trời&gt; Nhãn hiệu&gt; Jack Wolfskin")</f>
        <v>Đấu giá&gt; thể thao, giải trí&gt; mặc ngoài trời&gt; Nhãn hiệu&gt; Jack Wolfskin</v>
      </c>
      <c r="F2445" t="str">
        <f t="shared" ca="1" si="38"/>
        <v>"2084226719" : "Jack Wolfskin",</v>
      </c>
    </row>
    <row r="2446" spans="1:6" ht="15.75" customHeight="1">
      <c r="A2446" s="18">
        <v>2084048712</v>
      </c>
      <c r="B2446" s="18" t="s">
        <v>10910</v>
      </c>
      <c r="C2446" s="18" t="s">
        <v>18958</v>
      </c>
      <c r="D2446" s="5" t="str">
        <f ca="1">IFERROR(__xludf.DUMMYFUNCTION("GOOGLETRANSLATE(B2446,""ja"",""vi"")"),"Timberland")</f>
        <v>Timberland</v>
      </c>
      <c r="E2446" s="5" t="str">
        <f ca="1">IFERROR(__xludf.DUMMYFUNCTION("GOOGLETRANSLATE(C2446,""ja"",""vi"")"),"Đấu giá&gt; thể thao, giải trí&gt; mặc ngoài trời&gt; Thương hiệu&gt; Timberland")</f>
        <v>Đấu giá&gt; thể thao, giải trí&gt; mặc ngoài trời&gt; Thương hiệu&gt; Timberland</v>
      </c>
      <c r="F2446" t="str">
        <f t="shared" ca="1" si="38"/>
        <v>"2084048712" : "Timberland",</v>
      </c>
    </row>
    <row r="2447" spans="1:6" ht="15.75" customHeight="1">
      <c r="A2447" s="18">
        <v>2084057278</v>
      </c>
      <c r="B2447" s="18" t="s">
        <v>11396</v>
      </c>
      <c r="C2447" s="18" t="s">
        <v>18961</v>
      </c>
      <c r="D2447" s="5" t="str">
        <f ca="1">IFERROR(__xludf.DUMMYFUNCTION("GOOGLETRANSLATE(B2447,""ja"",""vi"")"),"Patagonia")</f>
        <v>Patagonia</v>
      </c>
      <c r="E2447" s="5" t="str">
        <f ca="1">IFERROR(__xludf.DUMMYFUNCTION("GOOGLETRANSLATE(C2447,""ja"",""vi"")"),"Đấu giá&gt; thể thao, giải trí&gt; mặc ngoài trời&gt; Nhãn hiệu&gt; Patagonia")</f>
        <v>Đấu giá&gt; thể thao, giải trí&gt; mặc ngoài trời&gt; Nhãn hiệu&gt; Patagonia</v>
      </c>
      <c r="F2447" t="str">
        <f t="shared" ca="1" si="38"/>
        <v>"2084057278" : "Patagonia",</v>
      </c>
    </row>
    <row r="2448" spans="1:6" ht="15.75" customHeight="1">
      <c r="A2448" s="18">
        <v>2084229214</v>
      </c>
      <c r="B2448" s="18" t="s">
        <v>11817</v>
      </c>
      <c r="C2448" s="18" t="s">
        <v>18966</v>
      </c>
      <c r="D2448" s="5" t="str">
        <f ca="1">IFERROR(__xludf.DUMMYFUNCTION("GOOGLETRANSLATE(B2448,""ja"",""vi"")"),"Filson")</f>
        <v>Filson</v>
      </c>
      <c r="E2448" s="5" t="str">
        <f ca="1">IFERROR(__xludf.DUMMYFUNCTION("GOOGLETRANSLATE(C2448,""ja"",""vi"")"),"Đấu giá&gt; thể thao, giải trí&gt; mặc ngoài trời&gt; Nhãn hiệu&gt; Filson")</f>
        <v>Đấu giá&gt; thể thao, giải trí&gt; mặc ngoài trời&gt; Nhãn hiệu&gt; Filson</v>
      </c>
      <c r="F2448" t="str">
        <f t="shared" ca="1" si="38"/>
        <v>"2084229214" : "Filson",</v>
      </c>
    </row>
    <row r="2449" spans="1:6" ht="15.75" customHeight="1">
      <c r="A2449" s="18">
        <v>2084226713</v>
      </c>
      <c r="B2449" s="18" t="s">
        <v>11825</v>
      </c>
      <c r="C2449" s="18" t="s">
        <v>18967</v>
      </c>
      <c r="D2449" s="5" t="str">
        <f ca="1">IFERROR(__xludf.DUMMYFUNCTION("GOOGLETRANSLATE(B2449,""ja"",""vi"")"),"Phoenix")</f>
        <v>Phoenix</v>
      </c>
      <c r="E2449" s="5" t="str">
        <f ca="1">IFERROR(__xludf.DUMMYFUNCTION("GOOGLETRANSLATE(C2449,""ja"",""vi"")"),"Đấu giá&gt; thể thao, giải trí&gt; mặc ngoài trời&gt; Nhãn hiệu&gt; Phoenix")</f>
        <v>Đấu giá&gt; thể thao, giải trí&gt; mặc ngoài trời&gt; Nhãn hiệu&gt; Phoenix</v>
      </c>
      <c r="F2449" t="str">
        <f t="shared" ca="1" si="38"/>
        <v>"2084226713" : "Phoenix",</v>
      </c>
    </row>
    <row r="2450" spans="1:6" ht="15.75" customHeight="1">
      <c r="A2450" s="18">
        <v>2084203600</v>
      </c>
      <c r="B2450" s="18" t="s">
        <v>11852</v>
      </c>
      <c r="C2450" s="18" t="s">
        <v>18972</v>
      </c>
      <c r="D2450" s="5" t="str">
        <f ca="1">IFERROR(__xludf.DUMMYFUNCTION("GOOGLETRANSLATE(B2450,""ja"",""vi"")"),"FOXFIRE")</f>
        <v>FOXFIRE</v>
      </c>
      <c r="E2450" s="5" t="str">
        <f ca="1">IFERROR(__xludf.DUMMYFUNCTION("GOOGLETRANSLATE(C2450,""ja"",""vi"")"),"Đấu giá&gt; thể thao, giải trí&gt; mặc ngoài trời&gt; Nhãn hiệu&gt; FOXFIRE")</f>
        <v>Đấu giá&gt; thể thao, giải trí&gt; mặc ngoài trời&gt; Nhãn hiệu&gt; FOXFIRE</v>
      </c>
      <c r="F2450" t="str">
        <f t="shared" ca="1" si="38"/>
        <v>"2084203600" : "FOXFIRE",</v>
      </c>
    </row>
    <row r="2451" spans="1:6" ht="15.75" customHeight="1">
      <c r="A2451" s="18">
        <v>2084203603</v>
      </c>
      <c r="B2451" s="18" t="s">
        <v>12140</v>
      </c>
      <c r="C2451" s="18" t="s">
        <v>18976</v>
      </c>
      <c r="D2451" s="5" t="str">
        <f ca="1">IFERROR(__xludf.DUMMYFUNCTION("GOOGLETRANSLATE(B2451,""ja"",""vi"")"),"Helly Hansen")</f>
        <v>Helly Hansen</v>
      </c>
      <c r="E2451" s="5" t="str">
        <f ca="1">IFERROR(__xludf.DUMMYFUNCTION("GOOGLETRANSLATE(C2451,""ja"",""vi"")"),"Đấu giá&gt; thể thao, giải trí&gt; mặc ngoài trời&gt; Nhãn hiệu&gt; Helly Hansen")</f>
        <v>Đấu giá&gt; thể thao, giải trí&gt; mặc ngoài trời&gt; Nhãn hiệu&gt; Helly Hansen</v>
      </c>
      <c r="F2451" t="str">
        <f t="shared" ca="1" si="38"/>
        <v>"2084203603" : "Helly Hansen",</v>
      </c>
    </row>
    <row r="2452" spans="1:6" ht="15.75" customHeight="1">
      <c r="A2452" s="18">
        <v>2084203612</v>
      </c>
      <c r="B2452" s="18" t="s">
        <v>12190</v>
      </c>
      <c r="C2452" s="18" t="s">
        <v>18981</v>
      </c>
      <c r="D2452" s="5" t="str">
        <f ca="1">IFERROR(__xludf.DUMMYFUNCTION("GOOGLETRANSLATE(B2452,""ja"",""vi"")"),"Haglofs")</f>
        <v>Haglofs</v>
      </c>
      <c r="E2452" s="5" t="str">
        <f ca="1">IFERROR(__xludf.DUMMYFUNCTION("GOOGLETRANSLATE(C2452,""ja"",""vi"")"),"Đấu giá&gt; thể thao, giải trí&gt; mặc ngoài trời&gt; Nhãn hiệu&gt; haglofs")</f>
        <v>Đấu giá&gt; thể thao, giải trí&gt; mặc ngoài trời&gt; Nhãn hiệu&gt; haglofs</v>
      </c>
      <c r="F2452" t="str">
        <f t="shared" ca="1" si="38"/>
        <v>"2084203612" : "Haglofs",</v>
      </c>
    </row>
    <row r="2453" spans="1:6" ht="15.75" customHeight="1">
      <c r="A2453" s="18">
        <v>2084203597</v>
      </c>
      <c r="B2453" s="18" t="s">
        <v>12395</v>
      </c>
      <c r="C2453" s="18" t="s">
        <v>18986</v>
      </c>
      <c r="D2453" s="5" t="str">
        <f ca="1">IFERROR(__xludf.DUMMYFUNCTION("GOOGLETRANSLATE(B2453,""ja"",""vi"")"),"một loại sóc")</f>
        <v>một loại sóc</v>
      </c>
      <c r="E2453" s="5" t="str">
        <f ca="1">IFERROR(__xludf.DUMMYFUNCTION("GOOGLETRANSLATE(C2453,""ja"",""vi"")"),"Đấu giá&gt; thể thao, giải trí&gt; mặc ngoài trời&gt; Nhãn hiệu&gt; Marmot")</f>
        <v>Đấu giá&gt; thể thao, giải trí&gt; mặc ngoài trời&gt; Nhãn hiệu&gt; Marmot</v>
      </c>
      <c r="F2453" t="str">
        <f t="shared" ca="1" si="38"/>
        <v>"2084203597" : "một loại sóc",</v>
      </c>
    </row>
    <row r="2454" spans="1:6" ht="15.75" customHeight="1">
      <c r="A2454" s="18">
        <v>2084226724</v>
      </c>
      <c r="B2454" s="18" t="s">
        <v>12400</v>
      </c>
      <c r="C2454" s="18" t="s">
        <v>18990</v>
      </c>
      <c r="D2454" s="5" t="str">
        <f ca="1">IFERROR(__xludf.DUMMYFUNCTION("GOOGLETRANSLATE(B2454,""ja"",""vi"")"),"Mammut")</f>
        <v>Mammut</v>
      </c>
      <c r="E2454" s="5" t="str">
        <f ca="1">IFERROR(__xludf.DUMMYFUNCTION("GOOGLETRANSLATE(C2454,""ja"",""vi"")"),"Đấu giá&gt; thể thao, giải trí&gt; mặc ngoài trời&gt; Nhãn hiệu&gt; Mammut")</f>
        <v>Đấu giá&gt; thể thao, giải trí&gt; mặc ngoài trời&gt; Nhãn hiệu&gt; Mammut</v>
      </c>
      <c r="F2454" t="str">
        <f t="shared" ca="1" si="38"/>
        <v>"2084226724" : "Mammut",</v>
      </c>
    </row>
    <row r="2455" spans="1:6" ht="15.75" customHeight="1">
      <c r="A2455" s="18">
        <v>2084226709</v>
      </c>
      <c r="B2455" s="18" t="s">
        <v>12531</v>
      </c>
      <c r="C2455" s="18" t="s">
        <v>18996</v>
      </c>
      <c r="D2455" s="5" t="str">
        <f ca="1">IFERROR(__xludf.DUMMYFUNCTION("GOOGLETRANSLATE(B2455,""ja"",""vi"")"),"cây kê")</f>
        <v>cây kê</v>
      </c>
      <c r="E2455" s="5" t="str">
        <f ca="1">IFERROR(__xludf.DUMMYFUNCTION("GOOGLETRANSLATE(C2455,""ja"",""vi"")"),"Đấu giá&gt; thể thao, giải trí&gt; mặc ngoài trời&gt; Nhãn hiệu&gt; Millet")</f>
        <v>Đấu giá&gt; thể thao, giải trí&gt; mặc ngoài trời&gt; Nhãn hiệu&gt; Millet</v>
      </c>
      <c r="F2455" t="str">
        <f t="shared" ca="1" si="38"/>
        <v>"2084226709" : "cây kê",</v>
      </c>
    </row>
    <row r="2456" spans="1:6" ht="15.75" customHeight="1">
      <c r="A2456" s="18">
        <v>2084229208</v>
      </c>
      <c r="B2456" s="18" t="s">
        <v>12557</v>
      </c>
      <c r="C2456" s="18" t="s">
        <v>19001</v>
      </c>
      <c r="D2456" s="5" t="str">
        <f ca="1">IFERROR(__xludf.DUMMYFUNCTION("GOOGLETRANSLATE(B2456,""ja"",""vi"")"),"Moonstone")</f>
        <v>Moonstone</v>
      </c>
      <c r="E2456" s="5" t="str">
        <f ca="1">IFERROR(__xludf.DUMMYFUNCTION("GOOGLETRANSLATE(C2456,""ja"",""vi"")"),"Đấu giá&gt; thể thao, giải trí&gt; mặc ngoài trời&gt; Nhãn hiệu&gt; Moonstone")</f>
        <v>Đấu giá&gt; thể thao, giải trí&gt; mặc ngoài trời&gt; Nhãn hiệu&gt; Moonstone</v>
      </c>
      <c r="F2456" t="str">
        <f t="shared" ca="1" si="38"/>
        <v>"2084229208" : "Moonstone",</v>
      </c>
    </row>
    <row r="2457" spans="1:6" ht="15.75" customHeight="1">
      <c r="A2457" s="18">
        <v>2084203594</v>
      </c>
      <c r="B2457" s="18" t="s">
        <v>9455</v>
      </c>
      <c r="C2457" s="18" t="s">
        <v>19004</v>
      </c>
      <c r="D2457" s="5" t="str">
        <f ca="1">IFERROR(__xludf.DUMMYFUNCTION("GOOGLETRANSLATE(B2457,""ja"",""vi"")"),"MontBell")</f>
        <v>MontBell</v>
      </c>
      <c r="E2457" s="5" t="str">
        <f ca="1">IFERROR(__xludf.DUMMYFUNCTION("GOOGLETRANSLATE(C2457,""ja"",""vi"")"),"Đấu giá&gt; thể thao, giải trí&gt; mặc ngoài trời&gt; Thương hiệu&gt; Mont-Bell")</f>
        <v>Đấu giá&gt; thể thao, giải trí&gt; mặc ngoài trời&gt; Thương hiệu&gt; Mont-Bell</v>
      </c>
      <c r="F2457" t="str">
        <f t="shared" ca="1" si="38"/>
        <v>"2084203594" : "MontBell",</v>
      </c>
    </row>
    <row r="2458" spans="1:6" ht="15.75" customHeight="1">
      <c r="A2458" s="18">
        <v>2084050352</v>
      </c>
      <c r="B2458" s="18" t="s">
        <v>13187</v>
      </c>
      <c r="C2458" s="18" t="s">
        <v>19007</v>
      </c>
      <c r="D2458" s="5" t="str">
        <f ca="1">IFERROR(__xludf.DUMMYFUNCTION("GOOGLETRANSLATE(B2458,""ja"",""vi"")"),"wild Things")</f>
        <v>wild Things</v>
      </c>
      <c r="E2458" s="5" t="str">
        <f ca="1">IFERROR(__xludf.DUMMYFUNCTION("GOOGLETRANSLATE(C2458,""ja"",""vi"")"),"Đấu giá&gt; thể thao, giải trí&gt; mặc ngoài trời&gt; Nhãn hiệu&gt; Wild Things")</f>
        <v>Đấu giá&gt; thể thao, giải trí&gt; mặc ngoài trời&gt; Nhãn hiệu&gt; Wild Things</v>
      </c>
      <c r="F2458" t="str">
        <f t="shared" ca="1" si="38"/>
        <v>"2084050352" : "wild Things",</v>
      </c>
    </row>
    <row r="2459" spans="1:6" ht="15.75" customHeight="1">
      <c r="A2459" s="18">
        <v>2084263645</v>
      </c>
      <c r="B2459" s="18" t="s">
        <v>46</v>
      </c>
      <c r="C2459" s="18" t="s">
        <v>19011</v>
      </c>
      <c r="D2459" s="5" t="str">
        <f ca="1">IFERROR(__xludf.DUMMYFUNCTION("GOOGLETRANSLATE(B2459,""ja"",""vi"")"),"nếu không thì")</f>
        <v>nếu không thì</v>
      </c>
      <c r="E2459" s="5" t="str">
        <f ca="1">IFERROR(__xludf.DUMMYFUNCTION("GOOGLETRANSLATE(C2459,""ja"",""vi"")"),"Đấu giá&gt; thể thao, giải trí&gt; mặc ngoài trời&gt; By Nhãn hiệu&gt; Khác")</f>
        <v>Đấu giá&gt; thể thao, giải trí&gt; mặc ngoài trời&gt; By Nhãn hiệu&gt; Khác</v>
      </c>
      <c r="F2459" t="str">
        <f t="shared" ca="1" si="38"/>
        <v>"2084263645" : "nếu không thì",</v>
      </c>
    </row>
    <row r="2460" spans="1:6" ht="15.75" customHeight="1">
      <c r="A2460" s="18">
        <v>2084057225</v>
      </c>
      <c r="B2460" s="18" t="s">
        <v>11223</v>
      </c>
      <c r="C2460" s="18" t="s">
        <v>19015</v>
      </c>
      <c r="D2460" s="5" t="str">
        <f ca="1">IFERROR(__xludf.DUMMYFUNCTION("GOOGLETRANSLATE(B2460,""ja"",""vi"")"),"Áo khoác, áo khoác")</f>
        <v>Áo khoác, áo khoác</v>
      </c>
      <c r="E2460" s="5" t="str">
        <f ca="1">IFERROR(__xludf.DUMMYFUNCTION("GOOGLETRANSLATE(C2460,""ja"",""vi"")"),"Đấu giá&gt; thể thao, giải trí&gt; mặc ngoài trời&gt; cho người đàn ông&gt; áo khoác, áo khoác")</f>
        <v>Đấu giá&gt; thể thao, giải trí&gt; mặc ngoài trời&gt; cho người đàn ông&gt; áo khoác, áo khoác</v>
      </c>
      <c r="F2460" t="str">
        <f t="shared" ca="1" si="38"/>
        <v>"2084057225" : "Áo khoác, áo khoác",</v>
      </c>
    </row>
    <row r="2461" spans="1:6" ht="15.75" customHeight="1">
      <c r="A2461" s="18">
        <v>2084057236</v>
      </c>
      <c r="B2461" s="18" t="s">
        <v>10869</v>
      </c>
      <c r="C2461" s="18" t="s">
        <v>19022</v>
      </c>
      <c r="D2461" s="5" t="str">
        <f ca="1">IFERROR(__xludf.DUMMYFUNCTION("GOOGLETRANSLATE(B2461,""ja"",""vi"")"),"tốt")</f>
        <v>tốt</v>
      </c>
      <c r="E2461" s="5" t="str">
        <f ca="1">IFERROR(__xludf.DUMMYFUNCTION("GOOGLETRANSLATE(C2461,""ja"",""vi"")"),"Đấu giá&gt; thể thao, giải trí&gt; mặc ngoài trời&gt; dành cho nam giới&gt; xuất sắc nhất")</f>
        <v>Đấu giá&gt; thể thao, giải trí&gt; mặc ngoài trời&gt; dành cho nam giới&gt; xuất sắc nhất</v>
      </c>
      <c r="F2461" t="str">
        <f t="shared" ca="1" si="38"/>
        <v>"2084057236" : "tốt",</v>
      </c>
    </row>
    <row r="2462" spans="1:6" ht="15.75" customHeight="1">
      <c r="A2462" s="18">
        <v>2084057230</v>
      </c>
      <c r="B2462" s="18" t="s">
        <v>11235</v>
      </c>
      <c r="C2462" s="18" t="s">
        <v>19029</v>
      </c>
      <c r="D2462" s="5" t="str">
        <f ca="1">IFERROR(__xludf.DUMMYFUNCTION("GOOGLETRANSLATE(B2462,""ja"",""vi"")"),"tops")</f>
        <v>tops</v>
      </c>
      <c r="E2462" s="5" t="str">
        <f ca="1">IFERROR(__xludf.DUMMYFUNCTION("GOOGLETRANSLATE(C2462,""ja"",""vi"")"),"Đấu giá&gt; thể thao, giải trí&gt; mặc ngoài trời&gt; dành cho nam giới&gt; Tops")</f>
        <v>Đấu giá&gt; thể thao, giải trí&gt; mặc ngoài trời&gt; dành cho nam giới&gt; Tops</v>
      </c>
      <c r="F2462" t="str">
        <f t="shared" ca="1" si="38"/>
        <v>"2084057230" : "tops",</v>
      </c>
    </row>
    <row r="2463" spans="1:6" ht="15.75" customHeight="1">
      <c r="A2463" s="18">
        <v>2084057240</v>
      </c>
      <c r="B2463" s="18" t="s">
        <v>11242</v>
      </c>
      <c r="C2463" s="18" t="s">
        <v>19036</v>
      </c>
      <c r="D2463" s="5" t="str">
        <f ca="1">IFERROR(__xludf.DUMMYFUNCTION("GOOGLETRANSLATE(B2463,""ja"",""vi"")"),"đáy")</f>
        <v>đáy</v>
      </c>
      <c r="E2463" s="5" t="str">
        <f ca="1">IFERROR(__xludf.DUMMYFUNCTION("GOOGLETRANSLATE(C2463,""ja"",""vi"")"),"Đấu giá&gt; thể thao, giải trí&gt; mặc ngoài trời&gt; dành cho nam giới&gt; Bottoms")</f>
        <v>Đấu giá&gt; thể thao, giải trí&gt; mặc ngoài trời&gt; dành cho nam giới&gt; Bottoms</v>
      </c>
      <c r="F2463" t="str">
        <f t="shared" ca="1" si="38"/>
        <v>"2084057240" : "đáy",</v>
      </c>
    </row>
    <row r="2464" spans="1:6" ht="15.75" customHeight="1">
      <c r="A2464" s="18">
        <v>2084057250</v>
      </c>
      <c r="B2464" s="18" t="s">
        <v>46</v>
      </c>
      <c r="C2464" s="18" t="s">
        <v>19039</v>
      </c>
      <c r="D2464" s="5" t="str">
        <f ca="1">IFERROR(__xludf.DUMMYFUNCTION("GOOGLETRANSLATE(B2464,""ja"",""vi"")"),"nếu không thì")</f>
        <v>nếu không thì</v>
      </c>
      <c r="E2464" s="5" t="str">
        <f ca="1">IFERROR(__xludf.DUMMYFUNCTION("GOOGLETRANSLATE(C2464,""ja"",""vi"")"),"Đấu giá&gt; thể thao, giải trí&gt; mặc ngoài trời&gt; dành cho nam giới&gt; Khác")</f>
        <v>Đấu giá&gt; thể thao, giải trí&gt; mặc ngoài trời&gt; dành cho nam giới&gt; Khác</v>
      </c>
      <c r="F2464" t="str">
        <f t="shared" ca="1" si="38"/>
        <v>"2084057250" : "nếu không thì",</v>
      </c>
    </row>
    <row r="2465" spans="1:6" ht="15.75" customHeight="1">
      <c r="A2465" s="18">
        <v>2084230673</v>
      </c>
      <c r="B2465" s="18" t="s">
        <v>11223</v>
      </c>
      <c r="C2465" s="18" t="s">
        <v>19048</v>
      </c>
      <c r="D2465" s="5" t="str">
        <f ca="1">IFERROR(__xludf.DUMMYFUNCTION("GOOGLETRANSLATE(B2465,""ja"",""vi"")"),"Áo khoác, áo khoác")</f>
        <v>Áo khoác, áo khoác</v>
      </c>
      <c r="E2465" s="5" t="str">
        <f ca="1">IFERROR(__xludf.DUMMYFUNCTION("GOOGLETRANSLATE(C2465,""ja"",""vi"")"),"Đấu giá&gt; thể thao, giải trí&gt; mặc ngoài trời&gt; cho phụ nữ&gt; áo khoác, áo khoác")</f>
        <v>Đấu giá&gt; thể thao, giải trí&gt; mặc ngoài trời&gt; cho phụ nữ&gt; áo khoác, áo khoác</v>
      </c>
      <c r="F2465" t="str">
        <f t="shared" ca="1" si="38"/>
        <v>"2084230673" : "Áo khoác, áo khoác",</v>
      </c>
    </row>
    <row r="2466" spans="1:6" ht="15.75" customHeight="1">
      <c r="A2466" s="18">
        <v>2084230674</v>
      </c>
      <c r="B2466" s="18" t="s">
        <v>11235</v>
      </c>
      <c r="C2466" s="18" t="s">
        <v>19052</v>
      </c>
      <c r="D2466" s="5" t="str">
        <f ca="1">IFERROR(__xludf.DUMMYFUNCTION("GOOGLETRANSLATE(B2466,""ja"",""vi"")"),"tops")</f>
        <v>tops</v>
      </c>
      <c r="E2466" s="5" t="str">
        <f ca="1">IFERROR(__xludf.DUMMYFUNCTION("GOOGLETRANSLATE(C2466,""ja"",""vi"")"),"Đấu giá&gt; thể thao, giải trí&gt; mặc ngoài trời&gt; cho phụ nữ&gt; ngọn")</f>
        <v>Đấu giá&gt; thể thao, giải trí&gt; mặc ngoài trời&gt; cho phụ nữ&gt; ngọn</v>
      </c>
      <c r="F2466" t="str">
        <f t="shared" ca="1" si="38"/>
        <v>"2084230674" : "tops",</v>
      </c>
    </row>
    <row r="2467" spans="1:6" ht="15.75" customHeight="1">
      <c r="A2467" s="18">
        <v>2084230675</v>
      </c>
      <c r="B2467" s="18" t="s">
        <v>10869</v>
      </c>
      <c r="C2467" s="18" t="s">
        <v>19057</v>
      </c>
      <c r="D2467" s="5" t="str">
        <f ca="1">IFERROR(__xludf.DUMMYFUNCTION("GOOGLETRANSLATE(B2467,""ja"",""vi"")"),"tốt")</f>
        <v>tốt</v>
      </c>
      <c r="E2467" s="5" t="str">
        <f ca="1">IFERROR(__xludf.DUMMYFUNCTION("GOOGLETRANSLATE(C2467,""ja"",""vi"")"),"Đấu giá&gt; thể thao, giải trí&gt; mặc ngoài trời&gt; cho phụ nữ&gt; xuất sắc nhất")</f>
        <v>Đấu giá&gt; thể thao, giải trí&gt; mặc ngoài trời&gt; cho phụ nữ&gt; xuất sắc nhất</v>
      </c>
      <c r="F2467" t="str">
        <f t="shared" ca="1" si="38"/>
        <v>"2084230675" : "tốt",</v>
      </c>
    </row>
    <row r="2468" spans="1:6" ht="15.75" customHeight="1">
      <c r="A2468" s="18">
        <v>2084230676</v>
      </c>
      <c r="B2468" s="18" t="s">
        <v>11242</v>
      </c>
      <c r="C2468" s="18" t="s">
        <v>19059</v>
      </c>
      <c r="D2468" s="5" t="str">
        <f ca="1">IFERROR(__xludf.DUMMYFUNCTION("GOOGLETRANSLATE(B2468,""ja"",""vi"")"),"đáy")</f>
        <v>đáy</v>
      </c>
      <c r="E2468" s="5" t="str">
        <f ca="1">IFERROR(__xludf.DUMMYFUNCTION("GOOGLETRANSLATE(C2468,""ja"",""vi"")"),"Đấu giá&gt; thể thao, giải trí&gt; mặc ngoài trời&gt; cho phụ nữ&gt; đáy")</f>
        <v>Đấu giá&gt; thể thao, giải trí&gt; mặc ngoài trời&gt; cho phụ nữ&gt; đáy</v>
      </c>
      <c r="F2468" t="str">
        <f t="shared" ca="1" si="38"/>
        <v>"2084230676" : "đáy",</v>
      </c>
    </row>
    <row r="2469" spans="1:6" ht="15.75" customHeight="1">
      <c r="A2469" s="18">
        <v>2084230677</v>
      </c>
      <c r="B2469" s="18" t="s">
        <v>46</v>
      </c>
      <c r="C2469" s="18" t="s">
        <v>19063</v>
      </c>
      <c r="D2469" s="5" t="str">
        <f ca="1">IFERROR(__xludf.DUMMYFUNCTION("GOOGLETRANSLATE(B2469,""ja"",""vi"")"),"nếu không thì")</f>
        <v>nếu không thì</v>
      </c>
      <c r="E2469" s="5" t="str">
        <f ca="1">IFERROR(__xludf.DUMMYFUNCTION("GOOGLETRANSLATE(C2469,""ja"",""vi"")"),"Đấu giá&gt; thể thao, giải trí&gt; mặc ngoài trời&gt; cho phụ nữ&gt; Khác")</f>
        <v>Đấu giá&gt; thể thao, giải trí&gt; mặc ngoài trời&gt; cho phụ nữ&gt; Khác</v>
      </c>
      <c r="F2469" t="str">
        <f t="shared" ca="1" si="38"/>
        <v>"2084230677" : "nếu không thì",</v>
      </c>
    </row>
    <row r="2470" spans="1:6" ht="15.75" customHeight="1">
      <c r="A2470" s="18">
        <v>2084246695</v>
      </c>
      <c r="B2470" s="18" t="s">
        <v>11723</v>
      </c>
      <c r="C2470" s="18" t="s">
        <v>11724</v>
      </c>
      <c r="D2470" s="5" t="str">
        <f ca="1">IFERROR(__xludf.DUMMYFUNCTION("GOOGLETRANSLATE(B2470,""ja"",""vi"")"),"OGK")</f>
        <v>OGK</v>
      </c>
      <c r="E2470" s="5" t="str">
        <f ca="1">IFERROR(__xludf.DUMMYFUNCTION("GOOGLETRANSLATE(C2470,""ja"",""vi"")"),"Đấu giá&gt; thể thao, giải trí&gt; thể thao kính mát&gt; OGK")</f>
        <v>Đấu giá&gt; thể thao, giải trí&gt; thể thao kính mát&gt; OGK</v>
      </c>
      <c r="F2470" t="str">
        <f t="shared" ca="1" si="38"/>
        <v>"2084246695" : "OGK",</v>
      </c>
    </row>
    <row r="2471" spans="1:6" ht="15.75" customHeight="1">
      <c r="A2471" s="18">
        <v>2084246694</v>
      </c>
      <c r="B2471" s="18" t="s">
        <v>11729</v>
      </c>
      <c r="C2471" s="18" t="s">
        <v>11730</v>
      </c>
      <c r="D2471" s="5" t="str">
        <f ca="1">IFERROR(__xludf.DUMMYFUNCTION("GOOGLETRANSLATE(B2471,""ja"",""vi"")"),"zerorh +")</f>
        <v>zerorh +</v>
      </c>
      <c r="E2471" s="5" t="str">
        <f ca="1">IFERROR(__xludf.DUMMYFUNCTION("GOOGLETRANSLATE(C2471,""ja"",""vi"")"),"Đấu giá&gt; thể thao, giải trí&gt; thể thao kính mát&gt; zerorh +")</f>
        <v>Đấu giá&gt; thể thao, giải trí&gt; thể thao kính mát&gt; zerorh +</v>
      </c>
      <c r="F2471" t="str">
        <f t="shared" ca="1" si="38"/>
        <v>"2084246694" : "zerorh +",</v>
      </c>
    </row>
    <row r="2472" spans="1:6" ht="15.75" customHeight="1">
      <c r="A2472" s="18">
        <v>2084214052</v>
      </c>
      <c r="B2472" s="18" t="s">
        <v>11734</v>
      </c>
      <c r="C2472" s="18" t="s">
        <v>11736</v>
      </c>
      <c r="D2472" s="5" t="str">
        <f ca="1">IFERROR(__xludf.DUMMYFUNCTION("GOOGLETRANSLATE(B2472,""ja"",""vi"")"),"Arnett")</f>
        <v>Arnett</v>
      </c>
      <c r="E2472" s="5" t="str">
        <f ca="1">IFERROR(__xludf.DUMMYFUNCTION("GOOGLETRANSLATE(C2472,""ja"",""vi"")"),"Đấu giá&gt; thể thao, giải trí&gt; kính mát thể thao&gt; Arnett")</f>
        <v>Đấu giá&gt; thể thao, giải trí&gt; kính mát thể thao&gt; Arnett</v>
      </c>
      <c r="F2472" t="str">
        <f t="shared" ca="1" si="38"/>
        <v>"2084214052" : "Arnett",</v>
      </c>
    </row>
    <row r="2473" spans="1:6" ht="15.75" customHeight="1">
      <c r="A2473" s="18">
        <v>2084214050</v>
      </c>
      <c r="B2473" s="18" t="s">
        <v>11740</v>
      </c>
      <c r="C2473" s="18" t="s">
        <v>11742</v>
      </c>
      <c r="D2473" s="5" t="str">
        <f ca="1">IFERROR(__xludf.DUMMYFUNCTION("GOOGLETRANSLATE(B2473,""ja"",""vi"")"),"rìu")</f>
        <v>rìu</v>
      </c>
      <c r="E2473" s="5" t="str">
        <f ca="1">IFERROR(__xludf.DUMMYFUNCTION("GOOGLETRANSLATE(C2473,""ja"",""vi"")"),"Đấu giá&gt; thể thao, giải trí&gt; kính mát thể thao&gt; Axe")</f>
        <v>Đấu giá&gt; thể thao, giải trí&gt; kính mát thể thao&gt; Axe</v>
      </c>
      <c r="F2473" t="str">
        <f t="shared" ca="1" si="38"/>
        <v>"2084214050" : "rìu",</v>
      </c>
    </row>
    <row r="2474" spans="1:6" ht="15.75" customHeight="1">
      <c r="A2474" s="18">
        <v>2084214047</v>
      </c>
      <c r="B2474" s="18" t="s">
        <v>8755</v>
      </c>
      <c r="C2474" s="18" t="s">
        <v>11747</v>
      </c>
      <c r="D2474" s="5" t="str">
        <f ca="1">IFERROR(__xludf.DUMMYFUNCTION("GOOGLETRANSLATE(B2474,""ja"",""vi"")"),"Adidas")</f>
        <v>Adidas</v>
      </c>
      <c r="E2474" s="5" t="str">
        <f ca="1">IFERROR(__xludf.DUMMYFUNCTION("GOOGLETRANSLATE(C2474,""ja"",""vi"")"),"Đấu giá&gt; thể thao, giải trí&gt; kính mát thể thao&gt; Adidas")</f>
        <v>Đấu giá&gt; thể thao, giải trí&gt; kính mát thể thao&gt; Adidas</v>
      </c>
      <c r="F2474" t="str">
        <f t="shared" ca="1" si="38"/>
        <v>"2084214047" : "Adidas",</v>
      </c>
    </row>
    <row r="2475" spans="1:6" ht="15.75" customHeight="1">
      <c r="A2475" s="18">
        <v>2084214334</v>
      </c>
      <c r="B2475" s="18" t="s">
        <v>9511</v>
      </c>
      <c r="C2475" s="18" t="s">
        <v>11751</v>
      </c>
      <c r="D2475" s="5" t="str">
        <f ca="1">IFERROR(__xludf.DUMMYFUNCTION("GOOGLETRANSLATE(B2475,""ja"",""vi"")"),"Oakley")</f>
        <v>Oakley</v>
      </c>
      <c r="E2475" s="5" t="str">
        <f ca="1">IFERROR(__xludf.DUMMYFUNCTION("GOOGLETRANSLATE(C2475,""ja"",""vi"")"),"Đấu giá&gt; thể thao, giải trí&gt; kính mát thể thao&gt; Oakley")</f>
        <v>Đấu giá&gt; thể thao, giải trí&gt; kính mát thể thao&gt; Oakley</v>
      </c>
      <c r="F2475" t="str">
        <f t="shared" ca="1" si="38"/>
        <v>"2084214334" : "Oakley",</v>
      </c>
    </row>
    <row r="2476" spans="1:6" ht="15.75" customHeight="1">
      <c r="A2476" s="18">
        <v>2084214053</v>
      </c>
      <c r="B2476" s="18" t="s">
        <v>11756</v>
      </c>
      <c r="C2476" s="18" t="s">
        <v>11758</v>
      </c>
      <c r="D2476" s="5" t="str">
        <f ca="1">IFERROR(__xludf.DUMMYFUNCTION("GOOGLETRANSLATE(B2476,""ja"",""vi"")"),"Coleman")</f>
        <v>Coleman</v>
      </c>
      <c r="E2476" s="5" t="str">
        <f ca="1">IFERROR(__xludf.DUMMYFUNCTION("GOOGLETRANSLATE(C2476,""ja"",""vi"")"),"Đấu giá&gt; thể thao, giải trí&gt; kính mát thể thao&gt; Coleman")</f>
        <v>Đấu giá&gt; thể thao, giải trí&gt; kính mát thể thao&gt; Coleman</v>
      </c>
      <c r="F2476" t="str">
        <f t="shared" ca="1" si="38"/>
        <v>"2084214053" : "Coleman",</v>
      </c>
    </row>
    <row r="2477" spans="1:6" ht="15.75" customHeight="1">
      <c r="A2477" s="18">
        <v>2084214051</v>
      </c>
      <c r="B2477" s="18" t="s">
        <v>11761</v>
      </c>
      <c r="C2477" s="18" t="s">
        <v>11763</v>
      </c>
      <c r="D2477" s="5" t="str">
        <f ca="1">IFERROR(__xludf.DUMMYFUNCTION("GOOGLETRANSLATE(B2477,""ja"",""vi"")"),"Spy")</f>
        <v>Spy</v>
      </c>
      <c r="E2477" s="5" t="str">
        <f ca="1">IFERROR(__xludf.DUMMYFUNCTION("GOOGLETRANSLATE(C2477,""ja"",""vi"")"),"Đấu giá&gt; thể thao, giải trí&gt; kính mát thể thao&gt; gián điệp")</f>
        <v>Đấu giá&gt; thể thao, giải trí&gt; kính mát thể thao&gt; gián điệp</v>
      </c>
      <c r="F2477" t="str">
        <f t="shared" ca="1" si="38"/>
        <v>"2084214051" : "Spy",</v>
      </c>
    </row>
    <row r="2478" spans="1:6" ht="15.75" customHeight="1">
      <c r="A2478" s="18">
        <v>2084246696</v>
      </c>
      <c r="B2478" s="18" t="s">
        <v>11767</v>
      </c>
      <c r="C2478" s="18" t="s">
        <v>11768</v>
      </c>
      <c r="D2478" s="5" t="str">
        <f ca="1">IFERROR(__xludf.DUMMYFUNCTION("GOOGLETRANSLATE(B2478,""ja"",""vi"")"),"Spalding")</f>
        <v>Spalding</v>
      </c>
      <c r="E2478" s="5" t="str">
        <f ca="1">IFERROR(__xludf.DUMMYFUNCTION("GOOGLETRANSLATE(C2478,""ja"",""vi"")"),"Đấu giá&gt; thể thao, giải trí&gt; thể thao kính mát&gt; Spalding")</f>
        <v>Đấu giá&gt; thể thao, giải trí&gt; thể thao kính mát&gt; Spalding</v>
      </c>
      <c r="F2478" t="str">
        <f t="shared" ca="1" si="38"/>
        <v>"2084246696" : "Spalding",</v>
      </c>
    </row>
    <row r="2479" spans="1:6" ht="15.75" customHeight="1">
      <c r="A2479" s="18">
        <v>2084214054</v>
      </c>
      <c r="B2479" s="18" t="s">
        <v>11772</v>
      </c>
      <c r="C2479" s="18" t="s">
        <v>11774</v>
      </c>
      <c r="D2479" s="5" t="str">
        <f ca="1">IFERROR(__xludf.DUMMYFUNCTION("GOOGLETRANSLATE(B2479,""ja"",""vi"")"),"thiên nga")</f>
        <v>thiên nga</v>
      </c>
      <c r="E2479" s="5" t="str">
        <f ca="1">IFERROR(__xludf.DUMMYFUNCTION("GOOGLETRANSLATE(C2479,""ja"",""vi"")"),"Đấu giá&gt; thể thao, giải trí&gt; kính mát thể thao&gt; Thiên nga")</f>
        <v>Đấu giá&gt; thể thao, giải trí&gt; kính mát thể thao&gt; Thiên nga</v>
      </c>
      <c r="F2479" t="str">
        <f t="shared" ca="1" si="38"/>
        <v>"2084214054" : "thiên nga",</v>
      </c>
    </row>
    <row r="2480" spans="1:6" ht="15.75" customHeight="1">
      <c r="A2480" s="18">
        <v>2084214046</v>
      </c>
      <c r="B2480" s="18" t="s">
        <v>11145</v>
      </c>
      <c r="C2480" s="18" t="s">
        <v>11779</v>
      </c>
      <c r="D2480" s="5" t="str">
        <f ca="1">IFERROR(__xludf.DUMMYFUNCTION("GOOGLETRANSLATE(B2480,""ja"",""vi"")"),"Nike")</f>
        <v>Nike</v>
      </c>
      <c r="E2480" s="5" t="str">
        <f ca="1">IFERROR(__xludf.DUMMYFUNCTION("GOOGLETRANSLATE(C2480,""ja"",""vi"")"),"Đấu giá&gt; thể thao, giải trí&gt; kính mát thể thao&gt; Nike")</f>
        <v>Đấu giá&gt; thể thao, giải trí&gt; kính mát thể thao&gt; Nike</v>
      </c>
      <c r="F2480" t="str">
        <f t="shared" ca="1" si="38"/>
        <v>"2084214046" : "Nike",</v>
      </c>
    </row>
    <row r="2481" spans="1:6" ht="15.75" customHeight="1">
      <c r="A2481" s="18">
        <v>2084214055</v>
      </c>
      <c r="B2481" s="18" t="s">
        <v>11783</v>
      </c>
      <c r="C2481" s="18" t="s">
        <v>11785</v>
      </c>
      <c r="D2481" s="5" t="str">
        <f ca="1">IFERROR(__xludf.DUMMYFUNCTION("GOOGLETRANSLATE(B2481,""ja"",""vi"")"),"đen bay")</f>
        <v>đen bay</v>
      </c>
      <c r="E2481" s="5" t="str">
        <f ca="1">IFERROR(__xludf.DUMMYFUNCTION("GOOGLETRANSLATE(C2481,""ja"",""vi"")"),"Đấu giá&gt; thể thao, giải trí&gt; kính mát thể thao&gt; Đen Fly")</f>
        <v>Đấu giá&gt; thể thao, giải trí&gt; kính mát thể thao&gt; Đen Fly</v>
      </c>
      <c r="F2481" t="str">
        <f t="shared" ca="1" si="38"/>
        <v>"2084214055" : "đen bay",</v>
      </c>
    </row>
    <row r="2482" spans="1:6" ht="15.75" customHeight="1">
      <c r="A2482" s="18">
        <v>2084214049</v>
      </c>
      <c r="B2482" s="18" t="s">
        <v>11788</v>
      </c>
      <c r="C2482" s="18" t="s">
        <v>11791</v>
      </c>
      <c r="D2482" s="5" t="str">
        <f ca="1">IFERROR(__xludf.DUMMYFUNCTION("GOOGLETRANSLATE(B2482,""ja"",""vi"")"),"Brico")</f>
        <v>Brico</v>
      </c>
      <c r="E2482" s="5" t="str">
        <f ca="1">IFERROR(__xludf.DUMMYFUNCTION("GOOGLETRANSLATE(C2482,""ja"",""vi"")"),"Đấu giá&gt; thể thao, giải trí&gt; kính mát thể thao&gt; Brico")</f>
        <v>Đấu giá&gt; thể thao, giải trí&gt; kính mát thể thao&gt; Brico</v>
      </c>
      <c r="F2482" t="str">
        <f t="shared" ca="1" si="38"/>
        <v>"2084214049" : "Brico",</v>
      </c>
    </row>
    <row r="2483" spans="1:6" ht="15.75" customHeight="1">
      <c r="A2483" s="18">
        <v>2084214057</v>
      </c>
      <c r="B2483" s="18" t="s">
        <v>11793</v>
      </c>
      <c r="C2483" s="18" t="s">
        <v>11795</v>
      </c>
      <c r="D2483" s="5" t="str">
        <f ca="1">IFERROR(__xludf.DUMMYFUNCTION("GOOGLETRANSLATE(B2483,""ja"",""vi"")"),"dự án Rudy")</f>
        <v>dự án Rudy</v>
      </c>
      <c r="E2483" s="5" t="str">
        <f ca="1">IFERROR(__xludf.DUMMYFUNCTION("GOOGLETRANSLATE(C2483,""ja"",""vi"")"),"Đấu giá&gt; thể thao, giải trí&gt; kính mát thể thao&gt; Dự án Rudy")</f>
        <v>Đấu giá&gt; thể thao, giải trí&gt; kính mát thể thao&gt; Dự án Rudy</v>
      </c>
      <c r="F2483" t="str">
        <f t="shared" ca="1" si="38"/>
        <v>"2084214057" : "dự án Rudy",</v>
      </c>
    </row>
    <row r="2484" spans="1:6" ht="15.75" customHeight="1">
      <c r="A2484" s="18">
        <v>2084214048</v>
      </c>
      <c r="B2484" s="18" t="s">
        <v>11799</v>
      </c>
      <c r="C2484" s="18" t="s">
        <v>11801</v>
      </c>
      <c r="D2484" s="5" t="str">
        <f ca="1">IFERROR(__xludf.DUMMYFUNCTION("GOOGLETRANSLATE(B2484,""ja"",""vi"")"),"Ray-Ban")</f>
        <v>Ray-Ban</v>
      </c>
      <c r="E2484" s="5" t="str">
        <f ca="1">IFERROR(__xludf.DUMMYFUNCTION("GOOGLETRANSLATE(C2484,""ja"",""vi"")"),"Đấu giá&gt; thể thao, giải trí&gt; thể thao kính mát&gt; Ray-Ban")</f>
        <v>Đấu giá&gt; thể thao, giải trí&gt; thể thao kính mát&gt; Ray-Ban</v>
      </c>
      <c r="F2484" t="str">
        <f t="shared" ca="1" si="38"/>
        <v>"2084214048" : "Ray-Ban",</v>
      </c>
    </row>
    <row r="2485" spans="1:6" ht="15.75" customHeight="1">
      <c r="A2485" s="18">
        <v>2084214056</v>
      </c>
      <c r="B2485" s="18" t="s">
        <v>46</v>
      </c>
      <c r="C2485" s="18" t="s">
        <v>11806</v>
      </c>
      <c r="D2485" s="5" t="str">
        <f ca="1">IFERROR(__xludf.DUMMYFUNCTION("GOOGLETRANSLATE(B2485,""ja"",""vi"")"),"nếu không thì")</f>
        <v>nếu không thì</v>
      </c>
      <c r="E2485" s="5" t="str">
        <f ca="1">IFERROR(__xludf.DUMMYFUNCTION("GOOGLETRANSLATE(C2485,""ja"",""vi"")"),"Đấu giá&gt; thể thao, giải trí&gt; kính mát thể thao&gt; Khác")</f>
        <v>Đấu giá&gt; thể thao, giải trí&gt; kính mát thể thao&gt; Khác</v>
      </c>
      <c r="F2485" t="str">
        <f t="shared" ca="1" si="38"/>
        <v>"2084214056" : "nếu không thì",</v>
      </c>
    </row>
    <row r="2486" spans="1:6" ht="15.75" customHeight="1">
      <c r="A2486" s="18">
        <v>2084208700</v>
      </c>
      <c r="B2486" s="18" t="s">
        <v>9433</v>
      </c>
      <c r="C2486" s="18" t="s">
        <v>9435</v>
      </c>
      <c r="D2486" s="5" t="str">
        <f ca="1">IFERROR(__xludf.DUMMYFUNCTION("GOOGLETRANSLATE(B2486,""ja"",""vi"")"),"On'yone")</f>
        <v>On'yone</v>
      </c>
      <c r="E2486" s="5" t="str">
        <f ca="1">IFERROR(__xludf.DUMMYFUNCTION("GOOGLETRANSLATE(C2486,""ja"",""vi"")"),"Đấu giá&gt; thể thao, giải trí&gt; trại, hàng ngoài trời&gt; áo mưa, áo mưa&gt; On'yone")</f>
        <v>Đấu giá&gt; thể thao, giải trí&gt; trại, hàng ngoài trời&gt; áo mưa, áo mưa&gt; On'yone</v>
      </c>
      <c r="F2486" t="str">
        <f t="shared" ca="1" si="38"/>
        <v>"2084208700" : "On'yone",</v>
      </c>
    </row>
    <row r="2487" spans="1:6" ht="15.75" customHeight="1">
      <c r="A2487" s="18">
        <v>2084208697</v>
      </c>
      <c r="B2487" s="18" t="s">
        <v>9437</v>
      </c>
      <c r="C2487" s="18" t="s">
        <v>9440</v>
      </c>
      <c r="D2487" s="5" t="str">
        <f ca="1">IFERROR(__xludf.DUMMYFUNCTION("GOOGLETRANSLATE(B2487,""ja"",""vi"")"),"Columbia")</f>
        <v>Columbia</v>
      </c>
      <c r="E2487" s="5" t="str">
        <f ca="1">IFERROR(__xludf.DUMMYFUNCTION("GOOGLETRANSLATE(C2487,""ja"",""vi"")"),"Đấu giá&gt; thể thao, giải trí&gt; trại, hàng ngoài trời&gt; áo mưa, áo mưa&gt; Colombia")</f>
        <v>Đấu giá&gt; thể thao, giải trí&gt; trại, hàng ngoài trời&gt; áo mưa, áo mưa&gt; Colombia</v>
      </c>
      <c r="F2487" t="str">
        <f t="shared" ca="1" si="38"/>
        <v>"2084208697" : "Columbia",</v>
      </c>
    </row>
    <row r="2488" spans="1:6" ht="15.75" customHeight="1">
      <c r="A2488" s="18">
        <v>2084208696</v>
      </c>
      <c r="B2488" s="18" t="s">
        <v>9443</v>
      </c>
      <c r="C2488" s="18" t="s">
        <v>9445</v>
      </c>
      <c r="D2488" s="5" t="str">
        <f ca="1">IFERROR(__xludf.DUMMYFUNCTION("GOOGLETRANSLATE(B2488,""ja"",""vi"")"),"The North Face")</f>
        <v>The North Face</v>
      </c>
      <c r="E2488" s="5" t="str">
        <f ca="1">IFERROR(__xludf.DUMMYFUNCTION("GOOGLETRANSLATE(C2488,""ja"",""vi"")"),"Đấu giá&gt; thể thao, giải trí&gt; trại, hàng ngoài trời&gt; áo mưa, áo mưa&gt; The North Face")</f>
        <v>Đấu giá&gt; thể thao, giải trí&gt; trại, hàng ngoài trời&gt; áo mưa, áo mưa&gt; The North Face</v>
      </c>
      <c r="F2488" t="str">
        <f t="shared" ca="1" si="38"/>
        <v>"2084208696" : "The North Face",</v>
      </c>
    </row>
    <row r="2489" spans="1:6" ht="15.75" customHeight="1">
      <c r="A2489" s="18">
        <v>2084208699</v>
      </c>
      <c r="B2489" s="18" t="s">
        <v>9449</v>
      </c>
      <c r="C2489" s="18" t="s">
        <v>9450</v>
      </c>
      <c r="D2489" s="5" t="str">
        <f ca="1">IFERROR(__xludf.DUMMYFUNCTION("GOOGLETRANSLATE(B2489,""ja"",""vi"")"),"Mizuno")</f>
        <v>Mizuno</v>
      </c>
      <c r="E2489" s="5" t="str">
        <f ca="1">IFERROR(__xludf.DUMMYFUNCTION("GOOGLETRANSLATE(C2489,""ja"",""vi"")"),"Đấu giá&gt; thể thao, giải trí&gt; trại, hàng ngoài trời&gt; áo mưa, áo mưa&gt; Mizuno")</f>
        <v>Đấu giá&gt; thể thao, giải trí&gt; trại, hàng ngoài trời&gt; áo mưa, áo mưa&gt; Mizuno</v>
      </c>
      <c r="F2489" t="str">
        <f t="shared" ca="1" si="38"/>
        <v>"2084208699" : "Mizuno",</v>
      </c>
    </row>
    <row r="2490" spans="1:6" ht="15.75" customHeight="1">
      <c r="A2490" s="18">
        <v>2084208698</v>
      </c>
      <c r="B2490" s="18" t="s">
        <v>9455</v>
      </c>
      <c r="C2490" s="18" t="s">
        <v>9456</v>
      </c>
      <c r="D2490" s="5" t="str">
        <f ca="1">IFERROR(__xludf.DUMMYFUNCTION("GOOGLETRANSLATE(B2490,""ja"",""vi"")"),"MontBell")</f>
        <v>MontBell</v>
      </c>
      <c r="E2490" s="5" t="str">
        <f ca="1">IFERROR(__xludf.DUMMYFUNCTION("GOOGLETRANSLATE(C2490,""ja"",""vi"")"),"Đấu giá&gt; thể thao, giải trí&gt; trại, hàng ngoài trời&gt; áo mưa, áo mưa&gt; Mont-Bell")</f>
        <v>Đấu giá&gt; thể thao, giải trí&gt; trại, hàng ngoài trời&gt; áo mưa, áo mưa&gt; Mont-Bell</v>
      </c>
      <c r="F2490" t="str">
        <f t="shared" ca="1" si="38"/>
        <v>"2084208698" : "MontBell",</v>
      </c>
    </row>
    <row r="2491" spans="1:6" ht="15.75" customHeight="1">
      <c r="A2491" s="18">
        <v>2084262928</v>
      </c>
      <c r="B2491" s="18" t="s">
        <v>9461</v>
      </c>
      <c r="C2491" s="18" t="s">
        <v>9462</v>
      </c>
      <c r="D2491" s="5" t="str">
        <f ca="1">IFERROR(__xludf.DUMMYFUNCTION("GOOGLETRANSLATE(B2491,""ja"",""vi"")"),"Logos")</f>
        <v>Logos</v>
      </c>
      <c r="E2491" s="5" t="str">
        <f ca="1">IFERROR(__xludf.DUMMYFUNCTION("GOOGLETRANSLATE(C2491,""ja"",""vi"")"),"Đấu giá&gt; thể thao, giải trí&gt; trại, hàng ngoài trời&gt; áo mưa, áo mưa&gt; Logos")</f>
        <v>Đấu giá&gt; thể thao, giải trí&gt; trại, hàng ngoài trời&gt; áo mưa, áo mưa&gt; Logos</v>
      </c>
      <c r="F2491" t="str">
        <f t="shared" ca="1" si="38"/>
        <v>"2084262928" : "Logos",</v>
      </c>
    </row>
    <row r="2492" spans="1:6" ht="15.75" customHeight="1">
      <c r="A2492" s="18">
        <v>2084208701</v>
      </c>
      <c r="B2492" s="18" t="s">
        <v>46</v>
      </c>
      <c r="C2492" s="18" t="s">
        <v>9467</v>
      </c>
      <c r="D2492" s="5" t="str">
        <f ca="1">IFERROR(__xludf.DUMMYFUNCTION("GOOGLETRANSLATE(B2492,""ja"",""vi"")"),"nếu không thì")</f>
        <v>nếu không thì</v>
      </c>
      <c r="E2492" s="5" t="str">
        <f ca="1">IFERROR(__xludf.DUMMYFUNCTION("GOOGLETRANSLATE(C2492,""ja"",""vi"")"),"Đấu giá&gt; thể thao, giải trí&gt; trại, hàng ngoài trời&gt; áo mưa, áo mưa&gt; Khác")</f>
        <v>Đấu giá&gt; thể thao, giải trí&gt; trại, hàng ngoài trời&gt; áo mưa, áo mưa&gt; Khác</v>
      </c>
      <c r="F2492" t="str">
        <f t="shared" ca="1" si="38"/>
        <v>"2084208701" : "nếu không thì",</v>
      </c>
    </row>
    <row r="2493" spans="1:6" ht="15.75" customHeight="1">
      <c r="A2493" s="18">
        <v>2084062248</v>
      </c>
      <c r="B2493" s="18" t="s">
        <v>8814</v>
      </c>
      <c r="C2493" s="18" t="s">
        <v>9472</v>
      </c>
      <c r="D2493" s="5" t="str">
        <f ca="1">IFERROR(__xludf.DUMMYFUNCTION("GOOGLETRANSLATE(B2493,""ja"",""vi"")"),"trekking giày")</f>
        <v>trekking giày</v>
      </c>
      <c r="E2493" s="5" t="str">
        <f ca="1">IFERROR(__xludf.DUMMYFUNCTION("GOOGLETRANSLATE(C2493,""ja"",""vi"")"),"Đấu giá&gt; thể thao, giải trí&gt; trại, hàng ngoài trời&gt; giày&gt; giày leo núi")</f>
        <v>Đấu giá&gt; thể thao, giải trí&gt; trại, hàng ngoài trời&gt; giày&gt; giày leo núi</v>
      </c>
      <c r="F2493" t="str">
        <f t="shared" ca="1" si="38"/>
        <v>"2084062248" : "trekking giày",</v>
      </c>
    </row>
    <row r="2494" spans="1:6" ht="15.75" customHeight="1">
      <c r="A2494" s="18">
        <v>2084062251</v>
      </c>
      <c r="B2494" s="18" t="s">
        <v>9476</v>
      </c>
      <c r="C2494" s="18" t="s">
        <v>9478</v>
      </c>
      <c r="D2494" s="5" t="str">
        <f ca="1">IFERROR(__xludf.DUMMYFUNCTION("GOOGLETRANSLATE(B2494,""ja"",""vi"")"),"dép ngoài trời")</f>
        <v>dép ngoài trời</v>
      </c>
      <c r="E2494" s="5" t="str">
        <f ca="1">IFERROR(__xludf.DUMMYFUNCTION("GOOGLETRANSLATE(C2494,""ja"",""vi"")"),"Đấu giá&gt; thể thao, giải trí&gt; trại, hàng ngoài trời&gt; giày&gt; ngoài trời dép")</f>
        <v>Đấu giá&gt; thể thao, giải trí&gt; trại, hàng ngoài trời&gt; giày&gt; ngoài trời dép</v>
      </c>
      <c r="F2494" t="str">
        <f t="shared" ca="1" si="38"/>
        <v>"2084062251" : "dép ngoài trời",</v>
      </c>
    </row>
    <row r="2495" spans="1:6" ht="15.75" customHeight="1">
      <c r="A2495" s="18">
        <v>2084062249</v>
      </c>
      <c r="B2495" s="18" t="s">
        <v>8375</v>
      </c>
      <c r="C2495" s="18" t="s">
        <v>9482</v>
      </c>
      <c r="D2495" s="5" t="str">
        <f ca="1">IFERROR(__xludf.DUMMYFUNCTION("GOOGLETRANSLATE(B2495,""ja"",""vi"")"),"giày đi bộ")</f>
        <v>giày đi bộ</v>
      </c>
      <c r="E2495" s="5" t="str">
        <f ca="1">IFERROR(__xludf.DUMMYFUNCTION("GOOGLETRANSLATE(C2495,""ja"",""vi"")"),"Đấu giá&gt; thể thao, giải trí&gt; trại, hàng ngoài trời&gt; giày&gt; giày đi bộ")</f>
        <v>Đấu giá&gt; thể thao, giải trí&gt; trại, hàng ngoài trời&gt; giày&gt; giày đi bộ</v>
      </c>
      <c r="F2495" t="str">
        <f t="shared" ca="1" si="38"/>
        <v>"2084062249" : "giày đi bộ",</v>
      </c>
    </row>
    <row r="2496" spans="1:6" ht="15.75" customHeight="1">
      <c r="A2496" s="18">
        <v>2084299662</v>
      </c>
      <c r="B2496" s="18" t="s">
        <v>9487</v>
      </c>
      <c r="C2496" s="18" t="s">
        <v>9488</v>
      </c>
      <c r="D2496" s="5" t="str">
        <f ca="1">IFERROR(__xludf.DUMMYFUNCTION("GOOGLETRANSLATE(B2496,""ja"",""vi"")"),"Đinh móc")</f>
        <v>Đinh móc</v>
      </c>
      <c r="E2496" s="5" t="str">
        <f ca="1">IFERROR(__xludf.DUMMYFUNCTION("GOOGLETRANSLATE(C2496,""ja"",""vi"")"),"Đấu giá&gt; thể thao, giải trí&gt; trại, ngoài trời hàng&gt; giày&gt; Aizen")</f>
        <v>Đấu giá&gt; thể thao, giải trí&gt; trại, ngoài trời hàng&gt; giày&gt; Aizen</v>
      </c>
      <c r="F2496" t="str">
        <f t="shared" ca="1" si="38"/>
        <v>"2084299662" : "Đinh móc",</v>
      </c>
    </row>
    <row r="2497" spans="1:6" ht="15.75" customHeight="1">
      <c r="A2497" s="18">
        <v>2084299663</v>
      </c>
      <c r="B2497" s="18" t="s">
        <v>9493</v>
      </c>
      <c r="C2497" s="18" t="s">
        <v>9494</v>
      </c>
      <c r="D2497" s="5" t="str">
        <f ca="1">IFERROR(__xludf.DUMMYFUNCTION("GOOGLETRANSLATE(B2497,""ja"",""vi"")"),"Giày tuyết, giày đi tuyết")</f>
        <v>Giày tuyết, giày đi tuyết</v>
      </c>
      <c r="E2497" s="5" t="str">
        <f ca="1">IFERROR(__xludf.DUMMYFUNCTION("GOOGLETRANSLATE(C2497,""ja"",""vi"")"),"Đấu giá&gt; thể thao, giải trí&gt; trại, hàng ngoài trời&gt; giày&gt; giày tuyết, giày đi tuyết")</f>
        <v>Đấu giá&gt; thể thao, giải trí&gt; trại, hàng ngoài trời&gt; giày&gt; giày tuyết, giày đi tuyết</v>
      </c>
      <c r="F2497" t="str">
        <f t="shared" ca="1" si="38"/>
        <v>"2084299663" : "Giày tuyết, giày đi tuyết",</v>
      </c>
    </row>
    <row r="2498" spans="1:6" ht="15.75" customHeight="1">
      <c r="A2498" s="18">
        <v>2084299661</v>
      </c>
      <c r="B2498" s="18" t="s">
        <v>9499</v>
      </c>
      <c r="C2498" s="18" t="s">
        <v>9501</v>
      </c>
      <c r="D2498" s="5" t="str">
        <f ca="1">IFERROR(__xludf.DUMMYFUNCTION("GOOGLETRANSLATE(B2498,""ja"",""vi"")"),"tuyết khởi động")</f>
        <v>tuyết khởi động</v>
      </c>
      <c r="E2498" s="5" t="str">
        <f ca="1">IFERROR(__xludf.DUMMYFUNCTION("GOOGLETRANSLATE(C2498,""ja"",""vi"")"),"Đấu giá&gt; thể thao, giải trí&gt; trại, hàng ngoài trời&gt; giày&gt; Tuyết Boots")</f>
        <v>Đấu giá&gt; thể thao, giải trí&gt; trại, hàng ngoài trời&gt; giày&gt; Tuyết Boots</v>
      </c>
      <c r="F2498" t="str">
        <f t="shared" ref="F2498:F2561" ca="1" si="39">CONCATENATE(CHAR(34)&amp;"",A2498,""&amp;CHAR(34)," : ", CHAR(34)&amp;"",D2498,""&amp;CHAR(34),",")</f>
        <v>"2084299661" : "tuyết khởi động",</v>
      </c>
    </row>
    <row r="2499" spans="1:6" ht="15.75" customHeight="1">
      <c r="A2499" s="18">
        <v>2084062295</v>
      </c>
      <c r="B2499" s="18" t="s">
        <v>46</v>
      </c>
      <c r="C2499" s="18" t="s">
        <v>9507</v>
      </c>
      <c r="D2499" s="5" t="str">
        <f ca="1">IFERROR(__xludf.DUMMYFUNCTION("GOOGLETRANSLATE(B2499,""ja"",""vi"")"),"nếu không thì")</f>
        <v>nếu không thì</v>
      </c>
      <c r="E2499" s="5" t="str">
        <f ca="1">IFERROR(__xludf.DUMMYFUNCTION("GOOGLETRANSLATE(C2499,""ja"",""vi"")"),"Đấu giá&gt; thể thao, giải trí&gt; trại, ngoài trời hàng&gt; giày&gt; Khác")</f>
        <v>Đấu giá&gt; thể thao, giải trí&gt; trại, ngoài trời hàng&gt; giày&gt; Khác</v>
      </c>
      <c r="F2499" t="str">
        <f t="shared" ca="1" si="39"/>
        <v>"2084062295" : "nếu không thì",</v>
      </c>
    </row>
    <row r="2500" spans="1:6" ht="15.75" customHeight="1">
      <c r="A2500" s="18">
        <v>2084056978</v>
      </c>
      <c r="B2500" s="18" t="s">
        <v>11211</v>
      </c>
      <c r="C2500" s="18" t="s">
        <v>11212</v>
      </c>
      <c r="D2500" s="5" t="str">
        <f ca="1">IFERROR(__xludf.DUMMYFUNCTION("GOOGLETRANSLATE(B2500,""ja"",""vi"")"),"Đầu và thiết lập đáy")</f>
        <v>Đầu và thiết lập đáy</v>
      </c>
      <c r="E2500" s="5" t="str">
        <f ca="1">IFERROR(__xludf.DUMMYFUNCTION("GOOGLETRANSLATE(C2500,""ja"",""vi"")"),"Đấu giá&gt; thể thao, giải trí&gt; đồ thể thao&gt; cho người đàn ông&gt; hàng đầu và thiết lập đáy")</f>
        <v>Đấu giá&gt; thể thao, giải trí&gt; đồ thể thao&gt; cho người đàn ông&gt; hàng đầu và thiết lập đáy</v>
      </c>
      <c r="F2500" t="str">
        <f t="shared" ca="1" si="39"/>
        <v>"2084056978" : "Đầu và thiết lập đáy",</v>
      </c>
    </row>
    <row r="2501" spans="1:6" ht="15.75" customHeight="1">
      <c r="A2501" s="18">
        <v>2084056975</v>
      </c>
      <c r="B2501" s="18" t="s">
        <v>11217</v>
      </c>
      <c r="C2501" s="18" t="s">
        <v>11219</v>
      </c>
      <c r="D2501" s="5" t="str">
        <f ca="1">IFERROR(__xludf.DUMMYFUNCTION("GOOGLETRANSLATE(B2501,""ja"",""vi"")"),"áo")</f>
        <v>áo</v>
      </c>
      <c r="E2501" s="5" t="str">
        <f ca="1">IFERROR(__xludf.DUMMYFUNCTION("GOOGLETRANSLATE(C2501,""ja"",""vi"")"),"Đấu giá&gt; thể thao, giải trí&gt; đồ thể thao&gt; cho người đàn ông&gt; áo")</f>
        <v>Đấu giá&gt; thể thao, giải trí&gt; đồ thể thao&gt; cho người đàn ông&gt; áo</v>
      </c>
      <c r="F2501" t="str">
        <f t="shared" ca="1" si="39"/>
        <v>"2084056975" : "áo",</v>
      </c>
    </row>
    <row r="2502" spans="1:6" ht="15.75" customHeight="1">
      <c r="A2502" s="18">
        <v>2084056976</v>
      </c>
      <c r="B2502" s="18" t="s">
        <v>11223</v>
      </c>
      <c r="C2502" s="18" t="s">
        <v>11224</v>
      </c>
      <c r="D2502" s="5" t="str">
        <f ca="1">IFERROR(__xludf.DUMMYFUNCTION("GOOGLETRANSLATE(B2502,""ja"",""vi"")"),"Áo khoác, áo khoác")</f>
        <v>Áo khoác, áo khoác</v>
      </c>
      <c r="E2502" s="5" t="str">
        <f ca="1">IFERROR(__xludf.DUMMYFUNCTION("GOOGLETRANSLATE(C2502,""ja"",""vi"")"),"Đấu giá&gt; thể thao, giải trí&gt; đồ thể thao&gt; cho người đàn ông&gt; áo khoác, áo khoác")</f>
        <v>Đấu giá&gt; thể thao, giải trí&gt; đồ thể thao&gt; cho người đàn ông&gt; áo khoác, áo khoác</v>
      </c>
      <c r="F2502" t="str">
        <f t="shared" ca="1" si="39"/>
        <v>"2084056976" : "Áo khoác, áo khoác",</v>
      </c>
    </row>
    <row r="2503" spans="1:6" ht="15.75" customHeight="1">
      <c r="A2503" s="18">
        <v>2084303393</v>
      </c>
      <c r="B2503" s="18" t="s">
        <v>11229</v>
      </c>
      <c r="C2503" s="18" t="s">
        <v>11230</v>
      </c>
      <c r="D2503" s="5" t="str">
        <f ca="1">IFERROR(__xludf.DUMMYFUNCTION("GOOGLETRANSLATE(B2503,""ja"",""vi"")"),"parka")</f>
        <v>parka</v>
      </c>
      <c r="E2503" s="5" t="str">
        <f ca="1">IFERROR(__xludf.DUMMYFUNCTION("GOOGLETRANSLATE(C2503,""ja"",""vi"")"),"Đấu giá&gt; thể thao, giải trí&gt; đồ thể thao&gt; dành cho nam giới&gt; Parker")</f>
        <v>Đấu giá&gt; thể thao, giải trí&gt; đồ thể thao&gt; dành cho nam giới&gt; Parker</v>
      </c>
      <c r="F2503" t="str">
        <f t="shared" ca="1" si="39"/>
        <v>"2084303393" : "parka",</v>
      </c>
    </row>
    <row r="2504" spans="1:6" ht="15.75" customHeight="1">
      <c r="A2504" s="18">
        <v>2084056979</v>
      </c>
      <c r="B2504" s="18" t="s">
        <v>11235</v>
      </c>
      <c r="C2504" s="18" t="s">
        <v>11236</v>
      </c>
      <c r="D2504" s="5" t="str">
        <f ca="1">IFERROR(__xludf.DUMMYFUNCTION("GOOGLETRANSLATE(B2504,""ja"",""vi"")"),"tops")</f>
        <v>tops</v>
      </c>
      <c r="E2504" s="5" t="str">
        <f ca="1">IFERROR(__xludf.DUMMYFUNCTION("GOOGLETRANSLATE(C2504,""ja"",""vi"")"),"Đấu giá&gt; thể thao, giải trí&gt; đồ thể thao&gt; cho người đàn ông&gt; ngọn")</f>
        <v>Đấu giá&gt; thể thao, giải trí&gt; đồ thể thao&gt; cho người đàn ông&gt; ngọn</v>
      </c>
      <c r="F2504" t="str">
        <f t="shared" ca="1" si="39"/>
        <v>"2084056979" : "tops",</v>
      </c>
    </row>
    <row r="2505" spans="1:6" ht="15.75" customHeight="1">
      <c r="A2505" s="18">
        <v>2084056977</v>
      </c>
      <c r="B2505" s="18" t="s">
        <v>11242</v>
      </c>
      <c r="C2505" s="18" t="s">
        <v>11244</v>
      </c>
      <c r="D2505" s="5" t="str">
        <f ca="1">IFERROR(__xludf.DUMMYFUNCTION("GOOGLETRANSLATE(B2505,""ja"",""vi"")"),"đáy")</f>
        <v>đáy</v>
      </c>
      <c r="E2505" s="5" t="str">
        <f ca="1">IFERROR(__xludf.DUMMYFUNCTION("GOOGLETRANSLATE(C2505,""ja"",""vi"")"),"Đấu giá&gt; thể thao, giải trí&gt; đồ thể thao&gt; dành cho nam giới&gt; Bottoms")</f>
        <v>Đấu giá&gt; thể thao, giải trí&gt; đồ thể thao&gt; dành cho nam giới&gt; Bottoms</v>
      </c>
      <c r="F2505" t="str">
        <f t="shared" ca="1" si="39"/>
        <v>"2084056977" : "đáy",</v>
      </c>
    </row>
    <row r="2506" spans="1:6" ht="15.75" customHeight="1">
      <c r="A2506" s="18">
        <v>2084246662</v>
      </c>
      <c r="B2506" s="18" t="s">
        <v>11248</v>
      </c>
      <c r="C2506" s="18" t="s">
        <v>11250</v>
      </c>
      <c r="D2506" s="5" t="str">
        <f ca="1">IFERROR(__xludf.DUMMYFUNCTION("GOOGLETRANSLATE(B2506,""ja"",""vi"")"),"Mang nội")</f>
        <v>Mang nội</v>
      </c>
      <c r="E2506" s="5" t="str">
        <f ca="1">IFERROR(__xludf.DUMMYFUNCTION("GOOGLETRANSLATE(C2506,""ja"",""vi"")"),"Đấu giá&gt; thể thao, giải trí&gt; đồ thể thao&gt; dành cho nam giới&gt; Nội Mang")</f>
        <v>Đấu giá&gt; thể thao, giải trí&gt; đồ thể thao&gt; dành cho nam giới&gt; Nội Mang</v>
      </c>
      <c r="F2506" t="str">
        <f t="shared" ca="1" si="39"/>
        <v>"2084246662" : "Mang nội",</v>
      </c>
    </row>
    <row r="2507" spans="1:6" ht="15.75" customHeight="1">
      <c r="A2507" s="18">
        <v>2084006783</v>
      </c>
      <c r="B2507" s="18" t="s">
        <v>11255</v>
      </c>
      <c r="C2507" s="18" t="s">
        <v>11256</v>
      </c>
      <c r="D2507" s="5" t="str">
        <f ca="1">IFERROR(__xludf.DUMMYFUNCTION("GOOGLETRANSLATE(B2507,""ja"",""vi"")"),"Jersey, mồ hôi")</f>
        <v>Jersey, mồ hôi</v>
      </c>
      <c r="E2507" s="5" t="str">
        <f ca="1">IFERROR(__xludf.DUMMYFUNCTION("GOOGLETRANSLATE(C2507,""ja"",""vi"")"),"Đấu giá&gt; thể thao, giải trí&gt; đồ thể thao&gt; dành cho nam giới&gt; jersey, mồ hôi")</f>
        <v>Đấu giá&gt; thể thao, giải trí&gt; đồ thể thao&gt; dành cho nam giới&gt; jersey, mồ hôi</v>
      </c>
      <c r="F2507" t="str">
        <f t="shared" ca="1" si="39"/>
        <v>"2084006783" : "Jersey, mồ hôi",</v>
      </c>
    </row>
    <row r="2508" spans="1:6" ht="15.75" customHeight="1">
      <c r="A2508" s="18">
        <v>2084006786</v>
      </c>
      <c r="B2508" s="18" t="s">
        <v>8888</v>
      </c>
      <c r="C2508" s="18" t="s">
        <v>11261</v>
      </c>
      <c r="D2508" s="5" t="str">
        <f ca="1">IFERROR(__xludf.DUMMYFUNCTION("GOOGLETRANSLATE(B2508,""ja"",""vi"")"),"người ủng hộ")</f>
        <v>người ủng hộ</v>
      </c>
      <c r="E2508" s="5" t="str">
        <f ca="1">IFERROR(__xludf.DUMMYFUNCTION("GOOGLETRANSLATE(C2508,""ja"",""vi"")"),"Đấu giá&gt; thể thao, giải trí&gt; đồ thể thao&gt; cho người đàn ông&gt; ủng hộ")</f>
        <v>Đấu giá&gt; thể thao, giải trí&gt; đồ thể thao&gt; cho người đàn ông&gt; ủng hộ</v>
      </c>
      <c r="F2508" t="str">
        <f t="shared" ca="1" si="39"/>
        <v>"2084006786" : "người ủng hộ",</v>
      </c>
    </row>
    <row r="2509" spans="1:6" ht="15.75" customHeight="1">
      <c r="A2509" s="18">
        <v>2084006787</v>
      </c>
      <c r="B2509" s="18" t="s">
        <v>11264</v>
      </c>
      <c r="C2509" s="18" t="s">
        <v>11265</v>
      </c>
      <c r="D2509" s="5" t="str">
        <f ca="1">IFERROR(__xludf.DUMMYFUNCTION("GOOGLETRANSLATE(B2509,""ja"",""vi"")"),"dây đeo cổ tay")</f>
        <v>dây đeo cổ tay</v>
      </c>
      <c r="E2509" s="5" t="str">
        <f ca="1">IFERROR(__xludf.DUMMYFUNCTION("GOOGLETRANSLATE(C2509,""ja"",""vi"")"),"Đấu giá&gt; thể thao, giải trí&gt; đồ thể thao&gt; dành cho nam giới&gt; dây đeo cổ tay")</f>
        <v>Đấu giá&gt; thể thao, giải trí&gt; đồ thể thao&gt; dành cho nam giới&gt; dây đeo cổ tay</v>
      </c>
      <c r="F2509" t="str">
        <f t="shared" ca="1" si="39"/>
        <v>"2084006787" : "dây đeo cổ tay",</v>
      </c>
    </row>
    <row r="2510" spans="1:6" ht="15.75" customHeight="1">
      <c r="A2510" s="18">
        <v>2084006831</v>
      </c>
      <c r="B2510" s="18" t="s">
        <v>46</v>
      </c>
      <c r="C2510" s="18" t="s">
        <v>11270</v>
      </c>
      <c r="D2510" s="5" t="str">
        <f ca="1">IFERROR(__xludf.DUMMYFUNCTION("GOOGLETRANSLATE(B2510,""ja"",""vi"")"),"nếu không thì")</f>
        <v>nếu không thì</v>
      </c>
      <c r="E2510" s="5" t="str">
        <f ca="1">IFERROR(__xludf.DUMMYFUNCTION("GOOGLETRANSLATE(C2510,""ja"",""vi"")"),"Đấu giá&gt; thể thao, giải trí&gt; đồ thể thao&gt; cho con người&gt; Khác")</f>
        <v>Đấu giá&gt; thể thao, giải trí&gt; đồ thể thao&gt; cho con người&gt; Khác</v>
      </c>
      <c r="F2510" t="str">
        <f t="shared" ca="1" si="39"/>
        <v>"2084006831" : "nếu không thì",</v>
      </c>
    </row>
    <row r="2511" spans="1:6" ht="15.75" customHeight="1">
      <c r="A2511" s="18">
        <v>2084057044</v>
      </c>
      <c r="B2511" s="18" t="s">
        <v>11211</v>
      </c>
      <c r="C2511" s="18" t="s">
        <v>11274</v>
      </c>
      <c r="D2511" s="5" t="str">
        <f ca="1">IFERROR(__xludf.DUMMYFUNCTION("GOOGLETRANSLATE(B2511,""ja"",""vi"")"),"Đầu và thiết lập đáy")</f>
        <v>Đầu và thiết lập đáy</v>
      </c>
      <c r="E2511" s="5" t="str">
        <f ca="1">IFERROR(__xludf.DUMMYFUNCTION("GOOGLETRANSLATE(C2511,""ja"",""vi"")"),"Đấu giá&gt; thể thao, giải trí&gt; đồ thể thao&gt; cho phụ nữ&gt; hàng đầu và thiết lập đáy")</f>
        <v>Đấu giá&gt; thể thao, giải trí&gt; đồ thể thao&gt; cho phụ nữ&gt; hàng đầu và thiết lập đáy</v>
      </c>
      <c r="F2511" t="str">
        <f t="shared" ca="1" si="39"/>
        <v>"2084057044" : "Đầu và thiết lập đáy",</v>
      </c>
    </row>
    <row r="2512" spans="1:6" ht="15.75" customHeight="1">
      <c r="A2512" s="18">
        <v>2084057017</v>
      </c>
      <c r="B2512" s="18" t="s">
        <v>11217</v>
      </c>
      <c r="C2512" s="18" t="s">
        <v>11280</v>
      </c>
      <c r="D2512" s="5" t="str">
        <f ca="1">IFERROR(__xludf.DUMMYFUNCTION("GOOGLETRANSLATE(B2512,""ja"",""vi"")"),"áo")</f>
        <v>áo</v>
      </c>
      <c r="E2512" s="5" t="str">
        <f ca="1">IFERROR(__xludf.DUMMYFUNCTION("GOOGLETRANSLATE(C2512,""ja"",""vi"")"),"Đấu giá&gt; thể thao, giải trí&gt; đồ thể thao&gt; cho phụ nữ&gt; áo")</f>
        <v>Đấu giá&gt; thể thao, giải trí&gt; đồ thể thao&gt; cho phụ nữ&gt; áo</v>
      </c>
      <c r="F2512" t="str">
        <f t="shared" ca="1" si="39"/>
        <v>"2084057017" : "áo",</v>
      </c>
    </row>
    <row r="2513" spans="1:6" ht="15.75" customHeight="1">
      <c r="A2513" s="18">
        <v>2084057018</v>
      </c>
      <c r="B2513" s="18" t="s">
        <v>11223</v>
      </c>
      <c r="C2513" s="18" t="s">
        <v>11283</v>
      </c>
      <c r="D2513" s="5" t="str">
        <f ca="1">IFERROR(__xludf.DUMMYFUNCTION("GOOGLETRANSLATE(B2513,""ja"",""vi"")"),"Áo khoác, áo khoác")</f>
        <v>Áo khoác, áo khoác</v>
      </c>
      <c r="E2513" s="5" t="str">
        <f ca="1">IFERROR(__xludf.DUMMYFUNCTION("GOOGLETRANSLATE(C2513,""ja"",""vi"")"),"Đấu giá&gt; thể thao, giải trí&gt; đồ thể thao&gt; cho phụ nữ&gt; áo khoác, áo khoác")</f>
        <v>Đấu giá&gt; thể thao, giải trí&gt; đồ thể thao&gt; cho phụ nữ&gt; áo khoác, áo khoác</v>
      </c>
      <c r="F2513" t="str">
        <f t="shared" ca="1" si="39"/>
        <v>"2084057018" : "Áo khoác, áo khoác",</v>
      </c>
    </row>
    <row r="2514" spans="1:6" ht="15.75" customHeight="1">
      <c r="A2514" s="18">
        <v>2084303392</v>
      </c>
      <c r="B2514" s="18" t="s">
        <v>11229</v>
      </c>
      <c r="C2514" s="18" t="s">
        <v>11287</v>
      </c>
      <c r="D2514" s="5" t="str">
        <f ca="1">IFERROR(__xludf.DUMMYFUNCTION("GOOGLETRANSLATE(B2514,""ja"",""vi"")"),"parka")</f>
        <v>parka</v>
      </c>
      <c r="E2514" s="5" t="str">
        <f ca="1">IFERROR(__xludf.DUMMYFUNCTION("GOOGLETRANSLATE(C2514,""ja"",""vi"")"),"Đấu giá&gt; thể thao, giải trí&gt; đồ thể thao&gt; cho phụ nữ&gt; Parker")</f>
        <v>Đấu giá&gt; thể thao, giải trí&gt; đồ thể thao&gt; cho phụ nữ&gt; Parker</v>
      </c>
      <c r="F2514" t="str">
        <f t="shared" ca="1" si="39"/>
        <v>"2084303392" : "parka",</v>
      </c>
    </row>
    <row r="2515" spans="1:6" ht="15.75" customHeight="1">
      <c r="A2515" s="18">
        <v>2084057019</v>
      </c>
      <c r="B2515" s="18" t="s">
        <v>11235</v>
      </c>
      <c r="C2515" s="18" t="s">
        <v>11292</v>
      </c>
      <c r="D2515" s="5" t="str">
        <f ca="1">IFERROR(__xludf.DUMMYFUNCTION("GOOGLETRANSLATE(B2515,""ja"",""vi"")"),"tops")</f>
        <v>tops</v>
      </c>
      <c r="E2515" s="5" t="str">
        <f ca="1">IFERROR(__xludf.DUMMYFUNCTION("GOOGLETRANSLATE(C2515,""ja"",""vi"")"),"Đấu giá&gt; thể thao, giải trí&gt; đồ thể thao&gt; cho phụ nữ&gt; ngọn")</f>
        <v>Đấu giá&gt; thể thao, giải trí&gt; đồ thể thao&gt; cho phụ nữ&gt; ngọn</v>
      </c>
      <c r="F2515" t="str">
        <f t="shared" ca="1" si="39"/>
        <v>"2084057019" : "tops",</v>
      </c>
    </row>
    <row r="2516" spans="1:6" ht="15.75" customHeight="1">
      <c r="A2516" s="18">
        <v>2084057020</v>
      </c>
      <c r="B2516" s="18" t="s">
        <v>11242</v>
      </c>
      <c r="C2516" s="18" t="s">
        <v>11297</v>
      </c>
      <c r="D2516" s="5" t="str">
        <f ca="1">IFERROR(__xludf.DUMMYFUNCTION("GOOGLETRANSLATE(B2516,""ja"",""vi"")"),"đáy")</f>
        <v>đáy</v>
      </c>
      <c r="E2516" s="5" t="str">
        <f ca="1">IFERROR(__xludf.DUMMYFUNCTION("GOOGLETRANSLATE(C2516,""ja"",""vi"")"),"Đấu giá&gt; thể thao, giải trí&gt; đồ thể thao&gt; cho phụ nữ&gt; đáy")</f>
        <v>Đấu giá&gt; thể thao, giải trí&gt; đồ thể thao&gt; cho phụ nữ&gt; đáy</v>
      </c>
      <c r="F2516" t="str">
        <f t="shared" ca="1" si="39"/>
        <v>"2084057020" : "đáy",</v>
      </c>
    </row>
    <row r="2517" spans="1:6" ht="15.75" customHeight="1">
      <c r="A2517" s="18">
        <v>2084246666</v>
      </c>
      <c r="B2517" s="18" t="s">
        <v>11248</v>
      </c>
      <c r="C2517" s="18" t="s">
        <v>11302</v>
      </c>
      <c r="D2517" s="5" t="str">
        <f ca="1">IFERROR(__xludf.DUMMYFUNCTION("GOOGLETRANSLATE(B2517,""ja"",""vi"")"),"Mang nội")</f>
        <v>Mang nội</v>
      </c>
      <c r="E2517" s="5" t="str">
        <f ca="1">IFERROR(__xludf.DUMMYFUNCTION("GOOGLETRANSLATE(C2517,""ja"",""vi"")"),"Đấu giá&gt; thể thao, giải trí&gt; đồ thể thao&gt; cho phụ nữ&gt; Nội Mang")</f>
        <v>Đấu giá&gt; thể thao, giải trí&gt; đồ thể thao&gt; cho phụ nữ&gt; Nội Mang</v>
      </c>
      <c r="F2517" t="str">
        <f t="shared" ca="1" si="39"/>
        <v>"2084246666" : "Mang nội",</v>
      </c>
    </row>
    <row r="2518" spans="1:6" ht="15.75" customHeight="1">
      <c r="A2518" s="18">
        <v>2084006784</v>
      </c>
      <c r="B2518" s="18" t="s">
        <v>11255</v>
      </c>
      <c r="C2518" s="18" t="s">
        <v>11308</v>
      </c>
      <c r="D2518" s="5" t="str">
        <f ca="1">IFERROR(__xludf.DUMMYFUNCTION("GOOGLETRANSLATE(B2518,""ja"",""vi"")"),"Jersey, mồ hôi")</f>
        <v>Jersey, mồ hôi</v>
      </c>
      <c r="E2518" s="5" t="str">
        <f ca="1">IFERROR(__xludf.DUMMYFUNCTION("GOOGLETRANSLATE(C2518,""ja"",""vi"")"),"Đấu giá&gt; thể thao, giải trí&gt; đồ thể thao&gt; cho phụ nữ&gt; áo, mồ hôi")</f>
        <v>Đấu giá&gt; thể thao, giải trí&gt; đồ thể thao&gt; cho phụ nữ&gt; áo, mồ hôi</v>
      </c>
      <c r="F2518" t="str">
        <f t="shared" ca="1" si="39"/>
        <v>"2084006784" : "Jersey, mồ hôi",</v>
      </c>
    </row>
    <row r="2519" spans="1:6" ht="15.75" customHeight="1">
      <c r="A2519" s="18">
        <v>2084006785</v>
      </c>
      <c r="B2519" s="18" t="s">
        <v>8888</v>
      </c>
      <c r="C2519" s="18" t="s">
        <v>11313</v>
      </c>
      <c r="D2519" s="5" t="str">
        <f ca="1">IFERROR(__xludf.DUMMYFUNCTION("GOOGLETRANSLATE(B2519,""ja"",""vi"")"),"người ủng hộ")</f>
        <v>người ủng hộ</v>
      </c>
      <c r="E2519" s="5" t="str">
        <f ca="1">IFERROR(__xludf.DUMMYFUNCTION("GOOGLETRANSLATE(C2519,""ja"",""vi"")"),"Đấu giá&gt; thể thao, giải trí&gt; đồ thể thao&gt; cho phụ nữ&gt; ủng hộ")</f>
        <v>Đấu giá&gt; thể thao, giải trí&gt; đồ thể thao&gt; cho phụ nữ&gt; ủng hộ</v>
      </c>
      <c r="F2519" t="str">
        <f t="shared" ca="1" si="39"/>
        <v>"2084006785" : "người ủng hộ",</v>
      </c>
    </row>
    <row r="2520" spans="1:6" ht="15.75" customHeight="1">
      <c r="A2520" s="18">
        <v>2084006788</v>
      </c>
      <c r="B2520" s="18" t="s">
        <v>11264</v>
      </c>
      <c r="C2520" s="18" t="s">
        <v>11318</v>
      </c>
      <c r="D2520" s="5" t="str">
        <f ca="1">IFERROR(__xludf.DUMMYFUNCTION("GOOGLETRANSLATE(B2520,""ja"",""vi"")"),"dây đeo cổ tay")</f>
        <v>dây đeo cổ tay</v>
      </c>
      <c r="E2520" s="5" t="str">
        <f ca="1">IFERROR(__xludf.DUMMYFUNCTION("GOOGLETRANSLATE(C2520,""ja"",""vi"")"),"Đấu giá&gt; thể thao, giải trí&gt; đồ thể thao&gt; cho phụ nữ&gt; dây đeo cổ tay")</f>
        <v>Đấu giá&gt; thể thao, giải trí&gt; đồ thể thao&gt; cho phụ nữ&gt; dây đeo cổ tay</v>
      </c>
      <c r="F2520" t="str">
        <f t="shared" ca="1" si="39"/>
        <v>"2084006788" : "dây đeo cổ tay",</v>
      </c>
    </row>
    <row r="2521" spans="1:6" ht="15.75" customHeight="1">
      <c r="A2521" s="18">
        <v>2084006832</v>
      </c>
      <c r="B2521" s="18" t="s">
        <v>46</v>
      </c>
      <c r="C2521" s="18" t="s">
        <v>11323</v>
      </c>
      <c r="D2521" s="5" t="str">
        <f ca="1">IFERROR(__xludf.DUMMYFUNCTION("GOOGLETRANSLATE(B2521,""ja"",""vi"")"),"nếu không thì")</f>
        <v>nếu không thì</v>
      </c>
      <c r="E2521" s="5" t="str">
        <f ca="1">IFERROR(__xludf.DUMMYFUNCTION("GOOGLETRANSLATE(C2521,""ja"",""vi"")"),"Đấu giá&gt; thể thao, giải trí&gt; đồ thể thao&gt; cho phụ nữ&gt; Khác")</f>
        <v>Đấu giá&gt; thể thao, giải trí&gt; đồ thể thao&gt; cho phụ nữ&gt; Khác</v>
      </c>
      <c r="F2521" t="str">
        <f t="shared" ca="1" si="39"/>
        <v>"2084006832" : "nếu không thì",</v>
      </c>
    </row>
    <row r="2522" spans="1:6" ht="15.75" customHeight="1">
      <c r="A2522" s="18">
        <v>2084057062</v>
      </c>
      <c r="B2522" s="18" t="s">
        <v>11211</v>
      </c>
      <c r="C2522" s="18" t="s">
        <v>11332</v>
      </c>
      <c r="D2522" s="5" t="str">
        <f ca="1">IFERROR(__xludf.DUMMYFUNCTION("GOOGLETRANSLATE(B2522,""ja"",""vi"")"),"Đầu và thiết lập đáy")</f>
        <v>Đầu và thiết lập đáy</v>
      </c>
      <c r="E2522" s="5" t="str">
        <f ca="1">IFERROR(__xludf.DUMMYFUNCTION("GOOGLETRANSLATE(C2522,""ja"",""vi"")"),"Đấu giá&gt; thể thao, giải trí&gt; đồ thể thao&gt; Unisex&gt; hàng đầu và thiết lập đáy")</f>
        <v>Đấu giá&gt; thể thao, giải trí&gt; đồ thể thao&gt; Unisex&gt; hàng đầu và thiết lập đáy</v>
      </c>
      <c r="F2522" t="str">
        <f t="shared" ca="1" si="39"/>
        <v>"2084057062" : "Đầu và thiết lập đáy",</v>
      </c>
    </row>
    <row r="2523" spans="1:6" ht="15.75" customHeight="1">
      <c r="A2523" s="18">
        <v>2084057061</v>
      </c>
      <c r="B2523" s="18" t="s">
        <v>11217</v>
      </c>
      <c r="C2523" s="18" t="s">
        <v>11336</v>
      </c>
      <c r="D2523" s="5" t="str">
        <f ca="1">IFERROR(__xludf.DUMMYFUNCTION("GOOGLETRANSLATE(B2523,""ja"",""vi"")"),"áo")</f>
        <v>áo</v>
      </c>
      <c r="E2523" s="5" t="str">
        <f ca="1">IFERROR(__xludf.DUMMYFUNCTION("GOOGLETRANSLATE(C2523,""ja"",""vi"")"),"Đấu giá&gt; thể thao, giải trí&gt; đồ thể thao&gt; Unisex&gt; Tòa án")</f>
        <v>Đấu giá&gt; thể thao, giải trí&gt; đồ thể thao&gt; Unisex&gt; Tòa án</v>
      </c>
      <c r="F2523" t="str">
        <f t="shared" ca="1" si="39"/>
        <v>"2084057061" : "áo",</v>
      </c>
    </row>
    <row r="2524" spans="1:6" ht="15.75" customHeight="1">
      <c r="A2524" s="18">
        <v>2084057063</v>
      </c>
      <c r="B2524" s="18" t="s">
        <v>11223</v>
      </c>
      <c r="C2524" s="18" t="s">
        <v>11342</v>
      </c>
      <c r="D2524" s="5" t="str">
        <f ca="1">IFERROR(__xludf.DUMMYFUNCTION("GOOGLETRANSLATE(B2524,""ja"",""vi"")"),"Áo khoác, áo khoác")</f>
        <v>Áo khoác, áo khoác</v>
      </c>
      <c r="E2524" s="5" t="str">
        <f ca="1">IFERROR(__xludf.DUMMYFUNCTION("GOOGLETRANSLATE(C2524,""ja"",""vi"")"),"Đấu giá&gt; thể thao, giải trí&gt; đồ thể thao&gt; Unisex&gt; áo khoác, áo khoác")</f>
        <v>Đấu giá&gt; thể thao, giải trí&gt; đồ thể thao&gt; Unisex&gt; áo khoác, áo khoác</v>
      </c>
      <c r="F2524" t="str">
        <f t="shared" ca="1" si="39"/>
        <v>"2084057063" : "Áo khoác, áo khoác",</v>
      </c>
    </row>
    <row r="2525" spans="1:6" ht="15.75" customHeight="1">
      <c r="A2525" s="18">
        <v>2084057064</v>
      </c>
      <c r="B2525" s="18" t="s">
        <v>11235</v>
      </c>
      <c r="C2525" s="18" t="s">
        <v>11346</v>
      </c>
      <c r="D2525" s="5" t="str">
        <f ca="1">IFERROR(__xludf.DUMMYFUNCTION("GOOGLETRANSLATE(B2525,""ja"",""vi"")"),"tops")</f>
        <v>tops</v>
      </c>
      <c r="E2525" s="5" t="str">
        <f ca="1">IFERROR(__xludf.DUMMYFUNCTION("GOOGLETRANSLATE(C2525,""ja"",""vi"")"),"Đấu giá&gt; thể thao, giải trí&gt; đồ thể thao&gt; Unisex&gt; Tops")</f>
        <v>Đấu giá&gt; thể thao, giải trí&gt; đồ thể thao&gt; Unisex&gt; Tops</v>
      </c>
      <c r="F2525" t="str">
        <f t="shared" ca="1" si="39"/>
        <v>"2084057064" : "tops",</v>
      </c>
    </row>
    <row r="2526" spans="1:6" ht="15.75" customHeight="1">
      <c r="A2526" s="18">
        <v>2084057065</v>
      </c>
      <c r="B2526" s="18" t="s">
        <v>11242</v>
      </c>
      <c r="C2526" s="18" t="s">
        <v>11350</v>
      </c>
      <c r="D2526" s="5" t="str">
        <f ca="1">IFERROR(__xludf.DUMMYFUNCTION("GOOGLETRANSLATE(B2526,""ja"",""vi"")"),"đáy")</f>
        <v>đáy</v>
      </c>
      <c r="E2526" s="5" t="str">
        <f ca="1">IFERROR(__xludf.DUMMYFUNCTION("GOOGLETRANSLATE(C2526,""ja"",""vi"")"),"Đấu giá&gt; thể thao, giải trí&gt; đồ thể thao&gt; Unisex&gt; Bottoms")</f>
        <v>Đấu giá&gt; thể thao, giải trí&gt; đồ thể thao&gt; Unisex&gt; Bottoms</v>
      </c>
      <c r="F2526" t="str">
        <f t="shared" ca="1" si="39"/>
        <v>"2084057065" : "đáy",</v>
      </c>
    </row>
    <row r="2527" spans="1:6" ht="15.75" customHeight="1">
      <c r="A2527" s="18">
        <v>2084057089</v>
      </c>
      <c r="B2527" s="18" t="s">
        <v>11255</v>
      </c>
      <c r="C2527" s="18" t="s">
        <v>11355</v>
      </c>
      <c r="D2527" s="5" t="str">
        <f ca="1">IFERROR(__xludf.DUMMYFUNCTION("GOOGLETRANSLATE(B2527,""ja"",""vi"")"),"Jersey, mồ hôi")</f>
        <v>Jersey, mồ hôi</v>
      </c>
      <c r="E2527" s="5" t="str">
        <f ca="1">IFERROR(__xludf.DUMMYFUNCTION("GOOGLETRANSLATE(C2527,""ja"",""vi"")"),"Đấu giá&gt; thể thao, giải trí&gt; đồ thể thao&gt; Unisex&gt; jersey, mồ hôi")</f>
        <v>Đấu giá&gt; thể thao, giải trí&gt; đồ thể thao&gt; Unisex&gt; jersey, mồ hôi</v>
      </c>
      <c r="F2527" t="str">
        <f t="shared" ca="1" si="39"/>
        <v>"2084057089" : "Jersey, mồ hôi",</v>
      </c>
    </row>
    <row r="2528" spans="1:6" ht="15.75" customHeight="1">
      <c r="A2528" s="18">
        <v>2084057066</v>
      </c>
      <c r="B2528" s="18" t="s">
        <v>46</v>
      </c>
      <c r="C2528" s="18" t="s">
        <v>11359</v>
      </c>
      <c r="D2528" s="5" t="str">
        <f ca="1">IFERROR(__xludf.DUMMYFUNCTION("GOOGLETRANSLATE(B2528,""ja"",""vi"")"),"nếu không thì")</f>
        <v>nếu không thì</v>
      </c>
      <c r="E2528" s="5" t="str">
        <f ca="1">IFERROR(__xludf.DUMMYFUNCTION("GOOGLETRANSLATE(C2528,""ja"",""vi"")"),"Đấu giá&gt; thể thao, giải trí&gt; đồ thể thao&gt; Unisex&gt; Khác")</f>
        <v>Đấu giá&gt; thể thao, giải trí&gt; đồ thể thao&gt; Unisex&gt; Khác</v>
      </c>
      <c r="F2528" t="str">
        <f t="shared" ca="1" si="39"/>
        <v>"2084057066" : "nếu không thì",</v>
      </c>
    </row>
    <row r="2529" spans="1:6" ht="15.75" customHeight="1">
      <c r="A2529" s="18">
        <v>2084263747</v>
      </c>
      <c r="B2529" s="18" t="s">
        <v>11211</v>
      </c>
      <c r="C2529" s="18" t="s">
        <v>11364</v>
      </c>
      <c r="D2529" s="5" t="str">
        <f ca="1">IFERROR(__xludf.DUMMYFUNCTION("GOOGLETRANSLATE(B2529,""ja"",""vi"")"),"Đầu và thiết lập đáy")</f>
        <v>Đầu và thiết lập đáy</v>
      </c>
      <c r="E2529" s="5" t="str">
        <f ca="1">IFERROR(__xludf.DUMMYFUNCTION("GOOGLETRANSLATE(C2529,""ja"",""vi"")"),"Đấu giá&gt; thể thao, giải trí&gt; đồ thể thao&gt; cho trẻ em&gt; trên và thiết lập đáy")</f>
        <v>Đấu giá&gt; thể thao, giải trí&gt; đồ thể thao&gt; cho trẻ em&gt; trên và thiết lập đáy</v>
      </c>
      <c r="F2529" t="str">
        <f t="shared" ca="1" si="39"/>
        <v>"2084263747" : "Đầu và thiết lập đáy",</v>
      </c>
    </row>
    <row r="2530" spans="1:6" ht="15.75" customHeight="1">
      <c r="A2530" s="18">
        <v>2084263748</v>
      </c>
      <c r="B2530" s="18" t="s">
        <v>11217</v>
      </c>
      <c r="C2530" s="18" t="s">
        <v>11367</v>
      </c>
      <c r="D2530" s="5" t="str">
        <f ca="1">IFERROR(__xludf.DUMMYFUNCTION("GOOGLETRANSLATE(B2530,""ja"",""vi"")"),"áo")</f>
        <v>áo</v>
      </c>
      <c r="E2530" s="5" t="str">
        <f ca="1">IFERROR(__xludf.DUMMYFUNCTION("GOOGLETRANSLATE(C2530,""ja"",""vi"")"),"Đấu giá&gt; thể thao, giải trí&gt; đồ thể thao&gt; cho trẻ em&gt; Tòa án")</f>
        <v>Đấu giá&gt; thể thao, giải trí&gt; đồ thể thao&gt; cho trẻ em&gt; Tòa án</v>
      </c>
      <c r="F2530" t="str">
        <f t="shared" ca="1" si="39"/>
        <v>"2084263748" : "áo",</v>
      </c>
    </row>
    <row r="2531" spans="1:6" ht="15.75" customHeight="1">
      <c r="A2531" s="18">
        <v>2084263749</v>
      </c>
      <c r="B2531" s="18" t="s">
        <v>11223</v>
      </c>
      <c r="C2531" s="18" t="s">
        <v>11372</v>
      </c>
      <c r="D2531" s="5" t="str">
        <f ca="1">IFERROR(__xludf.DUMMYFUNCTION("GOOGLETRANSLATE(B2531,""ja"",""vi"")"),"Áo khoác, áo khoác")</f>
        <v>Áo khoác, áo khoác</v>
      </c>
      <c r="E2531" s="5" t="str">
        <f ca="1">IFERROR(__xludf.DUMMYFUNCTION("GOOGLETRANSLATE(C2531,""ja"",""vi"")"),"Đấu giá&gt; thể thao, giải trí&gt; đồ thể thao&gt; cho trẻ em&gt; áo khoác, áo khoác")</f>
        <v>Đấu giá&gt; thể thao, giải trí&gt; đồ thể thao&gt; cho trẻ em&gt; áo khoác, áo khoác</v>
      </c>
      <c r="F2531" t="str">
        <f t="shared" ca="1" si="39"/>
        <v>"2084263749" : "Áo khoác, áo khoác",</v>
      </c>
    </row>
    <row r="2532" spans="1:6" ht="15.75" customHeight="1">
      <c r="A2532" s="18">
        <v>2084263752</v>
      </c>
      <c r="B2532" s="18" t="s">
        <v>11235</v>
      </c>
      <c r="C2532" s="18" t="s">
        <v>11376</v>
      </c>
      <c r="D2532" s="5" t="str">
        <f ca="1">IFERROR(__xludf.DUMMYFUNCTION("GOOGLETRANSLATE(B2532,""ja"",""vi"")"),"tops")</f>
        <v>tops</v>
      </c>
      <c r="E2532" s="5" t="str">
        <f ca="1">IFERROR(__xludf.DUMMYFUNCTION("GOOGLETRANSLATE(C2532,""ja"",""vi"")"),"Đấu giá&gt; thể thao, giải trí&gt; đồ thể thao&gt; cho trẻ em&gt; ngọn")</f>
        <v>Đấu giá&gt; thể thao, giải trí&gt; đồ thể thao&gt; cho trẻ em&gt; ngọn</v>
      </c>
      <c r="F2532" t="str">
        <f t="shared" ca="1" si="39"/>
        <v>"2084263752" : "tops",</v>
      </c>
    </row>
    <row r="2533" spans="1:6" ht="15.75" customHeight="1">
      <c r="A2533" s="18">
        <v>2084263750</v>
      </c>
      <c r="B2533" s="18" t="s">
        <v>11242</v>
      </c>
      <c r="C2533" s="18" t="s">
        <v>11381</v>
      </c>
      <c r="D2533" s="5" t="str">
        <f ca="1">IFERROR(__xludf.DUMMYFUNCTION("GOOGLETRANSLATE(B2533,""ja"",""vi"")"),"đáy")</f>
        <v>đáy</v>
      </c>
      <c r="E2533" s="5" t="str">
        <f ca="1">IFERROR(__xludf.DUMMYFUNCTION("GOOGLETRANSLATE(C2533,""ja"",""vi"")"),"Đấu giá&gt; thể thao, giải trí&gt; đồ thể thao&gt; cho trẻ em&gt; Bottoms")</f>
        <v>Đấu giá&gt; thể thao, giải trí&gt; đồ thể thao&gt; cho trẻ em&gt; Bottoms</v>
      </c>
      <c r="F2533" t="str">
        <f t="shared" ca="1" si="39"/>
        <v>"2084263750" : "đáy",</v>
      </c>
    </row>
    <row r="2534" spans="1:6" ht="15.75" customHeight="1">
      <c r="A2534" s="18">
        <v>2084263751</v>
      </c>
      <c r="B2534" s="18" t="s">
        <v>46</v>
      </c>
      <c r="C2534" s="18" t="s">
        <v>19263</v>
      </c>
      <c r="D2534" s="5" t="str">
        <f ca="1">IFERROR(__xludf.DUMMYFUNCTION("GOOGLETRANSLATE(B2534,""ja"",""vi"")"),"nếu không thì")</f>
        <v>nếu không thì</v>
      </c>
      <c r="E2534" s="5" t="str">
        <f ca="1">IFERROR(__xludf.DUMMYFUNCTION("GOOGLETRANSLATE(C2534,""ja"",""vi"")"),"Đấu giá&gt; chấu")</f>
        <v>Đấu giá&gt; chấu</v>
      </c>
      <c r="F2534" t="str">
        <f t="shared" ca="1" si="39"/>
        <v>"2084263751" : "nếu không thì",</v>
      </c>
    </row>
    <row r="2535" spans="1:6" ht="15.75" customHeight="1">
      <c r="A2535" s="18">
        <v>25224</v>
      </c>
      <c r="B2535" s="18" t="s">
        <v>11389</v>
      </c>
      <c r="C2535" s="18" t="s">
        <v>11391</v>
      </c>
      <c r="D2535" s="5" t="str">
        <f ca="1">IFERROR(__xludf.DUMMYFUNCTION("GOOGLETRANSLATE(B2535,""ja"",""vi"")"),"cung tên")</f>
        <v>cung tên</v>
      </c>
      <c r="E2535" s="5" t="str">
        <f ca="1">IFERROR(__xludf.DUMMYFUNCTION("GOOGLETRANSLATE(C2535,""ja"",""vi"")"),"Đấu giá&gt; thể thao, giải trí&gt; Bằng Sport&gt; Bắn cung")</f>
        <v>Đấu giá&gt; thể thao, giải trí&gt; Bằng Sport&gt; Bắn cung</v>
      </c>
      <c r="F2535" t="str">
        <f t="shared" ca="1" si="39"/>
        <v>"25224" : "cung tên",</v>
      </c>
    </row>
    <row r="2536" spans="1:6" ht="15.75" customHeight="1">
      <c r="A2536" s="18">
        <v>25232</v>
      </c>
      <c r="B2536" s="18" t="s">
        <v>11394</v>
      </c>
      <c r="C2536" s="18" t="s">
        <v>11397</v>
      </c>
      <c r="D2536" s="5" t="str">
        <f ca="1">IFERROR(__xludf.DUMMYFUNCTION("GOOGLETRANSLATE(B2536,""ja"",""vi"")"),"trượt băng")</f>
        <v>trượt băng</v>
      </c>
      <c r="E2536" s="5" t="str">
        <f ca="1">IFERROR(__xludf.DUMMYFUNCTION("GOOGLETRANSLATE(C2536,""ja"",""vi"")"),"Đấu giá&gt; thể thao, giải trí&gt; Bằng Sport&gt; Trượt băng")</f>
        <v>Đấu giá&gt; thể thao, giải trí&gt; Bằng Sport&gt; Trượt băng</v>
      </c>
      <c r="F2536" t="str">
        <f t="shared" ca="1" si="39"/>
        <v>"25232" : "trượt băng",</v>
      </c>
    </row>
    <row r="2537" spans="1:6" ht="15.75" customHeight="1">
      <c r="A2537" s="18">
        <v>25350</v>
      </c>
      <c r="B2537" s="18" t="s">
        <v>11401</v>
      </c>
      <c r="C2537" s="18" t="s">
        <v>11403</v>
      </c>
      <c r="D2537" s="5" t="str">
        <f ca="1">IFERROR(__xludf.DUMMYFUNCTION("GOOGLETRANSLATE(B2537,""ja"",""vi"")"),"Hockey")</f>
        <v>Hockey</v>
      </c>
      <c r="E2537" s="5" t="str">
        <f ca="1">IFERROR(__xludf.DUMMYFUNCTION("GOOGLETRANSLATE(C2537,""ja"",""vi"")"),"Đấu giá&gt; thể thao, giải trí&gt; Bằng Sport&gt; Ice Hockey")</f>
        <v>Đấu giá&gt; thể thao, giải trí&gt; Bằng Sport&gt; Ice Hockey</v>
      </c>
      <c r="F2537" t="str">
        <f t="shared" ca="1" si="39"/>
        <v>"25350" : "Hockey",</v>
      </c>
    </row>
    <row r="2538" spans="1:6" ht="15.75" customHeight="1">
      <c r="A2538" s="18">
        <v>25346</v>
      </c>
      <c r="B2538" s="18" t="s">
        <v>1246</v>
      </c>
      <c r="C2538" s="18" t="s">
        <v>11408</v>
      </c>
      <c r="D2538" s="5" t="str">
        <f ca="1">IFERROR(__xludf.DUMMYFUNCTION("GOOGLETRANSLATE(B2538,""ja"",""vi"")"),"bóng đá Mỹ")</f>
        <v>bóng đá Mỹ</v>
      </c>
      <c r="E2538" s="5" t="str">
        <f ca="1">IFERROR(__xludf.DUMMYFUNCTION("GOOGLETRANSLATE(C2538,""ja"",""vi"")"),"Đấu giá&gt; thể thao, giải trí&gt; Bằng Sport&gt; bóng đá Mỹ")</f>
        <v>Đấu giá&gt; thể thao, giải trí&gt; Bằng Sport&gt; bóng đá Mỹ</v>
      </c>
      <c r="F2538" t="str">
        <f t="shared" ca="1" si="39"/>
        <v>"25346" : "bóng đá Mỹ",</v>
      </c>
    </row>
    <row r="2539" spans="1:6" ht="15.75" customHeight="1">
      <c r="A2539" s="18">
        <v>25282</v>
      </c>
      <c r="B2539" s="18" t="s">
        <v>8351</v>
      </c>
      <c r="C2539" s="18" t="s">
        <v>11412</v>
      </c>
      <c r="D2539" s="5" t="str">
        <f ca="1">IFERROR(__xludf.DUMMYFUNCTION("GOOGLETRANSLATE(B2539,""ja"",""vi"")"),"trượt patanh")</f>
        <v>trượt patanh</v>
      </c>
      <c r="E2539" s="5" t="str">
        <f ca="1">IFERROR(__xludf.DUMMYFUNCTION("GOOGLETRANSLATE(C2539,""ja"",""vi"")"),"Đấu giá&gt; thể thao, giải trí&gt; Bằng Sport&gt; trượt inline")</f>
        <v>Đấu giá&gt; thể thao, giải trí&gt; Bằng Sport&gt; trượt inline</v>
      </c>
      <c r="F2539" t="str">
        <f t="shared" ca="1" si="39"/>
        <v>"25282" : "trượt patanh",</v>
      </c>
    </row>
    <row r="2540" spans="1:6" ht="15.75" customHeight="1">
      <c r="A2540" s="18">
        <v>25248</v>
      </c>
      <c r="B2540" s="18" t="s">
        <v>11416</v>
      </c>
      <c r="C2540" s="18" t="s">
        <v>11419</v>
      </c>
      <c r="D2540" s="5" t="str">
        <f ca="1">IFERROR(__xludf.DUMMYFUNCTION("GOOGLETRANSLATE(B2540,""ja"",""vi"")"),"Lướt ván buồm")</f>
        <v>Lướt ván buồm</v>
      </c>
      <c r="E2540" s="5" t="str">
        <f ca="1">IFERROR(__xludf.DUMMYFUNCTION("GOOGLETRANSLATE(C2540,""ja"",""vi"")"),"Đấu giá&gt; thể thao, giải trí&gt; Bằng Sport&gt; lướt ván")</f>
        <v>Đấu giá&gt; thể thao, giải trí&gt; Bằng Sport&gt; lướt ván</v>
      </c>
      <c r="F2540" t="str">
        <f t="shared" ca="1" si="39"/>
        <v>"25248" : "Lướt ván buồm",</v>
      </c>
    </row>
    <row r="2541" spans="1:6" ht="15.75" customHeight="1">
      <c r="A2541" s="18">
        <v>25244</v>
      </c>
      <c r="B2541" s="18" t="s">
        <v>11424</v>
      </c>
      <c r="C2541" s="18" t="s">
        <v>11426</v>
      </c>
      <c r="D2541" s="5" t="str">
        <f ca="1">IFERROR(__xludf.DUMMYFUNCTION("GOOGLETRANSLATE(B2541,""ja"",""vi"")"),"wakeboarding")</f>
        <v>wakeboarding</v>
      </c>
      <c r="E2541" s="5" t="str">
        <f ca="1">IFERROR(__xludf.DUMMYFUNCTION("GOOGLETRANSLATE(C2541,""ja"",""vi"")"),"Đấu giá&gt; thể thao, giải trí&gt; Bằng Sport&gt; wakeboard")</f>
        <v>Đấu giá&gt; thể thao, giải trí&gt; Bằng Sport&gt; wakeboard</v>
      </c>
      <c r="F2541" t="str">
        <f t="shared" ca="1" si="39"/>
        <v>"25244" : "wakeboarding",</v>
      </c>
    </row>
    <row r="2542" spans="1:6" ht="15.75" customHeight="1">
      <c r="A2542" s="18">
        <v>2084196837</v>
      </c>
      <c r="B2542" s="18" t="s">
        <v>8399</v>
      </c>
      <c r="C2542" s="18" t="s">
        <v>11431</v>
      </c>
      <c r="D2542" s="5" t="str">
        <f ca="1">IFERROR(__xludf.DUMMYFUNCTION("GOOGLETRANSLATE(B2542,""ja"",""vi"")"),"đi bộ")</f>
        <v>đi bộ</v>
      </c>
      <c r="E2542" s="5" t="str">
        <f ca="1">IFERROR(__xludf.DUMMYFUNCTION("GOOGLETRANSLATE(C2542,""ja"",""vi"")"),"Đấu giá&gt; thể thao, giải trí&gt; Bằng Sport&gt; Đi bộ")</f>
        <v>Đấu giá&gt; thể thao, giải trí&gt; Bằng Sport&gt; Đi bộ</v>
      </c>
      <c r="F2542" t="str">
        <f t="shared" ca="1" si="39"/>
        <v>"2084196837" : "đi bộ",</v>
      </c>
    </row>
    <row r="2543" spans="1:6" ht="15.75" customHeight="1">
      <c r="A2543" s="18">
        <v>25154</v>
      </c>
      <c r="B2543" s="18" t="s">
        <v>11435</v>
      </c>
      <c r="C2543" s="18" t="s">
        <v>11437</v>
      </c>
      <c r="D2543" s="5" t="str">
        <f ca="1">IFERROR(__xludf.DUMMYFUNCTION("GOOGLETRANSLATE(B2543,""ja"",""vi"")"),"tập thể dục Thiết bị")</f>
        <v>tập thể dục Thiết bị</v>
      </c>
      <c r="E2543" s="5" t="str">
        <f ca="1">IFERROR(__xludf.DUMMYFUNCTION("GOOGLETRANSLATE(C2543,""ja"",""vi"")"),"Đấu giá&gt; thể thao, giải trí&gt; thể thao khác&gt; nguồn cung cấp tập thể dục")</f>
        <v>Đấu giá&gt; thể thao, giải trí&gt; thể thao khác&gt; nguồn cung cấp tập thể dục</v>
      </c>
      <c r="F2543" t="str">
        <f t="shared" ca="1" si="39"/>
        <v>"25154" : "tập thể dục Thiết bị",</v>
      </c>
    </row>
    <row r="2544" spans="1:6" ht="15.75" customHeight="1">
      <c r="A2544" s="18">
        <v>2084047456</v>
      </c>
      <c r="B2544" s="18" t="s">
        <v>5690</v>
      </c>
      <c r="C2544" s="18" t="s">
        <v>11442</v>
      </c>
      <c r="D2544" s="5" t="str">
        <f ca="1">IFERROR(__xludf.DUMMYFUNCTION("GOOGLETRANSLATE(B2544,""ja"",""vi"")"),"đua xe")</f>
        <v>đua xe</v>
      </c>
      <c r="E2544" s="5" t="str">
        <f ca="1">IFERROR(__xludf.DUMMYFUNCTION("GOOGLETRANSLATE(C2544,""ja"",""vi"")"),"Đấu giá&gt; thể thao, giải trí&gt; thể thao khác&gt; xe đua")</f>
        <v>Đấu giá&gt; thể thao, giải trí&gt; thể thao khác&gt; xe đua</v>
      </c>
      <c r="F2544" t="str">
        <f t="shared" ca="1" si="39"/>
        <v>"2084047456" : "đua xe",</v>
      </c>
    </row>
    <row r="2545" spans="1:6" ht="15.75" customHeight="1">
      <c r="A2545" s="18">
        <v>25042</v>
      </c>
      <c r="B2545" s="18" t="s">
        <v>1254</v>
      </c>
      <c r="C2545" s="18" t="s">
        <v>11447</v>
      </c>
      <c r="D2545" s="5" t="str">
        <f ca="1">IFERROR(__xludf.DUMMYFUNCTION("GOOGLETRANSLATE(B2545,""ja"",""vi"")"),"golf")</f>
        <v>golf</v>
      </c>
      <c r="E2545" s="5" t="str">
        <f ca="1">IFERROR(__xludf.DUMMYFUNCTION("GOOGLETRANSLATE(C2545,""ja"",""vi"")"),"Đấu giá&gt; thể thao, giải trí&gt; Bằng cách thể thao&gt; Golf")</f>
        <v>Đấu giá&gt; thể thao, giải trí&gt; Bằng cách thể thao&gt; Golf</v>
      </c>
      <c r="F2545" t="str">
        <f t="shared" ca="1" si="39"/>
        <v>"25042" : "golf",</v>
      </c>
    </row>
    <row r="2546" spans="1:6" ht="15.75" customHeight="1">
      <c r="A2546" s="18">
        <v>2084032407</v>
      </c>
      <c r="B2546" s="18" t="s">
        <v>1311</v>
      </c>
      <c r="C2546" s="18" t="s">
        <v>11452</v>
      </c>
      <c r="D2546" s="5" t="str">
        <f ca="1">IFERROR(__xludf.DUMMYFUNCTION("GOOGLETRANSLATE(B2546,""ja"",""vi"")"),"Võ thuật, Wrestling")</f>
        <v>Võ thuật, Wrestling</v>
      </c>
      <c r="E2546" s="5" t="str">
        <f ca="1">IFERROR(__xludf.DUMMYFUNCTION("GOOGLETRANSLATE(C2546,""ja"",""vi"")"),"Đấu giá&gt; thể thao, giải trí&gt; Bằng cách thể thao&gt; Võ thuật, Wrestling")</f>
        <v>Đấu giá&gt; thể thao, giải trí&gt; Bằng cách thể thao&gt; Võ thuật, Wrestling</v>
      </c>
      <c r="F2546" t="str">
        <f t="shared" ca="1" si="39"/>
        <v>"2084032407" : "Võ thuật, Wrestling",</v>
      </c>
    </row>
    <row r="2547" spans="1:6" ht="15.75" customHeight="1">
      <c r="A2547" s="18">
        <v>2084228304</v>
      </c>
      <c r="B2547" s="18" t="s">
        <v>11455</v>
      </c>
      <c r="C2547" s="18" t="s">
        <v>11458</v>
      </c>
      <c r="D2547" s="5" t="str">
        <f ca="1">IFERROR(__xludf.DUMMYFUNCTION("GOOGLETRANSLATE(B2547,""ja"",""vi"")"),"bắn cung Nhật Bản")</f>
        <v>bắn cung Nhật Bản</v>
      </c>
      <c r="E2547" s="5" t="str">
        <f ca="1">IFERROR(__xludf.DUMMYFUNCTION("GOOGLETRANSLATE(C2547,""ja"",""vi"")"),"Đấu giá&gt; thể thao, giải trí&gt; Bằng Sport&gt; Bắn cung")</f>
        <v>Đấu giá&gt; thể thao, giải trí&gt; Bằng Sport&gt; Bắn cung</v>
      </c>
      <c r="F2547" t="str">
        <f t="shared" ca="1" si="39"/>
        <v>"2084228304" : "bắn cung Nhật Bản",</v>
      </c>
    </row>
    <row r="2548" spans="1:6" ht="15.75" customHeight="1">
      <c r="A2548" s="18">
        <v>2084258252</v>
      </c>
      <c r="B2548" s="18" t="s">
        <v>11461</v>
      </c>
      <c r="C2548" s="18" t="s">
        <v>11463</v>
      </c>
      <c r="D2548" s="5" t="str">
        <f ca="1">IFERROR(__xludf.DUMMYFUNCTION("GOOGLETRANSLATE(B2548,""ja"",""vi"")"),"Karate")</f>
        <v>Karate</v>
      </c>
      <c r="E2548" s="5" t="str">
        <f ca="1">IFERROR(__xludf.DUMMYFUNCTION("GOOGLETRANSLATE(C2548,""ja"",""vi"")"),"Đấu giá&gt; thể thao, giải trí&gt; Bằng Sport&gt; karate")</f>
        <v>Đấu giá&gt; thể thao, giải trí&gt; Bằng Sport&gt; karate</v>
      </c>
      <c r="F2548" t="str">
        <f t="shared" ca="1" si="39"/>
        <v>"2084258252" : "Karate",</v>
      </c>
    </row>
    <row r="2549" spans="1:6" ht="15.75" customHeight="1">
      <c r="A2549" s="18">
        <v>2084005345</v>
      </c>
      <c r="B2549" s="18" t="s">
        <v>11466</v>
      </c>
      <c r="C2549" s="18" t="s">
        <v>11468</v>
      </c>
      <c r="D2549" s="5" t="str">
        <f ca="1">IFERROR(__xludf.DUMMYFUNCTION("GOOGLETRANSLATE(B2549,""ja"",""vi"")"),"Kendo")</f>
        <v>Kendo</v>
      </c>
      <c r="E2549" s="5" t="str">
        <f ca="1">IFERROR(__xludf.DUMMYFUNCTION("GOOGLETRANSLATE(C2549,""ja"",""vi"")"),"Đấu giá&gt; thể thao, giải trí&gt; Bằng Sport&gt; Kendo")</f>
        <v>Đấu giá&gt; thể thao, giải trí&gt; Bằng Sport&gt; Kendo</v>
      </c>
      <c r="F2549" t="str">
        <f t="shared" ca="1" si="39"/>
        <v>"2084005345" : "Kendo",</v>
      </c>
    </row>
    <row r="2550" spans="1:6" ht="15.75" customHeight="1">
      <c r="A2550" s="18">
        <v>25242</v>
      </c>
      <c r="B2550" s="18" t="s">
        <v>9352</v>
      </c>
      <c r="C2550" s="18" t="s">
        <v>11472</v>
      </c>
      <c r="D2550" s="5" t="str">
        <f ca="1">IFERROR(__xludf.DUMMYFUNCTION("GOOGLETRANSLATE(B2550,""ja"",""vi"")"),"lướt sóng")</f>
        <v>lướt sóng</v>
      </c>
      <c r="E2550" s="5" t="str">
        <f ca="1">IFERROR(__xludf.DUMMYFUNCTION("GOOGLETRANSLATE(C2550,""ja"",""vi"")"),"Đấu giá&gt; thể thao, giải trí&gt; Bằng Sport&gt; Lướt sóng")</f>
        <v>Đấu giá&gt; thể thao, giải trí&gt; Bằng Sport&gt; Lướt sóng</v>
      </c>
      <c r="F2550" t="str">
        <f t="shared" ca="1" si="39"/>
        <v>"25242" : "lướt sóng",</v>
      </c>
    </row>
    <row r="2551" spans="1:6" ht="15.75" customHeight="1">
      <c r="A2551" s="18">
        <v>25344</v>
      </c>
      <c r="B2551" s="18" t="s">
        <v>1262</v>
      </c>
      <c r="C2551" s="18" t="s">
        <v>11477</v>
      </c>
      <c r="D2551" s="5" t="str">
        <f ca="1">IFERROR(__xludf.DUMMYFUNCTION("GOOGLETRANSLATE(B2551,""ja"",""vi"")"),"bóng đá")</f>
        <v>bóng đá</v>
      </c>
      <c r="E2551" s="5" t="str">
        <f ca="1">IFERROR(__xludf.DUMMYFUNCTION("GOOGLETRANSLATE(C2551,""ja"",""vi"")"),"Đấu giá&gt; thể thao, giải trí&gt; Bằng cách thể thao&gt; Bóng đá")</f>
        <v>Đấu giá&gt; thể thao, giải trí&gt; Bằng cách thể thao&gt; Bóng đá</v>
      </c>
      <c r="F2551" t="str">
        <f t="shared" ca="1" si="39"/>
        <v>"25344" : "bóng đá",</v>
      </c>
    </row>
    <row r="2552" spans="1:6" ht="15.75" customHeight="1">
      <c r="A2552" s="18">
        <v>2084048552</v>
      </c>
      <c r="B2552" s="18" t="s">
        <v>11481</v>
      </c>
      <c r="C2552" s="18" t="s">
        <v>11484</v>
      </c>
      <c r="D2552" s="5" t="str">
        <f ca="1">IFERROR(__xludf.DUMMYFUNCTION("GOOGLETRANSLATE(B2552,""ja"",""vi"")"),"Sky Sports")</f>
        <v>Sky Sports</v>
      </c>
      <c r="E2552" s="5" t="str">
        <f ca="1">IFERROR(__xludf.DUMMYFUNCTION("GOOGLETRANSLATE(C2552,""ja"",""vi"")"),"Đấu giá&gt; thể thao, giải trí&gt; Bằng Sport&gt; Sky Sports")</f>
        <v>Đấu giá&gt; thể thao, giải trí&gt; Bằng Sport&gt; Sky Sports</v>
      </c>
      <c r="F2552" t="str">
        <f t="shared" ca="1" si="39"/>
        <v>"2084048552" : "Sky Sports",</v>
      </c>
    </row>
    <row r="2553" spans="1:6" ht="15.75" customHeight="1">
      <c r="A2553" s="18">
        <v>2084032405</v>
      </c>
      <c r="B2553" s="18" t="s">
        <v>11487</v>
      </c>
      <c r="C2553" s="18" t="s">
        <v>11488</v>
      </c>
      <c r="D2553" s="5" t="str">
        <f ca="1">IFERROR(__xludf.DUMMYFUNCTION("GOOGLETRANSLATE(B2553,""ja"",""vi"")"),"bí đao")</f>
        <v>bí đao</v>
      </c>
      <c r="E2553" s="5" t="str">
        <f ca="1">IFERROR(__xludf.DUMMYFUNCTION("GOOGLETRANSLATE(C2553,""ja"",""vi"")"),"Đấu giá&gt; thể thao, giải trí&gt; Bằng Sport&gt; Squash")</f>
        <v>Đấu giá&gt; thể thao, giải trí&gt; Bằng Sport&gt; Squash</v>
      </c>
      <c r="F2553" t="str">
        <f t="shared" ca="1" si="39"/>
        <v>"2084032405" : "bí đao",</v>
      </c>
    </row>
    <row r="2554" spans="1:6" ht="15.75" customHeight="1">
      <c r="A2554" s="18">
        <v>25102</v>
      </c>
      <c r="B2554" s="18" t="s">
        <v>11493</v>
      </c>
      <c r="C2554" s="18" t="s">
        <v>11494</v>
      </c>
      <c r="D2554" s="5" t="str">
        <f ca="1">IFERROR(__xludf.DUMMYFUNCTION("GOOGLETRANSLATE(B2554,""ja"",""vi"")"),"trượt tuyết")</f>
        <v>trượt tuyết</v>
      </c>
      <c r="E2554" s="5" t="str">
        <f ca="1">IFERROR(__xludf.DUMMYFUNCTION("GOOGLETRANSLATE(C2554,""ja"",""vi"")"),"Đấu giá&gt; thể thao, giải trí&gt; Bằng Sport&gt; trượt tuyết")</f>
        <v>Đấu giá&gt; thể thao, giải trí&gt; Bằng Sport&gt; trượt tuyết</v>
      </c>
      <c r="F2554" t="str">
        <f t="shared" ca="1" si="39"/>
        <v>"25102" : "trượt tuyết",</v>
      </c>
    </row>
    <row r="2555" spans="1:6" ht="15.75" customHeight="1">
      <c r="A2555" s="18">
        <v>25294</v>
      </c>
      <c r="B2555" s="18" t="s">
        <v>11500</v>
      </c>
      <c r="C2555" s="18" t="s">
        <v>11503</v>
      </c>
      <c r="D2555" s="5" t="str">
        <f ca="1">IFERROR(__xludf.DUMMYFUNCTION("GOOGLETRANSLATE(B2555,""ja"",""vi"")"),"lặn bằng bình khí")</f>
        <v>lặn bằng bình khí</v>
      </c>
      <c r="E2555" s="5" t="str">
        <f ca="1">IFERROR(__xludf.DUMMYFUNCTION("GOOGLETRANSLATE(C2555,""ja"",""vi"")"),"Đấu giá&gt; thể thao, giải trí&gt; thể thao khác&gt; lặn biển")</f>
        <v>Đấu giá&gt; thể thao, giải trí&gt; thể thao khác&gt; lặn biển</v>
      </c>
      <c r="F2555" t="str">
        <f t="shared" ca="1" si="39"/>
        <v>"25294" : "lặn bằng bình khí",</v>
      </c>
    </row>
    <row r="2556" spans="1:6" ht="15.75" customHeight="1">
      <c r="A2556" s="18">
        <v>25318</v>
      </c>
      <c r="B2556" s="18" t="s">
        <v>11506</v>
      </c>
      <c r="C2556" s="18" t="s">
        <v>11510</v>
      </c>
      <c r="D2556" s="5" t="str">
        <f ca="1">IFERROR(__xludf.DUMMYFUNCTION("GOOGLETRANSLATE(B2556,""ja"",""vi"")"),"skateboard")</f>
        <v>skateboard</v>
      </c>
      <c r="E2556" s="5" t="str">
        <f ca="1">IFERROR(__xludf.DUMMYFUNCTION("GOOGLETRANSLATE(C2556,""ja"",""vi"")"),"Đấu giá&gt; thể thao, giải trí&gt; Bằng Sport&gt; skateboard")</f>
        <v>Đấu giá&gt; thể thao, giải trí&gt; Bằng Sport&gt; skateboard</v>
      </c>
      <c r="F2556" t="str">
        <f t="shared" ca="1" si="39"/>
        <v>"25318" : "skateboard",</v>
      </c>
    </row>
    <row r="2557" spans="1:6" ht="15.75" customHeight="1">
      <c r="A2557" s="18">
        <v>25118</v>
      </c>
      <c r="B2557" s="18" t="s">
        <v>9364</v>
      </c>
      <c r="C2557" s="18" t="s">
        <v>11515</v>
      </c>
      <c r="D2557" s="5" t="str">
        <f ca="1">IFERROR(__xludf.DUMMYFUNCTION("GOOGLETRANSLATE(B2557,""ja"",""vi"")"),"trượt ván trên tuyết")</f>
        <v>trượt ván trên tuyết</v>
      </c>
      <c r="E2557" s="5" t="str">
        <f ca="1">IFERROR(__xludf.DUMMYFUNCTION("GOOGLETRANSLATE(C2557,""ja"",""vi"")"),"Đấu giá&gt; thể thao, giải trí&gt; Bằng Sport&gt; Snowboard")</f>
        <v>Đấu giá&gt; thể thao, giải trí&gt; Bằng Sport&gt; Snowboard</v>
      </c>
      <c r="F2557" t="str">
        <f t="shared" ca="1" si="39"/>
        <v>"25118" : "trượt ván trên tuyết",</v>
      </c>
    </row>
    <row r="2558" spans="1:6" ht="15.75" customHeight="1">
      <c r="A2558" s="18">
        <v>25238</v>
      </c>
      <c r="B2558" s="18" t="s">
        <v>11518</v>
      </c>
      <c r="C2558" s="18" t="s">
        <v>11521</v>
      </c>
      <c r="D2558" s="5" t="str">
        <f ca="1">IFERROR(__xludf.DUMMYFUNCTION("GOOGLETRANSLATE(B2558,""ja"",""vi"")"),"tuyết di động")</f>
        <v>tuyết di động</v>
      </c>
      <c r="E2558" s="5" t="str">
        <f ca="1">IFERROR(__xludf.DUMMYFUNCTION("GOOGLETRANSLATE(C2558,""ja"",""vi"")"),"Đấu giá&gt; thể thao, giải trí&gt; Bằng Sport&gt; Xe chạy trên tuyết")</f>
        <v>Đấu giá&gt; thể thao, giải trí&gt; Bằng Sport&gt; Xe chạy trên tuyết</v>
      </c>
      <c r="F2558" t="str">
        <f t="shared" ca="1" si="39"/>
        <v>"25238" : "tuyết di động",</v>
      </c>
    </row>
    <row r="2559" spans="1:6" ht="15.75" customHeight="1">
      <c r="A2559" s="18">
        <v>25352</v>
      </c>
      <c r="B2559" s="18" t="s">
        <v>1268</v>
      </c>
      <c r="C2559" s="18" t="s">
        <v>11526</v>
      </c>
      <c r="D2559" s="5" t="str">
        <f ca="1">IFERROR(__xludf.DUMMYFUNCTION("GOOGLETRANSLATE(B2559,""ja"",""vi"")"),"softball")</f>
        <v>softball</v>
      </c>
      <c r="E2559" s="5" t="str">
        <f ca="1">IFERROR(__xludf.DUMMYFUNCTION("GOOGLETRANSLATE(C2559,""ja"",""vi"")"),"Đấu giá&gt; thể thao, giải trí&gt; Bằng Sport&gt; Softball")</f>
        <v>Đấu giá&gt; thể thao, giải trí&gt; Bằng Sport&gt; Softball</v>
      </c>
      <c r="F2559" t="str">
        <f t="shared" ca="1" si="39"/>
        <v>"25352" : "softball",</v>
      </c>
    </row>
    <row r="2560" spans="1:6" ht="15.75" customHeight="1">
      <c r="A2560" s="18">
        <v>26222</v>
      </c>
      <c r="B2560" s="18" t="s">
        <v>5450</v>
      </c>
      <c r="C2560" s="18" t="s">
        <v>11531</v>
      </c>
      <c r="D2560" s="5" t="str">
        <f ca="1">IFERROR(__xludf.DUMMYFUNCTION("GOOGLETRANSLATE(B2560,""ja"",""vi"")"),"Xe đạp, xe đạp")</f>
        <v>Xe đạp, xe đạp</v>
      </c>
      <c r="E2560" s="5" t="str">
        <f ca="1">IFERROR(__xludf.DUMMYFUNCTION("GOOGLETRANSLATE(C2560,""ja"",""vi"")"),"Đấu giá&gt; thể thao, giải trí&gt; Bằng Sport&gt; xe đạp, xe đạp")</f>
        <v>Đấu giá&gt; thể thao, giải trí&gt; Bằng Sport&gt; xe đạp, xe đạp</v>
      </c>
      <c r="F2560" t="str">
        <f t="shared" ca="1" si="39"/>
        <v>"26222" : "Xe đạp, xe đạp",</v>
      </c>
    </row>
    <row r="2561" spans="1:6" ht="15.75" customHeight="1">
      <c r="A2561" s="18">
        <v>2084005448</v>
      </c>
      <c r="B2561" s="18" t="s">
        <v>11535</v>
      </c>
      <c r="C2561" s="18" t="s">
        <v>11536</v>
      </c>
      <c r="D2561" s="5" t="str">
        <f ca="1">IFERROR(__xludf.DUMMYFUNCTION("GOOGLETRANSLATE(B2561,""ja"",""vi"")"),"võ juđô")</f>
        <v>võ juđô</v>
      </c>
      <c r="E2561" s="5" t="str">
        <f ca="1">IFERROR(__xludf.DUMMYFUNCTION("GOOGLETRANSLATE(C2561,""ja"",""vi"")"),"Đấu giá&gt; thể thao, giải trí&gt; Bằng Sport&gt; Judo")</f>
        <v>Đấu giá&gt; thể thao, giải trí&gt; Bằng Sport&gt; Judo</v>
      </c>
      <c r="F2561" t="str">
        <f t="shared" ca="1" si="39"/>
        <v>"2084005448" : "võ juđô",</v>
      </c>
    </row>
    <row r="2562" spans="1:6" ht="15.75" customHeight="1">
      <c r="A2562" s="18">
        <v>2084047835</v>
      </c>
      <c r="B2562" s="18" t="s">
        <v>11541</v>
      </c>
      <c r="C2562" s="18" t="s">
        <v>11542</v>
      </c>
      <c r="D2562" s="5" t="str">
        <f ca="1">IFERROR(__xludf.DUMMYFUNCTION("GOOGLETRANSLATE(B2562,""ja"",""vi"")"),"Thể thao cho người khuyết tật")</f>
        <v>Thể thao cho người khuyết tật</v>
      </c>
      <c r="E2562" s="5" t="str">
        <f ca="1">IFERROR(__xludf.DUMMYFUNCTION("GOOGLETRANSLATE(C2562,""ja"",""vi"")"),"Đấu giá&gt; thể thao, giải trí&gt; Bằng cách thể thao&gt; Thể thao cho người khuyết tật")</f>
        <v>Đấu giá&gt; thể thao, giải trí&gt; Bằng cách thể thao&gt; Thể thao cho người khuyết tật</v>
      </c>
      <c r="F2562" t="str">
        <f t="shared" ref="F2562:F2625" ca="1" si="40">CONCATENATE(CHAR(34)&amp;"",A2562,""&amp;CHAR(34)," : ", CHAR(34)&amp;"",D2562,""&amp;CHAR(34),",")</f>
        <v>"2084047835" : "Thể thao cho người khuyết tật",</v>
      </c>
    </row>
    <row r="2563" spans="1:6" ht="15.75" customHeight="1">
      <c r="A2563" s="18">
        <v>25230</v>
      </c>
      <c r="B2563" s="18" t="s">
        <v>11545</v>
      </c>
      <c r="C2563" s="18" t="s">
        <v>11546</v>
      </c>
      <c r="D2563" s="5" t="str">
        <f ca="1">IFERROR(__xludf.DUMMYFUNCTION("GOOGLETRANSLATE(B2563,""ja"",""vi"")"),"Cưỡi ngựa, cưỡi ngựa")</f>
        <v>Cưỡi ngựa, cưỡi ngựa</v>
      </c>
      <c r="E2563" s="5" t="str">
        <f ca="1">IFERROR(__xludf.DUMMYFUNCTION("GOOGLETRANSLATE(C2563,""ja"",""vi"")"),"Đấu giá&gt; thể thao, giải trí&gt; Bằng Sport&gt; cưỡi ngựa, cưỡi ngựa")</f>
        <v>Đấu giá&gt; thể thao, giải trí&gt; Bằng Sport&gt; cưỡi ngựa, cưỡi ngựa</v>
      </c>
      <c r="F2563" t="str">
        <f t="shared" ca="1" si="40"/>
        <v>"25230" : "Cưỡi ngựa, cưỡi ngựa",</v>
      </c>
    </row>
    <row r="2564" spans="1:6" ht="15.75" customHeight="1">
      <c r="A2564" s="18">
        <v>2084259893</v>
      </c>
      <c r="B2564" s="18" t="s">
        <v>11550</v>
      </c>
      <c r="C2564" s="18" t="s">
        <v>11552</v>
      </c>
      <c r="D2564" s="5" t="str">
        <f ca="1">IFERROR(__xludf.DUMMYFUNCTION("GOOGLETRANSLATE(B2564,""ja"",""vi"")"),"Thể dục nhịp điệu")</f>
        <v>Thể dục nhịp điệu</v>
      </c>
      <c r="E2564" s="5" t="str">
        <f ca="1">IFERROR(__xludf.DUMMYFUNCTION("GOOGLETRANSLATE(C2564,""ja"",""vi"")"),"Đấu giá&gt; thể thao, giải trí&gt; Bằng cách thể thao&gt; Thể dục nhịp điệu")</f>
        <v>Đấu giá&gt; thể thao, giải trí&gt; Bằng cách thể thao&gt; Thể dục nhịp điệu</v>
      </c>
      <c r="F2564" t="str">
        <f t="shared" ca="1" si="40"/>
        <v>"2084259893" : "Thể dục nhịp điệu",</v>
      </c>
    </row>
    <row r="2565" spans="1:6" ht="15.75" customHeight="1">
      <c r="A2565" s="18">
        <v>2084051833</v>
      </c>
      <c r="B2565" s="18" t="s">
        <v>11556</v>
      </c>
      <c r="C2565" s="18" t="s">
        <v>11558</v>
      </c>
      <c r="D2565" s="5" t="str">
        <f ca="1">IFERROR(__xludf.DUMMYFUNCTION("GOOGLETRANSLATE(B2565,""ja"",""vi"")"),"Bể")</f>
        <v>Bể</v>
      </c>
      <c r="E2565" s="5" t="str">
        <f ca="1">IFERROR(__xludf.DUMMYFUNCTION("GOOGLETRANSLATE(C2565,""ja"",""vi"")"),"Đấu giá&gt; thể thao, giải trí&gt; Bằng cách thể thao&gt; Bơi")</f>
        <v>Đấu giá&gt; thể thao, giải trí&gt; Bằng cách thể thao&gt; Bơi</v>
      </c>
      <c r="F2565" t="str">
        <f t="shared" ca="1" si="40"/>
        <v>"2084051833" : "Bể",</v>
      </c>
    </row>
    <row r="2566" spans="1:6" ht="15.75" customHeight="1">
      <c r="A2566" s="18">
        <v>25246</v>
      </c>
      <c r="B2566" s="18" t="s">
        <v>11562</v>
      </c>
      <c r="C2566" s="18" t="s">
        <v>11564</v>
      </c>
      <c r="D2566" s="5" t="str">
        <f ca="1">IFERROR(__xludf.DUMMYFUNCTION("GOOGLETRANSLATE(B2566,""ja"",""vi"")"),"trượt nước")</f>
        <v>trượt nước</v>
      </c>
      <c r="E2566" s="5" t="str">
        <f ca="1">IFERROR(__xludf.DUMMYFUNCTION("GOOGLETRANSLATE(C2566,""ja"",""vi"")"),"Đấu giá&gt; thể thao, giải trí&gt; Bằng Sport&gt; Trượt nước")</f>
        <v>Đấu giá&gt; thể thao, giải trí&gt; Bằng Sport&gt; Trượt nước</v>
      </c>
      <c r="F2566" t="str">
        <f t="shared" ca="1" si="40"/>
        <v>"25246" : "trượt nước",</v>
      </c>
    </row>
    <row r="2567" spans="1:6" ht="15.75" customHeight="1">
      <c r="A2567" s="18">
        <v>2084231476</v>
      </c>
      <c r="B2567" s="18" t="s">
        <v>11567</v>
      </c>
      <c r="C2567" s="18" t="s">
        <v>11570</v>
      </c>
      <c r="D2567" s="5" t="str">
        <f ca="1">IFERROR(__xludf.DUMMYFUNCTION("GOOGLETRANSLATE(B2567,""ja"",""vi"")"),"Sumo đấu vật")</f>
        <v>Sumo đấu vật</v>
      </c>
      <c r="E2567" s="5" t="str">
        <f ca="1">IFERROR(__xludf.DUMMYFUNCTION("GOOGLETRANSLATE(C2567,""ja"",""vi"")"),"Đấu giá&gt; thể thao, giải trí&gt; Bằng Sport&gt; Sumo")</f>
        <v>Đấu giá&gt; thể thao, giải trí&gt; Bằng Sport&gt; Sumo</v>
      </c>
      <c r="F2567" t="str">
        <f t="shared" ca="1" si="40"/>
        <v>"2084231476" : "Sumo đấu vật",</v>
      </c>
    </row>
    <row r="2568" spans="1:6" ht="15.75" customHeight="1">
      <c r="A2568" s="18">
        <v>25856</v>
      </c>
      <c r="B2568" s="18" t="s">
        <v>11573</v>
      </c>
      <c r="C2568" s="18" t="s">
        <v>11575</v>
      </c>
      <c r="D2568" s="5" t="str">
        <f ca="1">IFERROR(__xludf.DUMMYFUNCTION("GOOGLETRANSLATE(B2568,""ja"",""vi"")"),"phi tiêu")</f>
        <v>phi tiêu</v>
      </c>
      <c r="E2568" s="5" t="str">
        <f ca="1">IFERROR(__xludf.DUMMYFUNCTION("GOOGLETRANSLATE(C2568,""ja"",""vi"")"),"Đấu giá&gt; thể thao, giải trí&gt; Bằng Sport&gt; Darts")</f>
        <v>Đấu giá&gt; thể thao, giải trí&gt; Bằng Sport&gt; Darts</v>
      </c>
      <c r="F2568" t="str">
        <f t="shared" ca="1" si="40"/>
        <v>"25856" : "phi tiêu",</v>
      </c>
    </row>
    <row r="2569" spans="1:6" ht="15.75" customHeight="1">
      <c r="A2569" s="18">
        <v>2084047566</v>
      </c>
      <c r="B2569" s="18" t="s">
        <v>11579</v>
      </c>
      <c r="C2569" s="18" t="s">
        <v>11581</v>
      </c>
      <c r="D2569" s="5" t="str">
        <f ca="1">IFERROR(__xludf.DUMMYFUNCTION("GOOGLETRANSLATE(B2569,""ja"",""vi"")"),"Khiêu vũ, múa ba lê")</f>
        <v>Khiêu vũ, múa ba lê</v>
      </c>
      <c r="E2569" s="5" t="str">
        <f ca="1">IFERROR(__xludf.DUMMYFUNCTION("GOOGLETRANSLATE(C2569,""ja"",""vi"")"),"Đấu giá&gt; thể thao, giải trí&gt; thể thao khác&gt; Khiêu vũ, múa ba lê")</f>
        <v>Đấu giá&gt; thể thao, giải trí&gt; thể thao khác&gt; Khiêu vũ, múa ba lê</v>
      </c>
      <c r="F2569" t="str">
        <f t="shared" ca="1" si="40"/>
        <v>"2084047566" : "Khiêu vũ, múa ba lê",</v>
      </c>
    </row>
    <row r="2570" spans="1:6" ht="15.75" customHeight="1">
      <c r="A2570" s="18">
        <v>2084032399</v>
      </c>
      <c r="B2570" s="18" t="s">
        <v>1276</v>
      </c>
      <c r="C2570" s="18" t="s">
        <v>11585</v>
      </c>
      <c r="D2570" s="5" t="str">
        <f ca="1">IFERROR(__xludf.DUMMYFUNCTION("GOOGLETRANSLATE(B2570,""ja"",""vi"")"),"quần vợt")</f>
        <v>quần vợt</v>
      </c>
      <c r="E2570" s="5" t="str">
        <f ca="1">IFERROR(__xludf.DUMMYFUNCTION("GOOGLETRANSLATE(C2570,""ja"",""vi"")"),"Đấu giá&gt; thể thao, giải trí&gt; Bằng cách thể thao&gt; Tennis")</f>
        <v>Đấu giá&gt; thể thao, giải trí&gt; Bằng cách thể thao&gt; Tennis</v>
      </c>
      <c r="F2570" t="str">
        <f t="shared" ca="1" si="40"/>
        <v>"2084032399" : "quần vợt",</v>
      </c>
    </row>
    <row r="2571" spans="1:6" ht="15.75" customHeight="1">
      <c r="A2571" s="18">
        <v>2084299350</v>
      </c>
      <c r="B2571" s="18" t="s">
        <v>11590</v>
      </c>
      <c r="C2571" s="18" t="s">
        <v>11592</v>
      </c>
      <c r="D2571" s="5" t="str">
        <f ca="1">IFERROR(__xludf.DUMMYFUNCTION("GOOGLETRANSLATE(B2571,""ja"",""vi"")"),"Triathlon")</f>
        <v>Triathlon</v>
      </c>
      <c r="E2571" s="5" t="str">
        <f ca="1">IFERROR(__xludf.DUMMYFUNCTION("GOOGLETRANSLATE(C2571,""ja"",""vi"")"),"Đấu giá&gt; thể thao, giải trí&gt; Bằng Sport&gt; Triathlon")</f>
        <v>Đấu giá&gt; thể thao, giải trí&gt; Bằng Sport&gt; Triathlon</v>
      </c>
      <c r="F2571" t="str">
        <f t="shared" ca="1" si="40"/>
        <v>"2084299350" : "Triathlon",</v>
      </c>
    </row>
    <row r="2572" spans="1:6" ht="15.75" customHeight="1">
      <c r="A2572" s="18">
        <v>25202</v>
      </c>
      <c r="B2572" s="18" t="s">
        <v>11596</v>
      </c>
      <c r="C2572" s="18" t="s">
        <v>11598</v>
      </c>
      <c r="D2572" s="5" t="str">
        <f ca="1">IFERROR(__xludf.DUMMYFUNCTION("GOOGLETRANSLATE(B2572,""ja"",""vi"")"),"Bóng bàn")</f>
        <v>Bóng bàn</v>
      </c>
      <c r="E2572" s="5" t="str">
        <f ca="1">IFERROR(__xludf.DUMMYFUNCTION("GOOGLETRANSLATE(C2572,""ja"",""vi"")"),"Đấu giá&gt; thể thao, giải trí&gt; Bằng cách thể thao&gt; Bóng bàn")</f>
        <v>Đấu giá&gt; thể thao, giải trí&gt; Bằng cách thể thao&gt; Bóng bàn</v>
      </c>
      <c r="F2572" t="str">
        <f t="shared" ca="1" si="40"/>
        <v>"25202" : "Bóng bàn",</v>
      </c>
    </row>
    <row r="2573" spans="1:6" ht="15.75" customHeight="1">
      <c r="A2573" s="18">
        <v>24930</v>
      </c>
      <c r="B2573" s="18" t="s">
        <v>11602</v>
      </c>
      <c r="C2573" s="18" t="s">
        <v>11604</v>
      </c>
      <c r="D2573" s="5" t="str">
        <f ca="1">IFERROR(__xludf.DUMMYFUNCTION("GOOGLETRANSLATE(B2573,""ja"",""vi"")"),"Leo núi")</f>
        <v>Leo núi</v>
      </c>
      <c r="E2573" s="5" t="str">
        <f ca="1">IFERROR(__xludf.DUMMYFUNCTION("GOOGLETRANSLATE(C2573,""ja"",""vi"")"),"Đấu giá&gt; thể thao, giải trí&gt; Bằng cách thể thao&gt; Leo núi")</f>
        <v>Đấu giá&gt; thể thao, giải trí&gt; Bằng cách thể thao&gt; Leo núi</v>
      </c>
      <c r="F2573" t="str">
        <f t="shared" ca="1" si="40"/>
        <v>"24930" : "Leo núi",</v>
      </c>
    </row>
    <row r="2574" spans="1:6" ht="15.75" customHeight="1">
      <c r="A2574" s="18">
        <v>2084048556</v>
      </c>
      <c r="B2574" s="18" t="s">
        <v>11608</v>
      </c>
      <c r="C2574" s="18" t="s">
        <v>11610</v>
      </c>
      <c r="D2574" s="5" t="str">
        <f ca="1">IFERROR(__xludf.DUMMYFUNCTION("GOOGLETRANSLATE(B2574,""ja"",""vi"")"),"banh để liệng")</f>
        <v>banh để liệng</v>
      </c>
      <c r="E2574" s="5" t="str">
        <f ca="1">IFERROR(__xludf.DUMMYFUNCTION("GOOGLETRANSLATE(C2574,""ja"",""vi"")"),"Đấu giá&gt; thể thao, giải trí&gt; Bằng cách thể thao&gt; Bóng ném")</f>
        <v>Đấu giá&gt; thể thao, giải trí&gt; Bằng cách thể thao&gt; Bóng ném</v>
      </c>
      <c r="F2574" t="str">
        <f t="shared" ca="1" si="40"/>
        <v>"2084048556" : "banh để liệng",</v>
      </c>
    </row>
    <row r="2575" spans="1:6" ht="15.75" customHeight="1">
      <c r="A2575" s="18">
        <v>25338</v>
      </c>
      <c r="B2575" s="18" t="s">
        <v>1288</v>
      </c>
      <c r="C2575" s="18" t="s">
        <v>11615</v>
      </c>
      <c r="D2575" s="5" t="str">
        <f ca="1">IFERROR(__xludf.DUMMYFUNCTION("GOOGLETRANSLATE(B2575,""ja"",""vi"")"),"Bóng rổ")</f>
        <v>Bóng rổ</v>
      </c>
      <c r="E2575" s="5" t="str">
        <f ca="1">IFERROR(__xludf.DUMMYFUNCTION("GOOGLETRANSLATE(C2575,""ja"",""vi"")"),"Đấu giá&gt; thể thao, giải trí&gt; Bằng cách thể thao&gt; Bóng rổ")</f>
        <v>Đấu giá&gt; thể thao, giải trí&gt; Bằng cách thể thao&gt; Bóng rổ</v>
      </c>
      <c r="F2575" t="str">
        <f t="shared" ca="1" si="40"/>
        <v>"25338" : "Bóng rổ",</v>
      </c>
    </row>
    <row r="2576" spans="1:6" ht="15.75" customHeight="1">
      <c r="A2576" s="18">
        <v>2084005449</v>
      </c>
      <c r="B2576" s="18" t="s">
        <v>11619</v>
      </c>
      <c r="C2576" s="18" t="s">
        <v>11621</v>
      </c>
      <c r="D2576" s="5" t="str">
        <f ca="1">IFERROR(__xludf.DUMMYFUNCTION("GOOGLETRANSLATE(B2576,""ja"",""vi"")"),"Cầu lông")</f>
        <v>Cầu lông</v>
      </c>
      <c r="E2576" s="5" t="str">
        <f ca="1">IFERROR(__xludf.DUMMYFUNCTION("GOOGLETRANSLATE(C2576,""ja"",""vi"")"),"Đấu giá&gt; thể thao, giải trí&gt; Bằng cách thể thao&gt; Cầu lông")</f>
        <v>Đấu giá&gt; thể thao, giải trí&gt; Bằng cách thể thao&gt; Cầu lông</v>
      </c>
      <c r="F2576" t="str">
        <f t="shared" ca="1" si="40"/>
        <v>"2084005449" : "Cầu lông",</v>
      </c>
    </row>
    <row r="2577" spans="1:6" ht="15.75" customHeight="1">
      <c r="A2577" s="18">
        <v>25342</v>
      </c>
      <c r="B2577" s="18" t="s">
        <v>1294</v>
      </c>
      <c r="C2577" s="18" t="s">
        <v>11626</v>
      </c>
      <c r="D2577" s="5" t="str">
        <f ca="1">IFERROR(__xludf.DUMMYFUNCTION("GOOGLETRANSLATE(B2577,""ja"",""vi"")"),"bóng chuyền")</f>
        <v>bóng chuyền</v>
      </c>
      <c r="E2577" s="5" t="str">
        <f ca="1">IFERROR(__xludf.DUMMYFUNCTION("GOOGLETRANSLATE(C2577,""ja"",""vi"")"),"Đấu giá&gt; thể thao, giải trí&gt; Bằng cách thể thao&gt; Bóng chuyền")</f>
        <v>Đấu giá&gt; thể thao, giải trí&gt; Bằng cách thể thao&gt; Bóng chuyền</v>
      </c>
      <c r="F2577" t="str">
        <f t="shared" ca="1" si="40"/>
        <v>"25342" : "bóng chuyền",</v>
      </c>
    </row>
    <row r="2578" spans="1:6" ht="15.75" customHeight="1">
      <c r="A2578" s="18">
        <v>2084032408</v>
      </c>
      <c r="B2578" s="18" t="s">
        <v>11631</v>
      </c>
      <c r="C2578" s="18" t="s">
        <v>11632</v>
      </c>
      <c r="D2578" s="5" t="str">
        <f ca="1">IFERROR(__xludf.DUMMYFUNCTION("GOOGLETRANSLATE(B2578,""ja"",""vi"")"),"dù lượn")</f>
        <v>dù lượn</v>
      </c>
      <c r="E2578" s="5" t="str">
        <f ca="1">IFERROR(__xludf.DUMMYFUNCTION("GOOGLETRANSLATE(C2578,""ja"",""vi"")"),"Đấu giá&gt; thể thao, giải trí&gt; Bằng Sport&gt; dù lượn")</f>
        <v>Đấu giá&gt; thể thao, giải trí&gt; Bằng Sport&gt; dù lượn</v>
      </c>
      <c r="F2578" t="str">
        <f t="shared" ca="1" si="40"/>
        <v>"2084032408" : "dù lượn",</v>
      </c>
    </row>
    <row r="2579" spans="1:6" ht="15.75" customHeight="1">
      <c r="A2579" s="18">
        <v>25204</v>
      </c>
      <c r="B2579" s="18" t="s">
        <v>11637</v>
      </c>
      <c r="C2579" s="18" t="s">
        <v>11638</v>
      </c>
      <c r="D2579" s="5" t="str">
        <f ca="1">IFERROR(__xludf.DUMMYFUNCTION("GOOGLETRANSLATE(B2579,""ja"",""vi"")"),"bida")</f>
        <v>bida</v>
      </c>
      <c r="E2579" s="5" t="str">
        <f ca="1">IFERROR(__xludf.DUMMYFUNCTION("GOOGLETRANSLATE(C2579,""ja"",""vi"")"),"Đấu giá&gt; thể thao, giải trí&gt; Bằng Sport&gt; Billiards")</f>
        <v>Đấu giá&gt; thể thao, giải trí&gt; Bằng Sport&gt; Billiards</v>
      </c>
      <c r="F2579" t="str">
        <f t="shared" ca="1" si="40"/>
        <v>"25204" : "bida",</v>
      </c>
    </row>
    <row r="2580" spans="1:6" ht="15.75" customHeight="1">
      <c r="A2580" s="18">
        <v>25340</v>
      </c>
      <c r="B2580" s="18" t="s">
        <v>11643</v>
      </c>
      <c r="C2580" s="18" t="s">
        <v>11644</v>
      </c>
      <c r="D2580" s="5" t="str">
        <f ca="1">IFERROR(__xludf.DUMMYFUNCTION("GOOGLETRANSLATE(B2580,""ja"",""vi"")"),"Hockey")</f>
        <v>Hockey</v>
      </c>
      <c r="E2580" s="5" t="str">
        <f ca="1">IFERROR(__xludf.DUMMYFUNCTION("GOOGLETRANSLATE(C2580,""ja"",""vi"")"),"Đấu giá&gt; thể thao, giải trí&gt; Bằng Sport&gt; Field Hockey")</f>
        <v>Đấu giá&gt; thể thao, giải trí&gt; Bằng Sport&gt; Field Hockey</v>
      </c>
      <c r="F2580" t="str">
        <f t="shared" ca="1" si="40"/>
        <v>"25340" : "Hockey",</v>
      </c>
    </row>
    <row r="2581" spans="1:6" ht="15.75" customHeight="1">
      <c r="A2581" s="18">
        <v>2084244286</v>
      </c>
      <c r="B2581" s="18" t="s">
        <v>11649</v>
      </c>
      <c r="C2581" s="18" t="s">
        <v>11650</v>
      </c>
      <c r="D2581" s="5" t="str">
        <f ca="1">IFERROR(__xludf.DUMMYFUNCTION("GOOGLETRANSLATE(B2581,""ja"",""vi"")"),"Futsal")</f>
        <v>Futsal</v>
      </c>
      <c r="E2581" s="5" t="str">
        <f ca="1">IFERROR(__xludf.DUMMYFUNCTION("GOOGLETRANSLATE(C2581,""ja"",""vi"")"),"Đấu giá&gt; thể thao, giải trí&gt; Bằng Sport&gt; Futsal")</f>
        <v>Đấu giá&gt; thể thao, giải trí&gt; Bằng Sport&gt; Futsal</v>
      </c>
      <c r="F2581" t="str">
        <f t="shared" ca="1" si="40"/>
        <v>"2084244286" : "Futsal",</v>
      </c>
    </row>
    <row r="2582" spans="1:6" ht="15.75" customHeight="1">
      <c r="A2582" s="18">
        <v>25226</v>
      </c>
      <c r="B2582" s="18" t="s">
        <v>11655</v>
      </c>
      <c r="C2582" s="18" t="s">
        <v>11656</v>
      </c>
      <c r="D2582" s="5" t="str">
        <f ca="1">IFERROR(__xludf.DUMMYFUNCTION("GOOGLETRANSLATE(B2582,""ja"",""vi"")"),"bowling")</f>
        <v>bowling</v>
      </c>
      <c r="E2582" s="5" t="str">
        <f ca="1">IFERROR(__xludf.DUMMYFUNCTION("GOOGLETRANSLATE(C2582,""ja"",""vi"")"),"Đấu giá&gt; thể thao, giải trí&gt; Bằng cách thể thao&gt; Bowling")</f>
        <v>Đấu giá&gt; thể thao, giải trí&gt; Bằng cách thể thao&gt; Bowling</v>
      </c>
      <c r="F2582" t="str">
        <f t="shared" ca="1" si="40"/>
        <v>"25226" : "bowling",</v>
      </c>
    </row>
    <row r="2583" spans="1:6" ht="15.75" customHeight="1">
      <c r="A2583" s="18">
        <v>2084005450</v>
      </c>
      <c r="B2583" s="18" t="s">
        <v>11661</v>
      </c>
      <c r="C2583" s="18" t="s">
        <v>11662</v>
      </c>
      <c r="D2583" s="5" t="str">
        <f ca="1">IFERROR(__xludf.DUMMYFUNCTION("GOOGLETRANSLATE(B2583,""ja"",""vi"")"),"quyền thuật")</f>
        <v>quyền thuật</v>
      </c>
      <c r="E2583" s="5" t="str">
        <f ca="1">IFERROR(__xludf.DUMMYFUNCTION("GOOGLETRANSLATE(C2583,""ja"",""vi"")"),"Đấu giá&gt; thể thao, giải trí&gt; Bằng Sport&gt; Boxing")</f>
        <v>Đấu giá&gt; thể thao, giải trí&gt; Bằng Sport&gt; Boxing</v>
      </c>
      <c r="F2583" t="str">
        <f t="shared" ca="1" si="40"/>
        <v>"2084005450" : "quyền thuật",</v>
      </c>
    </row>
    <row r="2584" spans="1:6" ht="15.75" customHeight="1">
      <c r="A2584" s="18">
        <v>2084032281</v>
      </c>
      <c r="B2584" s="18" t="s">
        <v>8501</v>
      </c>
      <c r="C2584" s="18" t="s">
        <v>11667</v>
      </c>
      <c r="D2584" s="5" t="str">
        <f ca="1">IFERROR(__xludf.DUMMYFUNCTION("GOOGLETRANSLATE(B2584,""ja"",""vi"")"),"Ban cơ thể")</f>
        <v>Ban cơ thể</v>
      </c>
      <c r="E2584" s="5" t="str">
        <f ca="1">IFERROR(__xludf.DUMMYFUNCTION("GOOGLETRANSLATE(C2584,""ja"",""vi"")"),"Đấu giá&gt; thể thao, giải trí&gt; Bằng Sport&gt; Ban cơ thể")</f>
        <v>Đấu giá&gt; thể thao, giải trí&gt; Bằng Sport&gt; Ban cơ thể</v>
      </c>
      <c r="F2584" t="str">
        <f t="shared" ca="1" si="40"/>
        <v>"2084032281" : "Ban cơ thể",</v>
      </c>
    </row>
    <row r="2585" spans="1:6" ht="15.75" customHeight="1">
      <c r="A2585" s="18">
        <v>2084196833</v>
      </c>
      <c r="B2585" s="18" t="s">
        <v>8401</v>
      </c>
      <c r="C2585" s="18" t="s">
        <v>11672</v>
      </c>
      <c r="D2585" s="5" t="str">
        <f ca="1">IFERROR(__xludf.DUMMYFUNCTION("GOOGLETRANSLATE(B2585,""ja"",""vi"")"),"Yoga, Pilates")</f>
        <v>Yoga, Pilates</v>
      </c>
      <c r="E2585" s="5" t="str">
        <f ca="1">IFERROR(__xludf.DUMMYFUNCTION("GOOGLETRANSLATE(C2585,""ja"",""vi"")"),"Đấu giá&gt; thể thao, giải trí&gt; Bằng Sport&gt; Yoga, Pilates")</f>
        <v>Đấu giá&gt; thể thao, giải trí&gt; Bằng Sport&gt; Yoga, Pilates</v>
      </c>
      <c r="F2585" t="str">
        <f t="shared" ca="1" si="40"/>
        <v>"2084196833" : "Yoga, Pilates",</v>
      </c>
    </row>
    <row r="2586" spans="1:6" ht="15.75" customHeight="1">
      <c r="A2586" s="18">
        <v>25336</v>
      </c>
      <c r="B2586" s="18" t="s">
        <v>1319</v>
      </c>
      <c r="C2586" s="18" t="s">
        <v>11676</v>
      </c>
      <c r="D2586" s="5" t="str">
        <f ca="1">IFERROR(__xludf.DUMMYFUNCTION("GOOGLETRANSLATE(B2586,""ja"",""vi"")"),"Bóng chày")</f>
        <v>Bóng chày</v>
      </c>
      <c r="E2586" s="5" t="str">
        <f ca="1">IFERROR(__xludf.DUMMYFUNCTION("GOOGLETRANSLATE(C2586,""ja"",""vi"")"),"Đấu giá&gt; thể thao, giải trí&gt; Bằng cách thể thao&gt; Bóng chày")</f>
        <v>Đấu giá&gt; thể thao, giải trí&gt; Bằng cách thể thao&gt; Bóng chày</v>
      </c>
      <c r="F2586" t="str">
        <f t="shared" ca="1" si="40"/>
        <v>"25336" : "Bóng chày",</v>
      </c>
    </row>
    <row r="2587" spans="1:6" ht="15.75" customHeight="1">
      <c r="A2587" s="18">
        <v>25348</v>
      </c>
      <c r="B2587" s="18" t="s">
        <v>11680</v>
      </c>
      <c r="C2587" s="18" t="s">
        <v>11681</v>
      </c>
      <c r="D2587" s="5" t="str">
        <f ca="1">IFERROR(__xludf.DUMMYFUNCTION("GOOGLETRANSLATE(B2587,""ja"",""vi"")"),"lối đánh quần ở bắc mỹ")</f>
        <v>lối đánh quần ở bắc mỹ</v>
      </c>
      <c r="E2587" s="5" t="str">
        <f ca="1">IFERROR(__xludf.DUMMYFUNCTION("GOOGLETRANSLATE(C2587,""ja"",""vi"")"),"Đấu giá&gt; thể thao, giải trí&gt; Bằng Sport&gt; Lacrosse")</f>
        <v>Đấu giá&gt; thể thao, giải trí&gt; Bằng Sport&gt; Lacrosse</v>
      </c>
      <c r="F2587" t="str">
        <f t="shared" ca="1" si="40"/>
        <v>"25348" : "lối đánh quần ở bắc mỹ",</v>
      </c>
    </row>
    <row r="2588" spans="1:6" ht="15.75" customHeight="1">
      <c r="A2588" s="18">
        <v>25354</v>
      </c>
      <c r="B2588" s="18" t="s">
        <v>11686</v>
      </c>
      <c r="C2588" s="18" t="s">
        <v>11687</v>
      </c>
      <c r="D2588" s="5" t="str">
        <f ca="1">IFERROR(__xludf.DUMMYFUNCTION("GOOGLETRANSLATE(B2588,""ja"",""vi"")"),"Rugby")</f>
        <v>Rugby</v>
      </c>
      <c r="E2588" s="5" t="str">
        <f ca="1">IFERROR(__xludf.DUMMYFUNCTION("GOOGLETRANSLATE(C2588,""ja"",""vi"")"),"Đấu giá&gt; thể thao, giải trí&gt; Bằng cách thể thao&gt; Bóng bầu dục")</f>
        <v>Đấu giá&gt; thể thao, giải trí&gt; Bằng cách thể thao&gt; Bóng bầu dục</v>
      </c>
      <c r="F2588" t="str">
        <f t="shared" ca="1" si="40"/>
        <v>"25354" : "Rugby",</v>
      </c>
    </row>
    <row r="2589" spans="1:6" ht="15.75" customHeight="1">
      <c r="A2589" s="18">
        <v>2084285322</v>
      </c>
      <c r="B2589" s="18" t="s">
        <v>9268</v>
      </c>
      <c r="C2589" s="18" t="s">
        <v>11692</v>
      </c>
      <c r="D2589" s="5" t="str">
        <f ca="1">IFERROR(__xludf.DUMMYFUNCTION("GOOGLETRANSLATE(B2589,""ja"",""vi"")"),"Chạy, chạy bộ")</f>
        <v>Chạy, chạy bộ</v>
      </c>
      <c r="E2589" s="5" t="str">
        <f ca="1">IFERROR(__xludf.DUMMYFUNCTION("GOOGLETRANSLATE(C2589,""ja"",""vi"")"),"Đấu giá&gt; thể thao, giải trí&gt; thể thao khác&gt; chạy, chạy bộ")</f>
        <v>Đấu giá&gt; thể thao, giải trí&gt; thể thao khác&gt; chạy, chạy bộ</v>
      </c>
      <c r="F2589" t="str">
        <f t="shared" ca="1" si="40"/>
        <v>"2084285322" : "Chạy, chạy bộ",</v>
      </c>
    </row>
    <row r="2590" spans="1:6" ht="15.75" customHeight="1">
      <c r="A2590" s="18">
        <v>25254</v>
      </c>
      <c r="B2590" s="18" t="s">
        <v>8845</v>
      </c>
      <c r="C2590" s="18" t="s">
        <v>11697</v>
      </c>
      <c r="D2590" s="5" t="str">
        <f ca="1">IFERROR(__xludf.DUMMYFUNCTION("GOOGLETRANSLATE(B2590,""ja"",""vi"")"),"leo núi")</f>
        <v>leo núi</v>
      </c>
      <c r="E2590" s="5" t="str">
        <f ca="1">IFERROR(__xludf.DUMMYFUNCTION("GOOGLETRANSLATE(C2590,""ja"",""vi"")"),"Đấu giá&gt; thể thao, giải trí&gt; Bằng cách thể thao&gt; Leo")</f>
        <v>Đấu giá&gt; thể thao, giải trí&gt; Bằng cách thể thao&gt; Leo</v>
      </c>
      <c r="F2590" t="str">
        <f t="shared" ca="1" si="40"/>
        <v>"25254" : "leo núi",</v>
      </c>
    </row>
    <row r="2591" spans="1:6" ht="15.75" customHeight="1">
      <c r="A2591" s="18">
        <v>25356</v>
      </c>
      <c r="B2591" s="18" t="s">
        <v>11702</v>
      </c>
      <c r="C2591" s="18" t="s">
        <v>11703</v>
      </c>
      <c r="D2591" s="5" t="str">
        <f ca="1">IFERROR(__xludf.DUMMYFUNCTION("GOOGLETRANSLATE(B2591,""ja"",""vi"")"),"Điền kinh")</f>
        <v>Điền kinh</v>
      </c>
      <c r="E2591" s="5" t="str">
        <f ca="1">IFERROR(__xludf.DUMMYFUNCTION("GOOGLETRANSLATE(C2591,""ja"",""vi"")"),"Đấu giá&gt; thể thao, giải trí&gt; Bằng cách thể thao&gt; Điền kinh")</f>
        <v>Đấu giá&gt; thể thao, giải trí&gt; Bằng cách thể thao&gt; Điền kinh</v>
      </c>
      <c r="F2591" t="str">
        <f t="shared" ca="1" si="40"/>
        <v>"25356" : "Điền kinh",</v>
      </c>
    </row>
    <row r="2592" spans="1:6" ht="15.75" customHeight="1">
      <c r="A2592" s="18">
        <v>23008</v>
      </c>
      <c r="B2592" s="18" t="s">
        <v>8383</v>
      </c>
      <c r="C2592" s="18" t="s">
        <v>11708</v>
      </c>
      <c r="D2592" s="5" t="str">
        <f ca="1">IFERROR(__xludf.DUMMYFUNCTION("GOOGLETRANSLATE(B2592,""ja"",""vi"")"),"đồ thể thao")</f>
        <v>đồ thể thao</v>
      </c>
      <c r="E2592" s="5" t="str">
        <f ca="1">IFERROR(__xludf.DUMMYFUNCTION("GOOGLETRANSLATE(C2592,""ja"",""vi"")"),"Đấu giá&gt; thể thao, giải trí&gt; Bằng Sport&gt; đồ thể thao")</f>
        <v>Đấu giá&gt; thể thao, giải trí&gt; Bằng Sport&gt; đồ thể thao</v>
      </c>
      <c r="F2592" t="str">
        <f t="shared" ca="1" si="40"/>
        <v>"23008" : "đồ thể thao",</v>
      </c>
    </row>
    <row r="2593" spans="1:6" ht="15.75" customHeight="1">
      <c r="A2593" s="18">
        <v>25370</v>
      </c>
      <c r="B2593" s="18" t="s">
        <v>8505</v>
      </c>
      <c r="C2593" s="18" t="s">
        <v>11713</v>
      </c>
      <c r="D2593" s="5" t="str">
        <f ca="1">IFERROR(__xludf.DUMMYFUNCTION("GOOGLETRANSLATE(B2593,""ja"",""vi"")"),"Lưu niệm, hàng hóa có liên quan")</f>
        <v>Lưu niệm, hàng hóa có liên quan</v>
      </c>
      <c r="E2593" s="5" t="str">
        <f ca="1">IFERROR(__xludf.DUMMYFUNCTION("GOOGLETRANSLATE(C2593,""ja"",""vi"")"),"Đấu giá&gt; thể thao, giải trí&gt; thể thao khác&gt; lưu niệm, hàng hóa có liên quan")</f>
        <v>Đấu giá&gt; thể thao, giải trí&gt; thể thao khác&gt; lưu niệm, hàng hóa có liên quan</v>
      </c>
      <c r="F2593" t="str">
        <f t="shared" ca="1" si="40"/>
        <v>"25370" : "Lưu niệm, hàng hóa có liên quan",</v>
      </c>
    </row>
    <row r="2594" spans="1:6" ht="15.75" customHeight="1">
      <c r="A2594" s="18">
        <v>25462</v>
      </c>
      <c r="B2594" s="18" t="s">
        <v>46</v>
      </c>
      <c r="C2594" s="18" t="s">
        <v>11716</v>
      </c>
      <c r="D2594" s="5" t="str">
        <f ca="1">IFERROR(__xludf.DUMMYFUNCTION("GOOGLETRANSLATE(B2594,""ja"",""vi"")"),"nếu không thì")</f>
        <v>nếu không thì</v>
      </c>
      <c r="E2594" s="5" t="str">
        <f ca="1">IFERROR(__xludf.DUMMYFUNCTION("GOOGLETRANSLATE(C2594,""ja"",""vi"")"),"Đấu giá&gt; thể thao, giải trí&gt; Bằng Sport&gt; Khác")</f>
        <v>Đấu giá&gt; thể thao, giải trí&gt; Bằng Sport&gt; Khác</v>
      </c>
      <c r="F2594" t="str">
        <f t="shared" ca="1" si="40"/>
        <v>"25462" : "nếu không thì",</v>
      </c>
    </row>
    <row r="2595" spans="1:6" ht="15.75" customHeight="1">
      <c r="A2595" s="18">
        <v>2084246695</v>
      </c>
      <c r="B2595" s="18" t="s">
        <v>11723</v>
      </c>
      <c r="C2595" s="18" t="s">
        <v>11724</v>
      </c>
      <c r="D2595" s="5" t="str">
        <f ca="1">IFERROR(__xludf.DUMMYFUNCTION("GOOGLETRANSLATE(B2595,""ja"",""vi"")"),"OGK")</f>
        <v>OGK</v>
      </c>
      <c r="E2595" s="5" t="str">
        <f ca="1">IFERROR(__xludf.DUMMYFUNCTION("GOOGLETRANSLATE(C2595,""ja"",""vi"")"),"Đấu giá&gt; thể thao, giải trí&gt; thể thao kính mát&gt; OGK")</f>
        <v>Đấu giá&gt; thể thao, giải trí&gt; thể thao kính mát&gt; OGK</v>
      </c>
      <c r="F2595" t="str">
        <f t="shared" ca="1" si="40"/>
        <v>"2084246695" : "OGK",</v>
      </c>
    </row>
    <row r="2596" spans="1:6" ht="15.75" customHeight="1">
      <c r="A2596" s="18">
        <v>2084246694</v>
      </c>
      <c r="B2596" s="18" t="s">
        <v>11729</v>
      </c>
      <c r="C2596" s="18" t="s">
        <v>11730</v>
      </c>
      <c r="D2596" s="5" t="str">
        <f ca="1">IFERROR(__xludf.DUMMYFUNCTION("GOOGLETRANSLATE(B2596,""ja"",""vi"")"),"zerorh +")</f>
        <v>zerorh +</v>
      </c>
      <c r="E2596" s="5" t="str">
        <f ca="1">IFERROR(__xludf.DUMMYFUNCTION("GOOGLETRANSLATE(C2596,""ja"",""vi"")"),"Đấu giá&gt; thể thao, giải trí&gt; thể thao kính mát&gt; zerorh +")</f>
        <v>Đấu giá&gt; thể thao, giải trí&gt; thể thao kính mát&gt; zerorh +</v>
      </c>
      <c r="F2596" t="str">
        <f t="shared" ca="1" si="40"/>
        <v>"2084246694" : "zerorh +",</v>
      </c>
    </row>
    <row r="2597" spans="1:6" ht="15.75" customHeight="1">
      <c r="A2597" s="18">
        <v>2084214052</v>
      </c>
      <c r="B2597" s="18" t="s">
        <v>11734</v>
      </c>
      <c r="C2597" s="18" t="s">
        <v>11736</v>
      </c>
      <c r="D2597" s="5" t="str">
        <f ca="1">IFERROR(__xludf.DUMMYFUNCTION("GOOGLETRANSLATE(B2597,""ja"",""vi"")"),"Arnett")</f>
        <v>Arnett</v>
      </c>
      <c r="E2597" s="5" t="str">
        <f ca="1">IFERROR(__xludf.DUMMYFUNCTION("GOOGLETRANSLATE(C2597,""ja"",""vi"")"),"Đấu giá&gt; thể thao, giải trí&gt; kính mát thể thao&gt; Arnett")</f>
        <v>Đấu giá&gt; thể thao, giải trí&gt; kính mát thể thao&gt; Arnett</v>
      </c>
      <c r="F2597" t="str">
        <f t="shared" ca="1" si="40"/>
        <v>"2084214052" : "Arnett",</v>
      </c>
    </row>
    <row r="2598" spans="1:6" ht="15.75" customHeight="1">
      <c r="A2598" s="18">
        <v>2084214050</v>
      </c>
      <c r="B2598" s="18" t="s">
        <v>11740</v>
      </c>
      <c r="C2598" s="18" t="s">
        <v>11742</v>
      </c>
      <c r="D2598" s="5" t="str">
        <f ca="1">IFERROR(__xludf.DUMMYFUNCTION("GOOGLETRANSLATE(B2598,""ja"",""vi"")"),"rìu")</f>
        <v>rìu</v>
      </c>
      <c r="E2598" s="5" t="str">
        <f ca="1">IFERROR(__xludf.DUMMYFUNCTION("GOOGLETRANSLATE(C2598,""ja"",""vi"")"),"Đấu giá&gt; thể thao, giải trí&gt; kính mát thể thao&gt; Axe")</f>
        <v>Đấu giá&gt; thể thao, giải trí&gt; kính mát thể thao&gt; Axe</v>
      </c>
      <c r="F2598" t="str">
        <f t="shared" ca="1" si="40"/>
        <v>"2084214050" : "rìu",</v>
      </c>
    </row>
    <row r="2599" spans="1:6" ht="15.75" customHeight="1">
      <c r="A2599" s="18">
        <v>2084214047</v>
      </c>
      <c r="B2599" s="18" t="s">
        <v>8755</v>
      </c>
      <c r="C2599" s="18" t="s">
        <v>11747</v>
      </c>
      <c r="D2599" s="5" t="str">
        <f ca="1">IFERROR(__xludf.DUMMYFUNCTION("GOOGLETRANSLATE(B2599,""ja"",""vi"")"),"Adidas")</f>
        <v>Adidas</v>
      </c>
      <c r="E2599" s="5" t="str">
        <f ca="1">IFERROR(__xludf.DUMMYFUNCTION("GOOGLETRANSLATE(C2599,""ja"",""vi"")"),"Đấu giá&gt; thể thao, giải trí&gt; kính mát thể thao&gt; Adidas")</f>
        <v>Đấu giá&gt; thể thao, giải trí&gt; kính mát thể thao&gt; Adidas</v>
      </c>
      <c r="F2599" t="str">
        <f t="shared" ca="1" si="40"/>
        <v>"2084214047" : "Adidas",</v>
      </c>
    </row>
    <row r="2600" spans="1:6" ht="15.75" customHeight="1">
      <c r="A2600" s="18">
        <v>2084214334</v>
      </c>
      <c r="B2600" s="18" t="s">
        <v>9511</v>
      </c>
      <c r="C2600" s="18" t="s">
        <v>11751</v>
      </c>
      <c r="D2600" s="5" t="str">
        <f ca="1">IFERROR(__xludf.DUMMYFUNCTION("GOOGLETRANSLATE(B2600,""ja"",""vi"")"),"Oakley")</f>
        <v>Oakley</v>
      </c>
      <c r="E2600" s="5" t="str">
        <f ca="1">IFERROR(__xludf.DUMMYFUNCTION("GOOGLETRANSLATE(C2600,""ja"",""vi"")"),"Đấu giá&gt; thể thao, giải trí&gt; kính mát thể thao&gt; Oakley")</f>
        <v>Đấu giá&gt; thể thao, giải trí&gt; kính mát thể thao&gt; Oakley</v>
      </c>
      <c r="F2600" t="str">
        <f t="shared" ca="1" si="40"/>
        <v>"2084214334" : "Oakley",</v>
      </c>
    </row>
    <row r="2601" spans="1:6" ht="15.75" customHeight="1">
      <c r="A2601" s="18">
        <v>2084214053</v>
      </c>
      <c r="B2601" s="18" t="s">
        <v>11756</v>
      </c>
      <c r="C2601" s="18" t="s">
        <v>11758</v>
      </c>
      <c r="D2601" s="5" t="str">
        <f ca="1">IFERROR(__xludf.DUMMYFUNCTION("GOOGLETRANSLATE(B2601,""ja"",""vi"")"),"Coleman")</f>
        <v>Coleman</v>
      </c>
      <c r="E2601" s="5" t="str">
        <f ca="1">IFERROR(__xludf.DUMMYFUNCTION("GOOGLETRANSLATE(C2601,""ja"",""vi"")"),"Đấu giá&gt; thể thao, giải trí&gt; kính mát thể thao&gt; Coleman")</f>
        <v>Đấu giá&gt; thể thao, giải trí&gt; kính mát thể thao&gt; Coleman</v>
      </c>
      <c r="F2601" t="str">
        <f t="shared" ca="1" si="40"/>
        <v>"2084214053" : "Coleman",</v>
      </c>
    </row>
    <row r="2602" spans="1:6" ht="15.75" customHeight="1">
      <c r="A2602" s="18">
        <v>2084214051</v>
      </c>
      <c r="B2602" s="18" t="s">
        <v>11761</v>
      </c>
      <c r="C2602" s="18" t="s">
        <v>11763</v>
      </c>
      <c r="D2602" s="5" t="str">
        <f ca="1">IFERROR(__xludf.DUMMYFUNCTION("GOOGLETRANSLATE(B2602,""ja"",""vi"")"),"Spy")</f>
        <v>Spy</v>
      </c>
      <c r="E2602" s="5" t="str">
        <f ca="1">IFERROR(__xludf.DUMMYFUNCTION("GOOGLETRANSLATE(C2602,""ja"",""vi"")"),"Đấu giá&gt; thể thao, giải trí&gt; kính mát thể thao&gt; gián điệp")</f>
        <v>Đấu giá&gt; thể thao, giải trí&gt; kính mát thể thao&gt; gián điệp</v>
      </c>
      <c r="F2602" t="str">
        <f t="shared" ca="1" si="40"/>
        <v>"2084214051" : "Spy",</v>
      </c>
    </row>
    <row r="2603" spans="1:6" ht="15.75" customHeight="1">
      <c r="A2603" s="18">
        <v>2084246696</v>
      </c>
      <c r="B2603" s="18" t="s">
        <v>11767</v>
      </c>
      <c r="C2603" s="18" t="s">
        <v>11768</v>
      </c>
      <c r="D2603" s="5" t="str">
        <f ca="1">IFERROR(__xludf.DUMMYFUNCTION("GOOGLETRANSLATE(B2603,""ja"",""vi"")"),"Spalding")</f>
        <v>Spalding</v>
      </c>
      <c r="E2603" s="5" t="str">
        <f ca="1">IFERROR(__xludf.DUMMYFUNCTION("GOOGLETRANSLATE(C2603,""ja"",""vi"")"),"Đấu giá&gt; thể thao, giải trí&gt; thể thao kính mát&gt; Spalding")</f>
        <v>Đấu giá&gt; thể thao, giải trí&gt; thể thao kính mát&gt; Spalding</v>
      </c>
      <c r="F2603" t="str">
        <f t="shared" ca="1" si="40"/>
        <v>"2084246696" : "Spalding",</v>
      </c>
    </row>
    <row r="2604" spans="1:6" ht="15.75" customHeight="1">
      <c r="A2604" s="18">
        <v>2084214054</v>
      </c>
      <c r="B2604" s="18" t="s">
        <v>11772</v>
      </c>
      <c r="C2604" s="18" t="s">
        <v>11774</v>
      </c>
      <c r="D2604" s="5" t="str">
        <f ca="1">IFERROR(__xludf.DUMMYFUNCTION("GOOGLETRANSLATE(B2604,""ja"",""vi"")"),"thiên nga")</f>
        <v>thiên nga</v>
      </c>
      <c r="E2604" s="5" t="str">
        <f ca="1">IFERROR(__xludf.DUMMYFUNCTION("GOOGLETRANSLATE(C2604,""ja"",""vi"")"),"Đấu giá&gt; thể thao, giải trí&gt; kính mát thể thao&gt; Thiên nga")</f>
        <v>Đấu giá&gt; thể thao, giải trí&gt; kính mát thể thao&gt; Thiên nga</v>
      </c>
      <c r="F2604" t="str">
        <f t="shared" ca="1" si="40"/>
        <v>"2084214054" : "thiên nga",</v>
      </c>
    </row>
    <row r="2605" spans="1:6" ht="15.75" customHeight="1">
      <c r="A2605" s="18">
        <v>2084214046</v>
      </c>
      <c r="B2605" s="18" t="s">
        <v>11145</v>
      </c>
      <c r="C2605" s="18" t="s">
        <v>11779</v>
      </c>
      <c r="D2605" s="5" t="str">
        <f ca="1">IFERROR(__xludf.DUMMYFUNCTION("GOOGLETRANSLATE(B2605,""ja"",""vi"")"),"Nike")</f>
        <v>Nike</v>
      </c>
      <c r="E2605" s="5" t="str">
        <f ca="1">IFERROR(__xludf.DUMMYFUNCTION("GOOGLETRANSLATE(C2605,""ja"",""vi"")"),"Đấu giá&gt; thể thao, giải trí&gt; kính mát thể thao&gt; Nike")</f>
        <v>Đấu giá&gt; thể thao, giải trí&gt; kính mát thể thao&gt; Nike</v>
      </c>
      <c r="F2605" t="str">
        <f t="shared" ca="1" si="40"/>
        <v>"2084214046" : "Nike",</v>
      </c>
    </row>
    <row r="2606" spans="1:6" ht="15.75" customHeight="1">
      <c r="A2606" s="18">
        <v>2084214055</v>
      </c>
      <c r="B2606" s="18" t="s">
        <v>11783</v>
      </c>
      <c r="C2606" s="18" t="s">
        <v>11785</v>
      </c>
      <c r="D2606" s="5" t="str">
        <f ca="1">IFERROR(__xludf.DUMMYFUNCTION("GOOGLETRANSLATE(B2606,""ja"",""vi"")"),"đen bay")</f>
        <v>đen bay</v>
      </c>
      <c r="E2606" s="5" t="str">
        <f ca="1">IFERROR(__xludf.DUMMYFUNCTION("GOOGLETRANSLATE(C2606,""ja"",""vi"")"),"Đấu giá&gt; thể thao, giải trí&gt; kính mát thể thao&gt; Đen Fly")</f>
        <v>Đấu giá&gt; thể thao, giải trí&gt; kính mát thể thao&gt; Đen Fly</v>
      </c>
      <c r="F2606" t="str">
        <f t="shared" ca="1" si="40"/>
        <v>"2084214055" : "đen bay",</v>
      </c>
    </row>
    <row r="2607" spans="1:6" ht="15.75" customHeight="1">
      <c r="A2607" s="18">
        <v>2084214049</v>
      </c>
      <c r="B2607" s="18" t="s">
        <v>11788</v>
      </c>
      <c r="C2607" s="18" t="s">
        <v>11791</v>
      </c>
      <c r="D2607" s="5" t="str">
        <f ca="1">IFERROR(__xludf.DUMMYFUNCTION("GOOGLETRANSLATE(B2607,""ja"",""vi"")"),"Brico")</f>
        <v>Brico</v>
      </c>
      <c r="E2607" s="5" t="str">
        <f ca="1">IFERROR(__xludf.DUMMYFUNCTION("GOOGLETRANSLATE(C2607,""ja"",""vi"")"),"Đấu giá&gt; thể thao, giải trí&gt; kính mát thể thao&gt; Brico")</f>
        <v>Đấu giá&gt; thể thao, giải trí&gt; kính mát thể thao&gt; Brico</v>
      </c>
      <c r="F2607" t="str">
        <f t="shared" ca="1" si="40"/>
        <v>"2084214049" : "Brico",</v>
      </c>
    </row>
    <row r="2608" spans="1:6" ht="15.75" customHeight="1">
      <c r="A2608" s="18">
        <v>2084214057</v>
      </c>
      <c r="B2608" s="18" t="s">
        <v>11793</v>
      </c>
      <c r="C2608" s="18" t="s">
        <v>11795</v>
      </c>
      <c r="D2608" s="5" t="str">
        <f ca="1">IFERROR(__xludf.DUMMYFUNCTION("GOOGLETRANSLATE(B2608,""ja"",""vi"")"),"dự án Rudy")</f>
        <v>dự án Rudy</v>
      </c>
      <c r="E2608" s="5" t="str">
        <f ca="1">IFERROR(__xludf.DUMMYFUNCTION("GOOGLETRANSLATE(C2608,""ja"",""vi"")"),"Đấu giá&gt; thể thao, giải trí&gt; kính mát thể thao&gt; Dự án Rudy")</f>
        <v>Đấu giá&gt; thể thao, giải trí&gt; kính mát thể thao&gt; Dự án Rudy</v>
      </c>
      <c r="F2608" t="str">
        <f t="shared" ca="1" si="40"/>
        <v>"2084214057" : "dự án Rudy",</v>
      </c>
    </row>
    <row r="2609" spans="1:6" ht="15.75" customHeight="1">
      <c r="A2609" s="18">
        <v>2084214048</v>
      </c>
      <c r="B2609" s="18" t="s">
        <v>11799</v>
      </c>
      <c r="C2609" s="18" t="s">
        <v>11801</v>
      </c>
      <c r="D2609" s="5" t="str">
        <f ca="1">IFERROR(__xludf.DUMMYFUNCTION("GOOGLETRANSLATE(B2609,""ja"",""vi"")"),"Ray-Ban")</f>
        <v>Ray-Ban</v>
      </c>
      <c r="E2609" s="5" t="str">
        <f ca="1">IFERROR(__xludf.DUMMYFUNCTION("GOOGLETRANSLATE(C2609,""ja"",""vi"")"),"Đấu giá&gt; thể thao, giải trí&gt; thể thao kính mát&gt; Ray-Ban")</f>
        <v>Đấu giá&gt; thể thao, giải trí&gt; thể thao kính mát&gt; Ray-Ban</v>
      </c>
      <c r="F2609" t="str">
        <f t="shared" ca="1" si="40"/>
        <v>"2084214048" : "Ray-Ban",</v>
      </c>
    </row>
    <row r="2610" spans="1:6" ht="15.75" customHeight="1">
      <c r="A2610" s="18">
        <v>2084214056</v>
      </c>
      <c r="B2610" s="18" t="s">
        <v>46</v>
      </c>
      <c r="C2610" s="18" t="s">
        <v>11806</v>
      </c>
      <c r="D2610" s="5" t="str">
        <f ca="1">IFERROR(__xludf.DUMMYFUNCTION("GOOGLETRANSLATE(B2610,""ja"",""vi"")"),"nếu không thì")</f>
        <v>nếu không thì</v>
      </c>
      <c r="E2610" s="5" t="str">
        <f ca="1">IFERROR(__xludf.DUMMYFUNCTION("GOOGLETRANSLATE(C2610,""ja"",""vi"")"),"Đấu giá&gt; thể thao, giải trí&gt; kính mát thể thao&gt; Khác")</f>
        <v>Đấu giá&gt; thể thao, giải trí&gt; kính mát thể thao&gt; Khác</v>
      </c>
      <c r="F2610" t="str">
        <f t="shared" ca="1" si="40"/>
        <v>"2084214056" : "nếu không thì",</v>
      </c>
    </row>
    <row r="2611" spans="1:6" ht="15.75" customHeight="1">
      <c r="A2611" s="18">
        <v>2084057251</v>
      </c>
      <c r="B2611" s="18" t="s">
        <v>9387</v>
      </c>
      <c r="C2611" s="18" t="s">
        <v>9389</v>
      </c>
      <c r="D2611" s="5" t="str">
        <f ca="1">IFERROR(__xludf.DUMMYFUNCTION("GOOGLETRANSLATE(B2611,""ja"",""vi"")"),"by Nhãn hiệu")</f>
        <v>by Nhãn hiệu</v>
      </c>
      <c r="E2611" s="5" t="str">
        <f ca="1">IFERROR(__xludf.DUMMYFUNCTION("GOOGLETRANSLATE(C2611,""ja"",""vi"")"),"Đấu giá&gt; thể thao, giải trí&gt; mặc ngoài trời&gt; By Nhãn hiệu")</f>
        <v>Đấu giá&gt; thể thao, giải trí&gt; mặc ngoài trời&gt; By Nhãn hiệu</v>
      </c>
      <c r="F2611" t="str">
        <f t="shared" ca="1" si="40"/>
        <v>"2084057251" : "by Nhãn hiệu",</v>
      </c>
    </row>
    <row r="2612" spans="1:6" ht="15.75" customHeight="1">
      <c r="A2612" s="18">
        <v>2084057221</v>
      </c>
      <c r="B2612" s="18" t="s">
        <v>9280</v>
      </c>
      <c r="C2612" s="18" t="s">
        <v>9394</v>
      </c>
      <c r="D2612" s="5" t="str">
        <f ca="1">IFERROR(__xludf.DUMMYFUNCTION("GOOGLETRANSLATE(B2612,""ja"",""vi"")"),"Đối với nam giới")</f>
        <v>Đối với nam giới</v>
      </c>
      <c r="E2612" s="5" t="str">
        <f ca="1">IFERROR(__xludf.DUMMYFUNCTION("GOOGLETRANSLATE(C2612,""ja"",""vi"")"),"Đấu giá&gt; thể thao, giải trí&gt; mặc ngoài trời&gt; dành cho nam giới")</f>
        <v>Đấu giá&gt; thể thao, giải trí&gt; mặc ngoài trời&gt; dành cho nam giới</v>
      </c>
      <c r="F2612" t="str">
        <f t="shared" ca="1" si="40"/>
        <v>"2084057221" : "Đối với nam giới",</v>
      </c>
    </row>
    <row r="2613" spans="1:6" ht="15.75" customHeight="1">
      <c r="A2613" s="18">
        <v>2084057222</v>
      </c>
      <c r="B2613" s="18" t="s">
        <v>9286</v>
      </c>
      <c r="C2613" s="18" t="s">
        <v>9400</v>
      </c>
      <c r="D2613" s="5" t="str">
        <f ca="1">IFERROR(__xludf.DUMMYFUNCTION("GOOGLETRANSLATE(B2613,""ja"",""vi"")"),"Đối với phụ nữ")</f>
        <v>Đối với phụ nữ</v>
      </c>
      <c r="E2613" s="5" t="str">
        <f ca="1">IFERROR(__xludf.DUMMYFUNCTION("GOOGLETRANSLATE(C2613,""ja"",""vi"")"),"Đấu giá&gt; thể thao, giải trí&gt; mặc ngoài trời&gt; cho phụ nữ")</f>
        <v>Đấu giá&gt; thể thao, giải trí&gt; mặc ngoài trời&gt; cho phụ nữ</v>
      </c>
      <c r="F2613" t="str">
        <f t="shared" ca="1" si="40"/>
        <v>"2084057222" : "Đối với phụ nữ",</v>
      </c>
    </row>
    <row r="2614" spans="1:6" ht="15.75" customHeight="1">
      <c r="A2614" s="18">
        <v>2084057223</v>
      </c>
      <c r="B2614" s="18" t="s">
        <v>9298</v>
      </c>
      <c r="C2614" s="18" t="s">
        <v>9405</v>
      </c>
      <c r="D2614" s="5" t="str">
        <f ca="1">IFERROR(__xludf.DUMMYFUNCTION("GOOGLETRANSLATE(B2614,""ja"",""vi"")"),"Đối với trẻ em")</f>
        <v>Đối với trẻ em</v>
      </c>
      <c r="E2614" s="5" t="str">
        <f ca="1">IFERROR(__xludf.DUMMYFUNCTION("GOOGLETRANSLATE(C2614,""ja"",""vi"")"),"Đấu giá&gt; thể thao, giải trí&gt; mặc ngoài trời&gt; cho trẻ em")</f>
        <v>Đấu giá&gt; thể thao, giải trí&gt; mặc ngoài trời&gt; cho trẻ em</v>
      </c>
      <c r="F2614" t="str">
        <f t="shared" ca="1" si="40"/>
        <v>"2084057223" : "Đối với trẻ em",</v>
      </c>
    </row>
    <row r="2615" spans="1:6" ht="15.75" customHeight="1">
      <c r="A2615" s="18">
        <v>2084214045</v>
      </c>
      <c r="B2615" s="18" t="s">
        <v>9408</v>
      </c>
      <c r="C2615" s="18" t="s">
        <v>9410</v>
      </c>
      <c r="D2615" s="5" t="str">
        <f ca="1">IFERROR(__xludf.DUMMYFUNCTION("GOOGLETRANSLATE(B2615,""ja"",""vi"")"),"kính mát thể thao")</f>
        <v>kính mát thể thao</v>
      </c>
      <c r="E2615" s="5" t="str">
        <f ca="1">IFERROR(__xludf.DUMMYFUNCTION("GOOGLETRANSLATE(C2615,""ja"",""vi"")"),"Đấu giá&gt; thể thao, giải trí&gt; ngoài trời mặc&gt; Thể Thao Sunglasses")</f>
        <v>Đấu giá&gt; thể thao, giải trí&gt; ngoài trời mặc&gt; Thể Thao Sunglasses</v>
      </c>
      <c r="F2615" t="str">
        <f t="shared" ca="1" si="40"/>
        <v>"2084214045" : "kính mát thể thao",</v>
      </c>
    </row>
    <row r="2616" spans="1:6" ht="15.75" customHeight="1">
      <c r="A2616" s="18">
        <v>2084046735</v>
      </c>
      <c r="B2616" s="18" t="s">
        <v>9414</v>
      </c>
      <c r="C2616" s="18" t="s">
        <v>9415</v>
      </c>
      <c r="D2616" s="5" t="str">
        <f ca="1">IFERROR(__xludf.DUMMYFUNCTION("GOOGLETRANSLATE(B2616,""ja"",""vi"")"),"Đồ che mưa, áo mưa")</f>
        <v>Đồ che mưa, áo mưa</v>
      </c>
      <c r="E2616" s="5" t="str">
        <f ca="1">IFERROR(__xludf.DUMMYFUNCTION("GOOGLETRANSLATE(C2616,""ja"",""vi"")"),"Đấu giá&gt; thể thao, giải trí&gt; mặc ngoài trời&gt; áo mưa, áo mưa")</f>
        <v>Đấu giá&gt; thể thao, giải trí&gt; mặc ngoài trời&gt; áo mưa, áo mưa</v>
      </c>
      <c r="F2616" t="str">
        <f t="shared" ca="1" si="40"/>
        <v>"2084046735" : "Đồ che mưa, áo mưa",</v>
      </c>
    </row>
    <row r="2617" spans="1:6" ht="15.75" customHeight="1">
      <c r="A2617" s="18">
        <v>2084048872</v>
      </c>
      <c r="B2617" s="18" t="s">
        <v>9419</v>
      </c>
      <c r="C2617" s="18" t="s">
        <v>9422</v>
      </c>
      <c r="D2617" s="5" t="str">
        <f ca="1">IFERROR(__xludf.DUMMYFUNCTION("GOOGLETRANSLATE(B2617,""ja"",""vi"")"),"Giày, giày dép")</f>
        <v>Giày, giày dép</v>
      </c>
      <c r="E2617" s="5" t="str">
        <f ca="1">IFERROR(__xludf.DUMMYFUNCTION("GOOGLETRANSLATE(C2617,""ja"",""vi"")"),"Đấu giá&gt; thể thao, giải trí&gt; mặc ngoài trời&gt; giày, giày dép")</f>
        <v>Đấu giá&gt; thể thao, giải trí&gt; mặc ngoài trời&gt; giày, giày dép</v>
      </c>
      <c r="F2617" t="str">
        <f t="shared" ca="1" si="40"/>
        <v>"2084048872" : "Giày, giày dép",</v>
      </c>
    </row>
    <row r="2618" spans="1:6" ht="15.75" customHeight="1">
      <c r="A2618" s="18">
        <v>2084057242</v>
      </c>
      <c r="B2618" s="18" t="s">
        <v>9425</v>
      </c>
      <c r="C2618" s="18" t="s">
        <v>9430</v>
      </c>
      <c r="D2618" s="5" t="str">
        <f ca="1">IFERROR(__xludf.DUMMYFUNCTION("GOOGLETRANSLATE(B2618,""ja"",""vi"")"),"Quần áo Phụ kiện")</f>
        <v>Quần áo Phụ kiện</v>
      </c>
      <c r="E2618" s="5" t="str">
        <f ca="1">IFERROR(__xludf.DUMMYFUNCTION("GOOGLETRANSLATE(C2618,""ja"",""vi"")"),"Đấu giá&gt; thể thao, giải trí&gt; mặc ngoài trời&gt; Quần áo Phụ kiện")</f>
        <v>Đấu giá&gt; thể thao, giải trí&gt; mặc ngoài trời&gt; Quần áo Phụ kiện</v>
      </c>
      <c r="F2618" t="str">
        <f t="shared" ca="1" si="40"/>
        <v>"2084057242" : "Quần áo Phụ kiện",</v>
      </c>
    </row>
    <row r="2619" spans="1:6" ht="15.75" customHeight="1">
      <c r="A2619" s="18">
        <v>2084006770</v>
      </c>
      <c r="B2619" s="18" t="s">
        <v>9286</v>
      </c>
      <c r="C2619" s="18" t="s">
        <v>11841</v>
      </c>
      <c r="D2619" s="5" t="str">
        <f ca="1">IFERROR(__xludf.DUMMYFUNCTION("GOOGLETRANSLATE(B2619,""ja"",""vi"")"),"Đối với phụ nữ")</f>
        <v>Đối với phụ nữ</v>
      </c>
      <c r="E2619" s="5" t="str">
        <f ca="1">IFERROR(__xludf.DUMMYFUNCTION("GOOGLETRANSLATE(C2619,""ja"",""vi"")"),"Đấu giá&gt; thể thao, giải trí&gt; thể thao khác&gt; nguồn cung cấp tập thể dục&gt; mặc&gt; cho phụ nữ")</f>
        <v>Đấu giá&gt; thể thao, giải trí&gt; thể thao khác&gt; nguồn cung cấp tập thể dục&gt; mặc&gt; cho phụ nữ</v>
      </c>
      <c r="F2619" t="str">
        <f t="shared" ca="1" si="40"/>
        <v>"2084006770" : "Đối với phụ nữ",</v>
      </c>
    </row>
    <row r="2620" spans="1:6" ht="15.75" customHeight="1">
      <c r="A2620" s="18">
        <v>2084006769</v>
      </c>
      <c r="B2620" s="18" t="s">
        <v>9280</v>
      </c>
      <c r="C2620" s="18" t="s">
        <v>11847</v>
      </c>
      <c r="D2620" s="5" t="str">
        <f ca="1">IFERROR(__xludf.DUMMYFUNCTION("GOOGLETRANSLATE(B2620,""ja"",""vi"")"),"Đối với nam giới")</f>
        <v>Đối với nam giới</v>
      </c>
      <c r="E2620" s="5" t="str">
        <f ca="1">IFERROR(__xludf.DUMMYFUNCTION("GOOGLETRANSLATE(C2620,""ja"",""vi"")"),"Đấu giá&gt; thể thao, giải trí&gt; thể thao khác&gt; nguồn cung cấp tập thể dục&gt; mặc&gt; dành cho nam giới")</f>
        <v>Đấu giá&gt; thể thao, giải trí&gt; thể thao khác&gt; nguồn cung cấp tập thể dục&gt; mặc&gt; dành cho nam giới</v>
      </c>
      <c r="F2620" t="str">
        <f t="shared" ca="1" si="40"/>
        <v>"2084006769" : "Đối với nam giới",</v>
      </c>
    </row>
    <row r="2621" spans="1:6" ht="15.75" customHeight="1">
      <c r="A2621" s="18">
        <v>2084051887</v>
      </c>
      <c r="B2621" s="18" t="s">
        <v>9286</v>
      </c>
      <c r="C2621" s="18" t="s">
        <v>11853</v>
      </c>
      <c r="D2621" s="5" t="str">
        <f ca="1">IFERROR(__xludf.DUMMYFUNCTION("GOOGLETRANSLATE(B2621,""ja"",""vi"")"),"Đối với phụ nữ")</f>
        <v>Đối với phụ nữ</v>
      </c>
      <c r="E2621" s="5" t="str">
        <f ca="1">IFERROR(__xludf.DUMMYFUNCTION("GOOGLETRANSLATE(C2621,""ja"",""vi"")"),"Đấu giá&gt; thể thao, giải trí&gt; Bằng Sport&gt; bơi&gt; đồ bơi&gt; cho phụ nữ")</f>
        <v>Đấu giá&gt; thể thao, giải trí&gt; Bằng Sport&gt; bơi&gt; đồ bơi&gt; cho phụ nữ</v>
      </c>
      <c r="F2621" t="str">
        <f t="shared" ca="1" si="40"/>
        <v>"2084051887" : "Đối với phụ nữ",</v>
      </c>
    </row>
    <row r="2622" spans="1:6" ht="15.75" customHeight="1">
      <c r="A2622" s="18">
        <v>2084051885</v>
      </c>
      <c r="B2622" s="18" t="s">
        <v>9280</v>
      </c>
      <c r="C2622" s="18" t="s">
        <v>11857</v>
      </c>
      <c r="D2622" s="5" t="str">
        <f ca="1">IFERROR(__xludf.DUMMYFUNCTION("GOOGLETRANSLATE(B2622,""ja"",""vi"")"),"Đối với nam giới")</f>
        <v>Đối với nam giới</v>
      </c>
      <c r="E2622" s="5" t="str">
        <f ca="1">IFERROR(__xludf.DUMMYFUNCTION("GOOGLETRANSLATE(C2622,""ja"",""vi"")"),"Đấu giá&gt; thể thao, giải trí&gt; Bằng Sport&gt; bơi&gt; đồ bơi&gt; dành cho nam giới")</f>
        <v>Đấu giá&gt; thể thao, giải trí&gt; Bằng Sport&gt; bơi&gt; đồ bơi&gt; dành cho nam giới</v>
      </c>
      <c r="F2622" t="str">
        <f t="shared" ca="1" si="40"/>
        <v>"2084051885" : "Đối với nam giới",</v>
      </c>
    </row>
    <row r="2623" spans="1:6" ht="15.75" customHeight="1">
      <c r="A2623" s="18">
        <v>2084303061</v>
      </c>
      <c r="B2623" s="18" t="s">
        <v>9298</v>
      </c>
      <c r="C2623" s="18" t="s">
        <v>11862</v>
      </c>
      <c r="D2623" s="5" t="str">
        <f ca="1">IFERROR(__xludf.DUMMYFUNCTION("GOOGLETRANSLATE(B2623,""ja"",""vi"")"),"Đối với trẻ em")</f>
        <v>Đối với trẻ em</v>
      </c>
      <c r="E2623" s="5" t="str">
        <f ca="1">IFERROR(__xludf.DUMMYFUNCTION("GOOGLETRANSLATE(C2623,""ja"",""vi"")"),"Đấu giá&gt; thể thao, giải trí&gt; Bằng Sport&gt; bơi&gt; đồ bơi&gt; cho trẻ em")</f>
        <v>Đấu giá&gt; thể thao, giải trí&gt; Bằng Sport&gt; bơi&gt; đồ bơi&gt; cho trẻ em</v>
      </c>
      <c r="F2623" t="str">
        <f t="shared" ca="1" si="40"/>
        <v>"2084303061" : "Đối với trẻ em",</v>
      </c>
    </row>
    <row r="2624" spans="1:6" ht="15.75" customHeight="1">
      <c r="A2624" s="18">
        <v>2084007486</v>
      </c>
      <c r="B2624" s="18" t="s">
        <v>8795</v>
      </c>
      <c r="C2624" s="18" t="s">
        <v>19644</v>
      </c>
      <c r="D2624" s="5" t="str">
        <f ca="1">IFERROR(__xludf.DUMMYFUNCTION("GOOGLETRANSLATE(B2624,""ja"",""vi"")"),"Anna Sui")</f>
        <v>Anna Sui</v>
      </c>
      <c r="E2624" s="5" t="str">
        <f ca="1">IFERROR(__xludf.DUMMYFUNCTION("GOOGLETRANSLATE(C2624,""ja"",""vi"")"),"Đấu giá&gt; làm đẹp, chăm sóc sức khỏe&gt; ​​nước hoa, hương thơm&gt; cho phụ nữ&gt; Anna Sui")</f>
        <v>Đấu giá&gt; làm đẹp, chăm sóc sức khỏe&gt; ​​nước hoa, hương thơm&gt; cho phụ nữ&gt; Anna Sui</v>
      </c>
      <c r="F2624" t="str">
        <f t="shared" ca="1" si="40"/>
        <v>"2084007486" : "Anna Sui",</v>
      </c>
    </row>
    <row r="2625" spans="1:6" ht="15.75" customHeight="1">
      <c r="A2625" s="18">
        <v>2084053242</v>
      </c>
      <c r="B2625" s="18" t="s">
        <v>8916</v>
      </c>
      <c r="C2625" s="18" t="s">
        <v>19648</v>
      </c>
      <c r="D2625" s="5" t="str">
        <f ca="1">IFERROR(__xludf.DUMMYFUNCTION("GOOGLETRANSLATE(B2625,""ja"",""vi"")"),"Armani")</f>
        <v>Armani</v>
      </c>
      <c r="E2625" s="5" t="str">
        <f ca="1">IFERROR(__xludf.DUMMYFUNCTION("GOOGLETRANSLATE(C2625,""ja"",""vi"")"),"Đấu giá&gt; làm đẹp, chăm sóc sức khỏe&gt; ​​nước hoa, hương thơm&gt; cho phụ nữ&gt; Armani")</f>
        <v>Đấu giá&gt; làm đẹp, chăm sóc sức khỏe&gt; ​​nước hoa, hương thơm&gt; cho phụ nữ&gt; Armani</v>
      </c>
      <c r="F2625" t="str">
        <f t="shared" ca="1" si="40"/>
        <v>"2084053242" : "Armani",</v>
      </c>
    </row>
    <row r="2626" spans="1:6" ht="15.75" customHeight="1">
      <c r="A2626" s="18">
        <v>2084007445</v>
      </c>
      <c r="B2626" s="18" t="s">
        <v>19653</v>
      </c>
      <c r="C2626" s="18" t="s">
        <v>19655</v>
      </c>
      <c r="D2626" s="5" t="str">
        <f ca="1">IFERROR(__xludf.DUMMYFUNCTION("GOOGLETRANSLATE(B2626,""ja"",""vi"")"),"Yves Saint Laurent")</f>
        <v>Yves Saint Laurent</v>
      </c>
      <c r="E2626" s="5" t="str">
        <f ca="1">IFERROR(__xludf.DUMMYFUNCTION("GOOGLETRANSLATE(C2626,""ja"",""vi"")"),"Đấu giá&gt; làm đẹp, chăm sóc sức khỏe&gt; ​​nước hoa, hương thơm&gt; cho phụ nữ&gt; Yves Saint Laurent")</f>
        <v>Đấu giá&gt; làm đẹp, chăm sóc sức khỏe&gt; ​​nước hoa, hương thơm&gt; cho phụ nữ&gt; Yves Saint Laurent</v>
      </c>
      <c r="F2626" t="str">
        <f t="shared" ref="F2626:F2689" ca="1" si="41">CONCATENATE(CHAR(34)&amp;"",A2626,""&amp;CHAR(34)," : ", CHAR(34)&amp;"",D2626,""&amp;CHAR(34),",")</f>
        <v>"2084007445" : "Yves Saint Laurent",</v>
      </c>
    </row>
    <row r="2627" spans="1:6" ht="15.75" customHeight="1">
      <c r="A2627" s="18">
        <v>2084053237</v>
      </c>
      <c r="B2627" s="18" t="s">
        <v>9277</v>
      </c>
      <c r="C2627" s="18" t="s">
        <v>19661</v>
      </c>
      <c r="D2627" s="5" t="str">
        <f ca="1">IFERROR(__xludf.DUMMYFUNCTION("GOOGLETRANSLATE(B2627,""ja"",""vi"")"),"Escada")</f>
        <v>Escada</v>
      </c>
      <c r="E2627" s="5" t="str">
        <f ca="1">IFERROR(__xludf.DUMMYFUNCTION("GOOGLETRANSLATE(C2627,""ja"",""vi"")"),"Đấu giá&gt; làm đẹp, chăm sóc sức khỏe&gt; ​​nước hoa, hương thơm&gt; cho phụ nữ&gt; Escada")</f>
        <v>Đấu giá&gt; làm đẹp, chăm sóc sức khỏe&gt; ​​nước hoa, hương thơm&gt; cho phụ nữ&gt; Escada</v>
      </c>
      <c r="F2627" t="str">
        <f t="shared" ca="1" si="41"/>
        <v>"2084053237" : "Escada",</v>
      </c>
    </row>
    <row r="2628" spans="1:6" ht="15.75" customHeight="1">
      <c r="A2628" s="18">
        <v>2084053255</v>
      </c>
      <c r="B2628" s="18" t="s">
        <v>19664</v>
      </c>
      <c r="C2628" s="18" t="s">
        <v>19666</v>
      </c>
      <c r="D2628" s="5" t="str">
        <f ca="1">IFERROR(__xludf.DUMMYFUNCTION("GOOGLETRANSLATE(B2628,""ja"",""vi"")"),"Estee Lauder")</f>
        <v>Estee Lauder</v>
      </c>
      <c r="E2628" s="5" t="str">
        <f ca="1">IFERROR(__xludf.DUMMYFUNCTION("GOOGLETRANSLATE(C2628,""ja"",""vi"")"),"Đấu giá&gt; làm đẹp, chăm sóc sức khỏe&gt; ​​nước hoa, hương thơm&gt; cho phụ nữ&gt; Estee Lauder")</f>
        <v>Đấu giá&gt; làm đẹp, chăm sóc sức khỏe&gt; ​​nước hoa, hương thơm&gt; cho phụ nữ&gt; Estee Lauder</v>
      </c>
      <c r="F2628" t="str">
        <f t="shared" ca="1" si="41"/>
        <v>"2084053255" : "Estee Lauder",</v>
      </c>
    </row>
    <row r="2629" spans="1:6" ht="15.75" customHeight="1">
      <c r="A2629" s="18">
        <v>2084053249</v>
      </c>
      <c r="B2629" s="18" t="s">
        <v>19670</v>
      </c>
      <c r="C2629" s="18" t="s">
        <v>19671</v>
      </c>
      <c r="D2629" s="5" t="str">
        <f ca="1">IFERROR(__xludf.DUMMYFUNCTION("GOOGLETRANSLATE(B2629,""ja"",""vi"")"),"Elizabeth Arden")</f>
        <v>Elizabeth Arden</v>
      </c>
      <c r="E2629" s="5" t="str">
        <f ca="1">IFERROR(__xludf.DUMMYFUNCTION("GOOGLETRANSLATE(C2629,""ja"",""vi"")"),"Đấu giá&gt; làm đẹp, chăm sóc sức khỏe&gt; ​​nước hoa, hương thơm&gt; cho phụ nữ&gt; Elizabeth Arden")</f>
        <v>Đấu giá&gt; làm đẹp, chăm sóc sức khỏe&gt; ​​nước hoa, hương thơm&gt; cho phụ nữ&gt; Elizabeth Arden</v>
      </c>
      <c r="F2629" t="str">
        <f t="shared" ca="1" si="41"/>
        <v>"2084053249" : "Elizabeth Arden",</v>
      </c>
    </row>
    <row r="2630" spans="1:6" ht="15.75" customHeight="1">
      <c r="A2630" s="18">
        <v>2084053250</v>
      </c>
      <c r="B2630" s="18" t="s">
        <v>9475</v>
      </c>
      <c r="C2630" s="18" t="s">
        <v>19675</v>
      </c>
      <c r="D2630" s="5" t="str">
        <f ca="1">IFERROR(__xludf.DUMMYFUNCTION("GOOGLETRANSLATE(B2630,""ja"",""vi"")"),"Hermes")</f>
        <v>Hermes</v>
      </c>
      <c r="E2630" s="5" t="str">
        <f ca="1">IFERROR(__xludf.DUMMYFUNCTION("GOOGLETRANSLATE(C2630,""ja"",""vi"")"),"Đấu giá&gt; làm đẹp, chăm sóc sức khỏe&gt; ​​nước hoa, hương thơm&gt; cho phụ nữ&gt; Hermes")</f>
        <v>Đấu giá&gt; làm đẹp, chăm sóc sức khỏe&gt; ​​nước hoa, hương thơm&gt; cho phụ nữ&gt; Hermes</v>
      </c>
      <c r="F2630" t="str">
        <f t="shared" ca="1" si="41"/>
        <v>"2084053250" : "Hermes",</v>
      </c>
    </row>
    <row r="2631" spans="1:6" ht="15.75" customHeight="1">
      <c r="A2631" s="18">
        <v>2084053256</v>
      </c>
      <c r="B2631" s="18" t="s">
        <v>19679</v>
      </c>
      <c r="C2631" s="18" t="s">
        <v>19681</v>
      </c>
      <c r="D2631" s="5" t="str">
        <f ca="1">IFERROR(__xludf.DUMMYFUNCTION("GOOGLETRANSLATE(B2631,""ja"",""vi"")"),"Erokkusu")</f>
        <v>Erokkusu</v>
      </c>
      <c r="E2631" s="5" t="str">
        <f ca="1">IFERROR(__xludf.DUMMYFUNCTION("GOOGLETRANSLATE(C2631,""ja"",""vi"")"),"Đấu giá&gt; làm đẹp, chăm sóc sức khỏe&gt; ​​nước hoa, hương thơm&gt; cho phụ nữ&gt; Erokkusu")</f>
        <v>Đấu giá&gt; làm đẹp, chăm sóc sức khỏe&gt; ​​nước hoa, hương thơm&gt; cho phụ nữ&gt; Erokkusu</v>
      </c>
      <c r="F2631" t="str">
        <f t="shared" ca="1" si="41"/>
        <v>"2084053256" : "Erokkusu",</v>
      </c>
    </row>
    <row r="2632" spans="1:6" ht="15.75" customHeight="1">
      <c r="A2632" s="18">
        <v>2084243943</v>
      </c>
      <c r="B2632" s="18" t="s">
        <v>19684</v>
      </c>
      <c r="C2632" s="18" t="s">
        <v>19685</v>
      </c>
      <c r="D2632" s="5" t="str">
        <f ca="1">IFERROR(__xludf.DUMMYFUNCTION("GOOGLETRANSLATE(B2632,""ja"",""vi"")"),"angel Heart")</f>
        <v>angel Heart</v>
      </c>
      <c r="E2632" s="5" t="str">
        <f ca="1">IFERROR(__xludf.DUMMYFUNCTION("GOOGLETRANSLATE(C2632,""ja"",""vi"")"),"Đấu giá&gt; làm đẹp, chăm sóc sức khỏe&gt; ​​nước hoa, hương thơm&gt; cho phụ nữ&gt; Angel Heart")</f>
        <v>Đấu giá&gt; làm đẹp, chăm sóc sức khỏe&gt; ​​nước hoa, hương thơm&gt; cho phụ nữ&gt; Angel Heart</v>
      </c>
      <c r="F2632" t="str">
        <f t="shared" ca="1" si="41"/>
        <v>"2084243943" : "angel Heart",</v>
      </c>
    </row>
    <row r="2633" spans="1:6" ht="15.75" customHeight="1">
      <c r="A2633" s="18">
        <v>2084053243</v>
      </c>
      <c r="B2633" s="18" t="s">
        <v>19687</v>
      </c>
      <c r="C2633" s="18" t="s">
        <v>19689</v>
      </c>
      <c r="D2633" s="5" t="str">
        <f ca="1">IFERROR(__xludf.DUMMYFUNCTION("GOOGLETRANSLATE(B2633,""ja"",""vi"")"),"Calvin Klein")</f>
        <v>Calvin Klein</v>
      </c>
      <c r="E2633" s="5" t="str">
        <f ca="1">IFERROR(__xludf.DUMMYFUNCTION("GOOGLETRANSLATE(C2633,""ja"",""vi"")"),"Đấu giá&gt; làm đẹp, chăm sóc sức khỏe&gt; ​​nước hoa, hương thơm&gt; cho phụ nữ&gt; Calvin Klein")</f>
        <v>Đấu giá&gt; làm đẹp, chăm sóc sức khỏe&gt; ​​nước hoa, hương thơm&gt; cho phụ nữ&gt; Calvin Klein</v>
      </c>
      <c r="F2633" t="str">
        <f t="shared" ca="1" si="41"/>
        <v>"2084053243" : "Calvin Klein",</v>
      </c>
    </row>
    <row r="2634" spans="1:6" ht="15.75" customHeight="1">
      <c r="A2634" s="18">
        <v>2084007448</v>
      </c>
      <c r="B2634" s="18" t="s">
        <v>19694</v>
      </c>
      <c r="C2634" s="18" t="s">
        <v>19696</v>
      </c>
      <c r="D2634" s="5" t="str">
        <f ca="1">IFERROR(__xludf.DUMMYFUNCTION("GOOGLETRANSLATE(B2634,""ja"",""vi"")"),"Christian Dior")</f>
        <v>Christian Dior</v>
      </c>
      <c r="E2634" s="5" t="str">
        <f ca="1">IFERROR(__xludf.DUMMYFUNCTION("GOOGLETRANSLATE(C2634,""ja"",""vi"")"),"Đấu giá&gt; làm đẹp, chăm sóc sức khỏe&gt; ​​nước hoa, hương thơm&gt; cho phụ nữ&gt; Christian Dior")</f>
        <v>Đấu giá&gt; làm đẹp, chăm sóc sức khỏe&gt; ​​nước hoa, hương thơm&gt; cho phụ nữ&gt; Christian Dior</v>
      </c>
      <c r="F2634" t="str">
        <f t="shared" ca="1" si="41"/>
        <v>"2084007448" : "Christian Dior",</v>
      </c>
    </row>
    <row r="2635" spans="1:6" ht="15.75" customHeight="1">
      <c r="A2635" s="18">
        <v>2084007449</v>
      </c>
      <c r="B2635" s="18" t="s">
        <v>19700</v>
      </c>
      <c r="C2635" s="18" t="s">
        <v>19701</v>
      </c>
      <c r="D2635" s="5" t="str">
        <f ca="1">IFERROR(__xludf.DUMMYFUNCTION("GOOGLETRANSLATE(B2635,""ja"",""vi"")"),"Clinique")</f>
        <v>Clinique</v>
      </c>
      <c r="E2635" s="5" t="str">
        <f ca="1">IFERROR(__xludf.DUMMYFUNCTION("GOOGLETRANSLATE(C2635,""ja"",""vi"")"),"Đấu giá&gt; làm đẹp, chăm sóc sức khỏe&gt; ​​nước hoa, hương thơm&gt; cho phụ nữ&gt; Clinique")</f>
        <v>Đấu giá&gt; làm đẹp, chăm sóc sức khỏe&gt; ​​nước hoa, hương thơm&gt; cho phụ nữ&gt; Clinique</v>
      </c>
      <c r="F2635" t="str">
        <f t="shared" ca="1" si="41"/>
        <v>"2084007449" : "Clinique",</v>
      </c>
    </row>
    <row r="2636" spans="1:6" ht="15.75" customHeight="1">
      <c r="A2636" s="18">
        <v>2084243942</v>
      </c>
      <c r="B2636" s="18" t="s">
        <v>9935</v>
      </c>
      <c r="C2636" s="18" t="s">
        <v>19708</v>
      </c>
      <c r="D2636" s="5" t="str">
        <f ca="1">IFERROR(__xludf.DUMMYFUNCTION("GOOGLETRANSLATE(B2636,""ja"",""vi"")"),"Chloe")</f>
        <v>Chloe</v>
      </c>
      <c r="E2636" s="5" t="str">
        <f ca="1">IFERROR(__xludf.DUMMYFUNCTION("GOOGLETRANSLATE(C2636,""ja"",""vi"")"),"Đấu giá&gt; làm đẹp, chăm sóc sức khỏe&gt; ​​nước hoa, hương thơm&gt; cho phụ nữ&gt; Chloe")</f>
        <v>Đấu giá&gt; làm đẹp, chăm sóc sức khỏe&gt; ​​nước hoa, hương thơm&gt; cho phụ nữ&gt; Chloe</v>
      </c>
      <c r="F2636" t="str">
        <f t="shared" ca="1" si="41"/>
        <v>"2084243942" : "Chloe",</v>
      </c>
    </row>
    <row r="2637" spans="1:6" ht="15.75" customHeight="1">
      <c r="A2637" s="18">
        <v>2084007450</v>
      </c>
      <c r="B2637" s="18" t="s">
        <v>9815</v>
      </c>
      <c r="C2637" s="18" t="s">
        <v>19714</v>
      </c>
      <c r="D2637" s="5" t="str">
        <f ca="1">IFERROR(__xludf.DUMMYFUNCTION("GOOGLETRANSLATE(B2637,""ja"",""vi"")"),"Gucci")</f>
        <v>Gucci</v>
      </c>
      <c r="E2637" s="5" t="str">
        <f ca="1">IFERROR(__xludf.DUMMYFUNCTION("GOOGLETRANSLATE(C2637,""ja"",""vi"")"),"Đấu giá&gt; làm đẹp, chăm sóc sức khỏe&gt; ​​nước hoa, hương thơm&gt; cho phụ nữ&gt; Gucci")</f>
        <v>Đấu giá&gt; làm đẹp, chăm sóc sức khỏe&gt; ​​nước hoa, hương thơm&gt; cho phụ nữ&gt; Gucci</v>
      </c>
      <c r="F2637" t="str">
        <f t="shared" ca="1" si="41"/>
        <v>"2084007450" : "Gucci",</v>
      </c>
    </row>
    <row r="2638" spans="1:6" ht="15.75" customHeight="1">
      <c r="A2638" s="18">
        <v>2084053248</v>
      </c>
      <c r="B2638" s="18" t="s">
        <v>10004</v>
      </c>
      <c r="C2638" s="18" t="s">
        <v>19720</v>
      </c>
      <c r="D2638" s="5" t="str">
        <f ca="1">IFERROR(__xludf.DUMMYFUNCTION("GOOGLETRANSLATE(B2638,""ja"",""vi"")"),"Kenzo")</f>
        <v>Kenzo</v>
      </c>
      <c r="E2638" s="5" t="str">
        <f ca="1">IFERROR(__xludf.DUMMYFUNCTION("GOOGLETRANSLATE(C2638,""ja"",""vi"")"),"Đấu giá&gt; làm đẹp, chăm sóc sức khỏe&gt; ​​nước hoa, hương thơm&gt; cho phụ nữ&gt; Kenzo")</f>
        <v>Đấu giá&gt; làm đẹp, chăm sóc sức khỏe&gt; ​​nước hoa, hương thơm&gt; cho phụ nữ&gt; Kenzo</v>
      </c>
      <c r="F2638" t="str">
        <f t="shared" ca="1" si="41"/>
        <v>"2084053248" : "Kenzo",</v>
      </c>
    </row>
    <row r="2639" spans="1:6" ht="15.75" customHeight="1">
      <c r="A2639" s="18">
        <v>2084007451</v>
      </c>
      <c r="B2639" s="18" t="s">
        <v>19723</v>
      </c>
      <c r="C2639" s="18" t="s">
        <v>19725</v>
      </c>
      <c r="D2639" s="5" t="str">
        <f ca="1">IFERROR(__xludf.DUMMYFUNCTION("GOOGLETRANSLATE(B2639,""ja"",""vi"")"),"Guerlain")</f>
        <v>Guerlain</v>
      </c>
      <c r="E2639" s="5" t="str">
        <f ca="1">IFERROR(__xludf.DUMMYFUNCTION("GOOGLETRANSLATE(C2639,""ja"",""vi"")"),"Đấu giá&gt; làm đẹp, chăm sóc sức khỏe&gt; ​​nước hoa, hương thơm&gt; cho phụ nữ&gt; Guerlain")</f>
        <v>Đấu giá&gt; làm đẹp, chăm sóc sức khỏe&gt; ​​nước hoa, hương thơm&gt; cho phụ nữ&gt; Guerlain</v>
      </c>
      <c r="F2639" t="str">
        <f t="shared" ca="1" si="41"/>
        <v>"2084007451" : "Guerlain",</v>
      </c>
    </row>
    <row r="2640" spans="1:6" ht="15.75" customHeight="1">
      <c r="A2640" s="18">
        <v>2084053239</v>
      </c>
      <c r="B2640" s="18" t="s">
        <v>10142</v>
      </c>
      <c r="C2640" s="18" t="s">
        <v>19731</v>
      </c>
      <c r="D2640" s="5" t="str">
        <f ca="1">IFERROR(__xludf.DUMMYFUNCTION("GOOGLETRANSLATE(B2640,""ja"",""vi"")"),"Salvatore Ferragamo")</f>
        <v>Salvatore Ferragamo</v>
      </c>
      <c r="E2640" s="5" t="str">
        <f ca="1">IFERROR(__xludf.DUMMYFUNCTION("GOOGLETRANSLATE(C2640,""ja"",""vi"")"),"Đấu giá&gt; làm đẹp, chăm sóc sức khỏe&gt; ​​nước hoa, hương thơm&gt; cho phụ nữ&gt; Salvatore Ferragamo")</f>
        <v>Đấu giá&gt; làm đẹp, chăm sóc sức khỏe&gt; ​​nước hoa, hương thơm&gt; cho phụ nữ&gt; Salvatore Ferragamo</v>
      </c>
      <c r="F2640" t="str">
        <f t="shared" ca="1" si="41"/>
        <v>"2084053239" : "Salvatore Ferragamo",</v>
      </c>
    </row>
    <row r="2641" spans="1:6" ht="15.75" customHeight="1">
      <c r="A2641" s="18">
        <v>2084007444</v>
      </c>
      <c r="B2641" s="18" t="s">
        <v>10288</v>
      </c>
      <c r="C2641" s="18" t="s">
        <v>19736</v>
      </c>
      <c r="D2641" s="5" t="str">
        <f ca="1">IFERROR(__xludf.DUMMYFUNCTION("GOOGLETRANSLATE(B2641,""ja"",""vi"")"),"Chanel")</f>
        <v>Chanel</v>
      </c>
      <c r="E2641" s="5" t="str">
        <f ca="1">IFERROR(__xludf.DUMMYFUNCTION("GOOGLETRANSLATE(C2641,""ja"",""vi"")"),"Đấu giá&gt; làm đẹp, chăm sóc sức khỏe&gt; ​​nước hoa, hương thơm&gt; cho phụ nữ&gt; Chanel")</f>
        <v>Đấu giá&gt; làm đẹp, chăm sóc sức khỏe&gt; ​​nước hoa, hương thơm&gt; cho phụ nữ&gt; Chanel</v>
      </c>
      <c r="F2641" t="str">
        <f t="shared" ca="1" si="41"/>
        <v>"2084007444" : "Chanel",</v>
      </c>
    </row>
    <row r="2642" spans="1:6" ht="15.75" customHeight="1">
      <c r="A2642" s="18">
        <v>2084053258</v>
      </c>
      <c r="B2642" s="18" t="s">
        <v>18284</v>
      </c>
      <c r="C2642" s="18" t="s">
        <v>19742</v>
      </c>
      <c r="D2642" s="5" t="str">
        <f ca="1">IFERROR(__xludf.DUMMYFUNCTION("GOOGLETRANSLATE(B2642,""ja"",""vi"")"),"Chopard")</f>
        <v>Chopard</v>
      </c>
      <c r="E2642" s="5" t="str">
        <f ca="1">IFERROR(__xludf.DUMMYFUNCTION("GOOGLETRANSLATE(C2642,""ja"",""vi"")"),"Đấu giá&gt; làm đẹp, chăm sóc sức khỏe&gt; ​​nước hoa, hương thơm&gt; cho phụ nữ&gt; Chopard")</f>
        <v>Đấu giá&gt; làm đẹp, chăm sóc sức khỏe&gt; ​​nước hoa, hương thơm&gt; cho phụ nữ&gt; Chopard</v>
      </c>
      <c r="F2642" t="str">
        <f t="shared" ca="1" si="41"/>
        <v>"2084053258" : "Chopard",</v>
      </c>
    </row>
    <row r="2643" spans="1:6" ht="15.75" customHeight="1">
      <c r="A2643" s="18">
        <v>2084053257</v>
      </c>
      <c r="B2643" s="18" t="s">
        <v>19746</v>
      </c>
      <c r="C2643" s="18" t="s">
        <v>19748</v>
      </c>
      <c r="D2643" s="5" t="str">
        <f ca="1">IFERROR(__xludf.DUMMYFUNCTION("GOOGLETRANSLATE(B2643,""ja"",""vi"")"),"Jennifer Lopez")</f>
        <v>Jennifer Lopez</v>
      </c>
      <c r="E2643" s="5" t="str">
        <f ca="1">IFERROR(__xludf.DUMMYFUNCTION("GOOGLETRANSLATE(C2643,""ja"",""vi"")"),"Đấu giá&gt; làm đẹp, chăm sóc sức khỏe&gt; ​​nước hoa, hương thơm&gt; cho phụ nữ&gt; Jennifer Lopez")</f>
        <v>Đấu giá&gt; làm đẹp, chăm sóc sức khỏe&gt; ​​nước hoa, hương thơm&gt; cho phụ nữ&gt; Jennifer Lopez</v>
      </c>
      <c r="F2643" t="str">
        <f t="shared" ca="1" si="41"/>
        <v>"2084053257" : "Jennifer Lopez",</v>
      </c>
    </row>
    <row r="2644" spans="1:6" ht="15.75" customHeight="1">
      <c r="A2644" s="18">
        <v>2084007446</v>
      </c>
      <c r="B2644" s="18" t="s">
        <v>19753</v>
      </c>
      <c r="C2644" s="18" t="s">
        <v>19754</v>
      </c>
      <c r="D2644" s="5" t="str">
        <f ca="1">IFERROR(__xludf.DUMMYFUNCTION("GOOGLETRANSLATE(B2644,""ja"",""vi"")"),"Givenchy")</f>
        <v>Givenchy</v>
      </c>
      <c r="E2644" s="5" t="str">
        <f ca="1">IFERROR(__xludf.DUMMYFUNCTION("GOOGLETRANSLATE(C2644,""ja"",""vi"")"),"Đấu giá&gt; làm đẹp, chăm sóc sức khỏe&gt; ​​nước hoa, hương thơm&gt; cho phụ nữ&gt; Givenchy")</f>
        <v>Đấu giá&gt; làm đẹp, chăm sóc sức khỏe&gt; ​​nước hoa, hương thơm&gt; cho phụ nữ&gt; Givenchy</v>
      </c>
      <c r="F2644" t="str">
        <f t="shared" ca="1" si="41"/>
        <v>"2084007446" : "Givenchy",</v>
      </c>
    </row>
    <row r="2645" spans="1:6" ht="15.75" customHeight="1">
      <c r="A2645" s="18">
        <v>2084053244</v>
      </c>
      <c r="B2645" s="18" t="s">
        <v>19756</v>
      </c>
      <c r="C2645" s="18" t="s">
        <v>19760</v>
      </c>
      <c r="D2645" s="5" t="str">
        <f ca="1">IFERROR(__xludf.DUMMYFUNCTION("GOOGLETRANSLATE(B2645,""ja"",""vi"")"),"Jeanne Artes")</f>
        <v>Jeanne Artes</v>
      </c>
      <c r="E2645" s="5" t="str">
        <f ca="1">IFERROR(__xludf.DUMMYFUNCTION("GOOGLETRANSLATE(C2645,""ja"",""vi"")"),"Đấu giá&gt; làm đẹp, chăm sóc sức khỏe&gt; ​​nước hoa, hương thơm&gt; cho phụ nữ&gt; Jeanne Artes")</f>
        <v>Đấu giá&gt; làm đẹp, chăm sóc sức khỏe&gt; ​​nước hoa, hương thơm&gt; cho phụ nữ&gt; Jeanne Artes</v>
      </c>
      <c r="F2645" t="str">
        <f t="shared" ca="1" si="41"/>
        <v>"2084053244" : "Jeanne Artes",</v>
      </c>
    </row>
    <row r="2646" spans="1:6" ht="15.75" customHeight="1">
      <c r="A2646" s="18">
        <v>2084243964</v>
      </c>
      <c r="B2646" s="18" t="s">
        <v>10446</v>
      </c>
      <c r="C2646" s="18" t="s">
        <v>19763</v>
      </c>
      <c r="D2646" s="5" t="str">
        <f ca="1">IFERROR(__xludf.DUMMYFUNCTION("GOOGLETRANSLATE(B2646,""ja"",""vi"")"),"Jill Stuart")</f>
        <v>Jill Stuart</v>
      </c>
      <c r="E2646" s="5" t="str">
        <f ca="1">IFERROR(__xludf.DUMMYFUNCTION("GOOGLETRANSLATE(C2646,""ja"",""vi"")"),"Đấu giá&gt; làm đẹp, chăm sóc sức khỏe&gt; ​​nước hoa, hương thơm&gt; cho phụ nữ&gt; Jill Stuart")</f>
        <v>Đấu giá&gt; làm đẹp, chăm sóc sức khỏe&gt; ​​nước hoa, hương thơm&gt; cho phụ nữ&gt; Jill Stuart</v>
      </c>
      <c r="F2646" t="str">
        <f t="shared" ca="1" si="41"/>
        <v>"2084243964" : "Jill Stuart",</v>
      </c>
    </row>
    <row r="2647" spans="1:6" ht="15.75" customHeight="1">
      <c r="A2647" s="18">
        <v>2084053259</v>
      </c>
      <c r="B2647" s="18" t="s">
        <v>10623</v>
      </c>
      <c r="C2647" s="18" t="s">
        <v>19767</v>
      </c>
      <c r="D2647" s="5" t="str">
        <f ca="1">IFERROR(__xludf.DUMMYFUNCTION("GOOGLETRANSLATE(B2647,""ja"",""vi"")"),"Celine")</f>
        <v>Celine</v>
      </c>
      <c r="E2647" s="5" t="str">
        <f ca="1">IFERROR(__xludf.DUMMYFUNCTION("GOOGLETRANSLATE(C2647,""ja"",""vi"")"),"Đấu giá&gt; làm đẹp, chăm sóc sức khỏe&gt; ​​nước hoa, hương thơm&gt; cho phụ nữ&gt; Celine")</f>
        <v>Đấu giá&gt; làm đẹp, chăm sóc sức khỏe&gt; ​​nước hoa, hương thơm&gt; cho phụ nữ&gt; Celine</v>
      </c>
      <c r="F2647" t="str">
        <f t="shared" ca="1" si="41"/>
        <v>"2084053259" : "Celine",</v>
      </c>
    </row>
    <row r="2648" spans="1:6" ht="15.75" customHeight="1">
      <c r="A2648" s="18">
        <v>2084053251</v>
      </c>
      <c r="B2648" s="18" t="s">
        <v>10657</v>
      </c>
      <c r="C2648" s="18" t="s">
        <v>19772</v>
      </c>
      <c r="D2648" s="5" t="str">
        <f ca="1">IFERROR(__xludf.DUMMYFUNCTION("GOOGLETRANSLATE(B2648,""ja"",""vi"")"),"Sonia Rykiel")</f>
        <v>Sonia Rykiel</v>
      </c>
      <c r="E2648" s="5" t="str">
        <f ca="1">IFERROR(__xludf.DUMMYFUNCTION("GOOGLETRANSLATE(C2648,""ja"",""vi"")"),"Đấu giá&gt; làm đẹp, chăm sóc sức khỏe&gt; ​​nước hoa, hương thơm&gt; cho phụ nữ&gt; Sonia Rykiel")</f>
        <v>Đấu giá&gt; làm đẹp, chăm sóc sức khỏe&gt; ​​nước hoa, hương thơm&gt; cho phụ nữ&gt; Sonia Rykiel</v>
      </c>
      <c r="F2648" t="str">
        <f t="shared" ca="1" si="41"/>
        <v>"2084053251" : "Sonia Rykiel",</v>
      </c>
    </row>
    <row r="2649" spans="1:6" ht="15.75" customHeight="1">
      <c r="A2649" s="18">
        <v>2084053240</v>
      </c>
      <c r="B2649" s="18" t="s">
        <v>19778</v>
      </c>
      <c r="C2649" s="18" t="s">
        <v>19779</v>
      </c>
      <c r="D2649" s="5" t="str">
        <f ca="1">IFERROR(__xludf.DUMMYFUNCTION("GOOGLETRANSLATE(B2649,""ja"",""vi"")"),"Shiseido")</f>
        <v>Shiseido</v>
      </c>
      <c r="E2649" s="5" t="str">
        <f ca="1">IFERROR(__xludf.DUMMYFUNCTION("GOOGLETRANSLATE(C2649,""ja"",""vi"")"),"Đấu giá&gt; làm đẹp, chăm sóc sức khỏe&gt; ​​nước hoa, hương thơm&gt; cho phụ nữ&gt; Shiseido")</f>
        <v>Đấu giá&gt; làm đẹp, chăm sóc sức khỏe&gt; ​​nước hoa, hương thơm&gt; cho phụ nữ&gt; Shiseido</v>
      </c>
      <c r="F2649" t="str">
        <f t="shared" ca="1" si="41"/>
        <v>"2084053240" : "Shiseido",</v>
      </c>
    </row>
    <row r="2650" spans="1:6" ht="15.75" customHeight="1">
      <c r="A2650" s="18">
        <v>2084053260</v>
      </c>
      <c r="B2650" s="18" t="s">
        <v>19783</v>
      </c>
      <c r="C2650" s="18" t="s">
        <v>19784</v>
      </c>
      <c r="D2650" s="5" t="str">
        <f ca="1">IFERROR(__xludf.DUMMYFUNCTION("GOOGLETRANSLATE(B2650,""ja"",""vi"")"),"Donna Karan")</f>
        <v>Donna Karan</v>
      </c>
      <c r="E2650" s="5" t="str">
        <f ca="1">IFERROR(__xludf.DUMMYFUNCTION("GOOGLETRANSLATE(C2650,""ja"",""vi"")"),"Đấu giá&gt; làm đẹp, chăm sóc sức khỏe&gt; ​​nước hoa, hương thơm&gt; cho phụ nữ&gt; Donna Karan")</f>
        <v>Đấu giá&gt; làm đẹp, chăm sóc sức khỏe&gt; ​​nước hoa, hương thơm&gt; cho phụ nữ&gt; Donna Karan</v>
      </c>
      <c r="F2650" t="str">
        <f t="shared" ca="1" si="41"/>
        <v>"2084053260" : "Donna Karan",</v>
      </c>
    </row>
    <row r="2651" spans="1:6" ht="15.75" customHeight="1">
      <c r="A2651" s="18">
        <v>2084053245</v>
      </c>
      <c r="B2651" s="18" t="s">
        <v>19791</v>
      </c>
      <c r="C2651" s="18" t="s">
        <v>19792</v>
      </c>
      <c r="D2651" s="5" t="str">
        <f ca="1">IFERROR(__xludf.DUMMYFUNCTION("GOOGLETRANSLATE(B2651,""ja"",""vi"")"),"Davidoff")</f>
        <v>Davidoff</v>
      </c>
      <c r="E2651" s="5" t="str">
        <f ca="1">IFERROR(__xludf.DUMMYFUNCTION("GOOGLETRANSLATE(C2651,""ja"",""vi"")"),"Đấu giá&gt; làm đẹp, chăm sóc sức khỏe&gt; ​​nước hoa, hương thơm&gt; cho phụ nữ&gt; Davidoff")</f>
        <v>Đấu giá&gt; làm đẹp, chăm sóc sức khỏe&gt; ​​nước hoa, hương thơm&gt; cho phụ nữ&gt; Davidoff</v>
      </c>
      <c r="F2651" t="str">
        <f t="shared" ca="1" si="41"/>
        <v>"2084053245" : "Davidoff",</v>
      </c>
    </row>
    <row r="2652" spans="1:6" ht="15.75" customHeight="1">
      <c r="A2652" s="18">
        <v>2084053261</v>
      </c>
      <c r="B2652" s="18" t="s">
        <v>10898</v>
      </c>
      <c r="C2652" s="18" t="s">
        <v>19798</v>
      </c>
      <c r="D2652" s="5" t="str">
        <f ca="1">IFERROR(__xludf.DUMMYFUNCTION("GOOGLETRANSLATE(B2652,""ja"",""vi"")"),"vải mõng")</f>
        <v>vải mõng</v>
      </c>
      <c r="E2652" s="5" t="str">
        <f ca="1">IFERROR(__xludf.DUMMYFUNCTION("GOOGLETRANSLATE(C2652,""ja"",""vi"")"),"Đấu giá&gt; làm đẹp, chăm sóc sức khỏe&gt; ​​nước hoa, hương thơm&gt; cho phụ nữ&gt; Tiffany")</f>
        <v>Đấu giá&gt; làm đẹp, chăm sóc sức khỏe&gt; ​​nước hoa, hương thơm&gt; cho phụ nữ&gt; Tiffany</v>
      </c>
      <c r="F2652" t="str">
        <f t="shared" ca="1" si="41"/>
        <v>"2084053261" : "vải mõng",</v>
      </c>
    </row>
    <row r="2653" spans="1:6" ht="15.75" customHeight="1">
      <c r="A2653" s="18">
        <v>2084053246</v>
      </c>
      <c r="B2653" s="18" t="s">
        <v>11049</v>
      </c>
      <c r="C2653" s="18" t="s">
        <v>19805</v>
      </c>
      <c r="D2653" s="5" t="str">
        <f ca="1">IFERROR(__xludf.DUMMYFUNCTION("GOOGLETRANSLATE(B2653,""ja"",""vi"")"),"Tommy Hilfiger")</f>
        <v>Tommy Hilfiger</v>
      </c>
      <c r="E2653" s="5" t="str">
        <f ca="1">IFERROR(__xludf.DUMMYFUNCTION("GOOGLETRANSLATE(C2653,""ja"",""vi"")"),"Đấu giá&gt; làm đẹp, chăm sóc sức khỏe&gt; ​​nước hoa, hương thơm&gt; cho phụ nữ&gt; Tommy Hilfiger")</f>
        <v>Đấu giá&gt; làm đẹp, chăm sóc sức khỏe&gt; ​​nước hoa, hương thơm&gt; cho phụ nữ&gt; Tommy Hilfiger</v>
      </c>
      <c r="F2653" t="str">
        <f t="shared" ca="1" si="41"/>
        <v>"2084053246" : "Tommy Hilfiger",</v>
      </c>
    </row>
    <row r="2654" spans="1:6" ht="15.75" customHeight="1">
      <c r="A2654" s="18">
        <v>2084053238</v>
      </c>
      <c r="B2654" s="18" t="s">
        <v>11111</v>
      </c>
      <c r="C2654" s="18" t="s">
        <v>19810</v>
      </c>
      <c r="D2654" s="5" t="str">
        <f ca="1">IFERROR(__xludf.DUMMYFUNCTION("GOOGLETRANSLATE(B2654,""ja"",""vi"")"),"Dolce &amp; Gabbana")</f>
        <v>Dolce &amp; Gabbana</v>
      </c>
      <c r="E2654" s="5" t="str">
        <f ca="1">IFERROR(__xludf.DUMMYFUNCTION("GOOGLETRANSLATE(C2654,""ja"",""vi"")"),"Đấu giá&gt; làm đẹp, chăm sóc sức khỏe&gt; ​​nước hoa, hương thơm&gt; cho phụ nữ&gt; Dolce &amp; Gabbana")</f>
        <v>Đấu giá&gt; làm đẹp, chăm sóc sức khỏe&gt; ​​nước hoa, hương thơm&gt; cho phụ nữ&gt; Dolce &amp; Gabbana</v>
      </c>
      <c r="F2654" t="str">
        <f t="shared" ca="1" si="41"/>
        <v>"2084053238" : "Dolce &amp; Gabbana",</v>
      </c>
    </row>
    <row r="2655" spans="1:6" ht="15.75" customHeight="1">
      <c r="A2655" s="18">
        <v>2084053254</v>
      </c>
      <c r="B2655" s="18" t="s">
        <v>19816</v>
      </c>
      <c r="C2655" s="18" t="s">
        <v>19818</v>
      </c>
      <c r="D2655" s="5" t="str">
        <f ca="1">IFERROR(__xludf.DUMMYFUNCTION("GOOGLETRANSLATE(B2655,""ja"",""vi"")"),"Naomi Campbell")</f>
        <v>Naomi Campbell</v>
      </c>
      <c r="E2655" s="5" t="str">
        <f ca="1">IFERROR(__xludf.DUMMYFUNCTION("GOOGLETRANSLATE(C2655,""ja"",""vi"")"),"Đấu giá&gt; làm đẹp, chăm sóc sức khỏe&gt; ​​nước hoa, hương thơm&gt; cho phụ nữ&gt; Naomi Campbell")</f>
        <v>Đấu giá&gt; làm đẹp, chăm sóc sức khỏe&gt; ​​nước hoa, hương thơm&gt; cho phụ nữ&gt; Naomi Campbell</v>
      </c>
      <c r="F2655" t="str">
        <f t="shared" ca="1" si="41"/>
        <v>"2084053254" : "Naomi Campbell",</v>
      </c>
    </row>
    <row r="2656" spans="1:6" ht="15.75" customHeight="1">
      <c r="A2656" s="18">
        <v>2084053262</v>
      </c>
      <c r="B2656" s="18" t="s">
        <v>19822</v>
      </c>
      <c r="C2656" s="18" t="s">
        <v>19823</v>
      </c>
      <c r="D2656" s="5" t="str">
        <f ca="1">IFERROR(__xludf.DUMMYFUNCTION("GOOGLETRANSLATE(B2656,""ja"",""vi"")"),"Nikos")</f>
        <v>Nikos</v>
      </c>
      <c r="E2656" s="5" t="str">
        <f ca="1">IFERROR(__xludf.DUMMYFUNCTION("GOOGLETRANSLATE(C2656,""ja"",""vi"")"),"Đấu giá&gt; làm đẹp, chăm sóc sức khỏe&gt; ​​nước hoa, hương thơm&gt; cho phụ nữ&gt; Nikos")</f>
        <v>Đấu giá&gt; làm đẹp, chăm sóc sức khỏe&gt; ​​nước hoa, hương thơm&gt; cho phụ nữ&gt; Nikos</v>
      </c>
      <c r="F2656" t="str">
        <f t="shared" ca="1" si="41"/>
        <v>"2084053262" : "Nikos",</v>
      </c>
    </row>
    <row r="2657" spans="1:6" ht="15.75" customHeight="1">
      <c r="A2657" s="18">
        <v>2084007452</v>
      </c>
      <c r="B2657" s="18" t="s">
        <v>19827</v>
      </c>
      <c r="C2657" s="18" t="s">
        <v>19830</v>
      </c>
      <c r="D2657" s="5" t="str">
        <f ca="1">IFERROR(__xludf.DUMMYFUNCTION("GOOGLETRANSLATE(B2657,""ja"",""vi"")"),"Nina Ricci")</f>
        <v>Nina Ricci</v>
      </c>
      <c r="E2657" s="5" t="str">
        <f ca="1">IFERROR(__xludf.DUMMYFUNCTION("GOOGLETRANSLATE(C2657,""ja"",""vi"")"),"Đấu giá&gt; làm đẹp, chăm sóc sức khỏe&gt; ​​nước hoa, hương thơm&gt; cho phụ nữ&gt; Nina Ricci")</f>
        <v>Đấu giá&gt; làm đẹp, chăm sóc sức khỏe&gt; ​​nước hoa, hương thơm&gt; cho phụ nữ&gt; Nina Ricci</v>
      </c>
      <c r="F2657" t="str">
        <f t="shared" ca="1" si="41"/>
        <v>"2084007452" : "Nina Ricci",</v>
      </c>
    </row>
    <row r="2658" spans="1:6" ht="15.75" customHeight="1">
      <c r="A2658" s="18">
        <v>2084053252</v>
      </c>
      <c r="B2658" s="18" t="s">
        <v>11443</v>
      </c>
      <c r="C2658" s="18" t="s">
        <v>19833</v>
      </c>
      <c r="D2658" s="5" t="str">
        <f ca="1">IFERROR(__xludf.DUMMYFUNCTION("GOOGLETRANSLATE(B2658,""ja"",""vi"")"),"chổ lồi ở cây")</f>
        <v>chổ lồi ở cây</v>
      </c>
      <c r="E2658" s="5" t="str">
        <f ca="1">IFERROR(__xludf.DUMMYFUNCTION("GOOGLETRANSLATE(C2658,""ja"",""vi"")"),"Đấu giá&gt; làm đẹp, chăm sóc sức khỏe&gt; ​​nước hoa, hương thơm&gt; cho phụ nữ&gt; Burberry")</f>
        <v>Đấu giá&gt; làm đẹp, chăm sóc sức khỏe&gt; ​​nước hoa, hương thơm&gt; cho phụ nữ&gt; Burberry</v>
      </c>
      <c r="F2658" t="str">
        <f t="shared" ca="1" si="41"/>
        <v>"2084053252" : "chổ lồi ở cây",</v>
      </c>
    </row>
    <row r="2659" spans="1:6" ht="15.75" customHeight="1">
      <c r="A2659" s="18">
        <v>2084053264</v>
      </c>
      <c r="B2659" s="18" t="s">
        <v>11427</v>
      </c>
      <c r="C2659" s="18" t="s">
        <v>19838</v>
      </c>
      <c r="D2659" s="5" t="str">
        <f ca="1">IFERROR(__xludf.DUMMYFUNCTION("GOOGLETRANSLATE(B2659,""ja"",""vi"")"),"Banana Republic")</f>
        <v>Banana Republic</v>
      </c>
      <c r="E2659" s="5" t="str">
        <f ca="1">IFERROR(__xludf.DUMMYFUNCTION("GOOGLETRANSLATE(C2659,""ja"",""vi"")"),"Đấu giá&gt; làm đẹp, chăm sóc sức khỏe&gt; ​​nước hoa, hương thơm&gt; cho phụ nữ&gt; Banana Republic")</f>
        <v>Đấu giá&gt; làm đẹp, chăm sóc sức khỏe&gt; ​​nước hoa, hương thơm&gt; cho phụ nữ&gt; Banana Republic</v>
      </c>
      <c r="F2659" t="str">
        <f t="shared" ca="1" si="41"/>
        <v>"2084053264" : "Banana Republic",</v>
      </c>
    </row>
    <row r="2660" spans="1:6" ht="15.75" customHeight="1">
      <c r="A2660" s="18">
        <v>2084053263</v>
      </c>
      <c r="B2660" s="18" t="s">
        <v>19843</v>
      </c>
      <c r="C2660" s="18" t="s">
        <v>19844</v>
      </c>
      <c r="D2660" s="5" t="str">
        <f ca="1">IFERROR(__xludf.DUMMYFUNCTION("GOOGLETRANSLATE(B2660,""ja"",""vi"")"),"Paco Rabanne")</f>
        <v>Paco Rabanne</v>
      </c>
      <c r="E2660" s="5" t="str">
        <f ca="1">IFERROR(__xludf.DUMMYFUNCTION("GOOGLETRANSLATE(C2660,""ja"",""vi"")"),"Đấu giá&gt; làm đẹp, chăm sóc sức khỏe&gt; ​​nước hoa, hương thơm&gt; cho phụ nữ&gt; Paco Rabanne")</f>
        <v>Đấu giá&gt; làm đẹp, chăm sóc sức khỏe&gt; ​​nước hoa, hương thơm&gt; cho phụ nữ&gt; Paco Rabanne</v>
      </c>
      <c r="F2660" t="str">
        <f t="shared" ca="1" si="41"/>
        <v>"2084053263" : "Paco Rabanne",</v>
      </c>
    </row>
    <row r="2661" spans="1:6" ht="15.75" customHeight="1">
      <c r="A2661" s="18">
        <v>2084053266</v>
      </c>
      <c r="B2661" s="18" t="s">
        <v>16149</v>
      </c>
      <c r="C2661" s="18" t="s">
        <v>19850</v>
      </c>
      <c r="D2661" s="5" t="str">
        <f ca="1">IFERROR(__xludf.DUMMYFUNCTION("GOOGLETRANSLATE(B2661,""ja"",""vi"")"),"Hugo Boss")</f>
        <v>Hugo Boss</v>
      </c>
      <c r="E2661" s="5" t="str">
        <f ca="1">IFERROR(__xludf.DUMMYFUNCTION("GOOGLETRANSLATE(C2661,""ja"",""vi"")"),"Đấu giá&gt; làm đẹp, chăm sóc sức khỏe&gt; ​​nước hoa, hương thơm&gt; cho phụ nữ&gt; Hugo Boss")</f>
        <v>Đấu giá&gt; làm đẹp, chăm sóc sức khỏe&gt; ​​nước hoa, hương thơm&gt; cho phụ nữ&gt; Hugo Boss</v>
      </c>
      <c r="F2661" t="str">
        <f t="shared" ca="1" si="41"/>
        <v>"2084053266" : "Hugo Boss",</v>
      </c>
    </row>
    <row r="2662" spans="1:6" ht="15.75" customHeight="1">
      <c r="A2662" s="18">
        <v>2084053267</v>
      </c>
      <c r="B2662" s="18" t="s">
        <v>19855</v>
      </c>
      <c r="C2662" s="18" t="s">
        <v>19856</v>
      </c>
      <c r="D2662" s="5" t="str">
        <f ca="1">IFERROR(__xludf.DUMMYFUNCTION("GOOGLETRANSLATE(B2662,""ja"",""vi"")"),"Fiorucci")</f>
        <v>Fiorucci</v>
      </c>
      <c r="E2662" s="5" t="str">
        <f ca="1">IFERROR(__xludf.DUMMYFUNCTION("GOOGLETRANSLATE(C2662,""ja"",""vi"")"),"Đấu giá&gt; làm đẹp, chăm sóc sức khỏe&gt; ​​nước hoa, hương thơm&gt; cho phụ nữ&gt; Fiorucci")</f>
        <v>Đấu giá&gt; làm đẹp, chăm sóc sức khỏe&gt; ​​nước hoa, hương thơm&gt; cho phụ nữ&gt; Fiorucci</v>
      </c>
      <c r="F2662" t="str">
        <f t="shared" ca="1" si="41"/>
        <v>"2084053267" : "Fiorucci",</v>
      </c>
    </row>
    <row r="2663" spans="1:6" ht="15.75" customHeight="1">
      <c r="A2663" s="18">
        <v>2084053268</v>
      </c>
      <c r="B2663" s="18" t="s">
        <v>11843</v>
      </c>
      <c r="C2663" s="18" t="s">
        <v>19861</v>
      </c>
      <c r="D2663" s="5" t="str">
        <f ca="1">IFERROR(__xludf.DUMMYFUNCTION("GOOGLETRANSLATE(B2663,""ja"",""vi"")"),"Fendi")</f>
        <v>Fendi</v>
      </c>
      <c r="E2663" s="5" t="str">
        <f ca="1">IFERROR(__xludf.DUMMYFUNCTION("GOOGLETRANSLATE(C2663,""ja"",""vi"")"),"Đấu giá&gt; làm đẹp, chăm sóc sức khỏe&gt; ​​nước hoa, hương thơm&gt; cho phụ nữ&gt; Fendi")</f>
        <v>Đấu giá&gt; làm đẹp, chăm sóc sức khỏe&gt; ​​nước hoa, hương thơm&gt; cho phụ nữ&gt; Fendi</v>
      </c>
      <c r="F2663" t="str">
        <f t="shared" ca="1" si="41"/>
        <v>"2084053268" : "Fendi",</v>
      </c>
    </row>
    <row r="2664" spans="1:6" ht="15.75" customHeight="1">
      <c r="A2664" s="18">
        <v>2084007447</v>
      </c>
      <c r="B2664" s="18" t="s">
        <v>11984</v>
      </c>
      <c r="C2664" s="18" t="s">
        <v>19869</v>
      </c>
      <c r="D2664" s="5" t="str">
        <f ca="1">IFERROR(__xludf.DUMMYFUNCTION("GOOGLETRANSLATE(B2664,""ja"",""vi"")"),"Bulgari")</f>
        <v>Bulgari</v>
      </c>
      <c r="E2664" s="5" t="str">
        <f ca="1">IFERROR(__xludf.DUMMYFUNCTION("GOOGLETRANSLATE(C2664,""ja"",""vi"")"),"Đấu giá&gt; làm đẹp, chăm sóc sức khỏe&gt; ​​nước hoa, hương thơm&gt; cho phụ nữ&gt; Bulgari")</f>
        <v>Đấu giá&gt; làm đẹp, chăm sóc sức khỏe&gt; ​​nước hoa, hương thơm&gt; cho phụ nữ&gt; Bulgari</v>
      </c>
      <c r="F2664" t="str">
        <f t="shared" ca="1" si="41"/>
        <v>"2084007447" : "Bulgari",</v>
      </c>
    </row>
    <row r="2665" spans="1:6" ht="15.75" customHeight="1">
      <c r="A2665" s="18">
        <v>2084243973</v>
      </c>
      <c r="B2665" s="18" t="s">
        <v>9168</v>
      </c>
      <c r="C2665" s="18" t="s">
        <v>19874</v>
      </c>
      <c r="D2665" s="5" t="str">
        <f ca="1">IFERROR(__xludf.DUMMYFUNCTION("GOOGLETRANSLATE(B2665,""ja"",""vi"")"),"Victoria 's Secret")</f>
        <v>Victoria 's Secret</v>
      </c>
      <c r="E2665" s="5" t="str">
        <f ca="1">IFERROR(__xludf.DUMMYFUNCTION("GOOGLETRANSLATE(C2665,""ja"",""vi"")"),"Đấu giá&gt; làm đẹp, chăm sóc sức khỏe&gt; ​​nước hoa, hương thơm&gt; cho phụ nữ&gt; Victoria 's Secret")</f>
        <v>Đấu giá&gt; làm đẹp, chăm sóc sức khỏe&gt; ​​nước hoa, hương thơm&gt; cho phụ nữ&gt; Victoria 's Secret</v>
      </c>
      <c r="F2665" t="str">
        <f t="shared" ca="1" si="41"/>
        <v>"2084243973" : "Victoria 's Secret",</v>
      </c>
    </row>
    <row r="2666" spans="1:6" ht="15.75" customHeight="1">
      <c r="A2666" s="18">
        <v>2084053265</v>
      </c>
      <c r="B2666" s="18" t="s">
        <v>9176</v>
      </c>
      <c r="C2666" s="18" t="s">
        <v>19880</v>
      </c>
      <c r="D2666" s="5" t="str">
        <f ca="1">IFERROR(__xludf.DUMMYFUNCTION("GOOGLETRANSLATE(B2666,""ja"",""vi"")"),"Vivienne Westwood")</f>
        <v>Vivienne Westwood</v>
      </c>
      <c r="E2666" s="5" t="str">
        <f ca="1">IFERROR(__xludf.DUMMYFUNCTION("GOOGLETRANSLATE(C2666,""ja"",""vi"")"),"Đấu giá&gt; làm đẹp, chăm sóc sức khỏe&gt; ​​nước hoa, hương thơm&gt; cho phụ nữ&gt; Vivienne Westwood")</f>
        <v>Đấu giá&gt; làm đẹp, chăm sóc sức khỏe&gt; ​​nước hoa, hương thơm&gt; cho phụ nữ&gt; Vivienne Westwood</v>
      </c>
      <c r="F2666" t="str">
        <f t="shared" ca="1" si="41"/>
        <v>"2084053265" : "Vivienne Westwood",</v>
      </c>
    </row>
    <row r="2667" spans="1:6" ht="15.75" customHeight="1">
      <c r="A2667" s="18">
        <v>2084053241</v>
      </c>
      <c r="B2667" s="18" t="s">
        <v>19885</v>
      </c>
      <c r="C2667" s="18" t="s">
        <v>19888</v>
      </c>
      <c r="D2667" s="5" t="str">
        <f ca="1">IFERROR(__xludf.DUMMYFUNCTION("GOOGLETRANSLATE(B2667,""ja"",""vi"")"),"Masaki Matsushima")</f>
        <v>Masaki Matsushima</v>
      </c>
      <c r="E2667" s="5" t="str">
        <f ca="1">IFERROR(__xludf.DUMMYFUNCTION("GOOGLETRANSLATE(C2667,""ja"",""vi"")"),"Đấu giá&gt; làm đẹp, chăm sóc sức khỏe&gt; ​​nước hoa, hương thơm&gt; cho phụ nữ&gt; Masaki Matsushima")</f>
        <v>Đấu giá&gt; làm đẹp, chăm sóc sức khỏe&gt; ​​nước hoa, hương thơm&gt; cho phụ nữ&gt; Masaki Matsushima</v>
      </c>
      <c r="F2667" t="str">
        <f t="shared" ca="1" si="41"/>
        <v>"2084053241" : "Masaki Matsushima",</v>
      </c>
    </row>
    <row r="2668" spans="1:6" ht="15.75" customHeight="1">
      <c r="A2668" s="18">
        <v>2084053247</v>
      </c>
      <c r="B2668" s="18" t="s">
        <v>12786</v>
      </c>
      <c r="C2668" s="18" t="s">
        <v>19894</v>
      </c>
      <c r="D2668" s="5" t="str">
        <f ca="1">IFERROR(__xludf.DUMMYFUNCTION("GOOGLETRANSLATE(B2668,""ja"",""vi"")"),"Ralph Lauren")</f>
        <v>Ralph Lauren</v>
      </c>
      <c r="E2668" s="5" t="str">
        <f ca="1">IFERROR(__xludf.DUMMYFUNCTION("GOOGLETRANSLATE(C2668,""ja"",""vi"")"),"Đấu giá&gt; làm đẹp, chăm sóc sức khỏe&gt; ​​nước hoa, hương thơm&gt; cho phụ nữ&gt; Ralph Lauren")</f>
        <v>Đấu giá&gt; làm đẹp, chăm sóc sức khỏe&gt; ​​nước hoa, hương thơm&gt; cho phụ nữ&gt; Ralph Lauren</v>
      </c>
      <c r="F2668" t="str">
        <f t="shared" ca="1" si="41"/>
        <v>"2084053247" : "Ralph Lauren",</v>
      </c>
    </row>
    <row r="2669" spans="1:6" ht="15.75" customHeight="1">
      <c r="A2669" s="18">
        <v>2084007480</v>
      </c>
      <c r="B2669" s="18" t="s">
        <v>19898</v>
      </c>
      <c r="C2669" s="18" t="s">
        <v>19899</v>
      </c>
      <c r="D2669" s="5" t="str">
        <f ca="1">IFERROR(__xludf.DUMMYFUNCTION("GOOGLETRANSLATE(B2669,""ja"",""vi"")"),"Lancome")</f>
        <v>Lancome</v>
      </c>
      <c r="E2669" s="5" t="str">
        <f ca="1">IFERROR(__xludf.DUMMYFUNCTION("GOOGLETRANSLATE(C2669,""ja"",""vi"")"),"Đấu giá&gt; làm đẹp, chăm sóc sức khỏe&gt; ​​nước hoa, hương thơm&gt; cho phụ nữ&gt; Lancome")</f>
        <v>Đấu giá&gt; làm đẹp, chăm sóc sức khỏe&gt; ​​nước hoa, hương thơm&gt; cho phụ nữ&gt; Lancome</v>
      </c>
      <c r="F2669" t="str">
        <f t="shared" ca="1" si="41"/>
        <v>"2084007480" : "Lancome",</v>
      </c>
    </row>
    <row r="2670" spans="1:6" ht="15.75" customHeight="1">
      <c r="A2670" s="18">
        <v>2084053253</v>
      </c>
      <c r="B2670" s="18" t="s">
        <v>19906</v>
      </c>
      <c r="C2670" s="18" t="s">
        <v>19907</v>
      </c>
      <c r="D2670" s="5" t="str">
        <f ca="1">IFERROR(__xludf.DUMMYFUNCTION("GOOGLETRANSLATE(B2670,""ja"",""vi"")"),"Rorisuazaro")</f>
        <v>Rorisuazaro</v>
      </c>
      <c r="E2670" s="5" t="str">
        <f ca="1">IFERROR(__xludf.DUMMYFUNCTION("GOOGLETRANSLATE(C2670,""ja"",""vi"")"),"Đấu giá&gt; làm đẹp, chăm sóc sức khỏe&gt; ​​nước hoa, hương thơm&gt; cho phụ nữ&gt; Rorisuazaro")</f>
        <v>Đấu giá&gt; làm đẹp, chăm sóc sức khỏe&gt; ​​nước hoa, hương thơm&gt; cho phụ nữ&gt; Rorisuazaro</v>
      </c>
      <c r="F2670" t="str">
        <f t="shared" ca="1" si="41"/>
        <v>"2084053253" : "Rorisuazaro",</v>
      </c>
    </row>
    <row r="2671" spans="1:6" ht="15.75" customHeight="1">
      <c r="A2671" s="18">
        <v>2084007443</v>
      </c>
      <c r="B2671" s="18" t="s">
        <v>46</v>
      </c>
      <c r="C2671" s="18" t="s">
        <v>19911</v>
      </c>
      <c r="D2671" s="5" t="str">
        <f ca="1">IFERROR(__xludf.DUMMYFUNCTION("GOOGLETRANSLATE(B2671,""ja"",""vi"")"),"nếu không thì")</f>
        <v>nếu không thì</v>
      </c>
      <c r="E2671" s="5" t="str">
        <f ca="1">IFERROR(__xludf.DUMMYFUNCTION("GOOGLETRANSLATE(C2671,""ja"",""vi"")"),"Đấu giá&gt; làm đẹp, chăm sóc sức khỏe&gt; ​​nước hoa, hương thơm&gt; cho phụ nữ&gt; Khác")</f>
        <v>Đấu giá&gt; làm đẹp, chăm sóc sức khỏe&gt; ​​nước hoa, hương thơm&gt; cho phụ nữ&gt; Khác</v>
      </c>
      <c r="F2671" t="str">
        <f t="shared" ca="1" si="41"/>
        <v>"2084007443" : "nếu không thì",</v>
      </c>
    </row>
    <row r="2672" spans="1:6" ht="15.75" customHeight="1">
      <c r="A2672" s="18">
        <v>2084053565</v>
      </c>
      <c r="B2672" s="18" t="s">
        <v>19915</v>
      </c>
      <c r="C2672" s="18" t="s">
        <v>19916</v>
      </c>
      <c r="D2672" s="5" t="str">
        <f ca="1">IFERROR(__xludf.DUMMYFUNCTION("GOOGLETRANSLATE(B2672,""ja"",""vi"")"),"Aramis")</f>
        <v>Aramis</v>
      </c>
      <c r="E2672" s="5" t="str">
        <f ca="1">IFERROR(__xludf.DUMMYFUNCTION("GOOGLETRANSLATE(C2672,""ja"",""vi"")"),"Đấu giá&gt; làm đẹp, chăm sóc sức khỏe&gt; ​​nước hoa, hương thơm&gt; dành cho nam giới&gt; Aramis")</f>
        <v>Đấu giá&gt; làm đẹp, chăm sóc sức khỏe&gt; ​​nước hoa, hương thơm&gt; dành cho nam giới&gt; Aramis</v>
      </c>
      <c r="F2672" t="str">
        <f t="shared" ca="1" si="41"/>
        <v>"2084053565" : "Aramis",</v>
      </c>
    </row>
    <row r="2673" spans="1:6" ht="15.75" customHeight="1">
      <c r="A2673" s="18">
        <v>2084053546</v>
      </c>
      <c r="B2673" s="18" t="s">
        <v>19918</v>
      </c>
      <c r="C2673" s="18" t="s">
        <v>19920</v>
      </c>
      <c r="D2673" s="5" t="str">
        <f ca="1">IFERROR(__xludf.DUMMYFUNCTION("GOOGLETRANSLATE(B2673,""ja"",""vi"")"),"Alain Delon")</f>
        <v>Alain Delon</v>
      </c>
      <c r="E2673" s="5" t="str">
        <f ca="1">IFERROR(__xludf.DUMMYFUNCTION("GOOGLETRANSLATE(C2673,""ja"",""vi"")"),"Đấu giá&gt; làm đẹp, chăm sóc sức khỏe&gt; ​​nước hoa, hương thơm&gt; dành cho nam giới&gt; Alain Delon")</f>
        <v>Đấu giá&gt; làm đẹp, chăm sóc sức khỏe&gt; ​​nước hoa, hương thơm&gt; dành cho nam giới&gt; Alain Delon</v>
      </c>
      <c r="F2673" t="str">
        <f t="shared" ca="1" si="41"/>
        <v>"2084053546" : "Alain Delon",</v>
      </c>
    </row>
    <row r="2674" spans="1:6" ht="15.75" customHeight="1">
      <c r="A2674" s="18">
        <v>2084053566</v>
      </c>
      <c r="B2674" s="18" t="s">
        <v>19670</v>
      </c>
      <c r="C2674" s="18" t="s">
        <v>19923</v>
      </c>
      <c r="D2674" s="5" t="str">
        <f ca="1">IFERROR(__xludf.DUMMYFUNCTION("GOOGLETRANSLATE(B2674,""ja"",""vi"")"),"Elizabeth Arden")</f>
        <v>Elizabeth Arden</v>
      </c>
      <c r="E2674" s="5" t="str">
        <f ca="1">IFERROR(__xludf.DUMMYFUNCTION("GOOGLETRANSLATE(C2674,""ja"",""vi"")"),"Đấu giá&gt; làm đẹp, chăm sóc sức khỏe&gt; ​​nước hoa, hương thơm&gt; dành cho nam giới&gt; Elizabeth Arden")</f>
        <v>Đấu giá&gt; làm đẹp, chăm sóc sức khỏe&gt; ​​nước hoa, hương thơm&gt; dành cho nam giới&gt; Elizabeth Arden</v>
      </c>
      <c r="F2674" t="str">
        <f t="shared" ca="1" si="41"/>
        <v>"2084053566" : "Elizabeth Arden",</v>
      </c>
    </row>
    <row r="2675" spans="1:6" ht="15.75" customHeight="1">
      <c r="A2675" s="18">
        <v>2084053545</v>
      </c>
      <c r="B2675" s="18" t="s">
        <v>19687</v>
      </c>
      <c r="C2675" s="18" t="s">
        <v>19926</v>
      </c>
      <c r="D2675" s="5" t="str">
        <f ca="1">IFERROR(__xludf.DUMMYFUNCTION("GOOGLETRANSLATE(B2675,""ja"",""vi"")"),"Calvin Klein")</f>
        <v>Calvin Klein</v>
      </c>
      <c r="E2675" s="5" t="str">
        <f ca="1">IFERROR(__xludf.DUMMYFUNCTION("GOOGLETRANSLATE(C2675,""ja"",""vi"")"),"Đấu giá&gt; làm đẹp, chăm sóc sức khỏe&gt; ​​nước hoa, hương thơm&gt; dành cho nam giới&gt; Calvin Klein")</f>
        <v>Đấu giá&gt; làm đẹp, chăm sóc sức khỏe&gt; ​​nước hoa, hương thơm&gt; dành cho nam giới&gt; Calvin Klein</v>
      </c>
      <c r="F2675" t="str">
        <f t="shared" ca="1" si="41"/>
        <v>"2084053545" : "Calvin Klein",</v>
      </c>
    </row>
    <row r="2676" spans="1:6" ht="15.75" customHeight="1">
      <c r="A2676" s="18">
        <v>2084053557</v>
      </c>
      <c r="B2676" s="18" t="s">
        <v>9858</v>
      </c>
      <c r="C2676" s="18" t="s">
        <v>19933</v>
      </c>
      <c r="D2676" s="5" t="str">
        <f ca="1">IFERROR(__xludf.DUMMYFUNCTION("GOOGLETRANSLATE(B2676,""ja"",""vi"")"),"Christian Dior")</f>
        <v>Christian Dior</v>
      </c>
      <c r="E2676" s="5" t="str">
        <f ca="1">IFERROR(__xludf.DUMMYFUNCTION("GOOGLETRANSLATE(C2676,""ja"",""vi"")"),"Đấu giá&gt; làm đẹp, chăm sóc sức khỏe&gt; ​​nước hoa, hương thơm&gt; dành cho nam giới&gt; Christian Dior")</f>
        <v>Đấu giá&gt; làm đẹp, chăm sóc sức khỏe&gt; ​​nước hoa, hương thơm&gt; dành cho nam giới&gt; Christian Dior</v>
      </c>
      <c r="F2676" t="str">
        <f t="shared" ca="1" si="41"/>
        <v>"2084053557" : "Christian Dior",</v>
      </c>
    </row>
    <row r="2677" spans="1:6" ht="15.75" customHeight="1">
      <c r="A2677" s="18">
        <v>2084053551</v>
      </c>
      <c r="B2677" s="18" t="s">
        <v>19700</v>
      </c>
      <c r="C2677" s="18" t="s">
        <v>19942</v>
      </c>
      <c r="D2677" s="5" t="str">
        <f ca="1">IFERROR(__xludf.DUMMYFUNCTION("GOOGLETRANSLATE(B2677,""ja"",""vi"")"),"Clinique")</f>
        <v>Clinique</v>
      </c>
      <c r="E2677" s="5" t="str">
        <f ca="1">IFERROR(__xludf.DUMMYFUNCTION("GOOGLETRANSLATE(C2677,""ja"",""vi"")"),"Đấu giá&gt; làm đẹp, chăm sóc sức khỏe&gt; ​​nước hoa, hương thơm&gt; dành cho nam giới&gt; Clinique")</f>
        <v>Đấu giá&gt; làm đẹp, chăm sóc sức khỏe&gt; ​​nước hoa, hương thơm&gt; dành cho nam giới&gt; Clinique</v>
      </c>
      <c r="F2677" t="str">
        <f t="shared" ca="1" si="41"/>
        <v>"2084053551" : "Clinique",</v>
      </c>
    </row>
    <row r="2678" spans="1:6" ht="15.75" customHeight="1">
      <c r="A2678" s="18">
        <v>2084053544</v>
      </c>
      <c r="B2678" s="18" t="s">
        <v>9815</v>
      </c>
      <c r="C2678" s="18" t="s">
        <v>19947</v>
      </c>
      <c r="D2678" s="5" t="str">
        <f ca="1">IFERROR(__xludf.DUMMYFUNCTION("GOOGLETRANSLATE(B2678,""ja"",""vi"")"),"Gucci")</f>
        <v>Gucci</v>
      </c>
      <c r="E2678" s="5" t="str">
        <f ca="1">IFERROR(__xludf.DUMMYFUNCTION("GOOGLETRANSLATE(C2678,""ja"",""vi"")"),"Đấu giá&gt; làm đẹp, chăm sóc sức khỏe&gt; ​​nước hoa, hương thơm&gt; dành cho nam giới&gt; Gucci")</f>
        <v>Đấu giá&gt; làm đẹp, chăm sóc sức khỏe&gt; ​​nước hoa, hương thơm&gt; dành cho nam giới&gt; Gucci</v>
      </c>
      <c r="F2678" t="str">
        <f t="shared" ca="1" si="41"/>
        <v>"2084053544" : "Gucci",</v>
      </c>
    </row>
    <row r="2679" spans="1:6" ht="15.75" customHeight="1">
      <c r="A2679" s="18">
        <v>2084053555</v>
      </c>
      <c r="B2679" s="18" t="s">
        <v>10004</v>
      </c>
      <c r="C2679" s="18" t="s">
        <v>19949</v>
      </c>
      <c r="D2679" s="5" t="str">
        <f ca="1">IFERROR(__xludf.DUMMYFUNCTION("GOOGLETRANSLATE(B2679,""ja"",""vi"")"),"Kenzo")</f>
        <v>Kenzo</v>
      </c>
      <c r="E2679" s="5" t="str">
        <f ca="1">IFERROR(__xludf.DUMMYFUNCTION("GOOGLETRANSLATE(C2679,""ja"",""vi"")"),"Đấu giá&gt; làm đẹp, chăm sóc sức khỏe&gt; ​​nước hoa, hương thơm&gt; dành cho nam giới&gt; Kenzo")</f>
        <v>Đấu giá&gt; làm đẹp, chăm sóc sức khỏe&gt; ​​nước hoa, hương thơm&gt; dành cho nam giới&gt; Kenzo</v>
      </c>
      <c r="F2679" t="str">
        <f t="shared" ca="1" si="41"/>
        <v>"2084053555" : "Kenzo",</v>
      </c>
    </row>
    <row r="2680" spans="1:6" ht="15.75" customHeight="1">
      <c r="A2680" s="18">
        <v>2084053549</v>
      </c>
      <c r="B2680" s="18" t="s">
        <v>10288</v>
      </c>
      <c r="C2680" s="18" t="s">
        <v>19952</v>
      </c>
      <c r="D2680" s="5" t="str">
        <f ca="1">IFERROR(__xludf.DUMMYFUNCTION("GOOGLETRANSLATE(B2680,""ja"",""vi"")"),"Chanel")</f>
        <v>Chanel</v>
      </c>
      <c r="E2680" s="5" t="str">
        <f ca="1">IFERROR(__xludf.DUMMYFUNCTION("GOOGLETRANSLATE(C2680,""ja"",""vi"")"),"Đấu giá&gt; làm đẹp, chăm sóc sức khỏe&gt; ​​nước hoa, hương thơm&gt; dành cho nam giới&gt; Chanel")</f>
        <v>Đấu giá&gt; làm đẹp, chăm sóc sức khỏe&gt; ​​nước hoa, hương thơm&gt; dành cho nam giới&gt; Chanel</v>
      </c>
      <c r="F2680" t="str">
        <f t="shared" ca="1" si="41"/>
        <v>"2084053549" : "Chanel",</v>
      </c>
    </row>
    <row r="2681" spans="1:6" ht="15.75" customHeight="1">
      <c r="A2681" s="18">
        <v>2084053552</v>
      </c>
      <c r="B2681" s="18" t="s">
        <v>10250</v>
      </c>
      <c r="C2681" s="18" t="s">
        <v>19958</v>
      </c>
      <c r="D2681" s="5" t="str">
        <f ca="1">IFERROR(__xludf.DUMMYFUNCTION("GOOGLETRANSLATE(B2681,""ja"",""vi"")"),"Givenchy")</f>
        <v>Givenchy</v>
      </c>
      <c r="E2681" s="5" t="str">
        <f ca="1">IFERROR(__xludf.DUMMYFUNCTION("GOOGLETRANSLATE(C2681,""ja"",""vi"")"),"Đấu giá&gt; làm đẹp, chăm sóc sức khỏe&gt; ​​nước hoa, hương thơm&gt; dành cho nam giới&gt; Givenchy")</f>
        <v>Đấu giá&gt; làm đẹp, chăm sóc sức khỏe&gt; ​​nước hoa, hương thơm&gt; dành cho nam giới&gt; Givenchy</v>
      </c>
      <c r="F2681" t="str">
        <f t="shared" ca="1" si="41"/>
        <v>"2084053552" : "Givenchy",</v>
      </c>
    </row>
    <row r="2682" spans="1:6" ht="15.75" customHeight="1">
      <c r="A2682" s="18">
        <v>2084053567</v>
      </c>
      <c r="B2682" s="18" t="s">
        <v>19962</v>
      </c>
      <c r="C2682" s="18" t="s">
        <v>19965</v>
      </c>
      <c r="D2682" s="5" t="str">
        <f ca="1">IFERROR(__xludf.DUMMYFUNCTION("GOOGLETRANSLATE(B2682,""ja"",""vi"")"),"giống beo ở mỹ")</f>
        <v>giống beo ở mỹ</v>
      </c>
      <c r="E2682" s="5" t="str">
        <f ca="1">IFERROR(__xludf.DUMMYFUNCTION("GOOGLETRANSLATE(C2682,""ja"",""vi"")"),"Đấu giá&gt; làm đẹp, chăm sóc sức khỏe&gt; ​​nước hoa, hương thơm&gt; dành cho nam giới&gt; Jaguar")</f>
        <v>Đấu giá&gt; làm đẹp, chăm sóc sức khỏe&gt; ​​nước hoa, hương thơm&gt; dành cho nam giới&gt; Jaguar</v>
      </c>
      <c r="F2682" t="str">
        <f t="shared" ca="1" si="41"/>
        <v>"2084053567" : "giống beo ở mỹ",</v>
      </c>
    </row>
    <row r="2683" spans="1:6" ht="15.75" customHeight="1">
      <c r="A2683" s="18">
        <v>2084053558</v>
      </c>
      <c r="B2683" s="18" t="s">
        <v>19756</v>
      </c>
      <c r="C2683" s="18" t="s">
        <v>19967</v>
      </c>
      <c r="D2683" s="5" t="str">
        <f ca="1">IFERROR(__xludf.DUMMYFUNCTION("GOOGLETRANSLATE(B2683,""ja"",""vi"")"),"Jeanne Artes")</f>
        <v>Jeanne Artes</v>
      </c>
      <c r="E2683" s="5" t="str">
        <f ca="1">IFERROR(__xludf.DUMMYFUNCTION("GOOGLETRANSLATE(C2683,""ja"",""vi"")"),"Đấu giá&gt; làm đẹp, chăm sóc sức khỏe&gt; ​​nước hoa, hương thơm&gt; dành cho nam giới&gt; Jeanne Artes")</f>
        <v>Đấu giá&gt; làm đẹp, chăm sóc sức khỏe&gt; ​​nước hoa, hương thơm&gt; dành cho nam giới&gt; Jeanne Artes</v>
      </c>
      <c r="F2683" t="str">
        <f t="shared" ca="1" si="41"/>
        <v>"2084053558" : "Jeanne Artes",</v>
      </c>
    </row>
    <row r="2684" spans="1:6" ht="15.75" customHeight="1">
      <c r="A2684" s="18">
        <v>2084053556</v>
      </c>
      <c r="B2684" s="18" t="s">
        <v>10440</v>
      </c>
      <c r="C2684" s="18" t="s">
        <v>19972</v>
      </c>
      <c r="D2684" s="5" t="str">
        <f ca="1">IFERROR(__xludf.DUMMYFUNCTION("GOOGLETRANSLATE(B2684,""ja"",""vi"")"),"Jil Sander")</f>
        <v>Jil Sander</v>
      </c>
      <c r="E2684" s="5" t="str">
        <f ca="1">IFERROR(__xludf.DUMMYFUNCTION("GOOGLETRANSLATE(C2684,""ja"",""vi"")"),"Đấu giá&gt; làm đẹp, chăm sóc sức khỏe&gt; ​​nước hoa, hương thơm&gt; dành cho nam giới&gt; Jil Sander")</f>
        <v>Đấu giá&gt; làm đẹp, chăm sóc sức khỏe&gt; ​​nước hoa, hương thơm&gt; dành cho nam giới&gt; Jil Sander</v>
      </c>
      <c r="F2684" t="str">
        <f t="shared" ca="1" si="41"/>
        <v>"2084053556" : "Jil Sander",</v>
      </c>
    </row>
    <row r="2685" spans="1:6" ht="15.75" customHeight="1">
      <c r="A2685" s="18">
        <v>2084053553</v>
      </c>
      <c r="B2685" s="18" t="s">
        <v>19791</v>
      </c>
      <c r="C2685" s="18" t="s">
        <v>19982</v>
      </c>
      <c r="D2685" s="5" t="str">
        <f ca="1">IFERROR(__xludf.DUMMYFUNCTION("GOOGLETRANSLATE(B2685,""ja"",""vi"")"),"Davidoff")</f>
        <v>Davidoff</v>
      </c>
      <c r="E2685" s="5" t="str">
        <f ca="1">IFERROR(__xludf.DUMMYFUNCTION("GOOGLETRANSLATE(C2685,""ja"",""vi"")"),"Đấu giá&gt; làm đẹp, chăm sóc sức khỏe&gt; ​​nước hoa, hương thơm&gt; dành cho nam giới&gt; Davidoff")</f>
        <v>Đấu giá&gt; làm đẹp, chăm sóc sức khỏe&gt; ​​nước hoa, hương thơm&gt; dành cho nam giới&gt; Davidoff</v>
      </c>
      <c r="F2685" t="str">
        <f t="shared" ca="1" si="41"/>
        <v>"2084053553" : "Davidoff",</v>
      </c>
    </row>
    <row r="2686" spans="1:6" ht="15.75" customHeight="1">
      <c r="A2686" s="18">
        <v>2084053548</v>
      </c>
      <c r="B2686" s="18" t="s">
        <v>11049</v>
      </c>
      <c r="C2686" s="18" t="s">
        <v>19987</v>
      </c>
      <c r="D2686" s="5" t="str">
        <f ca="1">IFERROR(__xludf.DUMMYFUNCTION("GOOGLETRANSLATE(B2686,""ja"",""vi"")"),"Tommy Hilfiger")</f>
        <v>Tommy Hilfiger</v>
      </c>
      <c r="E2686" s="5" t="str">
        <f ca="1">IFERROR(__xludf.DUMMYFUNCTION("GOOGLETRANSLATE(C2686,""ja"",""vi"")"),"Đấu giá&gt; làm đẹp, chăm sóc sức khỏe&gt; ​​nước hoa, hương thơm&gt; dành cho nam giới&gt; Tommy Hilfiger")</f>
        <v>Đấu giá&gt; làm đẹp, chăm sóc sức khỏe&gt; ​​nước hoa, hương thơm&gt; dành cho nam giới&gt; Tommy Hilfiger</v>
      </c>
      <c r="F2686" t="str">
        <f t="shared" ca="1" si="41"/>
        <v>"2084053548" : "Tommy Hilfiger",</v>
      </c>
    </row>
    <row r="2687" spans="1:6" ht="15.75" customHeight="1">
      <c r="A2687" s="18">
        <v>2084053560</v>
      </c>
      <c r="B2687" s="18" t="s">
        <v>11111</v>
      </c>
      <c r="C2687" s="18" t="s">
        <v>19995</v>
      </c>
      <c r="D2687" s="5" t="str">
        <f ca="1">IFERROR(__xludf.DUMMYFUNCTION("GOOGLETRANSLATE(B2687,""ja"",""vi"")"),"Dolce &amp; Gabbana")</f>
        <v>Dolce &amp; Gabbana</v>
      </c>
      <c r="E2687" s="5" t="str">
        <f ca="1">IFERROR(__xludf.DUMMYFUNCTION("GOOGLETRANSLATE(C2687,""ja"",""vi"")"),"Đấu giá&gt; làm đẹp, chăm sóc sức khỏe&gt; ​​nước hoa, hương thơm&gt; dành cho nam giới&gt; Dolce &amp; Gabbana")</f>
        <v>Đấu giá&gt; làm đẹp, chăm sóc sức khỏe&gt; ​​nước hoa, hương thơm&gt; dành cho nam giới&gt; Dolce &amp; Gabbana</v>
      </c>
      <c r="F2687" t="str">
        <f t="shared" ca="1" si="41"/>
        <v>"2084053560" : "Dolce &amp; Gabbana",</v>
      </c>
    </row>
    <row r="2688" spans="1:6" ht="15.75" customHeight="1">
      <c r="A2688" s="18">
        <v>2084053550</v>
      </c>
      <c r="B2688" s="18" t="s">
        <v>19822</v>
      </c>
      <c r="C2688" s="18" t="s">
        <v>20003</v>
      </c>
      <c r="D2688" s="5" t="str">
        <f ca="1">IFERROR(__xludf.DUMMYFUNCTION("GOOGLETRANSLATE(B2688,""ja"",""vi"")"),"Nikos")</f>
        <v>Nikos</v>
      </c>
      <c r="E2688" s="5" t="str">
        <f ca="1">IFERROR(__xludf.DUMMYFUNCTION("GOOGLETRANSLATE(C2688,""ja"",""vi"")"),"Đấu giá&gt; làm đẹp, chăm sóc sức khỏe&gt; ​​nước hoa, hương thơm&gt; dành cho nam giới&gt; Nikos")</f>
        <v>Đấu giá&gt; làm đẹp, chăm sóc sức khỏe&gt; ​​nước hoa, hương thơm&gt; dành cho nam giới&gt; Nikos</v>
      </c>
      <c r="F2688" t="str">
        <f t="shared" ca="1" si="41"/>
        <v>"2084053550" : "Nikos",</v>
      </c>
    </row>
    <row r="2689" spans="1:6" ht="15.75" customHeight="1">
      <c r="A2689" s="18">
        <v>2084053561</v>
      </c>
      <c r="B2689" s="18" t="s">
        <v>11443</v>
      </c>
      <c r="C2689" s="18" t="s">
        <v>20009</v>
      </c>
      <c r="D2689" s="5" t="str">
        <f ca="1">IFERROR(__xludf.DUMMYFUNCTION("GOOGLETRANSLATE(B2689,""ja"",""vi"")"),"chổ lồi ở cây")</f>
        <v>chổ lồi ở cây</v>
      </c>
      <c r="E2689" s="5" t="str">
        <f ca="1">IFERROR(__xludf.DUMMYFUNCTION("GOOGLETRANSLATE(C2689,""ja"",""vi"")"),"Đấu giá&gt; làm đẹp, chăm sóc sức khỏe&gt; ​​nước hoa, hương thơm&gt; dành cho nam giới&gt; Burberry")</f>
        <v>Đấu giá&gt; làm đẹp, chăm sóc sức khỏe&gt; ​​nước hoa, hương thơm&gt; dành cho nam giới&gt; Burberry</v>
      </c>
      <c r="F2689" t="str">
        <f t="shared" ca="1" si="41"/>
        <v>"2084053561" : "chổ lồi ở cây",</v>
      </c>
    </row>
    <row r="2690" spans="1:6" ht="15.75" customHeight="1">
      <c r="A2690" s="18">
        <v>2084053568</v>
      </c>
      <c r="B2690" s="18" t="s">
        <v>19843</v>
      </c>
      <c r="C2690" s="18" t="s">
        <v>20019</v>
      </c>
      <c r="D2690" s="5" t="str">
        <f ca="1">IFERROR(__xludf.DUMMYFUNCTION("GOOGLETRANSLATE(B2690,""ja"",""vi"")"),"Paco Rabanne")</f>
        <v>Paco Rabanne</v>
      </c>
      <c r="E2690" s="5" t="str">
        <f ca="1">IFERROR(__xludf.DUMMYFUNCTION("GOOGLETRANSLATE(C2690,""ja"",""vi"")"),"Đấu giá&gt; làm đẹp, chăm sóc sức khỏe&gt; ​​nước hoa, hương thơm&gt; dành cho nam giới&gt; Paco Rabanne")</f>
        <v>Đấu giá&gt; làm đẹp, chăm sóc sức khỏe&gt; ​​nước hoa, hương thơm&gt; dành cho nam giới&gt; Paco Rabanne</v>
      </c>
      <c r="F2690" t="str">
        <f t="shared" ref="F2690:F2750" ca="1" si="42">CONCATENATE(CHAR(34)&amp;"",A2690,""&amp;CHAR(34)," : ", CHAR(34)&amp;"",D2690,""&amp;CHAR(34),",")</f>
        <v>"2084053568" : "Paco Rabanne",</v>
      </c>
    </row>
    <row r="2691" spans="1:6" ht="15.75" customHeight="1">
      <c r="A2691" s="18">
        <v>2084053562</v>
      </c>
      <c r="B2691" s="18" t="s">
        <v>16149</v>
      </c>
      <c r="C2691" s="18" t="s">
        <v>20027</v>
      </c>
      <c r="D2691" s="5" t="str">
        <f ca="1">IFERROR(__xludf.DUMMYFUNCTION("GOOGLETRANSLATE(B2691,""ja"",""vi"")"),"Hugo Boss")</f>
        <v>Hugo Boss</v>
      </c>
      <c r="E2691" s="5" t="str">
        <f ca="1">IFERROR(__xludf.DUMMYFUNCTION("GOOGLETRANSLATE(C2691,""ja"",""vi"")"),"Đấu giá&gt; làm đẹp, chăm sóc sức khỏe&gt; ​​nước hoa, hương thơm&gt; dành cho nam giới&gt; Hugo Boss")</f>
        <v>Đấu giá&gt; làm đẹp, chăm sóc sức khỏe&gt; ​​nước hoa, hương thơm&gt; dành cho nam giới&gt; Hugo Boss</v>
      </c>
      <c r="F2691" t="str">
        <f t="shared" ca="1" si="42"/>
        <v>"2084053562" : "Hugo Boss",</v>
      </c>
    </row>
    <row r="2692" spans="1:6" ht="15.75" customHeight="1">
      <c r="A2692" s="18">
        <v>2084053547</v>
      </c>
      <c r="B2692" s="18" t="s">
        <v>11984</v>
      </c>
      <c r="C2692" s="18" t="s">
        <v>20032</v>
      </c>
      <c r="D2692" s="5" t="str">
        <f ca="1">IFERROR(__xludf.DUMMYFUNCTION("GOOGLETRANSLATE(B2692,""ja"",""vi"")"),"Bulgari")</f>
        <v>Bulgari</v>
      </c>
      <c r="E2692" s="5" t="str">
        <f ca="1">IFERROR(__xludf.DUMMYFUNCTION("GOOGLETRANSLATE(C2692,""ja"",""vi"")"),"Đấu giá&gt; làm đẹp, chăm sóc sức khỏe&gt; ​​nước hoa, hương thơm&gt; dành cho nam giới&gt; Bulgari")</f>
        <v>Đấu giá&gt; làm đẹp, chăm sóc sức khỏe&gt; ​​nước hoa, hương thơm&gt; dành cho nam giới&gt; Bulgari</v>
      </c>
      <c r="F2692" t="str">
        <f t="shared" ca="1" si="42"/>
        <v>"2084053547" : "Bulgari",</v>
      </c>
    </row>
    <row r="2693" spans="1:6" ht="15.75" customHeight="1">
      <c r="A2693" s="18">
        <v>2084053569</v>
      </c>
      <c r="B2693" s="18" t="s">
        <v>16193</v>
      </c>
      <c r="C2693" s="18" t="s">
        <v>20039</v>
      </c>
      <c r="D2693" s="5" t="str">
        <f ca="1">IFERROR(__xludf.DUMMYFUNCTION("GOOGLETRANSLATE(B2693,""ja"",""vi"")"),"Paul Smith")</f>
        <v>Paul Smith</v>
      </c>
      <c r="E2693" s="5" t="str">
        <f ca="1">IFERROR(__xludf.DUMMYFUNCTION("GOOGLETRANSLATE(C2693,""ja"",""vi"")"),"Đấu giá&gt; làm đẹp, chăm sóc sức khỏe&gt; ​​nước hoa, hương thơm&gt; dành cho nam giới&gt; Paul Smith")</f>
        <v>Đấu giá&gt; làm đẹp, chăm sóc sức khỏe&gt; ​​nước hoa, hương thơm&gt; dành cho nam giới&gt; Paul Smith</v>
      </c>
      <c r="F2693" t="str">
        <f t="shared" ca="1" si="42"/>
        <v>"2084053569" : "Paul Smith",</v>
      </c>
    </row>
    <row r="2694" spans="1:6" ht="15.75" customHeight="1">
      <c r="A2694" s="18">
        <v>2084053559</v>
      </c>
      <c r="B2694" s="18" t="s">
        <v>12786</v>
      </c>
      <c r="C2694" s="18" t="s">
        <v>20046</v>
      </c>
      <c r="D2694" s="5" t="str">
        <f ca="1">IFERROR(__xludf.DUMMYFUNCTION("GOOGLETRANSLATE(B2694,""ja"",""vi"")"),"Ralph Lauren")</f>
        <v>Ralph Lauren</v>
      </c>
      <c r="E2694" s="5" t="str">
        <f ca="1">IFERROR(__xludf.DUMMYFUNCTION("GOOGLETRANSLATE(C2694,""ja"",""vi"")"),"Đấu giá&gt; làm đẹp, chăm sóc sức khỏe&gt; ​​nước hoa, hương thơm&gt; dành cho nam giới&gt; Ralph Lauren")</f>
        <v>Đấu giá&gt; làm đẹp, chăm sóc sức khỏe&gt; ​​nước hoa, hương thơm&gt; dành cho nam giới&gt; Ralph Lauren</v>
      </c>
      <c r="F2694" t="str">
        <f t="shared" ca="1" si="42"/>
        <v>"2084053559" : "Ralph Lauren",</v>
      </c>
    </row>
    <row r="2695" spans="1:6" ht="15.75" customHeight="1">
      <c r="A2695" s="18">
        <v>2084053570</v>
      </c>
      <c r="B2695" s="18" t="s">
        <v>19898</v>
      </c>
      <c r="C2695" s="18" t="s">
        <v>20052</v>
      </c>
      <c r="D2695" s="5" t="str">
        <f ca="1">IFERROR(__xludf.DUMMYFUNCTION("GOOGLETRANSLATE(B2695,""ja"",""vi"")"),"Lancome")</f>
        <v>Lancome</v>
      </c>
      <c r="E2695" s="5" t="str">
        <f ca="1">IFERROR(__xludf.DUMMYFUNCTION("GOOGLETRANSLATE(C2695,""ja"",""vi"")"),"Đấu giá&gt; làm đẹp, chăm sóc sức khỏe&gt; ​​nước hoa, hương thơm&gt; dành cho nam giới&gt; Lancome")</f>
        <v>Đấu giá&gt; làm đẹp, chăm sóc sức khỏe&gt; ​​nước hoa, hương thơm&gt; dành cho nam giới&gt; Lancome</v>
      </c>
      <c r="F2695" t="str">
        <f t="shared" ca="1" si="42"/>
        <v>"2084053570" : "Lancome",</v>
      </c>
    </row>
    <row r="2696" spans="1:6" ht="15.75" customHeight="1">
      <c r="A2696" s="18">
        <v>2084053563</v>
      </c>
      <c r="B2696" s="18" t="s">
        <v>19906</v>
      </c>
      <c r="C2696" s="18" t="s">
        <v>20058</v>
      </c>
      <c r="D2696" s="5" t="str">
        <f ca="1">IFERROR(__xludf.DUMMYFUNCTION("GOOGLETRANSLATE(B2696,""ja"",""vi"")"),"Rorisuazaro")</f>
        <v>Rorisuazaro</v>
      </c>
      <c r="E2696" s="5" t="str">
        <f ca="1">IFERROR(__xludf.DUMMYFUNCTION("GOOGLETRANSLATE(C2696,""ja"",""vi"")"),"Đấu giá&gt; làm đẹp, chăm sóc sức khỏe&gt; ​​nước hoa, hương thơm&gt; dành cho nam giới&gt; Rorisuazaro")</f>
        <v>Đấu giá&gt; làm đẹp, chăm sóc sức khỏe&gt; ​​nước hoa, hương thơm&gt; dành cho nam giới&gt; Rorisuazaro</v>
      </c>
      <c r="F2696" t="str">
        <f t="shared" ca="1" si="42"/>
        <v>"2084053563" : "Rorisuazaro",</v>
      </c>
    </row>
    <row r="2697" spans="1:6" ht="15.75" customHeight="1">
      <c r="A2697" s="18">
        <v>2084053554</v>
      </c>
      <c r="B2697" s="18" t="s">
        <v>9191</v>
      </c>
      <c r="C2697" s="18" t="s">
        <v>20066</v>
      </c>
      <c r="D2697" s="5" t="str">
        <f ca="1">IFERROR(__xludf.DUMMYFUNCTION("GOOGLETRANSLATE(B2697,""ja"",""vi"")"),"Versace")</f>
        <v>Versace</v>
      </c>
      <c r="E2697" s="5" t="str">
        <f ca="1">IFERROR(__xludf.DUMMYFUNCTION("GOOGLETRANSLATE(C2697,""ja"",""vi"")"),"Đấu giá&gt; làm đẹp, chăm sóc sức khỏe&gt; ​​nước hoa, hương thơm&gt; dành cho nam giới&gt; Versace")</f>
        <v>Đấu giá&gt; làm đẹp, chăm sóc sức khỏe&gt; ​​nước hoa, hương thơm&gt; dành cho nam giới&gt; Versace</v>
      </c>
      <c r="F2697" t="str">
        <f t="shared" ca="1" si="42"/>
        <v>"2084053554" : "Versace",</v>
      </c>
    </row>
    <row r="2698" spans="1:6" ht="15.75" customHeight="1">
      <c r="A2698" s="18">
        <v>2084053564</v>
      </c>
      <c r="B2698" s="18" t="s">
        <v>46</v>
      </c>
      <c r="C2698" s="18" t="s">
        <v>20072</v>
      </c>
      <c r="D2698" s="5" t="str">
        <f ca="1">IFERROR(__xludf.DUMMYFUNCTION("GOOGLETRANSLATE(B2698,""ja"",""vi"")"),"nếu không thì")</f>
        <v>nếu không thì</v>
      </c>
      <c r="E2698" s="5" t="str">
        <f ca="1">IFERROR(__xludf.DUMMYFUNCTION("GOOGLETRANSLATE(C2698,""ja"",""vi"")"),"Đấu giá&gt; làm đẹp, chăm sóc sức khỏe&gt; ​​nước hoa, hương thơm&gt; dành cho nam giới&gt; Khác")</f>
        <v>Đấu giá&gt; làm đẹp, chăm sóc sức khỏe&gt; ​​nước hoa, hương thơm&gt; dành cho nam giới&gt; Khác</v>
      </c>
      <c r="F2698" t="str">
        <f t="shared" ca="1" si="42"/>
        <v>"2084053564" : "nếu không thì",</v>
      </c>
    </row>
    <row r="2699" spans="1:6" ht="15.75" customHeight="1">
      <c r="A2699" s="18">
        <v>2084053572</v>
      </c>
      <c r="B2699" s="18" t="s">
        <v>19918</v>
      </c>
      <c r="C2699" s="18" t="s">
        <v>20077</v>
      </c>
      <c r="D2699" s="5" t="str">
        <f ca="1">IFERROR(__xludf.DUMMYFUNCTION("GOOGLETRANSLATE(B2699,""ja"",""vi"")"),"Alain Delon")</f>
        <v>Alain Delon</v>
      </c>
      <c r="E2699" s="5" t="str">
        <f ca="1">IFERROR(__xludf.DUMMYFUNCTION("GOOGLETRANSLATE(C2699,""ja"",""vi"")"),"Đấu giá&gt; làm đẹp, chăm sóc sức khỏe&gt; ​​nước hoa, hương thơm&gt; unisex&gt; Alain Delon")</f>
        <v>Đấu giá&gt; làm đẹp, chăm sóc sức khỏe&gt; ​​nước hoa, hương thơm&gt; unisex&gt; Alain Delon</v>
      </c>
      <c r="F2699" t="str">
        <f t="shared" ca="1" si="42"/>
        <v>"2084053572" : "Alain Delon",</v>
      </c>
    </row>
    <row r="2700" spans="1:6" ht="15.75" customHeight="1">
      <c r="A2700" s="18">
        <v>2084053574</v>
      </c>
      <c r="B2700" s="18" t="s">
        <v>19687</v>
      </c>
      <c r="C2700" s="18" t="s">
        <v>20084</v>
      </c>
      <c r="D2700" s="5" t="str">
        <f ca="1">IFERROR(__xludf.DUMMYFUNCTION("GOOGLETRANSLATE(B2700,""ja"",""vi"")"),"Calvin Klein")</f>
        <v>Calvin Klein</v>
      </c>
      <c r="E2700" s="5" t="str">
        <f ca="1">IFERROR(__xludf.DUMMYFUNCTION("GOOGLETRANSLATE(C2700,""ja"",""vi"")"),"Đấu giá&gt; làm đẹp, chăm sóc sức khỏe&gt; ​​nước hoa, hương thơm&gt; unisex&gt; Calvin Klein")</f>
        <v>Đấu giá&gt; làm đẹp, chăm sóc sức khỏe&gt; ​​nước hoa, hương thơm&gt; unisex&gt; Calvin Klein</v>
      </c>
      <c r="F2700" t="str">
        <f t="shared" ca="1" si="42"/>
        <v>"2084053574" : "Calvin Klein",</v>
      </c>
    </row>
    <row r="2701" spans="1:6" ht="15.75" customHeight="1">
      <c r="A2701" s="18">
        <v>2084053573</v>
      </c>
      <c r="B2701" s="18" t="s">
        <v>19753</v>
      </c>
      <c r="C2701" s="18" t="s">
        <v>20089</v>
      </c>
      <c r="D2701" s="5" t="str">
        <f ca="1">IFERROR(__xludf.DUMMYFUNCTION("GOOGLETRANSLATE(B2701,""ja"",""vi"")"),"Givenchy")</f>
        <v>Givenchy</v>
      </c>
      <c r="E2701" s="5" t="str">
        <f ca="1">IFERROR(__xludf.DUMMYFUNCTION("GOOGLETRANSLATE(C2701,""ja"",""vi"")"),"Đấu giá&gt; làm đẹp, chăm sóc sức khỏe&gt; ​​nước hoa, hương thơm&gt; unisex&gt; Givenchy")</f>
        <v>Đấu giá&gt; làm đẹp, chăm sóc sức khỏe&gt; ​​nước hoa, hương thơm&gt; unisex&gt; Givenchy</v>
      </c>
      <c r="F2701" t="str">
        <f t="shared" ca="1" si="42"/>
        <v>"2084053573" : "Givenchy",</v>
      </c>
    </row>
    <row r="2702" spans="1:6" ht="15.75" customHeight="1">
      <c r="A2702" s="18">
        <v>2084053571</v>
      </c>
      <c r="B2702" s="18" t="s">
        <v>16122</v>
      </c>
      <c r="C2702" s="18" t="s">
        <v>20092</v>
      </c>
      <c r="D2702" s="5" t="str">
        <f ca="1">IFERROR(__xludf.DUMMYFUNCTION("GOOGLETRANSLATE(B2702,""ja"",""vi"")"),"Dolce &amp; Gabbana")</f>
        <v>Dolce &amp; Gabbana</v>
      </c>
      <c r="E2702" s="5" t="str">
        <f ca="1">IFERROR(__xludf.DUMMYFUNCTION("GOOGLETRANSLATE(C2702,""ja"",""vi"")"),"Đấu giá&gt; làm đẹp, chăm sóc sức khỏe&gt; ​​nước hoa, hương thơm&gt; Unisex&gt; Dolce &amp; Gabbana")</f>
        <v>Đấu giá&gt; làm đẹp, chăm sóc sức khỏe&gt; ​​nước hoa, hương thơm&gt; Unisex&gt; Dolce &amp; Gabbana</v>
      </c>
      <c r="F2702" t="str">
        <f t="shared" ca="1" si="42"/>
        <v>"2084053571" : "Dolce &amp; Gabbana",</v>
      </c>
    </row>
    <row r="2703" spans="1:6" ht="15.75" customHeight="1">
      <c r="A2703" s="18">
        <v>2084053575</v>
      </c>
      <c r="B2703" s="18" t="s">
        <v>46</v>
      </c>
      <c r="C2703" s="18" t="s">
        <v>20097</v>
      </c>
      <c r="D2703" s="5" t="str">
        <f ca="1">IFERROR(__xludf.DUMMYFUNCTION("GOOGLETRANSLATE(B2703,""ja"",""vi"")"),"nếu không thì")</f>
        <v>nếu không thì</v>
      </c>
      <c r="E2703" s="5" t="str">
        <f ca="1">IFERROR(__xludf.DUMMYFUNCTION("GOOGLETRANSLATE(C2703,""ja"",""vi"")"),"Đấu giá&gt; làm đẹp, chăm sóc sức khỏe&gt; ​​nước hoa, hương thơm&gt; unisex&gt; Khác")</f>
        <v>Đấu giá&gt; làm đẹp, chăm sóc sức khỏe&gt; ​​nước hoa, hương thơm&gt; unisex&gt; Khác</v>
      </c>
      <c r="F2703" t="str">
        <f t="shared" ca="1" si="42"/>
        <v>"2084053575" : "nếu không thì",</v>
      </c>
    </row>
    <row r="2704" spans="1:6" ht="15.75" customHeight="1">
      <c r="A2704" s="18">
        <v>2084059596</v>
      </c>
      <c r="B2704" s="18" t="s">
        <v>19918</v>
      </c>
      <c r="C2704" s="18" t="s">
        <v>20102</v>
      </c>
      <c r="D2704" s="5" t="str">
        <f ca="1">IFERROR(__xludf.DUMMYFUNCTION("GOOGLETRANSLATE(B2704,""ja"",""vi"")"),"Alain Delon")</f>
        <v>Alain Delon</v>
      </c>
      <c r="E2704" s="5" t="str">
        <f ca="1">IFERROR(__xludf.DUMMYFUNCTION("GOOGLETRANSLATE(C2704,""ja"",""vi"")"),"Đấu giá&gt; làm đẹp, chăm sóc sức khỏe&gt; ​​nước hoa, hương thơm&gt; Nhãn hiệu&gt; Alain Delon")</f>
        <v>Đấu giá&gt; làm đẹp, chăm sóc sức khỏe&gt; ​​nước hoa, hương thơm&gt; Nhãn hiệu&gt; Alain Delon</v>
      </c>
      <c r="F2704" t="str">
        <f t="shared" ca="1" si="42"/>
        <v>"2084059596" : "Alain Delon",</v>
      </c>
    </row>
    <row r="2705" spans="1:6" ht="15.75" customHeight="1">
      <c r="A2705" s="18">
        <v>2084059597</v>
      </c>
      <c r="B2705" s="18" t="s">
        <v>19670</v>
      </c>
      <c r="C2705" s="18" t="s">
        <v>20108</v>
      </c>
      <c r="D2705" s="5" t="str">
        <f ca="1">IFERROR(__xludf.DUMMYFUNCTION("GOOGLETRANSLATE(B2705,""ja"",""vi"")"),"Elizabeth Arden")</f>
        <v>Elizabeth Arden</v>
      </c>
      <c r="E2705" s="5" t="str">
        <f ca="1">IFERROR(__xludf.DUMMYFUNCTION("GOOGLETRANSLATE(C2705,""ja"",""vi"")"),"Đấu giá&gt; làm đẹp, chăm sóc sức khỏe&gt; ​​nước hoa, hương thơm&gt; Nhãn hiệu&gt; Elizabeth Arden")</f>
        <v>Đấu giá&gt; làm đẹp, chăm sóc sức khỏe&gt; ​​nước hoa, hương thơm&gt; Nhãn hiệu&gt; Elizabeth Arden</v>
      </c>
      <c r="F2705" t="str">
        <f t="shared" ca="1" si="42"/>
        <v>"2084059597" : "Elizabeth Arden",</v>
      </c>
    </row>
    <row r="2706" spans="1:6" ht="15.75" customHeight="1">
      <c r="A2706" s="18">
        <v>2084059598</v>
      </c>
      <c r="B2706" s="18" t="s">
        <v>19687</v>
      </c>
      <c r="C2706" s="18" t="s">
        <v>20114</v>
      </c>
      <c r="D2706" s="5" t="str">
        <f ca="1">IFERROR(__xludf.DUMMYFUNCTION("GOOGLETRANSLATE(B2706,""ja"",""vi"")"),"Calvin Klein")</f>
        <v>Calvin Klein</v>
      </c>
      <c r="E2706" s="5" t="str">
        <f ca="1">IFERROR(__xludf.DUMMYFUNCTION("GOOGLETRANSLATE(C2706,""ja"",""vi"")"),"Đấu giá&gt; làm đẹp, chăm sóc sức khỏe&gt; ​​nước hoa, hương thơm&gt; Nhãn hiệu&gt; Calvin Klein")</f>
        <v>Đấu giá&gt; làm đẹp, chăm sóc sức khỏe&gt; ​​nước hoa, hương thơm&gt; Nhãn hiệu&gt; Calvin Klein</v>
      </c>
      <c r="F2706" t="str">
        <f t="shared" ca="1" si="42"/>
        <v>"2084059598" : "Calvin Klein",</v>
      </c>
    </row>
    <row r="2707" spans="1:6" ht="15.75" customHeight="1">
      <c r="A2707" s="18">
        <v>2084059599</v>
      </c>
      <c r="B2707" s="18" t="s">
        <v>9858</v>
      </c>
      <c r="C2707" s="18" t="s">
        <v>20120</v>
      </c>
      <c r="D2707" s="5" t="str">
        <f ca="1">IFERROR(__xludf.DUMMYFUNCTION("GOOGLETRANSLATE(B2707,""ja"",""vi"")"),"Christian Dior")</f>
        <v>Christian Dior</v>
      </c>
      <c r="E2707" s="5" t="str">
        <f ca="1">IFERROR(__xludf.DUMMYFUNCTION("GOOGLETRANSLATE(C2707,""ja"",""vi"")"),"Đấu giá&gt; làm đẹp, chăm sóc sức khỏe&gt; ​​nước hoa, hương thơm&gt; Nhãn hiệu&gt; Christian Dior")</f>
        <v>Đấu giá&gt; làm đẹp, chăm sóc sức khỏe&gt; ​​nước hoa, hương thơm&gt; Nhãn hiệu&gt; Christian Dior</v>
      </c>
      <c r="F2707" t="str">
        <f t="shared" ca="1" si="42"/>
        <v>"2084059599" : "Christian Dior",</v>
      </c>
    </row>
    <row r="2708" spans="1:6" ht="15.75" customHeight="1">
      <c r="A2708" s="18">
        <v>2084059600</v>
      </c>
      <c r="B2708" s="18" t="s">
        <v>19700</v>
      </c>
      <c r="C2708" s="18" t="s">
        <v>20124</v>
      </c>
      <c r="D2708" s="5" t="str">
        <f ca="1">IFERROR(__xludf.DUMMYFUNCTION("GOOGLETRANSLATE(B2708,""ja"",""vi"")"),"Clinique")</f>
        <v>Clinique</v>
      </c>
      <c r="E2708" s="5" t="str">
        <f ca="1">IFERROR(__xludf.DUMMYFUNCTION("GOOGLETRANSLATE(C2708,""ja"",""vi"")"),"Đấu giá&gt; làm đẹp, chăm sóc sức khỏe&gt; ​​nước hoa, hương thơm&gt; By Nhãn hiệu&gt; Clinique")</f>
        <v>Đấu giá&gt; làm đẹp, chăm sóc sức khỏe&gt; ​​nước hoa, hương thơm&gt; By Nhãn hiệu&gt; Clinique</v>
      </c>
      <c r="F2708" t="str">
        <f t="shared" ca="1" si="42"/>
        <v>"2084059600" : "Clinique",</v>
      </c>
    </row>
    <row r="2709" spans="1:6" ht="15.75" customHeight="1">
      <c r="A2709" s="18">
        <v>2084059601</v>
      </c>
      <c r="B2709" s="18" t="s">
        <v>9815</v>
      </c>
      <c r="C2709" s="18" t="s">
        <v>20128</v>
      </c>
      <c r="D2709" s="5" t="str">
        <f ca="1">IFERROR(__xludf.DUMMYFUNCTION("GOOGLETRANSLATE(B2709,""ja"",""vi"")"),"Gucci")</f>
        <v>Gucci</v>
      </c>
      <c r="E2709" s="5" t="str">
        <f ca="1">IFERROR(__xludf.DUMMYFUNCTION("GOOGLETRANSLATE(C2709,""ja"",""vi"")"),"Đấu giá&gt; làm đẹp, chăm sóc sức khỏe&gt; ​​nước hoa, hương thơm&gt; By Nhãn hiệu&gt; Gucci")</f>
        <v>Đấu giá&gt; làm đẹp, chăm sóc sức khỏe&gt; ​​nước hoa, hương thơm&gt; By Nhãn hiệu&gt; Gucci</v>
      </c>
      <c r="F2709" t="str">
        <f t="shared" ca="1" si="42"/>
        <v>"2084059601" : "Gucci",</v>
      </c>
    </row>
    <row r="2710" spans="1:6" ht="15.75" customHeight="1">
      <c r="A2710" s="18">
        <v>2084059602</v>
      </c>
      <c r="B2710" s="18" t="s">
        <v>10004</v>
      </c>
      <c r="C2710" s="18" t="s">
        <v>20133</v>
      </c>
      <c r="D2710" s="5" t="str">
        <f ca="1">IFERROR(__xludf.DUMMYFUNCTION("GOOGLETRANSLATE(B2710,""ja"",""vi"")"),"Kenzo")</f>
        <v>Kenzo</v>
      </c>
      <c r="E2710" s="5" t="str">
        <f ca="1">IFERROR(__xludf.DUMMYFUNCTION("GOOGLETRANSLATE(C2710,""ja"",""vi"")"),"Đấu giá&gt; làm đẹp, chăm sóc sức khỏe&gt; ​​nước hoa, hương thơm&gt; By Nhãn hiệu&gt; Kenzo")</f>
        <v>Đấu giá&gt; làm đẹp, chăm sóc sức khỏe&gt; ​​nước hoa, hương thơm&gt; By Nhãn hiệu&gt; Kenzo</v>
      </c>
      <c r="F2710" t="str">
        <f t="shared" ca="1" si="42"/>
        <v>"2084059602" : "Kenzo",</v>
      </c>
    </row>
    <row r="2711" spans="1:6" ht="15.75" customHeight="1">
      <c r="A2711" s="18">
        <v>2084059603</v>
      </c>
      <c r="B2711" s="18" t="s">
        <v>10288</v>
      </c>
      <c r="C2711" s="18" t="s">
        <v>20137</v>
      </c>
      <c r="D2711" s="5" t="str">
        <f ca="1">IFERROR(__xludf.DUMMYFUNCTION("GOOGLETRANSLATE(B2711,""ja"",""vi"")"),"Chanel")</f>
        <v>Chanel</v>
      </c>
      <c r="E2711" s="5" t="str">
        <f ca="1">IFERROR(__xludf.DUMMYFUNCTION("GOOGLETRANSLATE(C2711,""ja"",""vi"")"),"Đấu giá&gt; làm đẹp, chăm sóc sức khỏe&gt; ​​nước hoa, hương thơm&gt; By Nhãn hiệu&gt; Chanel")</f>
        <v>Đấu giá&gt; làm đẹp, chăm sóc sức khỏe&gt; ​​nước hoa, hương thơm&gt; By Nhãn hiệu&gt; Chanel</v>
      </c>
      <c r="F2711" t="str">
        <f t="shared" ca="1" si="42"/>
        <v>"2084059603" : "Chanel",</v>
      </c>
    </row>
    <row r="2712" spans="1:6" ht="15.75" customHeight="1">
      <c r="A2712" s="18">
        <v>2084059604</v>
      </c>
      <c r="B2712" s="18" t="s">
        <v>19753</v>
      </c>
      <c r="C2712" s="18" t="s">
        <v>20142</v>
      </c>
      <c r="D2712" s="5" t="str">
        <f ca="1">IFERROR(__xludf.DUMMYFUNCTION("GOOGLETRANSLATE(B2712,""ja"",""vi"")"),"Givenchy")</f>
        <v>Givenchy</v>
      </c>
      <c r="E2712" s="5" t="str">
        <f ca="1">IFERROR(__xludf.DUMMYFUNCTION("GOOGLETRANSLATE(C2712,""ja"",""vi"")"),"Đấu giá&gt; làm đẹp, chăm sóc sức khỏe&gt; ​​nước hoa, hương thơm&gt; By Nhãn hiệu&gt; Givenchy")</f>
        <v>Đấu giá&gt; làm đẹp, chăm sóc sức khỏe&gt; ​​nước hoa, hương thơm&gt; By Nhãn hiệu&gt; Givenchy</v>
      </c>
      <c r="F2712" t="str">
        <f t="shared" ca="1" si="42"/>
        <v>"2084059604" : "Givenchy",</v>
      </c>
    </row>
    <row r="2713" spans="1:6" ht="15.75" customHeight="1">
      <c r="A2713" s="18">
        <v>2084059605</v>
      </c>
      <c r="B2713" s="18" t="s">
        <v>19756</v>
      </c>
      <c r="C2713" s="18" t="s">
        <v>20146</v>
      </c>
      <c r="D2713" s="5" t="str">
        <f ca="1">IFERROR(__xludf.DUMMYFUNCTION("GOOGLETRANSLATE(B2713,""ja"",""vi"")"),"Jeanne Artes")</f>
        <v>Jeanne Artes</v>
      </c>
      <c r="E2713" s="5" t="str">
        <f ca="1">IFERROR(__xludf.DUMMYFUNCTION("GOOGLETRANSLATE(C2713,""ja"",""vi"")"),"Đấu giá&gt; làm đẹp, chăm sóc sức khỏe&gt; ​​nước hoa, hương thơm&gt; By Nhãn hiệu&gt; Jeanne Artes")</f>
        <v>Đấu giá&gt; làm đẹp, chăm sóc sức khỏe&gt; ​​nước hoa, hương thơm&gt; By Nhãn hiệu&gt; Jeanne Artes</v>
      </c>
      <c r="F2713" t="str">
        <f t="shared" ca="1" si="42"/>
        <v>"2084059605" : "Jeanne Artes",</v>
      </c>
    </row>
    <row r="2714" spans="1:6" ht="15.75" customHeight="1">
      <c r="A2714" s="18">
        <v>2084059606</v>
      </c>
      <c r="B2714" s="18" t="s">
        <v>19791</v>
      </c>
      <c r="C2714" s="18" t="s">
        <v>20150</v>
      </c>
      <c r="D2714" s="5" t="str">
        <f ca="1">IFERROR(__xludf.DUMMYFUNCTION("GOOGLETRANSLATE(B2714,""ja"",""vi"")"),"Davidoff")</f>
        <v>Davidoff</v>
      </c>
      <c r="E2714" s="5" t="str">
        <f ca="1">IFERROR(__xludf.DUMMYFUNCTION("GOOGLETRANSLATE(C2714,""ja"",""vi"")"),"Đấu giá&gt; làm đẹp, chăm sóc sức khỏe&gt; ​​nước hoa, hương thơm&gt; By Nhãn hiệu&gt; Davidoff")</f>
        <v>Đấu giá&gt; làm đẹp, chăm sóc sức khỏe&gt; ​​nước hoa, hương thơm&gt; By Nhãn hiệu&gt; Davidoff</v>
      </c>
      <c r="F2714" t="str">
        <f t="shared" ca="1" si="42"/>
        <v>"2084059606" : "Davidoff",</v>
      </c>
    </row>
    <row r="2715" spans="1:6" ht="15.75" customHeight="1">
      <c r="A2715" s="18">
        <v>2084059607</v>
      </c>
      <c r="B2715" s="18" t="s">
        <v>11049</v>
      </c>
      <c r="C2715" s="18" t="s">
        <v>20152</v>
      </c>
      <c r="D2715" s="5" t="str">
        <f ca="1">IFERROR(__xludf.DUMMYFUNCTION("GOOGLETRANSLATE(B2715,""ja"",""vi"")"),"Tommy Hilfiger")</f>
        <v>Tommy Hilfiger</v>
      </c>
      <c r="E2715" s="5" t="str">
        <f ca="1">IFERROR(__xludf.DUMMYFUNCTION("GOOGLETRANSLATE(C2715,""ja"",""vi"")"),"Đấu giá&gt; làm đẹp, chăm sóc sức khỏe&gt; ​​nước hoa, hương thơm&gt; Thương hiệu&gt; Tommy Hilfiger")</f>
        <v>Đấu giá&gt; làm đẹp, chăm sóc sức khỏe&gt; ​​nước hoa, hương thơm&gt; Thương hiệu&gt; Tommy Hilfiger</v>
      </c>
      <c r="F2715" t="str">
        <f t="shared" ca="1" si="42"/>
        <v>"2084059607" : "Tommy Hilfiger",</v>
      </c>
    </row>
    <row r="2716" spans="1:6" ht="15.75" customHeight="1">
      <c r="A2716" s="18">
        <v>2084059608</v>
      </c>
      <c r="B2716" s="18" t="s">
        <v>16122</v>
      </c>
      <c r="C2716" s="18" t="s">
        <v>20156</v>
      </c>
      <c r="D2716" s="5" t="str">
        <f ca="1">IFERROR(__xludf.DUMMYFUNCTION("GOOGLETRANSLATE(B2716,""ja"",""vi"")"),"Dolce &amp; Gabbana")</f>
        <v>Dolce &amp; Gabbana</v>
      </c>
      <c r="E2716" s="5" t="str">
        <f ca="1">IFERROR(__xludf.DUMMYFUNCTION("GOOGLETRANSLATE(C2716,""ja"",""vi"")"),"Đấu giá&gt; làm đẹp, chăm sóc sức khỏe&gt; ​​nước hoa, hương thơm&gt; By Nhãn hiệu&gt; Dolce &amp; Gabbana")</f>
        <v>Đấu giá&gt; làm đẹp, chăm sóc sức khỏe&gt; ​​nước hoa, hương thơm&gt; By Nhãn hiệu&gt; Dolce &amp; Gabbana</v>
      </c>
      <c r="F2716" t="str">
        <f t="shared" ca="1" si="42"/>
        <v>"2084059608" : "Dolce &amp; Gabbana",</v>
      </c>
    </row>
    <row r="2717" spans="1:6" ht="15.75" customHeight="1">
      <c r="A2717" s="18">
        <v>2084059609</v>
      </c>
      <c r="B2717" s="18" t="s">
        <v>19822</v>
      </c>
      <c r="C2717" s="18" t="s">
        <v>20157</v>
      </c>
      <c r="D2717" s="5" t="str">
        <f ca="1">IFERROR(__xludf.DUMMYFUNCTION("GOOGLETRANSLATE(B2717,""ja"",""vi"")"),"Nikos")</f>
        <v>Nikos</v>
      </c>
      <c r="E2717" s="5" t="str">
        <f ca="1">IFERROR(__xludf.DUMMYFUNCTION("GOOGLETRANSLATE(C2717,""ja"",""vi"")"),"Đấu giá&gt; làm đẹp, chăm sóc sức khỏe&gt; ​​nước hoa, hương thơm&gt; By Nhãn hiệu&gt; Nikos")</f>
        <v>Đấu giá&gt; làm đẹp, chăm sóc sức khỏe&gt; ​​nước hoa, hương thơm&gt; By Nhãn hiệu&gt; Nikos</v>
      </c>
      <c r="F2717" t="str">
        <f t="shared" ca="1" si="42"/>
        <v>"2084059609" : "Nikos",</v>
      </c>
    </row>
    <row r="2718" spans="1:6" ht="15.75" customHeight="1">
      <c r="A2718" s="18">
        <v>2084059610</v>
      </c>
      <c r="B2718" s="18" t="s">
        <v>11443</v>
      </c>
      <c r="C2718" s="18" t="s">
        <v>20163</v>
      </c>
      <c r="D2718" s="5" t="str">
        <f ca="1">IFERROR(__xludf.DUMMYFUNCTION("GOOGLETRANSLATE(B2718,""ja"",""vi"")"),"chổ lồi ở cây")</f>
        <v>chổ lồi ở cây</v>
      </c>
      <c r="E2718" s="5" t="str">
        <f ca="1">IFERROR(__xludf.DUMMYFUNCTION("GOOGLETRANSLATE(C2718,""ja"",""vi"")"),"Đấu giá&gt; làm đẹp, chăm sóc sức khỏe&gt; ​​nước hoa, hương thơm&gt; By Nhãn hiệu&gt; Burberry")</f>
        <v>Đấu giá&gt; làm đẹp, chăm sóc sức khỏe&gt; ​​nước hoa, hương thơm&gt; By Nhãn hiệu&gt; Burberry</v>
      </c>
      <c r="F2718" t="str">
        <f t="shared" ca="1" si="42"/>
        <v>"2084059610" : "chổ lồi ở cây",</v>
      </c>
    </row>
    <row r="2719" spans="1:6" ht="15.75" customHeight="1">
      <c r="A2719" s="18">
        <v>2084059611</v>
      </c>
      <c r="B2719" s="18" t="s">
        <v>19843</v>
      </c>
      <c r="C2719" s="18" t="s">
        <v>20171</v>
      </c>
      <c r="D2719" s="5" t="str">
        <f ca="1">IFERROR(__xludf.DUMMYFUNCTION("GOOGLETRANSLATE(B2719,""ja"",""vi"")"),"Paco Rabanne")</f>
        <v>Paco Rabanne</v>
      </c>
      <c r="E2719" s="5" t="str">
        <f ca="1">IFERROR(__xludf.DUMMYFUNCTION("GOOGLETRANSLATE(C2719,""ja"",""vi"")"),"Đấu giá&gt; làm đẹp, chăm sóc sức khỏe&gt; ​​nước hoa, hương thơm&gt; By Nhãn hiệu&gt; Paco Rabanne")</f>
        <v>Đấu giá&gt; làm đẹp, chăm sóc sức khỏe&gt; ​​nước hoa, hương thơm&gt; By Nhãn hiệu&gt; Paco Rabanne</v>
      </c>
      <c r="F2719" t="str">
        <f t="shared" ca="1" si="42"/>
        <v>"2084059611" : "Paco Rabanne",</v>
      </c>
    </row>
    <row r="2720" spans="1:6" ht="15.75" customHeight="1">
      <c r="A2720" s="18">
        <v>2084059612</v>
      </c>
      <c r="B2720" s="18" t="s">
        <v>16149</v>
      </c>
      <c r="C2720" s="18" t="s">
        <v>20175</v>
      </c>
      <c r="D2720" s="5" t="str">
        <f ca="1">IFERROR(__xludf.DUMMYFUNCTION("GOOGLETRANSLATE(B2720,""ja"",""vi"")"),"Hugo Boss")</f>
        <v>Hugo Boss</v>
      </c>
      <c r="E2720" s="5" t="str">
        <f ca="1">IFERROR(__xludf.DUMMYFUNCTION("GOOGLETRANSLATE(C2720,""ja"",""vi"")"),"Đấu giá&gt; làm đẹp, chăm sóc sức khỏe&gt; ​​nước hoa, hương thơm&gt; Nhãn hiệu&gt; Hugo Boss")</f>
        <v>Đấu giá&gt; làm đẹp, chăm sóc sức khỏe&gt; ​​nước hoa, hương thơm&gt; Nhãn hiệu&gt; Hugo Boss</v>
      </c>
      <c r="F2720" t="str">
        <f t="shared" ca="1" si="42"/>
        <v>"2084059612" : "Hugo Boss",</v>
      </c>
    </row>
    <row r="2721" spans="1:6" ht="15.75" customHeight="1">
      <c r="A2721" s="18">
        <v>2084059613</v>
      </c>
      <c r="B2721" s="18" t="s">
        <v>11984</v>
      </c>
      <c r="C2721" s="18" t="s">
        <v>20182</v>
      </c>
      <c r="D2721" s="5" t="str">
        <f ca="1">IFERROR(__xludf.DUMMYFUNCTION("GOOGLETRANSLATE(B2721,""ja"",""vi"")"),"Bulgari")</f>
        <v>Bulgari</v>
      </c>
      <c r="E2721" s="5" t="str">
        <f ca="1">IFERROR(__xludf.DUMMYFUNCTION("GOOGLETRANSLATE(C2721,""ja"",""vi"")"),"Đấu giá&gt; làm đẹp, chăm sóc sức khỏe&gt; ​​nước hoa, hương thơm&gt; Thương hiệu&gt; Bulgari")</f>
        <v>Đấu giá&gt; làm đẹp, chăm sóc sức khỏe&gt; ​​nước hoa, hương thơm&gt; Thương hiệu&gt; Bulgari</v>
      </c>
      <c r="F2721" t="str">
        <f t="shared" ca="1" si="42"/>
        <v>"2084059613" : "Bulgari",</v>
      </c>
    </row>
    <row r="2722" spans="1:6" ht="15.75" customHeight="1">
      <c r="A2722" s="18">
        <v>2084059614</v>
      </c>
      <c r="B2722" s="18" t="s">
        <v>12786</v>
      </c>
      <c r="C2722" s="18" t="s">
        <v>20189</v>
      </c>
      <c r="D2722" s="5" t="str">
        <f ca="1">IFERROR(__xludf.DUMMYFUNCTION("GOOGLETRANSLATE(B2722,""ja"",""vi"")"),"Ralph Lauren")</f>
        <v>Ralph Lauren</v>
      </c>
      <c r="E2722" s="5" t="str">
        <f ca="1">IFERROR(__xludf.DUMMYFUNCTION("GOOGLETRANSLATE(C2722,""ja"",""vi"")"),"Đấu giá&gt; làm đẹp, chăm sóc sức khỏe&gt; ​​nước hoa, hương thơm&gt; By Nhãn hiệu&gt; Ralph Lauren")</f>
        <v>Đấu giá&gt; làm đẹp, chăm sóc sức khỏe&gt; ​​nước hoa, hương thơm&gt; By Nhãn hiệu&gt; Ralph Lauren</v>
      </c>
      <c r="F2722" t="str">
        <f t="shared" ca="1" si="42"/>
        <v>"2084059614" : "Ralph Lauren",</v>
      </c>
    </row>
    <row r="2723" spans="1:6" ht="15.75" customHeight="1">
      <c r="A2723" s="18">
        <v>2084059615</v>
      </c>
      <c r="B2723" s="18" t="s">
        <v>19898</v>
      </c>
      <c r="C2723" s="18" t="s">
        <v>20196</v>
      </c>
      <c r="D2723" s="5" t="str">
        <f ca="1">IFERROR(__xludf.DUMMYFUNCTION("GOOGLETRANSLATE(B2723,""ja"",""vi"")"),"Lancome")</f>
        <v>Lancome</v>
      </c>
      <c r="E2723" s="5" t="str">
        <f ca="1">IFERROR(__xludf.DUMMYFUNCTION("GOOGLETRANSLATE(C2723,""ja"",""vi"")"),"Đấu giá&gt; làm đẹp, chăm sóc sức khỏe&gt; ​​nước hoa, hương thơm&gt; bởi thương hiệu&gt; Lancome")</f>
        <v>Đấu giá&gt; làm đẹp, chăm sóc sức khỏe&gt; ​​nước hoa, hương thơm&gt; bởi thương hiệu&gt; Lancome</v>
      </c>
      <c r="F2723" t="str">
        <f t="shared" ca="1" si="42"/>
        <v>"2084059615" : "Lancome",</v>
      </c>
    </row>
    <row r="2724" spans="1:6" ht="15.75" customHeight="1">
      <c r="A2724" s="18">
        <v>2084059616</v>
      </c>
      <c r="B2724" s="18" t="s">
        <v>19906</v>
      </c>
      <c r="C2724" s="18" t="s">
        <v>20199</v>
      </c>
      <c r="D2724" s="5" t="str">
        <f ca="1">IFERROR(__xludf.DUMMYFUNCTION("GOOGLETRANSLATE(B2724,""ja"",""vi"")"),"Rorisuazaro")</f>
        <v>Rorisuazaro</v>
      </c>
      <c r="E2724" s="5" t="str">
        <f ca="1">IFERROR(__xludf.DUMMYFUNCTION("GOOGLETRANSLATE(C2724,""ja"",""vi"")"),"Đấu giá&gt; làm đẹp, chăm sóc sức khỏe&gt; ​​nước hoa, hương thơm&gt; By Nhãn hiệu&gt; Rorisuazaro")</f>
        <v>Đấu giá&gt; làm đẹp, chăm sóc sức khỏe&gt; ​​nước hoa, hương thơm&gt; By Nhãn hiệu&gt; Rorisuazaro</v>
      </c>
      <c r="F2724" t="str">
        <f t="shared" ca="1" si="42"/>
        <v>"2084059616" : "Rorisuazaro",</v>
      </c>
    </row>
    <row r="2725" spans="1:6" ht="15.75" customHeight="1">
      <c r="A2725" s="18">
        <v>2084063429</v>
      </c>
      <c r="B2725" s="18" t="s">
        <v>3138</v>
      </c>
      <c r="C2725" s="18" t="s">
        <v>20205</v>
      </c>
      <c r="D2725" s="5" t="str">
        <f ca="1">IFERROR(__xludf.DUMMYFUNCTION("GOOGLETRANSLATE(B2725,""ja"",""vi"")"),"bộ")</f>
        <v>bộ</v>
      </c>
      <c r="E2725" s="5" t="str">
        <f ca="1">IFERROR(__xludf.DUMMYFUNCTION("GOOGLETRANSLATE(C2725,""ja"",""vi"")"),"Đấu giá&gt; làm đẹp, chăm sóc sức khỏe&gt; ​​hàng thư giãn&gt; hương, hương burner&gt; bộ")</f>
        <v>Đấu giá&gt; làm đẹp, chăm sóc sức khỏe&gt; ​​hàng thư giãn&gt; hương, hương burner&gt; bộ</v>
      </c>
      <c r="F2725" t="str">
        <f t="shared" ca="1" si="42"/>
        <v>"2084063429" : "bộ",</v>
      </c>
    </row>
    <row r="2726" spans="1:6" ht="15.75" customHeight="1">
      <c r="A2726" s="18">
        <v>2084063431</v>
      </c>
      <c r="B2726" s="18" t="s">
        <v>20207</v>
      </c>
      <c r="C2726" s="18" t="s">
        <v>20209</v>
      </c>
      <c r="D2726" s="5" t="str">
        <f ca="1">IFERROR(__xludf.DUMMYFUNCTION("GOOGLETRANSLATE(B2726,""ja"",""vi"")"),"hương")</f>
        <v>hương</v>
      </c>
      <c r="E2726" s="5" t="str">
        <f ca="1">IFERROR(__xludf.DUMMYFUNCTION("GOOGLETRANSLATE(C2726,""ja"",""vi"")"),"Đấu giá&gt; làm đẹp, chăm sóc sức khỏe&gt; ​​hàng thư giãn&gt; hương, hương burner&gt; Hương")</f>
        <v>Đấu giá&gt; làm đẹp, chăm sóc sức khỏe&gt; ​​hàng thư giãn&gt; hương, hương burner&gt; Hương</v>
      </c>
      <c r="F2726" t="str">
        <f t="shared" ca="1" si="42"/>
        <v>"2084063431" : "hương",</v>
      </c>
    </row>
    <row r="2727" spans="1:6" ht="15.75" customHeight="1">
      <c r="A2727" s="18">
        <v>2084063435</v>
      </c>
      <c r="B2727" s="18" t="s">
        <v>20214</v>
      </c>
      <c r="C2727" s="18" t="s">
        <v>20215</v>
      </c>
      <c r="D2727" s="5" t="str">
        <f ca="1">IFERROR(__xludf.DUMMYFUNCTION("GOOGLETRANSLATE(B2727,""ja"",""vi"")"),"người đốt nhang")</f>
        <v>người đốt nhang</v>
      </c>
      <c r="E2727" s="5" t="str">
        <f ca="1">IFERROR(__xludf.DUMMYFUNCTION("GOOGLETRANSLATE(C2727,""ja"",""vi"")"),"Đấu giá&gt; làm đẹp, chăm sóc sức khỏe&gt; ​​hàng thư giãn&gt; hương, hương burner&gt; lư hương")</f>
        <v>Đấu giá&gt; làm đẹp, chăm sóc sức khỏe&gt; ​​hàng thư giãn&gt; hương, hương burner&gt; lư hương</v>
      </c>
      <c r="F2727" t="str">
        <f t="shared" ca="1" si="42"/>
        <v>"2084063435" : "người đốt nhang",</v>
      </c>
    </row>
    <row r="2728" spans="1:6" ht="15.75" customHeight="1">
      <c r="A2728" s="18">
        <v>2084024423</v>
      </c>
      <c r="B2728" s="18" t="s">
        <v>20221</v>
      </c>
      <c r="C2728" s="18" t="s">
        <v>20222</v>
      </c>
      <c r="D2728" s="5" t="str">
        <f ca="1">IFERROR(__xludf.DUMMYFUNCTION("GOOGLETRANSLATE(B2728,""ja"",""vi"")"),"nến hương liệu")</f>
        <v>nến hương liệu</v>
      </c>
      <c r="E2728" s="5" t="str">
        <f ca="1">IFERROR(__xludf.DUMMYFUNCTION("GOOGLETRANSLATE(C2728,""ja"",""vi"")"),"Đấu giá&gt; làm đẹp, chăm sóc sức khỏe&gt; ​​hàng thư giãn&gt; hương, hương burner&gt; Nến thơm")</f>
        <v>Đấu giá&gt; làm đẹp, chăm sóc sức khỏe&gt; ​​hàng thư giãn&gt; hương, hương burner&gt; Nến thơm</v>
      </c>
      <c r="F2728" t="str">
        <f t="shared" ca="1" si="42"/>
        <v>"2084024423" : "nến hương liệu",</v>
      </c>
    </row>
    <row r="2729" spans="1:6" ht="15.75" customHeight="1">
      <c r="A2729" s="18">
        <v>2084062802</v>
      </c>
      <c r="B2729" s="18" t="s">
        <v>10179</v>
      </c>
      <c r="C2729" s="18" t="s">
        <v>20227</v>
      </c>
      <c r="D2729" s="5" t="str">
        <f ca="1">IFERROR(__xludf.DUMMYFUNCTION("GOOGLETRANSLATE(B2729,""ja"",""vi"")"),"nhang muỗi")</f>
        <v>nhang muỗi</v>
      </c>
      <c r="E2729" s="5" t="str">
        <f ca="1">IFERROR(__xludf.DUMMYFUNCTION("GOOGLETRANSLATE(C2729,""ja"",""vi"")"),"Đấu giá&gt; làm đẹp, chăm sóc sức khỏe&gt; ​​hàng thư giãn&gt; hương, hương burner&gt; cuộn dây muỗi")</f>
        <v>Đấu giá&gt; làm đẹp, chăm sóc sức khỏe&gt; ​​hàng thư giãn&gt; hương, hương burner&gt; cuộn dây muỗi</v>
      </c>
      <c r="F2729" t="str">
        <f t="shared" ca="1" si="42"/>
        <v>"2084062802" : "nhang muỗi",</v>
      </c>
    </row>
    <row r="2730" spans="1:6" ht="15.75" customHeight="1">
      <c r="A2730" s="18">
        <v>2084063445</v>
      </c>
      <c r="B2730" s="18" t="s">
        <v>20237</v>
      </c>
      <c r="C2730" s="18" t="s">
        <v>20239</v>
      </c>
      <c r="D2730" s="5" t="str">
        <f ca="1">IFERROR(__xludf.DUMMYFUNCTION("GOOGLETRANSLATE(B2730,""ja"",""vi"")"),"thanh hương")</f>
        <v>thanh hương</v>
      </c>
      <c r="E2730" s="5" t="str">
        <f ca="1">IFERROR(__xludf.DUMMYFUNCTION("GOOGLETRANSLATE(C2730,""ja"",""vi"")"),"Đấu giá&gt; làm đẹp, chăm sóc sức khỏe&gt; ​​hàng thư giãn&gt; hương, hương burner&gt; hương")</f>
        <v>Đấu giá&gt; làm đẹp, chăm sóc sức khỏe&gt; ​​hàng thư giãn&gt; hương, hương burner&gt; hương</v>
      </c>
      <c r="F2730" t="str">
        <f t="shared" ca="1" si="42"/>
        <v>"2084063445" : "thanh hương",</v>
      </c>
    </row>
    <row r="2731" spans="1:6" ht="15.75" customHeight="1">
      <c r="A2731" s="18">
        <v>2084063439</v>
      </c>
      <c r="B2731" s="18" t="s">
        <v>46</v>
      </c>
      <c r="C2731" s="18" t="s">
        <v>20244</v>
      </c>
      <c r="D2731" s="5" t="str">
        <f ca="1">IFERROR(__xludf.DUMMYFUNCTION("GOOGLETRANSLATE(B2731,""ja"",""vi"")"),"nếu không thì")</f>
        <v>nếu không thì</v>
      </c>
      <c r="E2731" s="5" t="str">
        <f ca="1">IFERROR(__xludf.DUMMYFUNCTION("GOOGLETRANSLATE(C2731,""ja"",""vi"")"),"Đấu giá&gt; làm đẹp, chăm sóc sức khỏe&gt; ​​hàng thư giãn&gt; hương, hương burner&gt; Khác")</f>
        <v>Đấu giá&gt; làm đẹp, chăm sóc sức khỏe&gt; ​​hàng thư giãn&gt; hương, hương burner&gt; Khác</v>
      </c>
      <c r="F2731" t="str">
        <f t="shared" ca="1" si="42"/>
        <v>"2084063439" : "nếu không thì",</v>
      </c>
    </row>
    <row r="2732" spans="1:6" ht="15.75" customHeight="1">
      <c r="A2732" s="18">
        <v>2084008051</v>
      </c>
      <c r="B2732" s="18" t="s">
        <v>20250</v>
      </c>
      <c r="C2732" s="18" t="s">
        <v>20251</v>
      </c>
      <c r="D2732" s="5" t="str">
        <f ca="1">IFERROR(__xludf.DUMMYFUNCTION("GOOGLETRANSLATE(B2732,""ja"",""vi"")"),"thời trang chung")</f>
        <v>thời trang chung</v>
      </c>
      <c r="E2732" s="5" t="str">
        <f ca="1">IFERROR(__xludf.DUMMYFUNCTION("GOOGLETRANSLATE(C2732,""ja"",""vi"")"),"Đấu giá&gt; cuốn sách, tạp chí&gt; Tạp chí&gt; Thời trang&gt; Phụ nữ&gt; General thời trang")</f>
        <v>Đấu giá&gt; cuốn sách, tạp chí&gt; Tạp chí&gt; Thời trang&gt; Phụ nữ&gt; General thời trang</v>
      </c>
      <c r="F2732" t="str">
        <f t="shared" ca="1" si="42"/>
        <v>"2084008051" : "thời trang chung",</v>
      </c>
    </row>
    <row r="2733" spans="1:6" ht="15.75" customHeight="1">
      <c r="A2733" s="18">
        <v>2084008054</v>
      </c>
      <c r="B2733" s="18" t="s">
        <v>20255</v>
      </c>
      <c r="C2733" s="18" t="s">
        <v>20256</v>
      </c>
      <c r="D2733" s="5" t="str">
        <f ca="1">IFERROR(__xludf.DUMMYFUNCTION("GOOGLETRANSLATE(B2733,""ja"",""vi"")"),"Kimono, kimono")</f>
        <v>Kimono, kimono</v>
      </c>
      <c r="E2733" s="5" t="str">
        <f ca="1">IFERROR(__xludf.DUMMYFUNCTION("GOOGLETRANSLATE(C2733,""ja"",""vi"")"),"Đấu giá&gt; cuốn sách, tạp chí&gt; Tạp chí&gt; thời trang&gt; phụ nữ&gt; kimono, quần áo Nhật Bản")</f>
        <v>Đấu giá&gt; cuốn sách, tạp chí&gt; Tạp chí&gt; thời trang&gt; phụ nữ&gt; kimono, quần áo Nhật Bản</v>
      </c>
      <c r="F2733" t="str">
        <f t="shared" ca="1" si="42"/>
        <v>"2084008054" : "Kimono, kimono",</v>
      </c>
    </row>
    <row r="2734" spans="1:6" ht="15.75" customHeight="1">
      <c r="A2734" s="18">
        <v>2084008055</v>
      </c>
      <c r="B2734" s="18" t="s">
        <v>20259</v>
      </c>
      <c r="C2734" s="18" t="s">
        <v>20261</v>
      </c>
      <c r="D2734" s="5" t="str">
        <f ca="1">IFERROR(__xludf.DUMMYFUNCTION("GOOGLETRANSLATE(B2734,""ja"",""vi"")"),"May, quần áo")</f>
        <v>May, quần áo</v>
      </c>
      <c r="E2734" s="5" t="str">
        <f ca="1">IFERROR(__xludf.DUMMYFUNCTION("GOOGLETRANSLATE(C2734,""ja"",""vi"")"),"Đấu giá&gt; cuốn sách, tạp chí&gt; Tạp chí&gt; thời trang&gt; phụ nữ&gt; may, quần áo")</f>
        <v>Đấu giá&gt; cuốn sách, tạp chí&gt; Tạp chí&gt; thời trang&gt; phụ nữ&gt; may, quần áo</v>
      </c>
      <c r="F2734" t="str">
        <f t="shared" ca="1" si="42"/>
        <v>"2084008055" : "May, quần áo",</v>
      </c>
    </row>
    <row r="2735" spans="1:6" ht="15.75" customHeight="1">
      <c r="A2735" s="18">
        <v>2084008052</v>
      </c>
      <c r="B2735" s="18" t="s">
        <v>20262</v>
      </c>
      <c r="C2735" s="18" t="s">
        <v>20264</v>
      </c>
      <c r="D2735" s="5" t="str">
        <f ca="1">IFERROR(__xludf.DUMMYFUNCTION("GOOGLETRANSLATE(B2735,""ja"",""vi"")"),"Teens, Đường")</f>
        <v>Teens, Đường</v>
      </c>
      <c r="E2735" s="5" t="str">
        <f ca="1">IFERROR(__xludf.DUMMYFUNCTION("GOOGLETRANSLATE(C2735,""ja"",""vi"")"),"Đấu giá&gt; cuốn sách, tạp chí&gt; Tạp chí&gt; thời trang&gt; phụ nữ&gt; thiếu niên, Đường")</f>
        <v>Đấu giá&gt; cuốn sách, tạp chí&gt; Tạp chí&gt; thời trang&gt; phụ nữ&gt; thiếu niên, Đường</v>
      </c>
      <c r="F2735" t="str">
        <f t="shared" ca="1" si="42"/>
        <v>"2084008052" : "Teens, Đường",</v>
      </c>
    </row>
    <row r="2736" spans="1:6" ht="15.75" customHeight="1">
      <c r="A2736" s="18">
        <v>2084008053</v>
      </c>
      <c r="B2736" s="18" t="s">
        <v>20267</v>
      </c>
      <c r="C2736" s="18" t="s">
        <v>20270</v>
      </c>
      <c r="D2736" s="5" t="str">
        <f ca="1">IFERROR(__xludf.DUMMYFUNCTION("GOOGLETRANSLATE(B2736,""ja"",""vi"")"),"Làm đẹp, tóc và trang điểm")</f>
        <v>Làm đẹp, tóc và trang điểm</v>
      </c>
      <c r="E2736" s="5" t="str">
        <f ca="1">IFERROR(__xludf.DUMMYFUNCTION("GOOGLETRANSLATE(C2736,""ja"",""vi"")"),"Đấu giá&gt; cuốn sách, tạp chí&gt; Tạp chí&gt; thời trang&gt; phụ nữ&gt; làm đẹp, tóc và trang điểm")</f>
        <v>Đấu giá&gt; cuốn sách, tạp chí&gt; Tạp chí&gt; thời trang&gt; phụ nữ&gt; làm đẹp, tóc và trang điểm</v>
      </c>
      <c r="F2736" t="str">
        <f t="shared" ca="1" si="42"/>
        <v>"2084008053" : "Làm đẹp, tóc và trang điểm",</v>
      </c>
    </row>
    <row r="2737" spans="1:6" ht="15.75" customHeight="1">
      <c r="A2737" s="18">
        <v>2084039577</v>
      </c>
      <c r="B2737" s="18" t="s">
        <v>20274</v>
      </c>
      <c r="C2737" s="18" t="s">
        <v>20275</v>
      </c>
      <c r="D2737" s="5" t="str">
        <f ca="1">IFERROR(__xludf.DUMMYFUNCTION("GOOGLETRANSLATE(B2737,""ja"",""vi"")"),"KIỂM TRA MATE")</f>
        <v>KIỂM TRA MATE</v>
      </c>
      <c r="E2737" s="5" t="str">
        <f ca="1">IFERROR(__xludf.DUMMYFUNCTION("GOOGLETRANSLATE(C2737,""ja"",""vi"")"),"Đấu giá&gt; cuốn sách, tạp chí&gt; Tạp chí&gt; thời trang&gt; man&gt; KIỂM TRA MATE")</f>
        <v>Đấu giá&gt; cuốn sách, tạp chí&gt; Tạp chí&gt; thời trang&gt; man&gt; KIỂM TRA MATE</v>
      </c>
      <c r="F2737" t="str">
        <f t="shared" ca="1" si="42"/>
        <v>"2084039577" : "KIỂM TRA MATE",</v>
      </c>
    </row>
    <row r="2738" spans="1:6" ht="15.75" customHeight="1">
      <c r="A2738" s="18">
        <v>2084039576</v>
      </c>
      <c r="B2738" s="18" t="s">
        <v>20276</v>
      </c>
      <c r="C2738" s="18" t="s">
        <v>20278</v>
      </c>
      <c r="D2738" s="5" t="str">
        <f ca="1">IFERROR(__xludf.DUMMYFUNCTION("GOOGLETRANSLATE(B2738,""ja"",""vi"")"),"FINEBOYS")</f>
        <v>FINEBOYS</v>
      </c>
      <c r="E2738" s="5" t="str">
        <f ca="1">IFERROR(__xludf.DUMMYFUNCTION("GOOGLETRANSLATE(C2738,""ja"",""vi"")"),"Đấu giá&gt; cuốn sách, tạp chí&gt; Tạp chí&gt; Thời trang&gt; Đàn ông&gt; FINEBOYS")</f>
        <v>Đấu giá&gt; cuốn sách, tạp chí&gt; Tạp chí&gt; Thời trang&gt; Đàn ông&gt; FINEBOYS</v>
      </c>
      <c r="F2738" t="str">
        <f t="shared" ca="1" si="42"/>
        <v>"2084039576" : "FINEBOYS",</v>
      </c>
    </row>
    <row r="2739" spans="1:6" ht="15.75" customHeight="1">
      <c r="A2739" s="18">
        <v>2084039573</v>
      </c>
      <c r="B2739" s="18" t="s">
        <v>20282</v>
      </c>
      <c r="C2739" s="18" t="s">
        <v>20284</v>
      </c>
      <c r="D2739" s="5" t="str">
        <f ca="1">IFERROR(__xludf.DUMMYFUNCTION("GOOGLETRANSLATE(B2739,""ja"",""vi"")"),"MEN'S CLUB")</f>
        <v>MEN'S CLUB</v>
      </c>
      <c r="E2739" s="5" t="str">
        <f ca="1">IFERROR(__xludf.DUMMYFUNCTION("GOOGLETRANSLATE(C2739,""ja"",""vi"")"),"Đấu giá&gt; cuốn sách, tạp chí&gt; Tạp chí&gt; thời trang&gt; man&gt; MEN'S CLUB")</f>
        <v>Đấu giá&gt; cuốn sách, tạp chí&gt; Tạp chí&gt; thời trang&gt; man&gt; MEN'S CLUB</v>
      </c>
      <c r="F2739" t="str">
        <f t="shared" ca="1" si="42"/>
        <v>"2084039573" : "MEN'S CLUB",</v>
      </c>
    </row>
    <row r="2740" spans="1:6" ht="15.75" customHeight="1">
      <c r="A2740" s="18">
        <v>2084039574</v>
      </c>
      <c r="B2740" s="18" t="s">
        <v>20287</v>
      </c>
      <c r="C2740" s="18" t="s">
        <v>20289</v>
      </c>
      <c r="D2740" s="5" t="str">
        <f ca="1">IFERROR(__xludf.DUMMYFUNCTION("GOOGLETRANSLATE(B2740,""ja"",""vi"")"),"MEN'S NON-NO")</f>
        <v>MEN'S NON-NO</v>
      </c>
      <c r="E2740" s="5" t="str">
        <f ca="1">IFERROR(__xludf.DUMMYFUNCTION("GOOGLETRANSLATE(C2740,""ja"",""vi"")"),"Đấu giá&gt; cuốn sách, tạp chí&gt; Tạp chí&gt; thời trang&gt; man&gt; MEN'S NON-NO")</f>
        <v>Đấu giá&gt; cuốn sách, tạp chí&gt; Tạp chí&gt; thời trang&gt; man&gt; MEN'S NON-NO</v>
      </c>
      <c r="F2740" t="str">
        <f t="shared" ca="1" si="42"/>
        <v>"2084039574" : "MEN'S NON-NO",</v>
      </c>
    </row>
    <row r="2741" spans="1:6" ht="15.75" customHeight="1">
      <c r="A2741" s="18">
        <v>2084039575</v>
      </c>
      <c r="B2741" s="18" t="s">
        <v>20292</v>
      </c>
      <c r="C2741" s="18" t="s">
        <v>20294</v>
      </c>
      <c r="D2741" s="5" t="str">
        <f ca="1">IFERROR(__xludf.DUMMYFUNCTION("GOOGLETRANSLATE(B2741,""ja"",""vi"")"),"MR.High thời trang")</f>
        <v>MR.High thời trang</v>
      </c>
      <c r="E2741" s="5" t="str">
        <f ca="1">IFERROR(__xludf.DUMMYFUNCTION("GOOGLETRANSLATE(C2741,""ja"",""vi"")"),"Đấu giá&gt; cuốn sách, tạp chí&gt; Tạp chí&gt; Thời trang&gt; Đàn ông&gt; MR.High thời trang")</f>
        <v>Đấu giá&gt; cuốn sách, tạp chí&gt; Tạp chí&gt; Thời trang&gt; Đàn ông&gt; MR.High thời trang</v>
      </c>
      <c r="F2741" t="str">
        <f t="shared" ca="1" si="42"/>
        <v>"2084039575" : "MR.High thời trang",</v>
      </c>
    </row>
    <row r="2742" spans="1:6" ht="15.75" customHeight="1">
      <c r="A2742" s="18">
        <v>2084039578</v>
      </c>
      <c r="B2742" s="18" t="s">
        <v>46</v>
      </c>
      <c r="C2742" s="18" t="s">
        <v>20300</v>
      </c>
      <c r="D2742" s="5" t="str">
        <f ca="1">IFERROR(__xludf.DUMMYFUNCTION("GOOGLETRANSLATE(B2742,""ja"",""vi"")"),"nếu không thì")</f>
        <v>nếu không thì</v>
      </c>
      <c r="E2742" s="5" t="str">
        <f ca="1">IFERROR(__xludf.DUMMYFUNCTION("GOOGLETRANSLATE(C2742,""ja"",""vi"")"),"Đấu giá&gt; cuốn sách, tạp chí&gt; Tạp chí&gt; Thời trang&gt; Đàn ông&gt; Khác")</f>
        <v>Đấu giá&gt; cuốn sách, tạp chí&gt; Tạp chí&gt; Thời trang&gt; Đàn ông&gt; Khác</v>
      </c>
      <c r="F2742" t="str">
        <f t="shared" ca="1" si="42"/>
        <v>"2084039578" : "nếu không thì",</v>
      </c>
    </row>
    <row r="2743" spans="1:6" ht="15.75" customHeight="1">
      <c r="A2743" s="18">
        <v>2084311486</v>
      </c>
      <c r="B2743" s="18" t="s">
        <v>4</v>
      </c>
      <c r="C2743" s="18" t="s">
        <v>5</v>
      </c>
      <c r="D2743" s="5" t="str">
        <f ca="1">IFERROR(__xludf.DUMMYFUNCTION("GOOGLETRANSLATE(B2743,""ja"",""vi"")"),"bộ trang phục")</f>
        <v>bộ trang phục</v>
      </c>
      <c r="E2743" s="5" t="str">
        <f ca="1">IFERROR(__xludf.DUMMYFUNCTION("GOOGLETRANSLATE(C2743,""ja"",""vi"")"),"Đấu giá&gt; truyện tranh, phim hoạt hình hàng hóa&gt; Cosplay Trang phục&gt; truyện tranh, hoạt hình, trò chơi nhân vật&gt; bộ trang phục")</f>
        <v>Đấu giá&gt; truyện tranh, phim hoạt hình hàng hóa&gt; Cosplay Trang phục&gt; truyện tranh, hoạt hình, trò chơi nhân vật&gt; bộ trang phục</v>
      </c>
      <c r="F2743" t="str">
        <f t="shared" ca="1" si="42"/>
        <v>"2084311486" : "bộ trang phục",</v>
      </c>
    </row>
    <row r="2744" spans="1:6" ht="15.75" customHeight="1">
      <c r="A2744" s="18">
        <v>2084311485</v>
      </c>
      <c r="B2744" s="18" t="s">
        <v>7</v>
      </c>
      <c r="C2744" s="18" t="s">
        <v>8</v>
      </c>
      <c r="D2744" s="5" t="str">
        <f ca="1">IFERROR(__xludf.DUMMYFUNCTION("GOOGLETRANSLATE(B2744,""ja"",""vi"")"),"cosplay trang phục")</f>
        <v>cosplay trang phục</v>
      </c>
      <c r="E2744" s="5" t="str">
        <f ca="1">IFERROR(__xludf.DUMMYFUNCTION("GOOGLETRANSLATE(C2744,""ja"",""vi"")"),"Đấu giá&gt; truyện tranh, phim hoạt hình hàng hóa&gt; Cosplay Trang phục&gt; truyện tranh, hoạt hình, nhân vật game&gt; Costume")</f>
        <v>Đấu giá&gt; truyện tranh, phim hoạt hình hàng hóa&gt; Cosplay Trang phục&gt; truyện tranh, hoạt hình, nhân vật game&gt; Costume</v>
      </c>
      <c r="F2744" t="str">
        <f t="shared" ca="1" si="42"/>
        <v>"2084311485" : "cosplay trang phục",</v>
      </c>
    </row>
    <row r="2745" spans="1:6" ht="15.75" customHeight="1">
      <c r="A2745" s="18">
        <v>2084311488</v>
      </c>
      <c r="B2745" s="18" t="s">
        <v>14</v>
      </c>
      <c r="C2745" s="18" t="s">
        <v>17</v>
      </c>
      <c r="D2745" s="5" t="str">
        <f ca="1">IFERROR(__xludf.DUMMYFUNCTION("GOOGLETRANSLATE(B2745,""ja"",""vi"")"),"nội")</f>
        <v>nội</v>
      </c>
      <c r="E2745" s="5" t="str">
        <f ca="1">IFERROR(__xludf.DUMMYFUNCTION("GOOGLETRANSLATE(C2745,""ja"",""vi"")"),"Đấu giá&gt; truyện tranh, phim hoạt hình hàng hóa&gt; Cosplay Trang phục&gt; truyện tranh, hoạt hình, nhân vật game&gt; nội")</f>
        <v>Đấu giá&gt; truyện tranh, phim hoạt hình hàng hóa&gt; Cosplay Trang phục&gt; truyện tranh, hoạt hình, nhân vật game&gt; nội</v>
      </c>
      <c r="F2745" t="str">
        <f t="shared" ca="1" si="42"/>
        <v>"2084311488" : "nội",</v>
      </c>
    </row>
    <row r="2746" spans="1:6" ht="15.75" customHeight="1">
      <c r="A2746" s="18">
        <v>2084311487</v>
      </c>
      <c r="B2746" s="18" t="s">
        <v>19</v>
      </c>
      <c r="C2746" s="18" t="s">
        <v>20</v>
      </c>
      <c r="D2746" s="5" t="str">
        <f ca="1">IFERROR(__xludf.DUMMYFUNCTION("GOOGLETRANSLATE(B2746,""ja"",""vi"")"),"Giày, giày")</f>
        <v>Giày, giày</v>
      </c>
      <c r="E2746" s="5" t="str">
        <f ca="1">IFERROR(__xludf.DUMMYFUNCTION("GOOGLETRANSLATE(C2746,""ja"",""vi"")"),"Đấu giá&gt; truyện tranh, phim hoạt hình hàng hóa&gt; Trang phục Cosplay&gt; truyện tranh, hoạt hình, trò chơi nhân vật&gt; giày, giày")</f>
        <v>Đấu giá&gt; truyện tranh, phim hoạt hình hàng hóa&gt; Trang phục Cosplay&gt; truyện tranh, hoạt hình, trò chơi nhân vật&gt; giày, giày</v>
      </c>
      <c r="F2746" t="str">
        <f t="shared" ca="1" si="42"/>
        <v>"2084311487" : "Giày, giày",</v>
      </c>
    </row>
    <row r="2747" spans="1:6" ht="15.75" customHeight="1">
      <c r="A2747" s="18">
        <v>2084311489</v>
      </c>
      <c r="B2747" s="18" t="s">
        <v>22</v>
      </c>
      <c r="C2747" s="18" t="s">
        <v>24</v>
      </c>
      <c r="D2747" s="5" t="str">
        <f ca="1">IFERROR(__xludf.DUMMYFUNCTION("GOOGLETRANSLATE(B2747,""ja"",""vi"")"),"Phụ kiện, phụ kiện")</f>
        <v>Phụ kiện, phụ kiện</v>
      </c>
      <c r="E2747" s="5" t="str">
        <f ca="1">IFERROR(__xludf.DUMMYFUNCTION("GOOGLETRANSLATE(C2747,""ja"",""vi"")"),"Đấu giá&gt; truyện tranh, phim hoạt hình hàng hóa&gt; Trang phục Cosplay&gt; truyện tranh, hoạt hình, trò chơi nhân vật&gt; Phụ kiện, phụ kiện")</f>
        <v>Đấu giá&gt; truyện tranh, phim hoạt hình hàng hóa&gt; Trang phục Cosplay&gt; truyện tranh, hoạt hình, trò chơi nhân vật&gt; Phụ kiện, phụ kiện</v>
      </c>
      <c r="F2747" t="str">
        <f t="shared" ca="1" si="42"/>
        <v>"2084311489" : "Phụ kiện, phụ kiện",</v>
      </c>
    </row>
    <row r="2748" spans="1:6" ht="15.75" customHeight="1">
      <c r="A2748" s="18">
        <v>2084311490</v>
      </c>
      <c r="B2748" s="18" t="s">
        <v>32</v>
      </c>
      <c r="C2748" s="18" t="s">
        <v>33</v>
      </c>
      <c r="D2748" s="5" t="str">
        <f ca="1">IFERROR(__xludf.DUMMYFUNCTION("GOOGLETRANSLATE(B2748,""ja"",""vi"")"),"Chobutsu")</f>
        <v>Chobutsu</v>
      </c>
      <c r="E2748" s="5" t="str">
        <f ca="1">IFERROR(__xludf.DUMMYFUNCTION("GOOGLETRANSLATE(C2748,""ja"",""vi"")"),"Đấu giá&gt; truyện tranh, phim hoạt hình hàng hóa&gt; Cosplay Trang phục&gt; truyện tranh, hoạt hình, nhân vật game&gt; Chobutsu")</f>
        <v>Đấu giá&gt; truyện tranh, phim hoạt hình hàng hóa&gt; Cosplay Trang phục&gt; truyện tranh, hoạt hình, nhân vật game&gt; Chobutsu</v>
      </c>
      <c r="F2748" t="str">
        <f t="shared" ca="1" si="42"/>
        <v>"2084311490" : "Chobutsu",</v>
      </c>
    </row>
    <row r="2749" spans="1:6" ht="15.75" customHeight="1">
      <c r="A2749" s="18">
        <v>2084311491</v>
      </c>
      <c r="B2749" s="18" t="s">
        <v>37</v>
      </c>
      <c r="C2749" s="18" t="s">
        <v>39</v>
      </c>
      <c r="D2749" s="5" t="str">
        <f ca="1">IFERROR(__xludf.DUMMYFUNCTION("GOOGLETRANSLATE(B2749,""ja"",""vi"")"),"tóc giả")</f>
        <v>tóc giả</v>
      </c>
      <c r="E2749" s="5" t="str">
        <f ca="1">IFERROR(__xludf.DUMMYFUNCTION("GOOGLETRANSLATE(C2749,""ja"",""vi"")"),"Đấu giá&gt; truyện tranh, phim hoạt hình hàng hóa&gt; Cosplay Trang phục&gt; truyện tranh, hoạt hình, nhân vật game&gt; Wig")</f>
        <v>Đấu giá&gt; truyện tranh, phim hoạt hình hàng hóa&gt; Cosplay Trang phục&gt; truyện tranh, hoạt hình, nhân vật game&gt; Wig</v>
      </c>
      <c r="F2749" t="str">
        <f t="shared" ca="1" si="42"/>
        <v>"2084311491" : "tóc giả",</v>
      </c>
    </row>
    <row r="2750" spans="1:6" ht="15.75" customHeight="1">
      <c r="A2750" s="18">
        <v>2084311492</v>
      </c>
      <c r="B2750" s="18" t="s">
        <v>46</v>
      </c>
      <c r="C2750" s="18" t="s">
        <v>48</v>
      </c>
      <c r="D2750" s="5" t="str">
        <f ca="1">IFERROR(__xludf.DUMMYFUNCTION("GOOGLETRANSLATE(B2750,""ja"",""vi"")"),"nếu không thì")</f>
        <v>nếu không thì</v>
      </c>
      <c r="E2750" s="5" t="str">
        <f ca="1">IFERROR(__xludf.DUMMYFUNCTION("GOOGLETRANSLATE(C2750,""ja"",""vi"")"),"Đấu giá&gt; truyện tranh, phim hoạt hình hàng hóa&gt; Trang phục Cosplay&gt; truyện tranh, hoạt hình, nhân vật trò chơi&gt; Khác")</f>
        <v>Đấu giá&gt; truyện tranh, phim hoạt hình hàng hóa&gt; Trang phục Cosplay&gt; truyện tranh, hoạt hình, nhân vật trò chơi&gt; Khác</v>
      </c>
      <c r="F2750" t="str">
        <f t="shared" ca="1" si="42"/>
        <v>"2084311492" : "nếu không thì",</v>
      </c>
    </row>
  </sheetData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9"/>
  <sheetViews>
    <sheetView workbookViewId="0">
      <selection activeCell="G2" sqref="G2"/>
    </sheetView>
  </sheetViews>
  <sheetFormatPr defaultColWidth="12.59765625" defaultRowHeight="15" customHeight="1"/>
  <cols>
    <col min="1" max="1" width="8.19921875" customWidth="1"/>
    <col min="2" max="2" width="14.3984375" customWidth="1"/>
    <col min="3" max="3" width="37.19921875" customWidth="1"/>
    <col min="4" max="4" width="25.69921875" customWidth="1"/>
    <col min="5" max="5" width="7.59765625" customWidth="1"/>
    <col min="6" max="6" width="45.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2084047644</v>
      </c>
      <c r="B2" s="2" t="s">
        <v>13396</v>
      </c>
      <c r="C2" s="2" t="s">
        <v>13397</v>
      </c>
      <c r="D2" s="2" t="s">
        <v>13399</v>
      </c>
      <c r="E2" s="5" t="str">
        <f ca="1">IFERROR(__xludf.DUMMYFUNCTION("GOOGLETRANSLATE(B2,""ja"",""vi"")"),"Tã")</f>
        <v>Tã</v>
      </c>
      <c r="F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" t="str">
        <f ca="1">CONCATENATE(CHAR(34)&amp;"",A2,""&amp;CHAR(34)," : ", CHAR(34)&amp;"",E2,""&amp;CHAR(34),",")</f>
        <v>"2084047644" : "Tã",</v>
      </c>
    </row>
    <row r="3" spans="1:7" ht="14.25" customHeight="1">
      <c r="A3" s="2">
        <v>2084047645</v>
      </c>
      <c r="B3" s="2" t="s">
        <v>13405</v>
      </c>
      <c r="C3" s="2" t="s">
        <v>13406</v>
      </c>
      <c r="D3" s="2" t="s">
        <v>13409</v>
      </c>
      <c r="E3" s="5" t="str">
        <f ca="1">IFERROR(__xludf.DUMMYFUNCTION("GOOGLETRANSLATE(B3,""ja"",""vi"")"),"vải Tã")</f>
        <v>vải Tã</v>
      </c>
      <c r="F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" t="str">
        <f t="shared" ref="G3:G66" ca="1" si="0">CONCATENATE(CHAR(34)&amp;"",A3,""&amp;CHAR(34)," : ", CHAR(34)&amp;"",E3,""&amp;CHAR(34),",")</f>
        <v>"2084047645" : "vải Tã",</v>
      </c>
    </row>
    <row r="4" spans="1:7" ht="14.25" customHeight="1">
      <c r="A4" s="11">
        <v>2084045577</v>
      </c>
      <c r="B4" s="11" t="s">
        <v>8148</v>
      </c>
      <c r="C4" s="11" t="s">
        <v>8149</v>
      </c>
      <c r="D4" s="11" t="s">
        <v>13411</v>
      </c>
      <c r="E4" s="5" t="str">
        <f ca="1">IFERROR(__xludf.DUMMYFUNCTION("GOOGLETRANSLATE(B4,""ja"",""vi"")"),"Nhân vật, lời nói")</f>
        <v>Nhân vật, lời nói</v>
      </c>
      <c r="F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" t="str">
        <f t="shared" ca="1" si="0"/>
        <v>"2084045577" : "Nhân vật, lời nói",</v>
      </c>
    </row>
    <row r="5" spans="1:7" ht="14.25" customHeight="1">
      <c r="A5" s="2">
        <v>2084045578</v>
      </c>
      <c r="B5" s="2" t="s">
        <v>8150</v>
      </c>
      <c r="C5" s="2" t="s">
        <v>8152</v>
      </c>
      <c r="D5" s="2" t="s">
        <v>13414</v>
      </c>
      <c r="E5" s="5" t="str">
        <f ca="1">IFERROR(__xludf.DUMMYFUNCTION("GOOGLETRANSLATE(B5,""ja"",""vi"")"),"Kazu, tính toán")</f>
        <v>Kazu, tính toán</v>
      </c>
      <c r="F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" t="str">
        <f t="shared" ca="1" si="0"/>
        <v>"2084045578" : "Kazu, tính toán",</v>
      </c>
    </row>
    <row r="6" spans="1:7" ht="14.25" customHeight="1">
      <c r="A6" s="2">
        <v>2084045579</v>
      </c>
      <c r="B6" s="2" t="s">
        <v>8153</v>
      </c>
      <c r="C6" s="2" t="s">
        <v>8154</v>
      </c>
      <c r="D6" s="2" t="s">
        <v>13418</v>
      </c>
      <c r="E6" s="5" t="str">
        <f ca="1">IFERROR(__xludf.DUMMYFUNCTION("GOOGLETRANSLATE(B6,""ja"",""vi"")"),"Nhịp điệu, âm nhạc")</f>
        <v>Nhịp điệu, âm nhạc</v>
      </c>
      <c r="F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" t="str">
        <f t="shared" ca="1" si="0"/>
        <v>"2084045579" : "Nhịp điệu, âm nhạc",</v>
      </c>
    </row>
    <row r="7" spans="1:7" ht="14.25" customHeight="1">
      <c r="A7" s="2">
        <v>2084045580</v>
      </c>
      <c r="B7" s="2" t="s">
        <v>5773</v>
      </c>
      <c r="C7" s="2" t="s">
        <v>8156</v>
      </c>
      <c r="D7" s="2" t="s">
        <v>13422</v>
      </c>
      <c r="E7" s="5" t="str">
        <f ca="1">IFERROR(__xludf.DUMMYFUNCTION("GOOGLETRANSLATE(B7,""ja"",""vi"")"),"Anh")</f>
        <v>Anh</v>
      </c>
      <c r="F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" t="str">
        <f t="shared" ca="1" si="0"/>
        <v>"2084045580" : "Anh",</v>
      </c>
    </row>
    <row r="8" spans="1:7" ht="14.25" customHeight="1">
      <c r="A8" s="2">
        <v>2084044884</v>
      </c>
      <c r="B8" s="2" t="s">
        <v>8010</v>
      </c>
      <c r="C8" s="2" t="s">
        <v>8158</v>
      </c>
      <c r="D8" s="2" t="s">
        <v>13426</v>
      </c>
      <c r="E8" s="5" t="str">
        <f ca="1">IFERROR(__xludf.DUMMYFUNCTION("GOOGLETRANSLATE(B8,""ja"",""vi"")"),"Carta")</f>
        <v>Carta</v>
      </c>
      <c r="F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" t="str">
        <f t="shared" ca="1" si="0"/>
        <v>"2084044884" : "Carta",</v>
      </c>
    </row>
    <row r="9" spans="1:7" ht="14.25" customHeight="1">
      <c r="A9" s="2">
        <v>26018</v>
      </c>
      <c r="B9" s="2" t="s">
        <v>5041</v>
      </c>
      <c r="C9" s="2" t="s">
        <v>8160</v>
      </c>
      <c r="D9" s="2" t="s">
        <v>13430</v>
      </c>
      <c r="E9" s="5" t="str">
        <f ca="1">IFERROR(__xludf.DUMMYFUNCTION("GOOGLETRANSLATE(B9,""ja"",""vi"")"),"Puzzle")</f>
        <v>Puzzle</v>
      </c>
      <c r="F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" t="str">
        <f t="shared" ca="1" si="0"/>
        <v>"26018" : "Puzzle",</v>
      </c>
    </row>
    <row r="10" spans="1:7" ht="14.25" customHeight="1">
      <c r="A10" s="2">
        <v>40510</v>
      </c>
      <c r="B10" s="2" t="s">
        <v>8161</v>
      </c>
      <c r="C10" s="2" t="s">
        <v>8162</v>
      </c>
      <c r="D10" s="2" t="s">
        <v>13434</v>
      </c>
      <c r="E10" s="5" t="str">
        <f ca="1">IFERROR(__xludf.DUMMYFUNCTION("GOOGLETRANSLATE(B10,""ja"",""vi"")"),"Khối, các khối xây dựng")</f>
        <v>Khối, các khối xây dựng</v>
      </c>
      <c r="F1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" t="str">
        <f t="shared" ca="1" si="0"/>
        <v>"40510" : "Khối, các khối xây dựng",</v>
      </c>
    </row>
    <row r="11" spans="1:7" ht="14.25" customHeight="1">
      <c r="A11" s="2">
        <v>2084008619</v>
      </c>
      <c r="B11" s="2" t="s">
        <v>8164</v>
      </c>
      <c r="C11" s="2" t="s">
        <v>8165</v>
      </c>
      <c r="D11" s="2" t="s">
        <v>13438</v>
      </c>
      <c r="E11" s="5" t="str">
        <f ca="1">IFERROR(__xludf.DUMMYFUNCTION("GOOGLETRANSLATE(B11,""ja"",""vi"")"),"sách nghiên cứu")</f>
        <v>sách nghiên cứu</v>
      </c>
      <c r="F1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" t="str">
        <f t="shared" ca="1" si="0"/>
        <v>"2084008619" : "sách nghiên cứu",</v>
      </c>
    </row>
    <row r="12" spans="1:7" ht="14.25" customHeight="1">
      <c r="A12" s="2">
        <v>2084008647</v>
      </c>
      <c r="B12" s="2" t="s">
        <v>6088</v>
      </c>
      <c r="C12" s="2" t="s">
        <v>8168</v>
      </c>
      <c r="D12" s="2" t="s">
        <v>13442</v>
      </c>
      <c r="E12" s="5" t="str">
        <f ca="1">IFERROR(__xludf.DUMMYFUNCTION("GOOGLETRANSLATE(B12,""ja"",""vi"")"),"cuốn truyện tranh giáo dục, học tập cuốn sách")</f>
        <v>cuốn truyện tranh giáo dục, học tập cuốn sách</v>
      </c>
      <c r="F1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" t="str">
        <f t="shared" ca="1" si="0"/>
        <v>"2084008647" : "cuốn truyện tranh giáo dục, học tập cuốn sách",</v>
      </c>
    </row>
    <row r="13" spans="1:7" ht="14.25" customHeight="1">
      <c r="A13" s="2">
        <v>2084045581</v>
      </c>
      <c r="B13" s="2" t="s">
        <v>46</v>
      </c>
      <c r="C13" s="2" t="s">
        <v>8169</v>
      </c>
      <c r="D13" s="2" t="s">
        <v>13445</v>
      </c>
      <c r="E13" s="5" t="str">
        <f ca="1">IFERROR(__xludf.DUMMYFUNCTION("GOOGLETRANSLATE(B13,""ja"",""vi"")"),"nếu không thì")</f>
        <v>nếu không thì</v>
      </c>
      <c r="F1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" t="str">
        <f t="shared" ca="1" si="0"/>
        <v>"2084045581" : "nếu không thì",</v>
      </c>
    </row>
    <row r="14" spans="1:7" ht="14.25" customHeight="1">
      <c r="A14" s="11">
        <v>2084242663</v>
      </c>
      <c r="B14" s="11" t="s">
        <v>13446</v>
      </c>
      <c r="C14" s="11" t="s">
        <v>13447</v>
      </c>
      <c r="D14" s="11" t="s">
        <v>13448</v>
      </c>
      <c r="E14" s="5" t="str">
        <f ca="1">IFERROR(__xludf.DUMMYFUNCTION("GOOGLETRANSLATE(B14,""ja"",""vi"")"),"Aprica")</f>
        <v>Aprica</v>
      </c>
      <c r="F1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" t="str">
        <f t="shared" ca="1" si="0"/>
        <v>"2084242663" : "Aprica",</v>
      </c>
    </row>
    <row r="15" spans="1:7" ht="14.25" customHeight="1">
      <c r="A15" s="2">
        <v>2084242664</v>
      </c>
      <c r="B15" s="2" t="s">
        <v>13452</v>
      </c>
      <c r="C15" s="2" t="s">
        <v>13453</v>
      </c>
      <c r="D15" s="2" t="s">
        <v>13454</v>
      </c>
      <c r="E15" s="5" t="str">
        <f ca="1">IFERROR(__xludf.DUMMYFUNCTION("GOOGLETRANSLATE(B15,""ja"",""vi"")"),"phối hợp")</f>
        <v>phối hợp</v>
      </c>
      <c r="F1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" t="str">
        <f t="shared" ca="1" si="0"/>
        <v>"2084242664" : "phối hợp",</v>
      </c>
    </row>
    <row r="16" spans="1:7" ht="14.25" customHeight="1">
      <c r="A16" s="2">
        <v>2084242665</v>
      </c>
      <c r="B16" s="2" t="s">
        <v>13457</v>
      </c>
      <c r="C16" s="2" t="s">
        <v>13459</v>
      </c>
      <c r="D16" s="2" t="s">
        <v>13460</v>
      </c>
      <c r="E16" s="5" t="str">
        <f ca="1">IFERROR(__xludf.DUMMYFUNCTION("GOOGLETRANSLATE(B16,""ja"",""vi"")"),"Recaro")</f>
        <v>Recaro</v>
      </c>
      <c r="F1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6" t="str">
        <f t="shared" ca="1" si="0"/>
        <v>"2084242665" : "Recaro",</v>
      </c>
    </row>
    <row r="17" spans="1:7" ht="14.25" customHeight="1">
      <c r="A17" s="2">
        <v>2084242666</v>
      </c>
      <c r="B17" s="2" t="s">
        <v>46</v>
      </c>
      <c r="C17" s="2" t="s">
        <v>13465</v>
      </c>
      <c r="D17" s="2" t="s">
        <v>13467</v>
      </c>
      <c r="E17" s="5" t="str">
        <f ca="1">IFERROR(__xludf.DUMMYFUNCTION("GOOGLETRANSLATE(B17,""ja"",""vi"")"),"nếu không thì")</f>
        <v>nếu không thì</v>
      </c>
      <c r="F1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7" t="str">
        <f t="shared" ca="1" si="0"/>
        <v>"2084242666" : "nếu không thì",</v>
      </c>
    </row>
    <row r="18" spans="1:7" ht="14.25" customHeight="1">
      <c r="A18" s="11">
        <v>2084006332</v>
      </c>
      <c r="B18" s="11" t="s">
        <v>13469</v>
      </c>
      <c r="C18" s="11" t="s">
        <v>13470</v>
      </c>
      <c r="D18" s="11" t="s">
        <v>13471</v>
      </c>
      <c r="E18" s="5" t="str">
        <f ca="1">IFERROR(__xludf.DUMMYFUNCTION("GOOGLETRANSLATE(B18,""ja"",""vi"")"),"khăn tay")</f>
        <v>khăn tay</v>
      </c>
      <c r="F1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8" t="str">
        <f t="shared" ca="1" si="0"/>
        <v>"2084006332" : "khăn tay",</v>
      </c>
    </row>
    <row r="19" spans="1:7" ht="14.25" customHeight="1">
      <c r="A19" s="2">
        <v>2084006331</v>
      </c>
      <c r="B19" s="2" t="s">
        <v>13474</v>
      </c>
      <c r="C19" s="2" t="s">
        <v>13476</v>
      </c>
      <c r="D19" s="2" t="s">
        <v>13477</v>
      </c>
      <c r="E19" s="5" t="str">
        <f ca="1">IFERROR(__xludf.DUMMYFUNCTION("GOOGLETRANSLATE(B19,""ja"",""vi"")"),"Khăn tắm, khăn tắm")</f>
        <v>Khăn tắm, khăn tắm</v>
      </c>
      <c r="F1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9" t="str">
        <f t="shared" ca="1" si="0"/>
        <v>"2084006331" : "Khăn tắm, khăn tắm",</v>
      </c>
    </row>
    <row r="20" spans="1:7" ht="14.25" customHeight="1">
      <c r="A20" s="2">
        <v>2084006333</v>
      </c>
      <c r="B20" s="2" t="s">
        <v>13479</v>
      </c>
      <c r="C20" s="2" t="s">
        <v>13482</v>
      </c>
      <c r="D20" s="2" t="s">
        <v>13483</v>
      </c>
      <c r="E20" s="5" t="str">
        <f ca="1">IFERROR(__xludf.DUMMYFUNCTION("GOOGLETRANSLATE(B20,""ja"",""vi"")"),"Khăn mặt")</f>
        <v>Khăn mặt</v>
      </c>
      <c r="F2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0" t="str">
        <f t="shared" ca="1" si="0"/>
        <v>"2084006333" : "Khăn mặt",</v>
      </c>
    </row>
    <row r="21" spans="1:7" ht="14.25" customHeight="1">
      <c r="A21" s="2">
        <v>2084006337</v>
      </c>
      <c r="B21" s="2" t="s">
        <v>46</v>
      </c>
      <c r="C21" s="2" t="s">
        <v>13487</v>
      </c>
      <c r="D21" s="2" t="s">
        <v>13488</v>
      </c>
      <c r="E21" s="5" t="str">
        <f ca="1">IFERROR(__xludf.DUMMYFUNCTION("GOOGLETRANSLATE(B21,""ja"",""vi"")"),"nếu không thì")</f>
        <v>nếu không thì</v>
      </c>
      <c r="F2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1" t="str">
        <f t="shared" ca="1" si="0"/>
        <v>"2084006337" : "nếu không thì",</v>
      </c>
    </row>
    <row r="22" spans="1:7" ht="14.25" customHeight="1">
      <c r="A22" s="11">
        <v>2084202547</v>
      </c>
      <c r="B22" s="11" t="s">
        <v>13490</v>
      </c>
      <c r="C22" s="11" t="s">
        <v>13491</v>
      </c>
      <c r="D22" s="11" t="s">
        <v>13492</v>
      </c>
      <c r="E22" s="5" t="str">
        <f ca="1">IFERROR(__xludf.DUMMYFUNCTION("GOOGLETRANSLATE(B22,""ja"",""vi"")"),"chiều cao cố định")</f>
        <v>chiều cao cố định</v>
      </c>
      <c r="F2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2" t="str">
        <f t="shared" ca="1" si="0"/>
        <v>"2084202547" : "chiều cao cố định",</v>
      </c>
    </row>
    <row r="23" spans="1:7" ht="14.25" customHeight="1">
      <c r="A23" s="2">
        <v>2084202546</v>
      </c>
      <c r="B23" s="2" t="s">
        <v>13495</v>
      </c>
      <c r="C23" s="2" t="s">
        <v>13496</v>
      </c>
      <c r="D23" s="2" t="s">
        <v>13497</v>
      </c>
      <c r="E23" s="5" t="str">
        <f ca="1">IFERROR(__xludf.DUMMYFUNCTION("GOOGLETRANSLATE(B23,""ja"",""vi"")"),"Với chức năng điều chỉnh độ cao")</f>
        <v>Với chức năng điều chỉnh độ cao</v>
      </c>
      <c r="F2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3" t="str">
        <f t="shared" ca="1" si="0"/>
        <v>"2084202546" : "Với chức năng điều chỉnh độ cao",</v>
      </c>
    </row>
    <row r="24" spans="1:7" ht="14.25" customHeight="1">
      <c r="A24" s="11">
        <v>2084053188</v>
      </c>
      <c r="B24" s="11" t="s">
        <v>13501</v>
      </c>
      <c r="C24" s="11" t="s">
        <v>13502</v>
      </c>
      <c r="D24" s="11" t="s">
        <v>13503</v>
      </c>
      <c r="E24" s="5" t="str">
        <f ca="1">IFERROR(__xludf.DUMMYFUNCTION("GOOGLETRANSLATE(B24,""ja"",""vi"")"),"đồ lót Combi")</f>
        <v>đồ lót Combi</v>
      </c>
      <c r="F2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4" t="str">
        <f t="shared" ca="1" si="0"/>
        <v>"2084053188" : "đồ lót Combi",</v>
      </c>
    </row>
    <row r="25" spans="1:7" ht="14.25" customHeight="1">
      <c r="A25" s="2">
        <v>2084053189</v>
      </c>
      <c r="B25" s="2" t="s">
        <v>13504</v>
      </c>
      <c r="C25" s="2" t="s">
        <v>13506</v>
      </c>
      <c r="D25" s="2" t="s">
        <v>13509</v>
      </c>
      <c r="E25" s="5" t="str">
        <f ca="1">IFERROR(__xludf.DUMMYFUNCTION("GOOGLETRANSLATE(B25,""ja"",""vi"")"),"Wrap-up")</f>
        <v>Wrap-up</v>
      </c>
      <c r="F2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5" t="str">
        <f t="shared" ca="1" si="0"/>
        <v>"2084053189" : "Wrap-up",</v>
      </c>
    </row>
    <row r="26" spans="1:7" ht="14.25" customHeight="1">
      <c r="A26" s="2">
        <v>2084053186</v>
      </c>
      <c r="B26" s="2" t="s">
        <v>13512</v>
      </c>
      <c r="C26" s="2" t="s">
        <v>13513</v>
      </c>
      <c r="D26" s="2" t="s">
        <v>13515</v>
      </c>
      <c r="E26" s="5" t="str">
        <f ca="1">IFERROR(__xludf.DUMMYFUNCTION("GOOGLETRANSLATE(B26,""ja"",""vi"")"),"đồ lót ngắn")</f>
        <v>đồ lót ngắn</v>
      </c>
      <c r="F2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6" t="str">
        <f t="shared" ca="1" si="0"/>
        <v>"2084053186" : "đồ lót ngắn",</v>
      </c>
    </row>
    <row r="27" spans="1:7" ht="14.25" customHeight="1">
      <c r="A27" s="2">
        <v>2084053187</v>
      </c>
      <c r="B27" s="2" t="s">
        <v>13518</v>
      </c>
      <c r="C27" s="2" t="s">
        <v>13520</v>
      </c>
      <c r="D27" s="2" t="s">
        <v>13521</v>
      </c>
      <c r="E27" s="5" t="str">
        <f ca="1">IFERROR(__xludf.DUMMYFUNCTION("GOOGLETRANSLATE(B27,""ja"",""vi"")"),"đồ lót dài")</f>
        <v>đồ lót dài</v>
      </c>
      <c r="F2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7" t="str">
        <f t="shared" ca="1" si="0"/>
        <v>"2084053187" : "đồ lót dài",</v>
      </c>
    </row>
    <row r="28" spans="1:7" ht="14.25" customHeight="1">
      <c r="A28" s="2">
        <v>2084053190</v>
      </c>
      <c r="B28" s="2" t="s">
        <v>13525</v>
      </c>
      <c r="C28" s="2" t="s">
        <v>13526</v>
      </c>
      <c r="D28" s="2" t="s">
        <v>13527</v>
      </c>
      <c r="E28" s="5" t="str">
        <f ca="1">IFERROR(__xludf.DUMMYFUNCTION("GOOGLETRANSLATE(B28,""ja"",""vi"")"),"Body suit")</f>
        <v>Body suit</v>
      </c>
      <c r="F2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8" t="str">
        <f t="shared" ca="1" si="0"/>
        <v>"2084053190" : "Body suit",</v>
      </c>
    </row>
    <row r="29" spans="1:7" ht="14.25" customHeight="1">
      <c r="A29" s="2">
        <v>2084050472</v>
      </c>
      <c r="B29" s="2" t="s">
        <v>13531</v>
      </c>
      <c r="C29" s="2" t="s">
        <v>13532</v>
      </c>
      <c r="D29" s="2" t="s">
        <v>13534</v>
      </c>
      <c r="E29" s="5" t="str">
        <f ca="1">IFERROR(__xludf.DUMMYFUNCTION("GOOGLETRANSLATE(B29,""ja"",""vi"")"),"quần đào tạo")</f>
        <v>quần đào tạo</v>
      </c>
      <c r="F2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29" t="str">
        <f t="shared" ca="1" si="0"/>
        <v>"2084050472" : "quần đào tạo",</v>
      </c>
    </row>
    <row r="30" spans="1:7" ht="14.25" customHeight="1">
      <c r="A30" s="2">
        <v>2084053185</v>
      </c>
      <c r="B30" s="2" t="s">
        <v>13537</v>
      </c>
      <c r="C30" s="2" t="s">
        <v>13538</v>
      </c>
      <c r="D30" s="2" t="s">
        <v>13540</v>
      </c>
      <c r="E30" s="5" t="str">
        <f ca="1">IFERROR(__xludf.DUMMYFUNCTION("GOOGLETRANSLATE(B30,""ja"",""vi"")"),"áo lót")</f>
        <v>áo lót</v>
      </c>
      <c r="F3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0" t="str">
        <f t="shared" ca="1" si="0"/>
        <v>"2084053185" : "áo lót",</v>
      </c>
    </row>
    <row r="31" spans="1:7" ht="14.25" customHeight="1">
      <c r="A31" s="2">
        <v>2084053183</v>
      </c>
      <c r="B31" s="2" t="s">
        <v>13543</v>
      </c>
      <c r="C31" s="2" t="s">
        <v>13545</v>
      </c>
      <c r="D31" s="2" t="s">
        <v>13546</v>
      </c>
      <c r="E31" s="5" t="str">
        <f ca="1">IFERROR(__xludf.DUMMYFUNCTION("GOOGLETRANSLATE(B31,""ja"",""vi"")"),"Tóm tắt, thân")</f>
        <v>Tóm tắt, thân</v>
      </c>
      <c r="F3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1" t="str">
        <f t="shared" ca="1" si="0"/>
        <v>"2084053183" : "Tóm tắt, thân",</v>
      </c>
    </row>
    <row r="32" spans="1:7" ht="14.25" customHeight="1">
      <c r="A32" s="2">
        <v>2084053184</v>
      </c>
      <c r="B32" s="2" t="s">
        <v>13548</v>
      </c>
      <c r="C32" s="2" t="s">
        <v>13550</v>
      </c>
      <c r="D32" s="2" t="s">
        <v>13552</v>
      </c>
      <c r="E32" s="5" t="str">
        <f ca="1">IFERROR(__xludf.DUMMYFUNCTION("GOOGLETRANSLATE(B32,""ja"",""vi"")"),"Quần short cho bé gái")</f>
        <v>Quần short cho bé gái</v>
      </c>
      <c r="F3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2" t="str">
        <f t="shared" ca="1" si="0"/>
        <v>"2084053184" : "Quần short cho bé gái",</v>
      </c>
    </row>
    <row r="33" spans="1:7" ht="14.25" customHeight="1">
      <c r="A33" s="2">
        <v>2084052794</v>
      </c>
      <c r="B33" s="2" t="s">
        <v>13556</v>
      </c>
      <c r="C33" s="2" t="s">
        <v>13557</v>
      </c>
      <c r="D33" s="2" t="s">
        <v>13558</v>
      </c>
      <c r="E33" s="5" t="str">
        <f ca="1">IFERROR(__xludf.DUMMYFUNCTION("GOOGLETRANSLATE(B33,""ja"",""vi"")"),"yếm")</f>
        <v>yếm</v>
      </c>
      <c r="F3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3" t="str">
        <f t="shared" ca="1" si="0"/>
        <v>"2084052794" : "yếm",</v>
      </c>
    </row>
    <row r="34" spans="1:7" ht="14.25" customHeight="1">
      <c r="A34" s="2">
        <v>2084052796</v>
      </c>
      <c r="B34" s="2" t="s">
        <v>13562</v>
      </c>
      <c r="C34" s="2" t="s">
        <v>13565</v>
      </c>
      <c r="D34" s="2" t="s">
        <v>13567</v>
      </c>
      <c r="E34" s="5" t="str">
        <f ca="1">IFERROR(__xludf.DUMMYFUNCTION("GOOGLETRANSLATE(B34,""ja"",""vi"")"),"tie")</f>
        <v>tie</v>
      </c>
      <c r="F3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4" t="str">
        <f t="shared" ca="1" si="0"/>
        <v>"2084052796" : "tie",</v>
      </c>
    </row>
    <row r="35" spans="1:7" ht="14.25" customHeight="1">
      <c r="A35" s="2">
        <v>2084023881</v>
      </c>
      <c r="B35" s="2" t="s">
        <v>13571</v>
      </c>
      <c r="C35" s="2" t="s">
        <v>13572</v>
      </c>
      <c r="D35" s="2" t="s">
        <v>13574</v>
      </c>
      <c r="E35" s="5" t="str">
        <f ca="1">IFERROR(__xludf.DUMMYFUNCTION("GOOGLETRANSLATE(B35,""ja"",""vi"")"),"Tất cả ngắn")</f>
        <v>Tất cả ngắn</v>
      </c>
      <c r="F3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5" t="str">
        <f t="shared" ca="1" si="0"/>
        <v>"2084023881" : "Tất cả ngắn",</v>
      </c>
    </row>
    <row r="36" spans="1:7" ht="14.25" customHeight="1">
      <c r="A36" s="2">
        <v>2084023880</v>
      </c>
      <c r="B36" s="2" t="s">
        <v>13577</v>
      </c>
      <c r="C36" s="2" t="s">
        <v>13578</v>
      </c>
      <c r="D36" s="2" t="s">
        <v>13581</v>
      </c>
      <c r="E36" s="5" t="str">
        <f ca="1">IFERROR(__xludf.DUMMYFUNCTION("GOOGLETRANSLATE(B36,""ja"",""vi"")"),"Hai chiều ol, ăn mặc tất cả")</f>
        <v>Hai chiều ol, ăn mặc tất cả</v>
      </c>
      <c r="F3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6" t="str">
        <f t="shared" ca="1" si="0"/>
        <v>"2084023880" : "Hai chiều ol, ăn mặc tất cả",</v>
      </c>
    </row>
    <row r="37" spans="1:7" ht="14.25" customHeight="1">
      <c r="A37" s="2">
        <v>2084052626</v>
      </c>
      <c r="B37" s="2" t="s">
        <v>11217</v>
      </c>
      <c r="C37" s="2" t="s">
        <v>13584</v>
      </c>
      <c r="D37" s="2" t="s">
        <v>13585</v>
      </c>
      <c r="E37" s="5" t="str">
        <f ca="1">IFERROR(__xludf.DUMMYFUNCTION("GOOGLETRANSLATE(B37,""ja"",""vi"")"),"áo")</f>
        <v>áo</v>
      </c>
      <c r="F3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7" t="str">
        <f t="shared" ca="1" si="0"/>
        <v>"2084052626" : "áo",</v>
      </c>
    </row>
    <row r="38" spans="1:7" ht="14.25" customHeight="1">
      <c r="A38" s="2">
        <v>2084052629</v>
      </c>
      <c r="B38" s="2" t="s">
        <v>13313</v>
      </c>
      <c r="C38" s="2" t="s">
        <v>13589</v>
      </c>
      <c r="D38" s="2" t="s">
        <v>13591</v>
      </c>
      <c r="E38" s="5" t="str">
        <f ca="1">IFERROR(__xludf.DUMMYFUNCTION("GOOGLETRANSLATE(B38,""ja"",""vi"")"),"Jumper, blouson")</f>
        <v>Jumper, blouson</v>
      </c>
      <c r="F3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8" t="str">
        <f t="shared" ca="1" si="0"/>
        <v>"2084052629" : "Jumper, blouson",</v>
      </c>
    </row>
    <row r="39" spans="1:7" ht="14.25" customHeight="1">
      <c r="A39" s="2">
        <v>2084054849</v>
      </c>
      <c r="B39" s="2" t="s">
        <v>13292</v>
      </c>
      <c r="C39" s="2" t="s">
        <v>13596</v>
      </c>
      <c r="D39" s="2" t="s">
        <v>13598</v>
      </c>
      <c r="E39" s="5" t="str">
        <f ca="1">IFERROR(__xludf.DUMMYFUNCTION("GOOGLETRANSLATE(B39,""ja"",""vi"")"),"xuống áo khoác")</f>
        <v>xuống áo khoác</v>
      </c>
      <c r="F3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39" t="str">
        <f t="shared" ca="1" si="0"/>
        <v>"2084054849" : "xuống áo khoác",</v>
      </c>
    </row>
    <row r="40" spans="1:7" ht="14.25" customHeight="1">
      <c r="A40" s="2">
        <v>2084052829</v>
      </c>
      <c r="B40" s="2" t="s">
        <v>13269</v>
      </c>
      <c r="C40" s="2" t="s">
        <v>13602</v>
      </c>
      <c r="D40" s="2" t="s">
        <v>13604</v>
      </c>
      <c r="E40" s="5" t="str">
        <f ca="1">IFERROR(__xludf.DUMMYFUNCTION("GOOGLETRANSLATE(B40,""ja"",""vi"")"),"áo mưa")</f>
        <v>áo mưa</v>
      </c>
      <c r="F4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0" t="str">
        <f t="shared" ca="1" si="0"/>
        <v>"2084052829" : "áo mưa",</v>
      </c>
    </row>
    <row r="41" spans="1:7" ht="14.25" customHeight="1">
      <c r="A41" s="11">
        <v>2084052926</v>
      </c>
      <c r="B41" s="11" t="s">
        <v>13606</v>
      </c>
      <c r="C41" s="11" t="s">
        <v>13607</v>
      </c>
      <c r="D41" s="11" t="s">
        <v>13608</v>
      </c>
      <c r="E41" s="5" t="str">
        <f ca="1">IFERROR(__xludf.DUMMYFUNCTION("GOOGLETRANSLATE(B41,""ja"",""vi"")"),"tình cờ")</f>
        <v>tình cờ</v>
      </c>
      <c r="F4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1" t="str">
        <f t="shared" ca="1" si="0"/>
        <v>"2084052926" : "tình cờ",</v>
      </c>
    </row>
    <row r="42" spans="1:7" ht="14.25" customHeight="1">
      <c r="A42" s="2">
        <v>2084052927</v>
      </c>
      <c r="B42" s="2" t="s">
        <v>13613</v>
      </c>
      <c r="C42" s="2" t="s">
        <v>13614</v>
      </c>
      <c r="D42" s="2" t="s">
        <v>13615</v>
      </c>
      <c r="E42" s="5" t="str">
        <f ca="1">IFERROR(__xludf.DUMMYFUNCTION("GOOGLETRANSLATE(B42,""ja"",""vi"")"),"chính thức")</f>
        <v>chính thức</v>
      </c>
      <c r="F4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2" t="str">
        <f t="shared" ca="1" si="0"/>
        <v>"2084052927" : "chính thức",</v>
      </c>
    </row>
    <row r="43" spans="1:7" ht="14.25" customHeight="1">
      <c r="A43" s="11">
        <v>2084007260</v>
      </c>
      <c r="B43" s="11" t="s">
        <v>13619</v>
      </c>
      <c r="C43" s="11" t="s">
        <v>13619</v>
      </c>
      <c r="D43" s="11" t="s">
        <v>13620</v>
      </c>
      <c r="E43" s="5" t="str">
        <f ca="1">IFERROR(__xludf.DUMMYFUNCTION("GOOGLETRANSLATE(B43,""ja"",""vi"")"),"Đấu giá&gt; Thời trang&gt; Kids, Baby Thời trang&gt; Quần áo&gt; Tops&gt; T-Shirts")</f>
        <v>Đấu giá&gt; Thời trang&gt; Kids, Baby Thời trang&gt; Quần áo&gt; Tops&gt; T-Shirts</v>
      </c>
      <c r="F4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3" t="str">
        <f t="shared" ca="1" si="0"/>
        <v>"2084007260" : "Đấu giá&gt; Thời trang&gt; Kids, Baby Thời trang&gt; Quần áo&gt; Tops&gt; T-Shirts",</v>
      </c>
    </row>
    <row r="44" spans="1:7" ht="14.25" customHeight="1">
      <c r="A44" s="2">
        <v>2084007263</v>
      </c>
      <c r="B44" s="2" t="s">
        <v>13621</v>
      </c>
      <c r="C44" s="2" t="s">
        <v>13621</v>
      </c>
      <c r="D44" s="2" t="s">
        <v>13625</v>
      </c>
      <c r="E44" s="5" t="str">
        <f ca="1">IFERROR(__xludf.DUMMYFUNCTION("GOOGLETRANSLATE(B44,""ja"",""vi"")"),"Đấu giá&gt; Thời trang&gt; Kids, Baby Thời trang&gt; Quần áo&gt; Tops&gt; cardigan")</f>
        <v>Đấu giá&gt; Thời trang&gt; Kids, Baby Thời trang&gt; Quần áo&gt; Tops&gt; cardigan</v>
      </c>
      <c r="F4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4" t="str">
        <f t="shared" ca="1" si="0"/>
        <v>"2084007263" : "Đấu giá&gt; Thời trang&gt; Kids, Baby Thời trang&gt; Quần áo&gt; Tops&gt; cardigan",</v>
      </c>
    </row>
    <row r="45" spans="1:7" ht="14.25" customHeight="1">
      <c r="A45" s="2">
        <v>2084052139</v>
      </c>
      <c r="B45" s="2" t="s">
        <v>13627</v>
      </c>
      <c r="C45" s="2" t="s">
        <v>13627</v>
      </c>
      <c r="D45" s="2" t="s">
        <v>13630</v>
      </c>
      <c r="E45" s="5" t="str">
        <f ca="1">IFERROR(__xludf.DUMMYFUNCTION("GOOGLETRANSLATE(B45,""ja"",""vi"")"),"Đấu giá&gt; Thời trang&gt; Kids, Baby Thời trang&gt; Quần áo&gt; Tops&gt; Cut")</f>
        <v>Đấu giá&gt; Thời trang&gt; Kids, Baby Thời trang&gt; Quần áo&gt; Tops&gt; Cut</v>
      </c>
      <c r="F4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5" t="str">
        <f t="shared" ca="1" si="0"/>
        <v>"2084052139" : "Đấu giá&gt; Thời trang&gt; Kids, Baby Thời trang&gt; Quần áo&gt; Tops&gt; Cut",</v>
      </c>
    </row>
    <row r="46" spans="1:7" ht="14.25" customHeight="1">
      <c r="A46" s="2">
        <v>2084005309</v>
      </c>
      <c r="B46" s="2" t="s">
        <v>13631</v>
      </c>
      <c r="C46" s="2" t="s">
        <v>13631</v>
      </c>
      <c r="D46" s="2" t="s">
        <v>13634</v>
      </c>
      <c r="E46" s="5" t="str">
        <f ca="1">IFERROR(__xludf.DUMMYFUNCTION("GOOGLETRANSLATE(B46,""ja"",""vi"")"),"Đấu giá&gt; Thời trang&gt; Kids, Baby Thời trang&gt; Quần áo&gt; Tops&gt; Áo sơ mi, áo cánh")</f>
        <v>Đấu giá&gt; Thời trang&gt; Kids, Baby Thời trang&gt; Quần áo&gt; Tops&gt; Áo sơ mi, áo cánh</v>
      </c>
      <c r="F4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6" t="str">
        <f t="shared" ca="1" si="0"/>
        <v>"2084005309" : "Đấu giá&gt; Thời trang&gt; Kids, Baby Thời trang&gt; Quần áo&gt; Tops&gt; Áo sơ mi, áo cánh",</v>
      </c>
    </row>
    <row r="47" spans="1:7" ht="14.25" customHeight="1">
      <c r="A47" s="2">
        <v>2084007262</v>
      </c>
      <c r="B47" s="2" t="s">
        <v>13636</v>
      </c>
      <c r="C47" s="2" t="s">
        <v>13636</v>
      </c>
      <c r="D47" s="2" t="s">
        <v>13639</v>
      </c>
      <c r="E47" s="5" t="str">
        <f ca="1">IFERROR(__xludf.DUMMYFUNCTION("GOOGLETRANSLATE(B47,""ja"",""vi"")"),"Đấu giá&gt; Thời trang&gt; Kids, Baby thời trang&gt; quần áo trẻ em&gt; ngọn&gt; áo len")</f>
        <v>Đấu giá&gt; Thời trang&gt; Kids, Baby thời trang&gt; quần áo trẻ em&gt; ngọn&gt; áo len</v>
      </c>
      <c r="F4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7" t="str">
        <f t="shared" ca="1" si="0"/>
        <v>"2084007262" : "Đấu giá&gt; Thời trang&gt; Kids, Baby thời trang&gt; quần áo trẻ em&gt; ngọn&gt; áo len",</v>
      </c>
    </row>
    <row r="48" spans="1:7" ht="14.25" customHeight="1">
      <c r="A48" s="2">
        <v>2084048451</v>
      </c>
      <c r="B48" s="2" t="s">
        <v>13640</v>
      </c>
      <c r="C48" s="2" t="s">
        <v>13640</v>
      </c>
      <c r="D48" s="2" t="s">
        <v>13642</v>
      </c>
      <c r="E48" s="5" t="str">
        <f ca="1">IFERROR(__xludf.DUMMYFUNCTION("GOOGLETRANSLATE(B48,""ja"",""vi"")"),"Đấu giá&gt; Thời trang&gt; Kids, Baby thời trang&gt; quần áo trẻ em&gt; ngọn&gt; tank top, yếm")</f>
        <v>Đấu giá&gt; Thời trang&gt; Kids, Baby thời trang&gt; quần áo trẻ em&gt; ngọn&gt; tank top, yếm</v>
      </c>
      <c r="F4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8" t="str">
        <f t="shared" ca="1" si="0"/>
        <v>"2084048451" : "Đấu giá&gt; Thời trang&gt; Kids, Baby thời trang&gt; quần áo trẻ em&gt; ngọn&gt; tank top, yếm",</v>
      </c>
    </row>
    <row r="49" spans="1:7" ht="14.25" customHeight="1">
      <c r="A49" s="2">
        <v>2084007261</v>
      </c>
      <c r="B49" s="2" t="s">
        <v>13646</v>
      </c>
      <c r="C49" s="2" t="s">
        <v>13646</v>
      </c>
      <c r="D49" s="2" t="s">
        <v>13647</v>
      </c>
      <c r="E49" s="5" t="str">
        <f ca="1">IFERROR(__xludf.DUMMYFUNCTION("GOOGLETRANSLATE(B49,""ja"",""vi"")"),"Đấu giá&gt; Thời trang&gt; Kids, Baby Thời trang&gt; Quần áo&gt; Tops&gt; Trainers")</f>
        <v>Đấu giá&gt; Thời trang&gt; Kids, Baby Thời trang&gt; Quần áo&gt; Tops&gt; Trainers</v>
      </c>
      <c r="F4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49" t="str">
        <f t="shared" ca="1" si="0"/>
        <v>"2084007261" : "Đấu giá&gt; Thời trang&gt; Kids, Baby Thời trang&gt; Quần áo&gt; Tops&gt; Trainers",</v>
      </c>
    </row>
    <row r="50" spans="1:7" ht="14.25" customHeight="1">
      <c r="A50" s="2">
        <v>2084052820</v>
      </c>
      <c r="B50" s="2" t="s">
        <v>13650</v>
      </c>
      <c r="C50" s="2" t="s">
        <v>13650</v>
      </c>
      <c r="D50" s="2" t="s">
        <v>13652</v>
      </c>
      <c r="E50" s="5" t="str">
        <f ca="1">IFERROR(__xludf.DUMMYFUNCTION("GOOGLETRANSLATE(B50,""ja"",""vi"")"),"Đấu giá&gt; Thời trang&gt; Kids, Baby Thời trang&gt; Quần áo&gt; Tops&gt; parka")</f>
        <v>Đấu giá&gt; Thời trang&gt; Kids, Baby Thời trang&gt; Quần áo&gt; Tops&gt; parka</v>
      </c>
      <c r="F5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0" t="str">
        <f t="shared" ca="1" si="0"/>
        <v>"2084052820" : "Đấu giá&gt; Thời trang&gt; Kids, Baby Thời trang&gt; Quần áo&gt; Tops&gt; parka",</v>
      </c>
    </row>
    <row r="51" spans="1:7" ht="14.25" customHeight="1">
      <c r="A51" s="2">
        <v>2084007264</v>
      </c>
      <c r="B51" s="2" t="s">
        <v>13657</v>
      </c>
      <c r="C51" s="2" t="s">
        <v>13657</v>
      </c>
      <c r="D51" s="2" t="s">
        <v>13658</v>
      </c>
      <c r="E51" s="5" t="str">
        <f ca="1">IFERROR(__xludf.DUMMYFUNCTION("GOOGLETRANSLATE(B51,""ja"",""vi"")"),"Đấu giá&gt; Thời trang&gt; Kids, Baby Thời trang&gt; Quần áo&gt; Tops&gt; xuất sắc nhất")</f>
        <v>Đấu giá&gt; Thời trang&gt; Kids, Baby Thời trang&gt; Quần áo&gt; Tops&gt; xuất sắc nhất</v>
      </c>
      <c r="F5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1" t="str">
        <f t="shared" ca="1" si="0"/>
        <v>"2084007264" : "Đấu giá&gt; Thời trang&gt; Kids, Baby Thời trang&gt; Quần áo&gt; Tops&gt; xuất sắc nhất",</v>
      </c>
    </row>
    <row r="52" spans="1:7" ht="14.25" customHeight="1">
      <c r="A52" s="2">
        <v>2084052148</v>
      </c>
      <c r="B52" s="2" t="s">
        <v>13661</v>
      </c>
      <c r="C52" s="2" t="s">
        <v>13661</v>
      </c>
      <c r="D52" s="2" t="s">
        <v>13664</v>
      </c>
      <c r="E52" s="5" t="str">
        <f ca="1">IFERROR(__xludf.DUMMYFUNCTION("GOOGLETRANSLATE(B52,""ja"",""vi"")"),"Đấu giá&gt; Thời trang&gt; Kids, Baby Thời trang&gt; Quần áo&gt; Tops&gt; áo sơ mi polo")</f>
        <v>Đấu giá&gt; Thời trang&gt; Kids, Baby Thời trang&gt; Quần áo&gt; Tops&gt; áo sơ mi polo</v>
      </c>
      <c r="F5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2" t="str">
        <f t="shared" ca="1" si="0"/>
        <v>"2084052148" : "Đấu giá&gt; Thời trang&gt; Kids, Baby Thời trang&gt; Quần áo&gt; Tops&gt; áo sơ mi polo",</v>
      </c>
    </row>
    <row r="53" spans="1:7" ht="14.25" customHeight="1">
      <c r="A53" s="11">
        <v>2084052821</v>
      </c>
      <c r="B53" s="11" t="s">
        <v>13667</v>
      </c>
      <c r="C53" s="11" t="s">
        <v>13668</v>
      </c>
      <c r="D53" s="11" t="s">
        <v>13669</v>
      </c>
      <c r="E53" s="5" t="str">
        <f ca="1">IFERROR(__xludf.DUMMYFUNCTION("GOOGLETRANSLATE(B53,""ja"",""vi"")"),"Đối với cô gái")</f>
        <v>Đối với cô gái</v>
      </c>
      <c r="F5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3" t="str">
        <f t="shared" ca="1" si="0"/>
        <v>"2084052821" : "Đối với cô gái",</v>
      </c>
    </row>
    <row r="54" spans="1:7" ht="14.25" customHeight="1">
      <c r="A54" s="2">
        <v>2084052822</v>
      </c>
      <c r="B54" s="2" t="s">
        <v>13673</v>
      </c>
      <c r="C54" s="2" t="s">
        <v>13674</v>
      </c>
      <c r="D54" s="2" t="s">
        <v>13676</v>
      </c>
      <c r="E54" s="5" t="str">
        <f ca="1">IFERROR(__xludf.DUMMYFUNCTION("GOOGLETRANSLATE(B54,""ja"",""vi"")"),"for Boys")</f>
        <v>for Boys</v>
      </c>
      <c r="F5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4" t="str">
        <f t="shared" ca="1" si="0"/>
        <v>"2084052822" : "for Boys",</v>
      </c>
    </row>
    <row r="55" spans="1:7" ht="14.25" customHeight="1">
      <c r="A55" s="2">
        <v>2084053400</v>
      </c>
      <c r="B55" s="2" t="s">
        <v>9292</v>
      </c>
      <c r="C55" s="2" t="s">
        <v>13679</v>
      </c>
      <c r="D55" s="2" t="s">
        <v>13681</v>
      </c>
      <c r="E55" s="5" t="str">
        <f ca="1">IFERROR(__xludf.DUMMYFUNCTION("GOOGLETRANSLATE(B55,""ja"",""vi"")"),"unisex")</f>
        <v>unisex</v>
      </c>
      <c r="F5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5" t="str">
        <f t="shared" ca="1" si="0"/>
        <v>"2084053400" : "unisex",</v>
      </c>
    </row>
    <row r="56" spans="1:7" ht="14.25" customHeight="1">
      <c r="A56" s="11">
        <v>2084053638</v>
      </c>
      <c r="B56" s="11" t="s">
        <v>13667</v>
      </c>
      <c r="C56" s="11" t="s">
        <v>13683</v>
      </c>
      <c r="D56" s="11" t="s">
        <v>13684</v>
      </c>
      <c r="E56" s="5" t="str">
        <f ca="1">IFERROR(__xludf.DUMMYFUNCTION("GOOGLETRANSLATE(B56,""ja"",""vi"")"),"Đối với cô gái")</f>
        <v>Đối với cô gái</v>
      </c>
      <c r="F5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6" t="str">
        <f t="shared" ca="1" si="0"/>
        <v>"2084053638" : "Đối với cô gái",</v>
      </c>
    </row>
    <row r="57" spans="1:7" ht="14.25" customHeight="1">
      <c r="A57" s="2">
        <v>2084053639</v>
      </c>
      <c r="B57" s="2" t="s">
        <v>13673</v>
      </c>
      <c r="C57" s="2" t="s">
        <v>13688</v>
      </c>
      <c r="D57" s="2" t="s">
        <v>13689</v>
      </c>
      <c r="E57" s="5" t="str">
        <f ca="1">IFERROR(__xludf.DUMMYFUNCTION("GOOGLETRANSLATE(B57,""ja"",""vi"")"),"for Boys")</f>
        <v>for Boys</v>
      </c>
      <c r="F5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7" t="str">
        <f t="shared" ca="1" si="0"/>
        <v>"2084053639" : "for Boys",</v>
      </c>
    </row>
    <row r="58" spans="1:7" ht="14.25" customHeight="1">
      <c r="A58" s="2">
        <v>2084053640</v>
      </c>
      <c r="B58" s="2" t="s">
        <v>9292</v>
      </c>
      <c r="C58" s="2" t="s">
        <v>13693</v>
      </c>
      <c r="D58" s="2" t="s">
        <v>13694</v>
      </c>
      <c r="E58" s="5" t="str">
        <f ca="1">IFERROR(__xludf.DUMMYFUNCTION("GOOGLETRANSLATE(B58,""ja"",""vi"")"),"unisex")</f>
        <v>unisex</v>
      </c>
      <c r="F5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8" t="str">
        <f t="shared" ca="1" si="0"/>
        <v>"2084053640" : "unisex",</v>
      </c>
    </row>
    <row r="59" spans="1:7" ht="14.25" customHeight="1">
      <c r="A59" s="11">
        <v>2084052927</v>
      </c>
      <c r="B59" s="11" t="s">
        <v>13696</v>
      </c>
      <c r="C59" s="11" t="s">
        <v>13697</v>
      </c>
      <c r="D59" s="11" t="s">
        <v>13698</v>
      </c>
      <c r="E59" s="5" t="str">
        <f ca="1">IFERROR(__xludf.DUMMYFUNCTION("GOOGLETRANSLATE(B59,""ja"",""vi"")"),"Suit, thiết lập")</f>
        <v>Suit, thiết lập</v>
      </c>
      <c r="F5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59" t="str">
        <f t="shared" ca="1" si="0"/>
        <v>"2084052927" : "Suit, thiết lập",</v>
      </c>
    </row>
    <row r="60" spans="1:7" ht="14.25" customHeight="1">
      <c r="A60" s="2">
        <v>2084005305</v>
      </c>
      <c r="B60" s="2" t="s">
        <v>13701</v>
      </c>
      <c r="C60" s="2" t="s">
        <v>13703</v>
      </c>
      <c r="D60" s="2" t="s">
        <v>13704</v>
      </c>
      <c r="E60" s="5" t="str">
        <f ca="1">IFERROR(__xludf.DUMMYFUNCTION("GOOGLETRANSLATE(B60,""ja"",""vi"")"),"bé váy")</f>
        <v>bé váy</v>
      </c>
      <c r="F6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0" t="str">
        <f t="shared" ca="1" si="0"/>
        <v>"2084005305" : "bé váy",</v>
      </c>
    </row>
    <row r="61" spans="1:7" ht="14.25" customHeight="1">
      <c r="A61" s="2">
        <v>2084007319</v>
      </c>
      <c r="B61" s="2" t="s">
        <v>13708</v>
      </c>
      <c r="C61" s="2" t="s">
        <v>13709</v>
      </c>
      <c r="D61" s="2" t="s">
        <v>13711</v>
      </c>
      <c r="E61" s="5" t="str">
        <f ca="1">IFERROR(__xludf.DUMMYFUNCTION("GOOGLETRANSLATE(B61,""ja"",""vi"")"),"Kimono, Shuchaku")</f>
        <v>Kimono, Shuchaku</v>
      </c>
      <c r="F6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1" t="str">
        <f t="shared" ca="1" si="0"/>
        <v>"2084007319" : "Kimono, Shuchaku",</v>
      </c>
    </row>
    <row r="62" spans="1:7" ht="14.25" customHeight="1">
      <c r="A62" s="2">
        <v>2084053762</v>
      </c>
      <c r="B62" s="2" t="s">
        <v>13714</v>
      </c>
      <c r="C62" s="2" t="s">
        <v>13715</v>
      </c>
      <c r="D62" s="2" t="s">
        <v>13717</v>
      </c>
      <c r="E62" s="5" t="str">
        <f ca="1">IFERROR(__xludf.DUMMYFUNCTION("GOOGLETRANSLATE(B62,""ja"",""vi"")"),"giày chính thức")</f>
        <v>giày chính thức</v>
      </c>
      <c r="F6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2" t="str">
        <f t="shared" ca="1" si="0"/>
        <v>"2084053762" : "giày chính thức",</v>
      </c>
    </row>
    <row r="63" spans="1:7" ht="14.25" customHeight="1">
      <c r="A63" s="11">
        <v>2084007266</v>
      </c>
      <c r="B63" s="11" t="s">
        <v>13718</v>
      </c>
      <c r="C63" s="11" t="s">
        <v>13719</v>
      </c>
      <c r="D63" s="11" t="s">
        <v>13720</v>
      </c>
      <c r="E63" s="5" t="str">
        <f ca="1">IFERROR(__xludf.DUMMYFUNCTION("GOOGLETRANSLATE(B63,""ja"",""vi"")"),"Quần, quần tây")</f>
        <v>Quần, quần tây</v>
      </c>
      <c r="F6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3" t="str">
        <f t="shared" ca="1" si="0"/>
        <v>"2084007266" : "Quần, quần tây",</v>
      </c>
    </row>
    <row r="64" spans="1:7" ht="14.25" customHeight="1">
      <c r="A64" s="2">
        <v>2084005307</v>
      </c>
      <c r="B64" s="2" t="s">
        <v>13723</v>
      </c>
      <c r="C64" s="2" t="s">
        <v>13725</v>
      </c>
      <c r="D64" s="2" t="s">
        <v>13726</v>
      </c>
      <c r="E64" s="5" t="str">
        <f ca="1">IFERROR(__xludf.DUMMYFUNCTION("GOOGLETRANSLATE(B64,""ja"",""vi"")"),"Quần yếm")</f>
        <v>Quần yếm</v>
      </c>
      <c r="F6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4" t="str">
        <f t="shared" ca="1" si="0"/>
        <v>"2084005307" : "Quần yếm",</v>
      </c>
    </row>
    <row r="65" spans="1:7" ht="14.25" customHeight="1">
      <c r="A65" s="2">
        <v>2084052550</v>
      </c>
      <c r="B65" s="2" t="s">
        <v>13729</v>
      </c>
      <c r="C65" s="2" t="s">
        <v>13731</v>
      </c>
      <c r="D65" s="2" t="s">
        <v>13732</v>
      </c>
      <c r="E65" s="5" t="str">
        <f ca="1">IFERROR(__xludf.DUMMYFUNCTION("GOOGLETRANSLATE(B65,""ja"",""vi"")"),"culottes")</f>
        <v>culottes</v>
      </c>
      <c r="F6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5" t="str">
        <f t="shared" ca="1" si="0"/>
        <v>"2084052550" : "culottes",</v>
      </c>
    </row>
    <row r="66" spans="1:7" ht="14.25" customHeight="1">
      <c r="A66" s="2">
        <v>2084007267</v>
      </c>
      <c r="B66" s="2" t="s">
        <v>13734</v>
      </c>
      <c r="C66" s="2" t="s">
        <v>13736</v>
      </c>
      <c r="D66" s="2" t="s">
        <v>13738</v>
      </c>
      <c r="E66" s="5" t="str">
        <f ca="1">IFERROR(__xludf.DUMMYFUNCTION("GOOGLETRANSLATE(B66,""ja"",""vi"")"),"quần short")</f>
        <v>quần short</v>
      </c>
      <c r="F6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6" t="str">
        <f t="shared" ca="1" si="0"/>
        <v>"2084007267" : "quần short",</v>
      </c>
    </row>
    <row r="67" spans="1:7" ht="14.25" customHeight="1">
      <c r="A67" s="2">
        <v>2084052391</v>
      </c>
      <c r="B67" s="2" t="s">
        <v>13740</v>
      </c>
      <c r="C67" s="2" t="s">
        <v>13742</v>
      </c>
      <c r="D67" s="2" t="s">
        <v>13744</v>
      </c>
      <c r="E67" s="5" t="str">
        <f ca="1">IFERROR(__xludf.DUMMYFUNCTION("GOOGLETRANSLATE(B67,""ja"",""vi"")"),"quần jean")</f>
        <v>quần jean</v>
      </c>
      <c r="F6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7" t="str">
        <f t="shared" ref="G67:G130" ca="1" si="1">CONCATENATE(CHAR(34)&amp;"",A67,""&amp;CHAR(34)," : ", CHAR(34)&amp;"",E67,""&amp;CHAR(34),",")</f>
        <v>"2084052391" : "quần jean",</v>
      </c>
    </row>
    <row r="68" spans="1:7" ht="14.25" customHeight="1">
      <c r="A68" s="2">
        <v>2084005313</v>
      </c>
      <c r="B68" s="2" t="s">
        <v>13746</v>
      </c>
      <c r="C68" s="2" t="s">
        <v>13748</v>
      </c>
      <c r="D68" s="2" t="s">
        <v>13750</v>
      </c>
      <c r="E68" s="5" t="str">
        <f ca="1">IFERROR(__xludf.DUMMYFUNCTION("GOOGLETRANSLATE(B68,""ja"",""vi"")"),"váy")</f>
        <v>váy</v>
      </c>
      <c r="F6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8" t="str">
        <f t="shared" ca="1" si="1"/>
        <v>"2084005313" : "váy",</v>
      </c>
    </row>
    <row r="69" spans="1:7" ht="14.25" customHeight="1">
      <c r="A69" s="2">
        <v>2084007268</v>
      </c>
      <c r="B69" s="2" t="s">
        <v>13752</v>
      </c>
      <c r="C69" s="2" t="s">
        <v>13754</v>
      </c>
      <c r="D69" s="2" t="s">
        <v>13756</v>
      </c>
      <c r="E69" s="5" t="str">
        <f ca="1">IFERROR(__xludf.DUMMYFUNCTION("GOOGLETRANSLATE(B69,""ja"",""vi"")"),"Spats, Carson")</f>
        <v>Spats, Carson</v>
      </c>
      <c r="F6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69" t="str">
        <f t="shared" ca="1" si="1"/>
        <v>"2084007268" : "Spats, Carson",</v>
      </c>
    </row>
    <row r="70" spans="1:7" ht="14.25" customHeight="1">
      <c r="A70" s="2">
        <v>2084052492</v>
      </c>
      <c r="B70" s="2" t="s">
        <v>13758</v>
      </c>
      <c r="C70" s="2" t="s">
        <v>13760</v>
      </c>
      <c r="D70" s="2" t="s">
        <v>13761</v>
      </c>
      <c r="E70" s="5" t="str">
        <f ca="1">IFERROR(__xludf.DUMMYFUNCTION("GOOGLETRANSLATE(B70,""ja"",""vi"")"),"Chino")</f>
        <v>Chino</v>
      </c>
      <c r="F7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0" t="str">
        <f t="shared" ca="1" si="1"/>
        <v>"2084052492" : "Chino",</v>
      </c>
    </row>
    <row r="71" spans="1:7" ht="14.25" customHeight="1">
      <c r="A71" s="2">
        <v>2084007278</v>
      </c>
      <c r="B71" s="2" t="s">
        <v>13764</v>
      </c>
      <c r="C71" s="2" t="s">
        <v>13766</v>
      </c>
      <c r="D71" s="2" t="s">
        <v>13767</v>
      </c>
      <c r="E71" s="5" t="str">
        <f ca="1">IFERROR(__xludf.DUMMYFUNCTION("GOOGLETRANSLATE(B71,""ja"",""vi"")"),"quần áo trẻ con")</f>
        <v>quần áo trẻ con</v>
      </c>
      <c r="F7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1" t="str">
        <f t="shared" ca="1" si="1"/>
        <v>"2084007278" : "quần áo trẻ con",</v>
      </c>
    </row>
    <row r="72" spans="1:7" ht="14.25" customHeight="1">
      <c r="A72" s="2">
        <v>2084007271</v>
      </c>
      <c r="B72" s="2" t="s">
        <v>7472</v>
      </c>
      <c r="C72" s="2" t="s">
        <v>13771</v>
      </c>
      <c r="D72" s="2" t="s">
        <v>13772</v>
      </c>
      <c r="E72" s="5" t="str">
        <f ca="1">IFERROR(__xludf.DUMMYFUNCTION("GOOGLETRANSLATE(B72,""ja"",""vi"")"),"One piece")</f>
        <v>One piece</v>
      </c>
      <c r="F7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2" t="str">
        <f t="shared" ca="1" si="1"/>
        <v>"2084007271" : "One piece",</v>
      </c>
    </row>
    <row r="73" spans="1:7" ht="14.25" customHeight="1">
      <c r="A73" s="2">
        <v>2084007272</v>
      </c>
      <c r="B73" s="2" t="s">
        <v>13774</v>
      </c>
      <c r="C73" s="2" t="s">
        <v>13776</v>
      </c>
      <c r="D73" s="2" t="s">
        <v>13779</v>
      </c>
      <c r="E73" s="5" t="str">
        <f ca="1">IFERROR(__xludf.DUMMYFUNCTION("GOOGLETRANSLATE(B73,""ja"",""vi"")"),"Yếm, tie")</f>
        <v>Yếm, tie</v>
      </c>
      <c r="F7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3" t="str">
        <f t="shared" ca="1" si="1"/>
        <v>"2084007272" : "Yếm, tie",</v>
      </c>
    </row>
    <row r="74" spans="1:7" ht="14.25" customHeight="1">
      <c r="A74" s="2">
        <v>2084007274</v>
      </c>
      <c r="B74" s="2" t="s">
        <v>13696</v>
      </c>
      <c r="C74" s="2" t="s">
        <v>13782</v>
      </c>
      <c r="D74" s="2" t="s">
        <v>13784</v>
      </c>
      <c r="E74" s="5" t="str">
        <f ca="1">IFERROR(__xludf.DUMMYFUNCTION("GOOGLETRANSLATE(B74,""ja"",""vi"")"),"Suit, thiết lập")</f>
        <v>Suit, thiết lập</v>
      </c>
      <c r="F7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4" t="str">
        <f t="shared" ca="1" si="1"/>
        <v>"2084007274" : "Suit, thiết lập",</v>
      </c>
    </row>
    <row r="75" spans="1:7" ht="14.25" customHeight="1">
      <c r="A75" s="2">
        <v>2084042011</v>
      </c>
      <c r="B75" s="2" t="s">
        <v>46</v>
      </c>
      <c r="C75" s="2" t="s">
        <v>13786</v>
      </c>
      <c r="D75" s="2" t="s">
        <v>13788</v>
      </c>
      <c r="E75" s="5" t="str">
        <f ca="1">IFERROR(__xludf.DUMMYFUNCTION("GOOGLETRANSLATE(B75,""ja"",""vi"")"),"nếu không thì")</f>
        <v>nếu không thì</v>
      </c>
      <c r="F7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5" t="str">
        <f t="shared" ca="1" si="1"/>
        <v>"2084042011" : "nếu không thì",</v>
      </c>
    </row>
    <row r="76" spans="1:7" ht="14.25" customHeight="1">
      <c r="A76" s="11">
        <v>2084053619</v>
      </c>
      <c r="B76" s="11" t="s">
        <v>13790</v>
      </c>
      <c r="C76" s="11" t="s">
        <v>13791</v>
      </c>
      <c r="D76" s="11" t="s">
        <v>13792</v>
      </c>
      <c r="E76" s="5" t="str">
        <f ca="1">IFERROR(__xludf.DUMMYFUNCTION("GOOGLETRANSLATE(B76,""ja"",""vi"")"),"70 (~ 74cm) dưới đây")</f>
        <v>70 (~ 74cm) dưới đây</v>
      </c>
      <c r="F7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6" t="str">
        <f t="shared" ca="1" si="1"/>
        <v>"2084053619" : "70 (~ 74cm) dưới đây",</v>
      </c>
    </row>
    <row r="77" spans="1:7" ht="14.25" customHeight="1">
      <c r="A77" s="2">
        <v>2084053620</v>
      </c>
      <c r="B77" s="2" t="s">
        <v>13794</v>
      </c>
      <c r="C77" s="2" t="s">
        <v>13795</v>
      </c>
      <c r="D77" s="2" t="s">
        <v>13797</v>
      </c>
      <c r="E77" s="5" t="str">
        <f ca="1">IFERROR(__xludf.DUMMYFUNCTION("GOOGLETRANSLATE(B77,""ja"",""vi"")"),"80 (75 ~ 84cm)")</f>
        <v>80 (75 ~ 84cm)</v>
      </c>
      <c r="F7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7" t="str">
        <f t="shared" ca="1" si="1"/>
        <v>"2084053620" : "80 (75 ~ 84cm)",</v>
      </c>
    </row>
    <row r="78" spans="1:7" ht="14.25" customHeight="1">
      <c r="A78" s="2">
        <v>2084053621</v>
      </c>
      <c r="B78" s="2" t="s">
        <v>13800</v>
      </c>
      <c r="C78" s="2" t="s">
        <v>13801</v>
      </c>
      <c r="D78" s="2" t="s">
        <v>13803</v>
      </c>
      <c r="E78" s="5" t="str">
        <f ca="1">IFERROR(__xludf.DUMMYFUNCTION("GOOGLETRANSLATE(B78,""ja"",""vi"")"),"90 (85 ~ 94cm)")</f>
        <v>90 (85 ~ 94cm)</v>
      </c>
      <c r="F7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8" t="str">
        <f t="shared" ca="1" si="1"/>
        <v>"2084053621" : "90 (85 ~ 94cm)",</v>
      </c>
    </row>
    <row r="79" spans="1:7" ht="14.25" customHeight="1">
      <c r="A79" s="20">
        <v>2084051685</v>
      </c>
      <c r="B79" s="20" t="s">
        <v>13667</v>
      </c>
      <c r="C79" s="20" t="s">
        <v>13810</v>
      </c>
      <c r="D79" s="20" t="s">
        <v>13811</v>
      </c>
      <c r="E79" s="5" t="str">
        <f ca="1">IFERROR(__xludf.DUMMYFUNCTION("GOOGLETRANSLATE(B79,""ja"",""vi"")"),"Đối với cô gái")</f>
        <v>Đối với cô gái</v>
      </c>
      <c r="F7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79" t="str">
        <f t="shared" ca="1" si="1"/>
        <v>"2084051685" : "Đối với cô gái",</v>
      </c>
    </row>
    <row r="80" spans="1:7" ht="14.25" customHeight="1">
      <c r="A80" s="21">
        <v>2084051684</v>
      </c>
      <c r="B80" s="21" t="s">
        <v>13673</v>
      </c>
      <c r="C80" s="21" t="s">
        <v>13819</v>
      </c>
      <c r="D80" s="21" t="s">
        <v>13822</v>
      </c>
      <c r="E80" s="5" t="str">
        <f ca="1">IFERROR(__xludf.DUMMYFUNCTION("GOOGLETRANSLATE(B80,""ja"",""vi"")"),"for Boys")</f>
        <v>for Boys</v>
      </c>
      <c r="F8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0" t="str">
        <f t="shared" ca="1" si="1"/>
        <v>"2084051684" : "for Boys",</v>
      </c>
    </row>
    <row r="81" spans="1:7" ht="14.25" customHeight="1">
      <c r="A81" s="11">
        <v>2084053760</v>
      </c>
      <c r="B81" s="11" t="s">
        <v>8377</v>
      </c>
      <c r="C81" s="11" t="s">
        <v>13823</v>
      </c>
      <c r="D81" s="11" t="s">
        <v>13825</v>
      </c>
      <c r="E81" s="5" t="str">
        <f ca="1">IFERROR(__xludf.DUMMYFUNCTION("GOOGLETRANSLATE(B81,""ja"",""vi"")"),"giày thể thao")</f>
        <v>giày thể thao</v>
      </c>
      <c r="F8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1" t="str">
        <f t="shared" ca="1" si="1"/>
        <v>"2084053760" : "giày thể thao",</v>
      </c>
    </row>
    <row r="82" spans="1:7" ht="14.25" customHeight="1">
      <c r="A82" s="2">
        <v>2084053761</v>
      </c>
      <c r="B82" s="2" t="s">
        <v>13827</v>
      </c>
      <c r="C82" s="2" t="s">
        <v>13829</v>
      </c>
      <c r="D82" s="2" t="s">
        <v>13831</v>
      </c>
      <c r="E82" s="5" t="str">
        <f ca="1">IFERROR(__xludf.DUMMYFUNCTION("GOOGLETRANSLATE(B82,""ja"",""vi"")"),"dép xăng đan")</f>
        <v>dép xăng đan</v>
      </c>
      <c r="F8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2" t="str">
        <f t="shared" ca="1" si="1"/>
        <v>"2084053761" : "dép xăng đan",</v>
      </c>
    </row>
    <row r="83" spans="1:7" ht="14.25" customHeight="1">
      <c r="A83" s="2">
        <v>2084053769</v>
      </c>
      <c r="B83" s="2" t="s">
        <v>13833</v>
      </c>
      <c r="C83" s="2" t="s">
        <v>13835</v>
      </c>
      <c r="D83" s="2" t="s">
        <v>13837</v>
      </c>
      <c r="E83" s="5" t="str">
        <f ca="1">IFERROR(__xludf.DUMMYFUNCTION("GOOGLETRANSLATE(B83,""ja"",""vi"")"),"giày dây đeo")</f>
        <v>giày dây đeo</v>
      </c>
      <c r="F8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3" t="str">
        <f t="shared" ca="1" si="1"/>
        <v>"2084053769" : "giày dây đeo",</v>
      </c>
    </row>
    <row r="84" spans="1:7" ht="14.25" customHeight="1">
      <c r="A84" s="2">
        <v>2084053790</v>
      </c>
      <c r="B84" s="2" t="s">
        <v>13839</v>
      </c>
      <c r="C84" s="2" t="s">
        <v>13841</v>
      </c>
      <c r="D84" s="2" t="s">
        <v>13843</v>
      </c>
      <c r="E84" s="5" t="str">
        <f ca="1">IFERROR(__xludf.DUMMYFUNCTION("GOOGLETRANSLATE(B84,""ja"",""vi"")"),"Slip-on, giày vải")</f>
        <v>Slip-on, giày vải</v>
      </c>
      <c r="F8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4" t="str">
        <f t="shared" ca="1" si="1"/>
        <v>"2084053790" : "Slip-on, giày vải",</v>
      </c>
    </row>
    <row r="85" spans="1:7" ht="14.25" customHeight="1">
      <c r="A85" s="2">
        <v>2084053762</v>
      </c>
      <c r="B85" s="2" t="s">
        <v>13714</v>
      </c>
      <c r="C85" s="2" t="s">
        <v>13846</v>
      </c>
      <c r="D85" s="2" t="s">
        <v>13847</v>
      </c>
      <c r="E85" s="5" t="str">
        <f ca="1">IFERROR(__xludf.DUMMYFUNCTION("GOOGLETRANSLATE(B85,""ja"",""vi"")"),"giày chính thức")</f>
        <v>giày chính thức</v>
      </c>
      <c r="F8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5" t="str">
        <f t="shared" ca="1" si="1"/>
        <v>"2084053762" : "giày chính thức",</v>
      </c>
    </row>
    <row r="86" spans="1:7" ht="14.25" customHeight="1">
      <c r="A86" s="2">
        <v>2084053764</v>
      </c>
      <c r="B86" s="2" t="s">
        <v>8537</v>
      </c>
      <c r="C86" s="2" t="s">
        <v>13851</v>
      </c>
      <c r="D86" s="2" t="s">
        <v>13854</v>
      </c>
      <c r="E86" s="5" t="str">
        <f ca="1">IFERROR(__xludf.DUMMYFUNCTION("GOOGLETRANSLATE(B86,""ja"",""vi"")"),"giày ống")</f>
        <v>giày ống</v>
      </c>
      <c r="F8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6" t="str">
        <f t="shared" ca="1" si="1"/>
        <v>"2084053764" : "giày ống",</v>
      </c>
    </row>
    <row r="87" spans="1:7" ht="14.25" customHeight="1">
      <c r="A87" s="2">
        <v>2084053763</v>
      </c>
      <c r="B87" s="2" t="s">
        <v>13856</v>
      </c>
      <c r="C87" s="2" t="s">
        <v>13857</v>
      </c>
      <c r="D87" s="2" t="s">
        <v>13859</v>
      </c>
      <c r="E87" s="5" t="str">
        <f ca="1">IFERROR(__xludf.DUMMYFUNCTION("GOOGLETRANSLATE(B87,""ja"",""vi"")"),"Giày đi dạo, giày da đanh")</f>
        <v>Giày đi dạo, giày da đanh</v>
      </c>
      <c r="F8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7" t="str">
        <f t="shared" ca="1" si="1"/>
        <v>"2084053763" : "Giày đi dạo, giày da đanh",</v>
      </c>
    </row>
    <row r="88" spans="1:7" ht="14.25" customHeight="1">
      <c r="A88" s="2">
        <v>2084053765</v>
      </c>
      <c r="B88" s="2" t="s">
        <v>13863</v>
      </c>
      <c r="C88" s="2" t="s">
        <v>13864</v>
      </c>
      <c r="D88" s="2" t="s">
        <v>13865</v>
      </c>
      <c r="E88" s="5" t="str">
        <f ca="1">IFERROR(__xludf.DUMMYFUNCTION("GOOGLETRANSLATE(B88,""ja"",""vi"")"),"giày ống")</f>
        <v>giày ống</v>
      </c>
      <c r="F8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8" t="str">
        <f t="shared" ca="1" si="1"/>
        <v>"2084053765" : "giày ống",</v>
      </c>
    </row>
    <row r="89" spans="1:7" ht="14.25" customHeight="1">
      <c r="A89" s="11">
        <v>2084051876</v>
      </c>
      <c r="B89" s="11" t="s">
        <v>13667</v>
      </c>
      <c r="C89" s="11" t="s">
        <v>13867</v>
      </c>
      <c r="D89" s="11" t="s">
        <v>13868</v>
      </c>
      <c r="E89" s="5" t="str">
        <f ca="1">IFERROR(__xludf.DUMMYFUNCTION("GOOGLETRANSLATE(B89,""ja"",""vi"")"),"Đối với cô gái")</f>
        <v>Đối với cô gái</v>
      </c>
      <c r="F8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89" t="str">
        <f t="shared" ca="1" si="1"/>
        <v>"2084051876" : "Đối với cô gái",</v>
      </c>
    </row>
    <row r="90" spans="1:7" ht="14.25" customHeight="1">
      <c r="A90" s="2">
        <v>2084051875</v>
      </c>
      <c r="B90" s="2" t="s">
        <v>13673</v>
      </c>
      <c r="C90" s="2" t="s">
        <v>13870</v>
      </c>
      <c r="D90" s="2" t="s">
        <v>13873</v>
      </c>
      <c r="E90" s="5" t="str">
        <f ca="1">IFERROR(__xludf.DUMMYFUNCTION("GOOGLETRANSLATE(B90,""ja"",""vi"")"),"for Boys")</f>
        <v>for Boys</v>
      </c>
      <c r="F9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0" t="str">
        <f t="shared" ca="1" si="1"/>
        <v>"2084051875" : "for Boys",</v>
      </c>
    </row>
    <row r="91" spans="1:7" ht="14.25" customHeight="1">
      <c r="A91" s="11">
        <v>2084042546</v>
      </c>
      <c r="B91" s="11" t="s">
        <v>13875</v>
      </c>
      <c r="C91" s="11" t="s">
        <v>13876</v>
      </c>
      <c r="D91" s="11" t="s">
        <v>13877</v>
      </c>
      <c r="E91" s="5" t="str">
        <f ca="1">IFERROR(__xludf.DUMMYFUNCTION("GOOGLETRANSLATE(B91,""ja"",""vi"")"),"Tã, vật tư vệ sinh")</f>
        <v>Tã, vật tư vệ sinh</v>
      </c>
      <c r="F9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1" t="str">
        <f t="shared" ca="1" si="1"/>
        <v>"2084042546" : "Tã, vật tư vệ sinh",</v>
      </c>
    </row>
    <row r="92" spans="1:7" ht="14.25" customHeight="1">
      <c r="A92" s="2">
        <v>2084007247</v>
      </c>
      <c r="B92" s="2" t="s">
        <v>134</v>
      </c>
      <c r="C92" s="2" t="s">
        <v>13881</v>
      </c>
      <c r="D92" s="2" t="s">
        <v>13883</v>
      </c>
      <c r="E92" s="5" t="str">
        <f ca="1">IFERROR(__xludf.DUMMYFUNCTION("GOOGLETRANSLATE(B92,""ja"",""vi"")"),"Một món đồ chơi")</f>
        <v>Một món đồ chơi</v>
      </c>
      <c r="F9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2" t="str">
        <f t="shared" ca="1" si="1"/>
        <v>"2084007247" : "Một món đồ chơi",</v>
      </c>
    </row>
    <row r="93" spans="1:7" ht="14.25" customHeight="1">
      <c r="A93" s="2">
        <v>2084008387</v>
      </c>
      <c r="B93" s="2" t="s">
        <v>13886</v>
      </c>
      <c r="C93" s="2" t="s">
        <v>13889</v>
      </c>
      <c r="D93" s="2" t="s">
        <v>13892</v>
      </c>
      <c r="E93" s="5" t="str">
        <f ca="1">IFERROR(__xludf.DUMMYFUNCTION("GOOGLETRANSLATE(B93,""ja"",""vi"")"),"hàng hóa an toàn")</f>
        <v>hàng hóa an toàn</v>
      </c>
      <c r="F9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3" t="str">
        <f t="shared" ca="1" si="1"/>
        <v>"2084008387" : "hàng hóa an toàn",</v>
      </c>
    </row>
    <row r="94" spans="1:7" ht="14.25" customHeight="1">
      <c r="A94" s="2">
        <v>2084008379</v>
      </c>
      <c r="B94" s="2" t="s">
        <v>13894</v>
      </c>
      <c r="C94" s="2" t="s">
        <v>13896</v>
      </c>
      <c r="D94" s="2" t="s">
        <v>13898</v>
      </c>
      <c r="E94" s="5" t="str">
        <f ca="1">IFERROR(__xludf.DUMMYFUNCTION("GOOGLETRANSLATE(B94,""ja"",""vi"")"),"Xe buýt, vật tư tắm")</f>
        <v>Xe buýt, vật tư tắm</v>
      </c>
      <c r="F9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4" t="str">
        <f t="shared" ca="1" si="1"/>
        <v>"2084008379" : "Xe buýt, vật tư tắm",</v>
      </c>
    </row>
    <row r="95" spans="1:7" ht="14.25" customHeight="1">
      <c r="A95" s="2">
        <v>2084008393</v>
      </c>
      <c r="B95" s="2" t="s">
        <v>13902</v>
      </c>
      <c r="C95" s="2" t="s">
        <v>13903</v>
      </c>
      <c r="D95" s="2" t="s">
        <v>13904</v>
      </c>
      <c r="E95" s="5" t="str">
        <f ca="1">IFERROR(__xludf.DUMMYFUNCTION("GOOGLETRANSLATE(B95,""ja"",""vi"")"),"nội thất cho trẻ")</f>
        <v>nội thất cho trẻ</v>
      </c>
      <c r="F9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5" t="str">
        <f t="shared" ca="1" si="1"/>
        <v>"2084008393" : "nội thất cho trẻ",</v>
      </c>
    </row>
    <row r="96" spans="1:7" ht="14.25" customHeight="1">
      <c r="A96" s="2">
        <v>24210</v>
      </c>
      <c r="B96" s="2" t="s">
        <v>13909</v>
      </c>
      <c r="C96" s="2" t="s">
        <v>13910</v>
      </c>
      <c r="D96" s="2" t="s">
        <v>13911</v>
      </c>
      <c r="E96" s="5" t="str">
        <f ca="1">IFERROR(__xludf.DUMMYFUNCTION("GOOGLETRANSLATE(B96,""ja"",""vi"")"),"Quần áo, Mang thai sản")</f>
        <v>Quần áo, Mang thai sản</v>
      </c>
      <c r="F9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6" t="str">
        <f t="shared" ca="1" si="1"/>
        <v>"24210" : "Quần áo, Mang thai sản",</v>
      </c>
    </row>
    <row r="97" spans="1:7" ht="14.25" customHeight="1">
      <c r="A97" s="2">
        <v>2084006356</v>
      </c>
      <c r="B97" s="2" t="s">
        <v>13916</v>
      </c>
      <c r="C97" s="2" t="s">
        <v>13917</v>
      </c>
      <c r="D97" s="2" t="s">
        <v>13918</v>
      </c>
      <c r="E97" s="5" t="str">
        <f ca="1">IFERROR(__xludf.DUMMYFUNCTION("GOOGLETRANSLATE(B97,""ja"",""vi"")"),"Giường ngủ cho bé")</f>
        <v>Giường ngủ cho bé</v>
      </c>
      <c r="F9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7" t="str">
        <f t="shared" ca="1" si="1"/>
        <v>"2084006356" : "Giường ngủ cho bé",</v>
      </c>
    </row>
    <row r="98" spans="1:7" ht="14.25" customHeight="1">
      <c r="A98" s="2">
        <v>2084042548</v>
      </c>
      <c r="B98" s="2" t="s">
        <v>13921</v>
      </c>
      <c r="C98" s="2" t="s">
        <v>13922</v>
      </c>
      <c r="D98" s="2" t="s">
        <v>13923</v>
      </c>
      <c r="E98" s="5" t="str">
        <f ca="1">IFERROR(__xludf.DUMMYFUNCTION("GOOGLETRANSLATE(B98,""ja"",""vi"")"),"Đi ra ngoài, nguồn cung cấp phong trào")</f>
        <v>Đi ra ngoài, nguồn cung cấp phong trào</v>
      </c>
      <c r="F9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8" t="str">
        <f t="shared" ca="1" si="1"/>
        <v>"2084042548" : "Đi ra ngoài, nguồn cung cấp phong trào",</v>
      </c>
    </row>
    <row r="99" spans="1:7" ht="14.25" customHeight="1">
      <c r="A99" s="2">
        <v>2084216344</v>
      </c>
      <c r="B99" s="2" t="s">
        <v>13927</v>
      </c>
      <c r="C99" s="2" t="s">
        <v>13930</v>
      </c>
      <c r="D99" s="2" t="s">
        <v>13931</v>
      </c>
      <c r="E99" s="5" t="str">
        <f ca="1">IFERROR(__xludf.DUMMYFUNCTION("GOOGLETRANSLATE(B99,""ja"",""vi"")"),"Sự kiện, kỷ vật")</f>
        <v>Sự kiện, kỷ vật</v>
      </c>
      <c r="F9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99" t="str">
        <f t="shared" ca="1" si="1"/>
        <v>"2084216344" : "Sự kiện, kỷ vật",</v>
      </c>
    </row>
    <row r="100" spans="1:7" ht="14.25" customHeight="1">
      <c r="A100" s="2">
        <v>21624</v>
      </c>
      <c r="B100" s="2" t="s">
        <v>13934</v>
      </c>
      <c r="C100" s="2" t="s">
        <v>13936</v>
      </c>
      <c r="D100" s="2" t="s">
        <v>13937</v>
      </c>
      <c r="E100" s="5" t="str">
        <f ca="1">IFERROR(__xludf.DUMMYFUNCTION("GOOGLETRANSLATE(B100,""ja"",""vi"")"),"sách, truyện tranh cho trẻ em")</f>
        <v>sách, truyện tranh cho trẻ em</v>
      </c>
      <c r="F10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0" t="str">
        <f t="shared" ca="1" si="1"/>
        <v>"21624" : "sách, truyện tranh cho trẻ em",</v>
      </c>
    </row>
    <row r="101" spans="1:7" ht="14.25" customHeight="1">
      <c r="A101" s="2">
        <v>2084042550</v>
      </c>
      <c r="B101" s="2" t="s">
        <v>13939</v>
      </c>
      <c r="C101" s="2" t="s">
        <v>13940</v>
      </c>
      <c r="D101" s="2" t="s">
        <v>13941</v>
      </c>
      <c r="E101" s="5" t="str">
        <f ca="1">IFERROR(__xludf.DUMMYFUNCTION("GOOGLETRANSLATE(B101,""ja"",""vi"")"),"Điều dưỡng, cung cấp bữa ăn")</f>
        <v>Điều dưỡng, cung cấp bữa ăn</v>
      </c>
      <c r="F10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1" t="str">
        <f t="shared" ca="1" si="1"/>
        <v>"2084042550" : "Điều dưỡng, cung cấp bữa ăn",</v>
      </c>
    </row>
    <row r="102" spans="1:7" ht="14.25" customHeight="1">
      <c r="A102" s="2">
        <v>2084240631</v>
      </c>
      <c r="B102" s="2" t="s">
        <v>7989</v>
      </c>
      <c r="C102" s="2" t="s">
        <v>13944</v>
      </c>
      <c r="D102" s="2" t="s">
        <v>13945</v>
      </c>
      <c r="E102" s="5" t="str">
        <f ca="1">IFERROR(__xludf.DUMMYFUNCTION("GOOGLETRANSLATE(B102,""ja"",""vi"")"),"làm bằng tay")</f>
        <v>làm bằng tay</v>
      </c>
      <c r="F10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2" t="str">
        <f t="shared" ca="1" si="1"/>
        <v>"2084240631" : "làm bằng tay",</v>
      </c>
    </row>
    <row r="103" spans="1:7" ht="14.25" customHeight="1">
      <c r="A103" s="2">
        <v>2084307799</v>
      </c>
      <c r="B103" s="2" t="s">
        <v>13948</v>
      </c>
      <c r="C103" s="2" t="s">
        <v>13949</v>
      </c>
      <c r="D103" s="2" t="s">
        <v>13950</v>
      </c>
      <c r="E103" s="5" t="str">
        <f ca="1">IFERROR(__xludf.DUMMYFUNCTION("GOOGLETRANSLATE(B103,""ja"",""vi"")"),"Bé cho thuê thiết bị")</f>
        <v>Bé cho thuê thiết bị</v>
      </c>
      <c r="F10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3" t="str">
        <f t="shared" ca="1" si="1"/>
        <v>"2084307799" : "Bé cho thuê thiết bị",</v>
      </c>
    </row>
    <row r="104" spans="1:7" ht="14.25" customHeight="1">
      <c r="A104" s="2">
        <v>24226</v>
      </c>
      <c r="B104" s="2" t="s">
        <v>46</v>
      </c>
      <c r="C104" s="2" t="s">
        <v>13953</v>
      </c>
      <c r="D104" s="2" t="s">
        <v>13954</v>
      </c>
      <c r="E104" s="5" t="str">
        <f ca="1">IFERROR(__xludf.DUMMYFUNCTION("GOOGLETRANSLATE(B104,""ja"",""vi"")"),"nếu không thì")</f>
        <v>nếu không thì</v>
      </c>
      <c r="F10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4" t="str">
        <f t="shared" ca="1" si="1"/>
        <v>"24226" : "nếu không thì",</v>
      </c>
    </row>
    <row r="105" spans="1:7" ht="14.25" customHeight="1">
      <c r="A105" s="22">
        <v>2084006318</v>
      </c>
      <c r="B105" s="11" t="s">
        <v>11248</v>
      </c>
      <c r="C105" s="11" t="s">
        <v>13962</v>
      </c>
      <c r="D105" s="11" t="s">
        <v>13962</v>
      </c>
      <c r="E105" s="5" t="str">
        <f ca="1">IFERROR(__xludf.DUMMYFUNCTION("GOOGLETRANSLATE(B105,""ja"",""vi"")"),"Mang nội")</f>
        <v>Mang nội</v>
      </c>
      <c r="F10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5" t="str">
        <f t="shared" ca="1" si="1"/>
        <v>"2084006318" : "Mang nội",</v>
      </c>
    </row>
    <row r="106" spans="1:7" ht="14.25" customHeight="1">
      <c r="A106" s="8">
        <v>2084006310</v>
      </c>
      <c r="B106" s="2" t="s">
        <v>11235</v>
      </c>
      <c r="C106" s="2" t="s">
        <v>13965</v>
      </c>
      <c r="D106" s="2" t="s">
        <v>13965</v>
      </c>
      <c r="E106" s="5" t="str">
        <f ca="1">IFERROR(__xludf.DUMMYFUNCTION("GOOGLETRANSLATE(B106,""ja"",""vi"")"),"tops")</f>
        <v>tops</v>
      </c>
      <c r="F10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6" t="str">
        <f t="shared" ca="1" si="1"/>
        <v>"2084006310" : "tops",</v>
      </c>
    </row>
    <row r="107" spans="1:7" ht="14.25" customHeight="1">
      <c r="A107" s="8">
        <v>2084006312</v>
      </c>
      <c r="B107" s="2" t="s">
        <v>13968</v>
      </c>
      <c r="C107" s="2" t="s">
        <v>13970</v>
      </c>
      <c r="D107" s="2" t="s">
        <v>13970</v>
      </c>
      <c r="E107" s="5" t="str">
        <f ca="1">IFERROR(__xludf.DUMMYFUNCTION("GOOGLETRANSLATE(B107,""ja"",""vi"")"),"áo ngủ")</f>
        <v>áo ngủ</v>
      </c>
      <c r="F10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7" t="str">
        <f t="shared" ca="1" si="1"/>
        <v>"2084006312" : "áo ngủ",</v>
      </c>
    </row>
    <row r="108" spans="1:7" ht="14.25" customHeight="1">
      <c r="A108" s="8">
        <v>2084006311</v>
      </c>
      <c r="B108" s="2" t="s">
        <v>11242</v>
      </c>
      <c r="C108" s="2" t="s">
        <v>13974</v>
      </c>
      <c r="D108" s="2" t="s">
        <v>13974</v>
      </c>
      <c r="E108" s="5" t="str">
        <f ca="1">IFERROR(__xludf.DUMMYFUNCTION("GOOGLETRANSLATE(B108,""ja"",""vi"")"),"đáy")</f>
        <v>đáy</v>
      </c>
      <c r="F10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8" t="str">
        <f t="shared" ca="1" si="1"/>
        <v>"2084006311" : "đáy",</v>
      </c>
    </row>
    <row r="109" spans="1:7" ht="14.25" customHeight="1">
      <c r="A109" s="8">
        <v>24214</v>
      </c>
      <c r="B109" s="2" t="s">
        <v>7472</v>
      </c>
      <c r="C109" s="2" t="s">
        <v>13978</v>
      </c>
      <c r="D109" s="2" t="s">
        <v>13978</v>
      </c>
      <c r="E109" s="5" t="str">
        <f ca="1">IFERROR(__xludf.DUMMYFUNCTION("GOOGLETRANSLATE(B109,""ja"",""vi"")"),"One piece")</f>
        <v>One piece</v>
      </c>
      <c r="F10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09" t="str">
        <f t="shared" ca="1" si="1"/>
        <v>"24214" : "One piece",</v>
      </c>
    </row>
    <row r="110" spans="1:7" ht="14.25" customHeight="1">
      <c r="A110" s="8">
        <v>2084006313</v>
      </c>
      <c r="B110" s="2" t="s">
        <v>46</v>
      </c>
      <c r="C110" s="2" t="s">
        <v>13982</v>
      </c>
      <c r="D110" s="2" t="s">
        <v>13982</v>
      </c>
      <c r="E110" s="5" t="str">
        <f ca="1">IFERROR(__xludf.DUMMYFUNCTION("GOOGLETRANSLATE(B110,""ja"",""vi"")"),"nếu không thì")</f>
        <v>nếu không thì</v>
      </c>
      <c r="F11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0" t="str">
        <f t="shared" ca="1" si="1"/>
        <v>"2084006313" : "nếu không thì",</v>
      </c>
    </row>
    <row r="111" spans="1:7" ht="14.25" customHeight="1">
      <c r="A111" s="11">
        <v>2084006377</v>
      </c>
      <c r="B111" s="11" t="s">
        <v>13985</v>
      </c>
      <c r="C111" s="11" t="s">
        <v>13986</v>
      </c>
      <c r="D111" s="11" t="s">
        <v>13987</v>
      </c>
      <c r="E111" s="5" t="str">
        <f ca="1">IFERROR(__xludf.DUMMYFUNCTION("GOOGLETRANSLATE(B111,""ja"",""vi"")"),"tấm chống thấm nước")</f>
        <v>tấm chống thấm nước</v>
      </c>
      <c r="F11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1" t="str">
        <f t="shared" ca="1" si="1"/>
        <v>"2084006377" : "tấm chống thấm nước",</v>
      </c>
    </row>
    <row r="112" spans="1:7" ht="14.25" customHeight="1">
      <c r="A112" s="2">
        <v>2084006378</v>
      </c>
      <c r="B112" s="2" t="s">
        <v>46</v>
      </c>
      <c r="C112" s="2" t="s">
        <v>13990</v>
      </c>
      <c r="D112" s="2" t="s">
        <v>13992</v>
      </c>
      <c r="E112" s="5" t="str">
        <f ca="1">IFERROR(__xludf.DUMMYFUNCTION("GOOGLETRANSLATE(B112,""ja"",""vi"")"),"nếu không thì")</f>
        <v>nếu không thì</v>
      </c>
      <c r="F11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2" t="str">
        <f t="shared" ca="1" si="1"/>
        <v>"2084006378" : "nếu không thì",</v>
      </c>
    </row>
    <row r="113" spans="1:7" ht="14.25" customHeight="1">
      <c r="A113" s="11">
        <v>2084006373</v>
      </c>
      <c r="B113" s="11" t="s">
        <v>13993</v>
      </c>
      <c r="C113" s="11" t="s">
        <v>13994</v>
      </c>
      <c r="D113" s="11" t="s">
        <v>13995</v>
      </c>
      <c r="E113" s="5" t="str">
        <f ca="1">IFERROR(__xludf.DUMMYFUNCTION("GOOGLETRANSLATE(B113,""ja"",""vi"")"),"khăn phủ bàn")</f>
        <v>khăn phủ bàn</v>
      </c>
      <c r="F11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3" t="str">
        <f t="shared" ca="1" si="1"/>
        <v>"2084006373" : "khăn phủ bàn",</v>
      </c>
    </row>
    <row r="114" spans="1:7" ht="14.25" customHeight="1">
      <c r="A114" s="2">
        <v>2084006376</v>
      </c>
      <c r="B114" s="2" t="s">
        <v>13999</v>
      </c>
      <c r="C114" s="2" t="s">
        <v>14000</v>
      </c>
      <c r="D114" s="2" t="s">
        <v>14003</v>
      </c>
      <c r="E114" s="5" t="str">
        <f ca="1">IFERROR(__xludf.DUMMYFUNCTION("GOOGLETRANSLATE(B114,""ja"",""vi"")"),"futon da")</f>
        <v>futon da</v>
      </c>
      <c r="F11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4" t="str">
        <f t="shared" ca="1" si="1"/>
        <v>"2084006376" : "futon da",</v>
      </c>
    </row>
    <row r="115" spans="1:7" ht="14.25" customHeight="1">
      <c r="A115" s="2">
        <v>2084006374</v>
      </c>
      <c r="B115" s="2" t="s">
        <v>14006</v>
      </c>
      <c r="C115" s="2" t="s">
        <v>14008</v>
      </c>
      <c r="D115" s="2" t="s">
        <v>14009</v>
      </c>
      <c r="E115" s="5" t="str">
        <f ca="1">IFERROR(__xludf.DUMMYFUNCTION("GOOGLETRANSLATE(B115,""ja"",""vi"")"),"nệm")</f>
        <v>nệm</v>
      </c>
      <c r="F11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5" t="str">
        <f t="shared" ca="1" si="1"/>
        <v>"2084006374" : "nệm",</v>
      </c>
    </row>
    <row r="116" spans="1:7" ht="14.25" customHeight="1">
      <c r="A116" s="2">
        <v>2084006375</v>
      </c>
      <c r="B116" s="2" t="s">
        <v>46</v>
      </c>
      <c r="C116" s="2" t="s">
        <v>14013</v>
      </c>
      <c r="D116" s="2" t="s">
        <v>14014</v>
      </c>
      <c r="E116" s="5" t="str">
        <f ca="1">IFERROR(__xludf.DUMMYFUNCTION("GOOGLETRANSLATE(B116,""ja"",""vi"")"),"nếu không thì")</f>
        <v>nếu không thì</v>
      </c>
      <c r="F11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6" t="str">
        <f t="shared" ca="1" si="1"/>
        <v>"2084006375" : "nếu không thì",</v>
      </c>
    </row>
    <row r="117" spans="1:7" ht="14.25" customHeight="1">
      <c r="A117" s="11">
        <v>2084193559</v>
      </c>
      <c r="B117" s="11" t="s">
        <v>14015</v>
      </c>
      <c r="C117" s="11" t="s">
        <v>14016</v>
      </c>
      <c r="D117" s="11" t="s">
        <v>14017</v>
      </c>
      <c r="E117" s="5" t="str">
        <f ca="1">IFERROR(__xludf.DUMMYFUNCTION("GOOGLETRANSLATE(B117,""ja"",""vi"")"),"Piggyback chuỗi đi xe")</f>
        <v>Piggyback chuỗi đi xe</v>
      </c>
      <c r="F11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7" t="str">
        <f t="shared" ca="1" si="1"/>
        <v>"2084193559" : "Piggyback chuỗi đi xe",</v>
      </c>
    </row>
    <row r="118" spans="1:7" ht="14.25" customHeight="1">
      <c r="A118" s="2">
        <v>2084193558</v>
      </c>
      <c r="B118" s="2" t="s">
        <v>14021</v>
      </c>
      <c r="C118" s="2" t="s">
        <v>14024</v>
      </c>
      <c r="D118" s="2" t="s">
        <v>14026</v>
      </c>
      <c r="E118" s="5" t="str">
        <f ca="1">IFERROR(__xludf.DUMMYFUNCTION("GOOGLETRANSLATE(B118,""ja"",""vi"")"),"treo lên")</f>
        <v>treo lên</v>
      </c>
      <c r="F11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8" t="str">
        <f t="shared" ca="1" si="1"/>
        <v>"2084193558" : "treo lên",</v>
      </c>
    </row>
    <row r="119" spans="1:7" ht="14.25" customHeight="1">
      <c r="A119" s="2">
        <v>2084193560</v>
      </c>
      <c r="B119" s="2" t="s">
        <v>14029</v>
      </c>
      <c r="C119" s="2" t="s">
        <v>14031</v>
      </c>
      <c r="D119" s="2" t="s">
        <v>14032</v>
      </c>
      <c r="E119" s="5" t="str">
        <f ca="1">IFERROR(__xludf.DUMMYFUNCTION("GOOGLETRANSLATE(B119,""ja"",""vi"")"),"bé sling")</f>
        <v>bé sling</v>
      </c>
      <c r="F11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19" t="str">
        <f t="shared" ca="1" si="1"/>
        <v>"2084193560" : "bé sling",</v>
      </c>
    </row>
    <row r="120" spans="1:7" ht="14.25" customHeight="1">
      <c r="A120" s="2">
        <v>2084193561</v>
      </c>
      <c r="B120" s="2" t="s">
        <v>46</v>
      </c>
      <c r="C120" s="2" t="s">
        <v>14036</v>
      </c>
      <c r="D120" s="2" t="s">
        <v>14037</v>
      </c>
      <c r="E120" s="5" t="str">
        <f ca="1">IFERROR(__xludf.DUMMYFUNCTION("GOOGLETRANSLATE(B120,""ja"",""vi"")"),"nếu không thì")</f>
        <v>nếu không thì</v>
      </c>
      <c r="F12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0" t="str">
        <f t="shared" ca="1" si="1"/>
        <v>"2084193561" : "nếu không thì",</v>
      </c>
    </row>
    <row r="121" spans="1:7" ht="14.25" customHeight="1">
      <c r="A121" s="11">
        <v>2084048389</v>
      </c>
      <c r="B121" s="11" t="s">
        <v>14039</v>
      </c>
      <c r="C121" s="11" t="s">
        <v>14040</v>
      </c>
      <c r="D121" s="11" t="s">
        <v>14042</v>
      </c>
      <c r="E121" s="5" t="str">
        <f ca="1">IFERROR(__xludf.DUMMYFUNCTION("GOOGLETRANSLATE(B121,""ja"",""vi"")"),"Một loại xe đẩy")</f>
        <v>Một loại xe đẩy</v>
      </c>
      <c r="F12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1" t="str">
        <f t="shared" ca="1" si="1"/>
        <v>"2084048389" : "Một loại xe đẩy",</v>
      </c>
    </row>
    <row r="122" spans="1:7" ht="14.25" customHeight="1">
      <c r="A122" s="2">
        <v>2084048390</v>
      </c>
      <c r="B122" s="2" t="s">
        <v>14044</v>
      </c>
      <c r="C122" s="2" t="s">
        <v>14045</v>
      </c>
      <c r="D122" s="2" t="s">
        <v>14048</v>
      </c>
      <c r="E122" s="5" t="str">
        <f ca="1">IFERROR(__xludf.DUMMYFUNCTION("GOOGLETRANSLATE(B122,""ja"",""vi"")"),"B loại xe đẩy")</f>
        <v>B loại xe đẩy</v>
      </c>
      <c r="F12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2" t="str">
        <f t="shared" ca="1" si="1"/>
        <v>"2084048390" : "B loại xe đẩy",</v>
      </c>
    </row>
    <row r="123" spans="1:7" ht="14.25" customHeight="1">
      <c r="A123" s="2">
        <v>2084211413</v>
      </c>
      <c r="B123" s="2" t="s">
        <v>14050</v>
      </c>
      <c r="C123" s="2" t="s">
        <v>14051</v>
      </c>
      <c r="D123" s="2" t="s">
        <v>14053</v>
      </c>
      <c r="E123" s="5" t="str">
        <f ca="1">IFERROR(__xludf.DUMMYFUNCTION("GOOGLETRANSLATE(B123,""ja"",""vi"")"),"Đẩy cho một hai chỗ ngồi")</f>
        <v>Đẩy cho một hai chỗ ngồi</v>
      </c>
      <c r="F12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3" t="str">
        <f t="shared" ca="1" si="1"/>
        <v>"2084211413" : "Đẩy cho một hai chỗ ngồi",</v>
      </c>
    </row>
    <row r="124" spans="1:7" ht="14.25" customHeight="1">
      <c r="A124" s="2">
        <v>2084193566</v>
      </c>
      <c r="B124" s="2" t="s">
        <v>14056</v>
      </c>
      <c r="C124" s="2" t="s">
        <v>14057</v>
      </c>
      <c r="D124" s="2" t="s">
        <v>14058</v>
      </c>
      <c r="E124" s="5" t="str">
        <f ca="1">IFERROR(__xludf.DUMMYFUNCTION("GOOGLETRANSLATE(B124,""ja"",""vi"")"),"Một loại loại B cũng sử dụng xe đẩy")</f>
        <v>Một loại loại B cũng sử dụng xe đẩy</v>
      </c>
      <c r="F12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4" t="str">
        <f t="shared" ca="1" si="1"/>
        <v>"2084193566" : "Một loại loại B cũng sử dụng xe đẩy",</v>
      </c>
    </row>
    <row r="125" spans="1:7" ht="14.25" customHeight="1">
      <c r="A125" s="2">
        <v>2084048391</v>
      </c>
      <c r="B125" s="2" t="s">
        <v>46</v>
      </c>
      <c r="C125" s="2" t="s">
        <v>14061</v>
      </c>
      <c r="D125" s="2" t="s">
        <v>14063</v>
      </c>
      <c r="E125" s="5" t="str">
        <f ca="1">IFERROR(__xludf.DUMMYFUNCTION("GOOGLETRANSLATE(B125,""ja"",""vi"")"),"nếu không thì")</f>
        <v>nếu không thì</v>
      </c>
      <c r="F12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5" t="str">
        <f t="shared" ca="1" si="1"/>
        <v>"2084048391" : "nếu không thì",</v>
      </c>
    </row>
    <row r="126" spans="1:7" ht="14.25" customHeight="1">
      <c r="A126" s="11">
        <v>2084202555</v>
      </c>
      <c r="B126" s="11" t="s">
        <v>14065</v>
      </c>
      <c r="C126" s="11" t="s">
        <v>14066</v>
      </c>
      <c r="D126" s="11" t="s">
        <v>14068</v>
      </c>
      <c r="E126" s="5" t="str">
        <f ca="1">IFERROR(__xludf.DUMMYFUNCTION("GOOGLETRANSLATE(B126,""ja"",""vi"")"),"túi xách tay")</f>
        <v>túi xách tay</v>
      </c>
      <c r="F12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6" t="str">
        <f t="shared" ca="1" si="1"/>
        <v>"2084202555" : "túi xách tay",</v>
      </c>
    </row>
    <row r="127" spans="1:7" ht="14.25" customHeight="1">
      <c r="A127" s="2">
        <v>2084202556</v>
      </c>
      <c r="B127" s="2" t="s">
        <v>14069</v>
      </c>
      <c r="C127" s="2" t="s">
        <v>14071</v>
      </c>
      <c r="D127" s="2" t="s">
        <v>14072</v>
      </c>
      <c r="E127" s="5" t="str">
        <f ca="1">IFERROR(__xludf.DUMMYFUNCTION("GOOGLETRANSLATE(B127,""ja"",""vi"")"),"vai")</f>
        <v>vai</v>
      </c>
      <c r="F12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7" t="str">
        <f t="shared" ca="1" si="1"/>
        <v>"2084202556" : "vai",</v>
      </c>
    </row>
    <row r="128" spans="1:7" ht="14.25" customHeight="1">
      <c r="A128" s="2">
        <v>2084202557</v>
      </c>
      <c r="B128" s="2" t="s">
        <v>14074</v>
      </c>
      <c r="C128" s="2" t="s">
        <v>14076</v>
      </c>
      <c r="D128" s="2" t="s">
        <v>14077</v>
      </c>
      <c r="E128" s="5" t="str">
        <f ca="1">IFERROR(__xludf.DUMMYFUNCTION("GOOGLETRANSLATE(B128,""ja"",""vi"")"),"Boston")</f>
        <v>Boston</v>
      </c>
      <c r="F12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8" t="str">
        <f t="shared" ca="1" si="1"/>
        <v>"2084202557" : "Boston",</v>
      </c>
    </row>
    <row r="129" spans="1:7" ht="14.25" customHeight="1">
      <c r="A129" s="2">
        <v>2084202558</v>
      </c>
      <c r="B129" s="2" t="s">
        <v>46</v>
      </c>
      <c r="C129" s="2" t="s">
        <v>14081</v>
      </c>
      <c r="D129" s="2" t="s">
        <v>14082</v>
      </c>
      <c r="E129" s="5" t="str">
        <f ca="1">IFERROR(__xludf.DUMMYFUNCTION("GOOGLETRANSLATE(B129,""ja"",""vi"")"),"nếu không thì")</f>
        <v>nếu không thì</v>
      </c>
      <c r="F12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29" t="str">
        <f t="shared" ca="1" si="1"/>
        <v>"2084202558" : "nếu không thì",</v>
      </c>
    </row>
    <row r="130" spans="1:7" ht="14.25" customHeight="1">
      <c r="A130" s="11">
        <v>2084242663</v>
      </c>
      <c r="B130" s="11" t="s">
        <v>13446</v>
      </c>
      <c r="C130" s="11" t="s">
        <v>13447</v>
      </c>
      <c r="D130" s="11" t="s">
        <v>13448</v>
      </c>
      <c r="E130" s="5" t="str">
        <f ca="1">IFERROR(__xludf.DUMMYFUNCTION("GOOGLETRANSLATE(B130,""ja"",""vi"")"),"Aprica")</f>
        <v>Aprica</v>
      </c>
      <c r="F13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0" t="str">
        <f t="shared" ca="1" si="1"/>
        <v>"2084242663" : "Aprica",</v>
      </c>
    </row>
    <row r="131" spans="1:7" ht="14.25" customHeight="1">
      <c r="A131" s="2">
        <v>2084242664</v>
      </c>
      <c r="B131" s="2" t="s">
        <v>13452</v>
      </c>
      <c r="C131" s="2" t="s">
        <v>13453</v>
      </c>
      <c r="D131" s="2" t="s">
        <v>13454</v>
      </c>
      <c r="E131" s="5" t="str">
        <f ca="1">IFERROR(__xludf.DUMMYFUNCTION("GOOGLETRANSLATE(B131,""ja"",""vi"")"),"phối hợp")</f>
        <v>phối hợp</v>
      </c>
      <c r="F13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1" t="str">
        <f t="shared" ref="G131:G158" ca="1" si="2">CONCATENATE(CHAR(34)&amp;"",A131,""&amp;CHAR(34)," : ", CHAR(34)&amp;"",E131,""&amp;CHAR(34),",")</f>
        <v>"2084242664" : "phối hợp",</v>
      </c>
    </row>
    <row r="132" spans="1:7" ht="14.25" customHeight="1">
      <c r="A132" s="2">
        <v>2084242665</v>
      </c>
      <c r="B132" s="2" t="s">
        <v>13457</v>
      </c>
      <c r="C132" s="2" t="s">
        <v>13459</v>
      </c>
      <c r="D132" s="2" t="s">
        <v>13460</v>
      </c>
      <c r="E132" s="5" t="str">
        <f ca="1">IFERROR(__xludf.DUMMYFUNCTION("GOOGLETRANSLATE(B132,""ja"",""vi"")"),"Recaro")</f>
        <v>Recaro</v>
      </c>
      <c r="F13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2" t="str">
        <f t="shared" ca="1" si="2"/>
        <v>"2084242665" : "Recaro",</v>
      </c>
    </row>
    <row r="133" spans="1:7" ht="14.25" customHeight="1">
      <c r="A133" s="2">
        <v>2084242666</v>
      </c>
      <c r="B133" s="2" t="s">
        <v>46</v>
      </c>
      <c r="C133" s="2" t="s">
        <v>13465</v>
      </c>
      <c r="D133" s="2" t="s">
        <v>13467</v>
      </c>
      <c r="E133" s="5" t="str">
        <f ca="1">IFERROR(__xludf.DUMMYFUNCTION("GOOGLETRANSLATE(B133,""ja"",""vi"")"),"nếu không thì")</f>
        <v>nếu không thì</v>
      </c>
      <c r="F13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3" t="str">
        <f t="shared" ca="1" si="2"/>
        <v>"2084242666" : "nếu không thì",</v>
      </c>
    </row>
    <row r="134" spans="1:7" ht="14.25" customHeight="1">
      <c r="A134" s="11">
        <v>2084216351</v>
      </c>
      <c r="B134" s="11" t="s">
        <v>13667</v>
      </c>
      <c r="C134" s="11" t="s">
        <v>14096</v>
      </c>
      <c r="D134" s="11" t="s">
        <v>14097</v>
      </c>
      <c r="E134" s="5" t="str">
        <f ca="1">IFERROR(__xludf.DUMMYFUNCTION("GOOGLETRANSLATE(B134,""ja"",""vi"")"),"Đối với cô gái")</f>
        <v>Đối với cô gái</v>
      </c>
      <c r="F13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4" t="str">
        <f t="shared" ca="1" si="2"/>
        <v>"2084216351" : "Đối với cô gái",</v>
      </c>
    </row>
    <row r="135" spans="1:7" ht="14.25" customHeight="1">
      <c r="A135" s="2">
        <v>2084216350</v>
      </c>
      <c r="B135" s="2" t="s">
        <v>13673</v>
      </c>
      <c r="C135" s="2" t="s">
        <v>14101</v>
      </c>
      <c r="D135" s="2" t="s">
        <v>14103</v>
      </c>
      <c r="E135" s="5" t="str">
        <f ca="1">IFERROR(__xludf.DUMMYFUNCTION("GOOGLETRANSLATE(B135,""ja"",""vi"")"),"for Boys")</f>
        <v>for Boys</v>
      </c>
      <c r="F13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5" t="str">
        <f t="shared" ca="1" si="2"/>
        <v>"2084216350" : "for Boys",</v>
      </c>
    </row>
    <row r="136" spans="1:7" ht="14.25" customHeight="1">
      <c r="A136" s="2">
        <v>2084216352</v>
      </c>
      <c r="B136" s="2" t="s">
        <v>9292</v>
      </c>
      <c r="C136" s="2" t="s">
        <v>14106</v>
      </c>
      <c r="D136" s="2" t="s">
        <v>14108</v>
      </c>
      <c r="E136" s="5" t="str">
        <f ca="1">IFERROR(__xludf.DUMMYFUNCTION("GOOGLETRANSLATE(B136,""ja"",""vi"")"),"unisex")</f>
        <v>unisex</v>
      </c>
      <c r="F13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6" t="str">
        <f t="shared" ca="1" si="2"/>
        <v>"2084216352" : "unisex",</v>
      </c>
    </row>
    <row r="137" spans="1:7" ht="14.25" customHeight="1">
      <c r="A137" s="11">
        <v>2084008643</v>
      </c>
      <c r="B137" s="11" t="s">
        <v>6061</v>
      </c>
      <c r="C137" s="11" t="s">
        <v>6062</v>
      </c>
      <c r="D137" s="11" t="s">
        <v>14109</v>
      </c>
      <c r="E137" s="5" t="str">
        <f ca="1">IFERROR(__xludf.DUMMYFUNCTION("GOOGLETRANSLATE(B137,""ja"",""vi"")"),"Bức tranh chung cuốn sách")</f>
        <v>Bức tranh chung cuốn sách</v>
      </c>
      <c r="F13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7" t="str">
        <f t="shared" ca="1" si="2"/>
        <v>"2084008643" : "Bức tranh chung cuốn sách",</v>
      </c>
    </row>
    <row r="138" spans="1:7" ht="14.25" customHeight="1">
      <c r="A138" s="2">
        <v>2084008644</v>
      </c>
      <c r="B138" s="2" t="s">
        <v>6065</v>
      </c>
      <c r="C138" s="2" t="s">
        <v>6067</v>
      </c>
      <c r="D138" s="2" t="s">
        <v>14112</v>
      </c>
      <c r="E138" s="5" t="str">
        <f ca="1">IFERROR(__xludf.DUMMYFUNCTION("GOOGLETRANSLATE(B138,""ja"",""vi"")"),"sách ảnh bé")</f>
        <v>sách ảnh bé</v>
      </c>
      <c r="F13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8" t="str">
        <f t="shared" ca="1" si="2"/>
        <v>"2084008644" : "sách ảnh bé",</v>
      </c>
    </row>
    <row r="139" spans="1:7" ht="14.25" customHeight="1">
      <c r="A139" s="2">
        <v>2084008645</v>
      </c>
      <c r="B139" s="2" t="s">
        <v>6070</v>
      </c>
      <c r="C139" s="2" t="s">
        <v>6071</v>
      </c>
      <c r="D139" s="2" t="s">
        <v>14116</v>
      </c>
      <c r="E139" s="5" t="str">
        <f ca="1">IFERROR(__xludf.DUMMYFUNCTION("GOOGLETRANSLATE(B139,""ja"",""vi"")"),"3 và 4 tuổi cho một cuốn truyện tranh")</f>
        <v>3 và 4 tuổi cho một cuốn truyện tranh</v>
      </c>
      <c r="F13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39" t="str">
        <f t="shared" ca="1" si="2"/>
        <v>"2084008645" : "3 và 4 tuổi cho một cuốn truyện tranh",</v>
      </c>
    </row>
    <row r="140" spans="1:7" ht="14.25" customHeight="1">
      <c r="A140" s="2">
        <v>2084008648</v>
      </c>
      <c r="B140" s="2" t="s">
        <v>6075</v>
      </c>
      <c r="C140" s="2" t="s">
        <v>6076</v>
      </c>
      <c r="D140" s="2" t="s">
        <v>14121</v>
      </c>
      <c r="E140" s="5" t="str">
        <f ca="1">IFERROR(__xludf.DUMMYFUNCTION("GOOGLETRANSLATE(B140,""ja"",""vi"")"),"cuốn truyện tranh dành cho người lớn")</f>
        <v>cuốn truyện tranh dành cho người lớn</v>
      </c>
      <c r="F14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0" t="str">
        <f t="shared" ca="1" si="2"/>
        <v>"2084008648" : "cuốn truyện tranh dành cho người lớn",</v>
      </c>
    </row>
    <row r="141" spans="1:7" ht="14.25" customHeight="1">
      <c r="A141" s="2">
        <v>2084008646</v>
      </c>
      <c r="B141" s="2" t="s">
        <v>6080</v>
      </c>
      <c r="C141" s="2" t="s">
        <v>6081</v>
      </c>
      <c r="D141" s="2" t="s">
        <v>14125</v>
      </c>
      <c r="E141" s="5" t="str">
        <f ca="1">IFERROR(__xludf.DUMMYFUNCTION("GOOGLETRANSLATE(B141,""ja"",""vi"")"),"sách ảnh mánh lới quảng cáo")</f>
        <v>sách ảnh mánh lới quảng cáo</v>
      </c>
      <c r="F14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1" t="str">
        <f t="shared" ca="1" si="2"/>
        <v>"2084008646" : "sách ảnh mánh lới quảng cáo",</v>
      </c>
    </row>
    <row r="142" spans="1:7" ht="14.25" customHeight="1">
      <c r="A142" s="2">
        <v>2084048888</v>
      </c>
      <c r="B142" s="2" t="s">
        <v>6084</v>
      </c>
      <c r="C142" s="2" t="s">
        <v>6086</v>
      </c>
      <c r="D142" s="2" t="s">
        <v>14129</v>
      </c>
      <c r="E142" s="5" t="str">
        <f ca="1">IFERROR(__xludf.DUMMYFUNCTION("GOOGLETRANSLATE(B142,""ja"",""vi"")"),"Kamishibai, Coloring")</f>
        <v>Kamishibai, Coloring</v>
      </c>
      <c r="F14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2" t="str">
        <f t="shared" ca="1" si="2"/>
        <v>"2084048888" : "Kamishibai, Coloring",</v>
      </c>
    </row>
    <row r="143" spans="1:7" ht="14.25" customHeight="1">
      <c r="A143" s="2">
        <v>2084008647</v>
      </c>
      <c r="B143" s="2" t="s">
        <v>6088</v>
      </c>
      <c r="C143" s="2" t="s">
        <v>6090</v>
      </c>
      <c r="D143" s="2" t="s">
        <v>14134</v>
      </c>
      <c r="E143" s="5" t="str">
        <f ca="1">IFERROR(__xludf.DUMMYFUNCTION("GOOGLETRANSLATE(B143,""ja"",""vi"")"),"cuốn truyện tranh giáo dục, học tập cuốn sách")</f>
        <v>cuốn truyện tranh giáo dục, học tập cuốn sách</v>
      </c>
      <c r="F14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3" t="str">
        <f t="shared" ca="1" si="2"/>
        <v>"2084008647" : "cuốn truyện tranh giáo dục, học tập cuốn sách",</v>
      </c>
    </row>
    <row r="144" spans="1:7" ht="14.25" customHeight="1">
      <c r="A144" s="2">
        <v>2084008649</v>
      </c>
      <c r="B144" s="2" t="s">
        <v>6093</v>
      </c>
      <c r="C144" s="2" t="s">
        <v>6094</v>
      </c>
      <c r="D144" s="2" t="s">
        <v>14138</v>
      </c>
      <c r="E144" s="5" t="str">
        <f ca="1">IFERROR(__xludf.DUMMYFUNCTION("GOOGLETRANSLATE(B144,""ja"",""vi"")"),"Sách, ngoại ngữ cuốn truyện tranh")</f>
        <v>Sách, ngoại ngữ cuốn truyện tranh</v>
      </c>
      <c r="F14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4" t="str">
        <f t="shared" ca="1" si="2"/>
        <v>"2084008649" : "Sách, ngoại ngữ cuốn truyện tranh",</v>
      </c>
    </row>
    <row r="145" spans="1:7" ht="14.25" customHeight="1">
      <c r="A145" s="11">
        <v>2084008655</v>
      </c>
      <c r="B145" s="11" t="s">
        <v>6098</v>
      </c>
      <c r="C145" s="11" t="s">
        <v>6100</v>
      </c>
      <c r="D145" s="11" t="s">
        <v>14140</v>
      </c>
      <c r="E145" s="5" t="str">
        <f ca="1">IFERROR(__xludf.DUMMYFUNCTION("GOOGLETRANSLATE(B145,""ja"",""vi"")"),"Đọc sách chung tài liệu")</f>
        <v>Đọc sách chung tài liệu</v>
      </c>
      <c r="F14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5" t="str">
        <f t="shared" ca="1" si="2"/>
        <v>"2084008655" : "Đọc sách chung tài liệu",</v>
      </c>
    </row>
    <row r="146" spans="1:7" ht="14.25" customHeight="1">
      <c r="A146" s="2">
        <v>2084008659</v>
      </c>
      <c r="B146" s="2" t="s">
        <v>6102</v>
      </c>
      <c r="C146" s="2" t="s">
        <v>6104</v>
      </c>
      <c r="D146" s="2" t="s">
        <v>14144</v>
      </c>
      <c r="E146" s="5" t="str">
        <f ca="1">IFERROR(__xludf.DUMMYFUNCTION("GOOGLETRANSLATE(B146,""ja"",""vi"")"),"Ma câu chuyện, câu chuyện ma")</f>
        <v>Ma câu chuyện, câu chuyện ma</v>
      </c>
      <c r="F14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6" t="str">
        <f t="shared" ca="1" si="2"/>
        <v>"2084008659" : "Ma câu chuyện, câu chuyện ma",</v>
      </c>
    </row>
    <row r="147" spans="1:7" ht="14.25" customHeight="1">
      <c r="A147" s="2">
        <v>2084008660</v>
      </c>
      <c r="B147" s="2" t="s">
        <v>6107</v>
      </c>
      <c r="C147" s="2" t="s">
        <v>6109</v>
      </c>
      <c r="D147" s="2" t="s">
        <v>14148</v>
      </c>
      <c r="E147" s="5" t="str">
        <f ca="1">IFERROR(__xludf.DUMMYFUNCTION("GOOGLETRANSLATE(B147,""ja"",""vi"")"),"Học đọc tài liệu")</f>
        <v>Học đọc tài liệu</v>
      </c>
      <c r="F14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7" t="str">
        <f t="shared" ca="1" si="2"/>
        <v>"2084008660" : "Học đọc tài liệu",</v>
      </c>
    </row>
    <row r="148" spans="1:7" ht="14.25" customHeight="1">
      <c r="A148" s="2">
        <v>2084008658</v>
      </c>
      <c r="B148" s="2" t="s">
        <v>6111</v>
      </c>
      <c r="C148" s="2" t="s">
        <v>6113</v>
      </c>
      <c r="D148" s="2" t="s">
        <v>14151</v>
      </c>
      <c r="E148" s="5" t="str">
        <f ca="1">IFERROR(__xludf.DUMMYFUNCTION("GOOGLETRANSLATE(B148,""ja"",""vi"")"),"câu chuyện dân gian, câu chuyện dân gian")</f>
        <v>câu chuyện dân gian, câu chuyện dân gian</v>
      </c>
      <c r="F14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8" t="str">
        <f t="shared" ca="1" si="2"/>
        <v>"2084008658" : "câu chuyện dân gian, câu chuyện dân gian",</v>
      </c>
    </row>
    <row r="149" spans="1:7" ht="14.25" customHeight="1">
      <c r="A149" s="2">
        <v>2084008657</v>
      </c>
      <c r="B149" s="2" t="s">
        <v>6115</v>
      </c>
      <c r="C149" s="2" t="s">
        <v>6117</v>
      </c>
      <c r="D149" s="2" t="s">
        <v>14155</v>
      </c>
      <c r="E149" s="5" t="str">
        <f ca="1">IFERROR(__xludf.DUMMYFUNCTION("GOOGLETRANSLATE(B149,""ja"",""vi"")"),"Tiểu sử, tuyệt vời Den")</f>
        <v>Tiểu sử, tuyệt vời Den</v>
      </c>
      <c r="F149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49" t="str">
        <f t="shared" ca="1" si="2"/>
        <v>"2084008657" : "Tiểu sử, tuyệt vời Den",</v>
      </c>
    </row>
    <row r="150" spans="1:7" ht="14.25" customHeight="1">
      <c r="A150" s="2">
        <v>2084008656</v>
      </c>
      <c r="B150" s="2" t="s">
        <v>6120</v>
      </c>
      <c r="C150" s="2" t="s">
        <v>6121</v>
      </c>
      <c r="D150" s="2" t="s">
        <v>14159</v>
      </c>
      <c r="E150" s="5" t="str">
        <f ca="1">IFERROR(__xludf.DUMMYFUNCTION("GOOGLETRANSLATE(B150,""ja"",""vi"")"),"kiệt tác")</f>
        <v>kiệt tác</v>
      </c>
      <c r="F150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0" t="str">
        <f t="shared" ca="1" si="2"/>
        <v>"2084008656" : "kiệt tác",</v>
      </c>
    </row>
    <row r="151" spans="1:7" ht="14.25" customHeight="1">
      <c r="A151" s="11">
        <v>2084005722</v>
      </c>
      <c r="B151" s="11" t="s">
        <v>8008</v>
      </c>
      <c r="C151" s="11" t="s">
        <v>14162</v>
      </c>
      <c r="D151" s="11" t="s">
        <v>14163</v>
      </c>
      <c r="E151" s="5" t="str">
        <f ca="1">IFERROR(__xludf.DUMMYFUNCTION("GOOGLETRANSLATE(B151,""ja"",""vi"")"),"Tấm, món ăn")</f>
        <v>Tấm, món ăn</v>
      </c>
      <c r="F151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1" t="str">
        <f t="shared" ca="1" si="2"/>
        <v>"2084005722" : "Tấm, món ăn",</v>
      </c>
    </row>
    <row r="152" spans="1:7" ht="14.25" customHeight="1">
      <c r="A152" s="2">
        <v>2084005721</v>
      </c>
      <c r="B152" s="2" t="s">
        <v>14165</v>
      </c>
      <c r="C152" s="2" t="s">
        <v>14166</v>
      </c>
      <c r="D152" s="2" t="s">
        <v>14170</v>
      </c>
      <c r="E152" s="5" t="str">
        <f ca="1">IFERROR(__xludf.DUMMYFUNCTION("GOOGLETRANSLATE(B152,""ja"",""vi"")"),"chai bé")</f>
        <v>chai bé</v>
      </c>
      <c r="F152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2" t="str">
        <f t="shared" ca="1" si="2"/>
        <v>"2084005721" : "chai bé",</v>
      </c>
    </row>
    <row r="153" spans="1:7" ht="14.25" customHeight="1">
      <c r="A153" s="2">
        <v>2084005723</v>
      </c>
      <c r="B153" s="2" t="s">
        <v>14172</v>
      </c>
      <c r="C153" s="2" t="s">
        <v>14175</v>
      </c>
      <c r="D153" s="2" t="s">
        <v>14176</v>
      </c>
      <c r="E153" s="5" t="str">
        <f ca="1">IFERROR(__xludf.DUMMYFUNCTION("GOOGLETRANSLATE(B153,""ja"",""vi"")"),"chai nước trái cây")</f>
        <v>chai nước trái cây</v>
      </c>
      <c r="F153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3" t="str">
        <f t="shared" ca="1" si="2"/>
        <v>"2084005723" : "chai nước trái cây",</v>
      </c>
    </row>
    <row r="154" spans="1:7" ht="14.25" customHeight="1">
      <c r="A154" s="2">
        <v>2084005724</v>
      </c>
      <c r="B154" s="2" t="s">
        <v>8002</v>
      </c>
      <c r="C154" s="2" t="s">
        <v>14180</v>
      </c>
      <c r="D154" s="2" t="s">
        <v>14181</v>
      </c>
      <c r="E154" s="5" t="str">
        <f ca="1">IFERROR(__xludf.DUMMYFUNCTION("GOOGLETRANSLATE(B154,""ja"",""vi"")"),"miệng")</f>
        <v>miệng</v>
      </c>
      <c r="F154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4" t="str">
        <f t="shared" ca="1" si="2"/>
        <v>"2084005724" : "miệng",</v>
      </c>
    </row>
    <row r="155" spans="1:7" ht="14.25" customHeight="1">
      <c r="A155" s="2">
        <v>2084005725</v>
      </c>
      <c r="B155" s="2" t="s">
        <v>46</v>
      </c>
      <c r="C155" s="2" t="s">
        <v>14184</v>
      </c>
      <c r="D155" s="2" t="s">
        <v>14185</v>
      </c>
      <c r="E155" s="5" t="str">
        <f ca="1">IFERROR(__xludf.DUMMYFUNCTION("GOOGLETRANSLATE(B155,""ja"",""vi"")"),"nếu không thì")</f>
        <v>nếu không thì</v>
      </c>
      <c r="F155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5" t="str">
        <f t="shared" ca="1" si="2"/>
        <v>"2084005725" : "nếu không thì",</v>
      </c>
    </row>
    <row r="156" spans="1:7" ht="14.25" customHeight="1">
      <c r="A156" s="11">
        <v>2084202516</v>
      </c>
      <c r="B156" s="11" t="s">
        <v>14189</v>
      </c>
      <c r="C156" s="11" t="s">
        <v>14190</v>
      </c>
      <c r="D156" s="11" t="s">
        <v>14191</v>
      </c>
      <c r="E156" s="5" t="str">
        <f ca="1">IFERROR(__xludf.DUMMYFUNCTION("GOOGLETRANSLATE(B156,""ja"",""vi"")"),"thức ăn trẻ em")</f>
        <v>thức ăn trẻ em</v>
      </c>
      <c r="F156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6" t="str">
        <f t="shared" ca="1" si="2"/>
        <v>"2084202516" : "thức ăn trẻ em",</v>
      </c>
    </row>
    <row r="157" spans="1:7" ht="14.25" customHeight="1">
      <c r="A157" s="2">
        <v>2084202515</v>
      </c>
      <c r="B157" s="2" t="s">
        <v>12515</v>
      </c>
      <c r="C157" s="2" t="s">
        <v>14192</v>
      </c>
      <c r="D157" s="2" t="s">
        <v>14195</v>
      </c>
      <c r="E157" s="5" t="str">
        <f ca="1">IFERROR(__xludf.DUMMYFUNCTION("GOOGLETRANSLATE(B157,""ja"",""vi"")"),"sữa")</f>
        <v>sữa</v>
      </c>
      <c r="F157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7" t="str">
        <f t="shared" ca="1" si="2"/>
        <v>"2084202515" : "sữa",</v>
      </c>
    </row>
    <row r="158" spans="1:7" ht="14.25" customHeight="1">
      <c r="A158" s="2">
        <v>2084202521</v>
      </c>
      <c r="B158" s="2" t="s">
        <v>46</v>
      </c>
      <c r="C158" s="2" t="s">
        <v>14198</v>
      </c>
      <c r="D158" s="2" t="s">
        <v>14199</v>
      </c>
      <c r="E158" s="5" t="str">
        <f ca="1">IFERROR(__xludf.DUMMYFUNCTION("GOOGLETRANSLATE(B158,""ja"",""vi"")"),"nếu không thì")</f>
        <v>nếu không thì</v>
      </c>
      <c r="F158" s="5" t="str">
        <f ca="1">IFERROR(__xludf.DUMMYFUNCTION("GOOGLETRANSLATE(C2,""ja"",""vi"")"),"Đấu giá&gt; Baby Sản phẩm&gt; tã, vật tư vệ sinh&gt; tã&gt; tã dùng một lần")</f>
        <v>Đấu giá&gt; Baby Sản phẩm&gt; tã, vật tư vệ sinh&gt; tã&gt; tã dùng một lần</v>
      </c>
      <c r="G158" t="str">
        <f t="shared" ca="1" si="2"/>
        <v>"2084202521" : "nếu không thì",</v>
      </c>
    </row>
    <row r="159" spans="1:7" ht="14.25" customHeight="1"/>
    <row r="160" spans="1:7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</sheetData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3"/>
  <sheetViews>
    <sheetView workbookViewId="0">
      <selection activeCell="G2" sqref="G2"/>
    </sheetView>
  </sheetViews>
  <sheetFormatPr defaultColWidth="12.59765625" defaultRowHeight="15" customHeight="1"/>
  <cols>
    <col min="1" max="1" width="9.3984375" customWidth="1"/>
    <col min="2" max="2" width="8.5" customWidth="1"/>
    <col min="3" max="3" width="19.5" customWidth="1"/>
    <col min="4" max="4" width="20.09765625" customWidth="1"/>
    <col min="5" max="5" width="17.19921875" customWidth="1"/>
    <col min="6" max="6" width="76.29687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2084046717</v>
      </c>
      <c r="B2" s="2" t="s">
        <v>7745</v>
      </c>
      <c r="C2" s="2" t="s">
        <v>14240</v>
      </c>
      <c r="D2" s="2" t="s">
        <v>14244</v>
      </c>
      <c r="E2" s="5" t="str">
        <f ca="1">IFERROR(__xludf.DUMMYFUNCTION("GOOGLETRANSLATE(B2,""ja"",""vi"")"),"Kuokado")</f>
        <v>Kuokado</v>
      </c>
      <c r="F2" s="4" t="str">
        <f ca="1">IFERROR(__xludf.DUMMYFUNCTION("GOOGLETRANSLATE(C2,""ja"",""vi"")"),"Đấu giá vé, chứng từ, đặt&gt; Khách sạn&gt; theo thể loại&gt; Thực phẩm &amp; Đồ uống&gt; Kuokado")</f>
        <v>Đấu giá vé, chứng từ, đặt&gt; Khách sạn&gt; theo thể loại&gt; Thực phẩm &amp; Đồ uống&gt; Kuokado</v>
      </c>
      <c r="G2" t="str">
        <f ca="1">CONCATENATE(CHAR(34)&amp;"",A2,""&amp;CHAR(34)," : ", CHAR(34)&amp;"",E2,""&amp;CHAR(34),",")</f>
        <v>"2084046717" : "Kuokado",</v>
      </c>
    </row>
    <row r="3" spans="1:7" ht="14.25" customHeight="1">
      <c r="A3" s="2">
        <v>2084044320</v>
      </c>
      <c r="B3" s="2" t="s">
        <v>14247</v>
      </c>
      <c r="C3" s="2" t="s">
        <v>14248</v>
      </c>
      <c r="D3" s="2" t="s">
        <v>14249</v>
      </c>
      <c r="E3" s="5" t="str">
        <f ca="1">IFERROR(__xludf.DUMMYFUNCTION("GOOGLETRANSLATE(B3,""ja"",""vi"")"),"Thực phẩm, voucher uống")</f>
        <v>Thực phẩm, voucher uống</v>
      </c>
      <c r="F3" s="4" t="str">
        <f ca="1">IFERROR(__xludf.DUMMYFUNCTION("GOOGLETRANSLATE(C3,""ja"",""vi"")"),"Đấu giá vé, chứng từ, đặt&gt; Khách sạn&gt; theo thể loại&gt; Thực phẩm &amp; Đồ uống&gt; Thực phẩm, voucher uống")</f>
        <v>Đấu giá vé, chứng từ, đặt&gt; Khách sạn&gt; theo thể loại&gt; Thực phẩm &amp; Đồ uống&gt; Thực phẩm, voucher uống</v>
      </c>
      <c r="G3" t="str">
        <f t="shared" ref="G3:G66" ca="1" si="0">CONCATENATE(CHAR(34)&amp;"",A3,""&amp;CHAR(34)," : ", CHAR(34)&amp;"",E3,""&amp;CHAR(34),",")</f>
        <v>"2084044320" : "Thực phẩm, voucher uống",</v>
      </c>
    </row>
    <row r="4" spans="1:7" ht="14.25" customHeight="1">
      <c r="A4" s="2">
        <v>2084044319</v>
      </c>
      <c r="B4" s="2" t="s">
        <v>14252</v>
      </c>
      <c r="C4" s="2" t="s">
        <v>14253</v>
      </c>
      <c r="D4" s="2" t="s">
        <v>14256</v>
      </c>
      <c r="E4" s="5" t="str">
        <f ca="1">IFERROR(__xludf.DUMMYFUNCTION("GOOGLETRANSLATE(B4,""ja"",""vi"")"),"Nhà hàng, phiếu ăn")</f>
        <v>Nhà hàng, phiếu ăn</v>
      </c>
      <c r="F4" s="4" t="str">
        <f ca="1">IFERROR(__xludf.DUMMYFUNCTION("GOOGLETRANSLATE(C4,""ja"",""vi"")"),"Đấu giá vé, chứng từ, đặt&gt; Khách sạn&gt; theo thể loại&gt; Thực phẩm &amp; Đồ uống&gt; Nhà hàng, phiếu ăn")</f>
        <v>Đấu giá vé, chứng từ, đặt&gt; Khách sạn&gt; theo thể loại&gt; Thực phẩm &amp; Đồ uống&gt; Nhà hàng, phiếu ăn</v>
      </c>
      <c r="G4" t="str">
        <f t="shared" ca="1" si="0"/>
        <v>"2084044319" : "Nhà hàng, phiếu ăn",</v>
      </c>
    </row>
    <row r="5" spans="1:7" ht="14.25" customHeight="1">
      <c r="A5" s="2">
        <v>25448</v>
      </c>
      <c r="B5" s="2" t="s">
        <v>1246</v>
      </c>
      <c r="C5" s="2" t="s">
        <v>1247</v>
      </c>
      <c r="D5" s="2" t="s">
        <v>1248</v>
      </c>
      <c r="E5" s="5" t="str">
        <f ca="1">IFERROR(__xludf.DUMMYFUNCTION("GOOGLETRANSLATE(B5,""ja"",""vi"")"),"bóng đá Mỹ")</f>
        <v>bóng đá Mỹ</v>
      </c>
      <c r="F5" s="4" t="str">
        <f ca="1">IFERROR(__xludf.DUMMYFUNCTION("GOOGLETRANSLATE(C5,""ja"",""vi"")"),"Đấu giá&gt; vé, chứng từ, đặt phòng khách sạn&gt; vé vui chơi giải trí&gt; Thể thao&gt; bóng đá Mỹ")</f>
        <v>Đấu giá&gt; vé, chứng từ, đặt phòng khách sạn&gt; vé vui chơi giải trí&gt; Thể thao&gt; bóng đá Mỹ</v>
      </c>
      <c r="G5" t="str">
        <f t="shared" ca="1" si="0"/>
        <v>"25448" : "bóng đá Mỹ",</v>
      </c>
    </row>
    <row r="6" spans="1:7" ht="14.25" customHeight="1">
      <c r="A6" s="2">
        <v>25450</v>
      </c>
      <c r="B6" s="2" t="s">
        <v>1254</v>
      </c>
      <c r="C6" s="2" t="s">
        <v>1255</v>
      </c>
      <c r="D6" s="2" t="s">
        <v>1256</v>
      </c>
      <c r="E6" s="5" t="str">
        <f ca="1">IFERROR(__xludf.DUMMYFUNCTION("GOOGLETRANSLATE(B6,""ja"",""vi"")"),"golf")</f>
        <v>golf</v>
      </c>
      <c r="F6" s="4" t="str">
        <f ca="1">IFERROR(__xludf.DUMMYFUNCTION("GOOGLETRANSLATE(C6,""ja"",""vi"")"),"Đấu giá&gt; vé, chứng từ, đặt phòng khách sạn&gt; vé vui chơi giải trí&gt; Thể thao&gt; Golf")</f>
        <v>Đấu giá&gt; vé, chứng từ, đặt phòng khách sạn&gt; vé vui chơi giải trí&gt; Thể thao&gt; Golf</v>
      </c>
      <c r="G6" t="str">
        <f t="shared" ca="1" si="0"/>
        <v>"25450" : "golf",</v>
      </c>
    </row>
    <row r="7" spans="1:7" ht="14.25" customHeight="1">
      <c r="A7" s="2">
        <v>25456</v>
      </c>
      <c r="B7" s="2" t="s">
        <v>1262</v>
      </c>
      <c r="C7" s="2" t="s">
        <v>1263</v>
      </c>
      <c r="D7" s="2" t="s">
        <v>1264</v>
      </c>
      <c r="E7" s="5" t="str">
        <f ca="1">IFERROR(__xludf.DUMMYFUNCTION("GOOGLETRANSLATE(B7,""ja"",""vi"")"),"bóng đá")</f>
        <v>bóng đá</v>
      </c>
      <c r="F7" s="4" t="str">
        <f ca="1">IFERROR(__xludf.DUMMYFUNCTION("GOOGLETRANSLATE(C7,""ja"",""vi"")"),"Đấu giá&gt; vé, chứng từ, đặt phòng khách sạn&gt; vé vui chơi giải trí&gt; Thể thao&gt; Bóng đá")</f>
        <v>Đấu giá&gt; vé, chứng từ, đặt phòng khách sạn&gt; vé vui chơi giải trí&gt; Thể thao&gt; Bóng đá</v>
      </c>
      <c r="G7" t="str">
        <f t="shared" ca="1" si="0"/>
        <v>"25456" : "bóng đá",</v>
      </c>
    </row>
    <row r="8" spans="1:7" ht="14.25" customHeight="1">
      <c r="A8" s="2">
        <v>2084045757</v>
      </c>
      <c r="B8" s="2" t="s">
        <v>1268</v>
      </c>
      <c r="C8" s="2" t="s">
        <v>1269</v>
      </c>
      <c r="D8" s="2" t="s">
        <v>1270</v>
      </c>
      <c r="E8" s="5" t="str">
        <f ca="1">IFERROR(__xludf.DUMMYFUNCTION("GOOGLETRANSLATE(B8,""ja"",""vi"")"),"softball")</f>
        <v>softball</v>
      </c>
      <c r="F8" s="4" t="str">
        <f ca="1">IFERROR(__xludf.DUMMYFUNCTION("GOOGLETRANSLATE(C8,""ja"",""vi"")"),"Đấu giá&gt; vé, chứng từ, đặt phòng khách sạn&gt; vé vui chơi giải trí&gt; Thể thao&gt; Môn bóng mềm")</f>
        <v>Đấu giá&gt; vé, chứng từ, đặt phòng khách sạn&gt; vé vui chơi giải trí&gt; Thể thao&gt; Môn bóng mềm</v>
      </c>
      <c r="G8" t="str">
        <f t="shared" ca="1" si="0"/>
        <v>"2084045757" : "softball",</v>
      </c>
    </row>
    <row r="9" spans="1:7" ht="14.25" customHeight="1">
      <c r="A9" s="2">
        <v>2084230533</v>
      </c>
      <c r="B9" s="2" t="s">
        <v>1276</v>
      </c>
      <c r="C9" s="2" t="s">
        <v>1277</v>
      </c>
      <c r="D9" s="2" t="s">
        <v>1279</v>
      </c>
      <c r="E9" s="5" t="str">
        <f ca="1">IFERROR(__xludf.DUMMYFUNCTION("GOOGLETRANSLATE(B9,""ja"",""vi"")"),"quần vợt")</f>
        <v>quần vợt</v>
      </c>
      <c r="F9" s="4" t="str">
        <f ca="1">IFERROR(__xludf.DUMMYFUNCTION("GOOGLETRANSLATE(C9,""ja"",""vi"")"),"Đấu giá&gt; vé, chứng từ, đặt phòng khách sạn&gt; vé vui chơi giải trí&gt; Thể thao&gt; Tennis")</f>
        <v>Đấu giá&gt; vé, chứng từ, đặt phòng khách sạn&gt; vé vui chơi giải trí&gt; Thể thao&gt; Tennis</v>
      </c>
      <c r="G9" t="str">
        <f t="shared" ca="1" si="0"/>
        <v>"2084230533" : "quần vợt",</v>
      </c>
    </row>
    <row r="10" spans="1:7" ht="14.25" customHeight="1">
      <c r="A10" s="2">
        <v>25442</v>
      </c>
      <c r="B10" s="2" t="s">
        <v>1288</v>
      </c>
      <c r="C10" s="2" t="s">
        <v>1290</v>
      </c>
      <c r="D10" s="2" t="s">
        <v>1291</v>
      </c>
      <c r="E10" s="5" t="str">
        <f ca="1">IFERROR(__xludf.DUMMYFUNCTION("GOOGLETRANSLATE(B10,""ja"",""vi"")"),"Bóng rổ")</f>
        <v>Bóng rổ</v>
      </c>
      <c r="F10" s="4" t="str">
        <f ca="1">IFERROR(__xludf.DUMMYFUNCTION("GOOGLETRANSLATE(C10,""ja"",""vi"")"),"Đấu giá&gt; vé, chứng từ, đặt phòng khách sạn&gt; vé vui chơi giải trí&gt; Thể thao&gt; Bóng rổ")</f>
        <v>Đấu giá&gt; vé, chứng từ, đặt phòng khách sạn&gt; vé vui chơi giải trí&gt; Thể thao&gt; Bóng rổ</v>
      </c>
      <c r="G10" t="str">
        <f t="shared" ca="1" si="0"/>
        <v>"25442" : "Bóng rổ",</v>
      </c>
    </row>
    <row r="11" spans="1:7" ht="14.25" customHeight="1">
      <c r="A11" s="2">
        <v>2084230534</v>
      </c>
      <c r="B11" s="2" t="s">
        <v>1294</v>
      </c>
      <c r="C11" s="2" t="s">
        <v>1295</v>
      </c>
      <c r="D11" s="2" t="s">
        <v>1297</v>
      </c>
      <c r="E11" s="5" t="str">
        <f ca="1">IFERROR(__xludf.DUMMYFUNCTION("GOOGLETRANSLATE(B11,""ja"",""vi"")"),"bóng chuyền")</f>
        <v>bóng chuyền</v>
      </c>
      <c r="F11" s="4" t="str">
        <f ca="1">IFERROR(__xludf.DUMMYFUNCTION("GOOGLETRANSLATE(C11,""ja"",""vi"")"),"Đấu giá&gt; vé, chứng từ, đặt phòng khách sạn&gt; vé vui chơi giải trí&gt; Thể thao&gt; Bóng chuyền")</f>
        <v>Đấu giá&gt; vé, chứng từ, đặt phòng khách sạn&gt; vé vui chơi giải trí&gt; Thể thao&gt; Bóng chuyền</v>
      </c>
      <c r="G11" t="str">
        <f t="shared" ca="1" si="0"/>
        <v>"2084230534" : "bóng chuyền",</v>
      </c>
    </row>
    <row r="12" spans="1:7" ht="14.25" customHeight="1">
      <c r="A12" s="2">
        <v>25438</v>
      </c>
      <c r="B12" s="2" t="s">
        <v>1302</v>
      </c>
      <c r="C12" s="2" t="s">
        <v>1304</v>
      </c>
      <c r="D12" s="2" t="s">
        <v>1306</v>
      </c>
      <c r="E12" s="5" t="str">
        <f ca="1">IFERROR(__xludf.DUMMYFUNCTION("GOOGLETRANSLATE(B12,""ja"",""vi"")"),"đua xe motor")</f>
        <v>đua xe motor</v>
      </c>
      <c r="F12" s="4" t="str">
        <f ca="1">IFERROR(__xludf.DUMMYFUNCTION("GOOGLETRANSLATE(C12,""ja"",""vi"")"),"Đấu giá&gt; vé, chứng từ, đặt phòng khách sạn&gt; vé vui chơi giải trí&gt; Thể thao&gt; Đua xe motor")</f>
        <v>Đấu giá&gt; vé, chứng từ, đặt phòng khách sạn&gt; vé vui chơi giải trí&gt; Thể thao&gt; Đua xe motor</v>
      </c>
      <c r="G12" t="str">
        <f t="shared" ca="1" si="0"/>
        <v>"25438" : "đua xe motor",</v>
      </c>
    </row>
    <row r="13" spans="1:7" ht="14.25" customHeight="1">
      <c r="A13" s="2">
        <v>25458</v>
      </c>
      <c r="B13" s="2" t="s">
        <v>1311</v>
      </c>
      <c r="C13" s="2" t="s">
        <v>1313</v>
      </c>
      <c r="D13" s="2" t="s">
        <v>1315</v>
      </c>
      <c r="E13" s="5" t="str">
        <f ca="1">IFERROR(__xludf.DUMMYFUNCTION("GOOGLETRANSLATE(B13,""ja"",""vi"")"),"Võ thuật, Wrestling")</f>
        <v>Võ thuật, Wrestling</v>
      </c>
      <c r="F13" s="4" t="str">
        <f ca="1">IFERROR(__xludf.DUMMYFUNCTION("GOOGLETRANSLATE(C13,""ja"",""vi"")"),"Đấu giá&gt; vé, chứng từ, đặt phòng khách sạn&gt; vé vui chơi giải trí&gt; Thể thao&gt; Võ thuật, Wrestling")</f>
        <v>Đấu giá&gt; vé, chứng từ, đặt phòng khách sạn&gt; vé vui chơi giải trí&gt; Thể thao&gt; Võ thuật, Wrestling</v>
      </c>
      <c r="G13" t="str">
        <f t="shared" ca="1" si="0"/>
        <v>"25458" : "Võ thuật, Wrestling",</v>
      </c>
    </row>
    <row r="14" spans="1:7" ht="14.25" customHeight="1">
      <c r="A14" s="2">
        <v>2084045756</v>
      </c>
      <c r="B14" s="2" t="s">
        <v>1319</v>
      </c>
      <c r="C14" s="2" t="s">
        <v>1321</v>
      </c>
      <c r="D14" s="2" t="s">
        <v>1323</v>
      </c>
      <c r="E14" s="5" t="str">
        <f ca="1">IFERROR(__xludf.DUMMYFUNCTION("GOOGLETRANSLATE(B14,""ja"",""vi"")"),"Bóng chày")</f>
        <v>Bóng chày</v>
      </c>
      <c r="F14" s="4" t="str">
        <f ca="1">IFERROR(__xludf.DUMMYFUNCTION("GOOGLETRANSLATE(C14,""ja"",""vi"")"),"Đấu giá&gt; vé, chứng từ, đặt phòng khách sạn&gt; vé vui chơi giải trí&gt; Thể thao&gt; Bóng chày")</f>
        <v>Đấu giá&gt; vé, chứng từ, đặt phòng khách sạn&gt; vé vui chơi giải trí&gt; Thể thao&gt; Bóng chày</v>
      </c>
      <c r="G14" t="str">
        <f t="shared" ca="1" si="0"/>
        <v>"2084045756" : "Bóng chày",</v>
      </c>
    </row>
    <row r="15" spans="1:7" ht="14.25" customHeight="1">
      <c r="A15" s="2">
        <v>25460</v>
      </c>
      <c r="B15" s="2" t="s">
        <v>46</v>
      </c>
      <c r="C15" s="2" t="s">
        <v>1328</v>
      </c>
      <c r="D15" s="2" t="s">
        <v>1330</v>
      </c>
      <c r="E15" s="5" t="str">
        <f ca="1">IFERROR(__xludf.DUMMYFUNCTION("GOOGLETRANSLATE(B15,""ja"",""vi"")"),"nếu không thì")</f>
        <v>nếu không thì</v>
      </c>
      <c r="F15" s="4" t="str">
        <f ca="1">IFERROR(__xludf.DUMMYFUNCTION("GOOGLETRANSLATE(C15,""ja"",""vi"")"),"Đấu giá&gt; vé, chứng từ, đặt phòng khách sạn&gt; vé vui chơi giải trí&gt; Thể thao&gt; Khác")</f>
        <v>Đấu giá&gt; vé, chứng từ, đặt phòng khách sạn&gt; vé vui chơi giải trí&gt; Thể thao&gt; Khác</v>
      </c>
      <c r="G15" t="str">
        <f t="shared" ca="1" si="0"/>
        <v>"25460" : "nếu không thì",</v>
      </c>
    </row>
    <row r="16" spans="1:7" ht="14.25" customHeight="1">
      <c r="A16" s="2">
        <v>22816</v>
      </c>
      <c r="B16" s="2" t="s">
        <v>1207</v>
      </c>
      <c r="C16" s="2" t="s">
        <v>1208</v>
      </c>
      <c r="D16" s="2" t="s">
        <v>1209</v>
      </c>
      <c r="E16" s="5" t="str">
        <f ca="1">IFERROR(__xludf.DUMMYFUNCTION("GOOGLETRANSLATE(B16,""ja"",""vi"")"),"nhạc")</f>
        <v>nhạc</v>
      </c>
      <c r="F16" s="4" t="str">
        <f ca="1">IFERROR(__xludf.DUMMYFUNCTION("GOOGLETRANSLATE(C16,""ja"",""vi"")"),"Đấu giá&gt; vé, chứng từ, đặt phòng khách sạn&gt; vé vui chơi giải trí&gt; Nghệ thuật biểu diễn&gt; Nhạc")</f>
        <v>Đấu giá&gt; vé, chứng từ, đặt phòng khách sạn&gt; vé vui chơi giải trí&gt; Nghệ thuật biểu diễn&gt; Nhạc</v>
      </c>
      <c r="G16" t="str">
        <f t="shared" ca="1" si="0"/>
        <v>"22816" : "nhạc",</v>
      </c>
    </row>
    <row r="17" spans="1:7" ht="14.25" customHeight="1">
      <c r="A17" s="2">
        <v>22824</v>
      </c>
      <c r="B17" s="2" t="s">
        <v>1213</v>
      </c>
      <c r="C17" s="2" t="s">
        <v>1214</v>
      </c>
      <c r="D17" s="2" t="s">
        <v>1215</v>
      </c>
      <c r="E17" s="5" t="str">
        <f ca="1">IFERROR(__xludf.DUMMYFUNCTION("GOOGLETRANSLATE(B17,""ja"",""vi"")"),"nhà hát")</f>
        <v>nhà hát</v>
      </c>
      <c r="F17" s="4" t="str">
        <f ca="1">IFERROR(__xludf.DUMMYFUNCTION("GOOGLETRANSLATE(C17,""ja"",""vi"")"),"Đấu giá&gt; vé, chứng từ, đặt phòng khách sạn&gt; vé vui chơi giải trí&gt; Nghệ thuật biểu diễn&gt; Nhà hát")</f>
        <v>Đấu giá&gt; vé, chứng từ, đặt phòng khách sạn&gt; vé vui chơi giải trí&gt; Nghệ thuật biểu diễn&gt; Nhà hát</v>
      </c>
      <c r="G17" t="str">
        <f t="shared" ca="1" si="0"/>
        <v>"22824" : "nhà hát",</v>
      </c>
    </row>
    <row r="18" spans="1:7" ht="14.25" customHeight="1">
      <c r="A18" s="2">
        <v>2084039797</v>
      </c>
      <c r="B18" s="2" t="s">
        <v>1219</v>
      </c>
      <c r="C18" s="2" t="s">
        <v>1220</v>
      </c>
      <c r="D18" s="2" t="s">
        <v>1221</v>
      </c>
      <c r="E18" s="5" t="str">
        <f ca="1">IFERROR(__xludf.DUMMYFUNCTION("GOOGLETRANSLATE(B18,""ja"",""vi"")"),"Hài, giải trí")</f>
        <v>Hài, giải trí</v>
      </c>
      <c r="F18" s="4" t="str">
        <f ca="1">IFERROR(__xludf.DUMMYFUNCTION("GOOGLETRANSLATE(C18,""ja"",""vi"")"),"Đấu giá&gt; vé, chứng từ, đặt phòng khách sạn&gt; vé vui chơi giải trí&gt; Nghệ thuật biểu diễn&gt; Comedy, giải trí")</f>
        <v>Đấu giá&gt; vé, chứng từ, đặt phòng khách sạn&gt; vé vui chơi giải trí&gt; Nghệ thuật biểu diễn&gt; Comedy, giải trí</v>
      </c>
      <c r="G18" t="str">
        <f t="shared" ca="1" si="0"/>
        <v>"2084039797" : "Hài, giải trí",</v>
      </c>
    </row>
    <row r="19" spans="1:7" ht="14.25" customHeight="1">
      <c r="A19" s="2">
        <v>22820</v>
      </c>
      <c r="B19" s="2" t="s">
        <v>1170</v>
      </c>
      <c r="C19" s="2" t="s">
        <v>1227</v>
      </c>
      <c r="D19" s="2" t="s">
        <v>1228</v>
      </c>
      <c r="E19" s="5" t="str">
        <f ca="1">IFERROR(__xludf.DUMMYFUNCTION("GOOGLETRANSLATE(B19,""ja"",""vi"")"),"nhạc kịch")</f>
        <v>nhạc kịch</v>
      </c>
      <c r="F19" s="4" t="str">
        <f ca="1">IFERROR(__xludf.DUMMYFUNCTION("GOOGLETRANSLATE(C19,""ja"",""vi"")"),"Đấu giá&gt; vé, chứng từ, đặt phòng khách sạn&gt; vé vui chơi giải trí&gt; Biểu diễn Nghệ thuật&gt; Opera")</f>
        <v>Đấu giá&gt; vé, chứng từ, đặt phòng khách sạn&gt; vé vui chơi giải trí&gt; Biểu diễn Nghệ thuật&gt; Opera</v>
      </c>
      <c r="G19" t="str">
        <f t="shared" ca="1" si="0"/>
        <v>"22820" : "nhạc kịch",</v>
      </c>
    </row>
    <row r="20" spans="1:7" ht="14.25" customHeight="1">
      <c r="A20" s="2">
        <v>22804</v>
      </c>
      <c r="B20" s="2" t="s">
        <v>1232</v>
      </c>
      <c r="C20" s="2" t="s">
        <v>1233</v>
      </c>
      <c r="D20" s="2" t="s">
        <v>1234</v>
      </c>
      <c r="E20" s="5" t="str">
        <f ca="1">IFERROR(__xludf.DUMMYFUNCTION("GOOGLETRANSLATE(B20,""ja"",""vi"")"),"Ballet, múa")</f>
        <v>Ballet, múa</v>
      </c>
      <c r="F20" s="4" t="str">
        <f ca="1">IFERROR(__xludf.DUMMYFUNCTION("GOOGLETRANSLATE(C20,""ja"",""vi"")"),"Đấu giá&gt; vé, chứng từ, đặt phòng khách sạn&gt; vé vui chơi giải trí&gt; Nghệ thuật biểu diễn&gt; ballet, khiêu vũ")</f>
        <v>Đấu giá&gt; vé, chứng từ, đặt phòng khách sạn&gt; vé vui chơi giải trí&gt; Nghệ thuật biểu diễn&gt; ballet, khiêu vũ</v>
      </c>
      <c r="G20" t="str">
        <f t="shared" ca="1" si="0"/>
        <v>"22804" : "Ballet, múa",</v>
      </c>
    </row>
    <row r="21" spans="1:7" ht="14.25" customHeight="1">
      <c r="A21" s="2">
        <v>2084039794</v>
      </c>
      <c r="B21" s="2" t="s">
        <v>1237</v>
      </c>
      <c r="C21" s="2" t="s">
        <v>1239</v>
      </c>
      <c r="D21" s="2" t="s">
        <v>1242</v>
      </c>
      <c r="E21" s="5" t="str">
        <f ca="1">IFERROR(__xludf.DUMMYFUNCTION("GOOGLETRANSLATE(B21,""ja"",""vi"")"),"Nghệ thuật truyền thống Performing")</f>
        <v>Nghệ thuật truyền thống Performing</v>
      </c>
      <c r="F21" s="4" t="str">
        <f ca="1">IFERROR(__xludf.DUMMYFUNCTION("GOOGLETRANSLATE(C21,""ja"",""vi"")"),"Đấu giá&gt; vé, chứng từ, đặt phòng khách sạn&gt; vé vui chơi giải trí&gt; Biểu diễn Nghệ thuật&gt; Nghệ thuật truyền thống Performing")</f>
        <v>Đấu giá&gt; vé, chứng từ, đặt phòng khách sạn&gt; vé vui chơi giải trí&gt; Biểu diễn Nghệ thuật&gt; Nghệ thuật truyền thống Performing</v>
      </c>
      <c r="G21" t="str">
        <f t="shared" ca="1" si="0"/>
        <v>"2084039794" : "Nghệ thuật truyền thống Performing",</v>
      </c>
    </row>
    <row r="22" spans="1:7" ht="14.25" customHeight="1">
      <c r="A22" s="23">
        <v>2084046718</v>
      </c>
      <c r="B22" s="23" t="s">
        <v>14318</v>
      </c>
      <c r="C22" s="23" t="s">
        <v>14320</v>
      </c>
      <c r="D22" s="23" t="s">
        <v>14321</v>
      </c>
      <c r="E22" s="5" t="str">
        <f ca="1">IFERROR(__xludf.DUMMYFUNCTION("GOOGLETRANSLATE(B22,""ja"",""vi"")"),"thẻ thư viện")</f>
        <v>thẻ thư viện</v>
      </c>
      <c r="F22" s="4" t="str">
        <f ca="1">IFERROR(__xludf.DUMMYFUNCTION("GOOGLETRANSLATE(C22,""ja"",""vi"")"),"Đấu giá&gt; vé, chứng từ, đặt phòng khách sạn&gt; theo thể loại&gt; Sở thích, văn hóa&gt; Thẻ sách")</f>
        <v>Đấu giá&gt; vé, chứng từ, đặt phòng khách sạn&gt; theo thể loại&gt; Sở thích, văn hóa&gt; Thẻ sách</v>
      </c>
      <c r="G22" t="str">
        <f t="shared" ca="1" si="0"/>
        <v>"2084046718" : "thẻ thư viện",</v>
      </c>
    </row>
    <row r="23" spans="1:7" ht="14.25" customHeight="1">
      <c r="A23" s="23">
        <v>2084044323</v>
      </c>
      <c r="B23" s="23" t="s">
        <v>14324</v>
      </c>
      <c r="C23" s="23" t="s">
        <v>14327</v>
      </c>
      <c r="D23" s="23" t="s">
        <v>14328</v>
      </c>
      <c r="E23" s="5" t="str">
        <f ca="1">IFERROR(__xludf.DUMMYFUNCTION("GOOGLETRANSLATE(B23,""ja"",""vi"")"),"sách coupon")</f>
        <v>sách coupon</v>
      </c>
      <c r="F23" s="4" t="str">
        <f ca="1">IFERROR(__xludf.DUMMYFUNCTION("GOOGLETRANSLATE(C23,""ja"",""vi"")"),"Đấu giá&gt; vé, chứng từ, đặt phòng khách sạn&gt; theo thể loại&gt; Sở thích, văn hóa&gt; coupon book")</f>
        <v>Đấu giá&gt; vé, chứng từ, đặt phòng khách sạn&gt; theo thể loại&gt; Sở thích, văn hóa&gt; coupon book</v>
      </c>
      <c r="G23" t="str">
        <f t="shared" ca="1" si="0"/>
        <v>"2084044323" : "sách coupon",</v>
      </c>
    </row>
    <row r="24" spans="1:7" ht="14.25" customHeight="1">
      <c r="A24" s="23">
        <v>2084044326</v>
      </c>
      <c r="B24" s="23" t="s">
        <v>14329</v>
      </c>
      <c r="C24" s="23" t="s">
        <v>14331</v>
      </c>
      <c r="D24" s="23" t="s">
        <v>14333</v>
      </c>
      <c r="E24" s="5" t="str">
        <f ca="1">IFERROR(__xludf.DUMMYFUNCTION("GOOGLETRANSLATE(B24,""ja"",""vi"")"),"vé Văn phòng phẩm")</f>
        <v>vé Văn phòng phẩm</v>
      </c>
      <c r="F24" s="4" t="str">
        <f ca="1">IFERROR(__xludf.DUMMYFUNCTION("GOOGLETRANSLATE(C24,""ja"",""vi"")"),"Đấu giá vé, chứng từ, đặt&gt; Khách sạn&gt; theo thể loại&gt; Sở thích, văn hóa&gt; vé văn phòng phẩm")</f>
        <v>Đấu giá vé, chứng từ, đặt&gt; Khách sạn&gt; theo thể loại&gt; Sở thích, văn hóa&gt; vé văn phòng phẩm</v>
      </c>
      <c r="G24" t="str">
        <f t="shared" ca="1" si="0"/>
        <v>"2084044326" : "vé Văn phòng phẩm",</v>
      </c>
    </row>
    <row r="25" spans="1:7" ht="14.25" customHeight="1">
      <c r="A25" s="2">
        <v>2084046717</v>
      </c>
      <c r="B25" s="2" t="s">
        <v>7745</v>
      </c>
      <c r="C25" s="2" t="s">
        <v>14336</v>
      </c>
      <c r="D25" s="2" t="s">
        <v>14338</v>
      </c>
      <c r="E25" s="5" t="str">
        <f ca="1">IFERROR(__xludf.DUMMYFUNCTION("GOOGLETRANSLATE(B25,""ja"",""vi"")"),"Kuokado")</f>
        <v>Kuokado</v>
      </c>
      <c r="F25" s="4" t="str">
        <f ca="1">IFERROR(__xludf.DUMMYFUNCTION("GOOGLETRANSLATE(C25,""ja"",""vi"")"),"Đấu giá vé, chứng từ, đặt&gt; Khách sạn&gt; theo thể loại&gt; Giải trí&gt; Kuokado")</f>
        <v>Đấu giá vé, chứng từ, đặt&gt; Khách sạn&gt; theo thể loại&gt; Giải trí&gt; Kuokado</v>
      </c>
      <c r="G25" t="str">
        <f t="shared" ca="1" si="0"/>
        <v>"2084046717" : "Kuokado",</v>
      </c>
    </row>
    <row r="26" spans="1:7" ht="14.25" customHeight="1">
      <c r="A26" s="2">
        <v>2084044985</v>
      </c>
      <c r="B26" s="2" t="s">
        <v>14342</v>
      </c>
      <c r="C26" s="2" t="s">
        <v>14344</v>
      </c>
      <c r="D26" s="2" t="s">
        <v>14345</v>
      </c>
      <c r="E26" s="5" t="str">
        <f ca="1">IFERROR(__xludf.DUMMYFUNCTION("GOOGLETRANSLATE(B26,""ja"",""vi"")"),"Golf Voucher")</f>
        <v>Golf Voucher</v>
      </c>
      <c r="F26" s="4" t="str">
        <f ca="1">IFERROR(__xludf.DUMMYFUNCTION("GOOGLETRANSLATE(C26,""ja"",""vi"")"),"Đấu giá vé, chứng từ, đặt&gt; Khách sạn&gt; theo thể loại&gt; Giải trí&gt; Golf Voucher")</f>
        <v>Đấu giá vé, chứng từ, đặt&gt; Khách sạn&gt; theo thể loại&gt; Giải trí&gt; Golf Voucher</v>
      </c>
      <c r="G26" t="str">
        <f t="shared" ca="1" si="0"/>
        <v>"2084044985" : "Golf Voucher",</v>
      </c>
    </row>
    <row r="27" spans="1:7" ht="14.25" customHeight="1">
      <c r="A27" s="2">
        <v>2084042176</v>
      </c>
      <c r="B27" s="2" t="s">
        <v>14348</v>
      </c>
      <c r="C27" s="2" t="s">
        <v>14349</v>
      </c>
      <c r="D27" s="2" t="s">
        <v>14350</v>
      </c>
      <c r="E27" s="5" t="str">
        <f ca="1">IFERROR(__xludf.DUMMYFUNCTION("GOOGLETRANSLATE(B27,""ja"",""vi"")"),"vé hồ bơi")</f>
        <v>vé hồ bơi</v>
      </c>
      <c r="F27" s="4" t="str">
        <f ca="1">IFERROR(__xludf.DUMMYFUNCTION("GOOGLETRANSLATE(C27,""ja"",""vi"")"),"Đấu giá vé, chứng từ, đặt&gt; Khách sạn&gt; theo thể loại&gt; giải trí&gt; vé hồ bơi")</f>
        <v>Đấu giá vé, chứng từ, đặt&gt; Khách sạn&gt; theo thể loại&gt; giải trí&gt; vé hồ bơi</v>
      </c>
      <c r="G27" t="str">
        <f t="shared" ca="1" si="0"/>
        <v>"2084042176" : "vé hồ bơi",</v>
      </c>
    </row>
    <row r="28" spans="1:7" ht="14.25" customHeight="1">
      <c r="A28" s="2">
        <v>2084044321</v>
      </c>
      <c r="B28" s="2" t="s">
        <v>14353</v>
      </c>
      <c r="C28" s="2" t="s">
        <v>14355</v>
      </c>
      <c r="D28" s="2" t="s">
        <v>14357</v>
      </c>
      <c r="E28" s="5" t="str">
        <f ca="1">IFERROR(__xludf.DUMMYFUNCTION("GOOGLETRANSLATE(B28,""ja"",""vi"")"),"Phiếu Quà tặng Giải trí")</f>
        <v>Phiếu Quà tặng Giải trí</v>
      </c>
      <c r="F28" s="4" t="str">
        <f ca="1">IFERROR(__xludf.DUMMYFUNCTION("GOOGLETRANSLATE(C28,""ja"",""vi"")"),"Đấu giá vé, chứng từ, đặt&gt; Khách sạn&gt; theo thể loại&gt; Giải trí&gt; Phiếu Quà tặng Giải trí")</f>
        <v>Đấu giá vé, chứng từ, đặt&gt; Khách sạn&gt; theo thể loại&gt; Giải trí&gt; Phiếu Quà tặng Giải trí</v>
      </c>
      <c r="G28" t="str">
        <f t="shared" ca="1" si="0"/>
        <v>"2084044321" : "Phiếu Quà tặng Giải trí",</v>
      </c>
    </row>
    <row r="29" spans="1:7" ht="14.25" customHeight="1">
      <c r="A29" s="2">
        <v>2084062636</v>
      </c>
      <c r="B29" s="2" t="s">
        <v>12195</v>
      </c>
      <c r="C29" s="2" t="s">
        <v>14360</v>
      </c>
      <c r="D29" s="2" t="s">
        <v>14361</v>
      </c>
      <c r="E29" s="5" t="str">
        <f ca="1">IFERROR(__xludf.DUMMYFUNCTION("GOOGLETRANSLATE(B29,""ja"",""vi"")"),"Đặt phòng khách sạn")</f>
        <v>Đặt phòng khách sạn</v>
      </c>
      <c r="F29" s="4" t="str">
        <f ca="1">IFERROR(__xludf.DUMMYFUNCTION("GOOGLETRANSLATE(C29,""ja"",""vi"")"),"Đấu giá&gt; vé, chứng từ, đặt phòng khách sạn&gt; theo thể loại&gt; Giải trí&gt; đặt phòng nơi ăn nghỉ")</f>
        <v>Đấu giá&gt; vé, chứng từ, đặt phòng khách sạn&gt; theo thể loại&gt; Giải trí&gt; đặt phòng nơi ăn nghỉ</v>
      </c>
      <c r="G29" t="str">
        <f t="shared" ca="1" si="0"/>
        <v>"2084062636" : "Đặt phòng khách sạn",</v>
      </c>
    </row>
    <row r="30" spans="1:7" ht="14.25" customHeight="1">
      <c r="A30" s="2">
        <v>25432</v>
      </c>
      <c r="B30" s="2" t="s">
        <v>14364</v>
      </c>
      <c r="C30" s="2" t="s">
        <v>14365</v>
      </c>
      <c r="D30" s="2" t="s">
        <v>14367</v>
      </c>
      <c r="E30" s="5" t="str">
        <f ca="1">IFERROR(__xludf.DUMMYFUNCTION("GOOGLETRANSLATE(B30,""ja"",""vi"")"),"khu vui chơi, công viên giải trí")</f>
        <v>khu vui chơi, công viên giải trí</v>
      </c>
      <c r="F30" s="4" t="str">
        <f ca="1">IFERROR(__xludf.DUMMYFUNCTION("GOOGLETRANSLATE(C30,""ja"",""vi"")"),"Đấu giá&gt; vé, chứng từ, đặt phòng khách sạn&gt; theo thể loại&gt; Giải trí&gt; Khu vui chơi giải trí, công viên giải trí")</f>
        <v>Đấu giá&gt; vé, chứng từ, đặt phòng khách sạn&gt; theo thể loại&gt; Giải trí&gt; Khu vui chơi giải trí, công viên giải trí</v>
      </c>
      <c r="G30" t="str">
        <f t="shared" ca="1" si="0"/>
        <v>"25432" : "khu vui chơi, công viên giải trí",</v>
      </c>
    </row>
    <row r="31" spans="1:7" ht="14.25" customHeight="1">
      <c r="A31" s="2">
        <v>2084060556</v>
      </c>
      <c r="B31" s="2" t="s">
        <v>1367</v>
      </c>
      <c r="C31" s="2" t="s">
        <v>1368</v>
      </c>
      <c r="D31" s="2" t="s">
        <v>1369</v>
      </c>
      <c r="E31" s="5" t="str">
        <f ca="1">IFERROR(__xludf.DUMMYFUNCTION("GOOGLETRANSLATE(B31,""ja"",""vi"")"),"phim Nhật Bản")</f>
        <v>phim Nhật Bản</v>
      </c>
      <c r="F31" s="4" t="str">
        <f ca="1">IFERROR(__xludf.DUMMYFUNCTION("GOOGLETRANSLATE(C31,""ja"",""vi"")"),"Đấu giá&gt; vé, chứng từ, đặt phòng khách sạn&gt; vé vui chơi giải trí&gt; phim&gt; Phim Nhật Bản")</f>
        <v>Đấu giá&gt; vé, chứng từ, đặt phòng khách sạn&gt; vé vui chơi giải trí&gt; phim&gt; Phim Nhật Bản</v>
      </c>
      <c r="G31" t="str">
        <f t="shared" ca="1" si="0"/>
        <v>"2084060556" : "phim Nhật Bản",</v>
      </c>
    </row>
    <row r="32" spans="1:7" ht="14.25" customHeight="1">
      <c r="A32" s="2">
        <v>2084060557</v>
      </c>
      <c r="B32" s="2" t="s">
        <v>1372</v>
      </c>
      <c r="C32" s="2" t="s">
        <v>1374</v>
      </c>
      <c r="D32" s="2" t="s">
        <v>1376</v>
      </c>
      <c r="E32" s="5" t="str">
        <f ca="1">IFERROR(__xludf.DUMMYFUNCTION("GOOGLETRANSLATE(B32,""ja"",""vi"")"),"phim")</f>
        <v>phim</v>
      </c>
      <c r="F32" s="4" t="str">
        <f ca="1">IFERROR(__xludf.DUMMYFUNCTION("GOOGLETRANSLATE(C32,""ja"",""vi"")"),"Đấu giá&gt; vé, chứng từ, đặt phòng khách sạn&gt; vé vui chơi giải trí&gt; Điện ảnh&gt; Phim")</f>
        <v>Đấu giá&gt; vé, chứng từ, đặt phòng khách sạn&gt; vé vui chơi giải trí&gt; Điện ảnh&gt; Phim</v>
      </c>
      <c r="G32" t="str">
        <f t="shared" ca="1" si="0"/>
        <v>"2084060557" : "phim",</v>
      </c>
    </row>
    <row r="33" spans="1:7" ht="14.25" customHeight="1">
      <c r="A33" s="2">
        <v>2084060558</v>
      </c>
      <c r="B33" s="2" t="s">
        <v>46</v>
      </c>
      <c r="C33" s="2" t="s">
        <v>1381</v>
      </c>
      <c r="D33" s="2" t="s">
        <v>1385</v>
      </c>
      <c r="E33" s="5" t="str">
        <f ca="1">IFERROR(__xludf.DUMMYFUNCTION("GOOGLETRANSLATE(B33,""ja"",""vi"")"),"nếu không thì")</f>
        <v>nếu không thì</v>
      </c>
      <c r="F33" s="4" t="str">
        <f ca="1">IFERROR(__xludf.DUMMYFUNCTION("GOOGLETRANSLATE(C33,""ja"",""vi"")"),"Đấu giá&gt; vé, chứng từ, đặt phòng khách sạn&gt; vé vui chơi giải trí&gt; phim&gt; Khác")</f>
        <v>Đấu giá&gt; vé, chứng từ, đặt phòng khách sạn&gt; vé vui chơi giải trí&gt; phim&gt; Khác</v>
      </c>
      <c r="G33" t="str">
        <f t="shared" ca="1" si="0"/>
        <v>"2084060558" : "nếu không thì",</v>
      </c>
    </row>
    <row r="34" spans="1:7" ht="14.25" customHeight="1">
      <c r="A34" s="2">
        <v>22820</v>
      </c>
      <c r="B34" s="2" t="s">
        <v>1170</v>
      </c>
      <c r="C34" s="2" t="s">
        <v>14378</v>
      </c>
      <c r="D34" s="2" t="s">
        <v>14380</v>
      </c>
      <c r="E34" s="5" t="str">
        <f ca="1">IFERROR(__xludf.DUMMYFUNCTION("GOOGLETRANSLATE(B34,""ja"",""vi"")"),"nhạc kịch")</f>
        <v>nhạc kịch</v>
      </c>
      <c r="F34" s="4" t="str">
        <f ca="1">IFERROR(__xludf.DUMMYFUNCTION("GOOGLETRANSLATE(C34,""ja"",""vi"")"),"Đấu giá vé, chứng từ, đặt&gt; Khách sạn&gt; theo thể loại&gt; Âm nhạc&gt; Opera")</f>
        <v>Đấu giá vé, chứng từ, đặt&gt; Khách sạn&gt; theo thể loại&gt; Âm nhạc&gt; Opera</v>
      </c>
      <c r="G34" t="str">
        <f t="shared" ca="1" si="0"/>
        <v>"22820" : "nhạc kịch",</v>
      </c>
    </row>
    <row r="35" spans="1:7" ht="14.25" customHeight="1">
      <c r="A35" s="2">
        <v>2084039806</v>
      </c>
      <c r="B35" s="2" t="s">
        <v>1162</v>
      </c>
      <c r="C35" s="2" t="s">
        <v>14383</v>
      </c>
      <c r="D35" s="2" t="s">
        <v>14384</v>
      </c>
      <c r="E35" s="5" t="str">
        <f ca="1">IFERROR(__xludf.DUMMYFUNCTION("GOOGLETRANSLATE(B35,""ja"",""vi"")"),"cổ điển")</f>
        <v>cổ điển</v>
      </c>
      <c r="F35" s="4" t="str">
        <f ca="1">IFERROR(__xludf.DUMMYFUNCTION("GOOGLETRANSLATE(C35,""ja"",""vi"")"),"Đấu giá vé, chứng từ, đặt&gt; Khách sạn&gt; theo thể loại&gt; Âm nhạc&gt; Cổ điển")</f>
        <v>Đấu giá vé, chứng từ, đặt&gt; Khách sạn&gt; theo thể loại&gt; Âm nhạc&gt; Cổ điển</v>
      </c>
      <c r="G35" t="str">
        <f t="shared" ca="1" si="0"/>
        <v>"2084039806" : "cổ điển",</v>
      </c>
    </row>
    <row r="36" spans="1:7" ht="14.25" customHeight="1">
      <c r="A36" s="2">
        <v>2084039805</v>
      </c>
      <c r="B36" s="2" t="s">
        <v>1176</v>
      </c>
      <c r="C36" s="2" t="s">
        <v>14389</v>
      </c>
      <c r="D36" s="2" t="s">
        <v>14391</v>
      </c>
      <c r="E36" s="5" t="str">
        <f ca="1">IFERROR(__xludf.DUMMYFUNCTION("GOOGLETRANSLATE(B36,""ja"",""vi"")"),"nhạc jazz")</f>
        <v>nhạc jazz</v>
      </c>
      <c r="F36" s="4" t="str">
        <f ca="1">IFERROR(__xludf.DUMMYFUNCTION("GOOGLETRANSLATE(C36,""ja"",""vi"")"),"Đấu giá vé, chứng từ, đặt&gt; Khách sạn&gt; theo thể loại&gt; Âm nhạc&gt; Nhạc Jazz")</f>
        <v>Đấu giá vé, chứng từ, đặt&gt; Khách sạn&gt; theo thể loại&gt; Âm nhạc&gt; Nhạc Jazz</v>
      </c>
      <c r="G36" t="str">
        <f t="shared" ca="1" si="0"/>
        <v>"2084039805" : "nhạc jazz",</v>
      </c>
    </row>
    <row r="37" spans="1:7" ht="14.25" customHeight="1">
      <c r="A37" s="2">
        <v>2084005269</v>
      </c>
      <c r="B37" s="2" t="s">
        <v>1139</v>
      </c>
      <c r="C37" s="2" t="s">
        <v>14396</v>
      </c>
      <c r="D37" s="2" t="s">
        <v>14398</v>
      </c>
      <c r="E37" s="5" t="str">
        <f ca="1">IFERROR(__xludf.DUMMYFUNCTION("GOOGLETRANSLATE(B37,""ja"",""vi"")"),"Pop Nhật Bản")</f>
        <v>Pop Nhật Bản</v>
      </c>
      <c r="F37" s="4" t="str">
        <f ca="1">IFERROR(__xludf.DUMMYFUNCTION("GOOGLETRANSLATE(C37,""ja"",""vi"")"),"Đấu giá vé, chứng từ, đặt&gt; Khách sạn&gt; theo thể loại&gt; Âm nhạc&gt; Pop Nhật Bản")</f>
        <v>Đấu giá vé, chứng từ, đặt&gt; Khách sạn&gt; theo thể loại&gt; Âm nhạc&gt; Pop Nhật Bản</v>
      </c>
      <c r="G37" t="str">
        <f t="shared" ca="1" si="0"/>
        <v>"2084005269" : "Pop Nhật Bản",</v>
      </c>
    </row>
    <row r="38" spans="1:7" ht="14.25" customHeight="1">
      <c r="A38" s="2">
        <v>22776</v>
      </c>
      <c r="B38" s="2" t="s">
        <v>1183</v>
      </c>
      <c r="C38" s="2" t="s">
        <v>14403</v>
      </c>
      <c r="D38" s="2" t="s">
        <v>14404</v>
      </c>
      <c r="E38" s="5" t="str">
        <f ca="1">IFERROR(__xludf.DUMMYFUNCTION("GOOGLETRANSLATE(B38,""ja"",""vi"")"),"lễ hội âm nhạc")</f>
        <v>lễ hội âm nhạc</v>
      </c>
      <c r="F38" s="4" t="str">
        <f ca="1">IFERROR(__xludf.DUMMYFUNCTION("GOOGLETRANSLATE(C38,""ja"",""vi"")"),"Đấu giá vé, chứng từ, đặt&gt; Khách sạn&gt; theo thể loại&gt; Nhạc&gt; Music Festival")</f>
        <v>Đấu giá vé, chứng từ, đặt&gt; Khách sạn&gt; theo thể loại&gt; Nhạc&gt; Music Festival</v>
      </c>
      <c r="G38" t="str">
        <f t="shared" ca="1" si="0"/>
        <v>"22776" : "lễ hội âm nhạc",</v>
      </c>
    </row>
    <row r="39" spans="1:7" ht="14.25" customHeight="1">
      <c r="A39" s="2">
        <v>2084059686</v>
      </c>
      <c r="B39" s="2" t="s">
        <v>1147</v>
      </c>
      <c r="C39" s="2" t="s">
        <v>14408</v>
      </c>
      <c r="D39" s="2" t="s">
        <v>14410</v>
      </c>
      <c r="E39" s="5" t="str">
        <f ca="1">IFERROR(__xludf.DUMMYFUNCTION("GOOGLETRANSLATE(B39,""ja"",""vi"")"),"ballad")</f>
        <v>ballad</v>
      </c>
      <c r="F39" s="4" t="str">
        <f ca="1">IFERROR(__xludf.DUMMYFUNCTION("GOOGLETRANSLATE(C39,""ja"",""vi"")"),"Đấu giá vé, chứng từ, đặt&gt; Khách sạn&gt; theo thể loại&gt; Âm nhạc&gt; Enka")</f>
        <v>Đấu giá vé, chứng từ, đặt&gt; Khách sạn&gt; theo thể loại&gt; Âm nhạc&gt; Enka</v>
      </c>
      <c r="G39" t="str">
        <f t="shared" ca="1" si="0"/>
        <v>"2084059686" : "ballad",</v>
      </c>
    </row>
    <row r="40" spans="1:7" ht="14.25" customHeight="1">
      <c r="A40" s="2">
        <v>2084044325</v>
      </c>
      <c r="B40" s="2" t="s">
        <v>14412</v>
      </c>
      <c r="C40" s="2" t="s">
        <v>14413</v>
      </c>
      <c r="D40" s="2" t="s">
        <v>14416</v>
      </c>
      <c r="E40" s="5" t="str">
        <f ca="1">IFERROR(__xludf.DUMMYFUNCTION("GOOGLETRANSLATE(B40,""ja"",""vi"")"),"Phiếu Quà tặng âm nhạc")</f>
        <v>Phiếu Quà tặng âm nhạc</v>
      </c>
      <c r="F40" s="4" t="str">
        <f ca="1">IFERROR(__xludf.DUMMYFUNCTION("GOOGLETRANSLATE(C40,""ja"",""vi"")"),"Đấu giá vé, chứng từ, đặt&gt; Khách sạn&gt; theo thể loại&gt; Âm nhạc&gt; Chứng chỉ Âm nhạc quà tặng")</f>
        <v>Đấu giá vé, chứng từ, đặt&gt; Khách sạn&gt; theo thể loại&gt; Âm nhạc&gt; Chứng chỉ Âm nhạc quà tặng</v>
      </c>
      <c r="G40" t="str">
        <f t="shared" ca="1" si="0"/>
        <v>"2084044325" : "Phiếu Quà tặng âm nhạc",</v>
      </c>
    </row>
    <row r="41" spans="1:7" ht="14.25" customHeight="1">
      <c r="A41" s="2">
        <v>22788</v>
      </c>
      <c r="B41" s="2" t="s">
        <v>1154</v>
      </c>
      <c r="C41" s="2" t="s">
        <v>14420</v>
      </c>
      <c r="D41" s="2" t="s">
        <v>14421</v>
      </c>
      <c r="E41" s="5" t="str">
        <f ca="1">IFERROR(__xludf.DUMMYFUNCTION("GOOGLETRANSLATE(B41,""ja"",""vi"")"),"thế giới")</f>
        <v>thế giới</v>
      </c>
      <c r="F41" s="4" t="str">
        <f ca="1">IFERROR(__xludf.DUMMYFUNCTION("GOOGLETRANSLATE(C41,""ja"",""vi"")"),"Đấu giá vé, chứng từ đặt phòng&gt;, Khách sạn&gt; theo thể loại&gt; Âm nhạc&gt; Tây")</f>
        <v>Đấu giá vé, chứng từ đặt phòng&gt;, Khách sạn&gt; theo thể loại&gt; Âm nhạc&gt; Tây</v>
      </c>
      <c r="G41" t="str">
        <f t="shared" ca="1" si="0"/>
        <v>"22788" : "thế giới",</v>
      </c>
    </row>
    <row r="42" spans="1:7" ht="14.25" customHeight="1">
      <c r="A42" s="2">
        <v>22796</v>
      </c>
      <c r="B42" s="2" t="s">
        <v>46</v>
      </c>
      <c r="C42" s="2" t="s">
        <v>14425</v>
      </c>
      <c r="D42" s="2" t="s">
        <v>14426</v>
      </c>
      <c r="E42" s="5" t="str">
        <f ca="1">IFERROR(__xludf.DUMMYFUNCTION("GOOGLETRANSLATE(B42,""ja"",""vi"")"),"nếu không thì")</f>
        <v>nếu không thì</v>
      </c>
      <c r="F42" s="4" t="str">
        <f ca="1">IFERROR(__xludf.DUMMYFUNCTION("GOOGLETRANSLATE(C42,""ja"",""vi"")"),"Đấu giá vé, chứng từ đặt phòng&gt;, Khách sạn&gt; theo thể loại&gt; Âm nhạc&gt; Khác")</f>
        <v>Đấu giá vé, chứng từ đặt phòng&gt;, Khách sạn&gt; theo thể loại&gt; Âm nhạc&gt; Khác</v>
      </c>
      <c r="G42" t="str">
        <f t="shared" ca="1" si="0"/>
        <v>"22796" : "nếu không thì",</v>
      </c>
    </row>
    <row r="43" spans="1:7" ht="14.25" customHeight="1">
      <c r="A43" s="2">
        <v>2084046717</v>
      </c>
      <c r="B43" s="2" t="s">
        <v>7745</v>
      </c>
      <c r="C43" s="2" t="s">
        <v>14430</v>
      </c>
      <c r="D43" s="2" t="s">
        <v>14431</v>
      </c>
      <c r="E43" s="5" t="str">
        <f ca="1">IFERROR(__xludf.DUMMYFUNCTION("GOOGLETRANSLATE(B43,""ja"",""vi"")"),"Kuokado")</f>
        <v>Kuokado</v>
      </c>
      <c r="F43" s="4" t="str">
        <f ca="1">IFERROR(__xludf.DUMMYFUNCTION("GOOGLETRANSLATE(C43,""ja"",""vi"")"),"Đấu giá vé, chứng từ, đặt&gt; Khách sạn&gt; theo thể loại&gt; nhà, nội thất&gt; Kuokado")</f>
        <v>Đấu giá vé, chứng từ, đặt&gt; Khách sạn&gt; theo thể loại&gt; nhà, nội thất&gt; Kuokado</v>
      </c>
      <c r="G43" t="str">
        <f t="shared" ca="1" si="0"/>
        <v>"2084046717" : "Kuokado",</v>
      </c>
    </row>
    <row r="44" spans="1:7" ht="14.25" customHeight="1">
      <c r="A44" s="2">
        <v>2084044324</v>
      </c>
      <c r="B44" s="2" t="s">
        <v>14435</v>
      </c>
      <c r="C44" s="2" t="s">
        <v>14437</v>
      </c>
      <c r="D44" s="2" t="s">
        <v>14439</v>
      </c>
      <c r="E44" s="5" t="str">
        <f ca="1">IFERROR(__xludf.DUMMYFUNCTION("GOOGLETRANSLATE(B44,""ja"",""vi"")"),"vé hoa")</f>
        <v>vé hoa</v>
      </c>
      <c r="F44" s="4" t="str">
        <f ca="1">IFERROR(__xludf.DUMMYFUNCTION("GOOGLETRANSLATE(C44,""ja"",""vi"")"),"Đấu giá vé, chứng từ, đặt&gt; Khách sạn&gt; theo thể loại&gt; house, vé nội thất&gt; Flower")</f>
        <v>Đấu giá vé, chứng từ, đặt&gt; Khách sạn&gt; theo thể loại&gt; house, vé nội thất&gt; Flower</v>
      </c>
      <c r="G44" t="str">
        <f t="shared" ca="1" si="0"/>
        <v>"2084044324" : "vé hoa",</v>
      </c>
    </row>
    <row r="45" spans="1:7" ht="14.25" customHeight="1">
      <c r="A45" s="2">
        <v>2084044322</v>
      </c>
      <c r="B45" s="2" t="s">
        <v>14442</v>
      </c>
      <c r="C45" s="2" t="s">
        <v>14444</v>
      </c>
      <c r="D45" s="2" t="s">
        <v>14445</v>
      </c>
      <c r="E45" s="5" t="str">
        <f ca="1">IFERROR(__xludf.DUMMYFUNCTION("GOOGLETRANSLATE(B45,""ja"",""vi"")"),"Gift Voucher")</f>
        <v>Gift Voucher</v>
      </c>
      <c r="F45" s="4" t="str">
        <f ca="1">IFERROR(__xludf.DUMMYFUNCTION("GOOGLETRANSLATE(C45,""ja"",""vi"")"),"Đấu giá vé, chứng từ, đặt&gt; Khách sạn&gt; theo thể loại&gt; Làm đẹp, sức khỏe&gt; ​​Phiếu Quà tặng")</f>
        <v>Đấu giá vé, chứng từ, đặt&gt; Khách sạn&gt; theo thể loại&gt; Làm đẹp, sức khỏe&gt; ​​Phiếu Quà tặng</v>
      </c>
      <c r="G45" t="str">
        <f t="shared" ca="1" si="0"/>
        <v>"2084044322" : "Gift Voucher",</v>
      </c>
    </row>
    <row r="46" spans="1:7" ht="14.25" customHeight="1">
      <c r="A46" s="2">
        <v>2084046717</v>
      </c>
      <c r="B46" s="2" t="s">
        <v>7745</v>
      </c>
      <c r="C46" s="2" t="s">
        <v>14449</v>
      </c>
      <c r="D46" s="2" t="s">
        <v>14451</v>
      </c>
      <c r="E46" s="5" t="str">
        <f ca="1">IFERROR(__xludf.DUMMYFUNCTION("GOOGLETRANSLATE(B46,""ja"",""vi"")"),"Kuokado")</f>
        <v>Kuokado</v>
      </c>
      <c r="F46" s="4" t="str">
        <f ca="1">IFERROR(__xludf.DUMMYFUNCTION("GOOGLETRANSLATE(C46,""ja"",""vi"")"),"Đấu giá vé, chứng từ, đặt&gt; Khách sạn&gt; theo thể loại&gt; Làm đẹp, sức khỏe&gt; ​​Kuokado")</f>
        <v>Đấu giá vé, chứng từ, đặt&gt; Khách sạn&gt; theo thể loại&gt; Làm đẹp, sức khỏe&gt; ​​Kuokado</v>
      </c>
      <c r="G46" t="str">
        <f t="shared" ca="1" si="0"/>
        <v>"2084046717" : "Kuokado",</v>
      </c>
    </row>
    <row r="47" spans="1:7" ht="14.25" customHeight="1">
      <c r="A47" s="2">
        <v>2084007699</v>
      </c>
      <c r="B47" s="2" t="s">
        <v>12177</v>
      </c>
      <c r="C47" s="2" t="s">
        <v>12178</v>
      </c>
      <c r="D47" s="2" t="s">
        <v>14456</v>
      </c>
      <c r="E47" s="5" t="str">
        <f ca="1">IFERROR(__xludf.DUMMYFUNCTION("GOOGLETRANSLATE(B47,""ja"",""vi"")"),"Quốc lộ thẻ")</f>
        <v>Quốc lộ thẻ</v>
      </c>
      <c r="F47" s="4" t="str">
        <f ca="1">IFERROR(__xludf.DUMMYFUNCTION("GOOGLETRANSLATE(C47,""ja"",""vi"")"),"Đấu giá&gt; vé, chứng từ, đặt phòng khách sạn&gt; theo thể loại&gt; Du lịch, Giao thông vận tải&gt; thẻ quốc lộ")</f>
        <v>Đấu giá&gt; vé, chứng từ, đặt phòng khách sạn&gt; theo thể loại&gt; Du lịch, Giao thông vận tải&gt; thẻ quốc lộ</v>
      </c>
      <c r="G47" t="str">
        <f t="shared" ca="1" si="0"/>
        <v>"2084007699" : "Quốc lộ thẻ",</v>
      </c>
    </row>
    <row r="48" spans="1:7" ht="14.25" customHeight="1">
      <c r="A48" s="2">
        <v>2084007698</v>
      </c>
      <c r="B48" s="2" t="s">
        <v>12181</v>
      </c>
      <c r="C48" s="2" t="s">
        <v>12183</v>
      </c>
      <c r="D48" s="2" t="s">
        <v>14461</v>
      </c>
      <c r="E48" s="5" t="str">
        <f ca="1">IFERROR(__xludf.DUMMYFUNCTION("GOOGLETRANSLATE(B48,""ja"",""vi"")"),"thẻ xe buýt")</f>
        <v>thẻ xe buýt</v>
      </c>
      <c r="F48" s="4" t="str">
        <f ca="1">IFERROR(__xludf.DUMMYFUNCTION("GOOGLETRANSLATE(C48,""ja"",""vi"")"),"Đấu giá&gt; vé, chứng từ, đặt phòng khách sạn&gt; theo thể loại&gt; du lịch, vận chuyển&gt; thẻ xe buýt")</f>
        <v>Đấu giá&gt; vé, chứng từ, đặt phòng khách sạn&gt; theo thể loại&gt; du lịch, vận chuyển&gt; thẻ xe buýt</v>
      </c>
      <c r="G48" t="str">
        <f t="shared" ca="1" si="0"/>
        <v>"2084007698" : "thẻ xe buýt",</v>
      </c>
    </row>
    <row r="49" spans="1:7" ht="14.25" customHeight="1">
      <c r="A49" s="2">
        <v>26180</v>
      </c>
      <c r="B49" s="2" t="s">
        <v>12187</v>
      </c>
      <c r="C49" s="2" t="s">
        <v>12189</v>
      </c>
      <c r="D49" s="2" t="s">
        <v>14464</v>
      </c>
      <c r="E49" s="5" t="str">
        <f ca="1">IFERROR(__xludf.DUMMYFUNCTION("GOOGLETRANSLATE(B49,""ja"",""vi"")"),"bán vé máy bay")</f>
        <v>bán vé máy bay</v>
      </c>
      <c r="F49" s="4" t="str">
        <f ca="1">IFERROR(__xludf.DUMMYFUNCTION("GOOGLETRANSLATE(C49,""ja"",""vi"")"),"Đấu giá vé, chứng từ, đặt&gt; Khách sạn&gt; theo thể loại&gt; du lịch, vận chuyển&gt; vé máy bay")</f>
        <v>Đấu giá vé, chứng từ, đặt&gt; Khách sạn&gt; theo thể loại&gt; du lịch, vận chuyển&gt; vé máy bay</v>
      </c>
      <c r="G49" t="str">
        <f t="shared" ca="1" si="0"/>
        <v>"26180" : "bán vé máy bay",</v>
      </c>
    </row>
    <row r="50" spans="1:7" ht="14.25" customHeight="1">
      <c r="A50" s="2">
        <v>42441</v>
      </c>
      <c r="B50" s="2" t="s">
        <v>12081</v>
      </c>
      <c r="C50" s="2" t="s">
        <v>12193</v>
      </c>
      <c r="D50" s="2" t="s">
        <v>14468</v>
      </c>
      <c r="E50" s="5" t="str">
        <f ca="1">IFERROR(__xludf.DUMMYFUNCTION("GOOGLETRANSLATE(B50,""ja"",""vi"")"),"voucher khách sạn")</f>
        <v>voucher khách sạn</v>
      </c>
      <c r="F50" s="4" t="str">
        <f ca="1">IFERROR(__xludf.DUMMYFUNCTION("GOOGLETRANSLATE(C50,""ja"",""vi"")"),"Đấu giá&gt; vé, chứng từ, đặt phòng khách sạn&gt; theo thể loại&gt; Du lịch, Giao thông vận tải&gt; voucher")</f>
        <v>Đấu giá&gt; vé, chứng từ, đặt phòng khách sạn&gt; theo thể loại&gt; Du lịch, Giao thông vận tải&gt; voucher</v>
      </c>
      <c r="G50" t="str">
        <f t="shared" ca="1" si="0"/>
        <v>"42441" : "voucher khách sạn",</v>
      </c>
    </row>
    <row r="51" spans="1:7" ht="14.25" customHeight="1">
      <c r="A51" s="2">
        <v>2084062636</v>
      </c>
      <c r="B51" s="2" t="s">
        <v>12195</v>
      </c>
      <c r="C51" s="2" t="s">
        <v>12197</v>
      </c>
      <c r="D51" s="2" t="s">
        <v>14471</v>
      </c>
      <c r="E51" s="5" t="str">
        <f ca="1">IFERROR(__xludf.DUMMYFUNCTION("GOOGLETRANSLATE(B51,""ja"",""vi"")"),"Đặt phòng khách sạn")</f>
        <v>Đặt phòng khách sạn</v>
      </c>
      <c r="F51" s="4" t="str">
        <f ca="1">IFERROR(__xludf.DUMMYFUNCTION("GOOGLETRANSLATE(C51,""ja"",""vi"")"),"Đấu giá&gt; vé, chứng từ, đặt phòng khách sạn&gt; theo thể loại&gt; Du lịch, Giao thông vận tải&gt; đặt phòng nơi ăn nghỉ")</f>
        <v>Đấu giá&gt; vé, chứng từ, đặt phòng khách sạn&gt; theo thể loại&gt; Du lịch, Giao thông vận tải&gt; đặt phòng nơi ăn nghỉ</v>
      </c>
      <c r="G51" t="str">
        <f t="shared" ca="1" si="0"/>
        <v>"2084062636" : "Đặt phòng khách sạn",</v>
      </c>
    </row>
    <row r="52" spans="1:7" ht="14.25" customHeight="1">
      <c r="A52" s="2">
        <v>2084007952</v>
      </c>
      <c r="B52" s="2" t="s">
        <v>12202</v>
      </c>
      <c r="C52" s="2" t="s">
        <v>12204</v>
      </c>
      <c r="D52" s="2" t="s">
        <v>14474</v>
      </c>
      <c r="E52" s="5" t="str">
        <f ca="1">IFERROR(__xludf.DUMMYFUNCTION("GOOGLETRANSLATE(B52,""ja"",""vi"")"),"vé tàu")</f>
        <v>vé tàu</v>
      </c>
      <c r="F52" s="4" t="str">
        <f ca="1">IFERROR(__xludf.DUMMYFUNCTION("GOOGLETRANSLATE(C52,""ja"",""vi"")"),"Đấu giá&gt; vé, chứng từ, đặt phòng khách sạn&gt; theo thể loại&gt; Du lịch, Giao thông vận tải&gt; vé tàu")</f>
        <v>Đấu giá&gt; vé, chứng từ, đặt phòng khách sạn&gt; theo thể loại&gt; Du lịch, Giao thông vận tải&gt; vé tàu</v>
      </c>
      <c r="G52" t="str">
        <f t="shared" ca="1" si="0"/>
        <v>"2084007952" : "vé tàu",</v>
      </c>
    </row>
    <row r="53" spans="1:7" ht="14.25" customHeight="1">
      <c r="A53" s="2">
        <v>2084007697</v>
      </c>
      <c r="B53" s="2" t="s">
        <v>12209</v>
      </c>
      <c r="C53" s="2" t="s">
        <v>12210</v>
      </c>
      <c r="D53" s="2" t="s">
        <v>14477</v>
      </c>
      <c r="E53" s="5" t="str">
        <f ca="1">IFERROR(__xludf.DUMMYFUNCTION("GOOGLETRANSLATE(B53,""ja"",""vi"")"),"Thẻ cho đường sắt")</f>
        <v>Thẻ cho đường sắt</v>
      </c>
      <c r="F53" s="4" t="str">
        <f ca="1">IFERROR(__xludf.DUMMYFUNCTION("GOOGLETRANSLATE(C53,""ja"",""vi"")"),"Đấu giá&gt; vé, chứng từ, đặt phòng khách sạn&gt; theo thể loại&gt; du lịch, giao thông&gt; Thẻ đường sắt")</f>
        <v>Đấu giá&gt; vé, chứng từ, đặt phòng khách sạn&gt; theo thể loại&gt; du lịch, giao thông&gt; Thẻ đường sắt</v>
      </c>
      <c r="G53" t="str">
        <f t="shared" ca="1" si="0"/>
        <v>"2084007697" : "Thẻ cho đường sắt",</v>
      </c>
    </row>
    <row r="54" spans="1:7" ht="14.25" customHeight="1">
      <c r="A54" s="2">
        <v>2084048816</v>
      </c>
      <c r="B54" s="2" t="s">
        <v>12217</v>
      </c>
      <c r="C54" s="2" t="s">
        <v>12218</v>
      </c>
      <c r="D54" s="2" t="s">
        <v>14480</v>
      </c>
      <c r="E54" s="5" t="str">
        <f ca="1">IFERROR(__xludf.DUMMYFUNCTION("GOOGLETRANSLATE(B54,""ja"",""vi"")"),"vé du lịch")</f>
        <v>vé du lịch</v>
      </c>
      <c r="F54" s="4" t="str">
        <f ca="1">IFERROR(__xludf.DUMMYFUNCTION("GOOGLETRANSLATE(C54,""ja"",""vi"")"),"Đấu giá vé, chứng từ, đặt&gt; Khách sạn&gt; theo thể loại&gt; du lịch, vận chuyển&gt; Vé du lịch")</f>
        <v>Đấu giá vé, chứng từ, đặt&gt; Khách sạn&gt; theo thể loại&gt; du lịch, vận chuyển&gt; Vé du lịch</v>
      </c>
      <c r="G54" t="str">
        <f t="shared" ca="1" si="0"/>
        <v>"2084048816" : "vé du lịch",</v>
      </c>
    </row>
    <row r="55" spans="1:7" ht="14.25" customHeight="1">
      <c r="A55" s="2">
        <v>2084005246</v>
      </c>
      <c r="B55" s="2" t="s">
        <v>46</v>
      </c>
      <c r="C55" s="2" t="s">
        <v>12222</v>
      </c>
      <c r="D55" s="2" t="s">
        <v>14482</v>
      </c>
      <c r="E55" s="5" t="str">
        <f ca="1">IFERROR(__xludf.DUMMYFUNCTION("GOOGLETRANSLATE(B55,""ja"",""vi"")"),"nếu không thì")</f>
        <v>nếu không thì</v>
      </c>
      <c r="F55" s="4" t="str">
        <f ca="1">IFERROR(__xludf.DUMMYFUNCTION("GOOGLETRANSLATE(C55,""ja"",""vi"")"),"Đấu giá vé, chứng từ, đặt&gt; Khách sạn&gt; theo thể loại&gt; du lịch, vận chuyển&gt; Khác")</f>
        <v>Đấu giá vé, chứng từ, đặt&gt; Khách sạn&gt; theo thể loại&gt; du lịch, vận chuyển&gt; Khác</v>
      </c>
      <c r="G55" t="str">
        <f t="shared" ca="1" si="0"/>
        <v>"2084005246" : "nếu không thì",</v>
      </c>
    </row>
    <row r="56" spans="1:7" ht="14.25" customHeight="1">
      <c r="A56" s="2">
        <v>2084005269</v>
      </c>
      <c r="B56" s="2" t="s">
        <v>1139</v>
      </c>
      <c r="C56" s="2" t="s">
        <v>1140</v>
      </c>
      <c r="D56" s="2" t="s">
        <v>1141</v>
      </c>
      <c r="E56" s="5" t="str">
        <f ca="1">IFERROR(__xludf.DUMMYFUNCTION("GOOGLETRANSLATE(B56,""ja"",""vi"")"),"Pop Nhật Bản")</f>
        <v>Pop Nhật Bản</v>
      </c>
      <c r="F56" s="4" t="str">
        <f ca="1">IFERROR(__xludf.DUMMYFUNCTION("GOOGLETRANSLATE(C56,""ja"",""vi"")"),"Đấu giá&gt; vé, chứng từ, đặt phòng khách sạn&gt; vé vui chơi giải trí&gt; Âm nhạc&gt; Nhật Bản Pop")</f>
        <v>Đấu giá&gt; vé, chứng từ, đặt phòng khách sạn&gt; vé vui chơi giải trí&gt; Âm nhạc&gt; Nhật Bản Pop</v>
      </c>
      <c r="G56" t="str">
        <f t="shared" ca="1" si="0"/>
        <v>"2084005269" : "Pop Nhật Bản",</v>
      </c>
    </row>
    <row r="57" spans="1:7" ht="14.25" customHeight="1">
      <c r="A57" s="2">
        <v>2084059686</v>
      </c>
      <c r="B57" s="2" t="s">
        <v>1147</v>
      </c>
      <c r="C57" s="2" t="s">
        <v>1148</v>
      </c>
      <c r="D57" s="2" t="s">
        <v>1149</v>
      </c>
      <c r="E57" s="5" t="str">
        <f ca="1">IFERROR(__xludf.DUMMYFUNCTION("GOOGLETRANSLATE(B57,""ja"",""vi"")"),"ballad")</f>
        <v>ballad</v>
      </c>
      <c r="F57" s="4" t="str">
        <f ca="1">IFERROR(__xludf.DUMMYFUNCTION("GOOGLETRANSLATE(C57,""ja"",""vi"")"),"Đấu giá&gt; vé, chứng từ, đặt phòng khách sạn&gt; vé vui chơi giải trí&gt; Âm nhạc&gt; Enka")</f>
        <v>Đấu giá&gt; vé, chứng từ, đặt phòng khách sạn&gt; vé vui chơi giải trí&gt; Âm nhạc&gt; Enka</v>
      </c>
      <c r="G57" t="str">
        <f t="shared" ca="1" si="0"/>
        <v>"2084059686" : "ballad",</v>
      </c>
    </row>
    <row r="58" spans="1:7" ht="14.25" customHeight="1">
      <c r="A58" s="2">
        <v>22788</v>
      </c>
      <c r="B58" s="2" t="s">
        <v>1154</v>
      </c>
      <c r="C58" s="2" t="s">
        <v>1156</v>
      </c>
      <c r="D58" s="2" t="s">
        <v>1157</v>
      </c>
      <c r="E58" s="5" t="str">
        <f ca="1">IFERROR(__xludf.DUMMYFUNCTION("GOOGLETRANSLATE(B58,""ja"",""vi"")"),"thế giới")</f>
        <v>thế giới</v>
      </c>
      <c r="F58" s="4" t="str">
        <f ca="1">IFERROR(__xludf.DUMMYFUNCTION("GOOGLETRANSLATE(C58,""ja"",""vi"")"),"Đấu giá&gt; vé, chứng từ, đặt phòng khách sạn&gt; vé vui chơi giải trí&gt; Âm nhạc&gt; Tây")</f>
        <v>Đấu giá&gt; vé, chứng từ, đặt phòng khách sạn&gt; vé vui chơi giải trí&gt; Âm nhạc&gt; Tây</v>
      </c>
      <c r="G58" t="str">
        <f t="shared" ca="1" si="0"/>
        <v>"22788" : "thế giới",</v>
      </c>
    </row>
    <row r="59" spans="1:7" ht="14.25" customHeight="1">
      <c r="A59" s="2">
        <v>2084039806</v>
      </c>
      <c r="B59" s="2" t="s">
        <v>1162</v>
      </c>
      <c r="C59" s="2" t="s">
        <v>1164</v>
      </c>
      <c r="D59" s="2" t="s">
        <v>1165</v>
      </c>
      <c r="E59" s="5" t="str">
        <f ca="1">IFERROR(__xludf.DUMMYFUNCTION("GOOGLETRANSLATE(B59,""ja"",""vi"")"),"cổ điển")</f>
        <v>cổ điển</v>
      </c>
      <c r="F59" s="4" t="str">
        <f ca="1">IFERROR(__xludf.DUMMYFUNCTION("GOOGLETRANSLATE(C59,""ja"",""vi"")"),"Đấu giá&gt; vé, chứng từ, đặt phòng khách sạn&gt; vé vui chơi giải trí&gt; Âm nhạc&gt; Cổ điển")</f>
        <v>Đấu giá&gt; vé, chứng từ, đặt phòng khách sạn&gt; vé vui chơi giải trí&gt; Âm nhạc&gt; Cổ điển</v>
      </c>
      <c r="G59" t="str">
        <f t="shared" ca="1" si="0"/>
        <v>"2084039806" : "cổ điển",</v>
      </c>
    </row>
    <row r="60" spans="1:7" ht="14.25" customHeight="1">
      <c r="A60" s="2">
        <v>22820</v>
      </c>
      <c r="B60" s="2" t="s">
        <v>1170</v>
      </c>
      <c r="C60" s="2" t="s">
        <v>1172</v>
      </c>
      <c r="D60" s="2" t="s">
        <v>1173</v>
      </c>
      <c r="E60" s="5" t="str">
        <f ca="1">IFERROR(__xludf.DUMMYFUNCTION("GOOGLETRANSLATE(B60,""ja"",""vi"")"),"nhạc kịch")</f>
        <v>nhạc kịch</v>
      </c>
      <c r="F60" s="4" t="str">
        <f ca="1">IFERROR(__xludf.DUMMYFUNCTION("GOOGLETRANSLATE(C60,""ja"",""vi"")"),"Đấu giá&gt; vé, chứng từ, đặt phòng khách sạn&gt; vé vui chơi giải trí&gt; Âm nhạc&gt; opera")</f>
        <v>Đấu giá&gt; vé, chứng từ, đặt phòng khách sạn&gt; vé vui chơi giải trí&gt; Âm nhạc&gt; opera</v>
      </c>
      <c r="G60" t="str">
        <f t="shared" ca="1" si="0"/>
        <v>"22820" : "nhạc kịch",</v>
      </c>
    </row>
    <row r="61" spans="1:7" ht="14.25" customHeight="1">
      <c r="A61" s="2">
        <v>2084039805</v>
      </c>
      <c r="B61" s="2" t="s">
        <v>1176</v>
      </c>
      <c r="C61" s="2" t="s">
        <v>1178</v>
      </c>
      <c r="D61" s="2" t="s">
        <v>1180</v>
      </c>
      <c r="E61" s="5" t="str">
        <f ca="1">IFERROR(__xludf.DUMMYFUNCTION("GOOGLETRANSLATE(B61,""ja"",""vi"")"),"nhạc jazz")</f>
        <v>nhạc jazz</v>
      </c>
      <c r="F61" s="4" t="str">
        <f ca="1">IFERROR(__xludf.DUMMYFUNCTION("GOOGLETRANSLATE(C61,""ja"",""vi"")"),"Đấu giá&gt; vé, chứng từ, đặt phòng khách sạn&gt; vé vui chơi giải trí&gt; Âm nhạc&gt; Nhạc Jazz")</f>
        <v>Đấu giá&gt; vé, chứng từ, đặt phòng khách sạn&gt; vé vui chơi giải trí&gt; Âm nhạc&gt; Nhạc Jazz</v>
      </c>
      <c r="G61" t="str">
        <f t="shared" ca="1" si="0"/>
        <v>"2084039805" : "nhạc jazz",</v>
      </c>
    </row>
    <row r="62" spans="1:7" ht="14.25" customHeight="1">
      <c r="A62" s="2">
        <v>22776</v>
      </c>
      <c r="B62" s="2" t="s">
        <v>1183</v>
      </c>
      <c r="C62" s="2" t="s">
        <v>1186</v>
      </c>
      <c r="D62" s="2" t="s">
        <v>1188</v>
      </c>
      <c r="E62" s="5" t="str">
        <f ca="1">IFERROR(__xludf.DUMMYFUNCTION("GOOGLETRANSLATE(B62,""ja"",""vi"")"),"lễ hội âm nhạc")</f>
        <v>lễ hội âm nhạc</v>
      </c>
      <c r="F62" s="4" t="str">
        <f ca="1">IFERROR(__xludf.DUMMYFUNCTION("GOOGLETRANSLATE(C62,""ja"",""vi"")"),"Đấu giá&gt; vé, chứng từ, đặt phòng khách sạn&gt; vé vui chơi giải trí&gt; Âm nhạc&gt; Music Festival")</f>
        <v>Đấu giá&gt; vé, chứng từ, đặt phòng khách sạn&gt; vé vui chơi giải trí&gt; Âm nhạc&gt; Music Festival</v>
      </c>
      <c r="G62" t="str">
        <f t="shared" ca="1" si="0"/>
        <v>"22776" : "lễ hội âm nhạc",</v>
      </c>
    </row>
    <row r="63" spans="1:7" ht="14.25" customHeight="1">
      <c r="A63" s="2">
        <v>2084257084</v>
      </c>
      <c r="B63" s="2" t="s">
        <v>1191</v>
      </c>
      <c r="C63" s="2" t="s">
        <v>1193</v>
      </c>
      <c r="D63" s="2" t="s">
        <v>1195</v>
      </c>
      <c r="E63" s="5" t="str">
        <f ca="1">IFERROR(__xludf.DUMMYFUNCTION("GOOGLETRANSLATE(B63,""ja"",""vi"")"),"Trẻ em, gia đình")</f>
        <v>Trẻ em, gia đình</v>
      </c>
      <c r="F63" s="4" t="str">
        <f ca="1">IFERROR(__xludf.DUMMYFUNCTION("GOOGLETRANSLATE(C63,""ja"",""vi"")"),"Đấu giá&gt; vé, chứng từ, đặt phòng khách sạn&gt; vé vui chơi giải trí&gt; Âm nhạc&gt; Trẻ em, gia đình")</f>
        <v>Đấu giá&gt; vé, chứng từ, đặt phòng khách sạn&gt; vé vui chơi giải trí&gt; Âm nhạc&gt; Trẻ em, gia đình</v>
      </c>
      <c r="G63" t="str">
        <f t="shared" ca="1" si="0"/>
        <v>"2084257084" : "Trẻ em, gia đình",</v>
      </c>
    </row>
    <row r="64" spans="1:7" ht="14.25" customHeight="1">
      <c r="A64" s="2">
        <v>22796</v>
      </c>
      <c r="B64" s="2" t="s">
        <v>46</v>
      </c>
      <c r="C64" s="2" t="s">
        <v>1200</v>
      </c>
      <c r="D64" s="2" t="s">
        <v>1201</v>
      </c>
      <c r="E64" s="5" t="str">
        <f ca="1">IFERROR(__xludf.DUMMYFUNCTION("GOOGLETRANSLATE(B64,""ja"",""vi"")"),"nếu không thì")</f>
        <v>nếu không thì</v>
      </c>
      <c r="F64" s="4" t="str">
        <f ca="1">IFERROR(__xludf.DUMMYFUNCTION("GOOGLETRANSLATE(C64,""ja"",""vi"")"),"Đấu giá&gt; vé, chứng từ, đặt phòng khách sạn&gt; vé vui chơi giải trí&gt; Âm nhạc&gt; Khác")</f>
        <v>Đấu giá&gt; vé, chứng từ, đặt phòng khách sạn&gt; vé vui chơi giải trí&gt; Âm nhạc&gt; Khác</v>
      </c>
      <c r="G64" t="str">
        <f t="shared" ca="1" si="0"/>
        <v>"22796" : "nếu không thì",</v>
      </c>
    </row>
    <row r="65" spans="1:7" ht="14.25" customHeight="1">
      <c r="A65" s="2">
        <v>22816</v>
      </c>
      <c r="B65" s="2" t="s">
        <v>1207</v>
      </c>
      <c r="C65" s="2" t="s">
        <v>1208</v>
      </c>
      <c r="D65" s="2" t="s">
        <v>1209</v>
      </c>
      <c r="E65" s="5" t="str">
        <f ca="1">IFERROR(__xludf.DUMMYFUNCTION("GOOGLETRANSLATE(B65,""ja"",""vi"")"),"nhạc")</f>
        <v>nhạc</v>
      </c>
      <c r="F65" s="4" t="str">
        <f ca="1">IFERROR(__xludf.DUMMYFUNCTION("GOOGLETRANSLATE(C65,""ja"",""vi"")"),"Đấu giá&gt; vé, chứng từ, đặt phòng khách sạn&gt; vé vui chơi giải trí&gt; Nghệ thuật biểu diễn&gt; Nhạc")</f>
        <v>Đấu giá&gt; vé, chứng từ, đặt phòng khách sạn&gt; vé vui chơi giải trí&gt; Nghệ thuật biểu diễn&gt; Nhạc</v>
      </c>
      <c r="G65" t="str">
        <f t="shared" ca="1" si="0"/>
        <v>"22816" : "nhạc",</v>
      </c>
    </row>
    <row r="66" spans="1:7" ht="14.25" customHeight="1">
      <c r="A66" s="2">
        <v>22824</v>
      </c>
      <c r="B66" s="2" t="s">
        <v>1213</v>
      </c>
      <c r="C66" s="2" t="s">
        <v>1214</v>
      </c>
      <c r="D66" s="2" t="s">
        <v>1215</v>
      </c>
      <c r="E66" s="5" t="str">
        <f ca="1">IFERROR(__xludf.DUMMYFUNCTION("GOOGLETRANSLATE(B66,""ja"",""vi"")"),"nhà hát")</f>
        <v>nhà hát</v>
      </c>
      <c r="F66" s="4" t="str">
        <f ca="1">IFERROR(__xludf.DUMMYFUNCTION("GOOGLETRANSLATE(C66,""ja"",""vi"")"),"Đấu giá&gt; vé, chứng từ, đặt phòng khách sạn&gt; vé vui chơi giải trí&gt; Nghệ thuật biểu diễn&gt; Nhà hát")</f>
        <v>Đấu giá&gt; vé, chứng từ, đặt phòng khách sạn&gt; vé vui chơi giải trí&gt; Nghệ thuật biểu diễn&gt; Nhà hát</v>
      </c>
      <c r="G66" t="str">
        <f t="shared" ca="1" si="0"/>
        <v>"22824" : "nhà hát",</v>
      </c>
    </row>
    <row r="67" spans="1:7" ht="14.25" customHeight="1">
      <c r="A67" s="2">
        <v>2084039797</v>
      </c>
      <c r="B67" s="2" t="s">
        <v>1219</v>
      </c>
      <c r="C67" s="2" t="s">
        <v>1220</v>
      </c>
      <c r="D67" s="2" t="s">
        <v>1221</v>
      </c>
      <c r="E67" s="5" t="str">
        <f ca="1">IFERROR(__xludf.DUMMYFUNCTION("GOOGLETRANSLATE(B67,""ja"",""vi"")"),"Hài, giải trí")</f>
        <v>Hài, giải trí</v>
      </c>
      <c r="F67" s="4" t="str">
        <f ca="1">IFERROR(__xludf.DUMMYFUNCTION("GOOGLETRANSLATE(C67,""ja"",""vi"")"),"Đấu giá&gt; vé, chứng từ, đặt phòng khách sạn&gt; vé vui chơi giải trí&gt; Nghệ thuật biểu diễn&gt; Comedy, giải trí")</f>
        <v>Đấu giá&gt; vé, chứng từ, đặt phòng khách sạn&gt; vé vui chơi giải trí&gt; Nghệ thuật biểu diễn&gt; Comedy, giải trí</v>
      </c>
      <c r="G67" t="str">
        <f t="shared" ref="G67:G130" ca="1" si="1">CONCATENATE(CHAR(34)&amp;"",A67,""&amp;CHAR(34)," : ", CHAR(34)&amp;"",E67,""&amp;CHAR(34),",")</f>
        <v>"2084039797" : "Hài, giải trí",</v>
      </c>
    </row>
    <row r="68" spans="1:7" ht="14.25" customHeight="1">
      <c r="A68" s="2">
        <v>22820</v>
      </c>
      <c r="B68" s="2" t="s">
        <v>1170</v>
      </c>
      <c r="C68" s="2" t="s">
        <v>1227</v>
      </c>
      <c r="D68" s="2" t="s">
        <v>1228</v>
      </c>
      <c r="E68" s="5" t="str">
        <f ca="1">IFERROR(__xludf.DUMMYFUNCTION("GOOGLETRANSLATE(B68,""ja"",""vi"")"),"nhạc kịch")</f>
        <v>nhạc kịch</v>
      </c>
      <c r="F68" s="4" t="str">
        <f ca="1">IFERROR(__xludf.DUMMYFUNCTION("GOOGLETRANSLATE(C68,""ja"",""vi"")"),"Đấu giá&gt; vé, chứng từ, đặt phòng khách sạn&gt; vé vui chơi giải trí&gt; Biểu diễn Nghệ thuật&gt; Opera")</f>
        <v>Đấu giá&gt; vé, chứng từ, đặt phòng khách sạn&gt; vé vui chơi giải trí&gt; Biểu diễn Nghệ thuật&gt; Opera</v>
      </c>
      <c r="G68" t="str">
        <f t="shared" ca="1" si="1"/>
        <v>"22820" : "nhạc kịch",</v>
      </c>
    </row>
    <row r="69" spans="1:7" ht="14.25" customHeight="1">
      <c r="A69" s="2">
        <v>22804</v>
      </c>
      <c r="B69" s="2" t="s">
        <v>1232</v>
      </c>
      <c r="C69" s="2" t="s">
        <v>1233</v>
      </c>
      <c r="D69" s="2" t="s">
        <v>1234</v>
      </c>
      <c r="E69" s="5" t="str">
        <f ca="1">IFERROR(__xludf.DUMMYFUNCTION("GOOGLETRANSLATE(B69,""ja"",""vi"")"),"Ballet, múa")</f>
        <v>Ballet, múa</v>
      </c>
      <c r="F69" s="4" t="str">
        <f ca="1">IFERROR(__xludf.DUMMYFUNCTION("GOOGLETRANSLATE(C69,""ja"",""vi"")"),"Đấu giá&gt; vé, chứng từ, đặt phòng khách sạn&gt; vé vui chơi giải trí&gt; Nghệ thuật biểu diễn&gt; ballet, khiêu vũ")</f>
        <v>Đấu giá&gt; vé, chứng từ, đặt phòng khách sạn&gt; vé vui chơi giải trí&gt; Nghệ thuật biểu diễn&gt; ballet, khiêu vũ</v>
      </c>
      <c r="G69" t="str">
        <f t="shared" ca="1" si="1"/>
        <v>"22804" : "Ballet, múa",</v>
      </c>
    </row>
    <row r="70" spans="1:7" ht="14.25" customHeight="1">
      <c r="A70" s="2">
        <v>2084039794</v>
      </c>
      <c r="B70" s="2" t="s">
        <v>1237</v>
      </c>
      <c r="C70" s="2" t="s">
        <v>1239</v>
      </c>
      <c r="D70" s="2" t="s">
        <v>1242</v>
      </c>
      <c r="E70" s="5" t="str">
        <f ca="1">IFERROR(__xludf.DUMMYFUNCTION("GOOGLETRANSLATE(B70,""ja"",""vi"")"),"Nghệ thuật truyền thống Performing")</f>
        <v>Nghệ thuật truyền thống Performing</v>
      </c>
      <c r="F70" s="4" t="str">
        <f ca="1">IFERROR(__xludf.DUMMYFUNCTION("GOOGLETRANSLATE(C70,""ja"",""vi"")"),"Đấu giá&gt; vé, chứng từ, đặt phòng khách sạn&gt; vé vui chơi giải trí&gt; Biểu diễn Nghệ thuật&gt; Nghệ thuật truyền thống Performing")</f>
        <v>Đấu giá&gt; vé, chứng từ, đặt phòng khách sạn&gt; vé vui chơi giải trí&gt; Biểu diễn Nghệ thuật&gt; Nghệ thuật truyền thống Performing</v>
      </c>
      <c r="G70" t="str">
        <f t="shared" ca="1" si="1"/>
        <v>"2084039794" : "Nghệ thuật truyền thống Performing",</v>
      </c>
    </row>
    <row r="71" spans="1:7" ht="14.25" customHeight="1">
      <c r="A71" s="2">
        <v>25448</v>
      </c>
      <c r="B71" s="2" t="s">
        <v>1246</v>
      </c>
      <c r="C71" s="2" t="s">
        <v>1247</v>
      </c>
      <c r="D71" s="2" t="s">
        <v>1248</v>
      </c>
      <c r="E71" s="5" t="str">
        <f ca="1">IFERROR(__xludf.DUMMYFUNCTION("GOOGLETRANSLATE(B71,""ja"",""vi"")"),"bóng đá Mỹ")</f>
        <v>bóng đá Mỹ</v>
      </c>
      <c r="F71" s="4" t="str">
        <f ca="1">IFERROR(__xludf.DUMMYFUNCTION("GOOGLETRANSLATE(C71,""ja"",""vi"")"),"Đấu giá&gt; vé, chứng từ, đặt phòng khách sạn&gt; vé vui chơi giải trí&gt; Thể thao&gt; bóng đá Mỹ")</f>
        <v>Đấu giá&gt; vé, chứng từ, đặt phòng khách sạn&gt; vé vui chơi giải trí&gt; Thể thao&gt; bóng đá Mỹ</v>
      </c>
      <c r="G71" t="str">
        <f t="shared" ca="1" si="1"/>
        <v>"25448" : "bóng đá Mỹ",</v>
      </c>
    </row>
    <row r="72" spans="1:7" ht="14.25" customHeight="1">
      <c r="A72" s="2">
        <v>25450</v>
      </c>
      <c r="B72" s="2" t="s">
        <v>1254</v>
      </c>
      <c r="C72" s="2" t="s">
        <v>1255</v>
      </c>
      <c r="D72" s="2" t="s">
        <v>1256</v>
      </c>
      <c r="E72" s="5" t="str">
        <f ca="1">IFERROR(__xludf.DUMMYFUNCTION("GOOGLETRANSLATE(B72,""ja"",""vi"")"),"golf")</f>
        <v>golf</v>
      </c>
      <c r="F72" s="4" t="str">
        <f ca="1">IFERROR(__xludf.DUMMYFUNCTION("GOOGLETRANSLATE(C72,""ja"",""vi"")"),"Đấu giá&gt; vé, chứng từ, đặt phòng khách sạn&gt; vé vui chơi giải trí&gt; Thể thao&gt; Golf")</f>
        <v>Đấu giá&gt; vé, chứng từ, đặt phòng khách sạn&gt; vé vui chơi giải trí&gt; Thể thao&gt; Golf</v>
      </c>
      <c r="G72" t="str">
        <f t="shared" ca="1" si="1"/>
        <v>"25450" : "golf",</v>
      </c>
    </row>
    <row r="73" spans="1:7" ht="14.25" customHeight="1">
      <c r="A73" s="2">
        <v>25456</v>
      </c>
      <c r="B73" s="2" t="s">
        <v>1262</v>
      </c>
      <c r="C73" s="2" t="s">
        <v>1263</v>
      </c>
      <c r="D73" s="2" t="s">
        <v>1264</v>
      </c>
      <c r="E73" s="5" t="str">
        <f ca="1">IFERROR(__xludf.DUMMYFUNCTION("GOOGLETRANSLATE(B73,""ja"",""vi"")"),"bóng đá")</f>
        <v>bóng đá</v>
      </c>
      <c r="F73" s="4" t="str">
        <f ca="1">IFERROR(__xludf.DUMMYFUNCTION("GOOGLETRANSLATE(C73,""ja"",""vi"")"),"Đấu giá&gt; vé, chứng từ, đặt phòng khách sạn&gt; vé vui chơi giải trí&gt; Thể thao&gt; Bóng đá")</f>
        <v>Đấu giá&gt; vé, chứng từ, đặt phòng khách sạn&gt; vé vui chơi giải trí&gt; Thể thao&gt; Bóng đá</v>
      </c>
      <c r="G73" t="str">
        <f t="shared" ca="1" si="1"/>
        <v>"25456" : "bóng đá",</v>
      </c>
    </row>
    <row r="74" spans="1:7" ht="14.25" customHeight="1">
      <c r="A74" s="2">
        <v>2084045757</v>
      </c>
      <c r="B74" s="2" t="s">
        <v>1268</v>
      </c>
      <c r="C74" s="2" t="s">
        <v>1269</v>
      </c>
      <c r="D74" s="2" t="s">
        <v>1270</v>
      </c>
      <c r="E74" s="5" t="str">
        <f ca="1">IFERROR(__xludf.DUMMYFUNCTION("GOOGLETRANSLATE(B74,""ja"",""vi"")"),"softball")</f>
        <v>softball</v>
      </c>
      <c r="F74" s="4" t="str">
        <f ca="1">IFERROR(__xludf.DUMMYFUNCTION("GOOGLETRANSLATE(C74,""ja"",""vi"")"),"Đấu giá&gt; vé, chứng từ, đặt phòng khách sạn&gt; vé vui chơi giải trí&gt; Thể thao&gt; Môn bóng mềm")</f>
        <v>Đấu giá&gt; vé, chứng từ, đặt phòng khách sạn&gt; vé vui chơi giải trí&gt; Thể thao&gt; Môn bóng mềm</v>
      </c>
      <c r="G74" t="str">
        <f t="shared" ca="1" si="1"/>
        <v>"2084045757" : "softball",</v>
      </c>
    </row>
    <row r="75" spans="1:7" ht="14.25" customHeight="1">
      <c r="A75" s="2">
        <v>2084230533</v>
      </c>
      <c r="B75" s="2" t="s">
        <v>1276</v>
      </c>
      <c r="C75" s="2" t="s">
        <v>1277</v>
      </c>
      <c r="D75" s="2" t="s">
        <v>1279</v>
      </c>
      <c r="E75" s="5" t="str">
        <f ca="1">IFERROR(__xludf.DUMMYFUNCTION("GOOGLETRANSLATE(B75,""ja"",""vi"")"),"quần vợt")</f>
        <v>quần vợt</v>
      </c>
      <c r="F75" s="4" t="str">
        <f ca="1">IFERROR(__xludf.DUMMYFUNCTION("GOOGLETRANSLATE(C75,""ja"",""vi"")"),"Đấu giá&gt; vé, chứng từ, đặt phòng khách sạn&gt; vé vui chơi giải trí&gt; Thể thao&gt; Tennis")</f>
        <v>Đấu giá&gt; vé, chứng từ, đặt phòng khách sạn&gt; vé vui chơi giải trí&gt; Thể thao&gt; Tennis</v>
      </c>
      <c r="G75" t="str">
        <f t="shared" ca="1" si="1"/>
        <v>"2084230533" : "quần vợt",</v>
      </c>
    </row>
    <row r="76" spans="1:7" ht="14.25" customHeight="1">
      <c r="A76" s="2">
        <v>25442</v>
      </c>
      <c r="B76" s="2" t="s">
        <v>1288</v>
      </c>
      <c r="C76" s="2" t="s">
        <v>1290</v>
      </c>
      <c r="D76" s="2" t="s">
        <v>1291</v>
      </c>
      <c r="E76" s="5" t="str">
        <f ca="1">IFERROR(__xludf.DUMMYFUNCTION("GOOGLETRANSLATE(B76,""ja"",""vi"")"),"Bóng rổ")</f>
        <v>Bóng rổ</v>
      </c>
      <c r="F76" s="4" t="str">
        <f ca="1">IFERROR(__xludf.DUMMYFUNCTION("GOOGLETRANSLATE(C76,""ja"",""vi"")"),"Đấu giá&gt; vé, chứng từ, đặt phòng khách sạn&gt; vé vui chơi giải trí&gt; Thể thao&gt; Bóng rổ")</f>
        <v>Đấu giá&gt; vé, chứng từ, đặt phòng khách sạn&gt; vé vui chơi giải trí&gt; Thể thao&gt; Bóng rổ</v>
      </c>
      <c r="G76" t="str">
        <f t="shared" ca="1" si="1"/>
        <v>"25442" : "Bóng rổ",</v>
      </c>
    </row>
    <row r="77" spans="1:7" ht="14.25" customHeight="1">
      <c r="A77" s="2">
        <v>2084230534</v>
      </c>
      <c r="B77" s="2" t="s">
        <v>1294</v>
      </c>
      <c r="C77" s="2" t="s">
        <v>1295</v>
      </c>
      <c r="D77" s="2" t="s">
        <v>1297</v>
      </c>
      <c r="E77" s="5" t="str">
        <f ca="1">IFERROR(__xludf.DUMMYFUNCTION("GOOGLETRANSLATE(B77,""ja"",""vi"")"),"bóng chuyền")</f>
        <v>bóng chuyền</v>
      </c>
      <c r="F77" s="4" t="str">
        <f ca="1">IFERROR(__xludf.DUMMYFUNCTION("GOOGLETRANSLATE(C77,""ja"",""vi"")"),"Đấu giá&gt; vé, chứng từ, đặt phòng khách sạn&gt; vé vui chơi giải trí&gt; Thể thao&gt; Bóng chuyền")</f>
        <v>Đấu giá&gt; vé, chứng từ, đặt phòng khách sạn&gt; vé vui chơi giải trí&gt; Thể thao&gt; Bóng chuyền</v>
      </c>
      <c r="G77" t="str">
        <f t="shared" ca="1" si="1"/>
        <v>"2084230534" : "bóng chuyền",</v>
      </c>
    </row>
    <row r="78" spans="1:7" ht="14.25" customHeight="1">
      <c r="A78" s="2">
        <v>25438</v>
      </c>
      <c r="B78" s="2" t="s">
        <v>1302</v>
      </c>
      <c r="C78" s="2" t="s">
        <v>1304</v>
      </c>
      <c r="D78" s="2" t="s">
        <v>1306</v>
      </c>
      <c r="E78" s="5" t="str">
        <f ca="1">IFERROR(__xludf.DUMMYFUNCTION("GOOGLETRANSLATE(B78,""ja"",""vi"")"),"đua xe motor")</f>
        <v>đua xe motor</v>
      </c>
      <c r="F78" s="4" t="str">
        <f ca="1">IFERROR(__xludf.DUMMYFUNCTION("GOOGLETRANSLATE(C78,""ja"",""vi"")"),"Đấu giá&gt; vé, chứng từ, đặt phòng khách sạn&gt; vé vui chơi giải trí&gt; Thể thao&gt; Đua xe motor")</f>
        <v>Đấu giá&gt; vé, chứng từ, đặt phòng khách sạn&gt; vé vui chơi giải trí&gt; Thể thao&gt; Đua xe motor</v>
      </c>
      <c r="G78" t="str">
        <f t="shared" ca="1" si="1"/>
        <v>"25438" : "đua xe motor",</v>
      </c>
    </row>
    <row r="79" spans="1:7" ht="14.25" customHeight="1">
      <c r="A79" s="2">
        <v>25458</v>
      </c>
      <c r="B79" s="2" t="s">
        <v>1311</v>
      </c>
      <c r="C79" s="2" t="s">
        <v>1313</v>
      </c>
      <c r="D79" s="2" t="s">
        <v>1315</v>
      </c>
      <c r="E79" s="5" t="str">
        <f ca="1">IFERROR(__xludf.DUMMYFUNCTION("GOOGLETRANSLATE(B79,""ja"",""vi"")"),"Võ thuật, Wrestling")</f>
        <v>Võ thuật, Wrestling</v>
      </c>
      <c r="F79" s="4" t="str">
        <f ca="1">IFERROR(__xludf.DUMMYFUNCTION("GOOGLETRANSLATE(C79,""ja"",""vi"")"),"Đấu giá&gt; vé, chứng từ, đặt phòng khách sạn&gt; vé vui chơi giải trí&gt; Thể thao&gt; Võ thuật, Wrestling")</f>
        <v>Đấu giá&gt; vé, chứng từ, đặt phòng khách sạn&gt; vé vui chơi giải trí&gt; Thể thao&gt; Võ thuật, Wrestling</v>
      </c>
      <c r="G79" t="str">
        <f t="shared" ca="1" si="1"/>
        <v>"25458" : "Võ thuật, Wrestling",</v>
      </c>
    </row>
    <row r="80" spans="1:7" ht="14.25" customHeight="1">
      <c r="A80" s="2">
        <v>2084045756</v>
      </c>
      <c r="B80" s="2" t="s">
        <v>1319</v>
      </c>
      <c r="C80" s="2" t="s">
        <v>1321</v>
      </c>
      <c r="D80" s="2" t="s">
        <v>1323</v>
      </c>
      <c r="E80" s="5" t="str">
        <f ca="1">IFERROR(__xludf.DUMMYFUNCTION("GOOGLETRANSLATE(B80,""ja"",""vi"")"),"Bóng chày")</f>
        <v>Bóng chày</v>
      </c>
      <c r="F80" s="4" t="str">
        <f ca="1">IFERROR(__xludf.DUMMYFUNCTION("GOOGLETRANSLATE(C80,""ja"",""vi"")"),"Đấu giá&gt; vé, chứng từ, đặt phòng khách sạn&gt; vé vui chơi giải trí&gt; Thể thao&gt; Bóng chày")</f>
        <v>Đấu giá&gt; vé, chứng từ, đặt phòng khách sạn&gt; vé vui chơi giải trí&gt; Thể thao&gt; Bóng chày</v>
      </c>
      <c r="G80" t="str">
        <f t="shared" ca="1" si="1"/>
        <v>"2084045756" : "Bóng chày",</v>
      </c>
    </row>
    <row r="81" spans="1:7" ht="14.25" customHeight="1">
      <c r="A81" s="2">
        <v>25460</v>
      </c>
      <c r="B81" s="2" t="s">
        <v>46</v>
      </c>
      <c r="C81" s="2" t="s">
        <v>1328</v>
      </c>
      <c r="D81" s="2" t="s">
        <v>1330</v>
      </c>
      <c r="E81" s="5" t="str">
        <f ca="1">IFERROR(__xludf.DUMMYFUNCTION("GOOGLETRANSLATE(B81,""ja"",""vi"")"),"nếu không thì")</f>
        <v>nếu không thì</v>
      </c>
      <c r="F81" s="4" t="str">
        <f ca="1">IFERROR(__xludf.DUMMYFUNCTION("GOOGLETRANSLATE(C81,""ja"",""vi"")"),"Đấu giá&gt; vé, chứng từ, đặt phòng khách sạn&gt; vé vui chơi giải trí&gt; Thể thao&gt; Khác")</f>
        <v>Đấu giá&gt; vé, chứng từ, đặt phòng khách sạn&gt; vé vui chơi giải trí&gt; Thể thao&gt; Khác</v>
      </c>
      <c r="G81" t="str">
        <f t="shared" ca="1" si="1"/>
        <v>"25460" : "nếu không thì",</v>
      </c>
    </row>
    <row r="82" spans="1:7" ht="14.25" customHeight="1">
      <c r="A82" s="2">
        <v>2084208643</v>
      </c>
      <c r="B82" s="2" t="s">
        <v>1334</v>
      </c>
      <c r="C82" s="2" t="s">
        <v>1335</v>
      </c>
      <c r="D82" s="2" t="s">
        <v>1336</v>
      </c>
      <c r="E82" s="5" t="str">
        <f ca="1">IFERROR(__xludf.DUMMYFUNCTION("GOOGLETRANSLATE(B82,""ja"",""vi"")"),"talk show, bài giảng")</f>
        <v>talk show, bài giảng</v>
      </c>
      <c r="F82" s="4" t="str">
        <f ca="1">IFERROR(__xludf.DUMMYFUNCTION("GOOGLETRANSLATE(C82,""ja"",""vi"")"),"Đấu giá&gt; vé, chứng từ, đặt phòng khách sạn&gt; vé vui chơi giải trí&gt; Sự kiện&gt; talk show, bài giảng")</f>
        <v>Đấu giá&gt; vé, chứng từ, đặt phòng khách sạn&gt; vé vui chơi giải trí&gt; Sự kiện&gt; talk show, bài giảng</v>
      </c>
      <c r="G82" t="str">
        <f t="shared" ca="1" si="1"/>
        <v>"2084208643" : "talk show, bài giảng",</v>
      </c>
    </row>
    <row r="83" spans="1:7" ht="14.25" customHeight="1">
      <c r="A83" s="2">
        <v>2084257084</v>
      </c>
      <c r="B83" s="2" t="s">
        <v>1191</v>
      </c>
      <c r="C83" s="2" t="s">
        <v>1342</v>
      </c>
      <c r="D83" s="2" t="s">
        <v>1343</v>
      </c>
      <c r="E83" s="5" t="str">
        <f ca="1">IFERROR(__xludf.DUMMYFUNCTION("GOOGLETRANSLATE(B83,""ja"",""vi"")"),"Trẻ em, gia đình")</f>
        <v>Trẻ em, gia đình</v>
      </c>
      <c r="F83" s="4" t="str">
        <f ca="1">IFERROR(__xludf.DUMMYFUNCTION("GOOGLETRANSLATE(C83,""ja"",""vi"")"),"Đấu giá&gt; vé, chứng từ, đặt phòng khách sạn&gt; vé vui chơi giải trí&gt; Sự kiện&gt; Kids, Gia đình")</f>
        <v>Đấu giá&gt; vé, chứng từ, đặt phòng khách sạn&gt; vé vui chơi giải trí&gt; Sự kiện&gt; Kids, Gia đình</v>
      </c>
      <c r="G83" t="str">
        <f t="shared" ca="1" si="1"/>
        <v>"2084257084" : "Trẻ em, gia đình",</v>
      </c>
    </row>
    <row r="84" spans="1:7" ht="14.25" customHeight="1">
      <c r="A84" s="2">
        <v>22776</v>
      </c>
      <c r="B84" s="2" t="s">
        <v>1183</v>
      </c>
      <c r="C84" s="2" t="s">
        <v>1346</v>
      </c>
      <c r="D84" s="2" t="s">
        <v>1348</v>
      </c>
      <c r="E84" s="5" t="str">
        <f ca="1">IFERROR(__xludf.DUMMYFUNCTION("GOOGLETRANSLATE(B84,""ja"",""vi"")"),"lễ hội âm nhạc")</f>
        <v>lễ hội âm nhạc</v>
      </c>
      <c r="F84" s="4" t="str">
        <f ca="1">IFERROR(__xludf.DUMMYFUNCTION("GOOGLETRANSLATE(C84,""ja"",""vi"")"),"Đấu giá&gt; vé, chứng từ, đặt phòng khách sạn&gt; vé vui chơi giải trí&gt; Sự kiện&gt; Music Festival")</f>
        <v>Đấu giá&gt; vé, chứng từ, đặt phòng khách sạn&gt; vé vui chơi giải trí&gt; Sự kiện&gt; Music Festival</v>
      </c>
      <c r="G84" t="str">
        <f t="shared" ca="1" si="1"/>
        <v>"22776" : "lễ hội âm nhạc",</v>
      </c>
    </row>
    <row r="85" spans="1:7" ht="14.25" customHeight="1">
      <c r="A85" s="2">
        <v>2084039803</v>
      </c>
      <c r="B85" s="2" t="s">
        <v>1351</v>
      </c>
      <c r="C85" s="2" t="s">
        <v>1353</v>
      </c>
      <c r="D85" s="2" t="s">
        <v>1354</v>
      </c>
      <c r="E85" s="5" t="str">
        <f ca="1">IFERROR(__xludf.DUMMYFUNCTION("GOOGLETRANSLATE(B85,""ja"",""vi"")"),"Triển lãm nghệ thuật, triển lãm Bảo tàng")</f>
        <v>Triển lãm nghệ thuật, triển lãm Bảo tàng</v>
      </c>
      <c r="F85" s="4" t="str">
        <f ca="1">IFERROR(__xludf.DUMMYFUNCTION("GOOGLETRANSLATE(C85,""ja"",""vi"")"),"Đấu giá&gt; vé, chứng từ, đặt phòng khách sạn&gt; vé vui chơi giải trí&gt; Sự kiện&gt; Triển lãm nghệ thuật, Bảo tàng triển lãm")</f>
        <v>Đấu giá&gt; vé, chứng từ, đặt phòng khách sạn&gt; vé vui chơi giải trí&gt; Sự kiện&gt; Triển lãm nghệ thuật, Bảo tàng triển lãm</v>
      </c>
      <c r="G85" t="str">
        <f t="shared" ca="1" si="1"/>
        <v>"2084039803" : "Triển lãm nghệ thuật, triển lãm Bảo tàng",</v>
      </c>
    </row>
    <row r="86" spans="1:7" ht="14.25" customHeight="1">
      <c r="A86" s="2">
        <v>2084208644</v>
      </c>
      <c r="B86" s="2" t="s">
        <v>46</v>
      </c>
      <c r="C86" s="2" t="s">
        <v>1359</v>
      </c>
      <c r="D86" s="2" t="s">
        <v>1362</v>
      </c>
      <c r="E86" s="5" t="str">
        <f ca="1">IFERROR(__xludf.DUMMYFUNCTION("GOOGLETRANSLATE(B86,""ja"",""vi"")"),"nếu không thì")</f>
        <v>nếu không thì</v>
      </c>
      <c r="F86" s="4" t="str">
        <f ca="1">IFERROR(__xludf.DUMMYFUNCTION("GOOGLETRANSLATE(C86,""ja"",""vi"")"),"Đấu giá&gt; vé, chứng từ, đặt phòng khách sạn&gt; vé vui chơi giải trí&gt; Sự kiện&gt; Khác")</f>
        <v>Đấu giá&gt; vé, chứng từ, đặt phòng khách sạn&gt; vé vui chơi giải trí&gt; Sự kiện&gt; Khác</v>
      </c>
      <c r="G86" t="str">
        <f t="shared" ca="1" si="1"/>
        <v>"2084208644" : "nếu không thì",</v>
      </c>
    </row>
    <row r="87" spans="1:7" ht="14.25" customHeight="1">
      <c r="A87" s="2">
        <v>2084060556</v>
      </c>
      <c r="B87" s="2" t="s">
        <v>1367</v>
      </c>
      <c r="C87" s="2" t="s">
        <v>1368</v>
      </c>
      <c r="D87" s="2" t="s">
        <v>1369</v>
      </c>
      <c r="E87" s="5" t="str">
        <f ca="1">IFERROR(__xludf.DUMMYFUNCTION("GOOGLETRANSLATE(B87,""ja"",""vi"")"),"phim Nhật Bản")</f>
        <v>phim Nhật Bản</v>
      </c>
      <c r="F87" s="4" t="str">
        <f ca="1">IFERROR(__xludf.DUMMYFUNCTION("GOOGLETRANSLATE(C87,""ja"",""vi"")"),"Đấu giá&gt; vé, chứng từ, đặt phòng khách sạn&gt; vé vui chơi giải trí&gt; phim&gt; Phim Nhật Bản")</f>
        <v>Đấu giá&gt; vé, chứng từ, đặt phòng khách sạn&gt; vé vui chơi giải trí&gt; phim&gt; Phim Nhật Bản</v>
      </c>
      <c r="G87" t="str">
        <f t="shared" ca="1" si="1"/>
        <v>"2084060556" : "phim Nhật Bản",</v>
      </c>
    </row>
    <row r="88" spans="1:7" ht="14.25" customHeight="1">
      <c r="A88" s="2">
        <v>2084060557</v>
      </c>
      <c r="B88" s="2" t="s">
        <v>1372</v>
      </c>
      <c r="C88" s="2" t="s">
        <v>1374</v>
      </c>
      <c r="D88" s="2" t="s">
        <v>1376</v>
      </c>
      <c r="E88" s="5" t="str">
        <f ca="1">IFERROR(__xludf.DUMMYFUNCTION("GOOGLETRANSLATE(B88,""ja"",""vi"")"),"phim")</f>
        <v>phim</v>
      </c>
      <c r="F88" s="4" t="str">
        <f ca="1">IFERROR(__xludf.DUMMYFUNCTION("GOOGLETRANSLATE(C88,""ja"",""vi"")"),"Đấu giá&gt; vé, chứng từ, đặt phòng khách sạn&gt; vé vui chơi giải trí&gt; Điện ảnh&gt; Phim")</f>
        <v>Đấu giá&gt; vé, chứng từ, đặt phòng khách sạn&gt; vé vui chơi giải trí&gt; Điện ảnh&gt; Phim</v>
      </c>
      <c r="G88" t="str">
        <f t="shared" ca="1" si="1"/>
        <v>"2084060557" : "phim",</v>
      </c>
    </row>
    <row r="89" spans="1:7" ht="14.25" customHeight="1">
      <c r="A89" s="2">
        <v>2084060558</v>
      </c>
      <c r="B89" s="2" t="s">
        <v>46</v>
      </c>
      <c r="C89" s="2" t="s">
        <v>1381</v>
      </c>
      <c r="D89" s="2" t="s">
        <v>1385</v>
      </c>
      <c r="E89" s="5" t="str">
        <f ca="1">IFERROR(__xludf.DUMMYFUNCTION("GOOGLETRANSLATE(B89,""ja"",""vi"")"),"nếu không thì")</f>
        <v>nếu không thì</v>
      </c>
      <c r="F89" s="4" t="str">
        <f ca="1">IFERROR(__xludf.DUMMYFUNCTION("GOOGLETRANSLATE(C89,""ja"",""vi"")"),"Đấu giá&gt; vé, chứng từ, đặt phòng khách sạn&gt; vé vui chơi giải trí&gt; phim&gt; Khác")</f>
        <v>Đấu giá&gt; vé, chứng từ, đặt phòng khách sạn&gt; vé vui chơi giải trí&gt; phim&gt; Khác</v>
      </c>
      <c r="G89" t="str">
        <f t="shared" ca="1" si="1"/>
        <v>"2084060558" : "nếu không thì",</v>
      </c>
    </row>
    <row r="90" spans="1:7" ht="14.25" customHeight="1">
      <c r="A90" s="2">
        <v>2084208631</v>
      </c>
      <c r="B90" s="2" t="s">
        <v>14536</v>
      </c>
      <c r="C90" s="2" t="s">
        <v>14538</v>
      </c>
      <c r="D90" s="2" t="s">
        <v>14540</v>
      </c>
      <c r="E90" s="5" t="str">
        <f ca="1">IFERROR(__xludf.DUMMYFUNCTION("GOOGLETRANSLATE(B90,""ja"",""vi"")"),"hàng không")</f>
        <v>hàng không</v>
      </c>
      <c r="F90" s="4" t="str">
        <f ca="1">IFERROR(__xludf.DUMMYFUNCTION("GOOGLETRANSLATE(C90,""ja"",""vi"")"),"Đấu giá vé, chứng từ đặt phòng&gt;, Khách sạn&gt; vé miễn phí, vé giảm giá&gt; Vận tải&gt; Hàng không")</f>
        <v>Đấu giá vé, chứng từ đặt phòng&gt;, Khách sạn&gt; vé miễn phí, vé giảm giá&gt; Vận tải&gt; Hàng không</v>
      </c>
      <c r="G90" t="str">
        <f t="shared" ca="1" si="1"/>
        <v>"2084208631" : "hàng không",</v>
      </c>
    </row>
    <row r="91" spans="1:7" ht="14.25" customHeight="1">
      <c r="A91" s="2">
        <v>2084221352</v>
      </c>
      <c r="B91" s="2" t="s">
        <v>4511</v>
      </c>
      <c r="C91" s="2" t="s">
        <v>14542</v>
      </c>
      <c r="D91" s="2" t="s">
        <v>14543</v>
      </c>
      <c r="E91" s="5" t="str">
        <f ca="1">IFERROR(__xludf.DUMMYFUNCTION("GOOGLETRANSLATE(B91,""ja"",""vi"")"),"đường sắt")</f>
        <v>đường sắt</v>
      </c>
      <c r="F91" s="4" t="str">
        <f ca="1">IFERROR(__xludf.DUMMYFUNCTION("GOOGLETRANSLATE(C91,""ja"",""vi"")"),"Đấu giá vé, chứng từ đặt phòng&gt;, Khách sạn&gt; vé miễn phí, vé giảm giá&gt; Vận tải&gt; Railway")</f>
        <v>Đấu giá vé, chứng từ đặt phòng&gt;, Khách sạn&gt; vé miễn phí, vé giảm giá&gt; Vận tải&gt; Railway</v>
      </c>
      <c r="G91" t="str">
        <f t="shared" ca="1" si="1"/>
        <v>"2084221352" : "đường sắt",</v>
      </c>
    </row>
    <row r="92" spans="1:7" ht="14.25" customHeight="1">
      <c r="A92" s="2">
        <v>2084005246</v>
      </c>
      <c r="B92" s="2" t="s">
        <v>46</v>
      </c>
      <c r="C92" s="2" t="s">
        <v>14545</v>
      </c>
      <c r="D92" s="2" t="s">
        <v>14546</v>
      </c>
      <c r="E92" s="5" t="str">
        <f ca="1">IFERROR(__xludf.DUMMYFUNCTION("GOOGLETRANSLATE(B92,""ja"",""vi"")"),"nếu không thì")</f>
        <v>nếu không thì</v>
      </c>
      <c r="F92" s="4" t="str">
        <f ca="1">IFERROR(__xludf.DUMMYFUNCTION("GOOGLETRANSLATE(C92,""ja"",""vi"")"),"Đấu giá vé, chứng từ đặt phòng&gt;, Khách sạn&gt; vé miễn phí, vé giảm giá&gt; Vận tải&gt; Khác")</f>
        <v>Đấu giá vé, chứng từ đặt phòng&gt;, Khách sạn&gt; vé miễn phí, vé giảm giá&gt; Vận tải&gt; Khác</v>
      </c>
      <c r="G92" t="str">
        <f t="shared" ca="1" si="1"/>
        <v>"2084005246" : "nếu không thì",</v>
      </c>
    </row>
    <row r="93" spans="1:7" ht="14.25" customHeight="1">
      <c r="A93" s="2">
        <v>25432</v>
      </c>
      <c r="B93" s="2" t="s">
        <v>14364</v>
      </c>
      <c r="C93" s="2" t="s">
        <v>14548</v>
      </c>
      <c r="D93" s="2" t="s">
        <v>14549</v>
      </c>
      <c r="E93" s="5" t="str">
        <f ca="1">IFERROR(__xludf.DUMMYFUNCTION("GOOGLETRANSLATE(B93,""ja"",""vi"")"),"khu vui chơi, công viên giải trí")</f>
        <v>khu vui chơi, công viên giải trí</v>
      </c>
      <c r="F93" s="4" t="str">
        <f ca="1">IFERROR(__xludf.DUMMYFUNCTION("GOOGLETRANSLATE(C93,""ja"",""vi"")"),"Đấu giá&gt; vé, chứng từ, đặt phòng khách sạn&gt; Các cơ sở sử dụng vé&gt; Khu vui chơi giải trí, công viên giải trí")</f>
        <v>Đấu giá&gt; vé, chứng từ, đặt phòng khách sạn&gt; Các cơ sở sử dụng vé&gt; Khu vui chơi giải trí, công viên giải trí</v>
      </c>
      <c r="G93" t="str">
        <f t="shared" ca="1" si="1"/>
        <v>"25432" : "khu vui chơi, công viên giải trí",</v>
      </c>
    </row>
    <row r="94" spans="1:7" ht="14.25" customHeight="1">
      <c r="A94" s="2">
        <v>2084044985</v>
      </c>
      <c r="B94" s="2" t="s">
        <v>14551</v>
      </c>
      <c r="C94" s="2" t="s">
        <v>14552</v>
      </c>
      <c r="D94" s="2" t="s">
        <v>14553</v>
      </c>
      <c r="E94" s="5" t="str">
        <f ca="1">IFERROR(__xludf.DUMMYFUNCTION("GOOGLETRANSLATE(B94,""ja"",""vi"")"),"sân golf")</f>
        <v>sân golf</v>
      </c>
      <c r="F94" s="4" t="str">
        <f ca="1">IFERROR(__xludf.DUMMYFUNCTION("GOOGLETRANSLATE(C94,""ja"",""vi"")"),"Đấu giá&gt; vé, chứng từ, đặt phòng khách sạn&gt; Các cơ sở sử dụng vé&gt; sân golf")</f>
        <v>Đấu giá&gt; vé, chứng từ, đặt phòng khách sạn&gt; Các cơ sở sử dụng vé&gt; sân golf</v>
      </c>
      <c r="G94" t="str">
        <f t="shared" ca="1" si="1"/>
        <v>"2084044985" : "sân golf",</v>
      </c>
    </row>
    <row r="95" spans="1:7" ht="14.25" customHeight="1">
      <c r="A95" s="2">
        <v>25436</v>
      </c>
      <c r="B95" s="2" t="s">
        <v>14554</v>
      </c>
      <c r="C95" s="2" t="s">
        <v>14555</v>
      </c>
      <c r="D95" s="2" t="s">
        <v>14557</v>
      </c>
      <c r="E95" s="5" t="str">
        <f ca="1">IFERROR(__xludf.DUMMYFUNCTION("GOOGLETRANSLATE(B95,""ja"",""vi"")"),"khu trượt tuyết")</f>
        <v>khu trượt tuyết</v>
      </c>
      <c r="F95" s="4" t="str">
        <f ca="1">IFERROR(__xludf.DUMMYFUNCTION("GOOGLETRANSLATE(C95,""ja"",""vi"")"),"Đấu giá&gt; vé, chứng từ, đặt phòng khách sạn&gt; Các cơ sở sử dụng vé&gt; Khu trượt tuyết")</f>
        <v>Đấu giá&gt; vé, chứng từ, đặt phòng khách sạn&gt; Các cơ sở sử dụng vé&gt; Khu trượt tuyết</v>
      </c>
      <c r="G95" t="str">
        <f t="shared" ca="1" si="1"/>
        <v>"25436" : "khu trượt tuyết",</v>
      </c>
    </row>
    <row r="96" spans="1:7" ht="14.25" customHeight="1">
      <c r="A96" s="2">
        <v>2084211024</v>
      </c>
      <c r="B96" s="2" t="s">
        <v>14559</v>
      </c>
      <c r="C96" s="2" t="s">
        <v>14560</v>
      </c>
      <c r="D96" s="2" t="s">
        <v>14561</v>
      </c>
      <c r="E96" s="5" t="str">
        <f ca="1">IFERROR(__xludf.DUMMYFUNCTION("GOOGLETRANSLATE(B96,""ja"",""vi"")"),"Fitness Club")</f>
        <v>Fitness Club</v>
      </c>
      <c r="F96" s="4" t="str">
        <f ca="1">IFERROR(__xludf.DUMMYFUNCTION("GOOGLETRANSLATE(C96,""ja"",""vi"")"),"Đấu giá&gt; vé, chứng từ, đặt phòng khách sạn&gt; Các cơ sở sử dụng vé&gt; câu lạc bộ thể dục thẩm mỹ")</f>
        <v>Đấu giá&gt; vé, chứng từ, đặt phòng khách sạn&gt; Các cơ sở sử dụng vé&gt; câu lạc bộ thể dục thẩm mỹ</v>
      </c>
      <c r="G96" t="str">
        <f t="shared" ca="1" si="1"/>
        <v>"2084211024" : "Fitness Club",</v>
      </c>
    </row>
    <row r="97" spans="1:7" ht="14.25" customHeight="1">
      <c r="A97" s="2">
        <v>2084042176</v>
      </c>
      <c r="B97" s="2" t="s">
        <v>12393</v>
      </c>
      <c r="C97" s="2" t="s">
        <v>14563</v>
      </c>
      <c r="D97" s="2" t="s">
        <v>14565</v>
      </c>
      <c r="E97" s="5" t="str">
        <f ca="1">IFERROR(__xludf.DUMMYFUNCTION("GOOGLETRANSLATE(B97,""ja"",""vi"")"),"hồ bơi")</f>
        <v>hồ bơi</v>
      </c>
      <c r="F97" s="4" t="str">
        <f ca="1">IFERROR(__xludf.DUMMYFUNCTION("GOOGLETRANSLATE(C97,""ja"",""vi"")"),"Đấu giá&gt; vé, chứng từ, đặt phòng khách sạn&gt; Các cơ sở sử dụng vé&gt; hồ bơi")</f>
        <v>Đấu giá&gt; vé, chứng từ, đặt phòng khách sạn&gt; Các cơ sở sử dụng vé&gt; hồ bơi</v>
      </c>
      <c r="G97" t="str">
        <f t="shared" ca="1" si="1"/>
        <v>"2084042176" : "hồ bơi",</v>
      </c>
    </row>
    <row r="98" spans="1:7" ht="14.25" customHeight="1">
      <c r="A98" s="2">
        <v>2084047642</v>
      </c>
      <c r="B98" s="2" t="s">
        <v>14566</v>
      </c>
      <c r="C98" s="2" t="s">
        <v>14567</v>
      </c>
      <c r="D98" s="2" t="s">
        <v>14569</v>
      </c>
      <c r="E98" s="5" t="str">
        <f ca="1">IFERROR(__xludf.DUMMYFUNCTION("GOOGLETRANSLATE(B98,""ja"",""vi"")"),"Các trung tâm bowling")</f>
        <v>Các trung tâm bowling</v>
      </c>
      <c r="F98" s="4" t="str">
        <f ca="1">IFERROR(__xludf.DUMMYFUNCTION("GOOGLETRANSLATE(C98,""ja"",""vi"")"),"Đấu giá&gt; vé, chứng từ, đặt phòng khách sạn&gt; Các cơ sở sử dụng vé&gt; Bowling Alley")</f>
        <v>Đấu giá&gt; vé, chứng từ, đặt phòng khách sạn&gt; Các cơ sở sử dụng vé&gt; Bowling Alley</v>
      </c>
      <c r="G98" t="str">
        <f t="shared" ca="1" si="1"/>
        <v>"2084047642" : "Các trung tâm bowling",</v>
      </c>
    </row>
    <row r="99" spans="1:7" ht="14.25" customHeight="1">
      <c r="A99" s="2">
        <v>42441</v>
      </c>
      <c r="B99" s="2" t="s">
        <v>14570</v>
      </c>
      <c r="C99" s="2" t="s">
        <v>14571</v>
      </c>
      <c r="D99" s="2" t="s">
        <v>14572</v>
      </c>
      <c r="E99" s="5" t="str">
        <f ca="1">IFERROR(__xludf.DUMMYFUNCTION("GOOGLETRANSLATE(B99,""ja"",""vi"")"),"Nhà nghỉ")</f>
        <v>Nhà nghỉ</v>
      </c>
      <c r="F99" s="4" t="str">
        <f ca="1">IFERROR(__xludf.DUMMYFUNCTION("GOOGLETRANSLATE(C99,""ja"",""vi"")"),"Đấu giá&gt; vé, chứng từ, đặt phòng khách sạn&gt; Các cơ sở sử dụng vé&gt; trọ")</f>
        <v>Đấu giá&gt; vé, chứng từ, đặt phòng khách sạn&gt; Các cơ sở sử dụng vé&gt; trọ</v>
      </c>
      <c r="G99" t="str">
        <f t="shared" ca="1" si="1"/>
        <v>"42441" : "Nhà nghỉ",</v>
      </c>
    </row>
    <row r="100" spans="1:7" ht="14.25" customHeight="1">
      <c r="A100" s="2">
        <v>2084064253</v>
      </c>
      <c r="B100" s="2" t="s">
        <v>14574</v>
      </c>
      <c r="C100" s="2" t="s">
        <v>14575</v>
      </c>
      <c r="D100" s="2" t="s">
        <v>14576</v>
      </c>
      <c r="E100" s="5" t="str">
        <f ca="1">IFERROR(__xludf.DUMMYFUNCTION("GOOGLETRANSLATE(B100,""ja"",""vi"")"),"bể nuôi cá")</f>
        <v>bể nuôi cá</v>
      </c>
      <c r="F100" s="4" t="str">
        <f ca="1">IFERROR(__xludf.DUMMYFUNCTION("GOOGLETRANSLATE(C100,""ja"",""vi"")"),"Đấu giá&gt; vé, chứng từ, đặt phòng khách sạn&gt; Các cơ sở sử dụng vé&gt; Aquarium")</f>
        <v>Đấu giá&gt; vé, chứng từ, đặt phòng khách sạn&gt; Các cơ sở sử dụng vé&gt; Aquarium</v>
      </c>
      <c r="G100" t="str">
        <f t="shared" ca="1" si="1"/>
        <v>"2084064253" : "bể nuôi cá",</v>
      </c>
    </row>
    <row r="101" spans="1:7" ht="14.25" customHeight="1">
      <c r="A101" s="2">
        <v>2084064250</v>
      </c>
      <c r="B101" s="2" t="s">
        <v>14578</v>
      </c>
      <c r="C101" s="2" t="s">
        <v>14579</v>
      </c>
      <c r="D101" s="2" t="s">
        <v>14580</v>
      </c>
      <c r="E101" s="5" t="str">
        <f ca="1">IFERROR(__xludf.DUMMYFUNCTION("GOOGLETRANSLATE(B101,""ja"",""vi"")"),"vườn bách thú")</f>
        <v>vườn bách thú</v>
      </c>
      <c r="F101" s="4" t="str">
        <f ca="1">IFERROR(__xludf.DUMMYFUNCTION("GOOGLETRANSLATE(C101,""ja"",""vi"")"),"Đấu giá&gt; vé, chứng từ, đặt phòng khách sạn&gt; Các cơ sở sử dụng vé&gt; Zoo")</f>
        <v>Đấu giá&gt; vé, chứng từ, đặt phòng khách sạn&gt; Các cơ sở sử dụng vé&gt; Zoo</v>
      </c>
      <c r="G101" t="str">
        <f t="shared" ca="1" si="1"/>
        <v>"2084064250" : "vườn bách thú",</v>
      </c>
    </row>
    <row r="102" spans="1:7" ht="14.25" customHeight="1">
      <c r="A102" s="2">
        <v>2084039803</v>
      </c>
      <c r="B102" s="2" t="s">
        <v>14582</v>
      </c>
      <c r="C102" s="2" t="s">
        <v>14584</v>
      </c>
      <c r="D102" s="2" t="s">
        <v>14586</v>
      </c>
      <c r="E102" s="5" t="str">
        <f ca="1">IFERROR(__xludf.DUMMYFUNCTION("GOOGLETRANSLATE(B102,""ja"",""vi"")"),"Bảo tàng")</f>
        <v>Bảo tàng</v>
      </c>
      <c r="F102" s="4" t="str">
        <f ca="1">IFERROR(__xludf.DUMMYFUNCTION("GOOGLETRANSLATE(C102,""ja"",""vi"")"),"Đấu giá&gt; vé, chứng từ, đặt phòng khách sạn&gt; Các cơ sở sử dụng vé&gt; Bảo Tàng")</f>
        <v>Đấu giá&gt; vé, chứng từ, đặt phòng khách sạn&gt; Các cơ sở sử dụng vé&gt; Bảo Tàng</v>
      </c>
      <c r="G102" t="str">
        <f t="shared" ca="1" si="1"/>
        <v>"2084039803" : "Bảo tàng",</v>
      </c>
    </row>
    <row r="103" spans="1:7" ht="14.25" customHeight="1">
      <c r="A103" s="2">
        <v>2084044364</v>
      </c>
      <c r="B103" s="2" t="s">
        <v>46</v>
      </c>
      <c r="C103" s="2" t="s">
        <v>14589</v>
      </c>
      <c r="D103" s="2" t="s">
        <v>14590</v>
      </c>
      <c r="E103" s="5" t="str">
        <f ca="1">IFERROR(__xludf.DUMMYFUNCTION("GOOGLETRANSLATE(B103,""ja"",""vi"")"),"nếu không thì")</f>
        <v>nếu không thì</v>
      </c>
      <c r="F103" s="4" t="str">
        <f ca="1">IFERROR(__xludf.DUMMYFUNCTION("GOOGLETRANSLATE(C103,""ja"",""vi"")"),"Đấu giá&gt; vé, chứng từ, đặt phòng khách sạn&gt; Các cơ sở sử dụng vé&gt; Khác")</f>
        <v>Đấu giá&gt; vé, chứng từ, đặt phòng khách sạn&gt; Các cơ sở sử dụng vé&gt; Khác</v>
      </c>
      <c r="G103" t="str">
        <f t="shared" ca="1" si="1"/>
        <v>"2084044364" : "nếu không thì",</v>
      </c>
    </row>
    <row r="104" spans="1:7" ht="14.25" customHeight="1">
      <c r="A104" s="2">
        <v>2084007616</v>
      </c>
      <c r="B104" s="2" t="s">
        <v>5151</v>
      </c>
      <c r="C104" s="2" t="s">
        <v>14594</v>
      </c>
      <c r="D104" s="2" t="s">
        <v>14596</v>
      </c>
      <c r="E104" s="5" t="str">
        <f ca="1">IFERROR(__xludf.DUMMYFUNCTION("GOOGLETRANSLATE(B104,""ja"",""vi"")"),"Hokkaido")</f>
        <v>Hokkaido</v>
      </c>
      <c r="F104" s="4" t="str">
        <f ca="1">IFERROR(__xludf.DUMMYFUNCTION("GOOGLETRANSLATE(C104,""ja"",""vi"")"),"Đấu giá vé, chứng từ đặt phòng khách sạn,&gt;&gt; Phiếu Quà tặng&gt; voucher&gt; Hokkaido")</f>
        <v>Đấu giá vé, chứng từ đặt phòng khách sạn,&gt;&gt; Phiếu Quà tặng&gt; voucher&gt; Hokkaido</v>
      </c>
      <c r="G104" t="str">
        <f t="shared" ca="1" si="1"/>
        <v>"2084007616" : "Hokkaido",</v>
      </c>
    </row>
    <row r="105" spans="1:7" ht="14.25" customHeight="1">
      <c r="A105" s="2">
        <v>2084007617</v>
      </c>
      <c r="B105" s="2" t="s">
        <v>5155</v>
      </c>
      <c r="C105" s="2" t="s">
        <v>14599</v>
      </c>
      <c r="D105" s="2" t="s">
        <v>14600</v>
      </c>
      <c r="E105" s="5" t="str">
        <f ca="1">IFERROR(__xludf.DUMMYFUNCTION("GOOGLETRANSLATE(B105,""ja"",""vi"")"),"đông bắc")</f>
        <v>đông bắc</v>
      </c>
      <c r="F105" s="4" t="str">
        <f ca="1">IFERROR(__xludf.DUMMYFUNCTION("GOOGLETRANSLATE(C105,""ja"",""vi"")"),"Đấu giá vé, chứng từ đặt phòng khách sạn,&gt;&gt; Phiếu Quà tặng&gt; voucher&gt; Đông Bắc")</f>
        <v>Đấu giá vé, chứng từ đặt phòng khách sạn,&gt;&gt; Phiếu Quà tặng&gt; voucher&gt; Đông Bắc</v>
      </c>
      <c r="G105" t="str">
        <f t="shared" ca="1" si="1"/>
        <v>"2084007617" : "đông bắc",</v>
      </c>
    </row>
    <row r="106" spans="1:7" ht="14.25" customHeight="1">
      <c r="A106" s="2">
        <v>2084007618</v>
      </c>
      <c r="B106" s="2" t="s">
        <v>5159</v>
      </c>
      <c r="C106" s="2" t="s">
        <v>14605</v>
      </c>
      <c r="D106" s="2" t="s">
        <v>14608</v>
      </c>
      <c r="E106" s="5" t="str">
        <f ca="1">IFERROR(__xludf.DUMMYFUNCTION("GOOGLETRANSLATE(B106,""ja"",""vi"")"),"Kanto")</f>
        <v>Kanto</v>
      </c>
      <c r="F106" s="4" t="str">
        <f ca="1">IFERROR(__xludf.DUMMYFUNCTION("GOOGLETRANSLATE(C106,""ja"",""vi"")"),"Đấu giá vé, chứng từ đặt phòng khách sạn,&gt;&gt; Phiếu Quà tặng&gt; voucher&gt; Kanto")</f>
        <v>Đấu giá vé, chứng từ đặt phòng khách sạn,&gt;&gt; Phiếu Quà tặng&gt; voucher&gt; Kanto</v>
      </c>
      <c r="G106" t="str">
        <f t="shared" ca="1" si="1"/>
        <v>"2084007618" : "Kanto",</v>
      </c>
    </row>
    <row r="107" spans="1:7" ht="14.25" customHeight="1">
      <c r="A107" s="2">
        <v>2084007620</v>
      </c>
      <c r="B107" s="2" t="s">
        <v>5166</v>
      </c>
      <c r="C107" s="2" t="s">
        <v>14612</v>
      </c>
      <c r="D107" s="2" t="s">
        <v>14613</v>
      </c>
      <c r="E107" s="5" t="str">
        <f ca="1">IFERROR(__xludf.DUMMYFUNCTION("GOOGLETRANSLATE(B107,""ja"",""vi"")"),"Shin-Etsu")</f>
        <v>Shin-Etsu</v>
      </c>
      <c r="F107" s="4" t="str">
        <f ca="1">IFERROR(__xludf.DUMMYFUNCTION("GOOGLETRANSLATE(C107,""ja"",""vi"")"),"Đấu giá vé, chứng từ đặt phòng khách sạn,&gt;&gt; Phiếu Quà tặng&gt; voucher&gt; Shin-Etsu")</f>
        <v>Đấu giá vé, chứng từ đặt phòng khách sạn,&gt;&gt; Phiếu Quà tặng&gt; voucher&gt; Shin-Etsu</v>
      </c>
      <c r="G107" t="str">
        <f t="shared" ca="1" si="1"/>
        <v>"2084007620" : "Shin-Etsu",</v>
      </c>
    </row>
    <row r="108" spans="1:7" ht="14.25" customHeight="1">
      <c r="A108" s="2">
        <v>2084007619</v>
      </c>
      <c r="B108" s="2" t="s">
        <v>5163</v>
      </c>
      <c r="C108" s="2" t="s">
        <v>14617</v>
      </c>
      <c r="D108" s="2" t="s">
        <v>14618</v>
      </c>
      <c r="E108" s="5" t="str">
        <f ca="1">IFERROR(__xludf.DUMMYFUNCTION("GOOGLETRANSLATE(B108,""ja"",""vi"")"),"Hokuriku")</f>
        <v>Hokuriku</v>
      </c>
      <c r="F108" s="4" t="str">
        <f ca="1">IFERROR(__xludf.DUMMYFUNCTION("GOOGLETRANSLATE(C108,""ja"",""vi"")"),"Đấu giá vé, chứng từ đặt phòng khách sạn,&gt;&gt; Phiếu Quà tặng&gt; voucher&gt; Hokuriku")</f>
        <v>Đấu giá vé, chứng từ đặt phòng khách sạn,&gt;&gt; Phiếu Quà tặng&gt; voucher&gt; Hokuriku</v>
      </c>
      <c r="G108" t="str">
        <f t="shared" ca="1" si="1"/>
        <v>"2084007619" : "Hokuriku",</v>
      </c>
    </row>
    <row r="109" spans="1:7" ht="14.25" customHeight="1">
      <c r="A109" s="2">
        <v>2084007621</v>
      </c>
      <c r="B109" s="2" t="s">
        <v>5170</v>
      </c>
      <c r="C109" s="2" t="s">
        <v>14622</v>
      </c>
      <c r="D109" s="2" t="s">
        <v>14623</v>
      </c>
      <c r="E109" s="5" t="str">
        <f ca="1">IFERROR(__xludf.DUMMYFUNCTION("GOOGLETRANSLATE(B109,""ja"",""vi"")"),"Tokai")</f>
        <v>Tokai</v>
      </c>
      <c r="F109" s="4" t="str">
        <f ca="1">IFERROR(__xludf.DUMMYFUNCTION("GOOGLETRANSLATE(C109,""ja"",""vi"")"),"Đấu giá vé, chứng từ đặt phòng khách sạn,&gt;&gt; Phiếu Quà tặng&gt; voucher&gt; Tokai")</f>
        <v>Đấu giá vé, chứng từ đặt phòng khách sạn,&gt;&gt; Phiếu Quà tặng&gt; voucher&gt; Tokai</v>
      </c>
      <c r="G109" t="str">
        <f t="shared" ca="1" si="1"/>
        <v>"2084007621" : "Tokai",</v>
      </c>
    </row>
    <row r="110" spans="1:7" ht="14.25" customHeight="1">
      <c r="A110" s="2">
        <v>2084007622</v>
      </c>
      <c r="B110" s="2" t="s">
        <v>5174</v>
      </c>
      <c r="C110" s="2" t="s">
        <v>14627</v>
      </c>
      <c r="D110" s="2" t="s">
        <v>14629</v>
      </c>
      <c r="E110" s="5" t="str">
        <f ca="1">IFERROR(__xludf.DUMMYFUNCTION("GOOGLETRANSLATE(B110,""ja"",""vi"")"),"Kinki")</f>
        <v>Kinki</v>
      </c>
      <c r="F110" s="4" t="str">
        <f ca="1">IFERROR(__xludf.DUMMYFUNCTION("GOOGLETRANSLATE(C110,""ja"",""vi"")"),"Đấu giá vé, chứng từ đặt phòng khách sạn,&gt;&gt; Phiếu Quà tặng&gt; voucher&gt; Kinki")</f>
        <v>Đấu giá vé, chứng từ đặt phòng khách sạn,&gt;&gt; Phiếu Quà tặng&gt; voucher&gt; Kinki</v>
      </c>
      <c r="G110" t="str">
        <f t="shared" ca="1" si="1"/>
        <v>"2084007622" : "Kinki",</v>
      </c>
    </row>
    <row r="111" spans="1:7" ht="14.25" customHeight="1">
      <c r="A111" s="2">
        <v>2084007623</v>
      </c>
      <c r="B111" s="2" t="s">
        <v>5177</v>
      </c>
      <c r="C111" s="2" t="s">
        <v>14632</v>
      </c>
      <c r="D111" s="2" t="s">
        <v>14634</v>
      </c>
      <c r="E111" s="5" t="str">
        <f ca="1">IFERROR(__xludf.DUMMYFUNCTION("GOOGLETRANSLATE(B111,""ja"",""vi"")"),"đồ sứ")</f>
        <v>đồ sứ</v>
      </c>
      <c r="F111" s="4" t="str">
        <f ca="1">IFERROR(__xludf.DUMMYFUNCTION("GOOGLETRANSLATE(C111,""ja"",""vi"")"),"Đấu giá vé, chứng từ đặt phòng khách sạn,&gt;&gt; Phiếu Quà tặng&gt; voucher&gt; Trung Quốc")</f>
        <v>Đấu giá vé, chứng từ đặt phòng khách sạn,&gt;&gt; Phiếu Quà tặng&gt; voucher&gt; Trung Quốc</v>
      </c>
      <c r="G111" t="str">
        <f t="shared" ca="1" si="1"/>
        <v>"2084007623" : "đồ sứ",</v>
      </c>
    </row>
    <row r="112" spans="1:7" ht="14.25" customHeight="1">
      <c r="A112" s="2">
        <v>2084007624</v>
      </c>
      <c r="B112" s="2" t="s">
        <v>5180</v>
      </c>
      <c r="C112" s="2" t="s">
        <v>14637</v>
      </c>
      <c r="D112" s="2" t="s">
        <v>14638</v>
      </c>
      <c r="E112" s="5" t="str">
        <f ca="1">IFERROR(__xludf.DUMMYFUNCTION("GOOGLETRANSLATE(B112,""ja"",""vi"")"),"Shikoku")</f>
        <v>Shikoku</v>
      </c>
      <c r="F112" s="4" t="str">
        <f ca="1">IFERROR(__xludf.DUMMYFUNCTION("GOOGLETRANSLATE(C112,""ja"",""vi"")"),"Đấu giá&gt; vé, chứng từ, đặt phòng khách sạn&gt; Phiếu Quà tặng&gt; voucher&gt; Shikoku")</f>
        <v>Đấu giá&gt; vé, chứng từ, đặt phòng khách sạn&gt; Phiếu Quà tặng&gt; voucher&gt; Shikoku</v>
      </c>
      <c r="G112" t="str">
        <f t="shared" ca="1" si="1"/>
        <v>"2084007624" : "Shikoku",</v>
      </c>
    </row>
    <row r="113" spans="1:7" ht="14.25" customHeight="1">
      <c r="A113" s="2">
        <v>2084007625</v>
      </c>
      <c r="B113" s="2" t="s">
        <v>5183</v>
      </c>
      <c r="C113" s="2" t="s">
        <v>14642</v>
      </c>
      <c r="D113" s="2" t="s">
        <v>14643</v>
      </c>
      <c r="E113" s="5" t="str">
        <f ca="1">IFERROR(__xludf.DUMMYFUNCTION("GOOGLETRANSLATE(B113,""ja"",""vi"")"),"Kyushu")</f>
        <v>Kyushu</v>
      </c>
      <c r="F113" s="4" t="str">
        <f ca="1">IFERROR(__xludf.DUMMYFUNCTION("GOOGLETRANSLATE(C113,""ja"",""vi"")"),"Đấu giá vé, chứng từ đặt phòng khách sạn,&gt;&gt; Phiếu Quà tặng&gt; voucher&gt; Kyushu")</f>
        <v>Đấu giá vé, chứng từ đặt phòng khách sạn,&gt;&gt; Phiếu Quà tặng&gt; voucher&gt; Kyushu</v>
      </c>
      <c r="G113" t="str">
        <f t="shared" ca="1" si="1"/>
        <v>"2084007625" : "Kyushu",</v>
      </c>
    </row>
    <row r="114" spans="1:7" ht="14.25" customHeight="1">
      <c r="A114" s="2">
        <v>2084007626</v>
      </c>
      <c r="B114" s="2" t="s">
        <v>5186</v>
      </c>
      <c r="C114" s="2" t="s">
        <v>14647</v>
      </c>
      <c r="D114" s="2" t="s">
        <v>14648</v>
      </c>
      <c r="E114" s="5" t="str">
        <f ca="1">IFERROR(__xludf.DUMMYFUNCTION("GOOGLETRANSLATE(B114,""ja"",""vi"")"),"Okinawa")</f>
        <v>Okinawa</v>
      </c>
      <c r="F114" s="4" t="str">
        <f ca="1">IFERROR(__xludf.DUMMYFUNCTION("GOOGLETRANSLATE(C114,""ja"",""vi"")"),"Đấu giá vé, chứng từ đặt phòng khách sạn,&gt;&gt; Phiếu Quà tặng&gt; voucher&gt; Okinawa")</f>
        <v>Đấu giá vé, chứng từ đặt phòng khách sạn,&gt;&gt; Phiếu Quà tặng&gt; voucher&gt; Okinawa</v>
      </c>
      <c r="G114" t="str">
        <f t="shared" ca="1" si="1"/>
        <v>"2084007626" : "Okinawa",</v>
      </c>
    </row>
    <row r="115" spans="1:7" ht="14.25" customHeight="1">
      <c r="A115" s="2">
        <v>2084062636</v>
      </c>
      <c r="B115" s="2" t="s">
        <v>12195</v>
      </c>
      <c r="C115" s="2" t="s">
        <v>14652</v>
      </c>
      <c r="D115" s="2" t="s">
        <v>14653</v>
      </c>
      <c r="E115" s="5" t="str">
        <f ca="1">IFERROR(__xludf.DUMMYFUNCTION("GOOGLETRANSLATE(B115,""ja"",""vi"")"),"Đặt phòng khách sạn")</f>
        <v>Đặt phòng khách sạn</v>
      </c>
      <c r="F115" s="4" t="str">
        <f ca="1">IFERROR(__xludf.DUMMYFUNCTION("GOOGLETRANSLATE(C115,""ja"",""vi"")"),"Đấu giá&gt; vé, chứng từ, đặt phòng khách sạn&gt; Phiếu Quà tặng&gt; voucher&gt; đặt phòng nơi ăn nghỉ")</f>
        <v>Đấu giá&gt; vé, chứng từ, đặt phòng khách sạn&gt; Phiếu Quà tặng&gt; voucher&gt; đặt phòng nơi ăn nghỉ</v>
      </c>
      <c r="G115" t="str">
        <f t="shared" ca="1" si="1"/>
        <v>"2084062636" : "Đặt phòng khách sạn",</v>
      </c>
    </row>
    <row r="116" spans="1:7" ht="14.25" customHeight="1">
      <c r="A116" s="2">
        <v>42443</v>
      </c>
      <c r="B116" s="2" t="s">
        <v>46</v>
      </c>
      <c r="C116" s="2" t="s">
        <v>14659</v>
      </c>
      <c r="D116" s="2" t="s">
        <v>14661</v>
      </c>
      <c r="E116" s="5" t="str">
        <f ca="1">IFERROR(__xludf.DUMMYFUNCTION("GOOGLETRANSLATE(B116,""ja"",""vi"")"),"nếu không thì")</f>
        <v>nếu không thì</v>
      </c>
      <c r="F116" s="4" t="str">
        <f ca="1">IFERROR(__xludf.DUMMYFUNCTION("GOOGLETRANSLATE(C116,""ja"",""vi"")"),"Đấu giá vé, chứng từ đặt phòng khách sạn,&gt;&gt; Phiếu Quà tặng&gt; voucher&gt; Khác")</f>
        <v>Đấu giá vé, chứng từ đặt phòng khách sạn,&gt;&gt; Phiếu Quà tặng&gt; voucher&gt; Khác</v>
      </c>
      <c r="G116" t="str">
        <f t="shared" ca="1" si="1"/>
        <v>"42443" : "nếu không thì",</v>
      </c>
    </row>
    <row r="117" spans="1:7" ht="14.25" customHeight="1">
      <c r="A117" s="2">
        <v>2084039899</v>
      </c>
      <c r="B117" s="2" t="s">
        <v>5151</v>
      </c>
      <c r="C117" s="2" t="s">
        <v>12339</v>
      </c>
      <c r="D117" s="2" t="s">
        <v>14665</v>
      </c>
      <c r="E117" s="5" t="str">
        <f ca="1">IFERROR(__xludf.DUMMYFUNCTION("GOOGLETRANSLATE(B117,""ja"",""vi"")"),"Hokkaido")</f>
        <v>Hokkaido</v>
      </c>
      <c r="F117" s="4" t="str">
        <f ca="1">IFERROR(__xludf.DUMMYFUNCTION("GOOGLETRANSLATE(C117,""ja"",""vi"")"),"Đấu giá&gt; vé, chứng từ, đặt phòng khách sạn&gt; Các cơ sở sử dụng vé&gt; Khu vui chơi giải trí, công viên giải trí&gt; Hokkaido")</f>
        <v>Đấu giá&gt; vé, chứng từ, đặt phòng khách sạn&gt; Các cơ sở sử dụng vé&gt; Khu vui chơi giải trí, công viên giải trí&gt; Hokkaido</v>
      </c>
      <c r="G117" t="str">
        <f t="shared" ca="1" si="1"/>
        <v>"2084039899" : "Hokkaido",</v>
      </c>
    </row>
    <row r="118" spans="1:7" ht="14.25" customHeight="1">
      <c r="A118" s="2">
        <v>2084039900</v>
      </c>
      <c r="B118" s="2" t="s">
        <v>5155</v>
      </c>
      <c r="C118" s="2" t="s">
        <v>12344</v>
      </c>
      <c r="D118" s="2" t="s">
        <v>14670</v>
      </c>
      <c r="E118" s="5" t="str">
        <f ca="1">IFERROR(__xludf.DUMMYFUNCTION("GOOGLETRANSLATE(B118,""ja"",""vi"")"),"đông bắc")</f>
        <v>đông bắc</v>
      </c>
      <c r="F118" s="4" t="str">
        <f ca="1">IFERROR(__xludf.DUMMYFUNCTION("GOOGLETRANSLATE(C118,""ja"",""vi"")"),"Đấu giá&gt; vé, chứng từ, đặt phòng khách sạn&gt; Các cơ sở sử dụng vé&gt; Khu vui chơi giải trí, công viên giải trí&gt; Đông Bắc")</f>
        <v>Đấu giá&gt; vé, chứng từ, đặt phòng khách sạn&gt; Các cơ sở sử dụng vé&gt; Khu vui chơi giải trí, công viên giải trí&gt; Đông Bắc</v>
      </c>
      <c r="G118" t="str">
        <f t="shared" ca="1" si="1"/>
        <v>"2084039900" : "đông bắc",</v>
      </c>
    </row>
    <row r="119" spans="1:7" ht="14.25" customHeight="1">
      <c r="A119" s="2">
        <v>2084039901</v>
      </c>
      <c r="B119" s="2" t="s">
        <v>5159</v>
      </c>
      <c r="C119" s="2" t="s">
        <v>12349</v>
      </c>
      <c r="D119" s="2" t="s">
        <v>14674</v>
      </c>
      <c r="E119" s="5" t="str">
        <f ca="1">IFERROR(__xludf.DUMMYFUNCTION("GOOGLETRANSLATE(B119,""ja"",""vi"")"),"Kanto")</f>
        <v>Kanto</v>
      </c>
      <c r="F119" s="4" t="str">
        <f ca="1">IFERROR(__xludf.DUMMYFUNCTION("GOOGLETRANSLATE(C119,""ja"",""vi"")"),"Đấu giá&gt; vé, chứng từ, đặt phòng khách sạn&gt; Các cơ sở sử dụng vé&gt; Khu vui chơi giải trí, công viên giải trí&gt; Kanto")</f>
        <v>Đấu giá&gt; vé, chứng từ, đặt phòng khách sạn&gt; Các cơ sở sử dụng vé&gt; Khu vui chơi giải trí, công viên giải trí&gt; Kanto</v>
      </c>
      <c r="G119" t="str">
        <f t="shared" ca="1" si="1"/>
        <v>"2084039901" : "Kanto",</v>
      </c>
    </row>
    <row r="120" spans="1:7" ht="14.25" customHeight="1">
      <c r="A120" s="2">
        <v>2084039902</v>
      </c>
      <c r="B120" s="2" t="s">
        <v>5163</v>
      </c>
      <c r="C120" s="2" t="s">
        <v>12354</v>
      </c>
      <c r="D120" s="2" t="s">
        <v>14679</v>
      </c>
      <c r="E120" s="5" t="str">
        <f ca="1">IFERROR(__xludf.DUMMYFUNCTION("GOOGLETRANSLATE(B120,""ja"",""vi"")"),"Hokuriku")</f>
        <v>Hokuriku</v>
      </c>
      <c r="F120" s="4" t="str">
        <f ca="1">IFERROR(__xludf.DUMMYFUNCTION("GOOGLETRANSLATE(C120,""ja"",""vi"")"),"Đấu giá&gt; vé, chứng từ, đặt phòng khách sạn&gt; Các cơ sở sử dụng vé&gt; Khu vui chơi giải trí, công viên giải trí&gt; Hokuriku")</f>
        <v>Đấu giá&gt; vé, chứng từ, đặt phòng khách sạn&gt; Các cơ sở sử dụng vé&gt; Khu vui chơi giải trí, công viên giải trí&gt; Hokuriku</v>
      </c>
      <c r="G120" t="str">
        <f t="shared" ca="1" si="1"/>
        <v>"2084039902" : "Hokuriku",</v>
      </c>
    </row>
    <row r="121" spans="1:7" ht="14.25" customHeight="1">
      <c r="A121" s="2">
        <v>2084039903</v>
      </c>
      <c r="B121" s="2" t="s">
        <v>5166</v>
      </c>
      <c r="C121" s="2" t="s">
        <v>12362</v>
      </c>
      <c r="D121" s="2" t="s">
        <v>14684</v>
      </c>
      <c r="E121" s="5" t="str">
        <f ca="1">IFERROR(__xludf.DUMMYFUNCTION("GOOGLETRANSLATE(B121,""ja"",""vi"")"),"Shin-Etsu")</f>
        <v>Shin-Etsu</v>
      </c>
      <c r="F121" s="4" t="str">
        <f ca="1">IFERROR(__xludf.DUMMYFUNCTION("GOOGLETRANSLATE(C121,""ja"",""vi"")"),"Đấu giá&gt; vé, chứng từ, đặt phòng khách sạn&gt; Các cơ sở sử dụng vé&gt; công viên giải trí, công viên chủ đề&gt; Shin-Etsu")</f>
        <v>Đấu giá&gt; vé, chứng từ, đặt phòng khách sạn&gt; Các cơ sở sử dụng vé&gt; công viên giải trí, công viên chủ đề&gt; Shin-Etsu</v>
      </c>
      <c r="G121" t="str">
        <f t="shared" ca="1" si="1"/>
        <v>"2084039903" : "Shin-Etsu",</v>
      </c>
    </row>
    <row r="122" spans="1:7" ht="14.25" customHeight="1">
      <c r="A122" s="2">
        <v>2084039904</v>
      </c>
      <c r="B122" s="2" t="s">
        <v>5170</v>
      </c>
      <c r="C122" s="2" t="s">
        <v>12368</v>
      </c>
      <c r="D122" s="2" t="s">
        <v>14688</v>
      </c>
      <c r="E122" s="5" t="str">
        <f ca="1">IFERROR(__xludf.DUMMYFUNCTION("GOOGLETRANSLATE(B122,""ja"",""vi"")"),"Tokai")</f>
        <v>Tokai</v>
      </c>
      <c r="F122" s="4" t="str">
        <f ca="1">IFERROR(__xludf.DUMMYFUNCTION("GOOGLETRANSLATE(C122,""ja"",""vi"")"),"Đấu giá&gt; vé, chứng từ, đặt phòng khách sạn&gt; Các cơ sở sử dụng vé&gt; Khu vui chơi giải trí, công viên giải trí&gt; Tokai")</f>
        <v>Đấu giá&gt; vé, chứng từ, đặt phòng khách sạn&gt; Các cơ sở sử dụng vé&gt; Khu vui chơi giải trí, công viên giải trí&gt; Tokai</v>
      </c>
      <c r="G122" t="str">
        <f t="shared" ca="1" si="1"/>
        <v>"2084039904" : "Tokai",</v>
      </c>
    </row>
    <row r="123" spans="1:7" ht="14.25" customHeight="1">
      <c r="A123" s="2">
        <v>2084039905</v>
      </c>
      <c r="B123" s="2" t="s">
        <v>5174</v>
      </c>
      <c r="C123" s="2" t="s">
        <v>12372</v>
      </c>
      <c r="D123" s="2" t="s">
        <v>14693</v>
      </c>
      <c r="E123" s="5" t="str">
        <f ca="1">IFERROR(__xludf.DUMMYFUNCTION("GOOGLETRANSLATE(B123,""ja"",""vi"")"),"Kinki")</f>
        <v>Kinki</v>
      </c>
      <c r="F123" s="4" t="str">
        <f ca="1">IFERROR(__xludf.DUMMYFUNCTION("GOOGLETRANSLATE(C123,""ja"",""vi"")"),"Đấu giá&gt; vé, chứng từ, đặt phòng khách sạn&gt; Các cơ sở sử dụng vé&gt; Khu vui chơi giải trí, công viên giải trí&gt; Kinki")</f>
        <v>Đấu giá&gt; vé, chứng từ, đặt phòng khách sạn&gt; Các cơ sở sử dụng vé&gt; Khu vui chơi giải trí, công viên giải trí&gt; Kinki</v>
      </c>
      <c r="G123" t="str">
        <f t="shared" ca="1" si="1"/>
        <v>"2084039905" : "Kinki",</v>
      </c>
    </row>
    <row r="124" spans="1:7" ht="14.25" customHeight="1">
      <c r="A124" s="2">
        <v>2084039906</v>
      </c>
      <c r="B124" s="2" t="s">
        <v>5177</v>
      </c>
      <c r="C124" s="2" t="s">
        <v>12375</v>
      </c>
      <c r="D124" s="2" t="s">
        <v>14697</v>
      </c>
      <c r="E124" s="5" t="str">
        <f ca="1">IFERROR(__xludf.DUMMYFUNCTION("GOOGLETRANSLATE(B124,""ja"",""vi"")"),"đồ sứ")</f>
        <v>đồ sứ</v>
      </c>
      <c r="F124" s="4" t="str">
        <f ca="1">IFERROR(__xludf.DUMMYFUNCTION("GOOGLETRANSLATE(C124,""ja"",""vi"")"),"Đấu giá&gt; vé, chứng từ, đặt phòng khách sạn&gt; Các cơ sở sử dụng vé&gt; Khu vui chơi giải trí, công viên giải trí&gt; Trung Quốc")</f>
        <v>Đấu giá&gt; vé, chứng từ, đặt phòng khách sạn&gt; Các cơ sở sử dụng vé&gt; Khu vui chơi giải trí, công viên giải trí&gt; Trung Quốc</v>
      </c>
      <c r="G124" t="str">
        <f t="shared" ca="1" si="1"/>
        <v>"2084039906" : "đồ sứ",</v>
      </c>
    </row>
    <row r="125" spans="1:7" ht="14.25" customHeight="1">
      <c r="A125" s="2">
        <v>2084039907</v>
      </c>
      <c r="B125" s="2" t="s">
        <v>5180</v>
      </c>
      <c r="C125" s="2" t="s">
        <v>12378</v>
      </c>
      <c r="D125" s="2" t="s">
        <v>14702</v>
      </c>
      <c r="E125" s="5" t="str">
        <f ca="1">IFERROR(__xludf.DUMMYFUNCTION("GOOGLETRANSLATE(B125,""ja"",""vi"")"),"Shikoku")</f>
        <v>Shikoku</v>
      </c>
      <c r="F125" s="4" t="str">
        <f ca="1">IFERROR(__xludf.DUMMYFUNCTION("GOOGLETRANSLATE(C125,""ja"",""vi"")"),"Đấu giá&gt; vé, chứng từ, đặt phòng khách sạn&gt; Các cơ sở sử dụng vé&gt; Khu vui chơi giải trí, công viên giải trí&gt; Shikoku")</f>
        <v>Đấu giá&gt; vé, chứng từ, đặt phòng khách sạn&gt; Các cơ sở sử dụng vé&gt; Khu vui chơi giải trí, công viên giải trí&gt; Shikoku</v>
      </c>
      <c r="G125" t="str">
        <f t="shared" ca="1" si="1"/>
        <v>"2084039907" : "Shikoku",</v>
      </c>
    </row>
    <row r="126" spans="1:7" ht="14.25" customHeight="1">
      <c r="A126" s="2">
        <v>2084039908</v>
      </c>
      <c r="B126" s="2" t="s">
        <v>5183</v>
      </c>
      <c r="C126" s="2" t="s">
        <v>12383</v>
      </c>
      <c r="D126" s="2" t="s">
        <v>14707</v>
      </c>
      <c r="E126" s="5" t="str">
        <f ca="1">IFERROR(__xludf.DUMMYFUNCTION("GOOGLETRANSLATE(B126,""ja"",""vi"")"),"Kyushu")</f>
        <v>Kyushu</v>
      </c>
      <c r="F126" s="4" t="str">
        <f ca="1">IFERROR(__xludf.DUMMYFUNCTION("GOOGLETRANSLATE(C126,""ja"",""vi"")"),"Đấu giá&gt; vé, chứng từ, đặt phòng khách sạn&gt; Các cơ sở sử dụng vé&gt; Khu vui chơi giải trí, công viên giải trí&gt; Kyushu")</f>
        <v>Đấu giá&gt; vé, chứng từ, đặt phòng khách sạn&gt; Các cơ sở sử dụng vé&gt; Khu vui chơi giải trí, công viên giải trí&gt; Kyushu</v>
      </c>
      <c r="G126" t="str">
        <f t="shared" ca="1" si="1"/>
        <v>"2084039908" : "Kyushu",</v>
      </c>
    </row>
    <row r="127" spans="1:7" ht="14.25" customHeight="1">
      <c r="A127" s="2">
        <v>2084039909</v>
      </c>
      <c r="B127" s="2" t="s">
        <v>5186</v>
      </c>
      <c r="C127" s="2" t="s">
        <v>12388</v>
      </c>
      <c r="D127" s="2" t="s">
        <v>14711</v>
      </c>
      <c r="E127" s="5" t="str">
        <f ca="1">IFERROR(__xludf.DUMMYFUNCTION("GOOGLETRANSLATE(B127,""ja"",""vi"")"),"Okinawa")</f>
        <v>Okinawa</v>
      </c>
      <c r="F127" s="4" t="str">
        <f ca="1">IFERROR(__xludf.DUMMYFUNCTION("GOOGLETRANSLATE(C127,""ja"",""vi"")"),"Đấu giá&gt; vé, chứng từ, đặt phòng khách sạn&gt; Các cơ sở sử dụng vé&gt; Khu vui chơi giải trí, công viên giải trí&gt; Okinawa")</f>
        <v>Đấu giá&gt; vé, chứng từ, đặt phòng khách sạn&gt; Các cơ sở sử dụng vé&gt; Khu vui chơi giải trí, công viên giải trí&gt; Okinawa</v>
      </c>
      <c r="G127" t="str">
        <f t="shared" ca="1" si="1"/>
        <v>"2084039909" : "Okinawa",</v>
      </c>
    </row>
    <row r="128" spans="1:7" ht="14.25" customHeight="1">
      <c r="A128" s="2">
        <v>2084042176</v>
      </c>
      <c r="B128" s="2" t="s">
        <v>12393</v>
      </c>
      <c r="C128" s="2" t="s">
        <v>12394</v>
      </c>
      <c r="D128" s="2" t="s">
        <v>14716</v>
      </c>
      <c r="E128" s="5" t="str">
        <f ca="1">IFERROR(__xludf.DUMMYFUNCTION("GOOGLETRANSLATE(B128,""ja"",""vi"")"),"hồ bơi")</f>
        <v>hồ bơi</v>
      </c>
      <c r="F128" s="4" t="str">
        <f ca="1">IFERROR(__xludf.DUMMYFUNCTION("GOOGLETRANSLATE(C128,""ja"",""vi"")"),"Đấu giá&gt; vé, chứng từ, đặt phòng khách sạn&gt; Các cơ sở sử dụng vé&gt; Khu vui chơi giải trí, công viên giải trí&gt; hồ bơi")</f>
        <v>Đấu giá&gt; vé, chứng từ, đặt phòng khách sạn&gt; Các cơ sở sử dụng vé&gt; Khu vui chơi giải trí, công viên giải trí&gt; hồ bơi</v>
      </c>
      <c r="G128" t="str">
        <f t="shared" ca="1" si="1"/>
        <v>"2084042176" : "hồ bơi",</v>
      </c>
    </row>
    <row r="129" spans="1:7" ht="14.25" customHeight="1">
      <c r="A129" s="2">
        <v>2084039910</v>
      </c>
      <c r="B129" s="2" t="s">
        <v>46</v>
      </c>
      <c r="C129" s="2" t="s">
        <v>12399</v>
      </c>
      <c r="D129" s="2" t="s">
        <v>14721</v>
      </c>
      <c r="E129" s="5" t="str">
        <f ca="1">IFERROR(__xludf.DUMMYFUNCTION("GOOGLETRANSLATE(B129,""ja"",""vi"")"),"nếu không thì")</f>
        <v>nếu không thì</v>
      </c>
      <c r="F129" s="4" t="str">
        <f ca="1">IFERROR(__xludf.DUMMYFUNCTION("GOOGLETRANSLATE(C129,""ja"",""vi"")"),"Đấu giá&gt; vé, chứng từ, đặt phòng khách sạn&gt; Các cơ sở sử dụng vé&gt; Khu vui chơi giải trí, công viên giải trí&gt; Khác")</f>
        <v>Đấu giá&gt; vé, chứng từ, đặt phòng khách sạn&gt; Các cơ sở sử dụng vé&gt; Khu vui chơi giải trí, công viên giải trí&gt; Khác</v>
      </c>
      <c r="G129" t="str">
        <f t="shared" ca="1" si="1"/>
        <v>"2084039910" : "nếu không thì",</v>
      </c>
    </row>
    <row r="130" spans="1:7" ht="14.25" customHeight="1">
      <c r="A130" s="2">
        <v>2084047541</v>
      </c>
      <c r="B130" s="2" t="s">
        <v>5151</v>
      </c>
      <c r="C130" s="2" t="s">
        <v>14726</v>
      </c>
      <c r="D130" s="2" t="s">
        <v>14727</v>
      </c>
      <c r="E130" s="5" t="str">
        <f ca="1">IFERROR(__xludf.DUMMYFUNCTION("GOOGLETRANSLATE(B130,""ja"",""vi"")"),"Hokkaido")</f>
        <v>Hokkaido</v>
      </c>
      <c r="F130" s="4" t="str">
        <f ca="1">IFERROR(__xludf.DUMMYFUNCTION("GOOGLETRANSLATE(C130,""ja"",""vi"")"),"Đấu giá&gt; vé, chứng từ, đặt phòng khách sạn&gt; Các cơ sở sử dụng vé&gt; khu trượt tuyết&gt; Hokkaido")</f>
        <v>Đấu giá&gt; vé, chứng từ, đặt phòng khách sạn&gt; Các cơ sở sử dụng vé&gt; khu trượt tuyết&gt; Hokkaido</v>
      </c>
      <c r="G130" t="str">
        <f t="shared" ca="1" si="1"/>
        <v>"2084047541" : "Hokkaido",</v>
      </c>
    </row>
    <row r="131" spans="1:7" ht="14.25" customHeight="1">
      <c r="A131" s="2">
        <v>2084047542</v>
      </c>
      <c r="B131" s="2" t="s">
        <v>5155</v>
      </c>
      <c r="C131" s="2" t="s">
        <v>14732</v>
      </c>
      <c r="D131" s="2" t="s">
        <v>14733</v>
      </c>
      <c r="E131" s="5" t="str">
        <f ca="1">IFERROR(__xludf.DUMMYFUNCTION("GOOGLETRANSLATE(B131,""ja"",""vi"")"),"đông bắc")</f>
        <v>đông bắc</v>
      </c>
      <c r="F131" s="4" t="str">
        <f ca="1">IFERROR(__xludf.DUMMYFUNCTION("GOOGLETRANSLATE(C131,""ja"",""vi"")"),"Đấu giá&gt; vé, chứng từ, đặt phòng khách sạn&gt; Các cơ sở sử dụng vé&gt; khu trượt tuyết&gt; Đông Bắc")</f>
        <v>Đấu giá&gt; vé, chứng từ, đặt phòng khách sạn&gt; Các cơ sở sử dụng vé&gt; khu trượt tuyết&gt; Đông Bắc</v>
      </c>
      <c r="G131" t="str">
        <f t="shared" ref="G131:G194" ca="1" si="2">CONCATENATE(CHAR(34)&amp;"",A131,""&amp;CHAR(34)," : ", CHAR(34)&amp;"",E131,""&amp;CHAR(34),",")</f>
        <v>"2084047542" : "đông bắc",</v>
      </c>
    </row>
    <row r="132" spans="1:7" ht="14.25" customHeight="1">
      <c r="A132" s="2">
        <v>2084047543</v>
      </c>
      <c r="B132" s="2" t="s">
        <v>5159</v>
      </c>
      <c r="C132" s="2" t="s">
        <v>14739</v>
      </c>
      <c r="D132" s="2" t="s">
        <v>14740</v>
      </c>
      <c r="E132" s="5" t="str">
        <f ca="1">IFERROR(__xludf.DUMMYFUNCTION("GOOGLETRANSLATE(B132,""ja"",""vi"")"),"Kanto")</f>
        <v>Kanto</v>
      </c>
      <c r="F132" s="4" t="str">
        <f ca="1">IFERROR(__xludf.DUMMYFUNCTION("GOOGLETRANSLATE(C132,""ja"",""vi"")"),"Đấu giá&gt; vé, chứng từ, đặt phòng khách sạn&gt; Các cơ sở sử dụng vé&gt; khu trượt tuyết&gt; Kanto")</f>
        <v>Đấu giá&gt; vé, chứng từ, đặt phòng khách sạn&gt; Các cơ sở sử dụng vé&gt; khu trượt tuyết&gt; Kanto</v>
      </c>
      <c r="G132" t="str">
        <f t="shared" ca="1" si="2"/>
        <v>"2084047543" : "Kanto",</v>
      </c>
    </row>
    <row r="133" spans="1:7" ht="14.25" customHeight="1">
      <c r="A133" s="2">
        <v>2084047545</v>
      </c>
      <c r="B133" s="2" t="s">
        <v>5166</v>
      </c>
      <c r="C133" s="2" t="s">
        <v>14744</v>
      </c>
      <c r="D133" s="2" t="s">
        <v>14745</v>
      </c>
      <c r="E133" s="5" t="str">
        <f ca="1">IFERROR(__xludf.DUMMYFUNCTION("GOOGLETRANSLATE(B133,""ja"",""vi"")"),"Shin-Etsu")</f>
        <v>Shin-Etsu</v>
      </c>
      <c r="F133" s="4" t="str">
        <f ca="1">IFERROR(__xludf.DUMMYFUNCTION("GOOGLETRANSLATE(C133,""ja"",""vi"")"),"Đấu giá&gt; vé, chứng từ, đặt phòng khách sạn&gt; Các cơ sở sử dụng vé&gt; khu trượt tuyết&gt; Shin-Etsu")</f>
        <v>Đấu giá&gt; vé, chứng từ, đặt phòng khách sạn&gt; Các cơ sở sử dụng vé&gt; khu trượt tuyết&gt; Shin-Etsu</v>
      </c>
      <c r="G133" t="str">
        <f t="shared" ca="1" si="2"/>
        <v>"2084047545" : "Shin-Etsu",</v>
      </c>
    </row>
    <row r="134" spans="1:7" ht="14.25" customHeight="1">
      <c r="A134" s="2">
        <v>2084047546</v>
      </c>
      <c r="B134" s="2" t="s">
        <v>5170</v>
      </c>
      <c r="C134" s="2" t="s">
        <v>14748</v>
      </c>
      <c r="D134" s="2" t="s">
        <v>14750</v>
      </c>
      <c r="E134" s="5" t="str">
        <f ca="1">IFERROR(__xludf.DUMMYFUNCTION("GOOGLETRANSLATE(B134,""ja"",""vi"")"),"Tokai")</f>
        <v>Tokai</v>
      </c>
      <c r="F134" s="4" t="str">
        <f ca="1">IFERROR(__xludf.DUMMYFUNCTION("GOOGLETRANSLATE(C134,""ja"",""vi"")"),"Đấu giá&gt; vé, chứng từ, đặt phòng khách sạn&gt; Các cơ sở sử dụng vé&gt; khu trượt tuyết&gt; Tokai")</f>
        <v>Đấu giá&gt; vé, chứng từ, đặt phòng khách sạn&gt; Các cơ sở sử dụng vé&gt; khu trượt tuyết&gt; Tokai</v>
      </c>
      <c r="G134" t="str">
        <f t="shared" ca="1" si="2"/>
        <v>"2084047546" : "Tokai",</v>
      </c>
    </row>
    <row r="135" spans="1:7" ht="14.25" customHeight="1">
      <c r="A135" s="2">
        <v>2084047547</v>
      </c>
      <c r="B135" s="2" t="s">
        <v>5174</v>
      </c>
      <c r="C135" s="2" t="s">
        <v>14753</v>
      </c>
      <c r="D135" s="2" t="s">
        <v>14754</v>
      </c>
      <c r="E135" s="5" t="str">
        <f ca="1">IFERROR(__xludf.DUMMYFUNCTION("GOOGLETRANSLATE(B135,""ja"",""vi"")"),"Kinki")</f>
        <v>Kinki</v>
      </c>
      <c r="F135" s="4" t="str">
        <f ca="1">IFERROR(__xludf.DUMMYFUNCTION("GOOGLETRANSLATE(C135,""ja"",""vi"")"),"Đấu giá&gt; vé, chứng từ, đặt phòng khách sạn&gt; Các cơ sở sử dụng vé&gt; khu trượt tuyết&gt; Kinki")</f>
        <v>Đấu giá&gt; vé, chứng từ, đặt phòng khách sạn&gt; Các cơ sở sử dụng vé&gt; khu trượt tuyết&gt; Kinki</v>
      </c>
      <c r="G135" t="str">
        <f t="shared" ca="1" si="2"/>
        <v>"2084047547" : "Kinki",</v>
      </c>
    </row>
    <row r="136" spans="1:7" ht="14.25" customHeight="1">
      <c r="A136" s="2">
        <v>2084047548</v>
      </c>
      <c r="B136" s="2" t="s">
        <v>5177</v>
      </c>
      <c r="C136" s="2" t="s">
        <v>14758</v>
      </c>
      <c r="D136" s="2" t="s">
        <v>14760</v>
      </c>
      <c r="E136" s="5" t="str">
        <f ca="1">IFERROR(__xludf.DUMMYFUNCTION("GOOGLETRANSLATE(B136,""ja"",""vi"")"),"đồ sứ")</f>
        <v>đồ sứ</v>
      </c>
      <c r="F136" s="4" t="str">
        <f ca="1">IFERROR(__xludf.DUMMYFUNCTION("GOOGLETRANSLATE(C136,""ja"",""vi"")"),"Đấu giá&gt; vé, chứng từ, đặt phòng khách sạn&gt; Các cơ sở sử dụng vé&gt; khu trượt tuyết&gt; Trung Quốc")</f>
        <v>Đấu giá&gt; vé, chứng từ, đặt phòng khách sạn&gt; Các cơ sở sử dụng vé&gt; khu trượt tuyết&gt; Trung Quốc</v>
      </c>
      <c r="G136" t="str">
        <f t="shared" ca="1" si="2"/>
        <v>"2084047548" : "đồ sứ",</v>
      </c>
    </row>
    <row r="137" spans="1:7" ht="14.25" customHeight="1">
      <c r="A137" s="2">
        <v>2084047549</v>
      </c>
      <c r="B137" s="2" t="s">
        <v>5180</v>
      </c>
      <c r="C137" s="2" t="s">
        <v>14763</v>
      </c>
      <c r="D137" s="2" t="s">
        <v>14764</v>
      </c>
      <c r="E137" s="5" t="str">
        <f ca="1">IFERROR(__xludf.DUMMYFUNCTION("GOOGLETRANSLATE(B137,""ja"",""vi"")"),"Shikoku")</f>
        <v>Shikoku</v>
      </c>
      <c r="F137" s="4" t="str">
        <f ca="1">IFERROR(__xludf.DUMMYFUNCTION("GOOGLETRANSLATE(C137,""ja"",""vi"")"),"Đấu giá&gt; vé, chứng từ, đặt phòng khách sạn&gt; Các cơ sở sử dụng vé&gt; khu trượt tuyết&gt; Shikoku")</f>
        <v>Đấu giá&gt; vé, chứng từ, đặt phòng khách sạn&gt; Các cơ sở sử dụng vé&gt; khu trượt tuyết&gt; Shikoku</v>
      </c>
      <c r="G137" t="str">
        <f t="shared" ca="1" si="2"/>
        <v>"2084047549" : "Shikoku",</v>
      </c>
    </row>
    <row r="138" spans="1:7" ht="14.25" customHeight="1">
      <c r="A138" s="2">
        <v>2084047550</v>
      </c>
      <c r="B138" s="2" t="s">
        <v>5183</v>
      </c>
      <c r="C138" s="2" t="s">
        <v>14768</v>
      </c>
      <c r="D138" s="2" t="s">
        <v>14769</v>
      </c>
      <c r="E138" s="5" t="str">
        <f ca="1">IFERROR(__xludf.DUMMYFUNCTION("GOOGLETRANSLATE(B138,""ja"",""vi"")"),"Kyushu")</f>
        <v>Kyushu</v>
      </c>
      <c r="F138" s="4" t="str">
        <f ca="1">IFERROR(__xludf.DUMMYFUNCTION("GOOGLETRANSLATE(C138,""ja"",""vi"")"),"Đấu giá&gt; vé, chứng từ, đặt phòng khách sạn&gt; Các cơ sở sử dụng vé&gt; khu trượt tuyết&gt; Kyushu")</f>
        <v>Đấu giá&gt; vé, chứng từ, đặt phòng khách sạn&gt; Các cơ sở sử dụng vé&gt; khu trượt tuyết&gt; Kyushu</v>
      </c>
      <c r="G138" t="str">
        <f t="shared" ca="1" si="2"/>
        <v>"2084047550" : "Kyushu",</v>
      </c>
    </row>
    <row r="139" spans="1:7" ht="14.25" customHeight="1">
      <c r="A139" s="2">
        <v>2084047544</v>
      </c>
      <c r="B139" s="2" t="s">
        <v>5163</v>
      </c>
      <c r="C139" s="2" t="s">
        <v>14772</v>
      </c>
      <c r="D139" s="2" t="s">
        <v>14773</v>
      </c>
      <c r="E139" s="5" t="str">
        <f ca="1">IFERROR(__xludf.DUMMYFUNCTION("GOOGLETRANSLATE(B139,""ja"",""vi"")"),"Hokuriku")</f>
        <v>Hokuriku</v>
      </c>
      <c r="F139" s="4" t="str">
        <f ca="1">IFERROR(__xludf.DUMMYFUNCTION("GOOGLETRANSLATE(C139,""ja"",""vi"")"),"Đấu giá&gt; vé, chứng từ, đặt phòng khách sạn&gt; Các cơ sở sử dụng vé&gt; khu trượt tuyết&gt; Hokuriku")</f>
        <v>Đấu giá&gt; vé, chứng từ, đặt phòng khách sạn&gt; Các cơ sở sử dụng vé&gt; khu trượt tuyết&gt; Hokuriku</v>
      </c>
      <c r="G139" t="str">
        <f t="shared" ca="1" si="2"/>
        <v>"2084047544" : "Hokuriku",</v>
      </c>
    </row>
    <row r="140" spans="1:7" ht="14.25" customHeight="1">
      <c r="A140" s="2">
        <v>2084047551</v>
      </c>
      <c r="B140" s="2" t="s">
        <v>46</v>
      </c>
      <c r="C140" s="2" t="s">
        <v>14777</v>
      </c>
      <c r="D140" s="2" t="s">
        <v>14778</v>
      </c>
      <c r="E140" s="5" t="str">
        <f ca="1">IFERROR(__xludf.DUMMYFUNCTION("GOOGLETRANSLATE(B140,""ja"",""vi"")"),"nếu không thì")</f>
        <v>nếu không thì</v>
      </c>
      <c r="F140" s="4" t="str">
        <f ca="1">IFERROR(__xludf.DUMMYFUNCTION("GOOGLETRANSLATE(C140,""ja"",""vi"")"),"Đấu giá&gt; vé, chứng từ, đặt phòng khách sạn&gt; Các cơ sở sử dụng vé&gt; khu trượt tuyết&gt; Khác")</f>
        <v>Đấu giá&gt; vé, chứng từ, đặt phòng khách sạn&gt; Các cơ sở sử dụng vé&gt; khu trượt tuyết&gt; Khác</v>
      </c>
      <c r="G140" t="str">
        <f t="shared" ca="1" si="2"/>
        <v>"2084047551" : "nếu không thì",</v>
      </c>
    </row>
    <row r="141" spans="1:7" ht="14.25" customHeight="1">
      <c r="A141" s="2">
        <v>2084007616</v>
      </c>
      <c r="B141" s="2" t="s">
        <v>5151</v>
      </c>
      <c r="C141" s="2" t="s">
        <v>14594</v>
      </c>
      <c r="D141" s="2" t="s">
        <v>14596</v>
      </c>
      <c r="E141" s="5" t="str">
        <f ca="1">IFERROR(__xludf.DUMMYFUNCTION("GOOGLETRANSLATE(B141,""ja"",""vi"")"),"Hokkaido")</f>
        <v>Hokkaido</v>
      </c>
      <c r="F141" s="4" t="str">
        <f ca="1">IFERROR(__xludf.DUMMYFUNCTION("GOOGLETRANSLATE(C141,""ja"",""vi"")"),"Đấu giá vé, chứng từ đặt phòng khách sạn,&gt;&gt; Phiếu Quà tặng&gt; voucher&gt; Hokkaido")</f>
        <v>Đấu giá vé, chứng từ đặt phòng khách sạn,&gt;&gt; Phiếu Quà tặng&gt; voucher&gt; Hokkaido</v>
      </c>
      <c r="G141" t="str">
        <f t="shared" ca="1" si="2"/>
        <v>"2084007616" : "Hokkaido",</v>
      </c>
    </row>
    <row r="142" spans="1:7" ht="14.25" customHeight="1">
      <c r="A142" s="2">
        <v>2084007617</v>
      </c>
      <c r="B142" s="2" t="s">
        <v>5155</v>
      </c>
      <c r="C142" s="2" t="s">
        <v>14599</v>
      </c>
      <c r="D142" s="2" t="s">
        <v>14600</v>
      </c>
      <c r="E142" s="5" t="str">
        <f ca="1">IFERROR(__xludf.DUMMYFUNCTION("GOOGLETRANSLATE(B142,""ja"",""vi"")"),"đông bắc")</f>
        <v>đông bắc</v>
      </c>
      <c r="F142" s="4" t="str">
        <f ca="1">IFERROR(__xludf.DUMMYFUNCTION("GOOGLETRANSLATE(C142,""ja"",""vi"")"),"Đấu giá vé, chứng từ đặt phòng khách sạn,&gt;&gt; Phiếu Quà tặng&gt; voucher&gt; Đông Bắc")</f>
        <v>Đấu giá vé, chứng từ đặt phòng khách sạn,&gt;&gt; Phiếu Quà tặng&gt; voucher&gt; Đông Bắc</v>
      </c>
      <c r="G142" t="str">
        <f t="shared" ca="1" si="2"/>
        <v>"2084007617" : "đông bắc",</v>
      </c>
    </row>
    <row r="143" spans="1:7" ht="14.25" customHeight="1">
      <c r="A143" s="2">
        <v>2084007618</v>
      </c>
      <c r="B143" s="2" t="s">
        <v>5159</v>
      </c>
      <c r="C143" s="2" t="s">
        <v>14605</v>
      </c>
      <c r="D143" s="2" t="s">
        <v>14608</v>
      </c>
      <c r="E143" s="5" t="str">
        <f ca="1">IFERROR(__xludf.DUMMYFUNCTION("GOOGLETRANSLATE(B143,""ja"",""vi"")"),"Kanto")</f>
        <v>Kanto</v>
      </c>
      <c r="F143" s="4" t="str">
        <f ca="1">IFERROR(__xludf.DUMMYFUNCTION("GOOGLETRANSLATE(C143,""ja"",""vi"")"),"Đấu giá vé, chứng từ đặt phòng khách sạn,&gt;&gt; Phiếu Quà tặng&gt; voucher&gt; Kanto")</f>
        <v>Đấu giá vé, chứng từ đặt phòng khách sạn,&gt;&gt; Phiếu Quà tặng&gt; voucher&gt; Kanto</v>
      </c>
      <c r="G143" t="str">
        <f t="shared" ca="1" si="2"/>
        <v>"2084007618" : "Kanto",</v>
      </c>
    </row>
    <row r="144" spans="1:7" ht="14.25" customHeight="1">
      <c r="A144" s="2">
        <v>2084007620</v>
      </c>
      <c r="B144" s="2" t="s">
        <v>5166</v>
      </c>
      <c r="C144" s="2" t="s">
        <v>14612</v>
      </c>
      <c r="D144" s="2" t="s">
        <v>14613</v>
      </c>
      <c r="E144" s="5" t="str">
        <f ca="1">IFERROR(__xludf.DUMMYFUNCTION("GOOGLETRANSLATE(B144,""ja"",""vi"")"),"Shin-Etsu")</f>
        <v>Shin-Etsu</v>
      </c>
      <c r="F144" s="4" t="str">
        <f ca="1">IFERROR(__xludf.DUMMYFUNCTION("GOOGLETRANSLATE(C144,""ja"",""vi"")"),"Đấu giá vé, chứng từ đặt phòng khách sạn,&gt;&gt; Phiếu Quà tặng&gt; voucher&gt; Shin-Etsu")</f>
        <v>Đấu giá vé, chứng từ đặt phòng khách sạn,&gt;&gt; Phiếu Quà tặng&gt; voucher&gt; Shin-Etsu</v>
      </c>
      <c r="G144" t="str">
        <f t="shared" ca="1" si="2"/>
        <v>"2084007620" : "Shin-Etsu",</v>
      </c>
    </row>
    <row r="145" spans="1:7" ht="14.25" customHeight="1">
      <c r="A145" s="2">
        <v>2084007619</v>
      </c>
      <c r="B145" s="2" t="s">
        <v>5163</v>
      </c>
      <c r="C145" s="2" t="s">
        <v>14617</v>
      </c>
      <c r="D145" s="2" t="s">
        <v>14618</v>
      </c>
      <c r="E145" s="5" t="str">
        <f ca="1">IFERROR(__xludf.DUMMYFUNCTION("GOOGLETRANSLATE(B145,""ja"",""vi"")"),"Hokuriku")</f>
        <v>Hokuriku</v>
      </c>
      <c r="F145" s="4" t="str">
        <f ca="1">IFERROR(__xludf.DUMMYFUNCTION("GOOGLETRANSLATE(C145,""ja"",""vi"")"),"Đấu giá vé, chứng từ đặt phòng khách sạn,&gt;&gt; Phiếu Quà tặng&gt; voucher&gt; Hokuriku")</f>
        <v>Đấu giá vé, chứng từ đặt phòng khách sạn,&gt;&gt; Phiếu Quà tặng&gt; voucher&gt; Hokuriku</v>
      </c>
      <c r="G145" t="str">
        <f t="shared" ca="1" si="2"/>
        <v>"2084007619" : "Hokuriku",</v>
      </c>
    </row>
    <row r="146" spans="1:7" ht="14.25" customHeight="1">
      <c r="A146" s="2">
        <v>2084007621</v>
      </c>
      <c r="B146" s="2" t="s">
        <v>5170</v>
      </c>
      <c r="C146" s="2" t="s">
        <v>14622</v>
      </c>
      <c r="D146" s="2" t="s">
        <v>14623</v>
      </c>
      <c r="E146" s="5" t="str">
        <f ca="1">IFERROR(__xludf.DUMMYFUNCTION("GOOGLETRANSLATE(B146,""ja"",""vi"")"),"Tokai")</f>
        <v>Tokai</v>
      </c>
      <c r="F146" s="4" t="str">
        <f ca="1">IFERROR(__xludf.DUMMYFUNCTION("GOOGLETRANSLATE(C146,""ja"",""vi"")"),"Đấu giá vé, chứng từ đặt phòng khách sạn,&gt;&gt; Phiếu Quà tặng&gt; voucher&gt; Tokai")</f>
        <v>Đấu giá vé, chứng từ đặt phòng khách sạn,&gt;&gt; Phiếu Quà tặng&gt; voucher&gt; Tokai</v>
      </c>
      <c r="G146" t="str">
        <f t="shared" ca="1" si="2"/>
        <v>"2084007621" : "Tokai",</v>
      </c>
    </row>
    <row r="147" spans="1:7" ht="14.25" customHeight="1">
      <c r="A147" s="2">
        <v>2084007622</v>
      </c>
      <c r="B147" s="2" t="s">
        <v>5174</v>
      </c>
      <c r="C147" s="2" t="s">
        <v>14627</v>
      </c>
      <c r="D147" s="2" t="s">
        <v>14629</v>
      </c>
      <c r="E147" s="5" t="str">
        <f ca="1">IFERROR(__xludf.DUMMYFUNCTION("GOOGLETRANSLATE(B147,""ja"",""vi"")"),"Kinki")</f>
        <v>Kinki</v>
      </c>
      <c r="F147" s="4" t="str">
        <f ca="1">IFERROR(__xludf.DUMMYFUNCTION("GOOGLETRANSLATE(C147,""ja"",""vi"")"),"Đấu giá vé, chứng từ đặt phòng khách sạn,&gt;&gt; Phiếu Quà tặng&gt; voucher&gt; Kinki")</f>
        <v>Đấu giá vé, chứng từ đặt phòng khách sạn,&gt;&gt; Phiếu Quà tặng&gt; voucher&gt; Kinki</v>
      </c>
      <c r="G147" t="str">
        <f t="shared" ca="1" si="2"/>
        <v>"2084007622" : "Kinki",</v>
      </c>
    </row>
    <row r="148" spans="1:7" ht="14.25" customHeight="1">
      <c r="A148" s="2">
        <v>2084007623</v>
      </c>
      <c r="B148" s="2" t="s">
        <v>5177</v>
      </c>
      <c r="C148" s="2" t="s">
        <v>14632</v>
      </c>
      <c r="D148" s="2" t="s">
        <v>14634</v>
      </c>
      <c r="E148" s="5" t="str">
        <f ca="1">IFERROR(__xludf.DUMMYFUNCTION("GOOGLETRANSLATE(B148,""ja"",""vi"")"),"đồ sứ")</f>
        <v>đồ sứ</v>
      </c>
      <c r="F148" s="4" t="str">
        <f ca="1">IFERROR(__xludf.DUMMYFUNCTION("GOOGLETRANSLATE(C148,""ja"",""vi"")"),"Đấu giá vé, chứng từ đặt phòng khách sạn,&gt;&gt; Phiếu Quà tặng&gt; voucher&gt; Trung Quốc")</f>
        <v>Đấu giá vé, chứng từ đặt phòng khách sạn,&gt;&gt; Phiếu Quà tặng&gt; voucher&gt; Trung Quốc</v>
      </c>
      <c r="G148" t="str">
        <f t="shared" ca="1" si="2"/>
        <v>"2084007623" : "đồ sứ",</v>
      </c>
    </row>
    <row r="149" spans="1:7" ht="14.25" customHeight="1">
      <c r="A149" s="2">
        <v>2084007624</v>
      </c>
      <c r="B149" s="2" t="s">
        <v>5180</v>
      </c>
      <c r="C149" s="2" t="s">
        <v>14637</v>
      </c>
      <c r="D149" s="2" t="s">
        <v>14638</v>
      </c>
      <c r="E149" s="5" t="str">
        <f ca="1">IFERROR(__xludf.DUMMYFUNCTION("GOOGLETRANSLATE(B149,""ja"",""vi"")"),"Shikoku")</f>
        <v>Shikoku</v>
      </c>
      <c r="F149" s="4" t="str">
        <f ca="1">IFERROR(__xludf.DUMMYFUNCTION("GOOGLETRANSLATE(C149,""ja"",""vi"")"),"Đấu giá&gt; vé, chứng từ, đặt phòng khách sạn&gt; Phiếu Quà tặng&gt; voucher&gt; Shikoku")</f>
        <v>Đấu giá&gt; vé, chứng từ, đặt phòng khách sạn&gt; Phiếu Quà tặng&gt; voucher&gt; Shikoku</v>
      </c>
      <c r="G149" t="str">
        <f t="shared" ca="1" si="2"/>
        <v>"2084007624" : "Shikoku",</v>
      </c>
    </row>
    <row r="150" spans="1:7" ht="14.25" customHeight="1">
      <c r="A150" s="2">
        <v>2084007625</v>
      </c>
      <c r="B150" s="2" t="s">
        <v>5183</v>
      </c>
      <c r="C150" s="2" t="s">
        <v>14642</v>
      </c>
      <c r="D150" s="2" t="s">
        <v>14643</v>
      </c>
      <c r="E150" s="5" t="str">
        <f ca="1">IFERROR(__xludf.DUMMYFUNCTION("GOOGLETRANSLATE(B150,""ja"",""vi"")"),"Kyushu")</f>
        <v>Kyushu</v>
      </c>
      <c r="F150" s="4" t="str">
        <f ca="1">IFERROR(__xludf.DUMMYFUNCTION("GOOGLETRANSLATE(C150,""ja"",""vi"")"),"Đấu giá vé, chứng từ đặt phòng khách sạn,&gt;&gt; Phiếu Quà tặng&gt; voucher&gt; Kyushu")</f>
        <v>Đấu giá vé, chứng từ đặt phòng khách sạn,&gt;&gt; Phiếu Quà tặng&gt; voucher&gt; Kyushu</v>
      </c>
      <c r="G150" t="str">
        <f t="shared" ca="1" si="2"/>
        <v>"2084007625" : "Kyushu",</v>
      </c>
    </row>
    <row r="151" spans="1:7" ht="14.25" customHeight="1">
      <c r="A151" s="2">
        <v>2084007626</v>
      </c>
      <c r="B151" s="2" t="s">
        <v>5186</v>
      </c>
      <c r="C151" s="2" t="s">
        <v>14647</v>
      </c>
      <c r="D151" s="2" t="s">
        <v>14648</v>
      </c>
      <c r="E151" s="5" t="str">
        <f ca="1">IFERROR(__xludf.DUMMYFUNCTION("GOOGLETRANSLATE(B151,""ja"",""vi"")"),"Okinawa")</f>
        <v>Okinawa</v>
      </c>
      <c r="F151" s="4" t="str">
        <f ca="1">IFERROR(__xludf.DUMMYFUNCTION("GOOGLETRANSLATE(C151,""ja"",""vi"")"),"Đấu giá vé, chứng từ đặt phòng khách sạn,&gt;&gt; Phiếu Quà tặng&gt; voucher&gt; Okinawa")</f>
        <v>Đấu giá vé, chứng từ đặt phòng khách sạn,&gt;&gt; Phiếu Quà tặng&gt; voucher&gt; Okinawa</v>
      </c>
      <c r="G151" t="str">
        <f t="shared" ca="1" si="2"/>
        <v>"2084007626" : "Okinawa",</v>
      </c>
    </row>
    <row r="152" spans="1:7" ht="14.25" customHeight="1">
      <c r="A152" s="2">
        <v>2084062636</v>
      </c>
      <c r="B152" s="2" t="s">
        <v>12195</v>
      </c>
      <c r="C152" s="2" t="s">
        <v>14652</v>
      </c>
      <c r="D152" s="2" t="s">
        <v>14653</v>
      </c>
      <c r="E152" s="5" t="str">
        <f ca="1">IFERROR(__xludf.DUMMYFUNCTION("GOOGLETRANSLATE(B152,""ja"",""vi"")"),"Đặt phòng khách sạn")</f>
        <v>Đặt phòng khách sạn</v>
      </c>
      <c r="F152" s="4" t="str">
        <f ca="1">IFERROR(__xludf.DUMMYFUNCTION("GOOGLETRANSLATE(C152,""ja"",""vi"")"),"Đấu giá&gt; vé, chứng từ, đặt phòng khách sạn&gt; Phiếu Quà tặng&gt; voucher&gt; đặt phòng nơi ăn nghỉ")</f>
        <v>Đấu giá&gt; vé, chứng từ, đặt phòng khách sạn&gt; Phiếu Quà tặng&gt; voucher&gt; đặt phòng nơi ăn nghỉ</v>
      </c>
      <c r="G152" t="str">
        <f t="shared" ca="1" si="2"/>
        <v>"2084062636" : "Đặt phòng khách sạn",</v>
      </c>
    </row>
    <row r="153" spans="1:7" ht="14.25" customHeight="1">
      <c r="A153" s="2">
        <v>42443</v>
      </c>
      <c r="B153" s="2" t="s">
        <v>46</v>
      </c>
      <c r="C153" s="2" t="s">
        <v>14659</v>
      </c>
      <c r="D153" s="2" t="s">
        <v>14661</v>
      </c>
      <c r="E153" s="5" t="str">
        <f ca="1">IFERROR(__xludf.DUMMYFUNCTION("GOOGLETRANSLATE(B153,""ja"",""vi"")"),"nếu không thì")</f>
        <v>nếu không thì</v>
      </c>
      <c r="F153" s="4" t="str">
        <f ca="1">IFERROR(__xludf.DUMMYFUNCTION("GOOGLETRANSLATE(C153,""ja"",""vi"")"),"Đấu giá vé, chứng từ đặt phòng khách sạn,&gt;&gt; Phiếu Quà tặng&gt; voucher&gt; Khác")</f>
        <v>Đấu giá vé, chứng từ đặt phòng khách sạn,&gt;&gt; Phiếu Quà tặng&gt; voucher&gt; Khác</v>
      </c>
      <c r="G153" t="str">
        <f t="shared" ca="1" si="2"/>
        <v>"42443" : "nếu không thì",</v>
      </c>
    </row>
    <row r="154" spans="1:7" ht="14.25" customHeight="1">
      <c r="A154" s="2">
        <v>2084045755</v>
      </c>
      <c r="B154" s="2" t="s">
        <v>5644</v>
      </c>
      <c r="C154" s="2" t="s">
        <v>8524</v>
      </c>
      <c r="D154" s="2" t="s">
        <v>14816</v>
      </c>
      <c r="E154" s="5" t="str">
        <f ca="1">IFERROR(__xludf.DUMMYFUNCTION("GOOGLETRANSLATE(B154,""ja"",""vi"")"),"nước ngoài")</f>
        <v>nước ngoài</v>
      </c>
      <c r="F154" s="4" t="str">
        <f ca="1">IFERROR(__xludf.DUMMYFUNCTION("GOOGLETRANSLATE(C154,""ja"",""vi"")"),"Đấu giá&gt; vé, chứng từ, đặt phòng khách sạn&gt; vé, vé vận chuyển&gt; Vé máy bay&gt; Overseas")</f>
        <v>Đấu giá&gt; vé, chứng từ, đặt phòng khách sạn&gt; vé, vé vận chuyển&gt; Vé máy bay&gt; Overseas</v>
      </c>
      <c r="G154" t="str">
        <f t="shared" ca="1" si="2"/>
        <v>"2084045755" : "nước ngoài",</v>
      </c>
    </row>
    <row r="155" spans="1:7" ht="14.25" customHeight="1">
      <c r="A155" s="2">
        <v>2084045754</v>
      </c>
      <c r="B155" s="2" t="s">
        <v>8527</v>
      </c>
      <c r="C155" s="2" t="s">
        <v>8529</v>
      </c>
      <c r="D155" s="2" t="s">
        <v>14821</v>
      </c>
      <c r="E155" s="5" t="str">
        <f ca="1">IFERROR(__xludf.DUMMYFUNCTION("GOOGLETRANSLATE(B155,""ja"",""vi"")"),"nội bộ")</f>
        <v>nội bộ</v>
      </c>
      <c r="F155" s="4" t="str">
        <f ca="1">IFERROR(__xludf.DUMMYFUNCTION("GOOGLETRANSLATE(C155,""ja"",""vi"")"),"Đấu giá&gt; vé, chứng từ, đặt phòng khách sạn&gt; vé, vé vận chuyển&gt; Vé máy bay&gt; trong nước")</f>
        <v>Đấu giá&gt; vé, chứng từ, đặt phòng khách sạn&gt; vé, vé vận chuyển&gt; Vé máy bay&gt; trong nước</v>
      </c>
      <c r="G155" t="str">
        <f t="shared" ca="1" si="2"/>
        <v>"2084045754" : "nội bộ",</v>
      </c>
    </row>
    <row r="156" spans="1:7" ht="14.25" customHeight="1">
      <c r="A156" s="2">
        <v>2084208631</v>
      </c>
      <c r="B156" s="2" t="s">
        <v>8530</v>
      </c>
      <c r="C156" s="2" t="s">
        <v>14824</v>
      </c>
      <c r="D156" s="2" t="s">
        <v>14825</v>
      </c>
      <c r="E156" s="5" t="str">
        <f ca="1">IFERROR(__xludf.DUMMYFUNCTION("GOOGLETRANSLATE(B156,""ja"",""vi"")"),"vé miễn phí, vé giảm giá")</f>
        <v>vé miễn phí, vé giảm giá</v>
      </c>
      <c r="F156" s="4" t="str">
        <f ca="1">IFERROR(__xludf.DUMMYFUNCTION("GOOGLETRANSLATE(C156,""ja"",""vi"")"),"Đấu giá&gt; vé, chứng từ, đặt phòng khách sạn&gt; vé, vé vận chuyển&gt; Vé máy bay&gt; vé miễn phí, vé giảm giá")</f>
        <v>Đấu giá&gt; vé, chứng từ, đặt phòng khách sạn&gt; vé, vé vận chuyển&gt; Vé máy bay&gt; vé miễn phí, vé giảm giá</v>
      </c>
      <c r="G156" t="str">
        <f t="shared" ca="1" si="2"/>
        <v>"2084208631" : "vé miễn phí, vé giảm giá",</v>
      </c>
    </row>
    <row r="157" spans="1:7" ht="14.25" customHeight="1">
      <c r="A157" s="2">
        <v>2084221351</v>
      </c>
      <c r="B157" s="2" t="s">
        <v>14828</v>
      </c>
      <c r="C157" s="2" t="s">
        <v>14830</v>
      </c>
      <c r="D157" s="2" t="s">
        <v>14832</v>
      </c>
      <c r="E157" s="5" t="str">
        <f ca="1">IFERROR(__xludf.DUMMYFUNCTION("GOOGLETRANSLATE(B157,""ja"",""vi"")"),"vé hành khách")</f>
        <v>vé hành khách</v>
      </c>
      <c r="F157" s="4" t="str">
        <f ca="1">IFERROR(__xludf.DUMMYFUNCTION("GOOGLETRANSLATE(C157,""ja"",""vi"")"),"Đấu giá&gt; vé, chứng từ, đặt phòng khách sạn&gt; vé, vé vận chuyển&gt; Vé Railway&gt; Vé")</f>
        <v>Đấu giá&gt; vé, chứng từ, đặt phòng khách sạn&gt; vé, vé vận chuyển&gt; Vé Railway&gt; Vé</v>
      </c>
      <c r="G157" t="str">
        <f t="shared" ca="1" si="2"/>
        <v>"2084221351" : "vé hành khách",</v>
      </c>
    </row>
    <row r="158" spans="1:7" ht="14.25" customHeight="1">
      <c r="A158" s="2">
        <v>2084221352</v>
      </c>
      <c r="B158" s="2" t="s">
        <v>8530</v>
      </c>
      <c r="C158" s="2" t="s">
        <v>14836</v>
      </c>
      <c r="D158" s="2" t="s">
        <v>14838</v>
      </c>
      <c r="E158" s="5" t="str">
        <f ca="1">IFERROR(__xludf.DUMMYFUNCTION("GOOGLETRANSLATE(B158,""ja"",""vi"")"),"vé miễn phí, vé giảm giá")</f>
        <v>vé miễn phí, vé giảm giá</v>
      </c>
      <c r="F158" s="4" t="str">
        <f ca="1">IFERROR(__xludf.DUMMYFUNCTION("GOOGLETRANSLATE(C158,""ja"",""vi"")"),"Đấu giá&gt; vé, chứng từ, đặt phòng khách sạn&gt; vé, vé vận chuyển&gt; vé xe lửa&gt; vé miễn phí, vé giảm giá")</f>
        <v>Đấu giá&gt; vé, chứng từ, đặt phòng khách sạn&gt; vé, vé vận chuyển&gt; vé xe lửa&gt; vé miễn phí, vé giảm giá</v>
      </c>
      <c r="G158" t="str">
        <f t="shared" ca="1" si="2"/>
        <v>"2084221352" : "vé miễn phí, vé giảm giá",</v>
      </c>
    </row>
    <row r="159" spans="1:7" ht="14.25" customHeight="1">
      <c r="A159" s="2">
        <v>2084007616</v>
      </c>
      <c r="B159" s="2" t="s">
        <v>5151</v>
      </c>
      <c r="C159" s="2" t="s">
        <v>14594</v>
      </c>
      <c r="D159" s="2" t="s">
        <v>14596</v>
      </c>
      <c r="E159" s="5" t="str">
        <f ca="1">IFERROR(__xludf.DUMMYFUNCTION("GOOGLETRANSLATE(B159,""ja"",""vi"")"),"Hokkaido")</f>
        <v>Hokkaido</v>
      </c>
      <c r="F159" s="4" t="str">
        <f ca="1">IFERROR(__xludf.DUMMYFUNCTION("GOOGLETRANSLATE(C159,""ja"",""vi"")"),"Đấu giá vé, chứng từ đặt phòng khách sạn,&gt;&gt; Phiếu Quà tặng&gt; voucher&gt; Hokkaido")</f>
        <v>Đấu giá vé, chứng từ đặt phòng khách sạn,&gt;&gt; Phiếu Quà tặng&gt; voucher&gt; Hokkaido</v>
      </c>
      <c r="G159" t="str">
        <f t="shared" ca="1" si="2"/>
        <v>"2084007616" : "Hokkaido",</v>
      </c>
    </row>
    <row r="160" spans="1:7" ht="14.25" customHeight="1">
      <c r="A160" s="2">
        <v>2084007617</v>
      </c>
      <c r="B160" s="2" t="s">
        <v>5155</v>
      </c>
      <c r="C160" s="2" t="s">
        <v>14599</v>
      </c>
      <c r="D160" s="2" t="s">
        <v>14600</v>
      </c>
      <c r="E160" s="5" t="str">
        <f ca="1">IFERROR(__xludf.DUMMYFUNCTION("GOOGLETRANSLATE(B160,""ja"",""vi"")"),"đông bắc")</f>
        <v>đông bắc</v>
      </c>
      <c r="F160" s="4" t="str">
        <f ca="1">IFERROR(__xludf.DUMMYFUNCTION("GOOGLETRANSLATE(C160,""ja"",""vi"")"),"Đấu giá vé, chứng từ đặt phòng khách sạn,&gt;&gt; Phiếu Quà tặng&gt; voucher&gt; Đông Bắc")</f>
        <v>Đấu giá vé, chứng từ đặt phòng khách sạn,&gt;&gt; Phiếu Quà tặng&gt; voucher&gt; Đông Bắc</v>
      </c>
      <c r="G160" t="str">
        <f t="shared" ca="1" si="2"/>
        <v>"2084007617" : "đông bắc",</v>
      </c>
    </row>
    <row r="161" spans="1:7" ht="14.25" customHeight="1">
      <c r="A161" s="2">
        <v>2084007618</v>
      </c>
      <c r="B161" s="2" t="s">
        <v>5159</v>
      </c>
      <c r="C161" s="2" t="s">
        <v>14605</v>
      </c>
      <c r="D161" s="2" t="s">
        <v>14608</v>
      </c>
      <c r="E161" s="5" t="str">
        <f ca="1">IFERROR(__xludf.DUMMYFUNCTION("GOOGLETRANSLATE(B161,""ja"",""vi"")"),"Kanto")</f>
        <v>Kanto</v>
      </c>
      <c r="F161" s="4" t="str">
        <f ca="1">IFERROR(__xludf.DUMMYFUNCTION("GOOGLETRANSLATE(C161,""ja"",""vi"")"),"Đấu giá vé, chứng từ đặt phòng khách sạn,&gt;&gt; Phiếu Quà tặng&gt; voucher&gt; Kanto")</f>
        <v>Đấu giá vé, chứng từ đặt phòng khách sạn,&gt;&gt; Phiếu Quà tặng&gt; voucher&gt; Kanto</v>
      </c>
      <c r="G161" t="str">
        <f t="shared" ca="1" si="2"/>
        <v>"2084007618" : "Kanto",</v>
      </c>
    </row>
    <row r="162" spans="1:7" ht="14.25" customHeight="1">
      <c r="A162" s="2">
        <v>2084007620</v>
      </c>
      <c r="B162" s="2" t="s">
        <v>5166</v>
      </c>
      <c r="C162" s="2" t="s">
        <v>14612</v>
      </c>
      <c r="D162" s="2" t="s">
        <v>14613</v>
      </c>
      <c r="E162" s="5" t="str">
        <f ca="1">IFERROR(__xludf.DUMMYFUNCTION("GOOGLETRANSLATE(B162,""ja"",""vi"")"),"Shin-Etsu")</f>
        <v>Shin-Etsu</v>
      </c>
      <c r="F162" s="4" t="str">
        <f ca="1">IFERROR(__xludf.DUMMYFUNCTION("GOOGLETRANSLATE(C162,""ja"",""vi"")"),"Đấu giá vé, chứng từ đặt phòng khách sạn,&gt;&gt; Phiếu Quà tặng&gt; voucher&gt; Shin-Etsu")</f>
        <v>Đấu giá vé, chứng từ đặt phòng khách sạn,&gt;&gt; Phiếu Quà tặng&gt; voucher&gt; Shin-Etsu</v>
      </c>
      <c r="G162" t="str">
        <f t="shared" ca="1" si="2"/>
        <v>"2084007620" : "Shin-Etsu",</v>
      </c>
    </row>
    <row r="163" spans="1:7" ht="14.25" customHeight="1">
      <c r="A163" s="2">
        <v>2084007619</v>
      </c>
      <c r="B163" s="2" t="s">
        <v>5163</v>
      </c>
      <c r="C163" s="2" t="s">
        <v>14617</v>
      </c>
      <c r="D163" s="2" t="s">
        <v>14618</v>
      </c>
      <c r="E163" s="5" t="str">
        <f ca="1">IFERROR(__xludf.DUMMYFUNCTION("GOOGLETRANSLATE(B163,""ja"",""vi"")"),"Hokuriku")</f>
        <v>Hokuriku</v>
      </c>
      <c r="F163" s="4" t="str">
        <f ca="1">IFERROR(__xludf.DUMMYFUNCTION("GOOGLETRANSLATE(C163,""ja"",""vi"")"),"Đấu giá vé, chứng từ đặt phòng khách sạn,&gt;&gt; Phiếu Quà tặng&gt; voucher&gt; Hokuriku")</f>
        <v>Đấu giá vé, chứng từ đặt phòng khách sạn,&gt;&gt; Phiếu Quà tặng&gt; voucher&gt; Hokuriku</v>
      </c>
      <c r="G163" t="str">
        <f t="shared" ca="1" si="2"/>
        <v>"2084007619" : "Hokuriku",</v>
      </c>
    </row>
    <row r="164" spans="1:7" ht="14.25" customHeight="1">
      <c r="A164" s="2">
        <v>2084007621</v>
      </c>
      <c r="B164" s="2" t="s">
        <v>5170</v>
      </c>
      <c r="C164" s="2" t="s">
        <v>14622</v>
      </c>
      <c r="D164" s="2" t="s">
        <v>14623</v>
      </c>
      <c r="E164" s="5" t="str">
        <f ca="1">IFERROR(__xludf.DUMMYFUNCTION("GOOGLETRANSLATE(B164,""ja"",""vi"")"),"Tokai")</f>
        <v>Tokai</v>
      </c>
      <c r="F164" s="4" t="str">
        <f ca="1">IFERROR(__xludf.DUMMYFUNCTION("GOOGLETRANSLATE(C164,""ja"",""vi"")"),"Đấu giá vé, chứng từ đặt phòng khách sạn,&gt;&gt; Phiếu Quà tặng&gt; voucher&gt; Tokai")</f>
        <v>Đấu giá vé, chứng từ đặt phòng khách sạn,&gt;&gt; Phiếu Quà tặng&gt; voucher&gt; Tokai</v>
      </c>
      <c r="G164" t="str">
        <f t="shared" ca="1" si="2"/>
        <v>"2084007621" : "Tokai",</v>
      </c>
    </row>
    <row r="165" spans="1:7" ht="14.25" customHeight="1">
      <c r="A165" s="2">
        <v>2084007622</v>
      </c>
      <c r="B165" s="2" t="s">
        <v>5174</v>
      </c>
      <c r="C165" s="2" t="s">
        <v>14627</v>
      </c>
      <c r="D165" s="2" t="s">
        <v>14629</v>
      </c>
      <c r="E165" s="5" t="str">
        <f ca="1">IFERROR(__xludf.DUMMYFUNCTION("GOOGLETRANSLATE(B165,""ja"",""vi"")"),"Kinki")</f>
        <v>Kinki</v>
      </c>
      <c r="F165" s="4" t="str">
        <f ca="1">IFERROR(__xludf.DUMMYFUNCTION("GOOGLETRANSLATE(C165,""ja"",""vi"")"),"Đấu giá vé, chứng từ đặt phòng khách sạn,&gt;&gt; Phiếu Quà tặng&gt; voucher&gt; Kinki")</f>
        <v>Đấu giá vé, chứng từ đặt phòng khách sạn,&gt;&gt; Phiếu Quà tặng&gt; voucher&gt; Kinki</v>
      </c>
      <c r="G165" t="str">
        <f t="shared" ca="1" si="2"/>
        <v>"2084007622" : "Kinki",</v>
      </c>
    </row>
    <row r="166" spans="1:7" ht="14.25" customHeight="1">
      <c r="A166" s="2">
        <v>2084007623</v>
      </c>
      <c r="B166" s="2" t="s">
        <v>5177</v>
      </c>
      <c r="C166" s="2" t="s">
        <v>14632</v>
      </c>
      <c r="D166" s="2" t="s">
        <v>14634</v>
      </c>
      <c r="E166" s="5" t="str">
        <f ca="1">IFERROR(__xludf.DUMMYFUNCTION("GOOGLETRANSLATE(B166,""ja"",""vi"")"),"đồ sứ")</f>
        <v>đồ sứ</v>
      </c>
      <c r="F166" s="4" t="str">
        <f ca="1">IFERROR(__xludf.DUMMYFUNCTION("GOOGLETRANSLATE(C166,""ja"",""vi"")"),"Đấu giá vé, chứng từ đặt phòng khách sạn,&gt;&gt; Phiếu Quà tặng&gt; voucher&gt; Trung Quốc")</f>
        <v>Đấu giá vé, chứng từ đặt phòng khách sạn,&gt;&gt; Phiếu Quà tặng&gt; voucher&gt; Trung Quốc</v>
      </c>
      <c r="G166" t="str">
        <f t="shared" ca="1" si="2"/>
        <v>"2084007623" : "đồ sứ",</v>
      </c>
    </row>
    <row r="167" spans="1:7" ht="14.25" customHeight="1">
      <c r="A167" s="2">
        <v>2084007624</v>
      </c>
      <c r="B167" s="2" t="s">
        <v>5180</v>
      </c>
      <c r="C167" s="2" t="s">
        <v>14637</v>
      </c>
      <c r="D167" s="2" t="s">
        <v>14638</v>
      </c>
      <c r="E167" s="5" t="str">
        <f ca="1">IFERROR(__xludf.DUMMYFUNCTION("GOOGLETRANSLATE(B167,""ja"",""vi"")"),"Shikoku")</f>
        <v>Shikoku</v>
      </c>
      <c r="F167" s="4" t="str">
        <f ca="1">IFERROR(__xludf.DUMMYFUNCTION("GOOGLETRANSLATE(C167,""ja"",""vi"")"),"Đấu giá&gt; vé, chứng từ, đặt phòng khách sạn&gt; Phiếu Quà tặng&gt; voucher&gt; Shikoku")</f>
        <v>Đấu giá&gt; vé, chứng từ, đặt phòng khách sạn&gt; Phiếu Quà tặng&gt; voucher&gt; Shikoku</v>
      </c>
      <c r="G167" t="str">
        <f t="shared" ca="1" si="2"/>
        <v>"2084007624" : "Shikoku",</v>
      </c>
    </row>
    <row r="168" spans="1:7" ht="14.25" customHeight="1">
      <c r="A168" s="2">
        <v>2084007625</v>
      </c>
      <c r="B168" s="2" t="s">
        <v>5183</v>
      </c>
      <c r="C168" s="2" t="s">
        <v>14642</v>
      </c>
      <c r="D168" s="2" t="s">
        <v>14643</v>
      </c>
      <c r="E168" s="5" t="str">
        <f ca="1">IFERROR(__xludf.DUMMYFUNCTION("GOOGLETRANSLATE(B168,""ja"",""vi"")"),"Kyushu")</f>
        <v>Kyushu</v>
      </c>
      <c r="F168" s="4" t="str">
        <f ca="1">IFERROR(__xludf.DUMMYFUNCTION("GOOGLETRANSLATE(C168,""ja"",""vi"")"),"Đấu giá vé, chứng từ đặt phòng khách sạn,&gt;&gt; Phiếu Quà tặng&gt; voucher&gt; Kyushu")</f>
        <v>Đấu giá vé, chứng từ đặt phòng khách sạn,&gt;&gt; Phiếu Quà tặng&gt; voucher&gt; Kyushu</v>
      </c>
      <c r="G168" t="str">
        <f t="shared" ca="1" si="2"/>
        <v>"2084007625" : "Kyushu",</v>
      </c>
    </row>
    <row r="169" spans="1:7" ht="14.25" customHeight="1">
      <c r="A169" s="2">
        <v>2084007626</v>
      </c>
      <c r="B169" s="2" t="s">
        <v>5186</v>
      </c>
      <c r="C169" s="2" t="s">
        <v>14647</v>
      </c>
      <c r="D169" s="2" t="s">
        <v>14648</v>
      </c>
      <c r="E169" s="5" t="str">
        <f ca="1">IFERROR(__xludf.DUMMYFUNCTION("GOOGLETRANSLATE(B169,""ja"",""vi"")"),"Okinawa")</f>
        <v>Okinawa</v>
      </c>
      <c r="F169" s="4" t="str">
        <f ca="1">IFERROR(__xludf.DUMMYFUNCTION("GOOGLETRANSLATE(C169,""ja"",""vi"")"),"Đấu giá vé, chứng từ đặt phòng khách sạn,&gt;&gt; Phiếu Quà tặng&gt; voucher&gt; Okinawa")</f>
        <v>Đấu giá vé, chứng từ đặt phòng khách sạn,&gt;&gt; Phiếu Quà tặng&gt; voucher&gt; Okinawa</v>
      </c>
      <c r="G169" t="str">
        <f t="shared" ca="1" si="2"/>
        <v>"2084007626" : "Okinawa",</v>
      </c>
    </row>
    <row r="170" spans="1:7" ht="14.25" customHeight="1">
      <c r="A170" s="2">
        <v>2084062636</v>
      </c>
      <c r="B170" s="2" t="s">
        <v>12195</v>
      </c>
      <c r="C170" s="2" t="s">
        <v>14652</v>
      </c>
      <c r="D170" s="2" t="s">
        <v>14653</v>
      </c>
      <c r="E170" s="5" t="str">
        <f ca="1">IFERROR(__xludf.DUMMYFUNCTION("GOOGLETRANSLATE(B170,""ja"",""vi"")"),"Đặt phòng khách sạn")</f>
        <v>Đặt phòng khách sạn</v>
      </c>
      <c r="F170" s="4" t="str">
        <f ca="1">IFERROR(__xludf.DUMMYFUNCTION("GOOGLETRANSLATE(C170,""ja"",""vi"")"),"Đấu giá&gt; vé, chứng từ, đặt phòng khách sạn&gt; Phiếu Quà tặng&gt; voucher&gt; đặt phòng nơi ăn nghỉ")</f>
        <v>Đấu giá&gt; vé, chứng từ, đặt phòng khách sạn&gt; Phiếu Quà tặng&gt; voucher&gt; đặt phòng nơi ăn nghỉ</v>
      </c>
      <c r="G170" t="str">
        <f t="shared" ca="1" si="2"/>
        <v>"2084062636" : "Đặt phòng khách sạn",</v>
      </c>
    </row>
    <row r="171" spans="1:7" ht="14.25" customHeight="1">
      <c r="A171" s="2">
        <v>42443</v>
      </c>
      <c r="B171" s="2" t="s">
        <v>46</v>
      </c>
      <c r="C171" s="2" t="s">
        <v>14659</v>
      </c>
      <c r="D171" s="2" t="s">
        <v>14661</v>
      </c>
      <c r="E171" s="5" t="str">
        <f ca="1">IFERROR(__xludf.DUMMYFUNCTION("GOOGLETRANSLATE(B171,""ja"",""vi"")"),"nếu không thì")</f>
        <v>nếu không thì</v>
      </c>
      <c r="F171" s="4" t="str">
        <f ca="1">IFERROR(__xludf.DUMMYFUNCTION("GOOGLETRANSLATE(C171,""ja"",""vi"")"),"Đấu giá vé, chứng từ đặt phòng khách sạn,&gt;&gt; Phiếu Quà tặng&gt; voucher&gt; Khác")</f>
        <v>Đấu giá vé, chứng từ đặt phòng khách sạn,&gt;&gt; Phiếu Quà tặng&gt; voucher&gt; Khác</v>
      </c>
      <c r="G171" t="str">
        <f t="shared" ca="1" si="2"/>
        <v>"42443" : "nếu không thì",</v>
      </c>
    </row>
    <row r="172" spans="1:7" ht="14.25" customHeight="1">
      <c r="A172" s="2">
        <v>2084005121</v>
      </c>
      <c r="B172" s="2" t="s">
        <v>4452</v>
      </c>
      <c r="C172" s="2" t="s">
        <v>4453</v>
      </c>
      <c r="D172" s="2" t="s">
        <v>14877</v>
      </c>
      <c r="E172" s="5" t="str">
        <f ca="1">IFERROR(__xludf.DUMMYFUNCTION("GOOGLETRANSLATE(B172,""ja"",""vi"")"),"nhân vật")</f>
        <v>nhân vật</v>
      </c>
      <c r="F172" s="4" t="str">
        <f ca="1">IFERROR(__xludf.DUMMYFUNCTION("GOOGLETRANSLATE(C172,""ja"",""vi"")"),"Đấu giá&gt; vé, chứng từ, đặt phòng khách sạn&gt; Thẻ trả trước&gt; Thẻ điện thoại&gt; Nhân vật")</f>
        <v>Đấu giá&gt; vé, chứng từ, đặt phòng khách sạn&gt; Thẻ trả trước&gt; Thẻ điện thoại&gt; Nhân vật</v>
      </c>
      <c r="G172" t="str">
        <f t="shared" ca="1" si="2"/>
        <v>"2084005121" : "nhân vật",</v>
      </c>
    </row>
    <row r="173" spans="1:7" ht="14.25" customHeight="1">
      <c r="A173" s="2">
        <v>2084005120</v>
      </c>
      <c r="B173" s="2" t="s">
        <v>4455</v>
      </c>
      <c r="C173" s="2" t="s">
        <v>4456</v>
      </c>
      <c r="D173" s="2" t="s">
        <v>14880</v>
      </c>
      <c r="E173" s="5" t="str">
        <f ca="1">IFERROR(__xludf.DUMMYFUNCTION("GOOGLETRANSLATE(B173,""ja"",""vi"")"),"Truyện tranh, hoạt hình")</f>
        <v>Truyện tranh, hoạt hình</v>
      </c>
      <c r="F173" s="4" t="str">
        <f ca="1">IFERROR(__xludf.DUMMYFUNCTION("GOOGLETRANSLATE(C173,""ja"",""vi"")"),"Đấu giá&gt; vé, chứng từ, đặt phòng khách sạn&gt; Thẻ trả trước&gt; Thẻ điện thoại&gt; truyện tranh, hoạt hình")</f>
        <v>Đấu giá&gt; vé, chứng từ, đặt phòng khách sạn&gt; Thẻ trả trước&gt; Thẻ điện thoại&gt; truyện tranh, hoạt hình</v>
      </c>
      <c r="G173" t="str">
        <f t="shared" ca="1" si="2"/>
        <v>"2084005120" : "Truyện tranh, hoạt hình",</v>
      </c>
    </row>
    <row r="174" spans="1:7" ht="14.25" customHeight="1">
      <c r="A174" s="2">
        <v>2084005113</v>
      </c>
      <c r="B174" s="2" t="s">
        <v>4458</v>
      </c>
      <c r="C174" s="2" t="s">
        <v>4459</v>
      </c>
      <c r="D174" s="2" t="s">
        <v>14883</v>
      </c>
      <c r="E174" s="5" t="str">
        <f ca="1">IFERROR(__xludf.DUMMYFUNCTION("GOOGLETRANSLATE(B174,""ja"",""vi"")"),"thể thao")</f>
        <v>thể thao</v>
      </c>
      <c r="F174" s="4" t="str">
        <f ca="1">IFERROR(__xludf.DUMMYFUNCTION("GOOGLETRANSLATE(C174,""ja"",""vi"")"),"Đấu giá&gt; vé, chứng từ, đặt phòng khách sạn&gt; Thẻ trả trước&gt; Thẻ điện thoại&gt; Thể Thao")</f>
        <v>Đấu giá&gt; vé, chứng từ, đặt phòng khách sạn&gt; Thẻ trả trước&gt; Thẻ điện thoại&gt; Thể Thao</v>
      </c>
      <c r="G174" t="str">
        <f t="shared" ca="1" si="2"/>
        <v>"2084005113" : "thể thao",</v>
      </c>
    </row>
    <row r="175" spans="1:7" ht="14.25" customHeight="1">
      <c r="A175" s="2">
        <v>2084005119</v>
      </c>
      <c r="B175" s="2" t="s">
        <v>4463</v>
      </c>
      <c r="C175" s="2" t="s">
        <v>4464</v>
      </c>
      <c r="D175" s="2" t="s">
        <v>14886</v>
      </c>
      <c r="E175" s="5" t="str">
        <f ca="1">IFERROR(__xludf.DUMMYFUNCTION("GOOGLETRANSLATE(B175,""ja"",""vi"")"),"Mã số trò chơi")</f>
        <v>Mã số trò chơi</v>
      </c>
      <c r="F175" s="4" t="str">
        <f ca="1">IFERROR(__xludf.DUMMYFUNCTION("GOOGLETRANSLATE(C175,""ja"",""vi"")"),"Đấu giá&gt; vé, chứng từ, đặt phòng khách sạn&gt; Thẻ trả trước&gt; Thẻ điện thoại&gt; video game")</f>
        <v>Đấu giá&gt; vé, chứng từ, đặt phòng khách sạn&gt; Thẻ trả trước&gt; Thẻ điện thoại&gt; video game</v>
      </c>
      <c r="G175" t="str">
        <f t="shared" ca="1" si="2"/>
        <v>"2084005119" : "Mã số trò chơi",</v>
      </c>
    </row>
    <row r="176" spans="1:7" ht="14.25" customHeight="1">
      <c r="A176" s="2">
        <v>2084005123</v>
      </c>
      <c r="B176" s="2" t="s">
        <v>4468</v>
      </c>
      <c r="C176" s="2" t="s">
        <v>4469</v>
      </c>
      <c r="D176" s="2" t="s">
        <v>14893</v>
      </c>
      <c r="E176" s="5" t="str">
        <f ca="1">IFERROR(__xludf.DUMMYFUNCTION("GOOGLETRANSLATE(B176,""ja"",""vi"")"),"chương trình truyền hình")</f>
        <v>chương trình truyền hình</v>
      </c>
      <c r="F176" s="4" t="str">
        <f ca="1">IFERROR(__xludf.DUMMYFUNCTION("GOOGLETRANSLATE(C176,""ja"",""vi"")"),"Đấu giá&gt; vé, chứng từ, đặt phòng khách sạn&gt; Thẻ trả trước&gt; Thẻ điện thoại&gt; chương trình truyền hình")</f>
        <v>Đấu giá&gt; vé, chứng từ, đặt phòng khách sạn&gt; Thẻ trả trước&gt; Thẻ điện thoại&gt; chương trình truyền hình</v>
      </c>
      <c r="G176" t="str">
        <f t="shared" ca="1" si="2"/>
        <v>"2084005123" : "chương trình truyền hình",</v>
      </c>
    </row>
    <row r="177" spans="1:7" ht="14.25" customHeight="1">
      <c r="A177" s="2">
        <v>2084005105</v>
      </c>
      <c r="B177" s="2" t="s">
        <v>4471</v>
      </c>
      <c r="C177" s="2" t="s">
        <v>4472</v>
      </c>
      <c r="D177" s="2" t="s">
        <v>14898</v>
      </c>
      <c r="E177" s="5" t="str">
        <f ca="1">IFERROR(__xludf.DUMMYFUNCTION("GOOGLETRANSLATE(B177,""ja"",""vi"")"),"nhạc sĩ")</f>
        <v>nhạc sĩ</v>
      </c>
      <c r="F177" s="4" t="str">
        <f ca="1">IFERROR(__xludf.DUMMYFUNCTION("GOOGLETRANSLATE(C177,""ja"",""vi"")"),"Đấu giá&gt; vé, chứng từ, đặt phòng khách sạn&gt; Thẻ trả trước&gt; Thẻ điện thoại&gt; nhạc sĩ")</f>
        <v>Đấu giá&gt; vé, chứng từ, đặt phòng khách sạn&gt; Thẻ trả trước&gt; Thẻ điện thoại&gt; nhạc sĩ</v>
      </c>
      <c r="G177" t="str">
        <f t="shared" ca="1" si="2"/>
        <v>"2084005105" : "nhạc sĩ",</v>
      </c>
    </row>
    <row r="178" spans="1:7" ht="14.25" customHeight="1">
      <c r="A178" s="2">
        <v>2084005124</v>
      </c>
      <c r="B178" s="2" t="s">
        <v>4476</v>
      </c>
      <c r="C178" s="2" t="s">
        <v>4477</v>
      </c>
      <c r="D178" s="2" t="s">
        <v>14902</v>
      </c>
      <c r="E178" s="5" t="str">
        <f ca="1">IFERROR(__xludf.DUMMYFUNCTION("GOOGLETRANSLATE(B178,""ja"",""vi"")"),"chương trình phát thanh")</f>
        <v>chương trình phát thanh</v>
      </c>
      <c r="F178" s="4" t="str">
        <f ca="1">IFERROR(__xludf.DUMMYFUNCTION("GOOGLETRANSLATE(C178,""ja"",""vi"")"),"Đấu giá&gt; vé, chứng từ, đặt phòng khách sạn&gt; Thẻ trả trước&gt; Thẻ điện thoại&gt; chương trình phát thanh")</f>
        <v>Đấu giá&gt; vé, chứng từ, đặt phòng khách sạn&gt; Thẻ trả trước&gt; Thẻ điện thoại&gt; chương trình phát thanh</v>
      </c>
      <c r="G178" t="str">
        <f t="shared" ca="1" si="2"/>
        <v>"2084005124" : "chương trình phát thanh",</v>
      </c>
    </row>
    <row r="179" spans="1:7" ht="14.25" customHeight="1">
      <c r="A179" s="2">
        <v>2084005122</v>
      </c>
      <c r="B179" s="2" t="s">
        <v>4481</v>
      </c>
      <c r="C179" s="2" t="s">
        <v>4482</v>
      </c>
      <c r="D179" s="2" t="s">
        <v>14906</v>
      </c>
      <c r="E179" s="5" t="str">
        <f ca="1">IFERROR(__xludf.DUMMYFUNCTION("GOOGLETRANSLATE(B179,""ja"",""vi"")"),"phim")</f>
        <v>phim</v>
      </c>
      <c r="F179" s="4" t="str">
        <f ca="1">IFERROR(__xludf.DUMMYFUNCTION("GOOGLETRANSLATE(C179,""ja"",""vi"")"),"Đấu giá&gt; vé, chứng từ, đặt phòng khách sạn&gt; Thẻ trả trước&gt; Thẻ điện thoại&gt; Phim")</f>
        <v>Đấu giá&gt; vé, chứng từ, đặt phòng khách sạn&gt; Thẻ trả trước&gt; Thẻ điện thoại&gt; Phim</v>
      </c>
      <c r="G179" t="str">
        <f t="shared" ca="1" si="2"/>
        <v>"2084005122" : "phim",</v>
      </c>
    </row>
    <row r="180" spans="1:7" ht="14.25" customHeight="1">
      <c r="A180" s="2">
        <v>2084048484</v>
      </c>
      <c r="B180" s="2" t="s">
        <v>4484</v>
      </c>
      <c r="C180" s="2" t="s">
        <v>4486</v>
      </c>
      <c r="D180" s="2" t="s">
        <v>14910</v>
      </c>
      <c r="E180" s="5" t="str">
        <f ca="1">IFERROR(__xludf.DUMMYFUNCTION("GOOGLETRANSLATE(B180,""ja"",""vi"")"),"Nghệ thuật, Nghệ thuật")</f>
        <v>Nghệ thuật, Nghệ thuật</v>
      </c>
      <c r="F180" s="4" t="str">
        <f ca="1">IFERROR(__xludf.DUMMYFUNCTION("GOOGLETRANSLATE(C180,""ja"",""vi"")"),"Đấu giá&gt; vé, chứng từ, đặt phòng khách sạn&gt; Thẻ trả trước&gt; Thẻ điện thoại&gt; Nghệ thuật, Nghệ thuật")</f>
        <v>Đấu giá&gt; vé, chứng từ, đặt phòng khách sạn&gt; Thẻ trả trước&gt; Thẻ điện thoại&gt; Nghệ thuật, Nghệ thuật</v>
      </c>
      <c r="G180" t="str">
        <f t="shared" ca="1" si="2"/>
        <v>"2084048484" : "Nghệ thuật, Nghệ thuật",</v>
      </c>
    </row>
    <row r="181" spans="1:7" ht="14.25" customHeight="1">
      <c r="A181" s="2">
        <v>2084005109</v>
      </c>
      <c r="B181" s="2" t="s">
        <v>4489</v>
      </c>
      <c r="C181" s="2" t="s">
        <v>4490</v>
      </c>
      <c r="D181" s="2" t="s">
        <v>14913</v>
      </c>
      <c r="E181" s="5" t="str">
        <f ca="1">IFERROR(__xludf.DUMMYFUNCTION("GOOGLETRANSLATE(B181,""ja"",""vi"")"),"Giải trí, tài năng")</f>
        <v>Giải trí, tài năng</v>
      </c>
      <c r="F181" s="4" t="str">
        <f ca="1">IFERROR(__xludf.DUMMYFUNCTION("GOOGLETRANSLATE(C181,""ja"",""vi"")"),"Đấu giá&gt; vé, chứng từ, đặt phòng khách sạn&gt; Thẻ trả trước&gt; Thẻ điện thoại&gt; giải trí, tài năng")</f>
        <v>Đấu giá&gt; vé, chứng từ, đặt phòng khách sạn&gt; Thẻ trả trước&gt; Thẻ điện thoại&gt; giải trí, tài năng</v>
      </c>
      <c r="G181" t="str">
        <f t="shared" ca="1" si="2"/>
        <v>"2084005109" : "Giải trí, tài năng",</v>
      </c>
    </row>
    <row r="182" spans="1:7" ht="14.25" customHeight="1">
      <c r="A182" s="2">
        <v>2084007949</v>
      </c>
      <c r="B182" s="2" t="s">
        <v>4494</v>
      </c>
      <c r="C182" s="2" t="s">
        <v>4495</v>
      </c>
      <c r="D182" s="2" t="s">
        <v>14917</v>
      </c>
      <c r="E182" s="5" t="str">
        <f ca="1">IFERROR(__xludf.DUMMYFUNCTION("GOOGLETRANSLATE(B182,""ja"",""vi"")"),"phi cơ")</f>
        <v>phi cơ</v>
      </c>
      <c r="F182" s="4" t="str">
        <f ca="1">IFERROR(__xludf.DUMMYFUNCTION("GOOGLETRANSLATE(C182,""ja"",""vi"")"),"Đấu giá&gt; vé, chứng từ, đặt phòng khách sạn&gt; Thẻ trả trước&gt; Thẻ điện thoại&gt; máy bay")</f>
        <v>Đấu giá&gt; vé, chứng từ, đặt phòng khách sạn&gt; Thẻ trả trước&gt; Thẻ điện thoại&gt; máy bay</v>
      </c>
      <c r="G182" t="str">
        <f t="shared" ca="1" si="2"/>
        <v>"2084007949" : "phi cơ",</v>
      </c>
    </row>
    <row r="183" spans="1:7" ht="14.25" customHeight="1">
      <c r="A183" s="2">
        <v>2084007950</v>
      </c>
      <c r="B183" s="2" t="s">
        <v>4496</v>
      </c>
      <c r="C183" s="2" t="s">
        <v>4499</v>
      </c>
      <c r="D183" s="2" t="s">
        <v>14922</v>
      </c>
      <c r="E183" s="5" t="str">
        <f ca="1">IFERROR(__xludf.DUMMYFUNCTION("GOOGLETRANSLATE(B183,""ja"",""vi"")"),"xe hơi")</f>
        <v>xe hơi</v>
      </c>
      <c r="F183" s="4" t="str">
        <f ca="1">IFERROR(__xludf.DUMMYFUNCTION("GOOGLETRANSLATE(C183,""ja"",""vi"")"),"Đấu giá&gt; vé, chứng từ, đặt phòng khách sạn&gt; Thẻ trả trước&gt; Thẻ điện thoại&gt; Ô tô")</f>
        <v>Đấu giá&gt; vé, chứng từ, đặt phòng khách sạn&gt; Thẻ trả trước&gt; Thẻ điện thoại&gt; Ô tô</v>
      </c>
      <c r="G183" t="str">
        <f t="shared" ca="1" si="2"/>
        <v>"2084007950" : "xe hơi",</v>
      </c>
    </row>
    <row r="184" spans="1:7" ht="14.25" customHeight="1">
      <c r="A184" s="2">
        <v>2084048482</v>
      </c>
      <c r="B184" s="2" t="s">
        <v>4501</v>
      </c>
      <c r="C184" s="2" t="s">
        <v>4503</v>
      </c>
      <c r="D184" s="2" t="s">
        <v>14926</v>
      </c>
      <c r="E184" s="5" t="str">
        <f ca="1">IFERROR(__xludf.DUMMYFUNCTION("GOOGLETRANSLATE(B184,""ja"",""vi"")"),"cây")</f>
        <v>cây</v>
      </c>
      <c r="F184" s="4" t="str">
        <f ca="1">IFERROR(__xludf.DUMMYFUNCTION("GOOGLETRANSLATE(C184,""ja"",""vi"")"),"Đấu giá&gt; vé, chứng từ, đặt phòng khách sạn&gt; Thẻ trả trước&gt; Thẻ điện thoại&gt; nhà máy")</f>
        <v>Đấu giá&gt; vé, chứng từ, đặt phòng khách sạn&gt; Thẻ trả trước&gt; Thẻ điện thoại&gt; nhà máy</v>
      </c>
      <c r="G184" t="str">
        <f t="shared" ca="1" si="2"/>
        <v>"2084048482" : "cây",</v>
      </c>
    </row>
    <row r="185" spans="1:7" ht="14.25" customHeight="1">
      <c r="A185" s="2">
        <v>2084005104</v>
      </c>
      <c r="B185" s="2" t="s">
        <v>3972</v>
      </c>
      <c r="C185" s="2" t="s">
        <v>4508</v>
      </c>
      <c r="D185" s="2" t="s">
        <v>14930</v>
      </c>
      <c r="E185" s="5" t="str">
        <f ca="1">IFERROR(__xludf.DUMMYFUNCTION("GOOGLETRANSLATE(B185,""ja"",""vi"")"),"diễn viên Đài phát thanh")</f>
        <v>diễn viên Đài phát thanh</v>
      </c>
      <c r="F185" s="4" t="str">
        <f ca="1">IFERROR(__xludf.DUMMYFUNCTION("GOOGLETRANSLATE(C185,""ja"",""vi"")"),"Đấu giá&gt; vé, chứng từ, đặt phòng khách sạn&gt; Thẻ trả trước&gt; Thẻ điện thoại&gt; Diễn viên lồng tiếng")</f>
        <v>Đấu giá&gt; vé, chứng từ, đặt phòng khách sạn&gt; Thẻ trả trước&gt; Thẻ điện thoại&gt; Diễn viên lồng tiếng</v>
      </c>
      <c r="G185" t="str">
        <f t="shared" ca="1" si="2"/>
        <v>"2084005104" : "diễn viên Đài phát thanh",</v>
      </c>
    </row>
    <row r="186" spans="1:7" ht="14.25" customHeight="1">
      <c r="A186" s="2">
        <v>2084007801</v>
      </c>
      <c r="B186" s="2" t="s">
        <v>4511</v>
      </c>
      <c r="C186" s="2" t="s">
        <v>4512</v>
      </c>
      <c r="D186" s="2" t="s">
        <v>14936</v>
      </c>
      <c r="E186" s="5" t="str">
        <f ca="1">IFERROR(__xludf.DUMMYFUNCTION("GOOGLETRANSLATE(B186,""ja"",""vi"")"),"đường sắt")</f>
        <v>đường sắt</v>
      </c>
      <c r="F186" s="4" t="str">
        <f ca="1">IFERROR(__xludf.DUMMYFUNCTION("GOOGLETRANSLATE(C186,""ja"",""vi"")"),"Đấu giá&gt; vé, chứng từ, đặt phòng khách sạn&gt; Thẻ trả trước&gt; Thẻ điện thoại&gt; đường sắt")</f>
        <v>Đấu giá&gt; vé, chứng từ, đặt phòng khách sạn&gt; Thẻ trả trước&gt; Thẻ điện thoại&gt; đường sắt</v>
      </c>
      <c r="G186" t="str">
        <f t="shared" ca="1" si="2"/>
        <v>"2084007801" : "đường sắt",</v>
      </c>
    </row>
    <row r="187" spans="1:7" ht="14.25" customHeight="1">
      <c r="A187" s="2">
        <v>2084048481</v>
      </c>
      <c r="B187" s="2" t="s">
        <v>4516</v>
      </c>
      <c r="C187" s="2" t="s">
        <v>4517</v>
      </c>
      <c r="D187" s="2" t="s">
        <v>14939</v>
      </c>
      <c r="E187" s="5" t="str">
        <f ca="1">IFERROR(__xludf.DUMMYFUNCTION("GOOGLETRANSLATE(B187,""ja"",""vi"")"),"động vật")</f>
        <v>động vật</v>
      </c>
      <c r="F187" s="4" t="str">
        <f ca="1">IFERROR(__xludf.DUMMYFUNCTION("GOOGLETRANSLATE(C187,""ja"",""vi"")"),"Đấu giá&gt; vé, chứng từ, đặt phòng khách sạn&gt; Thẻ trả trước&gt; Thẻ điện thoại&gt; động vật")</f>
        <v>Đấu giá&gt; vé, chứng từ, đặt phòng khách sạn&gt; Thẻ trả trước&gt; Thẻ điện thoại&gt; động vật</v>
      </c>
      <c r="G187" t="str">
        <f t="shared" ca="1" si="2"/>
        <v>"2084048481" : "động vật",</v>
      </c>
    </row>
    <row r="188" spans="1:7" ht="14.25" customHeight="1">
      <c r="A188" s="2">
        <v>2084048483</v>
      </c>
      <c r="B188" s="2" t="s">
        <v>4520</v>
      </c>
      <c r="C188" s="2" t="s">
        <v>4522</v>
      </c>
      <c r="D188" s="2" t="s">
        <v>14942</v>
      </c>
      <c r="E188" s="5" t="str">
        <f ca="1">IFERROR(__xludf.DUMMYFUNCTION("GOOGLETRANSLATE(B188,""ja"",""vi"")"),"phong cảnh")</f>
        <v>phong cảnh</v>
      </c>
      <c r="F188" s="4" t="str">
        <f ca="1">IFERROR(__xludf.DUMMYFUNCTION("GOOGLETRANSLATE(C188,""ja"",""vi"")"),"Đấu giá&gt; vé, chứng từ, đặt phòng khách sạn&gt; Thẻ trả trước&gt; Thẻ điện thoại&gt; phong cảnh")</f>
        <v>Đấu giá&gt; vé, chứng từ, đặt phòng khách sạn&gt; Thẻ trả trước&gt; Thẻ điện thoại&gt; phong cảnh</v>
      </c>
      <c r="G188" t="str">
        <f t="shared" ca="1" si="2"/>
        <v>"2084048483" : "phong cảnh",</v>
      </c>
    </row>
    <row r="189" spans="1:7" ht="14.25" customHeight="1">
      <c r="A189" s="2">
        <v>2084005125</v>
      </c>
      <c r="B189" s="2" t="s">
        <v>46</v>
      </c>
      <c r="C189" s="2" t="s">
        <v>4525</v>
      </c>
      <c r="D189" s="2" t="s">
        <v>14947</v>
      </c>
      <c r="E189" s="5" t="str">
        <f ca="1">IFERROR(__xludf.DUMMYFUNCTION("GOOGLETRANSLATE(B189,""ja"",""vi"")"),"nếu không thì")</f>
        <v>nếu không thì</v>
      </c>
      <c r="F189" s="4" t="str">
        <f ca="1">IFERROR(__xludf.DUMMYFUNCTION("GOOGLETRANSLATE(C189,""ja"",""vi"")"),"Đấu giá&gt; vé, chứng từ, đặt phòng khách sạn&gt; Thẻ trả trước&gt; Thẻ điện thoại&gt; Khác")</f>
        <v>Đấu giá&gt; vé, chứng từ, đặt phòng khách sạn&gt; Thẻ trả trước&gt; Thẻ điện thoại&gt; Khác</v>
      </c>
      <c r="G189" t="str">
        <f t="shared" ca="1" si="2"/>
        <v>"2084005125" : "nếu không thì",</v>
      </c>
    </row>
    <row r="190" spans="1:7" ht="14.25" customHeight="1">
      <c r="A190" s="2">
        <v>2084222920</v>
      </c>
      <c r="B190" s="2" t="s">
        <v>8456</v>
      </c>
      <c r="C190" s="2" t="s">
        <v>8457</v>
      </c>
      <c r="D190" s="2" t="s">
        <v>14950</v>
      </c>
      <c r="E190" s="5" t="str">
        <f ca="1">IFERROR(__xludf.DUMMYFUNCTION("GOOGLETRANSLATE(B190,""ja"",""vi"")"),"PASMO")</f>
        <v>PASMO</v>
      </c>
      <c r="F190" s="4" t="str">
        <f ca="1">IFERROR(__xludf.DUMMYFUNCTION("GOOGLETRANSLATE(C190,""ja"",""vi"")"),"Đấu giá&gt; vé, chứng từ, đặt phòng khách sạn&gt; Thẻ trả trước&gt; đường sắt&gt; PASMO")</f>
        <v>Đấu giá&gt; vé, chứng từ, đặt phòng khách sạn&gt; Thẻ trả trước&gt; đường sắt&gt; PASMO</v>
      </c>
      <c r="G190" t="str">
        <f t="shared" ca="1" si="2"/>
        <v>"2084222920" : "PASMO",</v>
      </c>
    </row>
    <row r="191" spans="1:7" ht="14.25" customHeight="1">
      <c r="A191" s="2">
        <v>2084007694</v>
      </c>
      <c r="B191" s="2" t="s">
        <v>8459</v>
      </c>
      <c r="C191" s="2" t="s">
        <v>8460</v>
      </c>
      <c r="D191" s="2" t="s">
        <v>14953</v>
      </c>
      <c r="E191" s="5" t="str">
        <f ca="1">IFERROR(__xludf.DUMMYFUNCTION("GOOGLETRANSLATE(B191,""ja"",""vi"")"),"thẻ Orange")</f>
        <v>thẻ Orange</v>
      </c>
      <c r="F191" s="4" t="str">
        <f ca="1">IFERROR(__xludf.DUMMYFUNCTION("GOOGLETRANSLATE(C191,""ja"",""vi"")"),"Đấu giá&gt; vé, chứng từ, đặt phòng khách sạn&gt; Thẻ trả trước&gt; đường sắt&gt; Orange Thẻ")</f>
        <v>Đấu giá&gt; vé, chứng từ, đặt phòng khách sạn&gt; Thẻ trả trước&gt; đường sắt&gt; Orange Thẻ</v>
      </c>
      <c r="G191" t="str">
        <f t="shared" ca="1" si="2"/>
        <v>"2084007694" : "thẻ Orange",</v>
      </c>
    </row>
    <row r="192" spans="1:7" ht="14.25" customHeight="1">
      <c r="A192" s="2">
        <v>2084048493</v>
      </c>
      <c r="B192" s="2" t="s">
        <v>8464</v>
      </c>
      <c r="C192" s="2" t="s">
        <v>8466</v>
      </c>
      <c r="D192" s="2" t="s">
        <v>14957</v>
      </c>
      <c r="E192" s="5" t="str">
        <f ca="1">IFERROR(__xludf.DUMMYFUNCTION("GOOGLETRANSLATE(B192,""ja"",""vi"")"),"Suica")</f>
        <v>Suica</v>
      </c>
      <c r="F192" s="4" t="str">
        <f ca="1">IFERROR(__xludf.DUMMYFUNCTION("GOOGLETRANSLATE(C192,""ja"",""vi"")"),"Đấu giá&gt; vé, chứng từ, đặt phòng khách sạn&gt; Thẻ trả trước&gt; đường sắt&gt; Suica")</f>
        <v>Đấu giá&gt; vé, chứng từ, đặt phòng khách sạn&gt; Thẻ trả trước&gt; đường sắt&gt; Suica</v>
      </c>
      <c r="G192" t="str">
        <f t="shared" ca="1" si="2"/>
        <v>"2084048493" : "Suica",</v>
      </c>
    </row>
    <row r="193" spans="1:7" ht="14.25" customHeight="1">
      <c r="A193" s="2">
        <v>2084046715</v>
      </c>
      <c r="B193" s="2" t="s">
        <v>8467</v>
      </c>
      <c r="C193" s="2" t="s">
        <v>8469</v>
      </c>
      <c r="D193" s="2" t="s">
        <v>14961</v>
      </c>
      <c r="E193" s="5" t="str">
        <f ca="1">IFERROR(__xludf.DUMMYFUNCTION("GOOGLETRANSLATE(B193,""ja"",""vi"")"),"Đường dẫn thẻ net")</f>
        <v>Đường dẫn thẻ net</v>
      </c>
      <c r="F193" s="4" t="str">
        <f ca="1">IFERROR(__xludf.DUMMYFUNCTION("GOOGLETRANSLATE(C193,""ja"",""vi"")"),"Đấu giá&gt; vé, chứng từ, đặt phòng khách sạn&gt; Thẻ trả trước&gt; đường sắt&gt; con đường thẻ net")</f>
        <v>Đấu giá&gt; vé, chứng từ, đặt phòng khách sạn&gt; Thẻ trả trước&gt; đường sắt&gt; con đường thẻ net</v>
      </c>
      <c r="G193" t="str">
        <f t="shared" ca="1" si="2"/>
        <v>"2084046715" : "Đường dẫn thẻ net",</v>
      </c>
    </row>
    <row r="194" spans="1:7" ht="14.25" customHeight="1">
      <c r="A194" s="2">
        <v>2084051817</v>
      </c>
      <c r="B194" s="2" t="s">
        <v>8472</v>
      </c>
      <c r="C194" s="2" t="s">
        <v>8473</v>
      </c>
      <c r="D194" s="2" t="s">
        <v>14966</v>
      </c>
      <c r="E194" s="5" t="str">
        <f ca="1">IFERROR(__xludf.DUMMYFUNCTION("GOOGLETRANSLATE(B194,""ja"",""vi"")"),"Icoca")</f>
        <v>Icoca</v>
      </c>
      <c r="F194" s="4" t="str">
        <f ca="1">IFERROR(__xludf.DUMMYFUNCTION("GOOGLETRANSLATE(C194,""ja"",""vi"")"),"Đấu giá&gt; vé, chứng từ, đặt phòng khách sạn&gt; Thẻ trả trước&gt; đường sắt&gt; Icoca")</f>
        <v>Đấu giá&gt; vé, chứng từ, đặt phòng khách sạn&gt; Thẻ trả trước&gt; đường sắt&gt; Icoca</v>
      </c>
      <c r="G194" t="str">
        <f t="shared" ca="1" si="2"/>
        <v>"2084051817" : "Icoca",</v>
      </c>
    </row>
    <row r="195" spans="1:7" ht="14.25" customHeight="1">
      <c r="A195" s="2">
        <v>2084046716</v>
      </c>
      <c r="B195" s="2" t="s">
        <v>8476</v>
      </c>
      <c r="C195" s="2" t="s">
        <v>8477</v>
      </c>
      <c r="D195" s="2" t="s">
        <v>14971</v>
      </c>
      <c r="E195" s="5" t="str">
        <f ca="1">IFERROR(__xludf.DUMMYFUNCTION("GOOGLETRANSLATE(B195,""ja"",""vi"")"),"J qua thẻ")</f>
        <v>J qua thẻ</v>
      </c>
      <c r="F195" s="4" t="str">
        <f ca="1">IFERROR(__xludf.DUMMYFUNCTION("GOOGLETRANSLATE(C195,""ja"",""vi"")"),"Đấu giá&gt; vé, chứng từ, đặt phòng khách sạn&gt; Thẻ trả trước&gt; đường sắt&gt; J qua thẻ")</f>
        <v>Đấu giá&gt; vé, chứng từ, đặt phòng khách sạn&gt; Thẻ trả trước&gt; đường sắt&gt; J qua thẻ</v>
      </c>
      <c r="G195" t="str">
        <f t="shared" ref="G195:G219" ca="1" si="3">CONCATENATE(CHAR(34)&amp;"",A195,""&amp;CHAR(34)," : ", CHAR(34)&amp;"",E195,""&amp;CHAR(34),",")</f>
        <v>"2084046716" : "J qua thẻ",</v>
      </c>
    </row>
    <row r="196" spans="1:7" ht="14.25" customHeight="1">
      <c r="A196" s="2">
        <v>2084007695</v>
      </c>
      <c r="B196" s="2" t="s">
        <v>8480</v>
      </c>
      <c r="C196" s="2" t="s">
        <v>8481</v>
      </c>
      <c r="D196" s="2" t="s">
        <v>14977</v>
      </c>
      <c r="E196" s="5" t="str">
        <f ca="1">IFERROR(__xludf.DUMMYFUNCTION("GOOGLETRANSLATE(B196,""ja"",""vi"")"),"thẻ IO")</f>
        <v>thẻ IO</v>
      </c>
      <c r="F196" s="4" t="str">
        <f ca="1">IFERROR(__xludf.DUMMYFUNCTION("GOOGLETRANSLATE(C196,""ja"",""vi"")"),"Đấu giá&gt; vé, chứng từ, đặt phòng khách sạn&gt; Thẻ trả trước&gt; đường sắt&gt; thẻ IO")</f>
        <v>Đấu giá&gt; vé, chứng từ, đặt phòng khách sạn&gt; Thẻ trả trước&gt; đường sắt&gt; thẻ IO</v>
      </c>
      <c r="G196" t="str">
        <f t="shared" ca="1" si="3"/>
        <v>"2084007695" : "thẻ IO",</v>
      </c>
    </row>
    <row r="197" spans="1:7" ht="14.25" customHeight="1">
      <c r="A197" s="2">
        <v>2084047643</v>
      </c>
      <c r="B197" s="2" t="s">
        <v>8484</v>
      </c>
      <c r="C197" s="2" t="s">
        <v>8485</v>
      </c>
      <c r="D197" s="2" t="s">
        <v>14981</v>
      </c>
      <c r="E197" s="5" t="str">
        <f ca="1">IFERROR(__xludf.DUMMYFUNCTION("GOOGLETRANSLATE(B197,""ja"",""vi"")"),"Surutto KANSAI")</f>
        <v>Surutto KANSAI</v>
      </c>
      <c r="F197" s="4" t="str">
        <f ca="1">IFERROR(__xludf.DUMMYFUNCTION("GOOGLETRANSLATE(C197,""ja"",""vi"")"),"Đấu giá&gt; vé, chứng từ, đặt phòng khách sạn&gt; Thẻ trả trước&gt; đường sắt&gt; Surutto KANSAI")</f>
        <v>Đấu giá&gt; vé, chứng từ, đặt phòng khách sạn&gt; Thẻ trả trước&gt; đường sắt&gt; Surutto KANSAI</v>
      </c>
      <c r="G197" t="str">
        <f t="shared" ca="1" si="3"/>
        <v>"2084047643" : "Surutto KANSAI",</v>
      </c>
    </row>
    <row r="198" spans="1:7" ht="14.25" customHeight="1">
      <c r="A198" s="2">
        <v>2084007700</v>
      </c>
      <c r="B198" s="2" t="s">
        <v>46</v>
      </c>
      <c r="C198" s="2" t="s">
        <v>8488</v>
      </c>
      <c r="D198" s="2" t="s">
        <v>14987</v>
      </c>
      <c r="E198" s="5" t="str">
        <f ca="1">IFERROR(__xludf.DUMMYFUNCTION("GOOGLETRANSLATE(B198,""ja"",""vi"")"),"nếu không thì")</f>
        <v>nếu không thì</v>
      </c>
      <c r="F198" s="4" t="str">
        <f ca="1">IFERROR(__xludf.DUMMYFUNCTION("GOOGLETRANSLATE(C198,""ja"",""vi"")"),"Đấu giá&gt; vé, chứng từ, đặt phòng khách sạn&gt; Thẻ trả trước&gt; đường sắt&gt; Khác")</f>
        <v>Đấu giá&gt; vé, chứng từ, đặt phòng khách sạn&gt; Thẻ trả trước&gt; đường sắt&gt; Khác</v>
      </c>
      <c r="G198" t="str">
        <f t="shared" ca="1" si="3"/>
        <v>"2084007700" : "nếu không thì",</v>
      </c>
    </row>
    <row r="199" spans="1:7" ht="14.25" customHeight="1">
      <c r="A199" s="2">
        <v>2084007616</v>
      </c>
      <c r="B199" s="2" t="s">
        <v>5151</v>
      </c>
      <c r="C199" s="2" t="s">
        <v>14594</v>
      </c>
      <c r="D199" s="2" t="s">
        <v>14596</v>
      </c>
      <c r="E199" s="5" t="str">
        <f ca="1">IFERROR(__xludf.DUMMYFUNCTION("GOOGLETRANSLATE(B199,""ja"",""vi"")"),"Hokkaido")</f>
        <v>Hokkaido</v>
      </c>
      <c r="F199" s="4" t="str">
        <f ca="1">IFERROR(__xludf.DUMMYFUNCTION("GOOGLETRANSLATE(C199,""ja"",""vi"")"),"Đấu giá vé, chứng từ đặt phòng khách sạn,&gt;&gt; Phiếu Quà tặng&gt; voucher&gt; Hokkaido")</f>
        <v>Đấu giá vé, chứng từ đặt phòng khách sạn,&gt;&gt; Phiếu Quà tặng&gt; voucher&gt; Hokkaido</v>
      </c>
      <c r="G199" t="str">
        <f t="shared" ca="1" si="3"/>
        <v>"2084007616" : "Hokkaido",</v>
      </c>
    </row>
    <row r="200" spans="1:7" ht="14.25" customHeight="1">
      <c r="A200" s="2">
        <v>2084007617</v>
      </c>
      <c r="B200" s="2" t="s">
        <v>5155</v>
      </c>
      <c r="C200" s="2" t="s">
        <v>14599</v>
      </c>
      <c r="D200" s="2" t="s">
        <v>14600</v>
      </c>
      <c r="E200" s="5" t="str">
        <f ca="1">IFERROR(__xludf.DUMMYFUNCTION("GOOGLETRANSLATE(B200,""ja"",""vi"")"),"đông bắc")</f>
        <v>đông bắc</v>
      </c>
      <c r="F200" s="4" t="str">
        <f ca="1">IFERROR(__xludf.DUMMYFUNCTION("GOOGLETRANSLATE(C200,""ja"",""vi"")"),"Đấu giá vé, chứng từ đặt phòng khách sạn,&gt;&gt; Phiếu Quà tặng&gt; voucher&gt; Đông Bắc")</f>
        <v>Đấu giá vé, chứng từ đặt phòng khách sạn,&gt;&gt; Phiếu Quà tặng&gt; voucher&gt; Đông Bắc</v>
      </c>
      <c r="G200" t="str">
        <f t="shared" ca="1" si="3"/>
        <v>"2084007617" : "đông bắc",</v>
      </c>
    </row>
    <row r="201" spans="1:7" ht="14.25" customHeight="1">
      <c r="A201" s="2">
        <v>2084007618</v>
      </c>
      <c r="B201" s="2" t="s">
        <v>5159</v>
      </c>
      <c r="C201" s="2" t="s">
        <v>14605</v>
      </c>
      <c r="D201" s="2" t="s">
        <v>14608</v>
      </c>
      <c r="E201" s="5" t="str">
        <f ca="1">IFERROR(__xludf.DUMMYFUNCTION("GOOGLETRANSLATE(B201,""ja"",""vi"")"),"Kanto")</f>
        <v>Kanto</v>
      </c>
      <c r="F201" s="4" t="str">
        <f ca="1">IFERROR(__xludf.DUMMYFUNCTION("GOOGLETRANSLATE(C201,""ja"",""vi"")"),"Đấu giá vé, chứng từ đặt phòng khách sạn,&gt;&gt; Phiếu Quà tặng&gt; voucher&gt; Kanto")</f>
        <v>Đấu giá vé, chứng từ đặt phòng khách sạn,&gt;&gt; Phiếu Quà tặng&gt; voucher&gt; Kanto</v>
      </c>
      <c r="G201" t="str">
        <f t="shared" ca="1" si="3"/>
        <v>"2084007618" : "Kanto",</v>
      </c>
    </row>
    <row r="202" spans="1:7" ht="14.25" customHeight="1">
      <c r="A202" s="2">
        <v>2084007620</v>
      </c>
      <c r="B202" s="2" t="s">
        <v>5166</v>
      </c>
      <c r="C202" s="2" t="s">
        <v>14612</v>
      </c>
      <c r="D202" s="2" t="s">
        <v>14613</v>
      </c>
      <c r="E202" s="5" t="str">
        <f ca="1">IFERROR(__xludf.DUMMYFUNCTION("GOOGLETRANSLATE(B202,""ja"",""vi"")"),"Shin-Etsu")</f>
        <v>Shin-Etsu</v>
      </c>
      <c r="F202" s="4" t="str">
        <f ca="1">IFERROR(__xludf.DUMMYFUNCTION("GOOGLETRANSLATE(C202,""ja"",""vi"")"),"Đấu giá vé, chứng từ đặt phòng khách sạn,&gt;&gt; Phiếu Quà tặng&gt; voucher&gt; Shin-Etsu")</f>
        <v>Đấu giá vé, chứng từ đặt phòng khách sạn,&gt;&gt; Phiếu Quà tặng&gt; voucher&gt; Shin-Etsu</v>
      </c>
      <c r="G202" t="str">
        <f t="shared" ca="1" si="3"/>
        <v>"2084007620" : "Shin-Etsu",</v>
      </c>
    </row>
    <row r="203" spans="1:7" ht="14.25" customHeight="1">
      <c r="A203" s="2">
        <v>2084007619</v>
      </c>
      <c r="B203" s="2" t="s">
        <v>5163</v>
      </c>
      <c r="C203" s="2" t="s">
        <v>14617</v>
      </c>
      <c r="D203" s="2" t="s">
        <v>14618</v>
      </c>
      <c r="E203" s="5" t="str">
        <f ca="1">IFERROR(__xludf.DUMMYFUNCTION("GOOGLETRANSLATE(B203,""ja"",""vi"")"),"Hokuriku")</f>
        <v>Hokuriku</v>
      </c>
      <c r="F203" s="4" t="str">
        <f ca="1">IFERROR(__xludf.DUMMYFUNCTION("GOOGLETRANSLATE(C203,""ja"",""vi"")"),"Đấu giá vé, chứng từ đặt phòng khách sạn,&gt;&gt; Phiếu Quà tặng&gt; voucher&gt; Hokuriku")</f>
        <v>Đấu giá vé, chứng từ đặt phòng khách sạn,&gt;&gt; Phiếu Quà tặng&gt; voucher&gt; Hokuriku</v>
      </c>
      <c r="G203" t="str">
        <f t="shared" ca="1" si="3"/>
        <v>"2084007619" : "Hokuriku",</v>
      </c>
    </row>
    <row r="204" spans="1:7" ht="14.25" customHeight="1">
      <c r="A204" s="2">
        <v>2084007621</v>
      </c>
      <c r="B204" s="2" t="s">
        <v>5170</v>
      </c>
      <c r="C204" s="2" t="s">
        <v>14622</v>
      </c>
      <c r="D204" s="2" t="s">
        <v>14623</v>
      </c>
      <c r="E204" s="5" t="str">
        <f ca="1">IFERROR(__xludf.DUMMYFUNCTION("GOOGLETRANSLATE(B204,""ja"",""vi"")"),"Tokai")</f>
        <v>Tokai</v>
      </c>
      <c r="F204" s="4" t="str">
        <f ca="1">IFERROR(__xludf.DUMMYFUNCTION("GOOGLETRANSLATE(C204,""ja"",""vi"")"),"Đấu giá vé, chứng từ đặt phòng khách sạn,&gt;&gt; Phiếu Quà tặng&gt; voucher&gt; Tokai")</f>
        <v>Đấu giá vé, chứng từ đặt phòng khách sạn,&gt;&gt; Phiếu Quà tặng&gt; voucher&gt; Tokai</v>
      </c>
      <c r="G204" t="str">
        <f t="shared" ca="1" si="3"/>
        <v>"2084007621" : "Tokai",</v>
      </c>
    </row>
    <row r="205" spans="1:7" ht="14.25" customHeight="1">
      <c r="A205" s="2">
        <v>2084007622</v>
      </c>
      <c r="B205" s="2" t="s">
        <v>5174</v>
      </c>
      <c r="C205" s="2" t="s">
        <v>14627</v>
      </c>
      <c r="D205" s="2" t="s">
        <v>14629</v>
      </c>
      <c r="E205" s="5" t="str">
        <f ca="1">IFERROR(__xludf.DUMMYFUNCTION("GOOGLETRANSLATE(B205,""ja"",""vi"")"),"Kinki")</f>
        <v>Kinki</v>
      </c>
      <c r="F205" s="4" t="str">
        <f ca="1">IFERROR(__xludf.DUMMYFUNCTION("GOOGLETRANSLATE(C205,""ja"",""vi"")"),"Đấu giá vé, chứng từ đặt phòng khách sạn,&gt;&gt; Phiếu Quà tặng&gt; voucher&gt; Kinki")</f>
        <v>Đấu giá vé, chứng từ đặt phòng khách sạn,&gt;&gt; Phiếu Quà tặng&gt; voucher&gt; Kinki</v>
      </c>
      <c r="G205" t="str">
        <f t="shared" ca="1" si="3"/>
        <v>"2084007622" : "Kinki",</v>
      </c>
    </row>
    <row r="206" spans="1:7" ht="14.25" customHeight="1">
      <c r="A206" s="2">
        <v>2084007623</v>
      </c>
      <c r="B206" s="2" t="s">
        <v>5177</v>
      </c>
      <c r="C206" s="2" t="s">
        <v>14632</v>
      </c>
      <c r="D206" s="2" t="s">
        <v>14634</v>
      </c>
      <c r="E206" s="5" t="str">
        <f ca="1">IFERROR(__xludf.DUMMYFUNCTION("GOOGLETRANSLATE(B206,""ja"",""vi"")"),"đồ sứ")</f>
        <v>đồ sứ</v>
      </c>
      <c r="F206" s="4" t="str">
        <f ca="1">IFERROR(__xludf.DUMMYFUNCTION("GOOGLETRANSLATE(C206,""ja"",""vi"")"),"Đấu giá vé, chứng từ đặt phòng khách sạn,&gt;&gt; Phiếu Quà tặng&gt; voucher&gt; Trung Quốc")</f>
        <v>Đấu giá vé, chứng từ đặt phòng khách sạn,&gt;&gt; Phiếu Quà tặng&gt; voucher&gt; Trung Quốc</v>
      </c>
      <c r="G206" t="str">
        <f t="shared" ca="1" si="3"/>
        <v>"2084007623" : "đồ sứ",</v>
      </c>
    </row>
    <row r="207" spans="1:7" ht="14.25" customHeight="1">
      <c r="A207" s="2">
        <v>2084007624</v>
      </c>
      <c r="B207" s="2" t="s">
        <v>5180</v>
      </c>
      <c r="C207" s="2" t="s">
        <v>14637</v>
      </c>
      <c r="D207" s="2" t="s">
        <v>14638</v>
      </c>
      <c r="E207" s="5" t="str">
        <f ca="1">IFERROR(__xludf.DUMMYFUNCTION("GOOGLETRANSLATE(B207,""ja"",""vi"")"),"Shikoku")</f>
        <v>Shikoku</v>
      </c>
      <c r="F207" s="4" t="str">
        <f ca="1">IFERROR(__xludf.DUMMYFUNCTION("GOOGLETRANSLATE(C207,""ja"",""vi"")"),"Đấu giá&gt; vé, chứng từ, đặt phòng khách sạn&gt; Phiếu Quà tặng&gt; voucher&gt; Shikoku")</f>
        <v>Đấu giá&gt; vé, chứng từ, đặt phòng khách sạn&gt; Phiếu Quà tặng&gt; voucher&gt; Shikoku</v>
      </c>
      <c r="G207" t="str">
        <f t="shared" ca="1" si="3"/>
        <v>"2084007624" : "Shikoku",</v>
      </c>
    </row>
    <row r="208" spans="1:7" ht="14.25" customHeight="1">
      <c r="A208" s="2">
        <v>2084007625</v>
      </c>
      <c r="B208" s="2" t="s">
        <v>5183</v>
      </c>
      <c r="C208" s="2" t="s">
        <v>14642</v>
      </c>
      <c r="D208" s="2" t="s">
        <v>14643</v>
      </c>
      <c r="E208" s="5" t="str">
        <f ca="1">IFERROR(__xludf.DUMMYFUNCTION("GOOGLETRANSLATE(B208,""ja"",""vi"")"),"Kyushu")</f>
        <v>Kyushu</v>
      </c>
      <c r="F208" s="4" t="str">
        <f ca="1">IFERROR(__xludf.DUMMYFUNCTION("GOOGLETRANSLATE(C208,""ja"",""vi"")"),"Đấu giá vé, chứng từ đặt phòng khách sạn,&gt;&gt; Phiếu Quà tặng&gt; voucher&gt; Kyushu")</f>
        <v>Đấu giá vé, chứng từ đặt phòng khách sạn,&gt;&gt; Phiếu Quà tặng&gt; voucher&gt; Kyushu</v>
      </c>
      <c r="G208" t="str">
        <f t="shared" ca="1" si="3"/>
        <v>"2084007625" : "Kyushu",</v>
      </c>
    </row>
    <row r="209" spans="1:7" ht="14.25" customHeight="1">
      <c r="A209" s="2">
        <v>2084007626</v>
      </c>
      <c r="B209" s="2" t="s">
        <v>5186</v>
      </c>
      <c r="C209" s="2" t="s">
        <v>14647</v>
      </c>
      <c r="D209" s="2" t="s">
        <v>14648</v>
      </c>
      <c r="E209" s="5" t="str">
        <f ca="1">IFERROR(__xludf.DUMMYFUNCTION("GOOGLETRANSLATE(B209,""ja"",""vi"")"),"Okinawa")</f>
        <v>Okinawa</v>
      </c>
      <c r="F209" s="4" t="str">
        <f ca="1">IFERROR(__xludf.DUMMYFUNCTION("GOOGLETRANSLATE(C209,""ja"",""vi"")"),"Đấu giá vé, chứng từ đặt phòng khách sạn,&gt;&gt; Phiếu Quà tặng&gt; voucher&gt; Okinawa")</f>
        <v>Đấu giá vé, chứng từ đặt phòng khách sạn,&gt;&gt; Phiếu Quà tặng&gt; voucher&gt; Okinawa</v>
      </c>
      <c r="G209" t="str">
        <f t="shared" ca="1" si="3"/>
        <v>"2084007626" : "Okinawa",</v>
      </c>
    </row>
    <row r="210" spans="1:7" ht="14.25" customHeight="1">
      <c r="A210" s="2">
        <v>2084062636</v>
      </c>
      <c r="B210" s="2" t="s">
        <v>12195</v>
      </c>
      <c r="C210" s="2" t="s">
        <v>14652</v>
      </c>
      <c r="D210" s="2" t="s">
        <v>14653</v>
      </c>
      <c r="E210" s="5" t="str">
        <f ca="1">IFERROR(__xludf.DUMMYFUNCTION("GOOGLETRANSLATE(B210,""ja"",""vi"")"),"Đặt phòng khách sạn")</f>
        <v>Đặt phòng khách sạn</v>
      </c>
      <c r="F210" s="4" t="str">
        <f ca="1">IFERROR(__xludf.DUMMYFUNCTION("GOOGLETRANSLATE(C210,""ja"",""vi"")"),"Đấu giá&gt; vé, chứng từ, đặt phòng khách sạn&gt; Phiếu Quà tặng&gt; voucher&gt; đặt phòng nơi ăn nghỉ")</f>
        <v>Đấu giá&gt; vé, chứng từ, đặt phòng khách sạn&gt; Phiếu Quà tặng&gt; voucher&gt; đặt phòng nơi ăn nghỉ</v>
      </c>
      <c r="G210" t="str">
        <f t="shared" ca="1" si="3"/>
        <v>"2084062636" : "Đặt phòng khách sạn",</v>
      </c>
    </row>
    <row r="211" spans="1:7" ht="14.25" customHeight="1">
      <c r="A211" s="2">
        <v>42443</v>
      </c>
      <c r="B211" s="2" t="s">
        <v>46</v>
      </c>
      <c r="C211" s="2" t="s">
        <v>14659</v>
      </c>
      <c r="D211" s="2" t="s">
        <v>14661</v>
      </c>
      <c r="E211" s="5" t="str">
        <f ca="1">IFERROR(__xludf.DUMMYFUNCTION("GOOGLETRANSLATE(B211,""ja"",""vi"")"),"nếu không thì")</f>
        <v>nếu không thì</v>
      </c>
      <c r="F211" s="4" t="str">
        <f ca="1">IFERROR(__xludf.DUMMYFUNCTION("GOOGLETRANSLATE(C211,""ja"",""vi"")"),"Đấu giá vé, chứng từ đặt phòng khách sạn,&gt;&gt; Phiếu Quà tặng&gt; voucher&gt; Khác")</f>
        <v>Đấu giá vé, chứng từ đặt phòng khách sạn,&gt;&gt; Phiếu Quà tặng&gt; voucher&gt; Khác</v>
      </c>
      <c r="G211" t="str">
        <f t="shared" ca="1" si="3"/>
        <v>"42443" : "nếu không thì",</v>
      </c>
    </row>
    <row r="212" spans="1:7" ht="14.25" customHeight="1">
      <c r="A212" s="2">
        <v>2084221304</v>
      </c>
      <c r="B212" s="2" t="s">
        <v>15030</v>
      </c>
      <c r="C212" s="2" t="s">
        <v>15032</v>
      </c>
      <c r="D212" s="2" t="s">
        <v>15034</v>
      </c>
      <c r="E212" s="5" t="str">
        <f ca="1">IFERROR(__xludf.DUMMYFUNCTION("GOOGLETRANSLATE(B212,""ja"",""vi"")"),"Tokyo")</f>
        <v>Tokyo</v>
      </c>
      <c r="F212" s="4" t="str">
        <f ca="1">IFERROR(__xludf.DUMMYFUNCTION("GOOGLETRANSLATE(C212,""ja"",""vi"")"),"Đấu giá&gt; vé, chứng từ, đặt phòng khách sạn&gt; phòng trọ&gt; Kanto&gt; Tokyo")</f>
        <v>Đấu giá&gt; vé, chứng từ, đặt phòng khách sạn&gt; phòng trọ&gt; Kanto&gt; Tokyo</v>
      </c>
      <c r="G212" t="str">
        <f t="shared" ca="1" si="3"/>
        <v>"2084221304" : "Tokyo",</v>
      </c>
    </row>
    <row r="213" spans="1:7" ht="14.25" customHeight="1">
      <c r="A213" s="2">
        <v>2084221305</v>
      </c>
      <c r="B213" s="2" t="s">
        <v>15038</v>
      </c>
      <c r="C213" s="2" t="s">
        <v>15040</v>
      </c>
      <c r="D213" s="2" t="s">
        <v>15042</v>
      </c>
      <c r="E213" s="5" t="str">
        <f ca="1">IFERROR(__xludf.DUMMYFUNCTION("GOOGLETRANSLATE(B213,""ja"",""vi"")"),"Kanagawa")</f>
        <v>Kanagawa</v>
      </c>
      <c r="F213" s="4" t="str">
        <f ca="1">IFERROR(__xludf.DUMMYFUNCTION("GOOGLETRANSLATE(C213,""ja"",""vi"")"),"Đấu giá&gt; vé, chứng từ, đặt phòng khách sạn&gt; phòng trọ&gt; Kanto&gt; Kanagawa")</f>
        <v>Đấu giá&gt; vé, chứng từ, đặt phòng khách sạn&gt; phòng trọ&gt; Kanto&gt; Kanagawa</v>
      </c>
      <c r="G213" t="str">
        <f t="shared" ca="1" si="3"/>
        <v>"2084221305" : "Kanagawa",</v>
      </c>
    </row>
    <row r="214" spans="1:7" ht="14.25" customHeight="1">
      <c r="A214" s="2">
        <v>2084221306</v>
      </c>
      <c r="B214" s="2" t="s">
        <v>15046</v>
      </c>
      <c r="C214" s="2" t="s">
        <v>15049</v>
      </c>
      <c r="D214" s="2" t="s">
        <v>15050</v>
      </c>
      <c r="E214" s="5" t="str">
        <f ca="1">IFERROR(__xludf.DUMMYFUNCTION("GOOGLETRANSLATE(B214,""ja"",""vi"")"),"Chiba")</f>
        <v>Chiba</v>
      </c>
      <c r="F214" s="4" t="str">
        <f ca="1">IFERROR(__xludf.DUMMYFUNCTION("GOOGLETRANSLATE(C214,""ja"",""vi"")"),"Đấu giá&gt; vé, chứng từ, đặt phòng khách sạn&gt; phòng trọ&gt; Kanto&gt; Chiba")</f>
        <v>Đấu giá&gt; vé, chứng từ, đặt phòng khách sạn&gt; phòng trọ&gt; Kanto&gt; Chiba</v>
      </c>
      <c r="G214" t="str">
        <f t="shared" ca="1" si="3"/>
        <v>"2084221306" : "Chiba",</v>
      </c>
    </row>
    <row r="215" spans="1:7" ht="14.25" customHeight="1">
      <c r="A215" s="2">
        <v>2084221308</v>
      </c>
      <c r="B215" s="2" t="s">
        <v>15055</v>
      </c>
      <c r="C215" s="2" t="s">
        <v>15056</v>
      </c>
      <c r="D215" s="2" t="s">
        <v>15057</v>
      </c>
      <c r="E215" s="5" t="str">
        <f ca="1">IFERROR(__xludf.DUMMYFUNCTION("GOOGLETRANSLATE(B215,""ja"",""vi"")"),"Saitama, Ibaraki, Tochigi, Gunma")</f>
        <v>Saitama, Ibaraki, Tochigi, Gunma</v>
      </c>
      <c r="F215" s="4" t="str">
        <f ca="1">IFERROR(__xludf.DUMMYFUNCTION("GOOGLETRANSLATE(C215,""ja"",""vi"")"),"Đấu giá&gt; vé, chứng từ, đặt phòng khách sạn&gt; phòng trọ&gt; Kanto&gt; Saitama, Ibaraki, Tochigi, Gunma")</f>
        <v>Đấu giá&gt; vé, chứng từ, đặt phòng khách sạn&gt; phòng trọ&gt; Kanto&gt; Saitama, Ibaraki, Tochigi, Gunma</v>
      </c>
      <c r="G215" t="str">
        <f t="shared" ca="1" si="3"/>
        <v>"2084221308" : "Saitama, Ibaraki, Tochigi, Gunma",</v>
      </c>
    </row>
    <row r="216" spans="1:7" ht="14.25" customHeight="1">
      <c r="A216" s="2">
        <v>2084221307</v>
      </c>
      <c r="B216" s="2" t="s">
        <v>15062</v>
      </c>
      <c r="C216" s="2" t="s">
        <v>15063</v>
      </c>
      <c r="D216" s="2" t="s">
        <v>15065</v>
      </c>
      <c r="E216" s="5" t="str">
        <f ca="1">IFERROR(__xludf.DUMMYFUNCTION("GOOGLETRANSLATE(B216,""ja"",""vi"")"),"Yamanashi")</f>
        <v>Yamanashi</v>
      </c>
      <c r="F216" s="4" t="str">
        <f ca="1">IFERROR(__xludf.DUMMYFUNCTION("GOOGLETRANSLATE(C216,""ja"",""vi"")"),"Đấu giá&gt; vé, chứng từ, đặt phòng khách sạn&gt; phòng trọ&gt; Kanto&gt; Yamanashi")</f>
        <v>Đấu giá&gt; vé, chứng từ, đặt phòng khách sạn&gt; phòng trọ&gt; Kanto&gt; Yamanashi</v>
      </c>
      <c r="G216" t="str">
        <f t="shared" ca="1" si="3"/>
        <v>"2084221307" : "Yamanashi",</v>
      </c>
    </row>
    <row r="217" spans="1:7" ht="14.25" customHeight="1">
      <c r="A217" s="2">
        <v>2084221311</v>
      </c>
      <c r="B217" s="2" t="s">
        <v>15070</v>
      </c>
      <c r="C217" s="2" t="s">
        <v>15071</v>
      </c>
      <c r="D217" s="2" t="s">
        <v>15072</v>
      </c>
      <c r="E217" s="5" t="str">
        <f ca="1">IFERROR(__xludf.DUMMYFUNCTION("GOOGLETRANSLATE(B217,""ja"",""vi"")"),"Shizuoka")</f>
        <v>Shizuoka</v>
      </c>
      <c r="F217" s="4" t="str">
        <f ca="1">IFERROR(__xludf.DUMMYFUNCTION("GOOGLETRANSLATE(C217,""ja"",""vi"")"),"Đấu giá&gt; vé, chứng từ, đặt phòng khách sạn&gt; phòng trọ&gt; Tokai&gt; Shizuoka")</f>
        <v>Đấu giá&gt; vé, chứng từ, đặt phòng khách sạn&gt; phòng trọ&gt; Tokai&gt; Shizuoka</v>
      </c>
      <c r="G217" t="str">
        <f t="shared" ca="1" si="3"/>
        <v>"2084221311" : "Shizuoka",</v>
      </c>
    </row>
    <row r="218" spans="1:7" ht="14.25" customHeight="1">
      <c r="A218" s="2">
        <v>2084221312</v>
      </c>
      <c r="B218" s="2" t="s">
        <v>15076</v>
      </c>
      <c r="C218" s="2" t="s">
        <v>15077</v>
      </c>
      <c r="D218" s="2" t="s">
        <v>15079</v>
      </c>
      <c r="E218" s="5" t="str">
        <f ca="1">IFERROR(__xludf.DUMMYFUNCTION("GOOGLETRANSLATE(B218,""ja"",""vi"")"),"Aichi, Gifu, Mie")</f>
        <v>Aichi, Gifu, Mie</v>
      </c>
      <c r="F218" s="4" t="str">
        <f ca="1">IFERROR(__xludf.DUMMYFUNCTION("GOOGLETRANSLATE(C218,""ja"",""vi"")"),"Đấu giá&gt; vé, chứng từ, đặt phòng khách sạn&gt; phòng trọ&gt; Tokai&gt; Aichi, Gifu, Mie")</f>
        <v>Đấu giá&gt; vé, chứng từ, đặt phòng khách sạn&gt; phòng trọ&gt; Tokai&gt; Aichi, Gifu, Mie</v>
      </c>
      <c r="G218" t="str">
        <f t="shared" ca="1" si="3"/>
        <v>"2084221312" : "Aichi, Gifu, Mie",</v>
      </c>
    </row>
    <row r="219" spans="1:7" ht="14.25" customHeight="1">
      <c r="A219" s="2">
        <v>2084221307</v>
      </c>
      <c r="B219" s="2" t="s">
        <v>15062</v>
      </c>
      <c r="C219" s="2" t="s">
        <v>15082</v>
      </c>
      <c r="D219" s="2" t="s">
        <v>15084</v>
      </c>
      <c r="E219" s="5" t="str">
        <f ca="1">IFERROR(__xludf.DUMMYFUNCTION("GOOGLETRANSLATE(B219,""ja"",""vi"")"),"Yamanashi")</f>
        <v>Yamanashi</v>
      </c>
      <c r="F219" s="4" t="str">
        <f ca="1">IFERROR(__xludf.DUMMYFUNCTION("GOOGLETRANSLATE(C219,""ja"",""vi"")"),"Đấu giá&gt; vé, chứng từ, đặt phòng khách sạn&gt; phòng trọ&gt; Tokai&gt; Yamanashi")</f>
        <v>Đấu giá&gt; vé, chứng từ, đặt phòng khách sạn&gt; phòng trọ&gt; Tokai&gt; Yamanashi</v>
      </c>
      <c r="G219" t="str">
        <f t="shared" ca="1" si="3"/>
        <v>"2084221307" : "Yamanashi",</v>
      </c>
    </row>
    <row r="220" spans="1:7" ht="14.25" customHeight="1"/>
    <row r="221" spans="1:7" ht="14.25" customHeight="1"/>
    <row r="222" spans="1:7" ht="14.25" customHeight="1"/>
    <row r="223" spans="1:7" ht="14.25" customHeight="1"/>
    <row r="224" spans="1:7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</sheetData>
  <pageMargins left="0.7" right="0.7" top="0.75" bottom="0.75" header="0" footer="0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9"/>
  <sheetViews>
    <sheetView workbookViewId="0">
      <selection activeCell="G2" sqref="G2"/>
    </sheetView>
  </sheetViews>
  <sheetFormatPr defaultColWidth="12.59765625" defaultRowHeight="15" customHeight="1"/>
  <cols>
    <col min="1" max="1" width="8.59765625" customWidth="1"/>
    <col min="2" max="2" width="14.59765625" customWidth="1"/>
    <col min="3" max="3" width="27.3984375" customWidth="1"/>
    <col min="4" max="4" width="30" customWidth="1"/>
    <col min="5" max="5" width="7.59765625" customWidth="1"/>
    <col min="6" max="6" width="60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2084230205</v>
      </c>
      <c r="B2" s="2" t="s">
        <v>15129</v>
      </c>
      <c r="C2" s="2" t="s">
        <v>15131</v>
      </c>
      <c r="D2" s="2" t="s">
        <v>15132</v>
      </c>
      <c r="E2" s="4" t="str">
        <f ca="1">IFERROR(__xludf.DUMMYFUNCTION("GOOGLETRANSLATE(B2,""ja"",""vi"")"),"phối hợp")</f>
        <v>phối hợp</v>
      </c>
      <c r="F2" s="4" t="str">
        <f ca="1">IFERROR(__xludf.DUMMYFUNCTION("GOOGLETRANSLATE(C2,""ja"",""vi"")"),"Đấu giá&gt; hoa, làm vườn&gt; nông nghiệp&gt; máy móc nông nghiệp&gt; Kết hợp")</f>
        <v>Đấu giá&gt; hoa, làm vườn&gt; nông nghiệp&gt; máy móc nông nghiệp&gt; Kết hợp</v>
      </c>
      <c r="G2" t="str">
        <f ca="1">CONCATENATE(CHAR(34)&amp;"",A2,""&amp;CHAR(34)," : ", CHAR(34)&amp;"",E2,""&amp;CHAR(34),",")</f>
        <v>"2084230205" : "phối hợp",</v>
      </c>
    </row>
    <row r="3" spans="1:7" ht="14.25" customHeight="1">
      <c r="A3" s="2">
        <v>2084230204</v>
      </c>
      <c r="B3" s="2" t="s">
        <v>15135</v>
      </c>
      <c r="C3" s="2" t="s">
        <v>15136</v>
      </c>
      <c r="D3" s="2" t="s">
        <v>15138</v>
      </c>
      <c r="E3" s="4" t="str">
        <f ca="1">IFERROR(__xludf.DUMMYFUNCTION("GOOGLETRANSLATE(B3,""ja"",""vi"")"),"máy kéo")</f>
        <v>máy kéo</v>
      </c>
      <c r="F3" s="4" t="str">
        <f ca="1">IFERROR(__xludf.DUMMYFUNCTION("GOOGLETRANSLATE(C3,""ja"",""vi"")"),"Đấu giá&gt; hoa, làm vườn&gt; nông nghiệp&gt; máy móc nông nghiệp&gt; máy kéo")</f>
        <v>Đấu giá&gt; hoa, làm vườn&gt; nông nghiệp&gt; máy móc nông nghiệp&gt; máy kéo</v>
      </c>
      <c r="G3" t="str">
        <f t="shared" ref="G3:G66" ca="1" si="0">CONCATENATE(CHAR(34)&amp;"",A3,""&amp;CHAR(34)," : ", CHAR(34)&amp;"",E3,""&amp;CHAR(34),",")</f>
        <v>"2084230204" : "máy kéo",</v>
      </c>
    </row>
    <row r="4" spans="1:7" ht="14.25" customHeight="1">
      <c r="A4" s="2">
        <v>2084230207</v>
      </c>
      <c r="B4" s="2" t="s">
        <v>15142</v>
      </c>
      <c r="C4" s="2" t="s">
        <v>15143</v>
      </c>
      <c r="D4" s="2" t="s">
        <v>15144</v>
      </c>
      <c r="E4" s="4" t="str">
        <f ca="1">IFERROR(__xludf.DUMMYFUNCTION("GOOGLETRANSLATE(B4,""ja"",""vi"")"),"Máy xới, máy quản lý")</f>
        <v>Máy xới, máy quản lý</v>
      </c>
      <c r="F4" s="4" t="str">
        <f ca="1">IFERROR(__xludf.DUMMYFUNCTION("GOOGLETRANSLATE(C4,""ja"",""vi"")"),"Đấu giá&gt; hoa, làm vườn&gt; nông nghiệp&gt; máy móc nông nghiệp&gt; người tu luyện, cày")</f>
        <v>Đấu giá&gt; hoa, làm vườn&gt; nông nghiệp&gt; máy móc nông nghiệp&gt; người tu luyện, cày</v>
      </c>
      <c r="G4" t="str">
        <f t="shared" ca="1" si="0"/>
        <v>"2084230207" : "Máy xới, máy quản lý",</v>
      </c>
    </row>
    <row r="5" spans="1:7" ht="14.25" customHeight="1">
      <c r="A5" s="2">
        <v>2084244313</v>
      </c>
      <c r="B5" s="2" t="s">
        <v>15147</v>
      </c>
      <c r="C5" s="2" t="s">
        <v>15148</v>
      </c>
      <c r="D5" s="2" t="s">
        <v>15149</v>
      </c>
      <c r="E5" s="4" t="str">
        <f ca="1">IFERROR(__xludf.DUMMYFUNCTION("GOOGLETRANSLATE(B5,""ja"",""vi"")"),"Lawn Mower, máy cắt cỏ, máy cắt bàn chải")</f>
        <v>Lawn Mower, máy cắt cỏ, máy cắt bàn chải</v>
      </c>
      <c r="F5" s="4" t="str">
        <f ca="1">IFERROR(__xludf.DUMMYFUNCTION("GOOGLETRANSLATE(C5,""ja"",""vi"")"),"Đấu giá&gt; hoa, làm vườn&gt; nông nghiệp&gt; máy móc nông nghiệp&gt; máy cắt, máy cắt cỏ, máy cắt bàn chải")</f>
        <v>Đấu giá&gt; hoa, làm vườn&gt; nông nghiệp&gt; máy móc nông nghiệp&gt; máy cắt, máy cắt cỏ, máy cắt bàn chải</v>
      </c>
      <c r="G5" t="str">
        <f t="shared" ca="1" si="0"/>
        <v>"2084244313" : "Lawn Mower, máy cắt cỏ, máy cắt bàn chải",</v>
      </c>
    </row>
    <row r="6" spans="1:7" ht="14.25" customHeight="1">
      <c r="A6" s="2">
        <v>2084230206</v>
      </c>
      <c r="B6" s="2" t="s">
        <v>15151</v>
      </c>
      <c r="C6" s="2" t="s">
        <v>15152</v>
      </c>
      <c r="D6" s="2" t="s">
        <v>15153</v>
      </c>
      <c r="E6" s="4" t="str">
        <f ca="1">IFERROR(__xludf.DUMMYFUNCTION("GOOGLETRANSLATE(B6,""ja"",""vi"")"),"cấy lúa")</f>
        <v>cấy lúa</v>
      </c>
      <c r="F6" s="4" t="str">
        <f ca="1">IFERROR(__xludf.DUMMYFUNCTION("GOOGLETRANSLATE(C6,""ja"",""vi"")"),"Đấu giá&gt; hoa, làm vườn&gt; nông nghiệp&gt; máy móc nông nghiệp&gt; Máy trồng lúa")</f>
        <v>Đấu giá&gt; hoa, làm vườn&gt; nông nghiệp&gt; máy móc nông nghiệp&gt; Máy trồng lúa</v>
      </c>
      <c r="G6" t="str">
        <f t="shared" ca="1" si="0"/>
        <v>"2084230206" : "cấy lúa",</v>
      </c>
    </row>
    <row r="7" spans="1:7" ht="14.25" customHeight="1">
      <c r="A7" s="2">
        <v>2084252940</v>
      </c>
      <c r="B7" s="2" t="s">
        <v>15157</v>
      </c>
      <c r="C7" s="2" t="s">
        <v>15159</v>
      </c>
      <c r="D7" s="2" t="s">
        <v>15160</v>
      </c>
      <c r="E7" s="4" t="str">
        <f ca="1">IFERROR(__xludf.DUMMYFUNCTION("GOOGLETRANSLATE(B7,""ja"",""vi"")"),"Movers")</f>
        <v>Movers</v>
      </c>
      <c r="F7" s="4" t="str">
        <f ca="1">IFERROR(__xludf.DUMMYFUNCTION("GOOGLETRANSLATE(C7,""ja"",""vi"")"),"Đấu giá&gt; hoa, làm vườn&gt; nông nghiệp&gt; máy móc nông nghiệp&gt; Movers")</f>
        <v>Đấu giá&gt; hoa, làm vườn&gt; nông nghiệp&gt; máy móc nông nghiệp&gt; Movers</v>
      </c>
      <c r="G7" t="str">
        <f t="shared" ca="1" si="0"/>
        <v>"2084252940" : "Movers",</v>
      </c>
    </row>
    <row r="8" spans="1:7" ht="14.25" customHeight="1">
      <c r="A8" s="2">
        <v>2084263011</v>
      </c>
      <c r="B8" s="2" t="s">
        <v>15164</v>
      </c>
      <c r="C8" s="2" t="s">
        <v>15166</v>
      </c>
      <c r="D8" s="2" t="s">
        <v>15168</v>
      </c>
      <c r="E8" s="4" t="str">
        <f ca="1">IFERROR(__xludf.DUMMYFUNCTION("GOOGLETRANSLATE(B8,""ja"",""vi"")"),"cầu nhôm")</f>
        <v>cầu nhôm</v>
      </c>
      <c r="F8" s="4" t="str">
        <f ca="1">IFERROR(__xludf.DUMMYFUNCTION("GOOGLETRANSLATE(C8,""ja"",""vi"")"),"Đấu giá&gt; hoa, làm vườn&gt; nông nghiệp&gt; máy móc nông nghiệp&gt; cầu nhôm")</f>
        <v>Đấu giá&gt; hoa, làm vườn&gt; nông nghiệp&gt; máy móc nông nghiệp&gt; cầu nhôm</v>
      </c>
      <c r="G8" t="str">
        <f t="shared" ca="1" si="0"/>
        <v>"2084263011" : "cầu nhôm",</v>
      </c>
    </row>
    <row r="9" spans="1:7" ht="14.25" customHeight="1">
      <c r="A9" s="2">
        <v>2084244321</v>
      </c>
      <c r="B9" s="2" t="s">
        <v>15173</v>
      </c>
      <c r="C9" s="2" t="s">
        <v>15174</v>
      </c>
      <c r="D9" s="2" t="s">
        <v>15176</v>
      </c>
      <c r="E9" s="4" t="str">
        <f ca="1">IFERROR(__xludf.DUMMYFUNCTION("GOOGLETRANSLATE(B9,""ja"",""vi"")"),"Xe tải, trailer")</f>
        <v>Xe tải, trailer</v>
      </c>
      <c r="F9" s="4" t="str">
        <f ca="1">IFERROR(__xludf.DUMMYFUNCTION("GOOGLETRANSLATE(C9,""ja"",""vi"")"),"Đấu giá&gt; hoa, làm vườn&gt; nông nghiệp&gt; máy móc nông nghiệp&gt; xe tải, trailer")</f>
        <v>Đấu giá&gt; hoa, làm vườn&gt; nông nghiệp&gt; máy móc nông nghiệp&gt; xe tải, trailer</v>
      </c>
      <c r="G9" t="str">
        <f t="shared" ca="1" si="0"/>
        <v>"2084244321" : "Xe tải, trailer",</v>
      </c>
    </row>
    <row r="10" spans="1:7" ht="14.25" customHeight="1">
      <c r="A10" s="2">
        <v>2084244715</v>
      </c>
      <c r="B10" s="2" t="s">
        <v>15180</v>
      </c>
      <c r="C10" s="2" t="s">
        <v>15182</v>
      </c>
      <c r="D10" s="2" t="s">
        <v>15183</v>
      </c>
      <c r="E10" s="4" t="str">
        <f ca="1">IFERROR(__xludf.DUMMYFUNCTION("GOOGLETRANSLATE(B10,""ja"",""vi"")"),"nhà máy gạo thương mại")</f>
        <v>nhà máy gạo thương mại</v>
      </c>
      <c r="F10" s="4" t="str">
        <f ca="1">IFERROR(__xludf.DUMMYFUNCTION("GOOGLETRANSLATE(C10,""ja"",""vi"")"),"Đấu giá&gt; hoa, làm vườn&gt; nông nghiệp&gt; máy móc nông nghiệp&gt; máy gạo thương mại")</f>
        <v>Đấu giá&gt; hoa, làm vườn&gt; nông nghiệp&gt; máy móc nông nghiệp&gt; máy gạo thương mại</v>
      </c>
      <c r="G10" t="str">
        <f t="shared" ca="1" si="0"/>
        <v>"2084244715" : "nhà máy gạo thương mại",</v>
      </c>
    </row>
    <row r="11" spans="1:7" ht="14.25" customHeight="1">
      <c r="A11" s="2">
        <v>2084204606</v>
      </c>
      <c r="B11" s="2" t="s">
        <v>15188</v>
      </c>
      <c r="C11" s="2" t="s">
        <v>15189</v>
      </c>
      <c r="D11" s="2" t="s">
        <v>15190</v>
      </c>
      <c r="E11" s="4" t="str">
        <f ca="1">IFERROR(__xludf.DUMMYFUNCTION("GOOGLETRANSLATE(B11,""ja"",""vi"")"),"Cưa")</f>
        <v>Cưa</v>
      </c>
      <c r="F11" s="4" t="str">
        <f ca="1">IFERROR(__xludf.DUMMYFUNCTION("GOOGLETRANSLATE(C11,""ja"",""vi"")"),"Đấu giá&gt; hoa, làm vườn&gt; nông nghiệp&gt; máy móc nông nghiệp&gt; Cưa")</f>
        <v>Đấu giá&gt; hoa, làm vườn&gt; nông nghiệp&gt; máy móc nông nghiệp&gt; Cưa</v>
      </c>
      <c r="G11" t="str">
        <f t="shared" ca="1" si="0"/>
        <v>"2084204606" : "Cưa",</v>
      </c>
    </row>
    <row r="12" spans="1:7" ht="14.25" customHeight="1">
      <c r="A12" s="2">
        <v>2084215587</v>
      </c>
      <c r="B12" s="2" t="s">
        <v>15194</v>
      </c>
      <c r="C12" s="2" t="s">
        <v>15196</v>
      </c>
      <c r="D12" s="2" t="s">
        <v>15198</v>
      </c>
      <c r="E12" s="4" t="str">
        <f ca="1">IFERROR(__xludf.DUMMYFUNCTION("GOOGLETRANSLATE(B12,""ja"",""vi"")"),"snowplow")</f>
        <v>snowplow</v>
      </c>
      <c r="F12" s="4" t="str">
        <f ca="1">IFERROR(__xludf.DUMMYFUNCTION("GOOGLETRANSLATE(C12,""ja"",""vi"")"),"Đấu giá&gt; hoa, làm vườn&gt; nông nghiệp&gt; máy móc nông nghiệp&gt; snowplow")</f>
        <v>Đấu giá&gt; hoa, làm vườn&gt; nông nghiệp&gt; máy móc nông nghiệp&gt; snowplow</v>
      </c>
      <c r="G12" t="str">
        <f t="shared" ca="1" si="0"/>
        <v>"2084215587" : "snowplow",</v>
      </c>
    </row>
    <row r="13" spans="1:7" ht="14.25" customHeight="1">
      <c r="A13" s="2">
        <v>2084230208</v>
      </c>
      <c r="B13" s="2" t="s">
        <v>46</v>
      </c>
      <c r="C13" s="2" t="s">
        <v>15202</v>
      </c>
      <c r="D13" s="2" t="s">
        <v>15203</v>
      </c>
      <c r="E13" s="4" t="str">
        <f ca="1">IFERROR(__xludf.DUMMYFUNCTION("GOOGLETRANSLATE(B13,""ja"",""vi"")"),"nếu không thì")</f>
        <v>nếu không thì</v>
      </c>
      <c r="F13" s="4" t="str">
        <f ca="1">IFERROR(__xludf.DUMMYFUNCTION("GOOGLETRANSLATE(C13,""ja"",""vi"")"),"Đấu giá&gt; hoa, làm vườn&gt; nông nghiệp&gt; máy móc nông nghiệp&gt; Khác")</f>
        <v>Đấu giá&gt; hoa, làm vườn&gt; nông nghiệp&gt; máy móc nông nghiệp&gt; Khác</v>
      </c>
      <c r="G13" t="str">
        <f t="shared" ca="1" si="0"/>
        <v>"2084230208" : "nếu không thì",</v>
      </c>
    </row>
    <row r="14" spans="1:7" ht="14.25" customHeight="1">
      <c r="A14" s="2">
        <v>2084252943</v>
      </c>
      <c r="B14" s="2" t="s">
        <v>15208</v>
      </c>
      <c r="C14" s="2" t="s">
        <v>15209</v>
      </c>
      <c r="D14" s="2" t="s">
        <v>15211</v>
      </c>
      <c r="E14" s="4" t="str">
        <f ca="1">IFERROR(__xludf.DUMMYFUNCTION("GOOGLETRANSLATE(B14,""ja"",""vi"")"),"ghế nông nghiệp")</f>
        <v>ghế nông nghiệp</v>
      </c>
      <c r="F14" s="4" t="str">
        <f ca="1">IFERROR(__xludf.DUMMYFUNCTION("GOOGLETRANSLATE(C14,""ja"",""vi"")"),"Đấu giá&gt; hoa, làm vườn&gt; nông nghiệp&gt; vật tư nông nghiệp&gt; ghế nông nghiệp")</f>
        <v>Đấu giá&gt; hoa, làm vườn&gt; nông nghiệp&gt; vật tư nông nghiệp&gt; ghế nông nghiệp</v>
      </c>
      <c r="G14" t="str">
        <f t="shared" ca="1" si="0"/>
        <v>"2084252943" : "ghế nông nghiệp",</v>
      </c>
    </row>
    <row r="15" spans="1:7" ht="14.25" customHeight="1">
      <c r="A15" s="2">
        <v>2084252944</v>
      </c>
      <c r="B15" s="2" t="s">
        <v>15213</v>
      </c>
      <c r="C15" s="2" t="s">
        <v>15215</v>
      </c>
      <c r="D15" s="2" t="s">
        <v>15217</v>
      </c>
      <c r="E15" s="4" t="str">
        <f ca="1">IFERROR(__xludf.DUMMYFUNCTION("GOOGLETRANSLATE(B15,""ja"",""vi"")"),"net kiểm soát")</f>
        <v>net kiểm soát</v>
      </c>
      <c r="F15" s="4" t="str">
        <f ca="1">IFERROR(__xludf.DUMMYFUNCTION("GOOGLETRANSLATE(C15,""ja"",""vi"")"),"Đấu giá&gt; hoa, làm vườn&gt; nông nghiệp&gt; vật tư nông nghiệp&gt; net kiểm soát")</f>
        <v>Đấu giá&gt; hoa, làm vườn&gt; nông nghiệp&gt; vật tư nông nghiệp&gt; net kiểm soát</v>
      </c>
      <c r="G15" t="str">
        <f t="shared" ca="1" si="0"/>
        <v>"2084252944" : "net kiểm soát",</v>
      </c>
    </row>
    <row r="16" spans="1:7" ht="14.25" customHeight="1">
      <c r="A16" s="2">
        <v>2084252947</v>
      </c>
      <c r="B16" s="2" t="s">
        <v>46</v>
      </c>
      <c r="C16" s="2" t="s">
        <v>15221</v>
      </c>
      <c r="D16" s="2" t="s">
        <v>15222</v>
      </c>
      <c r="E16" s="4" t="str">
        <f ca="1">IFERROR(__xludf.DUMMYFUNCTION("GOOGLETRANSLATE(B16,""ja"",""vi"")"),"nếu không thì")</f>
        <v>nếu không thì</v>
      </c>
      <c r="F16" s="4" t="str">
        <f ca="1">IFERROR(__xludf.DUMMYFUNCTION("GOOGLETRANSLATE(C16,""ja"",""vi"")"),"Đấu giá&gt; hoa, làm vườn&gt; nông nghiệp&gt; vật tư nông nghiệp&gt; Khác")</f>
        <v>Đấu giá&gt; hoa, làm vườn&gt; nông nghiệp&gt; vật tư nông nghiệp&gt; Khác</v>
      </c>
      <c r="G16" t="str">
        <f t="shared" ca="1" si="0"/>
        <v>"2084252947" : "nếu không thì",</v>
      </c>
    </row>
    <row r="17" spans="1:7" ht="14.25" customHeight="1">
      <c r="A17" s="2">
        <v>2084206893</v>
      </c>
      <c r="B17" s="2" t="s">
        <v>15226</v>
      </c>
      <c r="C17" s="2" t="s">
        <v>15227</v>
      </c>
      <c r="D17" s="2" t="s">
        <v>15228</v>
      </c>
      <c r="E17" s="4" t="str">
        <f ca="1">IFERROR(__xludf.DUMMYFUNCTION("GOOGLETRANSLATE(B17,""ja"",""vi"")"),"hoa hướng dương")</f>
        <v>hoa hướng dương</v>
      </c>
      <c r="F17" s="4" t="str">
        <f ca="1">IFERROR(__xludf.DUMMYFUNCTION("GOOGLETRANSLATE(C17,""ja"",""vi"")"),"Đấu giá&gt; hoa, làm vườn&gt; làm vườn&gt; loại&gt; Hoa hướng dương")</f>
        <v>Đấu giá&gt; hoa, làm vườn&gt; làm vườn&gt; loại&gt; Hoa hướng dương</v>
      </c>
      <c r="G17" t="str">
        <f t="shared" ca="1" si="0"/>
        <v>"2084206893" : "hoa hướng dương",</v>
      </c>
    </row>
    <row r="18" spans="1:7" ht="14.25" customHeight="1">
      <c r="A18" s="2">
        <v>2084216962</v>
      </c>
      <c r="B18" s="2" t="s">
        <v>15232</v>
      </c>
      <c r="C18" s="2" t="s">
        <v>15233</v>
      </c>
      <c r="D18" s="2" t="s">
        <v>15235</v>
      </c>
      <c r="E18" s="4" t="str">
        <f ca="1">IFERROR(__xludf.DUMMYFUNCTION("GOOGLETRANSLATE(B18,""ja"",""vi"")"),"rau muống")</f>
        <v>rau muống</v>
      </c>
      <c r="F18" s="4" t="str">
        <f ca="1">IFERROR(__xludf.DUMMYFUNCTION("GOOGLETRANSLATE(C18,""ja"",""vi"")"),"Đấu giá&gt; hoa, làm vườn&gt; làm vườn&gt; loại&gt; rau muống")</f>
        <v>Đấu giá&gt; hoa, làm vườn&gt; làm vườn&gt; loại&gt; rau muống</v>
      </c>
      <c r="G18" t="str">
        <f t="shared" ca="1" si="0"/>
        <v>"2084216962" : "rau muống",</v>
      </c>
    </row>
    <row r="19" spans="1:7" ht="14.25" customHeight="1">
      <c r="A19" s="2">
        <v>2084216963</v>
      </c>
      <c r="B19" s="2" t="s">
        <v>15240</v>
      </c>
      <c r="C19" s="2" t="s">
        <v>15242</v>
      </c>
      <c r="D19" s="2" t="s">
        <v>15243</v>
      </c>
      <c r="E19" s="4" t="str">
        <f ca="1">IFERROR(__xludf.DUMMYFUNCTION("GOOGLETRANSLATE(B19,""ja"",""vi"")"),"Bellflower")</f>
        <v>Bellflower</v>
      </c>
      <c r="F19" s="4" t="str">
        <f ca="1">IFERROR(__xludf.DUMMYFUNCTION("GOOGLETRANSLATE(C19,""ja"",""vi"")"),"Đấu giá&gt; hoa, làm vườn&gt; làm vườn&gt; loại&gt; Bellflower")</f>
        <v>Đấu giá&gt; hoa, làm vườn&gt; làm vườn&gt; loại&gt; Bellflower</v>
      </c>
      <c r="G19" t="str">
        <f t="shared" ca="1" si="0"/>
        <v>"2084216963" : "Bellflower",</v>
      </c>
    </row>
    <row r="20" spans="1:7" ht="14.25" customHeight="1">
      <c r="A20" s="2">
        <v>2084206890</v>
      </c>
      <c r="B20" s="2" t="s">
        <v>15246</v>
      </c>
      <c r="C20" s="2" t="s">
        <v>15247</v>
      </c>
      <c r="D20" s="2" t="s">
        <v>15249</v>
      </c>
      <c r="E20" s="4" t="str">
        <f ca="1">IFERROR(__xludf.DUMMYFUNCTION("GOOGLETRANSLATE(B20,""ja"",""vi"")"),"vũ trụ")</f>
        <v>vũ trụ</v>
      </c>
      <c r="F20" s="4" t="str">
        <f ca="1">IFERROR(__xludf.DUMMYFUNCTION("GOOGLETRANSLATE(C20,""ja"",""vi"")"),"Đấu giá&gt; hoa, làm vườn&gt; làm vườn&gt; loại&gt; Cosmos")</f>
        <v>Đấu giá&gt; hoa, làm vườn&gt; làm vườn&gt; loại&gt; Cosmos</v>
      </c>
      <c r="G20" t="str">
        <f t="shared" ca="1" si="0"/>
        <v>"2084206890" : "vũ trụ",</v>
      </c>
    </row>
    <row r="21" spans="1:7" ht="14.25" customHeight="1">
      <c r="A21" s="2">
        <v>2084216964</v>
      </c>
      <c r="B21" s="2" t="s">
        <v>15252</v>
      </c>
      <c r="C21" s="2" t="s">
        <v>15254</v>
      </c>
      <c r="D21" s="2" t="s">
        <v>15256</v>
      </c>
      <c r="E21" s="4" t="str">
        <f ca="1">IFERROR(__xludf.DUMMYFUNCTION("GOOGLETRANSLATE(B21,""ja"",""vi"")"),"sweet pea")</f>
        <v>sweet pea</v>
      </c>
      <c r="F21" s="4" t="str">
        <f ca="1">IFERROR(__xludf.DUMMYFUNCTION("GOOGLETRANSLATE(C21,""ja"",""vi"")"),"Đấu giá&gt; hoa, làm vườn&gt; làm vườn&gt; loại&gt; hạt đậu ngọt")</f>
        <v>Đấu giá&gt; hoa, làm vườn&gt; làm vườn&gt; loại&gt; hạt đậu ngọt</v>
      </c>
      <c r="G21" t="str">
        <f t="shared" ca="1" si="0"/>
        <v>"2084216964" : "sweet pea",</v>
      </c>
    </row>
    <row r="22" spans="1:7" ht="14.25" customHeight="1">
      <c r="A22" s="2">
        <v>2084216965</v>
      </c>
      <c r="B22" s="2" t="s">
        <v>15260</v>
      </c>
      <c r="C22" s="2" t="s">
        <v>15262</v>
      </c>
      <c r="D22" s="2" t="s">
        <v>15263</v>
      </c>
      <c r="E22" s="4" t="str">
        <f ca="1">IFERROR(__xludf.DUMMYFUNCTION("GOOGLETRANSLATE(B22,""ja"",""vi"")"),"thạch trúc mọc trong lúa mì")</f>
        <v>thạch trúc mọc trong lúa mì</v>
      </c>
      <c r="F22" s="4" t="str">
        <f ca="1">IFERROR(__xludf.DUMMYFUNCTION("GOOGLETRANSLATE(C22,""ja"",""vi"")"),"Đấu giá&gt; hoa, làm vườn&gt; làm vườn&gt; loại&gt; Nadeshiko")</f>
        <v>Đấu giá&gt; hoa, làm vườn&gt; làm vườn&gt; loại&gt; Nadeshiko</v>
      </c>
      <c r="G22" t="str">
        <f t="shared" ca="1" si="0"/>
        <v>"2084216965" : "thạch trúc mọc trong lúa mì",</v>
      </c>
    </row>
    <row r="23" spans="1:7" ht="14.25" customHeight="1">
      <c r="A23" s="2">
        <v>2084206894</v>
      </c>
      <c r="B23" s="2" t="s">
        <v>13197</v>
      </c>
      <c r="C23" s="2" t="s">
        <v>15266</v>
      </c>
      <c r="D23" s="2" t="s">
        <v>15267</v>
      </c>
      <c r="E23" s="4" t="str">
        <f ca="1">IFERROR(__xludf.DUMMYFUNCTION("GOOGLETRANSLATE(B23,""ja"",""vi"")"),"Herbs")</f>
        <v>Herbs</v>
      </c>
      <c r="F23" s="4" t="str">
        <f ca="1">IFERROR(__xludf.DUMMYFUNCTION("GOOGLETRANSLATE(C23,""ja"",""vi"")"),"Đấu giá&gt; hoa, làm vườn&gt; làm vườn&gt; loại&gt; thảo mộc")</f>
        <v>Đấu giá&gt; hoa, làm vườn&gt; làm vườn&gt; loại&gt; thảo mộc</v>
      </c>
      <c r="G23" t="str">
        <f t="shared" ca="1" si="0"/>
        <v>"2084206894" : "Herbs",</v>
      </c>
    </row>
    <row r="24" spans="1:7" ht="14.25" customHeight="1">
      <c r="A24" s="2">
        <v>2084206891</v>
      </c>
      <c r="B24" s="2" t="s">
        <v>15270</v>
      </c>
      <c r="C24" s="2" t="s">
        <v>15271</v>
      </c>
      <c r="D24" s="2" t="s">
        <v>15273</v>
      </c>
      <c r="E24" s="4" t="str">
        <f ca="1">IFERROR(__xludf.DUMMYFUNCTION("GOOGLETRANSLATE(B24,""ja"",""vi"")"),"cây dâm bụt")</f>
        <v>cây dâm bụt</v>
      </c>
      <c r="F24" s="4" t="str">
        <f ca="1">IFERROR(__xludf.DUMMYFUNCTION("GOOGLETRANSLATE(C24,""ja"",""vi"")"),"Đấu giá&gt; hoa, làm vườn&gt; làm vườn&gt; loại&gt; dâm bụt")</f>
        <v>Đấu giá&gt; hoa, làm vườn&gt; làm vườn&gt; loại&gt; dâm bụt</v>
      </c>
      <c r="G24" t="str">
        <f t="shared" ca="1" si="0"/>
        <v>"2084206891" : "cây dâm bụt",</v>
      </c>
    </row>
    <row r="25" spans="1:7" ht="14.25" customHeight="1">
      <c r="A25" s="2">
        <v>2084206889</v>
      </c>
      <c r="B25" s="2" t="s">
        <v>15275</v>
      </c>
      <c r="C25" s="2" t="s">
        <v>15277</v>
      </c>
      <c r="D25" s="2" t="s">
        <v>15279</v>
      </c>
      <c r="E25" s="4" t="str">
        <f ca="1">IFERROR(__xludf.DUMMYFUNCTION("GOOGLETRANSLATE(B25,""ja"",""vi"")"),"cây có bông nhiều màu")</f>
        <v>cây có bông nhiều màu</v>
      </c>
      <c r="F25" s="4" t="str">
        <f ca="1">IFERROR(__xludf.DUMMYFUNCTION("GOOGLETRANSLATE(C25,""ja"",""vi"")"),"Đấu giá&gt; hoa, làm vườn&gt; làm vườn&gt; loại&gt; pansy")</f>
        <v>Đấu giá&gt; hoa, làm vườn&gt; làm vườn&gt; loại&gt; pansy</v>
      </c>
      <c r="G25" t="str">
        <f t="shared" ca="1" si="0"/>
        <v>"2084206889" : "cây có bông nhiều màu",</v>
      </c>
    </row>
    <row r="26" spans="1:7" ht="14.25" customHeight="1">
      <c r="A26" s="2">
        <v>2084206888</v>
      </c>
      <c r="B26" s="2" t="s">
        <v>4665</v>
      </c>
      <c r="C26" s="2" t="s">
        <v>15282</v>
      </c>
      <c r="D26" s="2" t="s">
        <v>15284</v>
      </c>
      <c r="E26" s="4" t="str">
        <f ca="1">IFERROR(__xludf.DUMMYFUNCTION("GOOGLETRANSLATE(B26,""ja"",""vi"")"),"cây tử la lan")</f>
        <v>cây tử la lan</v>
      </c>
      <c r="F26" s="4" t="str">
        <f ca="1">IFERROR(__xludf.DUMMYFUNCTION("GOOGLETRANSLATE(C26,""ja"",""vi"")"),"Đấu giá&gt; hoa, làm vườn&gt; làm vườn&gt; loại&gt; Viola")</f>
        <v>Đấu giá&gt; hoa, làm vườn&gt; làm vườn&gt; loại&gt; Viola</v>
      </c>
      <c r="G26" t="str">
        <f t="shared" ca="1" si="0"/>
        <v>"2084206888" : "cây tử la lan",</v>
      </c>
    </row>
    <row r="27" spans="1:7" ht="14.25" customHeight="1">
      <c r="A27" s="2">
        <v>2084206892</v>
      </c>
      <c r="B27" s="2" t="s">
        <v>15286</v>
      </c>
      <c r="C27" s="2" t="s">
        <v>15288</v>
      </c>
      <c r="D27" s="2" t="s">
        <v>15290</v>
      </c>
      <c r="E27" s="4" t="str">
        <f ca="1">IFERROR(__xludf.DUMMYFUNCTION("GOOGLETRANSLATE(B27,""ja"",""vi"")"),"Plumeria")</f>
        <v>Plumeria</v>
      </c>
      <c r="F27" s="4" t="str">
        <f ca="1">IFERROR(__xludf.DUMMYFUNCTION("GOOGLETRANSLATE(C27,""ja"",""vi"")"),"Đấu giá&gt; hoa, làm vườn&gt; làm vườn&gt; loại&gt; Plumeria")</f>
        <v>Đấu giá&gt; hoa, làm vườn&gt; làm vườn&gt; loại&gt; Plumeria</v>
      </c>
      <c r="G27" t="str">
        <f t="shared" ca="1" si="0"/>
        <v>"2084206892" : "Plumeria",</v>
      </c>
    </row>
    <row r="28" spans="1:7" ht="14.25" customHeight="1">
      <c r="A28" s="2">
        <v>2084216966</v>
      </c>
      <c r="B28" s="2" t="s">
        <v>15294</v>
      </c>
      <c r="C28" s="2" t="s">
        <v>15295</v>
      </c>
      <c r="D28" s="2" t="s">
        <v>15296</v>
      </c>
      <c r="E28" s="4" t="str">
        <f ca="1">IFERROR(__xludf.DUMMYFUNCTION("GOOGLETRANSLATE(B28,""ja"",""vi"")"),"cây anh túc")</f>
        <v>cây anh túc</v>
      </c>
      <c r="F28" s="4" t="str">
        <f ca="1">IFERROR(__xludf.DUMMYFUNCTION("GOOGLETRANSLATE(C28,""ja"",""vi"")"),"Đấu giá&gt; hoa, làm vườn&gt; làm vườn&gt; loại&gt; thuốc phiện")</f>
        <v>Đấu giá&gt; hoa, làm vườn&gt; làm vườn&gt; loại&gt; thuốc phiện</v>
      </c>
      <c r="G28" t="str">
        <f t="shared" ca="1" si="0"/>
        <v>"2084216966" : "cây anh túc",</v>
      </c>
    </row>
    <row r="29" spans="1:7" ht="14.25" customHeight="1">
      <c r="A29" s="2">
        <v>2084206895</v>
      </c>
      <c r="B29" s="2" t="s">
        <v>15300</v>
      </c>
      <c r="C29" s="2" t="s">
        <v>15302</v>
      </c>
      <c r="D29" s="2" t="s">
        <v>15305</v>
      </c>
      <c r="E29" s="4" t="str">
        <f ca="1">IFERROR(__xludf.DUMMYFUNCTION("GOOGLETRANSLATE(B29,""ja"",""vi"")"),"rau")</f>
        <v>rau</v>
      </c>
      <c r="F29" s="4" t="str">
        <f ca="1">IFERROR(__xludf.DUMMYFUNCTION("GOOGLETRANSLATE(C29,""ja"",""vi"")"),"Đấu giá&gt; hoa, làm vườn&gt; làm vườn&gt; loại&gt; rau")</f>
        <v>Đấu giá&gt; hoa, làm vườn&gt; làm vườn&gt; loại&gt; rau</v>
      </c>
      <c r="G29" t="str">
        <f t="shared" ca="1" si="0"/>
        <v>"2084206895" : "rau",</v>
      </c>
    </row>
    <row r="30" spans="1:7" ht="14.25" customHeight="1">
      <c r="A30" s="2">
        <v>2084206896</v>
      </c>
      <c r="B30" s="2" t="s">
        <v>46</v>
      </c>
      <c r="C30" s="2" t="s">
        <v>15309</v>
      </c>
      <c r="D30" s="2" t="s">
        <v>15310</v>
      </c>
      <c r="E30" s="4" t="str">
        <f ca="1">IFERROR(__xludf.DUMMYFUNCTION("GOOGLETRANSLATE(B30,""ja"",""vi"")"),"nếu không thì")</f>
        <v>nếu không thì</v>
      </c>
      <c r="F30" s="4" t="str">
        <f ca="1">IFERROR(__xludf.DUMMYFUNCTION("GOOGLETRANSLATE(C30,""ja"",""vi"")"),"Đấu giá&gt; hoa, làm vườn&gt; làm vườn&gt; loại&gt; Khác")</f>
        <v>Đấu giá&gt; hoa, làm vườn&gt; làm vườn&gt; loại&gt; Khác</v>
      </c>
      <c r="G30" t="str">
        <f t="shared" ca="1" si="0"/>
        <v>"2084206896" : "nếu không thì",</v>
      </c>
    </row>
    <row r="31" spans="1:7" ht="14.25" customHeight="1">
      <c r="A31" s="2">
        <v>2084216967</v>
      </c>
      <c r="B31" s="2" t="s">
        <v>15313</v>
      </c>
      <c r="C31" s="2" t="s">
        <v>15314</v>
      </c>
      <c r="D31" s="2" t="s">
        <v>15315</v>
      </c>
      <c r="E31" s="4" t="str">
        <f ca="1">IFERROR(__xludf.DUMMYFUNCTION("GOOGLETRANSLATE(B31,""ja"",""vi"")"),"cây dương tử hoa")</f>
        <v>cây dương tử hoa</v>
      </c>
      <c r="F31" s="4" t="str">
        <f ca="1">IFERROR(__xludf.DUMMYFUNCTION("GOOGLETRANSLATE(C31,""ja"",""vi"")"),"Đấu giá&gt; hoa, làm vườn&gt; làm vườn&gt; cây giống&gt; tú cầu")</f>
        <v>Đấu giá&gt; hoa, làm vườn&gt; làm vườn&gt; cây giống&gt; tú cầu</v>
      </c>
      <c r="G31" t="str">
        <f t="shared" ca="1" si="0"/>
        <v>"2084216967" : "cây dương tử hoa",</v>
      </c>
    </row>
    <row r="32" spans="1:7" ht="14.25" customHeight="1">
      <c r="A32" s="2">
        <v>2084206898</v>
      </c>
      <c r="B32" s="2" t="s">
        <v>15318</v>
      </c>
      <c r="C32" s="2" t="s">
        <v>15320</v>
      </c>
      <c r="D32" s="2" t="s">
        <v>15322</v>
      </c>
      <c r="E32" s="4" t="str">
        <f ca="1">IFERROR(__xludf.DUMMYFUNCTION("GOOGLETRANSLATE(B32,""ja"",""vi"")"),"hoa hồng")</f>
        <v>hoa hồng</v>
      </c>
      <c r="F32" s="4" t="str">
        <f ca="1">IFERROR(__xludf.DUMMYFUNCTION("GOOGLETRANSLATE(C32,""ja"",""vi"")"),"Đấu giá&gt; hoa, làm vườn&gt; làm vườn&gt; cây giống&gt; Roses")</f>
        <v>Đấu giá&gt; hoa, làm vườn&gt; làm vườn&gt; cây giống&gt; Roses</v>
      </c>
      <c r="G32" t="str">
        <f t="shared" ca="1" si="0"/>
        <v>"2084206898" : "hoa hồng",</v>
      </c>
    </row>
    <row r="33" spans="1:7" ht="14.25" customHeight="1">
      <c r="A33" s="2">
        <v>2084216968</v>
      </c>
      <c r="B33" s="2" t="s">
        <v>15275</v>
      </c>
      <c r="C33" s="2" t="s">
        <v>15325</v>
      </c>
      <c r="D33" s="2" t="s">
        <v>15326</v>
      </c>
      <c r="E33" s="4" t="str">
        <f ca="1">IFERROR(__xludf.DUMMYFUNCTION("GOOGLETRANSLATE(B33,""ja"",""vi"")"),"cây có bông nhiều màu")</f>
        <v>cây có bông nhiều màu</v>
      </c>
      <c r="F33" s="4" t="str">
        <f ca="1">IFERROR(__xludf.DUMMYFUNCTION("GOOGLETRANSLATE(C33,""ja"",""vi"")"),"Đấu giá&gt; hoa, làm vườn&gt; làm vườn&gt; cây giống&gt; pansy")</f>
        <v>Đấu giá&gt; hoa, làm vườn&gt; làm vườn&gt; cây giống&gt; pansy</v>
      </c>
      <c r="G33" t="str">
        <f t="shared" ca="1" si="0"/>
        <v>"2084216968" : "cây có bông nhiều màu",</v>
      </c>
    </row>
    <row r="34" spans="1:7" ht="14.25" customHeight="1">
      <c r="A34" s="2">
        <v>2084216969</v>
      </c>
      <c r="B34" s="2" t="s">
        <v>15329</v>
      </c>
      <c r="C34" s="2" t="s">
        <v>15330</v>
      </c>
      <c r="D34" s="2" t="s">
        <v>15331</v>
      </c>
      <c r="E34" s="4" t="str">
        <f ca="1">IFERROR(__xludf.DUMMYFUNCTION("GOOGLETRANSLATE(B34,""ja"",""vi"")"),"cây oải hương")</f>
        <v>cây oải hương</v>
      </c>
      <c r="F34" s="4" t="str">
        <f ca="1">IFERROR(__xludf.DUMMYFUNCTION("GOOGLETRANSLATE(C34,""ja"",""vi"")"),"Đấu giá&gt; hoa, làm vườn&gt; làm vườn&gt; cây giống&gt; hoa oải hương")</f>
        <v>Đấu giá&gt; hoa, làm vườn&gt; làm vườn&gt; cây giống&gt; hoa oải hương</v>
      </c>
      <c r="G34" t="str">
        <f t="shared" ca="1" si="0"/>
        <v>"2084216969" : "cây oải hương",</v>
      </c>
    </row>
    <row r="35" spans="1:7" ht="14.25" customHeight="1">
      <c r="A35" s="2">
        <v>2084206900</v>
      </c>
      <c r="B35" s="2" t="s">
        <v>15334</v>
      </c>
      <c r="C35" s="2" t="s">
        <v>15335</v>
      </c>
      <c r="D35" s="2" t="s">
        <v>15337</v>
      </c>
      <c r="E35" s="4" t="str">
        <f ca="1">IFERROR(__xludf.DUMMYFUNCTION("GOOGLETRANSLATE(B35,""ja"",""vi"")"),"chạy")</f>
        <v>chạy</v>
      </c>
      <c r="F35" s="4" t="str">
        <f ca="1">IFERROR(__xludf.DUMMYFUNCTION("GOOGLETRANSLATE(C35,""ja"",""vi"")"),"Đấu giá&gt; hoa, làm vườn&gt; làm vườn&gt; cây giống&gt; chạy")</f>
        <v>Đấu giá&gt; hoa, làm vườn&gt; làm vườn&gt; cây giống&gt; chạy</v>
      </c>
      <c r="G35" t="str">
        <f t="shared" ca="1" si="0"/>
        <v>"2084206900" : "chạy",</v>
      </c>
    </row>
    <row r="36" spans="1:7" ht="14.25" customHeight="1">
      <c r="A36" s="2">
        <v>2084206899</v>
      </c>
      <c r="B36" s="2" t="s">
        <v>15339</v>
      </c>
      <c r="C36" s="2" t="s">
        <v>15341</v>
      </c>
      <c r="D36" s="2" t="s">
        <v>15342</v>
      </c>
      <c r="E36" s="4" t="str">
        <f ca="1">IFERROR(__xludf.DUMMYFUNCTION("GOOGLETRANSLATE(B36,""ja"",""vi"")"),"hoang dã Strawberry")</f>
        <v>hoang dã Strawberry</v>
      </c>
      <c r="F36" s="4" t="str">
        <f ca="1">IFERROR(__xludf.DUMMYFUNCTION("GOOGLETRANSLATE(C36,""ja"",""vi"")"),"Đấu giá&gt; hoa, làm vườn&gt; làm vườn&gt; cây giống&gt; dâu tây hoang dã")</f>
        <v>Đấu giá&gt; hoa, làm vườn&gt; làm vườn&gt; cây giống&gt; dâu tây hoang dã</v>
      </c>
      <c r="G36" t="str">
        <f t="shared" ca="1" si="0"/>
        <v>"2084206899" : "hoang dã Strawberry",</v>
      </c>
    </row>
    <row r="37" spans="1:7" ht="14.25" customHeight="1">
      <c r="A37" s="2">
        <v>2084216970</v>
      </c>
      <c r="B37" s="2" t="s">
        <v>15345</v>
      </c>
      <c r="C37" s="2" t="s">
        <v>15347</v>
      </c>
      <c r="D37" s="2" t="s">
        <v>15348</v>
      </c>
      <c r="E37" s="4" t="str">
        <f ca="1">IFERROR(__xludf.DUMMYFUNCTION("GOOGLETRANSLATE(B37,""ja"",""vi"")"),"quả")</f>
        <v>quả</v>
      </c>
      <c r="F37" s="4" t="str">
        <f ca="1">IFERROR(__xludf.DUMMYFUNCTION("GOOGLETRANSLATE(C37,""ja"",""vi"")"),"Đấu giá&gt; hoa, làm vườn&gt; làm vườn&gt; cây giống&gt; hoa quả")</f>
        <v>Đấu giá&gt; hoa, làm vườn&gt; làm vườn&gt; cây giống&gt; hoa quả</v>
      </c>
      <c r="G37" t="str">
        <f t="shared" ca="1" si="0"/>
        <v>"2084216970" : "quả",</v>
      </c>
    </row>
    <row r="38" spans="1:7" ht="14.25" customHeight="1">
      <c r="A38" s="2">
        <v>2084206901</v>
      </c>
      <c r="B38" s="2" t="s">
        <v>46</v>
      </c>
      <c r="C38" s="2" t="s">
        <v>15351</v>
      </c>
      <c r="D38" s="2" t="s">
        <v>15352</v>
      </c>
      <c r="E38" s="4" t="str">
        <f ca="1">IFERROR(__xludf.DUMMYFUNCTION("GOOGLETRANSLATE(B38,""ja"",""vi"")"),"nếu không thì")</f>
        <v>nếu không thì</v>
      </c>
      <c r="F38" s="4" t="str">
        <f ca="1">IFERROR(__xludf.DUMMYFUNCTION("GOOGLETRANSLATE(C38,""ja"",""vi"")"),"Đấu giá&gt; hoa, làm vườn&gt; làm vườn&gt; cây giống&gt; Khác")</f>
        <v>Đấu giá&gt; hoa, làm vườn&gt; làm vườn&gt; cây giống&gt; Khác</v>
      </c>
      <c r="G38" t="str">
        <f t="shared" ca="1" si="0"/>
        <v>"2084206901" : "nếu không thì",</v>
      </c>
    </row>
    <row r="39" spans="1:7" ht="14.25" customHeight="1">
      <c r="A39" s="2">
        <v>2084216958</v>
      </c>
      <c r="B39" s="2" t="s">
        <v>15356</v>
      </c>
      <c r="C39" s="2" t="s">
        <v>15357</v>
      </c>
      <c r="D39" s="2" t="s">
        <v>15358</v>
      </c>
      <c r="E39" s="4" t="str">
        <f ca="1">IFERROR(__xludf.DUMMYFUNCTION("GOOGLETRANSLATE(B39,""ja"",""vi"")"),"Allium")</f>
        <v>Allium</v>
      </c>
      <c r="F39" s="4" t="str">
        <f ca="1">IFERROR(__xludf.DUMMYFUNCTION("GOOGLETRANSLATE(C39,""ja"",""vi"")"),"Đấu giá&gt; hoa, làm vườn&gt; làm vườn&gt; bóng đèn&gt; Allium")</f>
        <v>Đấu giá&gt; hoa, làm vườn&gt; làm vườn&gt; bóng đèn&gt; Allium</v>
      </c>
      <c r="G39" t="str">
        <f t="shared" ca="1" si="0"/>
        <v>"2084216958" : "Allium",</v>
      </c>
    </row>
    <row r="40" spans="1:7" ht="14.25" customHeight="1">
      <c r="A40" s="2">
        <v>2084216955</v>
      </c>
      <c r="B40" s="2" t="s">
        <v>15361</v>
      </c>
      <c r="C40" s="2" t="s">
        <v>15362</v>
      </c>
      <c r="D40" s="2" t="s">
        <v>15363</v>
      </c>
      <c r="E40" s="4" t="str">
        <f ca="1">IFERROR(__xludf.DUMMYFUNCTION("GOOGLETRANSLATE(B40,""ja"",""vi"")"),"Oxalis")</f>
        <v>Oxalis</v>
      </c>
      <c r="F40" s="4" t="str">
        <f ca="1">IFERROR(__xludf.DUMMYFUNCTION("GOOGLETRANSLATE(C40,""ja"",""vi"")"),"Đấu giá&gt; hoa, làm vườn&gt; làm vườn&gt; bóng đèn&gt; Oxalis")</f>
        <v>Đấu giá&gt; hoa, làm vườn&gt; làm vườn&gt; bóng đèn&gt; Oxalis</v>
      </c>
      <c r="G40" t="str">
        <f t="shared" ca="1" si="0"/>
        <v>"2084216955" : "Oxalis",</v>
      </c>
    </row>
    <row r="41" spans="1:7" ht="14.25" customHeight="1">
      <c r="A41" s="2">
        <v>2084216959</v>
      </c>
      <c r="B41" s="2" t="s">
        <v>15366</v>
      </c>
      <c r="C41" s="2" t="s">
        <v>15367</v>
      </c>
      <c r="D41" s="2" t="s">
        <v>15368</v>
      </c>
      <c r="E41" s="4" t="str">
        <f ca="1">IFERROR(__xludf.DUMMYFUNCTION("GOOGLETRANSLATE(B41,""ja"",""vi"")"),"Casablanca")</f>
        <v>Casablanca</v>
      </c>
      <c r="F41" s="4" t="str">
        <f ca="1">IFERROR(__xludf.DUMMYFUNCTION("GOOGLETRANSLATE(C41,""ja"",""vi"")"),"Đấu giá&gt; hoa, làm vườn&gt; làm vườn&gt; bóng đèn&gt; Casablanca")</f>
        <v>Đấu giá&gt; hoa, làm vườn&gt; làm vườn&gt; bóng đèn&gt; Casablanca</v>
      </c>
      <c r="G41" t="str">
        <f t="shared" ca="1" si="0"/>
        <v>"2084216959" : "Casablanca",</v>
      </c>
    </row>
    <row r="42" spans="1:7" ht="14.25" customHeight="1">
      <c r="A42" s="2">
        <v>2084216960</v>
      </c>
      <c r="B42" s="2" t="s">
        <v>15369</v>
      </c>
      <c r="C42" s="2" t="s">
        <v>15371</v>
      </c>
      <c r="D42" s="2" t="s">
        <v>15372</v>
      </c>
      <c r="E42" s="4" t="str">
        <f ca="1">IFERROR(__xludf.DUMMYFUNCTION("GOOGLETRANSLATE(B42,""ja"",""vi"")"),"cây nghệ")</f>
        <v>cây nghệ</v>
      </c>
      <c r="F42" s="4" t="str">
        <f ca="1">IFERROR(__xludf.DUMMYFUNCTION("GOOGLETRANSLATE(C42,""ja"",""vi"")"),"Đấu giá&gt; hoa, làm vườn&gt; làm vườn&gt; bóng đèn&gt; crocus")</f>
        <v>Đấu giá&gt; hoa, làm vườn&gt; làm vườn&gt; bóng đèn&gt; crocus</v>
      </c>
      <c r="G42" t="str">
        <f t="shared" ca="1" si="0"/>
        <v>"2084216960" : "cây nghệ",</v>
      </c>
    </row>
    <row r="43" spans="1:7" ht="14.25" customHeight="1">
      <c r="A43" s="2">
        <v>2084216957</v>
      </c>
      <c r="B43" s="2" t="s">
        <v>15374</v>
      </c>
      <c r="C43" s="2" t="s">
        <v>15375</v>
      </c>
      <c r="D43" s="2" t="s">
        <v>15376</v>
      </c>
      <c r="E43" s="4" t="str">
        <f ca="1">IFERROR(__xludf.DUMMYFUNCTION("GOOGLETRANSLATE(B43,""ja"",""vi"")"),"cây thủy tiên")</f>
        <v>cây thủy tiên</v>
      </c>
      <c r="F43" s="4" t="str">
        <f ca="1">IFERROR(__xludf.DUMMYFUNCTION("GOOGLETRANSLATE(C43,""ja"",""vi"")"),"Đấu giá&gt; hoa, làm vườn&gt; làm vườn&gt; bóng đèn&gt; thủy tiên")</f>
        <v>Đấu giá&gt; hoa, làm vườn&gt; làm vườn&gt; bóng đèn&gt; thủy tiên</v>
      </c>
      <c r="G43" t="str">
        <f t="shared" ca="1" si="0"/>
        <v>"2084216957" : "cây thủy tiên",</v>
      </c>
    </row>
    <row r="44" spans="1:7" ht="14.25" customHeight="1">
      <c r="A44" s="2">
        <v>2084206885</v>
      </c>
      <c r="B44" s="2" t="s">
        <v>15378</v>
      </c>
      <c r="C44" s="2" t="s">
        <v>15379</v>
      </c>
      <c r="D44" s="2" t="s">
        <v>15380</v>
      </c>
      <c r="E44" s="4" t="str">
        <f ca="1">IFERROR(__xludf.DUMMYFUNCTION("GOOGLETRANSLATE(B44,""ja"",""vi"")"),"Tulip")</f>
        <v>Tulip</v>
      </c>
      <c r="F44" s="4" t="str">
        <f ca="1">IFERROR(__xludf.DUMMYFUNCTION("GOOGLETRANSLATE(C44,""ja"",""vi"")"),"Đấu giá&gt; hoa, làm vườn&gt; làm vườn&gt; bóng đèn&gt; tulip")</f>
        <v>Đấu giá&gt; hoa, làm vườn&gt; làm vườn&gt; bóng đèn&gt; tulip</v>
      </c>
      <c r="G44" t="str">
        <f t="shared" ca="1" si="0"/>
        <v>"2084206885" : "Tulip",</v>
      </c>
    </row>
    <row r="45" spans="1:7" ht="14.25" customHeight="1">
      <c r="A45" s="2">
        <v>2084216956</v>
      </c>
      <c r="B45" s="2" t="s">
        <v>15382</v>
      </c>
      <c r="C45" s="2" t="s">
        <v>15383</v>
      </c>
      <c r="D45" s="2" t="s">
        <v>15384</v>
      </c>
      <c r="E45" s="4" t="str">
        <f ca="1">IFERROR(__xludf.DUMMYFUNCTION("GOOGLETRANSLATE(B45,""ja"",""vi"")"),"dạ hương lan")</f>
        <v>dạ hương lan</v>
      </c>
      <c r="F45" s="4" t="str">
        <f ca="1">IFERROR(__xludf.DUMMYFUNCTION("GOOGLETRANSLATE(C45,""ja"",""vi"")"),"Đấu giá&gt; hoa, làm vườn&gt; làm vườn&gt; bóng đèn&gt; lục bình")</f>
        <v>Đấu giá&gt; hoa, làm vườn&gt; làm vườn&gt; bóng đèn&gt; lục bình</v>
      </c>
      <c r="G45" t="str">
        <f t="shared" ca="1" si="0"/>
        <v>"2084216956" : "dạ hương lan",</v>
      </c>
    </row>
    <row r="46" spans="1:7" ht="14.25" customHeight="1">
      <c r="A46" s="2">
        <v>2084216961</v>
      </c>
      <c r="B46" s="2" t="s">
        <v>15386</v>
      </c>
      <c r="C46" s="2" t="s">
        <v>15387</v>
      </c>
      <c r="D46" s="2" t="s">
        <v>15388</v>
      </c>
      <c r="E46" s="4" t="str">
        <f ca="1">IFERROR(__xludf.DUMMYFUNCTION("GOOGLETRANSLATE(B46,""ja"",""vi"")"),"Freesia")</f>
        <v>Freesia</v>
      </c>
      <c r="F46" s="4" t="str">
        <f ca="1">IFERROR(__xludf.DUMMYFUNCTION("GOOGLETRANSLATE(C46,""ja"",""vi"")"),"Đấu giá&gt; hoa, làm vườn&gt; làm vườn&gt; bóng đèn&gt; lan Nam Phi")</f>
        <v>Đấu giá&gt; hoa, làm vườn&gt; làm vườn&gt; bóng đèn&gt; lan Nam Phi</v>
      </c>
      <c r="G46" t="str">
        <f t="shared" ca="1" si="0"/>
        <v>"2084216961" : "Freesia",</v>
      </c>
    </row>
    <row r="47" spans="1:7" ht="14.25" customHeight="1">
      <c r="A47" s="2">
        <v>2084206883</v>
      </c>
      <c r="B47" s="2" t="s">
        <v>15390</v>
      </c>
      <c r="C47" s="2" t="s">
        <v>15391</v>
      </c>
      <c r="D47" s="2" t="s">
        <v>15393</v>
      </c>
      <c r="E47" s="4" t="str">
        <f ca="1">IFERROR(__xludf.DUMMYFUNCTION("GOOGLETRANSLATE(B47,""ja"",""vi"")"),"Lilies")</f>
        <v>Lilies</v>
      </c>
      <c r="F47" s="4" t="str">
        <f ca="1">IFERROR(__xludf.DUMMYFUNCTION("GOOGLETRANSLATE(C47,""ja"",""vi"")"),"Đấu giá&gt; hoa, làm vườn&gt; làm vườn&gt; bóng đèn&gt; Lilies")</f>
        <v>Đấu giá&gt; hoa, làm vườn&gt; làm vườn&gt; bóng đèn&gt; Lilies</v>
      </c>
      <c r="G47" t="str">
        <f t="shared" ca="1" si="0"/>
        <v>"2084206883" : "Lilies",</v>
      </c>
    </row>
    <row r="48" spans="1:7" ht="14.25" customHeight="1">
      <c r="A48" s="2">
        <v>2084206884</v>
      </c>
      <c r="B48" s="2" t="s">
        <v>15334</v>
      </c>
      <c r="C48" s="2" t="s">
        <v>15394</v>
      </c>
      <c r="D48" s="2" t="s">
        <v>15397</v>
      </c>
      <c r="E48" s="4" t="str">
        <f ca="1">IFERROR(__xludf.DUMMYFUNCTION("GOOGLETRANSLATE(B48,""ja"",""vi"")"),"chạy")</f>
        <v>chạy</v>
      </c>
      <c r="F48" s="4" t="str">
        <f ca="1">IFERROR(__xludf.DUMMYFUNCTION("GOOGLETRANSLATE(C48,""ja"",""vi"")"),"Đấu giá&gt; hoa, làm vườn&gt; làm vườn&gt; bóng đèn&gt; chạy")</f>
        <v>Đấu giá&gt; hoa, làm vườn&gt; làm vườn&gt; bóng đèn&gt; chạy</v>
      </c>
      <c r="G48" t="str">
        <f t="shared" ca="1" si="0"/>
        <v>"2084206884" : "chạy",</v>
      </c>
    </row>
    <row r="49" spans="1:7" ht="14.25" customHeight="1">
      <c r="A49" s="2">
        <v>2084206886</v>
      </c>
      <c r="B49" s="2" t="s">
        <v>46</v>
      </c>
      <c r="C49" s="2" t="s">
        <v>15400</v>
      </c>
      <c r="D49" s="2" t="s">
        <v>15402</v>
      </c>
      <c r="E49" s="4" t="str">
        <f ca="1">IFERROR(__xludf.DUMMYFUNCTION("GOOGLETRANSLATE(B49,""ja"",""vi"")"),"nếu không thì")</f>
        <v>nếu không thì</v>
      </c>
      <c r="F49" s="4" t="str">
        <f ca="1">IFERROR(__xludf.DUMMYFUNCTION("GOOGLETRANSLATE(C49,""ja"",""vi"")"),"Đấu giá&gt; hoa, làm vườn&gt; làm vườn&gt; bóng đèn&gt; Khác")</f>
        <v>Đấu giá&gt; hoa, làm vườn&gt; làm vườn&gt; bóng đèn&gt; Khác</v>
      </c>
      <c r="G49" t="str">
        <f t="shared" ca="1" si="0"/>
        <v>"2084206886" : "nếu không thì",</v>
      </c>
    </row>
    <row r="50" spans="1:7" ht="14.25" customHeight="1">
      <c r="A50" s="2">
        <v>2084216967</v>
      </c>
      <c r="B50" s="2" t="s">
        <v>15313</v>
      </c>
      <c r="C50" s="2" t="s">
        <v>15314</v>
      </c>
      <c r="D50" s="2" t="s">
        <v>15315</v>
      </c>
      <c r="E50" s="4" t="str">
        <f ca="1">IFERROR(__xludf.DUMMYFUNCTION("GOOGLETRANSLATE(B50,""ja"",""vi"")"),"cây dương tử hoa")</f>
        <v>cây dương tử hoa</v>
      </c>
      <c r="F50" s="4" t="str">
        <f ca="1">IFERROR(__xludf.DUMMYFUNCTION("GOOGLETRANSLATE(C50,""ja"",""vi"")"),"Đấu giá&gt; hoa, làm vườn&gt; làm vườn&gt; cây giống&gt; tú cầu")</f>
        <v>Đấu giá&gt; hoa, làm vườn&gt; làm vườn&gt; cây giống&gt; tú cầu</v>
      </c>
      <c r="G50" t="str">
        <f t="shared" ca="1" si="0"/>
        <v>"2084216967" : "cây dương tử hoa",</v>
      </c>
    </row>
    <row r="51" spans="1:7" ht="14.25" customHeight="1">
      <c r="A51" s="2">
        <v>2084206898</v>
      </c>
      <c r="B51" s="2" t="s">
        <v>15318</v>
      </c>
      <c r="C51" s="2" t="s">
        <v>15320</v>
      </c>
      <c r="D51" s="2" t="s">
        <v>15322</v>
      </c>
      <c r="E51" s="4" t="str">
        <f ca="1">IFERROR(__xludf.DUMMYFUNCTION("GOOGLETRANSLATE(B51,""ja"",""vi"")"),"hoa hồng")</f>
        <v>hoa hồng</v>
      </c>
      <c r="F51" s="4" t="str">
        <f ca="1">IFERROR(__xludf.DUMMYFUNCTION("GOOGLETRANSLATE(C51,""ja"",""vi"")"),"Đấu giá&gt; hoa, làm vườn&gt; làm vườn&gt; cây giống&gt; Roses")</f>
        <v>Đấu giá&gt; hoa, làm vườn&gt; làm vườn&gt; cây giống&gt; Roses</v>
      </c>
      <c r="G51" t="str">
        <f t="shared" ca="1" si="0"/>
        <v>"2084206898" : "hoa hồng",</v>
      </c>
    </row>
    <row r="52" spans="1:7" ht="14.25" customHeight="1">
      <c r="A52" s="2">
        <v>2084216968</v>
      </c>
      <c r="B52" s="2" t="s">
        <v>15275</v>
      </c>
      <c r="C52" s="2" t="s">
        <v>15325</v>
      </c>
      <c r="D52" s="2" t="s">
        <v>15326</v>
      </c>
      <c r="E52" s="4" t="str">
        <f ca="1">IFERROR(__xludf.DUMMYFUNCTION("GOOGLETRANSLATE(B52,""ja"",""vi"")"),"cây có bông nhiều màu")</f>
        <v>cây có bông nhiều màu</v>
      </c>
      <c r="F52" s="4" t="str">
        <f ca="1">IFERROR(__xludf.DUMMYFUNCTION("GOOGLETRANSLATE(C52,""ja"",""vi"")"),"Đấu giá&gt; hoa, làm vườn&gt; làm vườn&gt; cây giống&gt; pansy")</f>
        <v>Đấu giá&gt; hoa, làm vườn&gt; làm vườn&gt; cây giống&gt; pansy</v>
      </c>
      <c r="G52" t="str">
        <f t="shared" ca="1" si="0"/>
        <v>"2084216968" : "cây có bông nhiều màu",</v>
      </c>
    </row>
    <row r="53" spans="1:7" ht="14.25" customHeight="1">
      <c r="A53" s="2">
        <v>2084216969</v>
      </c>
      <c r="B53" s="2" t="s">
        <v>15329</v>
      </c>
      <c r="C53" s="2" t="s">
        <v>15330</v>
      </c>
      <c r="D53" s="2" t="s">
        <v>15331</v>
      </c>
      <c r="E53" s="4" t="str">
        <f ca="1">IFERROR(__xludf.DUMMYFUNCTION("GOOGLETRANSLATE(B53,""ja"",""vi"")"),"cây oải hương")</f>
        <v>cây oải hương</v>
      </c>
      <c r="F53" s="4" t="str">
        <f ca="1">IFERROR(__xludf.DUMMYFUNCTION("GOOGLETRANSLATE(C53,""ja"",""vi"")"),"Đấu giá&gt; hoa, làm vườn&gt; làm vườn&gt; cây giống&gt; hoa oải hương")</f>
        <v>Đấu giá&gt; hoa, làm vườn&gt; làm vườn&gt; cây giống&gt; hoa oải hương</v>
      </c>
      <c r="G53" t="str">
        <f t="shared" ca="1" si="0"/>
        <v>"2084216969" : "cây oải hương",</v>
      </c>
    </row>
    <row r="54" spans="1:7" ht="14.25" customHeight="1">
      <c r="A54" s="2">
        <v>2084206900</v>
      </c>
      <c r="B54" s="2" t="s">
        <v>15334</v>
      </c>
      <c r="C54" s="2" t="s">
        <v>15335</v>
      </c>
      <c r="D54" s="2" t="s">
        <v>15337</v>
      </c>
      <c r="E54" s="4" t="str">
        <f ca="1">IFERROR(__xludf.DUMMYFUNCTION("GOOGLETRANSLATE(B54,""ja"",""vi"")"),"chạy")</f>
        <v>chạy</v>
      </c>
      <c r="F54" s="4" t="str">
        <f ca="1">IFERROR(__xludf.DUMMYFUNCTION("GOOGLETRANSLATE(C54,""ja"",""vi"")"),"Đấu giá&gt; hoa, làm vườn&gt; làm vườn&gt; cây giống&gt; chạy")</f>
        <v>Đấu giá&gt; hoa, làm vườn&gt; làm vườn&gt; cây giống&gt; chạy</v>
      </c>
      <c r="G54" t="str">
        <f t="shared" ca="1" si="0"/>
        <v>"2084206900" : "chạy",</v>
      </c>
    </row>
    <row r="55" spans="1:7" ht="14.25" customHeight="1">
      <c r="A55" s="2">
        <v>2084206899</v>
      </c>
      <c r="B55" s="2" t="s">
        <v>15339</v>
      </c>
      <c r="C55" s="2" t="s">
        <v>15341</v>
      </c>
      <c r="D55" s="2" t="s">
        <v>15342</v>
      </c>
      <c r="E55" s="4" t="str">
        <f ca="1">IFERROR(__xludf.DUMMYFUNCTION("GOOGLETRANSLATE(B55,""ja"",""vi"")"),"hoang dã Strawberry")</f>
        <v>hoang dã Strawberry</v>
      </c>
      <c r="F55" s="4" t="str">
        <f ca="1">IFERROR(__xludf.DUMMYFUNCTION("GOOGLETRANSLATE(C55,""ja"",""vi"")"),"Đấu giá&gt; hoa, làm vườn&gt; làm vườn&gt; cây giống&gt; dâu tây hoang dã")</f>
        <v>Đấu giá&gt; hoa, làm vườn&gt; làm vườn&gt; cây giống&gt; dâu tây hoang dã</v>
      </c>
      <c r="G55" t="str">
        <f t="shared" ca="1" si="0"/>
        <v>"2084206899" : "hoang dã Strawberry",</v>
      </c>
    </row>
    <row r="56" spans="1:7" ht="14.25" customHeight="1">
      <c r="A56" s="2">
        <v>2084216970</v>
      </c>
      <c r="B56" s="2" t="s">
        <v>15345</v>
      </c>
      <c r="C56" s="2" t="s">
        <v>15347</v>
      </c>
      <c r="D56" s="2" t="s">
        <v>15348</v>
      </c>
      <c r="E56" s="4" t="str">
        <f ca="1">IFERROR(__xludf.DUMMYFUNCTION("GOOGLETRANSLATE(B56,""ja"",""vi"")"),"quả")</f>
        <v>quả</v>
      </c>
      <c r="F56" s="4" t="str">
        <f ca="1">IFERROR(__xludf.DUMMYFUNCTION("GOOGLETRANSLATE(C56,""ja"",""vi"")"),"Đấu giá&gt; hoa, làm vườn&gt; làm vườn&gt; cây giống&gt; hoa quả")</f>
        <v>Đấu giá&gt; hoa, làm vườn&gt; làm vườn&gt; cây giống&gt; hoa quả</v>
      </c>
      <c r="G56" t="str">
        <f t="shared" ca="1" si="0"/>
        <v>"2084216970" : "quả",</v>
      </c>
    </row>
    <row r="57" spans="1:7" ht="14.25" customHeight="1">
      <c r="A57" s="2">
        <v>2084206901</v>
      </c>
      <c r="B57" s="2" t="s">
        <v>46</v>
      </c>
      <c r="C57" s="2" t="s">
        <v>15351</v>
      </c>
      <c r="D57" s="2" t="s">
        <v>15352</v>
      </c>
      <c r="E57" s="4" t="str">
        <f ca="1">IFERROR(__xludf.DUMMYFUNCTION("GOOGLETRANSLATE(B57,""ja"",""vi"")"),"nếu không thì")</f>
        <v>nếu không thì</v>
      </c>
      <c r="F57" s="4" t="str">
        <f ca="1">IFERROR(__xludf.DUMMYFUNCTION("GOOGLETRANSLATE(C57,""ja"",""vi"")"),"Đấu giá&gt; hoa, làm vườn&gt; làm vườn&gt; cây giống&gt; Khác")</f>
        <v>Đấu giá&gt; hoa, làm vườn&gt; làm vườn&gt; cây giống&gt; Khác</v>
      </c>
      <c r="G57" t="str">
        <f t="shared" ca="1" si="0"/>
        <v>"2084206901" : "nếu không thì",</v>
      </c>
    </row>
    <row r="58" spans="1:7" ht="14.25" customHeight="1">
      <c r="A58" s="2">
        <v>2084206893</v>
      </c>
      <c r="B58" s="2" t="s">
        <v>15226</v>
      </c>
      <c r="C58" s="2" t="s">
        <v>15227</v>
      </c>
      <c r="D58" s="2" t="s">
        <v>15228</v>
      </c>
      <c r="E58" s="4" t="str">
        <f ca="1">IFERROR(__xludf.DUMMYFUNCTION("GOOGLETRANSLATE(B58,""ja"",""vi"")"),"hoa hướng dương")</f>
        <v>hoa hướng dương</v>
      </c>
      <c r="F58" s="4" t="str">
        <f ca="1">IFERROR(__xludf.DUMMYFUNCTION("GOOGLETRANSLATE(C58,""ja"",""vi"")"),"Đấu giá&gt; hoa, làm vườn&gt; làm vườn&gt; loại&gt; Hoa hướng dương")</f>
        <v>Đấu giá&gt; hoa, làm vườn&gt; làm vườn&gt; loại&gt; Hoa hướng dương</v>
      </c>
      <c r="G58" t="str">
        <f t="shared" ca="1" si="0"/>
        <v>"2084206893" : "hoa hướng dương",</v>
      </c>
    </row>
    <row r="59" spans="1:7" ht="14.25" customHeight="1">
      <c r="A59" s="2">
        <v>2084216962</v>
      </c>
      <c r="B59" s="2" t="s">
        <v>15232</v>
      </c>
      <c r="C59" s="2" t="s">
        <v>15233</v>
      </c>
      <c r="D59" s="2" t="s">
        <v>15235</v>
      </c>
      <c r="E59" s="4" t="str">
        <f ca="1">IFERROR(__xludf.DUMMYFUNCTION("GOOGLETRANSLATE(B59,""ja"",""vi"")"),"rau muống")</f>
        <v>rau muống</v>
      </c>
      <c r="F59" s="4" t="str">
        <f ca="1">IFERROR(__xludf.DUMMYFUNCTION("GOOGLETRANSLATE(C59,""ja"",""vi"")"),"Đấu giá&gt; hoa, làm vườn&gt; làm vườn&gt; loại&gt; rau muống")</f>
        <v>Đấu giá&gt; hoa, làm vườn&gt; làm vườn&gt; loại&gt; rau muống</v>
      </c>
      <c r="G59" t="str">
        <f t="shared" ca="1" si="0"/>
        <v>"2084216962" : "rau muống",</v>
      </c>
    </row>
    <row r="60" spans="1:7" ht="14.25" customHeight="1">
      <c r="A60" s="2">
        <v>2084216963</v>
      </c>
      <c r="B60" s="2" t="s">
        <v>15240</v>
      </c>
      <c r="C60" s="2" t="s">
        <v>15242</v>
      </c>
      <c r="D60" s="2" t="s">
        <v>15243</v>
      </c>
      <c r="E60" s="4" t="str">
        <f ca="1">IFERROR(__xludf.DUMMYFUNCTION("GOOGLETRANSLATE(B60,""ja"",""vi"")"),"Bellflower")</f>
        <v>Bellflower</v>
      </c>
      <c r="F60" s="4" t="str">
        <f ca="1">IFERROR(__xludf.DUMMYFUNCTION("GOOGLETRANSLATE(C60,""ja"",""vi"")"),"Đấu giá&gt; hoa, làm vườn&gt; làm vườn&gt; loại&gt; Bellflower")</f>
        <v>Đấu giá&gt; hoa, làm vườn&gt; làm vườn&gt; loại&gt; Bellflower</v>
      </c>
      <c r="G60" t="str">
        <f t="shared" ca="1" si="0"/>
        <v>"2084216963" : "Bellflower",</v>
      </c>
    </row>
    <row r="61" spans="1:7" ht="14.25" customHeight="1">
      <c r="A61" s="2">
        <v>2084206890</v>
      </c>
      <c r="B61" s="2" t="s">
        <v>15246</v>
      </c>
      <c r="C61" s="2" t="s">
        <v>15247</v>
      </c>
      <c r="D61" s="2" t="s">
        <v>15249</v>
      </c>
      <c r="E61" s="4" t="str">
        <f ca="1">IFERROR(__xludf.DUMMYFUNCTION("GOOGLETRANSLATE(B61,""ja"",""vi"")"),"vũ trụ")</f>
        <v>vũ trụ</v>
      </c>
      <c r="F61" s="4" t="str">
        <f ca="1">IFERROR(__xludf.DUMMYFUNCTION("GOOGLETRANSLATE(C61,""ja"",""vi"")"),"Đấu giá&gt; hoa, làm vườn&gt; làm vườn&gt; loại&gt; Cosmos")</f>
        <v>Đấu giá&gt; hoa, làm vườn&gt; làm vườn&gt; loại&gt; Cosmos</v>
      </c>
      <c r="G61" t="str">
        <f t="shared" ca="1" si="0"/>
        <v>"2084206890" : "vũ trụ",</v>
      </c>
    </row>
    <row r="62" spans="1:7" ht="14.25" customHeight="1">
      <c r="A62" s="2">
        <v>2084216964</v>
      </c>
      <c r="B62" s="2" t="s">
        <v>15252</v>
      </c>
      <c r="C62" s="2" t="s">
        <v>15254</v>
      </c>
      <c r="D62" s="2" t="s">
        <v>15256</v>
      </c>
      <c r="E62" s="4" t="str">
        <f ca="1">IFERROR(__xludf.DUMMYFUNCTION("GOOGLETRANSLATE(B62,""ja"",""vi"")"),"sweet pea")</f>
        <v>sweet pea</v>
      </c>
      <c r="F62" s="4" t="str">
        <f ca="1">IFERROR(__xludf.DUMMYFUNCTION("GOOGLETRANSLATE(C62,""ja"",""vi"")"),"Đấu giá&gt; hoa, làm vườn&gt; làm vườn&gt; loại&gt; hạt đậu ngọt")</f>
        <v>Đấu giá&gt; hoa, làm vườn&gt; làm vườn&gt; loại&gt; hạt đậu ngọt</v>
      </c>
      <c r="G62" t="str">
        <f t="shared" ca="1" si="0"/>
        <v>"2084216964" : "sweet pea",</v>
      </c>
    </row>
    <row r="63" spans="1:7" ht="14.25" customHeight="1">
      <c r="A63" s="2">
        <v>2084216965</v>
      </c>
      <c r="B63" s="2" t="s">
        <v>15260</v>
      </c>
      <c r="C63" s="2" t="s">
        <v>15262</v>
      </c>
      <c r="D63" s="2" t="s">
        <v>15263</v>
      </c>
      <c r="E63" s="4" t="str">
        <f ca="1">IFERROR(__xludf.DUMMYFUNCTION("GOOGLETRANSLATE(B63,""ja"",""vi"")"),"thạch trúc mọc trong lúa mì")</f>
        <v>thạch trúc mọc trong lúa mì</v>
      </c>
      <c r="F63" s="4" t="str">
        <f ca="1">IFERROR(__xludf.DUMMYFUNCTION("GOOGLETRANSLATE(C63,""ja"",""vi"")"),"Đấu giá&gt; hoa, làm vườn&gt; làm vườn&gt; loại&gt; Nadeshiko")</f>
        <v>Đấu giá&gt; hoa, làm vườn&gt; làm vườn&gt; loại&gt; Nadeshiko</v>
      </c>
      <c r="G63" t="str">
        <f t="shared" ca="1" si="0"/>
        <v>"2084216965" : "thạch trúc mọc trong lúa mì",</v>
      </c>
    </row>
    <row r="64" spans="1:7" ht="14.25" customHeight="1">
      <c r="A64" s="2">
        <v>2084206894</v>
      </c>
      <c r="B64" s="2" t="s">
        <v>13197</v>
      </c>
      <c r="C64" s="2" t="s">
        <v>15266</v>
      </c>
      <c r="D64" s="2" t="s">
        <v>15267</v>
      </c>
      <c r="E64" s="4" t="str">
        <f ca="1">IFERROR(__xludf.DUMMYFUNCTION("GOOGLETRANSLATE(B64,""ja"",""vi"")"),"Herbs")</f>
        <v>Herbs</v>
      </c>
      <c r="F64" s="4" t="str">
        <f ca="1">IFERROR(__xludf.DUMMYFUNCTION("GOOGLETRANSLATE(C64,""ja"",""vi"")"),"Đấu giá&gt; hoa, làm vườn&gt; làm vườn&gt; loại&gt; thảo mộc")</f>
        <v>Đấu giá&gt; hoa, làm vườn&gt; làm vườn&gt; loại&gt; thảo mộc</v>
      </c>
      <c r="G64" t="str">
        <f t="shared" ca="1" si="0"/>
        <v>"2084206894" : "Herbs",</v>
      </c>
    </row>
    <row r="65" spans="1:7" ht="14.25" customHeight="1">
      <c r="A65" s="2">
        <v>2084206891</v>
      </c>
      <c r="B65" s="2" t="s">
        <v>15270</v>
      </c>
      <c r="C65" s="2" t="s">
        <v>15271</v>
      </c>
      <c r="D65" s="2" t="s">
        <v>15273</v>
      </c>
      <c r="E65" s="4" t="str">
        <f ca="1">IFERROR(__xludf.DUMMYFUNCTION("GOOGLETRANSLATE(B65,""ja"",""vi"")"),"cây dâm bụt")</f>
        <v>cây dâm bụt</v>
      </c>
      <c r="F65" s="4" t="str">
        <f ca="1">IFERROR(__xludf.DUMMYFUNCTION("GOOGLETRANSLATE(C65,""ja"",""vi"")"),"Đấu giá&gt; hoa, làm vườn&gt; làm vườn&gt; loại&gt; dâm bụt")</f>
        <v>Đấu giá&gt; hoa, làm vườn&gt; làm vườn&gt; loại&gt; dâm bụt</v>
      </c>
      <c r="G65" t="str">
        <f t="shared" ca="1" si="0"/>
        <v>"2084206891" : "cây dâm bụt",</v>
      </c>
    </row>
    <row r="66" spans="1:7" ht="14.25" customHeight="1">
      <c r="A66" s="2">
        <v>2084206889</v>
      </c>
      <c r="B66" s="2" t="s">
        <v>15275</v>
      </c>
      <c r="C66" s="2" t="s">
        <v>15277</v>
      </c>
      <c r="D66" s="2" t="s">
        <v>15279</v>
      </c>
      <c r="E66" s="4" t="str">
        <f ca="1">IFERROR(__xludf.DUMMYFUNCTION("GOOGLETRANSLATE(B66,""ja"",""vi"")"),"cây có bông nhiều màu")</f>
        <v>cây có bông nhiều màu</v>
      </c>
      <c r="F66" s="4" t="str">
        <f ca="1">IFERROR(__xludf.DUMMYFUNCTION("GOOGLETRANSLATE(C66,""ja"",""vi"")"),"Đấu giá&gt; hoa, làm vườn&gt; làm vườn&gt; loại&gt; pansy")</f>
        <v>Đấu giá&gt; hoa, làm vườn&gt; làm vườn&gt; loại&gt; pansy</v>
      </c>
      <c r="G66" t="str">
        <f t="shared" ca="1" si="0"/>
        <v>"2084206889" : "cây có bông nhiều màu",</v>
      </c>
    </row>
    <row r="67" spans="1:7" ht="14.25" customHeight="1">
      <c r="A67" s="2">
        <v>2084206888</v>
      </c>
      <c r="B67" s="2" t="s">
        <v>4665</v>
      </c>
      <c r="C67" s="2" t="s">
        <v>15282</v>
      </c>
      <c r="D67" s="2" t="s">
        <v>15284</v>
      </c>
      <c r="E67" s="4" t="str">
        <f ca="1">IFERROR(__xludf.DUMMYFUNCTION("GOOGLETRANSLATE(B67,""ja"",""vi"")"),"cây tử la lan")</f>
        <v>cây tử la lan</v>
      </c>
      <c r="F67" s="4" t="str">
        <f ca="1">IFERROR(__xludf.DUMMYFUNCTION("GOOGLETRANSLATE(C67,""ja"",""vi"")"),"Đấu giá&gt; hoa, làm vườn&gt; làm vườn&gt; loại&gt; Viola")</f>
        <v>Đấu giá&gt; hoa, làm vườn&gt; làm vườn&gt; loại&gt; Viola</v>
      </c>
      <c r="G67" t="str">
        <f t="shared" ref="G67:G130" ca="1" si="1">CONCATENATE(CHAR(34)&amp;"",A67,""&amp;CHAR(34)," : ", CHAR(34)&amp;"",E67,""&amp;CHAR(34),",")</f>
        <v>"2084206888" : "cây tử la lan",</v>
      </c>
    </row>
    <row r="68" spans="1:7" ht="14.25" customHeight="1">
      <c r="A68" s="2">
        <v>2084206892</v>
      </c>
      <c r="B68" s="2" t="s">
        <v>15286</v>
      </c>
      <c r="C68" s="2" t="s">
        <v>15288</v>
      </c>
      <c r="D68" s="2" t="s">
        <v>15290</v>
      </c>
      <c r="E68" s="4" t="str">
        <f ca="1">IFERROR(__xludf.DUMMYFUNCTION("GOOGLETRANSLATE(B68,""ja"",""vi"")"),"Plumeria")</f>
        <v>Plumeria</v>
      </c>
      <c r="F68" s="4" t="str">
        <f ca="1">IFERROR(__xludf.DUMMYFUNCTION("GOOGLETRANSLATE(C68,""ja"",""vi"")"),"Đấu giá&gt; hoa, làm vườn&gt; làm vườn&gt; loại&gt; Plumeria")</f>
        <v>Đấu giá&gt; hoa, làm vườn&gt; làm vườn&gt; loại&gt; Plumeria</v>
      </c>
      <c r="G68" t="str">
        <f t="shared" ca="1" si="1"/>
        <v>"2084206892" : "Plumeria",</v>
      </c>
    </row>
    <row r="69" spans="1:7" ht="14.25" customHeight="1">
      <c r="A69" s="2">
        <v>2084216966</v>
      </c>
      <c r="B69" s="2" t="s">
        <v>15294</v>
      </c>
      <c r="C69" s="2" t="s">
        <v>15295</v>
      </c>
      <c r="D69" s="2" t="s">
        <v>15296</v>
      </c>
      <c r="E69" s="4" t="str">
        <f ca="1">IFERROR(__xludf.DUMMYFUNCTION("GOOGLETRANSLATE(B69,""ja"",""vi"")"),"cây anh túc")</f>
        <v>cây anh túc</v>
      </c>
      <c r="F69" s="4" t="str">
        <f ca="1">IFERROR(__xludf.DUMMYFUNCTION("GOOGLETRANSLATE(C69,""ja"",""vi"")"),"Đấu giá&gt; hoa, làm vườn&gt; làm vườn&gt; loại&gt; thuốc phiện")</f>
        <v>Đấu giá&gt; hoa, làm vườn&gt; làm vườn&gt; loại&gt; thuốc phiện</v>
      </c>
      <c r="G69" t="str">
        <f t="shared" ca="1" si="1"/>
        <v>"2084216966" : "cây anh túc",</v>
      </c>
    </row>
    <row r="70" spans="1:7" ht="14.25" customHeight="1">
      <c r="A70" s="2">
        <v>2084206895</v>
      </c>
      <c r="B70" s="2" t="s">
        <v>15300</v>
      </c>
      <c r="C70" s="2" t="s">
        <v>15302</v>
      </c>
      <c r="D70" s="2" t="s">
        <v>15305</v>
      </c>
      <c r="E70" s="4" t="str">
        <f ca="1">IFERROR(__xludf.DUMMYFUNCTION("GOOGLETRANSLATE(B70,""ja"",""vi"")"),"rau")</f>
        <v>rau</v>
      </c>
      <c r="F70" s="4" t="str">
        <f ca="1">IFERROR(__xludf.DUMMYFUNCTION("GOOGLETRANSLATE(C70,""ja"",""vi"")"),"Đấu giá&gt; hoa, làm vườn&gt; làm vườn&gt; loại&gt; rau")</f>
        <v>Đấu giá&gt; hoa, làm vườn&gt; làm vườn&gt; loại&gt; rau</v>
      </c>
      <c r="G70" t="str">
        <f t="shared" ca="1" si="1"/>
        <v>"2084206895" : "rau",</v>
      </c>
    </row>
    <row r="71" spans="1:7" ht="14.25" customHeight="1">
      <c r="A71" s="2">
        <v>2084206896</v>
      </c>
      <c r="B71" s="2" t="s">
        <v>46</v>
      </c>
      <c r="C71" s="2" t="s">
        <v>15309</v>
      </c>
      <c r="D71" s="2" t="s">
        <v>15310</v>
      </c>
      <c r="E71" s="4" t="str">
        <f ca="1">IFERROR(__xludf.DUMMYFUNCTION("GOOGLETRANSLATE(B71,""ja"",""vi"")"),"nếu không thì")</f>
        <v>nếu không thì</v>
      </c>
      <c r="F71" s="4" t="str">
        <f ca="1">IFERROR(__xludf.DUMMYFUNCTION("GOOGLETRANSLATE(C71,""ja"",""vi"")"),"Đấu giá&gt; hoa, làm vườn&gt; làm vườn&gt; loại&gt; Khác")</f>
        <v>Đấu giá&gt; hoa, làm vườn&gt; làm vườn&gt; loại&gt; Khác</v>
      </c>
      <c r="G71" t="str">
        <f t="shared" ca="1" si="1"/>
        <v>"2084206896" : "nếu không thì",</v>
      </c>
    </row>
    <row r="72" spans="1:7" ht="14.25" customHeight="1">
      <c r="A72" s="2">
        <v>2084206877</v>
      </c>
      <c r="B72" s="2" t="s">
        <v>15378</v>
      </c>
      <c r="C72" s="2" t="s">
        <v>15493</v>
      </c>
      <c r="D72" s="2" t="s">
        <v>15495</v>
      </c>
      <c r="E72" s="4" t="str">
        <f ca="1">IFERROR(__xludf.DUMMYFUNCTION("GOOGLETRANSLATE(B72,""ja"",""vi"")"),"Tulip")</f>
        <v>Tulip</v>
      </c>
      <c r="F72" s="4" t="str">
        <f ca="1">IFERROR(__xludf.DUMMYFUNCTION("GOOGLETRANSLATE(C72,""ja"",""vi"")"),"Đấu giá&gt; hoa, làm vườn&gt; sắp xếp&gt; Ikebana&gt; Tulip")</f>
        <v>Đấu giá&gt; hoa, làm vườn&gt; sắp xếp&gt; Ikebana&gt; Tulip</v>
      </c>
      <c r="G72" t="str">
        <f t="shared" ca="1" si="1"/>
        <v>"2084206877" : "Tulip",</v>
      </c>
    </row>
    <row r="73" spans="1:7" ht="14.25" customHeight="1">
      <c r="A73" s="2">
        <v>2084206875</v>
      </c>
      <c r="B73" s="2" t="s">
        <v>15318</v>
      </c>
      <c r="C73" s="2" t="s">
        <v>15500</v>
      </c>
      <c r="D73" s="2" t="s">
        <v>15501</v>
      </c>
      <c r="E73" s="4" t="str">
        <f ca="1">IFERROR(__xludf.DUMMYFUNCTION("GOOGLETRANSLATE(B73,""ja"",""vi"")"),"hoa hồng")</f>
        <v>hoa hồng</v>
      </c>
      <c r="F73" s="4" t="str">
        <f ca="1">IFERROR(__xludf.DUMMYFUNCTION("GOOGLETRANSLATE(C73,""ja"",""vi"")"),"Đấu giá&gt; hoa, làm vườn&gt; sắp xếp&gt; Ikebana&gt; Roses")</f>
        <v>Đấu giá&gt; hoa, làm vườn&gt; sắp xếp&gt; Ikebana&gt; Roses</v>
      </c>
      <c r="G73" t="str">
        <f t="shared" ca="1" si="1"/>
        <v>"2084206875" : "hoa hồng",</v>
      </c>
    </row>
    <row r="74" spans="1:7" ht="14.25" customHeight="1">
      <c r="A74" s="2">
        <v>2084206876</v>
      </c>
      <c r="B74" s="2" t="s">
        <v>15390</v>
      </c>
      <c r="C74" s="2" t="s">
        <v>15504</v>
      </c>
      <c r="D74" s="2" t="s">
        <v>15505</v>
      </c>
      <c r="E74" s="4" t="str">
        <f ca="1">IFERROR(__xludf.DUMMYFUNCTION("GOOGLETRANSLATE(B74,""ja"",""vi"")"),"Lilies")</f>
        <v>Lilies</v>
      </c>
      <c r="F74" s="4" t="str">
        <f ca="1">IFERROR(__xludf.DUMMYFUNCTION("GOOGLETRANSLATE(C74,""ja"",""vi"")"),"Đấu giá&gt; hoa, làm vườn&gt; sắp xếp&gt; Ikebana&gt; Lilies")</f>
        <v>Đấu giá&gt; hoa, làm vườn&gt; sắp xếp&gt; Ikebana&gt; Lilies</v>
      </c>
      <c r="G74" t="str">
        <f t="shared" ca="1" si="1"/>
        <v>"2084206876" : "Lilies",</v>
      </c>
    </row>
    <row r="75" spans="1:7" ht="14.25" customHeight="1">
      <c r="A75" s="2">
        <v>2084206878</v>
      </c>
      <c r="B75" s="2" t="s">
        <v>15334</v>
      </c>
      <c r="C75" s="2" t="s">
        <v>15512</v>
      </c>
      <c r="D75" s="2" t="s">
        <v>15514</v>
      </c>
      <c r="E75" s="4" t="str">
        <f ca="1">IFERROR(__xludf.DUMMYFUNCTION("GOOGLETRANSLATE(B75,""ja"",""vi"")"),"chạy")</f>
        <v>chạy</v>
      </c>
      <c r="F75" s="4" t="str">
        <f ca="1">IFERROR(__xludf.DUMMYFUNCTION("GOOGLETRANSLATE(C75,""ja"",""vi"")"),"Đấu giá&gt; hoa, làm vườn&gt; sắp xếp&gt; Ikebana&gt; chạy")</f>
        <v>Đấu giá&gt; hoa, làm vườn&gt; sắp xếp&gt; Ikebana&gt; chạy</v>
      </c>
      <c r="G75" t="str">
        <f t="shared" ca="1" si="1"/>
        <v>"2084206878" : "chạy",</v>
      </c>
    </row>
    <row r="76" spans="1:7" ht="14.25" customHeight="1">
      <c r="A76" s="2">
        <v>2084206879</v>
      </c>
      <c r="B76" s="2" t="s">
        <v>46</v>
      </c>
      <c r="C76" s="2" t="s">
        <v>15518</v>
      </c>
      <c r="D76" s="2" t="s">
        <v>15519</v>
      </c>
      <c r="E76" s="4" t="str">
        <f ca="1">IFERROR(__xludf.DUMMYFUNCTION("GOOGLETRANSLATE(B76,""ja"",""vi"")"),"nếu không thì")</f>
        <v>nếu không thì</v>
      </c>
      <c r="F76" s="4" t="str">
        <f ca="1">IFERROR(__xludf.DUMMYFUNCTION("GOOGLETRANSLATE(C76,""ja"",""vi"")"),"Đấu giá&gt; hoa, làm vườn&gt; sắp xếp&gt; Ikebana&gt; Khác")</f>
        <v>Đấu giá&gt; hoa, làm vườn&gt; sắp xếp&gt; Ikebana&gt; Khác</v>
      </c>
      <c r="G76" t="str">
        <f t="shared" ca="1" si="1"/>
        <v>"2084206879" : "nếu không thì",</v>
      </c>
    </row>
    <row r="77" spans="1:7" ht="14.25" customHeight="1">
      <c r="A77" s="2">
        <v>2084207327</v>
      </c>
      <c r="B77" s="2" t="s">
        <v>15318</v>
      </c>
      <c r="C77" s="2" t="s">
        <v>15522</v>
      </c>
      <c r="D77" s="2" t="s">
        <v>15523</v>
      </c>
      <c r="E77" s="4" t="str">
        <f ca="1">IFERROR(__xludf.DUMMYFUNCTION("GOOGLETRANSLATE(B77,""ja"",""vi"")"),"hoa hồng")</f>
        <v>hoa hồng</v>
      </c>
      <c r="F77" s="4" t="str">
        <f ca="1">IFERROR(__xludf.DUMMYFUNCTION("GOOGLETRANSLATE(C77,""ja"",""vi"")"),"Đấu giá&gt; hoa, làm vườn&gt; hoa cắt, bó hoa&gt; Ikebana&gt; Roses")</f>
        <v>Đấu giá&gt; hoa, làm vườn&gt; hoa cắt, bó hoa&gt; Ikebana&gt; Roses</v>
      </c>
      <c r="G77" t="str">
        <f t="shared" ca="1" si="1"/>
        <v>"2084207327" : "hoa hồng",</v>
      </c>
    </row>
    <row r="78" spans="1:7" ht="14.25" customHeight="1">
      <c r="A78" s="2">
        <v>2084207328</v>
      </c>
      <c r="B78" s="2" t="s">
        <v>15334</v>
      </c>
      <c r="C78" s="2" t="s">
        <v>15526</v>
      </c>
      <c r="D78" s="2" t="s">
        <v>15527</v>
      </c>
      <c r="E78" s="4" t="str">
        <f ca="1">IFERROR(__xludf.DUMMYFUNCTION("GOOGLETRANSLATE(B78,""ja"",""vi"")"),"chạy")</f>
        <v>chạy</v>
      </c>
      <c r="F78" s="4" t="str">
        <f ca="1">IFERROR(__xludf.DUMMYFUNCTION("GOOGLETRANSLATE(C78,""ja"",""vi"")"),"Đấu giá&gt; hoa, làm vườn&gt; cắt hoa, bó hoa&gt; Ikebana&gt; chạy")</f>
        <v>Đấu giá&gt; hoa, làm vườn&gt; cắt hoa, bó hoa&gt; Ikebana&gt; chạy</v>
      </c>
      <c r="G78" t="str">
        <f t="shared" ca="1" si="1"/>
        <v>"2084207328" : "chạy",</v>
      </c>
    </row>
    <row r="79" spans="1:7" ht="14.25" customHeight="1">
      <c r="A79" s="2">
        <v>2084207329</v>
      </c>
      <c r="B79" s="2" t="s">
        <v>46</v>
      </c>
      <c r="C79" s="2" t="s">
        <v>15530</v>
      </c>
      <c r="D79" s="2" t="s">
        <v>15533</v>
      </c>
      <c r="E79" s="4" t="str">
        <f ca="1">IFERROR(__xludf.DUMMYFUNCTION("GOOGLETRANSLATE(B79,""ja"",""vi"")"),"nếu không thì")</f>
        <v>nếu không thì</v>
      </c>
      <c r="F79" s="4" t="str">
        <f ca="1">IFERROR(__xludf.DUMMYFUNCTION("GOOGLETRANSLATE(C79,""ja"",""vi"")"),"Đấu giá&gt; hoa, làm vườn&gt; cắt hoa, bó hoa&gt; Ikebana&gt; Khác")</f>
        <v>Đấu giá&gt; hoa, làm vườn&gt; cắt hoa, bó hoa&gt; Ikebana&gt; Khác</v>
      </c>
      <c r="G79" t="str">
        <f t="shared" ca="1" si="1"/>
        <v>"2084207329" : "nếu không thì",</v>
      </c>
    </row>
    <row r="80" spans="1:7" ht="14.25" customHeight="1">
      <c r="A80" s="2">
        <v>2084047119</v>
      </c>
      <c r="B80" s="2" t="s">
        <v>2241</v>
      </c>
      <c r="C80" s="2" t="s">
        <v>13289</v>
      </c>
      <c r="D80" s="2" t="s">
        <v>15535</v>
      </c>
      <c r="E80" s="4" t="str">
        <f ca="1">IFERROR(__xludf.DUMMYFUNCTION("GOOGLETRANSLATE(B80,""ja"",""vi"")"),"chung")</f>
        <v>chung</v>
      </c>
      <c r="F80" s="4" t="str">
        <f ca="1">IFERROR(__xludf.DUMMYFUNCTION("GOOGLETRANSLATE(C80,""ja"",""vi"")"),"Đấu giá&gt; hoa, làm vườn&gt; hoa khô&gt; chung")</f>
        <v>Đấu giá&gt; hoa, làm vườn&gt; hoa khô&gt; chung</v>
      </c>
      <c r="G80" t="str">
        <f t="shared" ca="1" si="1"/>
        <v>"2084047119" : "chung",</v>
      </c>
    </row>
    <row r="81" spans="1:7" ht="14.25" customHeight="1">
      <c r="A81" s="2">
        <v>2084047121</v>
      </c>
      <c r="B81" s="2" t="s">
        <v>7155</v>
      </c>
      <c r="C81" s="2" t="s">
        <v>13296</v>
      </c>
      <c r="D81" s="2" t="s">
        <v>15538</v>
      </c>
      <c r="E81" s="4" t="str">
        <f ca="1">IFERROR(__xludf.DUMMYFUNCTION("GOOGLETRANSLATE(B81,""ja"",""vi"")"),"sắp xếp")</f>
        <v>sắp xếp</v>
      </c>
      <c r="F81" s="4" t="str">
        <f ca="1">IFERROR(__xludf.DUMMYFUNCTION("GOOGLETRANSLATE(C81,""ja"",""vi"")"),"Đấu giá&gt; hoa, làm vườn&gt; hoa khô&gt; sắp xếp")</f>
        <v>Đấu giá&gt; hoa, làm vườn&gt; hoa khô&gt; sắp xếp</v>
      </c>
      <c r="G81" t="str">
        <f t="shared" ca="1" si="1"/>
        <v>"2084047121" : "sắp xếp",</v>
      </c>
    </row>
    <row r="82" spans="1:7" ht="14.25" customHeight="1">
      <c r="A82" s="2">
        <v>2084047755</v>
      </c>
      <c r="B82" s="2" t="s">
        <v>13301</v>
      </c>
      <c r="C82" s="2" t="s">
        <v>13302</v>
      </c>
      <c r="D82" s="2" t="s">
        <v>15543</v>
      </c>
      <c r="E82" s="4" t="str">
        <f ca="1">IFERROR(__xludf.DUMMYFUNCTION("GOOGLETRANSLATE(B82,""ja"",""vi"")"),"potpourri")</f>
        <v>potpourri</v>
      </c>
      <c r="F82" s="4" t="str">
        <f ca="1">IFERROR(__xludf.DUMMYFUNCTION("GOOGLETRANSLATE(C82,""ja"",""vi"")"),"Đấu giá&gt; hoa, làm vườn&gt; hoa khô&gt; Potpourri")</f>
        <v>Đấu giá&gt; hoa, làm vườn&gt; hoa khô&gt; Potpourri</v>
      </c>
      <c r="G82" t="str">
        <f t="shared" ca="1" si="1"/>
        <v>"2084047755" : "potpourri",</v>
      </c>
    </row>
    <row r="83" spans="1:7" ht="14.25" customHeight="1">
      <c r="A83" s="2">
        <v>2084047120</v>
      </c>
      <c r="B83" s="2" t="s">
        <v>7164</v>
      </c>
      <c r="C83" s="2" t="s">
        <v>13308</v>
      </c>
      <c r="D83" s="2" t="s">
        <v>15546</v>
      </c>
      <c r="E83" s="4" t="str">
        <f ca="1">IFERROR(__xludf.DUMMYFUNCTION("GOOGLETRANSLATE(B83,""ja"",""vi"")"),"cho thuê")</f>
        <v>cho thuê</v>
      </c>
      <c r="F83" s="4" t="str">
        <f ca="1">IFERROR(__xludf.DUMMYFUNCTION("GOOGLETRANSLATE(C83,""ja"",""vi"")"),"Đấu giá&gt; hoa, làm vườn&gt; hoa khô&gt; thuê")</f>
        <v>Đấu giá&gt; hoa, làm vườn&gt; hoa khô&gt; thuê</v>
      </c>
      <c r="G83" t="str">
        <f t="shared" ca="1" si="1"/>
        <v>"2084047120" : "cho thuê",</v>
      </c>
    </row>
    <row r="84" spans="1:7" ht="14.25" customHeight="1">
      <c r="A84" s="2">
        <v>2084207325</v>
      </c>
      <c r="B84" s="2" t="s">
        <v>13310</v>
      </c>
      <c r="C84" s="2" t="s">
        <v>13312</v>
      </c>
      <c r="D84" s="2" t="s">
        <v>15550</v>
      </c>
      <c r="E84" s="4" t="str">
        <f ca="1">IFERROR(__xludf.DUMMYFUNCTION("GOOGLETRANSLATE(B84,""ja"",""vi"")"),"bó hoa")</f>
        <v>bó hoa</v>
      </c>
      <c r="F84" s="4" t="str">
        <f ca="1">IFERROR(__xludf.DUMMYFUNCTION("GOOGLETRANSLATE(C84,""ja"",""vi"")"),"Đấu giá&gt; hoa, làm vườn&gt; hoa khô&gt; bó")</f>
        <v>Đấu giá&gt; hoa, làm vườn&gt; hoa khô&gt; bó</v>
      </c>
      <c r="G84" t="str">
        <f t="shared" ca="1" si="1"/>
        <v>"2084207325" : "bó hoa",</v>
      </c>
    </row>
    <row r="85" spans="1:7" ht="14.25" customHeight="1">
      <c r="A85" s="2">
        <v>2084047124</v>
      </c>
      <c r="B85" s="2" t="s">
        <v>2241</v>
      </c>
      <c r="C85" s="2" t="s">
        <v>7150</v>
      </c>
      <c r="D85" s="2" t="s">
        <v>15554</v>
      </c>
      <c r="E85" s="4" t="str">
        <f ca="1">IFERROR(__xludf.DUMMYFUNCTION("GOOGLETRANSLATE(B85,""ja"",""vi"")"),"chung")</f>
        <v>chung</v>
      </c>
      <c r="F85" s="4" t="str">
        <f ca="1">IFERROR(__xludf.DUMMYFUNCTION("GOOGLETRANSLATE(C85,""ja"",""vi"")"),"Đấu giá&gt; Sở thích, văn hóa&gt; thủ công, thủ công mỹ nghệ&gt; Nghệ thuật hoa, hoa ép&gt; General")</f>
        <v>Đấu giá&gt; Sở thích, văn hóa&gt; thủ công, thủ công mỹ nghệ&gt; Nghệ thuật hoa, hoa ép&gt; General</v>
      </c>
      <c r="G85" t="str">
        <f t="shared" ca="1" si="1"/>
        <v>"2084047124" : "chung",</v>
      </c>
    </row>
    <row r="86" spans="1:7" ht="14.25" customHeight="1">
      <c r="A86" s="2">
        <v>2084047123</v>
      </c>
      <c r="B86" s="2" t="s">
        <v>7155</v>
      </c>
      <c r="C86" s="2" t="s">
        <v>7157</v>
      </c>
      <c r="D86" s="2" t="s">
        <v>15557</v>
      </c>
      <c r="E86" s="4" t="str">
        <f ca="1">IFERROR(__xludf.DUMMYFUNCTION("GOOGLETRANSLATE(B86,""ja"",""vi"")"),"sắp xếp")</f>
        <v>sắp xếp</v>
      </c>
      <c r="F86" s="4" t="str">
        <f ca="1">IFERROR(__xludf.DUMMYFUNCTION("GOOGLETRANSLATE(C86,""ja"",""vi"")"),"Đấu giá&gt; Sở thích, văn hóa&gt; thủ công, thủ công mỹ nghệ&gt; Nghệ thuật hoa, hoa ép&gt; sắp xếp")</f>
        <v>Đấu giá&gt; Sở thích, văn hóa&gt; thủ công, thủ công mỹ nghệ&gt; Nghệ thuật hoa, hoa ép&gt; sắp xếp</v>
      </c>
      <c r="G86" t="str">
        <f t="shared" ca="1" si="1"/>
        <v>"2084047123" : "sắp xếp",</v>
      </c>
    </row>
    <row r="87" spans="1:7" ht="14.25" customHeight="1">
      <c r="A87" s="2">
        <v>2084047122</v>
      </c>
      <c r="B87" s="2" t="s">
        <v>7164</v>
      </c>
      <c r="C87" s="2" t="s">
        <v>7165</v>
      </c>
      <c r="D87" s="2" t="s">
        <v>15560</v>
      </c>
      <c r="E87" s="4" t="str">
        <f ca="1">IFERROR(__xludf.DUMMYFUNCTION("GOOGLETRANSLATE(B87,""ja"",""vi"")"),"cho thuê")</f>
        <v>cho thuê</v>
      </c>
      <c r="F87" s="4" t="str">
        <f ca="1">IFERROR(__xludf.DUMMYFUNCTION("GOOGLETRANSLATE(C87,""ja"",""vi"")"),"Đấu giá&gt; Sở thích, văn hóa&gt; thủ công, thủ công mỹ nghệ&gt; Art Flower, ép hoa&gt; thuê")</f>
        <v>Đấu giá&gt; Sở thích, văn hóa&gt; thủ công, thủ công mỹ nghệ&gt; Art Flower, ép hoa&gt; thuê</v>
      </c>
      <c r="G87" t="str">
        <f t="shared" ca="1" si="1"/>
        <v>"2084047122" : "cho thuê",</v>
      </c>
    </row>
    <row r="88" spans="1:7" ht="14.25" customHeight="1">
      <c r="A88" s="2">
        <v>2084048858</v>
      </c>
      <c r="B88" s="2" t="s">
        <v>7171</v>
      </c>
      <c r="C88" s="2" t="s">
        <v>7172</v>
      </c>
      <c r="D88" s="2" t="s">
        <v>15565</v>
      </c>
      <c r="E88" s="4" t="str">
        <f ca="1">IFERROR(__xludf.DUMMYFUNCTION("GOOGLETRANSLATE(B88,""ja"",""vi"")"),"ép hoa")</f>
        <v>ép hoa</v>
      </c>
      <c r="F88" s="4" t="str">
        <f ca="1">IFERROR(__xludf.DUMMYFUNCTION("GOOGLETRANSLATE(C88,""ja"",""vi"")"),"Đấu giá&gt; Sở thích, văn hóa&gt; thủ công, thủ công mỹ nghệ&gt; Art Flower, Pressed&gt; hoa ép")</f>
        <v>Đấu giá&gt; Sở thích, văn hóa&gt; thủ công, thủ công mỹ nghệ&gt; Art Flower, Pressed&gt; hoa ép</v>
      </c>
      <c r="G88" t="str">
        <f t="shared" ca="1" si="1"/>
        <v>"2084048858" : "ép hoa",</v>
      </c>
    </row>
    <row r="89" spans="1:7" ht="14.25" customHeight="1">
      <c r="A89" s="2">
        <v>2084305337</v>
      </c>
      <c r="B89" s="2" t="s">
        <v>7176</v>
      </c>
      <c r="C89" s="2" t="s">
        <v>7178</v>
      </c>
      <c r="D89" s="2" t="s">
        <v>15568</v>
      </c>
      <c r="E89" s="4" t="str">
        <f ca="1">IFERROR(__xludf.DUMMYFUNCTION("GOOGLETRANSLATE(B89,""ja"",""vi"")"),"Vật liệu, dụng cụ")</f>
        <v>Vật liệu, dụng cụ</v>
      </c>
      <c r="F89" s="4" t="str">
        <f ca="1">IFERROR(__xludf.DUMMYFUNCTION("GOOGLETRANSLATE(C89,""ja"",""vi"")"),"Đấu giá&gt; Sở thích, văn hóa&gt; thủ công, thủ công mỹ nghệ&gt; Nghệ thuật hoa, hoa ép&gt; nguyên liệu, dụng cụ")</f>
        <v>Đấu giá&gt; Sở thích, văn hóa&gt; thủ công, thủ công mỹ nghệ&gt; Nghệ thuật hoa, hoa ép&gt; nguyên liệu, dụng cụ</v>
      </c>
      <c r="G89" t="str">
        <f t="shared" ca="1" si="1"/>
        <v>"2084305337" : "Vật liệu, dụng cụ",</v>
      </c>
    </row>
    <row r="90" spans="1:7" ht="14.25" customHeight="1">
      <c r="A90" s="2">
        <v>2084305338</v>
      </c>
      <c r="B90" s="2" t="s">
        <v>6950</v>
      </c>
      <c r="C90" s="2" t="s">
        <v>7183</v>
      </c>
      <c r="D90" s="2" t="s">
        <v>15573</v>
      </c>
      <c r="E90" s="4" t="str">
        <f ca="1">IFERROR(__xludf.DUMMYFUNCTION("GOOGLETRANSLATE(B90,""ja"",""vi"")"),"xây dựng Kit")</f>
        <v>xây dựng Kit</v>
      </c>
      <c r="F90" s="4" t="str">
        <f ca="1">IFERROR(__xludf.DUMMYFUNCTION("GOOGLETRANSLATE(C90,""ja"",""vi"")"),"Đấu giá&gt; Sở thích, văn hóa&gt; thủ công, thủ công mỹ nghệ&gt; Nghệ thuật hoa, hoa ép&gt; Xây dựng Kit")</f>
        <v>Đấu giá&gt; Sở thích, văn hóa&gt; thủ công, thủ công mỹ nghệ&gt; Nghệ thuật hoa, hoa ép&gt; Xây dựng Kit</v>
      </c>
      <c r="G90" t="str">
        <f t="shared" ca="1" si="1"/>
        <v>"2084305338" : "xây dựng Kit",</v>
      </c>
    </row>
    <row r="91" spans="1:7" ht="14.25" customHeight="1">
      <c r="A91" s="2">
        <v>2084305336</v>
      </c>
      <c r="B91" s="2" t="s">
        <v>3665</v>
      </c>
      <c r="C91" s="2" t="s">
        <v>7188</v>
      </c>
      <c r="D91" s="2" t="s">
        <v>15577</v>
      </c>
      <c r="E91" s="4" t="str">
        <f ca="1">IFERROR(__xludf.DUMMYFUNCTION("GOOGLETRANSLATE(B91,""ja"",""vi"")"),"thành phẩm")</f>
        <v>thành phẩm</v>
      </c>
      <c r="F91" s="4" t="str">
        <f ca="1">IFERROR(__xludf.DUMMYFUNCTION("GOOGLETRANSLATE(C91,""ja"",""vi"")"),"Đấu giá&gt; Sở thích, văn hóa&gt; thủ công, thủ công mỹ nghệ&gt; Nghệ thuật hoa, hoa ép&gt; thành phẩm")</f>
        <v>Đấu giá&gt; Sở thích, văn hóa&gt; thủ công, thủ công mỹ nghệ&gt; Nghệ thuật hoa, hoa ép&gt; thành phẩm</v>
      </c>
      <c r="G91" t="str">
        <f t="shared" ca="1" si="1"/>
        <v>"2084305336" : "thành phẩm",</v>
      </c>
    </row>
    <row r="92" spans="1:7" ht="14.25" customHeight="1">
      <c r="A92" s="2">
        <v>2084006708</v>
      </c>
      <c r="B92" s="2" t="s">
        <v>7192</v>
      </c>
      <c r="C92" s="2" t="s">
        <v>7194</v>
      </c>
      <c r="D92" s="2" t="s">
        <v>15581</v>
      </c>
      <c r="E92" s="4" t="str">
        <f ca="1">IFERROR(__xludf.DUMMYFUNCTION("GOOGLETRANSLATE(B92,""ja"",""vi"")"),"hoa khô")</f>
        <v>hoa khô</v>
      </c>
      <c r="F92" s="4" t="str">
        <f ca="1">IFERROR(__xludf.DUMMYFUNCTION("GOOGLETRANSLATE(C92,""ja"",""vi"")"),"Đấu giá&gt; Sở thích, văn hóa&gt; thủ công, thủ công mỹ nghệ&gt; Nghệ thuật hoa, hoa ép&gt; hoa khô")</f>
        <v>Đấu giá&gt; Sở thích, văn hóa&gt; thủ công, thủ công mỹ nghệ&gt; Nghệ thuật hoa, hoa ép&gt; hoa khô</v>
      </c>
      <c r="G92" t="str">
        <f t="shared" ca="1" si="1"/>
        <v>"2084006708" : "hoa khô",</v>
      </c>
    </row>
    <row r="93" spans="1:7" ht="14.25" customHeight="1">
      <c r="A93" s="2">
        <v>2084207362</v>
      </c>
      <c r="B93" s="2" t="s">
        <v>15584</v>
      </c>
      <c r="C93" s="8" t="s">
        <v>15585</v>
      </c>
      <c r="D93" s="2" t="s">
        <v>15588</v>
      </c>
      <c r="E93" s="4" t="str">
        <f ca="1">IFERROR(__xludf.DUMMYFUNCTION("GOOGLETRANSLATE(B93,""ja"",""vi"")"),"Satsuki (Satsuki)")</f>
        <v>Satsuki (Satsuki)</v>
      </c>
      <c r="F93" s="4" t="str">
        <f ca="1">IFERROR(__xludf.DUMMYFUNCTION("GOOGLETRANSLATE(C93,""ja"",""vi"")"),"Đấu giá&gt; hoa, làm vườn&gt; cây cảnh&gt; Bonsai&gt; Satsuki (Satsuki)")</f>
        <v>Đấu giá&gt; hoa, làm vườn&gt; cây cảnh&gt; Bonsai&gt; Satsuki (Satsuki)</v>
      </c>
      <c r="G93" t="str">
        <f t="shared" ca="1" si="1"/>
        <v>"2084207362" : "Satsuki (Satsuki)",</v>
      </c>
    </row>
    <row r="94" spans="1:7" ht="14.25" customHeight="1">
      <c r="A94" s="2">
        <v>2084207360</v>
      </c>
      <c r="B94" s="2" t="s">
        <v>15590</v>
      </c>
      <c r="C94" s="8" t="s">
        <v>15591</v>
      </c>
      <c r="D94" s="2" t="s">
        <v>15594</v>
      </c>
      <c r="E94" s="4" t="str">
        <f ca="1">IFERROR(__xludf.DUMMYFUNCTION("GOOGLETRANSLATE(B94,""ja"",""vi"")"),"cây thông")</f>
        <v>cây thông</v>
      </c>
      <c r="F94" s="4" t="str">
        <f ca="1">IFERROR(__xludf.DUMMYFUNCTION("GOOGLETRANSLATE(C94,""ja"",""vi"")"),"Đấu giá&gt; hoa, làm vườn&gt; cây cảnh&gt; Bonsai&gt; thông")</f>
        <v>Đấu giá&gt; hoa, làm vườn&gt; cây cảnh&gt; Bonsai&gt; thông</v>
      </c>
      <c r="G94" t="str">
        <f t="shared" ca="1" si="1"/>
        <v>"2084207360" : "cây thông",</v>
      </c>
    </row>
    <row r="95" spans="1:7" ht="14.25" customHeight="1">
      <c r="A95" s="2">
        <v>2084207361</v>
      </c>
      <c r="B95" s="2" t="s">
        <v>15596</v>
      </c>
      <c r="C95" s="8" t="s">
        <v>15597</v>
      </c>
      <c r="D95" s="2" t="s">
        <v>15599</v>
      </c>
      <c r="E95" s="4" t="str">
        <f ca="1">IFERROR(__xludf.DUMMYFUNCTION("GOOGLETRANSLATE(B95,""ja"",""vi"")"),"mận")</f>
        <v>mận</v>
      </c>
      <c r="F95" s="4" t="str">
        <f ca="1">IFERROR(__xludf.DUMMYFUNCTION("GOOGLETRANSLATE(C95,""ja"",""vi"")"),"Đấu giá&gt; hoa, làm vườn&gt; cây cảnh&gt; Bonsai&gt; mận")</f>
        <v>Đấu giá&gt; hoa, làm vườn&gt; cây cảnh&gt; Bonsai&gt; mận</v>
      </c>
      <c r="G95" t="str">
        <f t="shared" ca="1" si="1"/>
        <v>"2084207361" : "mận",</v>
      </c>
    </row>
    <row r="96" spans="1:7" ht="14.25" customHeight="1">
      <c r="A96" s="2">
        <v>2084207363</v>
      </c>
      <c r="B96" s="2" t="s">
        <v>15602</v>
      </c>
      <c r="C96" s="8" t="s">
        <v>15603</v>
      </c>
      <c r="D96" s="2" t="s">
        <v>15604</v>
      </c>
      <c r="E96" s="4" t="str">
        <f ca="1">IFERROR(__xludf.DUMMYFUNCTION("GOOGLETRANSLATE(B96,""ja"",""vi"")"),"Maple (maple)")</f>
        <v>Maple (maple)</v>
      </c>
      <c r="F96" s="4" t="str">
        <f ca="1">IFERROR(__xludf.DUMMYFUNCTION("GOOGLETRANSLATE(C96,""ja"",""vi"")"),"Đấu giá&gt; hoa, làm vườn&gt; cây cảnh&gt; Bonsai&gt; phong (maple)")</f>
        <v>Đấu giá&gt; hoa, làm vườn&gt; cây cảnh&gt; Bonsai&gt; phong (maple)</v>
      </c>
      <c r="G96" t="str">
        <f t="shared" ca="1" si="1"/>
        <v>"2084207363" : "Maple (maple)",</v>
      </c>
    </row>
    <row r="97" spans="1:7" ht="14.25" customHeight="1">
      <c r="A97" s="2">
        <v>2084207364</v>
      </c>
      <c r="B97" s="2" t="s">
        <v>15607</v>
      </c>
      <c r="C97" s="8" t="s">
        <v>15608</v>
      </c>
      <c r="D97" s="2" t="s">
        <v>15609</v>
      </c>
      <c r="E97" s="4" t="str">
        <f ca="1">IFERROR(__xludf.DUMMYFUNCTION("GOOGLETRANSLATE(B97,""ja"",""vi"")"),"Zelkova (Zelkova)")</f>
        <v>Zelkova (Zelkova)</v>
      </c>
      <c r="F97" s="4" t="str">
        <f ca="1">IFERROR(__xludf.DUMMYFUNCTION("GOOGLETRANSLATE(C97,""ja"",""vi"")"),"Đấu giá&gt; hoa, làm vườn&gt; cây cảnh&gt; Bonsai&gt; Zelkova (Zelkova)")</f>
        <v>Đấu giá&gt; hoa, làm vườn&gt; cây cảnh&gt; Bonsai&gt; Zelkova (Zelkova)</v>
      </c>
      <c r="G97" t="str">
        <f t="shared" ca="1" si="1"/>
        <v>"2084207364" : "Zelkova (Zelkova)",</v>
      </c>
    </row>
    <row r="98" spans="1:7" ht="14.25" customHeight="1">
      <c r="A98" s="2">
        <v>2084207365</v>
      </c>
      <c r="B98" s="2" t="s">
        <v>46</v>
      </c>
      <c r="C98" s="8" t="s">
        <v>15612</v>
      </c>
      <c r="D98" s="2" t="s">
        <v>15614</v>
      </c>
      <c r="E98" s="4" t="str">
        <f ca="1">IFERROR(__xludf.DUMMYFUNCTION("GOOGLETRANSLATE(B98,""ja"",""vi"")"),"nếu không thì")</f>
        <v>nếu không thì</v>
      </c>
      <c r="F98" s="4" t="str">
        <f ca="1">IFERROR(__xludf.DUMMYFUNCTION("GOOGLETRANSLATE(C98,""ja"",""vi"")"),"Đấu giá&gt; hoa, làm vườn&gt; cây cảnh&gt; Bonsai&gt; Khác")</f>
        <v>Đấu giá&gt; hoa, làm vườn&gt; cây cảnh&gt; Bonsai&gt; Khác</v>
      </c>
      <c r="G98" t="str">
        <f t="shared" ca="1" si="1"/>
        <v>"2084207365" : "nếu không thì",</v>
      </c>
    </row>
    <row r="99" spans="1:7" ht="14.25" customHeight="1">
      <c r="A99" s="2">
        <v>2084207387</v>
      </c>
      <c r="B99" s="2" t="s">
        <v>13223</v>
      </c>
      <c r="C99" s="2" t="s">
        <v>15616</v>
      </c>
      <c r="D99" s="2" t="s">
        <v>15618</v>
      </c>
      <c r="E99" s="4" t="str">
        <f ca="1">IFERROR(__xludf.DUMMYFUNCTION("GOOGLETRANSLATE(B99,""ja"",""vi"")"),"nồi")</f>
        <v>nồi</v>
      </c>
      <c r="F99" s="4" t="str">
        <f ca="1">IFERROR(__xludf.DUMMYFUNCTION("GOOGLETRANSLATE(C99,""ja"",""vi"")"),"Đấu giá&gt; hoa, làm vườn&gt; cây cảnh&gt; Bonsai thiết bị&gt; bát")</f>
        <v>Đấu giá&gt; hoa, làm vườn&gt; cây cảnh&gt; Bonsai thiết bị&gt; bát</v>
      </c>
      <c r="G99" t="str">
        <f t="shared" ca="1" si="1"/>
        <v>"2084207387" : "nồi",</v>
      </c>
    </row>
    <row r="100" spans="1:7" ht="14.25" customHeight="1">
      <c r="A100" s="2">
        <v>2084207388</v>
      </c>
      <c r="B100" s="2" t="s">
        <v>46</v>
      </c>
      <c r="C100" s="2" t="s">
        <v>15620</v>
      </c>
      <c r="D100" s="2" t="s">
        <v>15621</v>
      </c>
      <c r="E100" s="4" t="str">
        <f ca="1">IFERROR(__xludf.DUMMYFUNCTION("GOOGLETRANSLATE(B100,""ja"",""vi"")"),"nếu không thì")</f>
        <v>nếu không thì</v>
      </c>
      <c r="F100" s="4" t="str">
        <f ca="1">IFERROR(__xludf.DUMMYFUNCTION("GOOGLETRANSLATE(C100,""ja"",""vi"")"),"Đấu giá&gt; hoa, làm vườn&gt; cây cảnh&gt; Bonsai thiết bị&gt; Khác")</f>
        <v>Đấu giá&gt; hoa, làm vườn&gt; cây cảnh&gt; Bonsai thiết bị&gt; Khác</v>
      </c>
      <c r="G100" t="str">
        <f t="shared" ca="1" si="1"/>
        <v>"2084207388" : "nếu không thì",</v>
      </c>
    </row>
    <row r="101" spans="1:7" ht="14.25" customHeight="1">
      <c r="A101" s="2">
        <v>2084047124</v>
      </c>
      <c r="B101" s="2" t="s">
        <v>2241</v>
      </c>
      <c r="C101" s="2" t="s">
        <v>7150</v>
      </c>
      <c r="D101" s="2" t="s">
        <v>15554</v>
      </c>
      <c r="E101" s="4" t="str">
        <f ca="1">IFERROR(__xludf.DUMMYFUNCTION("GOOGLETRANSLATE(B101,""ja"",""vi"")"),"chung")</f>
        <v>chung</v>
      </c>
      <c r="F101" s="4" t="str">
        <f ca="1">IFERROR(__xludf.DUMMYFUNCTION("GOOGLETRANSLATE(C101,""ja"",""vi"")"),"Đấu giá&gt; Sở thích, văn hóa&gt; thủ công, thủ công mỹ nghệ&gt; Nghệ thuật hoa, hoa ép&gt; General")</f>
        <v>Đấu giá&gt; Sở thích, văn hóa&gt; thủ công, thủ công mỹ nghệ&gt; Nghệ thuật hoa, hoa ép&gt; General</v>
      </c>
      <c r="G101" t="str">
        <f t="shared" ca="1" si="1"/>
        <v>"2084047124" : "chung",</v>
      </c>
    </row>
    <row r="102" spans="1:7" ht="14.25" customHeight="1">
      <c r="A102" s="2">
        <v>2084047123</v>
      </c>
      <c r="B102" s="2" t="s">
        <v>7155</v>
      </c>
      <c r="C102" s="2" t="s">
        <v>7157</v>
      </c>
      <c r="D102" s="2" t="s">
        <v>15557</v>
      </c>
      <c r="E102" s="4" t="str">
        <f ca="1">IFERROR(__xludf.DUMMYFUNCTION("GOOGLETRANSLATE(B102,""ja"",""vi"")"),"sắp xếp")</f>
        <v>sắp xếp</v>
      </c>
      <c r="F102" s="4" t="str">
        <f ca="1">IFERROR(__xludf.DUMMYFUNCTION("GOOGLETRANSLATE(C102,""ja"",""vi"")"),"Đấu giá&gt; Sở thích, văn hóa&gt; thủ công, thủ công mỹ nghệ&gt; Nghệ thuật hoa, hoa ép&gt; sắp xếp")</f>
        <v>Đấu giá&gt; Sở thích, văn hóa&gt; thủ công, thủ công mỹ nghệ&gt; Nghệ thuật hoa, hoa ép&gt; sắp xếp</v>
      </c>
      <c r="G102" t="str">
        <f t="shared" ca="1" si="1"/>
        <v>"2084047123" : "sắp xếp",</v>
      </c>
    </row>
    <row r="103" spans="1:7" ht="14.25" customHeight="1">
      <c r="A103" s="2">
        <v>2084047122</v>
      </c>
      <c r="B103" s="2" t="s">
        <v>7164</v>
      </c>
      <c r="C103" s="2" t="s">
        <v>7165</v>
      </c>
      <c r="D103" s="2" t="s">
        <v>15560</v>
      </c>
      <c r="E103" s="4" t="str">
        <f ca="1">IFERROR(__xludf.DUMMYFUNCTION("GOOGLETRANSLATE(B103,""ja"",""vi"")"),"cho thuê")</f>
        <v>cho thuê</v>
      </c>
      <c r="F103" s="4" t="str">
        <f ca="1">IFERROR(__xludf.DUMMYFUNCTION("GOOGLETRANSLATE(C103,""ja"",""vi"")"),"Đấu giá&gt; Sở thích, văn hóa&gt; thủ công, thủ công mỹ nghệ&gt; Art Flower, ép hoa&gt; thuê")</f>
        <v>Đấu giá&gt; Sở thích, văn hóa&gt; thủ công, thủ công mỹ nghệ&gt; Art Flower, ép hoa&gt; thuê</v>
      </c>
      <c r="G103" t="str">
        <f t="shared" ca="1" si="1"/>
        <v>"2084047122" : "cho thuê",</v>
      </c>
    </row>
    <row r="104" spans="1:7" ht="14.25" customHeight="1">
      <c r="A104" s="2">
        <v>2084048858</v>
      </c>
      <c r="B104" s="2" t="s">
        <v>7171</v>
      </c>
      <c r="C104" s="2" t="s">
        <v>7172</v>
      </c>
      <c r="D104" s="2" t="s">
        <v>15565</v>
      </c>
      <c r="E104" s="4" t="str">
        <f ca="1">IFERROR(__xludf.DUMMYFUNCTION("GOOGLETRANSLATE(B104,""ja"",""vi"")"),"ép hoa")</f>
        <v>ép hoa</v>
      </c>
      <c r="F104" s="4" t="str">
        <f ca="1">IFERROR(__xludf.DUMMYFUNCTION("GOOGLETRANSLATE(C104,""ja"",""vi"")"),"Đấu giá&gt; Sở thích, văn hóa&gt; thủ công, thủ công mỹ nghệ&gt; Art Flower, Pressed&gt; hoa ép")</f>
        <v>Đấu giá&gt; Sở thích, văn hóa&gt; thủ công, thủ công mỹ nghệ&gt; Art Flower, Pressed&gt; hoa ép</v>
      </c>
      <c r="G104" t="str">
        <f t="shared" ca="1" si="1"/>
        <v>"2084048858" : "ép hoa",</v>
      </c>
    </row>
    <row r="105" spans="1:7" ht="14.25" customHeight="1">
      <c r="A105" s="2">
        <v>2084305337</v>
      </c>
      <c r="B105" s="2" t="s">
        <v>7176</v>
      </c>
      <c r="C105" s="2" t="s">
        <v>7178</v>
      </c>
      <c r="D105" s="2" t="s">
        <v>15568</v>
      </c>
      <c r="E105" s="4" t="str">
        <f ca="1">IFERROR(__xludf.DUMMYFUNCTION("GOOGLETRANSLATE(B105,""ja"",""vi"")"),"Vật liệu, dụng cụ")</f>
        <v>Vật liệu, dụng cụ</v>
      </c>
      <c r="F105" s="4" t="str">
        <f ca="1">IFERROR(__xludf.DUMMYFUNCTION("GOOGLETRANSLATE(C105,""ja"",""vi"")"),"Đấu giá&gt; Sở thích, văn hóa&gt; thủ công, thủ công mỹ nghệ&gt; Nghệ thuật hoa, hoa ép&gt; nguyên liệu, dụng cụ")</f>
        <v>Đấu giá&gt; Sở thích, văn hóa&gt; thủ công, thủ công mỹ nghệ&gt; Nghệ thuật hoa, hoa ép&gt; nguyên liệu, dụng cụ</v>
      </c>
      <c r="G105" t="str">
        <f t="shared" ca="1" si="1"/>
        <v>"2084305337" : "Vật liệu, dụng cụ",</v>
      </c>
    </row>
    <row r="106" spans="1:7" ht="14.25" customHeight="1">
      <c r="A106" s="2">
        <v>2084305338</v>
      </c>
      <c r="B106" s="2" t="s">
        <v>6950</v>
      </c>
      <c r="C106" s="2" t="s">
        <v>7183</v>
      </c>
      <c r="D106" s="2" t="s">
        <v>15573</v>
      </c>
      <c r="E106" s="4" t="str">
        <f ca="1">IFERROR(__xludf.DUMMYFUNCTION("GOOGLETRANSLATE(B106,""ja"",""vi"")"),"xây dựng Kit")</f>
        <v>xây dựng Kit</v>
      </c>
      <c r="F106" s="4" t="str">
        <f ca="1">IFERROR(__xludf.DUMMYFUNCTION("GOOGLETRANSLATE(C106,""ja"",""vi"")"),"Đấu giá&gt; Sở thích, văn hóa&gt; thủ công, thủ công mỹ nghệ&gt; Nghệ thuật hoa, hoa ép&gt; Xây dựng Kit")</f>
        <v>Đấu giá&gt; Sở thích, văn hóa&gt; thủ công, thủ công mỹ nghệ&gt; Nghệ thuật hoa, hoa ép&gt; Xây dựng Kit</v>
      </c>
      <c r="G106" t="str">
        <f t="shared" ca="1" si="1"/>
        <v>"2084305338" : "xây dựng Kit",</v>
      </c>
    </row>
    <row r="107" spans="1:7" ht="14.25" customHeight="1">
      <c r="A107" s="2">
        <v>2084305336</v>
      </c>
      <c r="B107" s="2" t="s">
        <v>3665</v>
      </c>
      <c r="C107" s="2" t="s">
        <v>7188</v>
      </c>
      <c r="D107" s="2" t="s">
        <v>15577</v>
      </c>
      <c r="E107" s="4" t="str">
        <f ca="1">IFERROR(__xludf.DUMMYFUNCTION("GOOGLETRANSLATE(B107,""ja"",""vi"")"),"thành phẩm")</f>
        <v>thành phẩm</v>
      </c>
      <c r="F107" s="4" t="str">
        <f ca="1">IFERROR(__xludf.DUMMYFUNCTION("GOOGLETRANSLATE(C107,""ja"",""vi"")"),"Đấu giá&gt; Sở thích, văn hóa&gt; thủ công, thủ công mỹ nghệ&gt; Nghệ thuật hoa, hoa ép&gt; thành phẩm")</f>
        <v>Đấu giá&gt; Sở thích, văn hóa&gt; thủ công, thủ công mỹ nghệ&gt; Nghệ thuật hoa, hoa ép&gt; thành phẩm</v>
      </c>
      <c r="G107" t="str">
        <f t="shared" ca="1" si="1"/>
        <v>"2084305336" : "thành phẩm",</v>
      </c>
    </row>
    <row r="108" spans="1:7" ht="14.25" customHeight="1">
      <c r="A108" s="2">
        <v>2084006708</v>
      </c>
      <c r="B108" s="2" t="s">
        <v>7192</v>
      </c>
      <c r="C108" s="2" t="s">
        <v>7194</v>
      </c>
      <c r="D108" s="2" t="s">
        <v>15581</v>
      </c>
      <c r="E108" s="4" t="str">
        <f ca="1">IFERROR(__xludf.DUMMYFUNCTION("GOOGLETRANSLATE(B108,""ja"",""vi"")"),"hoa khô")</f>
        <v>hoa khô</v>
      </c>
      <c r="F108" s="4" t="str">
        <f ca="1">IFERROR(__xludf.DUMMYFUNCTION("GOOGLETRANSLATE(C108,""ja"",""vi"")"),"Đấu giá&gt; Sở thích, văn hóa&gt; thủ công, thủ công mỹ nghệ&gt; Nghệ thuật hoa, hoa ép&gt; hoa khô")</f>
        <v>Đấu giá&gt; Sở thích, văn hóa&gt; thủ công, thủ công mỹ nghệ&gt; Nghệ thuật hoa, hoa ép&gt; hoa khô</v>
      </c>
      <c r="G108" t="str">
        <f t="shared" ca="1" si="1"/>
        <v>"2084006708" : "hoa khô",</v>
      </c>
    </row>
    <row r="109" spans="1:7" ht="14.25" customHeight="1">
      <c r="A109" s="2">
        <v>2084207335</v>
      </c>
      <c r="B109" s="2" t="s">
        <v>15318</v>
      </c>
      <c r="C109" s="2" t="s">
        <v>15637</v>
      </c>
      <c r="D109" s="2" t="s">
        <v>15638</v>
      </c>
      <c r="E109" s="4" t="str">
        <f ca="1">IFERROR(__xludf.DUMMYFUNCTION("GOOGLETRANSLATE(B109,""ja"",""vi"")"),"hoa hồng")</f>
        <v>hoa hồng</v>
      </c>
      <c r="F109" s="4" t="str">
        <f ca="1">IFERROR(__xludf.DUMMYFUNCTION("GOOGLETRANSLATE(C109,""ja"",""vi"")"),"Đấu giá&gt; hoa, làm vườn&gt; chậu cây&gt; hoa&gt; hoa hồng")</f>
        <v>Đấu giá&gt; hoa, làm vườn&gt; chậu cây&gt; hoa&gt; hoa hồng</v>
      </c>
      <c r="G109" t="str">
        <f t="shared" ca="1" si="1"/>
        <v>"2084207335" : "hoa hồng",</v>
      </c>
    </row>
    <row r="110" spans="1:7" ht="14.25" customHeight="1">
      <c r="A110" s="2">
        <v>2084207336</v>
      </c>
      <c r="B110" s="2" t="s">
        <v>15390</v>
      </c>
      <c r="C110" s="2" t="s">
        <v>15640</v>
      </c>
      <c r="D110" s="2" t="s">
        <v>15641</v>
      </c>
      <c r="E110" s="4" t="str">
        <f ca="1">IFERROR(__xludf.DUMMYFUNCTION("GOOGLETRANSLATE(B110,""ja"",""vi"")"),"Lilies")</f>
        <v>Lilies</v>
      </c>
      <c r="F110" s="4" t="str">
        <f ca="1">IFERROR(__xludf.DUMMYFUNCTION("GOOGLETRANSLATE(C110,""ja"",""vi"")"),"Đấu giá&gt; hoa, làm vườn&gt; chậu cây&gt; hoa&gt; lily")</f>
        <v>Đấu giá&gt; hoa, làm vườn&gt; chậu cây&gt; hoa&gt; lily</v>
      </c>
      <c r="G110" t="str">
        <f t="shared" ca="1" si="1"/>
        <v>"2084207336" : "Lilies",</v>
      </c>
    </row>
    <row r="111" spans="1:7" ht="14.25" customHeight="1">
      <c r="A111" s="2">
        <v>2084207337</v>
      </c>
      <c r="B111" s="2" t="s">
        <v>15334</v>
      </c>
      <c r="C111" s="2" t="s">
        <v>15645</v>
      </c>
      <c r="D111" s="2" t="s">
        <v>15648</v>
      </c>
      <c r="E111" s="4" t="str">
        <f ca="1">IFERROR(__xludf.DUMMYFUNCTION("GOOGLETRANSLATE(B111,""ja"",""vi"")"),"chạy")</f>
        <v>chạy</v>
      </c>
      <c r="F111" s="4" t="str">
        <f ca="1">IFERROR(__xludf.DUMMYFUNCTION("GOOGLETRANSLATE(C111,""ja"",""vi"")"),"Đấu giá&gt; hoa, làm vườn&gt; chậu cây&gt; hoa&gt; phong lan")</f>
        <v>Đấu giá&gt; hoa, làm vườn&gt; chậu cây&gt; hoa&gt; phong lan</v>
      </c>
      <c r="G111" t="str">
        <f t="shared" ca="1" si="1"/>
        <v>"2084207337" : "chạy",</v>
      </c>
    </row>
    <row r="112" spans="1:7" ht="14.25" customHeight="1">
      <c r="A112" s="2">
        <v>2084207338</v>
      </c>
      <c r="B112" s="2" t="s">
        <v>46</v>
      </c>
      <c r="C112" s="2" t="s">
        <v>15652</v>
      </c>
      <c r="D112" s="2" t="s">
        <v>15655</v>
      </c>
      <c r="E112" s="4" t="str">
        <f ca="1">IFERROR(__xludf.DUMMYFUNCTION("GOOGLETRANSLATE(B112,""ja"",""vi"")"),"nếu không thì")</f>
        <v>nếu không thì</v>
      </c>
      <c r="F112" s="4" t="str">
        <f ca="1">IFERROR(__xludf.DUMMYFUNCTION("GOOGLETRANSLATE(C112,""ja"",""vi"")"),"Đấu giá&gt; hoa, làm vườn&gt; chậu cây&gt; hoa&gt; Khác")</f>
        <v>Đấu giá&gt; hoa, làm vườn&gt; chậu cây&gt; hoa&gt; Khác</v>
      </c>
      <c r="G112" t="str">
        <f t="shared" ca="1" si="1"/>
        <v>"2084207338" : "nếu không thì",</v>
      </c>
    </row>
    <row r="113" spans="1:7" ht="14.25" customHeight="1">
      <c r="A113" s="2">
        <v>2084216952</v>
      </c>
      <c r="B113" s="2" t="s">
        <v>13089</v>
      </c>
      <c r="C113" s="2" t="s">
        <v>13091</v>
      </c>
      <c r="D113" s="2" t="s">
        <v>15661</v>
      </c>
      <c r="E113" s="4" t="str">
        <f ca="1">IFERROR(__xludf.DUMMYFUNCTION("GOOGLETRANSLATE(B113,""ja"",""vi"")"),"agave")</f>
        <v>agave</v>
      </c>
      <c r="F113" s="4" t="str">
        <f ca="1">IFERROR(__xludf.DUMMYFUNCTION("GOOGLETRANSLATE(C113,""ja"",""vi"")"),"Đấu giá&gt; hoa, làm vườn&gt; cây trang trí&gt; agave")</f>
        <v>Đấu giá&gt; hoa, làm vườn&gt; cây trang trí&gt; agave</v>
      </c>
      <c r="G113" t="str">
        <f t="shared" ca="1" si="1"/>
        <v>"2084216952" : "agave",</v>
      </c>
    </row>
    <row r="114" spans="1:7" ht="14.25" customHeight="1">
      <c r="A114" s="2">
        <v>2084063285</v>
      </c>
      <c r="B114" s="2" t="s">
        <v>13094</v>
      </c>
      <c r="C114" s="2" t="s">
        <v>13097</v>
      </c>
      <c r="D114" s="2" t="s">
        <v>15665</v>
      </c>
      <c r="E114" s="4" t="str">
        <f ca="1">IFERROR(__xludf.DUMMYFUNCTION("GOOGLETRANSLATE(B114,""ja"",""vi"")"),"trái thơm")</f>
        <v>trái thơm</v>
      </c>
      <c r="F114" s="4" t="str">
        <f ca="1">IFERROR(__xludf.DUMMYFUNCTION("GOOGLETRANSLATE(C114,""ja"",""vi"")"),"Đấu giá&gt; hoa, làm vườn&gt; cây trang trí&gt; bromeliad")</f>
        <v>Đấu giá&gt; hoa, làm vườn&gt; cây trang trí&gt; bromeliad</v>
      </c>
      <c r="G114" t="str">
        <f t="shared" ca="1" si="1"/>
        <v>"2084063285" : "trái thơm",</v>
      </c>
    </row>
    <row r="115" spans="1:7" ht="14.25" customHeight="1">
      <c r="A115" s="2">
        <v>2084063286</v>
      </c>
      <c r="B115" s="2" t="s">
        <v>13099</v>
      </c>
      <c r="C115" s="2" t="s">
        <v>13100</v>
      </c>
      <c r="D115" s="2" t="s">
        <v>15671</v>
      </c>
      <c r="E115" s="4" t="str">
        <f ca="1">IFERROR(__xludf.DUMMYFUNCTION("GOOGLETRANSLATE(B115,""ja"",""vi"")"),"cây lô hội")</f>
        <v>cây lô hội</v>
      </c>
      <c r="F115" s="4" t="str">
        <f ca="1">IFERROR(__xludf.DUMMYFUNCTION("GOOGLETRANSLATE(C115,""ja"",""vi"")"),"Đấu giá&gt; hoa, làm vườn&gt; cây trang trí&gt; lô hội")</f>
        <v>Đấu giá&gt; hoa, làm vườn&gt; cây trang trí&gt; lô hội</v>
      </c>
      <c r="G115" t="str">
        <f t="shared" ca="1" si="1"/>
        <v>"2084063286" : "cây lô hội",</v>
      </c>
    </row>
    <row r="116" spans="1:7" ht="14.25" customHeight="1">
      <c r="A116" s="2">
        <v>2084063287</v>
      </c>
      <c r="B116" s="2" t="s">
        <v>13105</v>
      </c>
      <c r="C116" s="2" t="s">
        <v>13106</v>
      </c>
      <c r="D116" s="2" t="s">
        <v>15676</v>
      </c>
      <c r="E116" s="4" t="str">
        <f ca="1">IFERROR(__xludf.DUMMYFUNCTION("GOOGLETRANSLATE(B116,""ja"",""vi"")"),"Unberata")</f>
        <v>Unberata</v>
      </c>
      <c r="F116" s="4" t="str">
        <f ca="1">IFERROR(__xludf.DUMMYFUNCTION("GOOGLETRANSLATE(C116,""ja"",""vi"")"),"Đấu giá&gt; hoa, làm vườn&gt; cây trang trí&gt; Unberata")</f>
        <v>Đấu giá&gt; hoa, làm vườn&gt; cây trang trí&gt; Unberata</v>
      </c>
      <c r="G116" t="str">
        <f t="shared" ca="1" si="1"/>
        <v>"2084063287" : "Unberata",</v>
      </c>
    </row>
    <row r="117" spans="1:7" ht="14.25" customHeight="1">
      <c r="A117" s="2">
        <v>2084216954</v>
      </c>
      <c r="B117" s="2" t="s">
        <v>13110</v>
      </c>
      <c r="C117" s="2" t="s">
        <v>13112</v>
      </c>
      <c r="D117" s="2" t="s">
        <v>15682</v>
      </c>
      <c r="E117" s="4" t="str">
        <f ca="1">IFERROR(__xludf.DUMMYFUNCTION("GOOGLETRANSLATE(B117,""ja"",""vi"")"),"Augusta")</f>
        <v>Augusta</v>
      </c>
      <c r="F117" s="4" t="str">
        <f ca="1">IFERROR(__xludf.DUMMYFUNCTION("GOOGLETRANSLATE(C117,""ja"",""vi"")"),"Đấu giá&gt; hoa, làm vườn&gt; cây trang trí&gt; Augusta")</f>
        <v>Đấu giá&gt; hoa, làm vườn&gt; cây trang trí&gt; Augusta</v>
      </c>
      <c r="G117" t="str">
        <f t="shared" ca="1" si="1"/>
        <v>"2084216954" : "Augusta",</v>
      </c>
    </row>
    <row r="118" spans="1:7" ht="14.25" customHeight="1">
      <c r="A118" s="2">
        <v>2084063294</v>
      </c>
      <c r="B118" s="2" t="s">
        <v>13114</v>
      </c>
      <c r="C118" s="2" t="s">
        <v>13115</v>
      </c>
      <c r="D118" s="2" t="s">
        <v>15687</v>
      </c>
      <c r="E118" s="4" t="str">
        <f ca="1">IFERROR(__xludf.DUMMYFUNCTION("GOOGLETRANSLATE(B118,""ja"",""vi"")"),"chi ráy")</f>
        <v>chi ráy</v>
      </c>
      <c r="F118" s="4" t="str">
        <f ca="1">IFERROR(__xludf.DUMMYFUNCTION("GOOGLETRANSLATE(C118,""ja"",""vi"")"),"Đấu giá&gt; hoa, làm vườn&gt; cây trang trí&gt; chi ráy")</f>
        <v>Đấu giá&gt; hoa, làm vườn&gt; cây trang trí&gt; chi ráy</v>
      </c>
      <c r="G118" t="str">
        <f t="shared" ca="1" si="1"/>
        <v>"2084063294" : "chi ráy",</v>
      </c>
    </row>
    <row r="119" spans="1:7" ht="14.25" customHeight="1">
      <c r="A119" s="2">
        <v>2084063278</v>
      </c>
      <c r="B119" s="2" t="s">
        <v>13120</v>
      </c>
      <c r="C119" s="2" t="s">
        <v>13121</v>
      </c>
      <c r="D119" s="2" t="s">
        <v>15692</v>
      </c>
      <c r="E119" s="4" t="str">
        <f ca="1">IFERROR(__xludf.DUMMYFUNCTION("GOOGLETRANSLATE(B119,""ja"",""vi"")"),"cây xương rồng")</f>
        <v>cây xương rồng</v>
      </c>
      <c r="F119" s="4" t="str">
        <f ca="1">IFERROR(__xludf.DUMMYFUNCTION("GOOGLETRANSLATE(C119,""ja"",""vi"")"),"Đấu giá&gt; hoa, làm vườn&gt; cây trang trí&gt; cây xương rồng")</f>
        <v>Đấu giá&gt; hoa, làm vườn&gt; cây trang trí&gt; cây xương rồng</v>
      </c>
      <c r="G119" t="str">
        <f t="shared" ca="1" si="1"/>
        <v>"2084063278" : "cây xương rồng",</v>
      </c>
    </row>
    <row r="120" spans="1:7" ht="14.25" customHeight="1">
      <c r="A120" s="2">
        <v>2084063284</v>
      </c>
      <c r="B120" s="2" t="s">
        <v>13124</v>
      </c>
      <c r="C120" s="2" t="s">
        <v>13126</v>
      </c>
      <c r="D120" s="2" t="s">
        <v>15697</v>
      </c>
      <c r="E120" s="4" t="str">
        <f ca="1">IFERROR(__xludf.DUMMYFUNCTION("GOOGLETRANSLATE(B120,""ja"",""vi"")"),"Jasmine")</f>
        <v>Jasmine</v>
      </c>
      <c r="F120" s="4" t="str">
        <f ca="1">IFERROR(__xludf.DUMMYFUNCTION("GOOGLETRANSLATE(C120,""ja"",""vi"")"),"Đấu giá&gt; hoa, làm vườn&gt; cây trang trí&gt; hoa nhài")</f>
        <v>Đấu giá&gt; hoa, làm vườn&gt; cây trang trí&gt; hoa nhài</v>
      </c>
      <c r="G120" t="str">
        <f t="shared" ca="1" si="1"/>
        <v>"2084063284" : "Jasmine",</v>
      </c>
    </row>
    <row r="121" spans="1:7" ht="14.25" customHeight="1">
      <c r="A121" s="2">
        <v>2084063288</v>
      </c>
      <c r="B121" s="2" t="s">
        <v>13127</v>
      </c>
      <c r="C121" s="2" t="s">
        <v>13128</v>
      </c>
      <c r="D121" s="2" t="s">
        <v>15700</v>
      </c>
      <c r="E121" s="4" t="str">
        <f ca="1">IFERROR(__xludf.DUMMYFUNCTION("GOOGLETRANSLATE(B121,""ja"",""vi"")"),"Seromu")</f>
        <v>Seromu</v>
      </c>
      <c r="F121" s="4" t="str">
        <f ca="1">IFERROR(__xludf.DUMMYFUNCTION("GOOGLETRANSLATE(C121,""ja"",""vi"")"),"Đấu giá&gt; hoa, làm vườn&gt; cây trang trí&gt; Seromu")</f>
        <v>Đấu giá&gt; hoa, làm vườn&gt; cây trang trí&gt; Seromu</v>
      </c>
      <c r="G121" t="str">
        <f t="shared" ca="1" si="1"/>
        <v>"2084063288" : "Seromu",</v>
      </c>
    </row>
    <row r="122" spans="1:7" ht="14.25" customHeight="1">
      <c r="A122" s="2">
        <v>2084063289</v>
      </c>
      <c r="B122" s="2" t="s">
        <v>13132</v>
      </c>
      <c r="C122" s="2" t="s">
        <v>13133</v>
      </c>
      <c r="D122" s="2" t="s">
        <v>15704</v>
      </c>
      <c r="E122" s="4" t="str">
        <f ca="1">IFERROR(__xludf.DUMMYFUNCTION("GOOGLETRANSLATE(B122,""ja"",""vi"")"),"cây long huyết")</f>
        <v>cây long huyết</v>
      </c>
      <c r="F122" s="4" t="str">
        <f ca="1">IFERROR(__xludf.DUMMYFUNCTION("GOOGLETRANSLATE(C122,""ja"",""vi"")"),"Đấu giá&gt; hoa, làm vườn&gt; cây trang trí&gt; Dracaena")</f>
        <v>Đấu giá&gt; hoa, làm vườn&gt; cây trang trí&gt; Dracaena</v>
      </c>
      <c r="G122" t="str">
        <f t="shared" ca="1" si="1"/>
        <v>"2084063289" : "cây long huyết",</v>
      </c>
    </row>
    <row r="123" spans="1:7" ht="14.25" customHeight="1">
      <c r="A123" s="2">
        <v>2084063290</v>
      </c>
      <c r="B123" s="2" t="s">
        <v>13137</v>
      </c>
      <c r="C123" s="2" t="s">
        <v>13139</v>
      </c>
      <c r="D123" s="2" t="s">
        <v>15707</v>
      </c>
      <c r="E123" s="4" t="str">
        <f ca="1">IFERROR(__xludf.DUMMYFUNCTION("GOOGLETRANSLATE(B123,""ja"",""vi"")"),"Pachira")</f>
        <v>Pachira</v>
      </c>
      <c r="F123" s="4" t="str">
        <f ca="1">IFERROR(__xludf.DUMMYFUNCTION("GOOGLETRANSLATE(C123,""ja"",""vi"")"),"Đấu giá&gt; hoa, làm vườn&gt; cây trang trí&gt; pachira")</f>
        <v>Đấu giá&gt; hoa, làm vườn&gt; cây trang trí&gt; pachira</v>
      </c>
      <c r="G123" t="str">
        <f t="shared" ca="1" si="1"/>
        <v>"2084063290" : "Pachira",</v>
      </c>
    </row>
    <row r="124" spans="1:7" ht="14.25" customHeight="1">
      <c r="A124" s="2">
        <v>2084216953</v>
      </c>
      <c r="B124" s="2" t="s">
        <v>13142</v>
      </c>
      <c r="C124" s="2" t="s">
        <v>13144</v>
      </c>
      <c r="D124" s="2" t="s">
        <v>15709</v>
      </c>
      <c r="E124" s="4" t="str">
        <f ca="1">IFERROR(__xludf.DUMMYFUNCTION("GOOGLETRANSLATE(B124,""ja"",""vi"")"),"Bikakushida, dơi chạy")</f>
        <v>Bikakushida, dơi chạy</v>
      </c>
      <c r="F124" s="4" t="str">
        <f ca="1">IFERROR(__xludf.DUMMYFUNCTION("GOOGLETRANSLATE(C124,""ja"",""vi"")"),"Đấu giá&gt; hoa, làm vườn&gt; cây trang trí&gt; Bikakushida, dơi chạy")</f>
        <v>Đấu giá&gt; hoa, làm vườn&gt; cây trang trí&gt; Bikakushida, dơi chạy</v>
      </c>
      <c r="G124" t="str">
        <f t="shared" ca="1" si="1"/>
        <v>"2084216953" : "Bikakushida, dơi chạy",</v>
      </c>
    </row>
    <row r="125" spans="1:7" ht="14.25" customHeight="1">
      <c r="A125" s="2">
        <v>2084063279</v>
      </c>
      <c r="B125" s="2" t="s">
        <v>13148</v>
      </c>
      <c r="C125" s="2" t="s">
        <v>13150</v>
      </c>
      <c r="D125" s="2" t="s">
        <v>15714</v>
      </c>
      <c r="E125" s="4" t="str">
        <f ca="1">IFERROR(__xludf.DUMMYFUNCTION("GOOGLETRANSLATE(B125,""ja"",""vi"")"),"cây bồ đề")</f>
        <v>cây bồ đề</v>
      </c>
      <c r="F125" s="4" t="str">
        <f ca="1">IFERROR(__xludf.DUMMYFUNCTION("GOOGLETRANSLATE(C125,""ja"",""vi"")"),"Đấu giá&gt; hoa, làm vườn&gt; cây trang trí&gt; Benjamin")</f>
        <v>Đấu giá&gt; hoa, làm vườn&gt; cây trang trí&gt; Benjamin</v>
      </c>
      <c r="G125" t="str">
        <f t="shared" ca="1" si="1"/>
        <v>"2084063279" : "cây bồ đề",</v>
      </c>
    </row>
    <row r="126" spans="1:7" ht="14.25" customHeight="1">
      <c r="A126" s="2">
        <v>2084063293</v>
      </c>
      <c r="B126" s="2" t="s">
        <v>13154</v>
      </c>
      <c r="C126" s="2" t="s">
        <v>13156</v>
      </c>
      <c r="D126" s="2" t="s">
        <v>15717</v>
      </c>
      <c r="E126" s="4" t="str">
        <f ca="1">IFERROR(__xludf.DUMMYFUNCTION("GOOGLETRANSLATE(B126,""ja"",""vi"")"),"Hồng Kông bông gạo")</f>
        <v>Hồng Kông bông gạo</v>
      </c>
      <c r="F126" s="4" t="str">
        <f ca="1">IFERROR(__xludf.DUMMYFUNCTION("GOOGLETRANSLATE(C126,""ja"",""vi"")"),"Đấu giá&gt; hoa, làm vườn&gt; cây trang trí&gt; Hồng Kông bông gạo")</f>
        <v>Đấu giá&gt; hoa, làm vườn&gt; cây trang trí&gt; Hồng Kông bông gạo</v>
      </c>
      <c r="G126" t="str">
        <f t="shared" ca="1" si="1"/>
        <v>"2084063293" : "Hồng Kông bông gạo",</v>
      </c>
    </row>
    <row r="127" spans="1:7" ht="14.25" customHeight="1">
      <c r="A127" s="2">
        <v>2084063291</v>
      </c>
      <c r="B127" s="2" t="s">
        <v>13159</v>
      </c>
      <c r="C127" s="2" t="s">
        <v>13161</v>
      </c>
      <c r="D127" s="2" t="s">
        <v>15723</v>
      </c>
      <c r="E127" s="4" t="str">
        <f ca="1">IFERROR(__xludf.DUMMYFUNCTION("GOOGLETRANSLATE(B127,""ja"",""vi"")"),"Pothos")</f>
        <v>Pothos</v>
      </c>
      <c r="F127" s="4" t="str">
        <f ca="1">IFERROR(__xludf.DUMMYFUNCTION("GOOGLETRANSLATE(C127,""ja"",""vi"")"),"Đấu giá&gt; hoa, làm vườn&gt; cây trang trí&gt; Pothos")</f>
        <v>Đấu giá&gt; hoa, làm vườn&gt; cây trang trí&gt; Pothos</v>
      </c>
      <c r="G127" t="str">
        <f t="shared" ca="1" si="1"/>
        <v>"2084063291" : "Pothos",</v>
      </c>
    </row>
    <row r="128" spans="1:7" ht="14.25" customHeight="1">
      <c r="A128" s="2">
        <v>2084063282</v>
      </c>
      <c r="B128" s="2" t="s">
        <v>13164</v>
      </c>
      <c r="C128" s="2" t="s">
        <v>13166</v>
      </c>
      <c r="D128" s="2" t="s">
        <v>15727</v>
      </c>
      <c r="E128" s="4" t="str">
        <f ca="1">IFERROR(__xludf.DUMMYFUNCTION("GOOGLETRANSLATE(B128,""ja"",""vi"")"),"triệu tre")</f>
        <v>triệu tre</v>
      </c>
      <c r="F128" s="4" t="str">
        <f ca="1">IFERROR(__xludf.DUMMYFUNCTION("GOOGLETRANSLATE(C128,""ja"",""vi"")"),"Đấu giá&gt; hoa, làm vườn&gt; cây trang trí&gt; triệu tre")</f>
        <v>Đấu giá&gt; hoa, làm vườn&gt; cây trang trí&gt; triệu tre</v>
      </c>
      <c r="G128" t="str">
        <f t="shared" ca="1" si="1"/>
        <v>"2084063282" : "triệu tre",</v>
      </c>
    </row>
    <row r="129" spans="1:7" ht="14.25" customHeight="1">
      <c r="A129" s="2">
        <v>2084063280</v>
      </c>
      <c r="B129" s="2" t="s">
        <v>13169</v>
      </c>
      <c r="C129" s="2" t="s">
        <v>13171</v>
      </c>
      <c r="D129" s="2" t="s">
        <v>15731</v>
      </c>
      <c r="E129" s="4" t="str">
        <f ca="1">IFERROR(__xludf.DUMMYFUNCTION("GOOGLETRANSLATE(B129,""ja"",""vi"")"),"Monstera")</f>
        <v>Monstera</v>
      </c>
      <c r="F129" s="4" t="str">
        <f ca="1">IFERROR(__xludf.DUMMYFUNCTION("GOOGLETRANSLATE(C129,""ja"",""vi"")"),"Đấu giá&gt; hoa, làm vườn&gt; cây trang trí&gt; Monstera")</f>
        <v>Đấu giá&gt; hoa, làm vườn&gt; cây trang trí&gt; Monstera</v>
      </c>
      <c r="G129" t="str">
        <f t="shared" ca="1" si="1"/>
        <v>"2084063280" : "Monstera",</v>
      </c>
    </row>
    <row r="130" spans="1:7" ht="14.25" customHeight="1">
      <c r="A130" s="2">
        <v>2084063281</v>
      </c>
      <c r="B130" s="2" t="s">
        <v>13177</v>
      </c>
      <c r="C130" s="2" t="s">
        <v>13178</v>
      </c>
      <c r="D130" s="2" t="s">
        <v>15737</v>
      </c>
      <c r="E130" s="4" t="str">
        <f ca="1">IFERROR(__xludf.DUMMYFUNCTION("GOOGLETRANSLATE(B130,""ja"",""vi"")"),"lòng bàn tay")</f>
        <v>lòng bàn tay</v>
      </c>
      <c r="F130" s="4" t="str">
        <f ca="1">IFERROR(__xludf.DUMMYFUNCTION("GOOGLETRANSLATE(C130,""ja"",""vi"")"),"Đấu giá&gt; hoa, làm vườn&gt; cây trang trí&gt; cọ")</f>
        <v>Đấu giá&gt; hoa, làm vườn&gt; cây trang trí&gt; cọ</v>
      </c>
      <c r="G130" t="str">
        <f t="shared" ca="1" si="1"/>
        <v>"2084063281" : "lòng bàn tay",</v>
      </c>
    </row>
    <row r="131" spans="1:7" ht="14.25" customHeight="1">
      <c r="A131" s="2">
        <v>2084063292</v>
      </c>
      <c r="B131" s="2" t="s">
        <v>13183</v>
      </c>
      <c r="C131" s="2" t="s">
        <v>13184</v>
      </c>
      <c r="D131" s="2" t="s">
        <v>15744</v>
      </c>
      <c r="E131" s="4" t="str">
        <f ca="1">IFERROR(__xludf.DUMMYFUNCTION("GOOGLETRANSLATE(B131,""ja"",""vi"")"),"cây ngọc da hoa")</f>
        <v>cây ngọc da hoa</v>
      </c>
      <c r="F131" s="4" t="str">
        <f ca="1">IFERROR(__xludf.DUMMYFUNCTION("GOOGLETRANSLATE(C131,""ja"",""vi"")"),"Đấu giá&gt; hoa, làm vườn&gt; cây trang trí&gt; yucca")</f>
        <v>Đấu giá&gt; hoa, làm vườn&gt; cây trang trí&gt; yucca</v>
      </c>
      <c r="G131" t="str">
        <f t="shared" ref="G131:G157" ca="1" si="2">CONCATENATE(CHAR(34)&amp;"",A131,""&amp;CHAR(34)," : ", CHAR(34)&amp;"",E131,""&amp;CHAR(34),",")</f>
        <v>"2084063292" : "cây ngọc da hoa",</v>
      </c>
    </row>
    <row r="132" spans="1:7" ht="14.25" customHeight="1">
      <c r="A132" s="2">
        <v>2084006705</v>
      </c>
      <c r="B132" s="2" t="s">
        <v>13049</v>
      </c>
      <c r="C132" s="2" t="s">
        <v>13189</v>
      </c>
      <c r="D132" s="2" t="s">
        <v>15747</v>
      </c>
      <c r="E132" s="4" t="str">
        <f ca="1">IFERROR(__xludf.DUMMYFUNCTION("GOOGLETRANSLATE(B132,""ja"",""vi"")"),"hoa nhân tạo")</f>
        <v>hoa nhân tạo</v>
      </c>
      <c r="F132" s="4" t="str">
        <f ca="1">IFERROR(__xludf.DUMMYFUNCTION("GOOGLETRANSLATE(C132,""ja"",""vi"")"),"Đấu giá&gt; hoa, làm vườn&gt; cây trang trí&gt; hoa giả")</f>
        <v>Đấu giá&gt; hoa, làm vườn&gt; cây trang trí&gt; hoa giả</v>
      </c>
      <c r="G132" t="str">
        <f t="shared" ca="1" si="2"/>
        <v>"2084006705" : "hoa nhân tạo",</v>
      </c>
    </row>
    <row r="133" spans="1:7" ht="14.25" customHeight="1">
      <c r="A133" s="2">
        <v>2084063283</v>
      </c>
      <c r="B133" s="2" t="s">
        <v>46</v>
      </c>
      <c r="C133" s="2" t="s">
        <v>13193</v>
      </c>
      <c r="D133" s="2" t="s">
        <v>15749</v>
      </c>
      <c r="E133" s="4" t="str">
        <f ca="1">IFERROR(__xludf.DUMMYFUNCTION("GOOGLETRANSLATE(B133,""ja"",""vi"")"),"nếu không thì")</f>
        <v>nếu không thì</v>
      </c>
      <c r="F133" s="4" t="str">
        <f ca="1">IFERROR(__xludf.DUMMYFUNCTION("GOOGLETRANSLATE(C133,""ja"",""vi"")"),"Đấu giá&gt; hoa, làm vườn&gt; cây trang trí&gt; Khác")</f>
        <v>Đấu giá&gt; hoa, làm vườn&gt; cây trang trí&gt; Khác</v>
      </c>
      <c r="G133" t="str">
        <f t="shared" ca="1" si="2"/>
        <v>"2084063283" : "nếu không thì",</v>
      </c>
    </row>
    <row r="134" spans="1:7" ht="14.25" customHeight="1">
      <c r="A134" s="2">
        <v>2084047124</v>
      </c>
      <c r="B134" s="2" t="s">
        <v>2241</v>
      </c>
      <c r="C134" s="2" t="s">
        <v>7150</v>
      </c>
      <c r="D134" s="2" t="s">
        <v>15554</v>
      </c>
      <c r="E134" s="4" t="str">
        <f ca="1">IFERROR(__xludf.DUMMYFUNCTION("GOOGLETRANSLATE(B134,""ja"",""vi"")"),"chung")</f>
        <v>chung</v>
      </c>
      <c r="F134" s="4" t="str">
        <f ca="1">IFERROR(__xludf.DUMMYFUNCTION("GOOGLETRANSLATE(C134,""ja"",""vi"")"),"Đấu giá&gt; Sở thích, văn hóa&gt; thủ công, thủ công mỹ nghệ&gt; Nghệ thuật hoa, hoa ép&gt; General")</f>
        <v>Đấu giá&gt; Sở thích, văn hóa&gt; thủ công, thủ công mỹ nghệ&gt; Nghệ thuật hoa, hoa ép&gt; General</v>
      </c>
      <c r="G134" t="str">
        <f t="shared" ca="1" si="2"/>
        <v>"2084047124" : "chung",</v>
      </c>
    </row>
    <row r="135" spans="1:7" ht="14.25" customHeight="1">
      <c r="A135" s="2">
        <v>2084047123</v>
      </c>
      <c r="B135" s="2" t="s">
        <v>7155</v>
      </c>
      <c r="C135" s="2" t="s">
        <v>7157</v>
      </c>
      <c r="D135" s="2" t="s">
        <v>15557</v>
      </c>
      <c r="E135" s="4" t="str">
        <f ca="1">IFERROR(__xludf.DUMMYFUNCTION("GOOGLETRANSLATE(B135,""ja"",""vi"")"),"sắp xếp")</f>
        <v>sắp xếp</v>
      </c>
      <c r="F135" s="4" t="str">
        <f ca="1">IFERROR(__xludf.DUMMYFUNCTION("GOOGLETRANSLATE(C135,""ja"",""vi"")"),"Đấu giá&gt; Sở thích, văn hóa&gt; thủ công, thủ công mỹ nghệ&gt; Nghệ thuật hoa, hoa ép&gt; sắp xếp")</f>
        <v>Đấu giá&gt; Sở thích, văn hóa&gt; thủ công, thủ công mỹ nghệ&gt; Nghệ thuật hoa, hoa ép&gt; sắp xếp</v>
      </c>
      <c r="G135" t="str">
        <f t="shared" ca="1" si="2"/>
        <v>"2084047123" : "sắp xếp",</v>
      </c>
    </row>
    <row r="136" spans="1:7" ht="14.25" customHeight="1">
      <c r="A136" s="2">
        <v>2084047122</v>
      </c>
      <c r="B136" s="2" t="s">
        <v>7164</v>
      </c>
      <c r="C136" s="2" t="s">
        <v>7165</v>
      </c>
      <c r="D136" s="2" t="s">
        <v>15560</v>
      </c>
      <c r="E136" s="4" t="str">
        <f ca="1">IFERROR(__xludf.DUMMYFUNCTION("GOOGLETRANSLATE(B136,""ja"",""vi"")"),"cho thuê")</f>
        <v>cho thuê</v>
      </c>
      <c r="F136" s="4" t="str">
        <f ca="1">IFERROR(__xludf.DUMMYFUNCTION("GOOGLETRANSLATE(C136,""ja"",""vi"")"),"Đấu giá&gt; Sở thích, văn hóa&gt; thủ công, thủ công mỹ nghệ&gt; Art Flower, ép hoa&gt; thuê")</f>
        <v>Đấu giá&gt; Sở thích, văn hóa&gt; thủ công, thủ công mỹ nghệ&gt; Art Flower, ép hoa&gt; thuê</v>
      </c>
      <c r="G136" t="str">
        <f t="shared" ca="1" si="2"/>
        <v>"2084047122" : "cho thuê",</v>
      </c>
    </row>
    <row r="137" spans="1:7" ht="14.25" customHeight="1">
      <c r="A137" s="2">
        <v>2084048858</v>
      </c>
      <c r="B137" s="2" t="s">
        <v>7171</v>
      </c>
      <c r="C137" s="2" t="s">
        <v>7172</v>
      </c>
      <c r="D137" s="2" t="s">
        <v>15565</v>
      </c>
      <c r="E137" s="4" t="str">
        <f ca="1">IFERROR(__xludf.DUMMYFUNCTION("GOOGLETRANSLATE(B137,""ja"",""vi"")"),"ép hoa")</f>
        <v>ép hoa</v>
      </c>
      <c r="F137" s="4" t="str">
        <f ca="1">IFERROR(__xludf.DUMMYFUNCTION("GOOGLETRANSLATE(C137,""ja"",""vi"")"),"Đấu giá&gt; Sở thích, văn hóa&gt; thủ công, thủ công mỹ nghệ&gt; Art Flower, Pressed&gt; hoa ép")</f>
        <v>Đấu giá&gt; Sở thích, văn hóa&gt; thủ công, thủ công mỹ nghệ&gt; Art Flower, Pressed&gt; hoa ép</v>
      </c>
      <c r="G137" t="str">
        <f t="shared" ca="1" si="2"/>
        <v>"2084048858" : "ép hoa",</v>
      </c>
    </row>
    <row r="138" spans="1:7" ht="14.25" customHeight="1">
      <c r="A138" s="2">
        <v>2084305337</v>
      </c>
      <c r="B138" s="2" t="s">
        <v>7176</v>
      </c>
      <c r="C138" s="2" t="s">
        <v>7178</v>
      </c>
      <c r="D138" s="2" t="s">
        <v>15568</v>
      </c>
      <c r="E138" s="4" t="str">
        <f ca="1">IFERROR(__xludf.DUMMYFUNCTION("GOOGLETRANSLATE(B138,""ja"",""vi"")"),"Vật liệu, dụng cụ")</f>
        <v>Vật liệu, dụng cụ</v>
      </c>
      <c r="F138" s="4" t="str">
        <f ca="1">IFERROR(__xludf.DUMMYFUNCTION("GOOGLETRANSLATE(C138,""ja"",""vi"")"),"Đấu giá&gt; Sở thích, văn hóa&gt; thủ công, thủ công mỹ nghệ&gt; Nghệ thuật hoa, hoa ép&gt; nguyên liệu, dụng cụ")</f>
        <v>Đấu giá&gt; Sở thích, văn hóa&gt; thủ công, thủ công mỹ nghệ&gt; Nghệ thuật hoa, hoa ép&gt; nguyên liệu, dụng cụ</v>
      </c>
      <c r="G138" t="str">
        <f t="shared" ca="1" si="2"/>
        <v>"2084305337" : "Vật liệu, dụng cụ",</v>
      </c>
    </row>
    <row r="139" spans="1:7" ht="14.25" customHeight="1">
      <c r="A139" s="2">
        <v>2084305338</v>
      </c>
      <c r="B139" s="2" t="s">
        <v>6950</v>
      </c>
      <c r="C139" s="2" t="s">
        <v>7183</v>
      </c>
      <c r="D139" s="2" t="s">
        <v>15573</v>
      </c>
      <c r="E139" s="4" t="str">
        <f ca="1">IFERROR(__xludf.DUMMYFUNCTION("GOOGLETRANSLATE(B139,""ja"",""vi"")"),"xây dựng Kit")</f>
        <v>xây dựng Kit</v>
      </c>
      <c r="F139" s="4" t="str">
        <f ca="1">IFERROR(__xludf.DUMMYFUNCTION("GOOGLETRANSLATE(C139,""ja"",""vi"")"),"Đấu giá&gt; Sở thích, văn hóa&gt; thủ công, thủ công mỹ nghệ&gt; Nghệ thuật hoa, hoa ép&gt; Xây dựng Kit")</f>
        <v>Đấu giá&gt; Sở thích, văn hóa&gt; thủ công, thủ công mỹ nghệ&gt; Nghệ thuật hoa, hoa ép&gt; Xây dựng Kit</v>
      </c>
      <c r="G139" t="str">
        <f t="shared" ca="1" si="2"/>
        <v>"2084305338" : "xây dựng Kit",</v>
      </c>
    </row>
    <row r="140" spans="1:7" ht="14.25" customHeight="1">
      <c r="A140" s="2">
        <v>2084305336</v>
      </c>
      <c r="B140" s="2" t="s">
        <v>3665</v>
      </c>
      <c r="C140" s="2" t="s">
        <v>7188</v>
      </c>
      <c r="D140" s="2" t="s">
        <v>15577</v>
      </c>
      <c r="E140" s="4" t="str">
        <f ca="1">IFERROR(__xludf.DUMMYFUNCTION("GOOGLETRANSLATE(B140,""ja"",""vi"")"),"thành phẩm")</f>
        <v>thành phẩm</v>
      </c>
      <c r="F140" s="4" t="str">
        <f ca="1">IFERROR(__xludf.DUMMYFUNCTION("GOOGLETRANSLATE(C140,""ja"",""vi"")"),"Đấu giá&gt; Sở thích, văn hóa&gt; thủ công, thủ công mỹ nghệ&gt; Nghệ thuật hoa, hoa ép&gt; thành phẩm")</f>
        <v>Đấu giá&gt; Sở thích, văn hóa&gt; thủ công, thủ công mỹ nghệ&gt; Nghệ thuật hoa, hoa ép&gt; thành phẩm</v>
      </c>
      <c r="G140" t="str">
        <f t="shared" ca="1" si="2"/>
        <v>"2084305336" : "thành phẩm",</v>
      </c>
    </row>
    <row r="141" spans="1:7" ht="14.25" customHeight="1">
      <c r="A141" s="2">
        <v>2084006708</v>
      </c>
      <c r="B141" s="2" t="s">
        <v>7192</v>
      </c>
      <c r="C141" s="2" t="s">
        <v>7194</v>
      </c>
      <c r="D141" s="2" t="s">
        <v>15581</v>
      </c>
      <c r="E141" s="4" t="str">
        <f ca="1">IFERROR(__xludf.DUMMYFUNCTION("GOOGLETRANSLATE(B141,""ja"",""vi"")"),"hoa khô")</f>
        <v>hoa khô</v>
      </c>
      <c r="F141" s="4" t="str">
        <f ca="1">IFERROR(__xludf.DUMMYFUNCTION("GOOGLETRANSLATE(C141,""ja"",""vi"")"),"Đấu giá&gt; Sở thích, văn hóa&gt; thủ công, thủ công mỹ nghệ&gt; Nghệ thuật hoa, hoa ép&gt; hoa khô")</f>
        <v>Đấu giá&gt; Sở thích, văn hóa&gt; thủ công, thủ công mỹ nghệ&gt; Nghệ thuật hoa, hoa ép&gt; hoa khô</v>
      </c>
      <c r="G141" t="str">
        <f t="shared" ca="1" si="2"/>
        <v>"2084006708" : "hoa khô",</v>
      </c>
    </row>
    <row r="142" spans="1:7" ht="14.25" customHeight="1">
      <c r="A142" s="2">
        <v>2084207359</v>
      </c>
      <c r="B142" s="2" t="s">
        <v>5504</v>
      </c>
      <c r="C142" s="2" t="s">
        <v>13078</v>
      </c>
      <c r="D142" s="2" t="s">
        <v>15781</v>
      </c>
      <c r="E142" s="4" t="str">
        <f ca="1">IFERROR(__xludf.DUMMYFUNCTION("GOOGLETRANSLATE(B142,""ja"",""vi"")"),"Bonsai")</f>
        <v>Bonsai</v>
      </c>
      <c r="F142" s="4" t="str">
        <f ca="1">IFERROR(__xludf.DUMMYFUNCTION("GOOGLETRANSLATE(C142,""ja"",""vi"")"),"Đấu giá&gt; hoa, làm vườn&gt; cây cảnh&gt; Bonsai")</f>
        <v>Đấu giá&gt; hoa, làm vườn&gt; cây cảnh&gt; Bonsai</v>
      </c>
      <c r="G142" t="str">
        <f t="shared" ca="1" si="2"/>
        <v>"2084207359" : "Bonsai",</v>
      </c>
    </row>
    <row r="143" spans="1:7" ht="14.25" customHeight="1">
      <c r="A143" s="2">
        <v>2084207386</v>
      </c>
      <c r="B143" s="2" t="s">
        <v>13079</v>
      </c>
      <c r="C143" s="2" t="s">
        <v>13082</v>
      </c>
      <c r="D143" s="2" t="s">
        <v>15785</v>
      </c>
      <c r="E143" s="4" t="str">
        <f ca="1">IFERROR(__xludf.DUMMYFUNCTION("GOOGLETRANSLATE(B143,""ja"",""vi"")"),"Bonsai Công cụ")</f>
        <v>Bonsai Công cụ</v>
      </c>
      <c r="F143" s="4" t="str">
        <f ca="1">IFERROR(__xludf.DUMMYFUNCTION("GOOGLETRANSLATE(C143,""ja"",""vi"")"),"Đấu giá&gt; hoa, làm vườn&gt; cây cảnh&gt; Bonsai thiết bị")</f>
        <v>Đấu giá&gt; hoa, làm vườn&gt; cây cảnh&gt; Bonsai thiết bị</v>
      </c>
      <c r="G143" t="str">
        <f t="shared" ca="1" si="2"/>
        <v>"2084207386" : "Bonsai Công cụ",</v>
      </c>
    </row>
    <row r="144" spans="1:7" ht="14.25" customHeight="1">
      <c r="A144" s="2">
        <v>2084207389</v>
      </c>
      <c r="B144" s="2" t="s">
        <v>46</v>
      </c>
      <c r="C144" s="2" t="s">
        <v>13085</v>
      </c>
      <c r="D144" s="2" t="s">
        <v>15788</v>
      </c>
      <c r="E144" s="4" t="str">
        <f ca="1">IFERROR(__xludf.DUMMYFUNCTION("GOOGLETRANSLATE(B144,""ja"",""vi"")"),"nếu không thì")</f>
        <v>nếu không thì</v>
      </c>
      <c r="F144" s="4" t="str">
        <f ca="1">IFERROR(__xludf.DUMMYFUNCTION("GOOGLETRANSLATE(C144,""ja"",""vi"")"),"Đấu giá&gt; hoa, làm vườn&gt; cây cảnh&gt; Khác")</f>
        <v>Đấu giá&gt; hoa, làm vườn&gt; cây cảnh&gt; Khác</v>
      </c>
      <c r="G144" t="str">
        <f t="shared" ca="1" si="2"/>
        <v>"2084207389" : "nếu không thì",</v>
      </c>
    </row>
    <row r="145" spans="1:7" ht="14.25" customHeight="1">
      <c r="A145" s="2">
        <v>2084263009</v>
      </c>
      <c r="B145" s="2" t="s">
        <v>15796</v>
      </c>
      <c r="C145" s="2" t="s">
        <v>15798</v>
      </c>
      <c r="D145" s="2" t="s">
        <v>15800</v>
      </c>
      <c r="E145" s="4" t="str">
        <f ca="1">IFERROR(__xludf.DUMMYFUNCTION("GOOGLETRANSLATE(B145,""ja"",""vi"")"),"thang")</f>
        <v>thang</v>
      </c>
      <c r="F145" s="4" t="str">
        <f ca="1">IFERROR(__xludf.DUMMYFUNCTION("GOOGLETRANSLATE(C145,""ja"",""vi"")"),"Đấu giá&gt; nhà, nội thất&gt; công cụ, DIY nguồn cung cấp&gt; stepladder, thang, giàn giáo&gt; thang")</f>
        <v>Đấu giá&gt; nhà, nội thất&gt; công cụ, DIY nguồn cung cấp&gt; stepladder, thang, giàn giáo&gt; thang</v>
      </c>
      <c r="G145" t="str">
        <f t="shared" ca="1" si="2"/>
        <v>"2084263009" : "thang",</v>
      </c>
    </row>
    <row r="146" spans="1:7" ht="14.25" customHeight="1">
      <c r="A146" s="2">
        <v>2084263011</v>
      </c>
      <c r="B146" s="2" t="s">
        <v>15164</v>
      </c>
      <c r="C146" s="2" t="s">
        <v>15803</v>
      </c>
      <c r="D146" s="2" t="s">
        <v>15805</v>
      </c>
      <c r="E146" s="4" t="str">
        <f ca="1">IFERROR(__xludf.DUMMYFUNCTION("GOOGLETRANSLATE(B146,""ja"",""vi"")"),"cầu nhôm")</f>
        <v>cầu nhôm</v>
      </c>
      <c r="F146" s="4" t="str">
        <f ca="1">IFERROR(__xludf.DUMMYFUNCTION("GOOGLETRANSLATE(C146,""ja"",""vi"")"),"Đấu giá&gt; nhà, nội thất&gt; công cụ, DIY nguồn cung cấp&gt; stepladder, thang, giàn giáo&gt; cầu nhôm")</f>
        <v>Đấu giá&gt; nhà, nội thất&gt; công cụ, DIY nguồn cung cấp&gt; stepladder, thang, giàn giáo&gt; cầu nhôm</v>
      </c>
      <c r="G146" t="str">
        <f t="shared" ca="1" si="2"/>
        <v>"2084263011" : "cầu nhôm",</v>
      </c>
    </row>
    <row r="147" spans="1:7" ht="14.25" customHeight="1">
      <c r="A147" s="2">
        <v>2084263008</v>
      </c>
      <c r="B147" s="2" t="s">
        <v>15808</v>
      </c>
      <c r="C147" s="2" t="s">
        <v>15811</v>
      </c>
      <c r="D147" s="2" t="s">
        <v>15812</v>
      </c>
      <c r="E147" s="4" t="str">
        <f ca="1">IFERROR(__xludf.DUMMYFUNCTION("GOOGLETRANSLATE(B147,""ja"",""vi"")"),"Stepladder, bàn đạp")</f>
        <v>Stepladder, bàn đạp</v>
      </c>
      <c r="F147" s="4" t="str">
        <f ca="1">IFERROR(__xludf.DUMMYFUNCTION("GOOGLETRANSLATE(C147,""ja"",""vi"")"),"Đấu giá&gt; nhà, nội thất&gt; công cụ, DIY nguồn cung cấp&gt; stepladder, thang, giàn giáo&gt; stepladder, bàn đạp")</f>
        <v>Đấu giá&gt; nhà, nội thất&gt; công cụ, DIY nguồn cung cấp&gt; stepladder, thang, giàn giáo&gt; stepladder, bàn đạp</v>
      </c>
      <c r="G147" t="str">
        <f t="shared" ca="1" si="2"/>
        <v>"2084263008" : "Stepladder, bàn đạp",</v>
      </c>
    </row>
    <row r="148" spans="1:7" ht="14.25" customHeight="1">
      <c r="A148" s="2">
        <v>2084263010</v>
      </c>
      <c r="B148" s="2" t="s">
        <v>15816</v>
      </c>
      <c r="C148" s="2" t="s">
        <v>15817</v>
      </c>
      <c r="D148" s="2" t="s">
        <v>15818</v>
      </c>
      <c r="E148" s="4" t="str">
        <f ca="1">IFERROR(__xludf.DUMMYFUNCTION("GOOGLETRANSLATE(B148,""ja"",""vi"")"),"nền tảng giàn giáo, tấm giàn giáo")</f>
        <v>nền tảng giàn giáo, tấm giàn giáo</v>
      </c>
      <c r="F148" s="4" t="str">
        <f ca="1">IFERROR(__xludf.DUMMYFUNCTION("GOOGLETRANSLATE(C148,""ja"",""vi"")"),"Đấu giá&gt; nhà, nội thất&gt; công cụ, DIY nguồn cung cấp&gt; stepladder, thang, giàn giáo&gt; giàn giáo nền tảng, tấm giàn giáo")</f>
        <v>Đấu giá&gt; nhà, nội thất&gt; công cụ, DIY nguồn cung cấp&gt; stepladder, thang, giàn giáo&gt; giàn giáo nền tảng, tấm giàn giáo</v>
      </c>
      <c r="G148" t="str">
        <f t="shared" ca="1" si="2"/>
        <v>"2084263010" : "nền tảng giàn giáo, tấm giàn giáo",</v>
      </c>
    </row>
    <row r="149" spans="1:7" ht="14.25" customHeight="1">
      <c r="A149" s="2">
        <v>2084263012</v>
      </c>
      <c r="B149" s="2" t="s">
        <v>46</v>
      </c>
      <c r="C149" s="2" t="s">
        <v>15823</v>
      </c>
      <c r="D149" s="2" t="s">
        <v>15825</v>
      </c>
      <c r="E149" s="4" t="str">
        <f ca="1">IFERROR(__xludf.DUMMYFUNCTION("GOOGLETRANSLATE(B149,""ja"",""vi"")"),"nếu không thì")</f>
        <v>nếu không thì</v>
      </c>
      <c r="F149" s="4" t="str">
        <f ca="1">IFERROR(__xludf.DUMMYFUNCTION("GOOGLETRANSLATE(C149,""ja"",""vi"")"),"Đấu giá&gt; nhà, nội thất&gt; công cụ, vật tư DIY&gt; stepladder, thang, giàn giáo&gt; Khác")</f>
        <v>Đấu giá&gt; nhà, nội thất&gt; công cụ, vật tư DIY&gt; stepladder, thang, giàn giáo&gt; Khác</v>
      </c>
      <c r="G149" t="str">
        <f t="shared" ca="1" si="2"/>
        <v>"2084263012" : "nếu không thì",</v>
      </c>
    </row>
    <row r="150" spans="1:7" ht="14.25" customHeight="1">
      <c r="A150" s="2">
        <v>2084252943</v>
      </c>
      <c r="B150" s="2" t="s">
        <v>15208</v>
      </c>
      <c r="C150" s="2" t="s">
        <v>15209</v>
      </c>
      <c r="D150" s="2" t="s">
        <v>15211</v>
      </c>
      <c r="E150" s="4" t="str">
        <f ca="1">IFERROR(__xludf.DUMMYFUNCTION("GOOGLETRANSLATE(B150,""ja"",""vi"")"),"ghế nông nghiệp")</f>
        <v>ghế nông nghiệp</v>
      </c>
      <c r="F150" s="4" t="str">
        <f ca="1">IFERROR(__xludf.DUMMYFUNCTION("GOOGLETRANSLATE(C150,""ja"",""vi"")"),"Đấu giá&gt; hoa, làm vườn&gt; nông nghiệp&gt; vật tư nông nghiệp&gt; ghế nông nghiệp")</f>
        <v>Đấu giá&gt; hoa, làm vườn&gt; nông nghiệp&gt; vật tư nông nghiệp&gt; ghế nông nghiệp</v>
      </c>
      <c r="G150" t="str">
        <f t="shared" ca="1" si="2"/>
        <v>"2084252943" : "ghế nông nghiệp",</v>
      </c>
    </row>
    <row r="151" spans="1:7" ht="14.25" customHeight="1">
      <c r="A151" s="2">
        <v>2084252944</v>
      </c>
      <c r="B151" s="2" t="s">
        <v>15213</v>
      </c>
      <c r="C151" s="2" t="s">
        <v>15215</v>
      </c>
      <c r="D151" s="2" t="s">
        <v>15217</v>
      </c>
      <c r="E151" s="4" t="str">
        <f ca="1">IFERROR(__xludf.DUMMYFUNCTION("GOOGLETRANSLATE(B151,""ja"",""vi"")"),"net kiểm soát")</f>
        <v>net kiểm soát</v>
      </c>
      <c r="F151" s="4" t="str">
        <f ca="1">IFERROR(__xludf.DUMMYFUNCTION("GOOGLETRANSLATE(C151,""ja"",""vi"")"),"Đấu giá&gt; hoa, làm vườn&gt; nông nghiệp&gt; vật tư nông nghiệp&gt; net kiểm soát")</f>
        <v>Đấu giá&gt; hoa, làm vườn&gt; nông nghiệp&gt; vật tư nông nghiệp&gt; net kiểm soát</v>
      </c>
      <c r="G151" t="str">
        <f t="shared" ca="1" si="2"/>
        <v>"2084252944" : "net kiểm soát",</v>
      </c>
    </row>
    <row r="152" spans="1:7" ht="14.25" customHeight="1">
      <c r="A152" s="2">
        <v>2084252947</v>
      </c>
      <c r="B152" s="2" t="s">
        <v>46</v>
      </c>
      <c r="C152" s="2" t="s">
        <v>15221</v>
      </c>
      <c r="D152" s="2" t="s">
        <v>15222</v>
      </c>
      <c r="E152" s="4" t="str">
        <f ca="1">IFERROR(__xludf.DUMMYFUNCTION("GOOGLETRANSLATE(B152,""ja"",""vi"")"),"nếu không thì")</f>
        <v>nếu không thì</v>
      </c>
      <c r="F152" s="4" t="str">
        <f ca="1">IFERROR(__xludf.DUMMYFUNCTION("GOOGLETRANSLATE(C152,""ja"",""vi"")"),"Đấu giá&gt; hoa, làm vườn&gt; nông nghiệp&gt; vật tư nông nghiệp&gt; Khác")</f>
        <v>Đấu giá&gt; hoa, làm vườn&gt; nông nghiệp&gt; vật tư nông nghiệp&gt; Khác</v>
      </c>
      <c r="G152" t="str">
        <f t="shared" ca="1" si="2"/>
        <v>"2084252947" : "nếu không thì",</v>
      </c>
    </row>
    <row r="153" spans="1:7" ht="14.25" customHeight="1">
      <c r="A153" s="2">
        <v>2084047119</v>
      </c>
      <c r="B153" s="2" t="s">
        <v>2241</v>
      </c>
      <c r="C153" s="2" t="s">
        <v>13289</v>
      </c>
      <c r="D153" s="2" t="s">
        <v>15535</v>
      </c>
      <c r="E153" s="4" t="str">
        <f ca="1">IFERROR(__xludf.DUMMYFUNCTION("GOOGLETRANSLATE(B153,""ja"",""vi"")"),"chung")</f>
        <v>chung</v>
      </c>
      <c r="F153" s="4" t="str">
        <f ca="1">IFERROR(__xludf.DUMMYFUNCTION("GOOGLETRANSLATE(C153,""ja"",""vi"")"),"Đấu giá&gt; hoa, làm vườn&gt; hoa khô&gt; chung")</f>
        <v>Đấu giá&gt; hoa, làm vườn&gt; hoa khô&gt; chung</v>
      </c>
      <c r="G153" t="str">
        <f t="shared" ca="1" si="2"/>
        <v>"2084047119" : "chung",</v>
      </c>
    </row>
    <row r="154" spans="1:7" ht="14.25" customHeight="1">
      <c r="A154" s="2">
        <v>2084047121</v>
      </c>
      <c r="B154" s="2" t="s">
        <v>7155</v>
      </c>
      <c r="C154" s="2" t="s">
        <v>13296</v>
      </c>
      <c r="D154" s="2" t="s">
        <v>15538</v>
      </c>
      <c r="E154" s="4" t="str">
        <f ca="1">IFERROR(__xludf.DUMMYFUNCTION("GOOGLETRANSLATE(B154,""ja"",""vi"")"),"sắp xếp")</f>
        <v>sắp xếp</v>
      </c>
      <c r="F154" s="4" t="str">
        <f ca="1">IFERROR(__xludf.DUMMYFUNCTION("GOOGLETRANSLATE(C154,""ja"",""vi"")"),"Đấu giá&gt; hoa, làm vườn&gt; hoa khô&gt; sắp xếp")</f>
        <v>Đấu giá&gt; hoa, làm vườn&gt; hoa khô&gt; sắp xếp</v>
      </c>
      <c r="G154" t="str">
        <f t="shared" ca="1" si="2"/>
        <v>"2084047121" : "sắp xếp",</v>
      </c>
    </row>
    <row r="155" spans="1:7" ht="14.25" customHeight="1">
      <c r="A155" s="2">
        <v>2084047755</v>
      </c>
      <c r="B155" s="2" t="s">
        <v>13301</v>
      </c>
      <c r="C155" s="2" t="s">
        <v>13302</v>
      </c>
      <c r="D155" s="2" t="s">
        <v>15543</v>
      </c>
      <c r="E155" s="4" t="str">
        <f ca="1">IFERROR(__xludf.DUMMYFUNCTION("GOOGLETRANSLATE(B155,""ja"",""vi"")"),"potpourri")</f>
        <v>potpourri</v>
      </c>
      <c r="F155" s="4" t="str">
        <f ca="1">IFERROR(__xludf.DUMMYFUNCTION("GOOGLETRANSLATE(C155,""ja"",""vi"")"),"Đấu giá&gt; hoa, làm vườn&gt; hoa khô&gt; Potpourri")</f>
        <v>Đấu giá&gt; hoa, làm vườn&gt; hoa khô&gt; Potpourri</v>
      </c>
      <c r="G155" t="str">
        <f t="shared" ca="1" si="2"/>
        <v>"2084047755" : "potpourri",</v>
      </c>
    </row>
    <row r="156" spans="1:7" ht="14.25" customHeight="1">
      <c r="A156" s="2">
        <v>2084047120</v>
      </c>
      <c r="B156" s="2" t="s">
        <v>7164</v>
      </c>
      <c r="C156" s="2" t="s">
        <v>13308</v>
      </c>
      <c r="D156" s="2" t="s">
        <v>15546</v>
      </c>
      <c r="E156" s="4" t="str">
        <f ca="1">IFERROR(__xludf.DUMMYFUNCTION("GOOGLETRANSLATE(B156,""ja"",""vi"")"),"cho thuê")</f>
        <v>cho thuê</v>
      </c>
      <c r="F156" s="4" t="str">
        <f ca="1">IFERROR(__xludf.DUMMYFUNCTION("GOOGLETRANSLATE(C156,""ja"",""vi"")"),"Đấu giá&gt; hoa, làm vườn&gt; hoa khô&gt; thuê")</f>
        <v>Đấu giá&gt; hoa, làm vườn&gt; hoa khô&gt; thuê</v>
      </c>
      <c r="G156" t="str">
        <f t="shared" ca="1" si="2"/>
        <v>"2084047120" : "cho thuê",</v>
      </c>
    </row>
    <row r="157" spans="1:7" ht="14.25" customHeight="1">
      <c r="A157" s="2">
        <v>2084207325</v>
      </c>
      <c r="B157" s="2" t="s">
        <v>13310</v>
      </c>
      <c r="C157" s="2" t="s">
        <v>13312</v>
      </c>
      <c r="D157" s="2" t="s">
        <v>15550</v>
      </c>
      <c r="E157" s="4" t="str">
        <f ca="1">IFERROR(__xludf.DUMMYFUNCTION("GOOGLETRANSLATE(B157,""ja"",""vi"")"),"bó hoa")</f>
        <v>bó hoa</v>
      </c>
      <c r="F157" s="4" t="str">
        <f ca="1">IFERROR(__xludf.DUMMYFUNCTION("GOOGLETRANSLATE(C157,""ja"",""vi"")"),"Đấu giá&gt; hoa, làm vườn&gt; hoa khô&gt; bó")</f>
        <v>Đấu giá&gt; hoa, làm vườn&gt; hoa khô&gt; bó</v>
      </c>
      <c r="G157" t="str">
        <f t="shared" ca="1" si="2"/>
        <v>"2084207325" : "bó hoa",</v>
      </c>
    </row>
    <row r="158" spans="1:7" ht="14.25" customHeight="1">
      <c r="A158" s="25"/>
    </row>
    <row r="159" spans="1:7" ht="14.25" customHeight="1">
      <c r="A159" s="25"/>
    </row>
    <row r="160" spans="1:7" ht="14.25" customHeight="1">
      <c r="A160" s="25"/>
    </row>
    <row r="161" spans="1:1" ht="14.25" customHeight="1">
      <c r="A161" s="25"/>
    </row>
    <row r="162" spans="1:1" ht="14.25" customHeight="1"/>
    <row r="163" spans="1:1" ht="14.25" customHeight="1"/>
    <row r="164" spans="1:1" ht="14.25" customHeight="1"/>
    <row r="165" spans="1:1" ht="14.25" customHeight="1"/>
    <row r="166" spans="1:1" ht="14.25" customHeight="1"/>
    <row r="167" spans="1:1" ht="14.25" customHeight="1"/>
    <row r="168" spans="1:1" ht="14.25" customHeight="1"/>
    <row r="169" spans="1:1" ht="14.25" customHeight="1"/>
    <row r="170" spans="1:1" ht="14.25" customHeight="1"/>
    <row r="171" spans="1:1" ht="14.25" customHeight="1"/>
    <row r="172" spans="1:1" ht="14.25" customHeight="1"/>
    <row r="173" spans="1:1" ht="14.25" customHeight="1"/>
    <row r="174" spans="1:1" ht="14.25" customHeight="1"/>
    <row r="175" spans="1:1" ht="14.25" customHeight="1"/>
    <row r="176" spans="1:1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</sheetData>
  <pageMargins left="0.7" right="0.7" top="0.75" bottom="0.75" header="0" footer="0"/>
  <pageSetup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9"/>
  <sheetViews>
    <sheetView workbookViewId="0">
      <selection activeCell="G2" sqref="G2"/>
    </sheetView>
  </sheetViews>
  <sheetFormatPr defaultColWidth="12.59765625" defaultRowHeight="15" customHeight="1"/>
  <cols>
    <col min="1" max="1" width="10.8984375" customWidth="1"/>
    <col min="2" max="2" width="13.19921875" customWidth="1"/>
    <col min="3" max="3" width="33.8984375" customWidth="1"/>
    <col min="4" max="4" width="23.8984375" customWidth="1"/>
    <col min="5" max="5" width="7.59765625" customWidth="1"/>
    <col min="6" max="6" width="62.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2084223921</v>
      </c>
      <c r="B2" s="2" t="s">
        <v>15910</v>
      </c>
      <c r="C2" s="2" t="s">
        <v>15911</v>
      </c>
      <c r="D2" s="2" t="s">
        <v>15912</v>
      </c>
      <c r="E2" s="4" t="str">
        <f ca="1">IFERROR(__xludf.DUMMYFUNCTION("GOOGLETRANSLATE(B2,""ja"",""vi"")"),"nguồn cung cấp đá bào")</f>
        <v>nguồn cung cấp đá bào</v>
      </c>
      <c r="F2" s="4" t="str">
        <f ca="1">IFERROR(__xludf.DUMMYFUNCTION("GOOGLETRANSLATE(C2,""ja"",""vi"")"),"Đấu giá&gt; Văn phòng, Cửa hàng cung cấp&gt; hàng bé&gt; Thiết bị nhà bếp&gt; nguồn cung cấp nước đá sứt mẻ")</f>
        <v>Đấu giá&gt; Văn phòng, Cửa hàng cung cấp&gt; hàng bé&gt; Thiết bị nhà bếp&gt; nguồn cung cấp nước đá sứt mẻ</v>
      </c>
      <c r="G2" t="str">
        <f ca="1">CONCATENATE(CHAR(34)&amp;"",A2,""&amp;CHAR(34)," : ", CHAR(34)&amp;"",E2,""&amp;CHAR(34),",")</f>
        <v>"2084223921" : "nguồn cung cấp đá bào",</v>
      </c>
    </row>
    <row r="3" spans="1:7" ht="14.25" customHeight="1">
      <c r="A3" s="2">
        <v>2084223392</v>
      </c>
      <c r="B3" s="2" t="s">
        <v>15918</v>
      </c>
      <c r="C3" s="2" t="s">
        <v>15919</v>
      </c>
      <c r="D3" s="2" t="s">
        <v>15920</v>
      </c>
      <c r="E3" s="4" t="str">
        <f ca="1">IFERROR(__xludf.DUMMYFUNCTION("GOOGLETRANSLATE(B3,""ja"",""vi"")"),"thớt")</f>
        <v>thớt</v>
      </c>
      <c r="F3" s="4" t="str">
        <f ca="1">IFERROR(__xludf.DUMMYFUNCTION("GOOGLETRANSLATE(C3,""ja"",""vi"")"),"Đấu giá&gt; Văn phòng, Cửa hàng cung cấp&gt; hàng bé&gt; Thiết bị nhà bếp&gt; thớt")</f>
        <v>Đấu giá&gt; Văn phòng, Cửa hàng cung cấp&gt; hàng bé&gt; Thiết bị nhà bếp&gt; thớt</v>
      </c>
      <c r="G3" t="str">
        <f t="shared" ref="G3:G66" ca="1" si="0">CONCATENATE(CHAR(34)&amp;"",A3,""&amp;CHAR(34)," : ", CHAR(34)&amp;"",E3,""&amp;CHAR(34),",")</f>
        <v>"2084223392" : "thớt",</v>
      </c>
    </row>
    <row r="4" spans="1:7" ht="14.25" customHeight="1">
      <c r="A4" s="2">
        <v>2084063001</v>
      </c>
      <c r="B4" s="2" t="s">
        <v>5567</v>
      </c>
      <c r="C4" s="2" t="s">
        <v>15925</v>
      </c>
      <c r="D4" s="2" t="s">
        <v>15926</v>
      </c>
      <c r="E4" s="4" t="str">
        <f ca="1">IFERROR(__xludf.DUMMYFUNCTION("GOOGLETRANSLATE(B4,""ja"",""vi"")"),"lò")</f>
        <v>lò</v>
      </c>
      <c r="F4" s="4" t="str">
        <f ca="1">IFERROR(__xludf.DUMMYFUNCTION("GOOGLETRANSLATE(C4,""ja"",""vi"")"),"Đấu giá&gt; Văn phòng, Cửa hàng cung cấp&gt; hàng bé&gt; Thiết bị nhà bếp&gt; Lò")</f>
        <v>Đấu giá&gt; Văn phòng, Cửa hàng cung cấp&gt; hàng bé&gt; Thiết bị nhà bếp&gt; Lò</v>
      </c>
      <c r="G4" t="str">
        <f t="shared" ca="1" si="0"/>
        <v>"2084063001" : "lò",</v>
      </c>
    </row>
    <row r="5" spans="1:7" ht="14.25" customHeight="1">
      <c r="A5" s="2">
        <v>2084223393</v>
      </c>
      <c r="B5" s="2" t="s">
        <v>15931</v>
      </c>
      <c r="C5" s="2" t="s">
        <v>15932</v>
      </c>
      <c r="D5" s="2" t="s">
        <v>15934</v>
      </c>
      <c r="E5" s="4" t="str">
        <f ca="1">IFERROR(__xludf.DUMMYFUNCTION("GOOGLETRANSLATE(B5,""ja"",""vi"")"),"Gurira")</f>
        <v>Gurira</v>
      </c>
      <c r="F5" s="4" t="str">
        <f ca="1">IFERROR(__xludf.DUMMYFUNCTION("GOOGLETRANSLATE(C5,""ja"",""vi"")"),"Đấu giá&gt; Văn phòng, Cửa hàng cung cấp&gt; hàng bé&gt; Thiết bị nhà bếp&gt; Gurira")</f>
        <v>Đấu giá&gt; Văn phòng, Cửa hàng cung cấp&gt; hàng bé&gt; Thiết bị nhà bếp&gt; Gurira</v>
      </c>
      <c r="G5" t="str">
        <f t="shared" ca="1" si="0"/>
        <v>"2084223393" : "Gurira",</v>
      </c>
    </row>
    <row r="6" spans="1:7" ht="14.25" customHeight="1">
      <c r="A6" s="2">
        <v>2084063838</v>
      </c>
      <c r="B6" s="2" t="s">
        <v>15937</v>
      </c>
      <c r="C6" s="2" t="s">
        <v>15938</v>
      </c>
      <c r="D6" s="2" t="s">
        <v>15939</v>
      </c>
      <c r="E6" s="4" t="str">
        <f ca="1">IFERROR(__xludf.DUMMYFUNCTION("GOOGLETRANSLATE(B6,""ja"",""vi"")"),"nguồn cung cấp cà phê")</f>
        <v>nguồn cung cấp cà phê</v>
      </c>
      <c r="F6" s="4" t="str">
        <f ca="1">IFERROR(__xludf.DUMMYFUNCTION("GOOGLETRANSLATE(C6,""ja"",""vi"")"),"Đấu giá&gt; Văn phòng, Cửa hàng cung cấp&gt; hàng bé&gt; Thiết bị nhà bếp&gt; nguồn cung cấp cà phê")</f>
        <v>Đấu giá&gt; Văn phòng, Cửa hàng cung cấp&gt; hàng bé&gt; Thiết bị nhà bếp&gt; nguồn cung cấp cà phê</v>
      </c>
      <c r="G6" t="str">
        <f t="shared" ca="1" si="0"/>
        <v>"2084063838" : "nguồn cung cấp cà phê",</v>
      </c>
    </row>
    <row r="7" spans="1:7" ht="14.25" customHeight="1">
      <c r="A7" s="2">
        <v>2084062999</v>
      </c>
      <c r="B7" s="2" t="s">
        <v>15942</v>
      </c>
      <c r="C7" s="2" t="s">
        <v>15943</v>
      </c>
      <c r="D7" s="2" t="s">
        <v>15945</v>
      </c>
      <c r="E7" s="4" t="str">
        <f ca="1">IFERROR(__xludf.DUMMYFUNCTION("GOOGLETRANSLATE(B7,""ja"",""vi"")"),"bếp lò")</f>
        <v>bếp lò</v>
      </c>
      <c r="F7" s="4" t="str">
        <f ca="1">IFERROR(__xludf.DUMMYFUNCTION("GOOGLETRANSLATE(C7,""ja"",""vi"")"),"Đấu giá&gt; Văn phòng, Cửa hàng cung cấp&gt; hàng bé&gt; Thiết bị nhà bếp&gt; bếp")</f>
        <v>Đấu giá&gt; Văn phòng, Cửa hàng cung cấp&gt; hàng bé&gt; Thiết bị nhà bếp&gt; bếp</v>
      </c>
      <c r="G7" t="str">
        <f t="shared" ca="1" si="0"/>
        <v>"2084062999" : "bếp lò",</v>
      </c>
    </row>
    <row r="8" spans="1:7" ht="14.25" customHeight="1">
      <c r="A8" s="2">
        <v>2084311129</v>
      </c>
      <c r="B8" s="2" t="s">
        <v>15949</v>
      </c>
      <c r="C8" s="2" t="s">
        <v>15951</v>
      </c>
      <c r="D8" s="2" t="s">
        <v>15952</v>
      </c>
      <c r="E8" s="4" t="str">
        <f ca="1">IFERROR(__xludf.DUMMYFUNCTION("GOOGLETRANSLATE(B8,""ja"",""vi"")"),"slicer")</f>
        <v>slicer</v>
      </c>
      <c r="F8" s="4" t="str">
        <f ca="1">IFERROR(__xludf.DUMMYFUNCTION("GOOGLETRANSLATE(C8,""ja"",""vi"")"),"Đấu giá&gt; Văn phòng, Cửa hàng cung cấp&gt; hàng bé&gt; Thiết bị nhà bếp&gt; Slicers")</f>
        <v>Đấu giá&gt; Văn phòng, Cửa hàng cung cấp&gt; hàng bé&gt; Thiết bị nhà bếp&gt; Slicers</v>
      </c>
      <c r="G8" t="str">
        <f t="shared" ca="1" si="0"/>
        <v>"2084311129" : "slicer",</v>
      </c>
    </row>
    <row r="9" spans="1:7" ht="14.25" customHeight="1">
      <c r="A9" s="2">
        <v>2084223391</v>
      </c>
      <c r="B9" s="2" t="s">
        <v>15955</v>
      </c>
      <c r="C9" s="2" t="s">
        <v>15956</v>
      </c>
      <c r="D9" s="2" t="s">
        <v>15958</v>
      </c>
      <c r="E9" s="4" t="str">
        <f ca="1">IFERROR(__xludf.DUMMYFUNCTION("GOOGLETRANSLATE(B9,""ja"",""vi"")"),"chảo chiên")</f>
        <v>chảo chiên</v>
      </c>
      <c r="F9" s="4" t="str">
        <f ca="1">IFERROR(__xludf.DUMMYFUNCTION("GOOGLETRANSLATE(C9,""ja"",""vi"")"),"Đấu giá&gt; Văn phòng, Cửa hàng cung cấp&gt; hàng bé&gt; Thiết bị nhà bếp&gt; chảo")</f>
        <v>Đấu giá&gt; Văn phòng, Cửa hàng cung cấp&gt; hàng bé&gt; Thiết bị nhà bếp&gt; chảo</v>
      </c>
      <c r="G9" t="str">
        <f t="shared" ca="1" si="0"/>
        <v>"2084223391" : "chảo chiên",</v>
      </c>
    </row>
    <row r="10" spans="1:7" ht="14.25" customHeight="1">
      <c r="A10" s="2">
        <v>2084063839</v>
      </c>
      <c r="B10" s="2" t="s">
        <v>15960</v>
      </c>
      <c r="C10" s="2" t="s">
        <v>15962</v>
      </c>
      <c r="D10" s="2" t="s">
        <v>15964</v>
      </c>
      <c r="E10" s="4" t="str">
        <f ca="1">IFERROR(__xludf.DUMMYFUNCTION("GOOGLETRANSLATE(B10,""ja"",""vi"")"),"phi công")</f>
        <v>phi công</v>
      </c>
      <c r="F10" s="4" t="str">
        <f ca="1">IFERROR(__xludf.DUMMYFUNCTION("GOOGLETRANSLATE(C10,""ja"",""vi"")"),"Đấu giá&gt; Văn phòng, Cửa hàng cung cấp&gt; hàng bé&gt; Thiết bị nhà bếp&gt; Flyer")</f>
        <v>Đấu giá&gt; Văn phòng, Cửa hàng cung cấp&gt; hàng bé&gt; Thiết bị nhà bếp&gt; Flyer</v>
      </c>
      <c r="G10" t="str">
        <f t="shared" ca="1" si="0"/>
        <v>"2084063839" : "phi công",</v>
      </c>
    </row>
    <row r="11" spans="1:7" ht="14.25" customHeight="1">
      <c r="A11" s="2">
        <v>2084311127</v>
      </c>
      <c r="B11" s="2" t="s">
        <v>3795</v>
      </c>
      <c r="C11" s="2" t="s">
        <v>15966</v>
      </c>
      <c r="D11" s="2" t="s">
        <v>15968</v>
      </c>
      <c r="E11" s="4" t="str">
        <f ca="1">IFERROR(__xludf.DUMMYFUNCTION("GOOGLETRANSLATE(B11,""ja"",""vi"")"),"máy trộn")</f>
        <v>máy trộn</v>
      </c>
      <c r="F11" s="4" t="str">
        <f ca="1">IFERROR(__xludf.DUMMYFUNCTION("GOOGLETRANSLATE(C11,""ja"",""vi"")"),"Đấu giá&gt; Văn phòng, Cửa hàng cung cấp&gt; hàng bé&gt; Thiết bị nhà bếp&gt; Mixer")</f>
        <v>Đấu giá&gt; Văn phòng, Cửa hàng cung cấp&gt; hàng bé&gt; Thiết bị nhà bếp&gt; Mixer</v>
      </c>
      <c r="G11" t="str">
        <f t="shared" ca="1" si="0"/>
        <v>"2084311127" : "máy trộn",</v>
      </c>
    </row>
    <row r="12" spans="1:7" ht="14.25" customHeight="1">
      <c r="A12" s="2">
        <v>2084258414</v>
      </c>
      <c r="B12" s="2" t="s">
        <v>5603</v>
      </c>
      <c r="C12" s="2" t="s">
        <v>15972</v>
      </c>
      <c r="D12" s="2" t="s">
        <v>15973</v>
      </c>
      <c r="E12" s="4" t="str">
        <f ca="1">IFERROR(__xludf.DUMMYFUNCTION("GOOGLETRANSLATE(B12,""ja"",""vi"")"),"thiết bị cung cấp nước nóng")</f>
        <v>thiết bị cung cấp nước nóng</v>
      </c>
      <c r="F12" s="4" t="str">
        <f ca="1">IFERROR(__xludf.DUMMYFUNCTION("GOOGLETRANSLATE(C12,""ja"",""vi"")"),"Đấu giá&gt; Văn phòng, Cửa hàng cung cấp&gt; hàng bé&gt; Thiết bị nhà bếp&gt; Thiết bị cung cấp nước nóng")</f>
        <v>Đấu giá&gt; Văn phòng, Cửa hàng cung cấp&gt; hàng bé&gt; Thiết bị nhà bếp&gt; Thiết bị cung cấp nước nóng</v>
      </c>
      <c r="G12" t="str">
        <f t="shared" ca="1" si="0"/>
        <v>"2084258414" : "thiết bị cung cấp nước nóng",</v>
      </c>
    </row>
    <row r="13" spans="1:7" ht="14.25" customHeight="1">
      <c r="A13" s="2">
        <v>2084226755</v>
      </c>
      <c r="B13" s="2" t="s">
        <v>15976</v>
      </c>
      <c r="C13" s="2" t="s">
        <v>15978</v>
      </c>
      <c r="D13" s="2" t="s">
        <v>15979</v>
      </c>
      <c r="E13" s="4" t="str">
        <f ca="1">IFERROR(__xludf.DUMMYFUNCTION("GOOGLETRANSLATE(B13,""ja"",""vi"")"),"tủ đựng chén")</f>
        <v>tủ đựng chén</v>
      </c>
      <c r="F13" s="4" t="str">
        <f ca="1">IFERROR(__xludf.DUMMYFUNCTION("GOOGLETRANSLATE(C13,""ja"",""vi"")"),"Đấu giá&gt; Văn phòng, Cửa hàng cung cấp&gt; hàng bé&gt; Thiết bị nhà bếp&gt; tủ")</f>
        <v>Đấu giá&gt; Văn phòng, Cửa hàng cung cấp&gt; hàng bé&gt; Thiết bị nhà bếp&gt; tủ</v>
      </c>
      <c r="G13" t="str">
        <f t="shared" ca="1" si="0"/>
        <v>"2084226755" : "tủ đựng chén",</v>
      </c>
    </row>
    <row r="14" spans="1:7" ht="14.25" customHeight="1">
      <c r="A14" s="2">
        <v>2084062998</v>
      </c>
      <c r="B14" s="2" t="s">
        <v>15981</v>
      </c>
      <c r="C14" s="2" t="s">
        <v>15984</v>
      </c>
      <c r="D14" s="2" t="s">
        <v>15986</v>
      </c>
      <c r="E14" s="4" t="str">
        <f ca="1">IFERROR(__xludf.DUMMYFUNCTION("GOOGLETRANSLATE(B14,""ja"",""vi"")"),"bàn làm việc")</f>
        <v>bàn làm việc</v>
      </c>
      <c r="F14" s="4" t="str">
        <f ca="1">IFERROR(__xludf.DUMMYFUNCTION("GOOGLETRANSLATE(C14,""ja"",""vi"")"),"Đấu giá&gt; Văn phòng, Cửa hàng cung cấp&gt; hàng bé&gt; Thiết bị nhà bếp&gt; bàn làm việc")</f>
        <v>Đấu giá&gt; Văn phòng, Cửa hàng cung cấp&gt; hàng bé&gt; Thiết bị nhà bếp&gt; bàn làm việc</v>
      </c>
      <c r="G14" t="str">
        <f t="shared" ca="1" si="0"/>
        <v>"2084062998" : "bàn làm việc",</v>
      </c>
    </row>
    <row r="15" spans="1:7" ht="14.25" customHeight="1">
      <c r="A15" s="2">
        <v>2084063489</v>
      </c>
      <c r="B15" s="2" t="s">
        <v>15988</v>
      </c>
      <c r="C15" s="2" t="s">
        <v>15990</v>
      </c>
      <c r="D15" s="2" t="s">
        <v>15991</v>
      </c>
      <c r="E15" s="4" t="str">
        <f ca="1">IFERROR(__xludf.DUMMYFUNCTION("GOOGLETRANSLATE(B15,""ja"",""vi"")"),"Steamer")</f>
        <v>Steamer</v>
      </c>
      <c r="F15" s="4" t="str">
        <f ca="1">IFERROR(__xludf.DUMMYFUNCTION("GOOGLETRANSLATE(C15,""ja"",""vi"")"),"Đấu giá&gt; Văn phòng, Cửa hàng cung cấp&gt; hàng bé&gt; Thiết bị nhà bếp&gt; steamer")</f>
        <v>Đấu giá&gt; Văn phòng, Cửa hàng cung cấp&gt; hàng bé&gt; Thiết bị nhà bếp&gt; steamer</v>
      </c>
      <c r="G15" t="str">
        <f t="shared" ca="1" si="0"/>
        <v>"2084063489" : "Steamer",</v>
      </c>
    </row>
    <row r="16" spans="1:7" ht="14.25" customHeight="1">
      <c r="A16" s="2">
        <v>2084223385</v>
      </c>
      <c r="B16" s="2" t="s">
        <v>8322</v>
      </c>
      <c r="C16" s="2" t="s">
        <v>15995</v>
      </c>
      <c r="D16" s="2" t="s">
        <v>15996</v>
      </c>
      <c r="E16" s="4" t="str">
        <f ca="1">IFERROR(__xludf.DUMMYFUNCTION("GOOGLETRANSLATE(B16,""ja"",""vi"")"),"đồ dùng trên bàn")</f>
        <v>đồ dùng trên bàn</v>
      </c>
      <c r="F16" s="4" t="str">
        <f ca="1">IFERROR(__xludf.DUMMYFUNCTION("GOOGLETRANSLATE(C16,""ja"",""vi"")"),"Đấu giá&gt; Văn phòng, Cửa hàng cung cấp&gt; hàng bé&gt; Thiết bị nhà bếp&gt; Bộ đồ ăn")</f>
        <v>Đấu giá&gt; Văn phòng, Cửa hàng cung cấp&gt; hàng bé&gt; Thiết bị nhà bếp&gt; Bộ đồ ăn</v>
      </c>
      <c r="G16" t="str">
        <f t="shared" ca="1" si="0"/>
        <v>"2084223385" : "đồ dùng trên bàn",</v>
      </c>
    </row>
    <row r="17" spans="1:7" ht="14.25" customHeight="1">
      <c r="A17" s="2">
        <v>2084063488</v>
      </c>
      <c r="B17" s="2" t="s">
        <v>16000</v>
      </c>
      <c r="C17" s="2" t="s">
        <v>16001</v>
      </c>
      <c r="D17" s="2" t="s">
        <v>16002</v>
      </c>
      <c r="E17" s="4" t="str">
        <f ca="1">IFERROR(__xludf.DUMMYFUNCTION("GOOGLETRANSLATE(B17,""ja"",""vi"")"),"máy rửa chén dĩa")</f>
        <v>máy rửa chén dĩa</v>
      </c>
      <c r="F17" s="4" t="str">
        <f ca="1">IFERROR(__xludf.DUMMYFUNCTION("GOOGLETRANSLATE(C17,""ja"",""vi"")"),"Đấu giá&gt; vật tư văn phòng, cửa hàng&gt; hàng bé&gt; đồ dùng nhà bếp&gt; máy rửa bát")</f>
        <v>Đấu giá&gt; vật tư văn phòng, cửa hàng&gt; hàng bé&gt; đồ dùng nhà bếp&gt; máy rửa bát</v>
      </c>
      <c r="G17" t="str">
        <f t="shared" ca="1" si="0"/>
        <v>"2084063488" : "máy rửa chén dĩa",</v>
      </c>
    </row>
    <row r="18" spans="1:7" ht="14.25" customHeight="1">
      <c r="A18" s="2">
        <v>2084227365</v>
      </c>
      <c r="B18" s="2" t="s">
        <v>16006</v>
      </c>
      <c r="C18" s="2" t="s">
        <v>16007</v>
      </c>
      <c r="D18" s="2" t="s">
        <v>16008</v>
      </c>
      <c r="E18" s="4" t="str">
        <f ca="1">IFERROR(__xludf.DUMMYFUNCTION("GOOGLETRANSLATE(B18,""ja"",""vi"")"),"mẫu thực phẩm")</f>
        <v>mẫu thực phẩm</v>
      </c>
      <c r="F18" s="4" t="str">
        <f ca="1">IFERROR(__xludf.DUMMYFUNCTION("GOOGLETRANSLATE(C18,""ja"",""vi"")"),"Đấu giá&gt; Văn phòng, Cửa hàng cung cấp&gt; hàng bé&gt; Thiết bị nhà bếp&gt; mẫu thực phẩm")</f>
        <v>Đấu giá&gt; Văn phòng, Cửa hàng cung cấp&gt; hàng bé&gt; Thiết bị nhà bếp&gt; mẫu thực phẩm</v>
      </c>
      <c r="G18" t="str">
        <f t="shared" ca="1" si="0"/>
        <v>"2084227365" : "mẫu thực phẩm",</v>
      </c>
    </row>
    <row r="19" spans="1:7" ht="14.25" customHeight="1">
      <c r="A19" s="2">
        <v>2084311128</v>
      </c>
      <c r="B19" s="2" t="s">
        <v>16011</v>
      </c>
      <c r="C19" s="2" t="s">
        <v>16013</v>
      </c>
      <c r="D19" s="2" t="s">
        <v>16014</v>
      </c>
      <c r="E19" s="4" t="str">
        <f ca="1">IFERROR(__xludf.DUMMYFUNCTION("GOOGLETRANSLATE(B19,""ja"",""vi"")"),"máy đóng gói chân không")</f>
        <v>máy đóng gói chân không</v>
      </c>
      <c r="F19" s="4" t="str">
        <f ca="1">IFERROR(__xludf.DUMMYFUNCTION("GOOGLETRANSLATE(C19,""ja"",""vi"")"),"Đấu giá&gt; Văn phòng, Cửa hàng cung cấp&gt; hàng bé&gt; Thiết bị nhà bếp&gt; Máy đóng gói chân không")</f>
        <v>Đấu giá&gt; Văn phòng, Cửa hàng cung cấp&gt; hàng bé&gt; Thiết bị nhà bếp&gt; Máy đóng gói chân không</v>
      </c>
      <c r="G19" t="str">
        <f t="shared" ca="1" si="0"/>
        <v>"2084311128" : "máy đóng gói chân không",</v>
      </c>
    </row>
    <row r="20" spans="1:7" ht="14.25" customHeight="1">
      <c r="A20" s="2">
        <v>2084063486</v>
      </c>
      <c r="B20" s="2" t="s">
        <v>5610</v>
      </c>
      <c r="C20" s="2" t="s">
        <v>16020</v>
      </c>
      <c r="D20" s="2" t="s">
        <v>16022</v>
      </c>
      <c r="E20" s="4" t="str">
        <f ca="1">IFERROR(__xludf.DUMMYFUNCTION("GOOGLETRANSLATE(B20,""ja"",""vi"")"),"nồi cơm điện")</f>
        <v>nồi cơm điện</v>
      </c>
      <c r="F20" s="4" t="str">
        <f ca="1">IFERROR(__xludf.DUMMYFUNCTION("GOOGLETRANSLATE(C20,""ja"",""vi"")"),"Đấu giá&gt; Văn phòng, Cửa hàng cung cấp&gt; hàng bé&gt; Thiết bị nhà bếp&gt; nồi cơm điện")</f>
        <v>Đấu giá&gt; Văn phòng, Cửa hàng cung cấp&gt; hàng bé&gt; Thiết bị nhà bếp&gt; nồi cơm điện</v>
      </c>
      <c r="G20" t="str">
        <f t="shared" ca="1" si="0"/>
        <v>"2084063486" : "nồi cơm điện",</v>
      </c>
    </row>
    <row r="21" spans="1:7" ht="14.25" customHeight="1">
      <c r="A21" s="2">
        <v>2084063490</v>
      </c>
      <c r="B21" s="2" t="s">
        <v>16026</v>
      </c>
      <c r="C21" s="2" t="s">
        <v>16029</v>
      </c>
      <c r="D21" s="2" t="s">
        <v>16030</v>
      </c>
      <c r="E21" s="4" t="str">
        <f ca="1">IFERROR(__xludf.DUMMYFUNCTION("GOOGLETRANSLATE(B21,""ja"",""vi"")"),"Máy làm đá")</f>
        <v>Máy làm đá</v>
      </c>
      <c r="F21" s="4" t="str">
        <f ca="1">IFERROR(__xludf.DUMMYFUNCTION("GOOGLETRANSLATE(C21,""ja"",""vi"")"),"Đấu giá&gt; Văn phòng, Cửa hàng cung cấp&gt; hàng bé&gt; Thiết bị nhà bếp&gt; Máy nước đá")</f>
        <v>Đấu giá&gt; Văn phòng, Cửa hàng cung cấp&gt; hàng bé&gt; Thiết bị nhà bếp&gt; Máy nước đá</v>
      </c>
      <c r="G21" t="str">
        <f t="shared" ca="1" si="0"/>
        <v>"2084063490" : "Máy làm đá",</v>
      </c>
    </row>
    <row r="22" spans="1:7" ht="14.25" customHeight="1">
      <c r="A22" s="2">
        <v>2084223920</v>
      </c>
      <c r="B22" s="2" t="s">
        <v>16034</v>
      </c>
      <c r="C22" s="2" t="s">
        <v>16036</v>
      </c>
      <c r="D22" s="2" t="s">
        <v>16037</v>
      </c>
      <c r="E22" s="4" t="str">
        <f ca="1">IFERROR(__xludf.DUMMYFUNCTION("GOOGLETRANSLATE(B22,""ja"",""vi"")"),"nguồn cung cấp mì làm")</f>
        <v>nguồn cung cấp mì làm</v>
      </c>
      <c r="F22" s="4" t="str">
        <f ca="1">IFERROR(__xludf.DUMMYFUNCTION("GOOGLETRANSLATE(C22,""ja"",""vi"")"),"Đấu giá&gt; Văn phòng, Cửa hàng cung cấp&gt; hàng bé&gt; Thiết bị nhà bếp&gt; nguồn cung cấp mì làm")</f>
        <v>Đấu giá&gt; Văn phòng, Cửa hàng cung cấp&gt; hàng bé&gt; Thiết bị nhà bếp&gt; nguồn cung cấp mì làm</v>
      </c>
      <c r="G22" t="str">
        <f t="shared" ca="1" si="0"/>
        <v>"2084223920" : "nguồn cung cấp mì làm",</v>
      </c>
    </row>
    <row r="23" spans="1:7" ht="14.25" customHeight="1">
      <c r="A23" s="2">
        <v>2084062814</v>
      </c>
      <c r="B23" s="2" t="s">
        <v>16041</v>
      </c>
      <c r="C23" s="2" t="s">
        <v>16042</v>
      </c>
      <c r="D23" s="2" t="s">
        <v>16044</v>
      </c>
      <c r="E23" s="4" t="str">
        <f ca="1">IFERROR(__xludf.DUMMYFUNCTION("GOOGLETRANSLATE(B23,""ja"",""vi"")"),"vật liệu nội thất")</f>
        <v>vật liệu nội thất</v>
      </c>
      <c r="F23" s="4" t="str">
        <f ca="1">IFERROR(__xludf.DUMMYFUNCTION("GOOGLETRANSLATE(C23,""ja"",""vi"")"),"Đấu giá&gt; vật tư văn phòng, cửa hàng&gt; hàng bé&gt; Thiết bị nhà bếp&gt; vật liệu nội thất")</f>
        <v>Đấu giá&gt; vật tư văn phòng, cửa hàng&gt; hàng bé&gt; Thiết bị nhà bếp&gt; vật liệu nội thất</v>
      </c>
      <c r="G23" t="str">
        <f t="shared" ca="1" si="0"/>
        <v>"2084062814" : "vật liệu nội thất",</v>
      </c>
    </row>
    <row r="24" spans="1:7" ht="14.25" customHeight="1">
      <c r="A24" s="2">
        <v>2084063487</v>
      </c>
      <c r="B24" s="2" t="s">
        <v>16047</v>
      </c>
      <c r="C24" s="2" t="s">
        <v>16048</v>
      </c>
      <c r="D24" s="2" t="s">
        <v>16050</v>
      </c>
      <c r="E24" s="4" t="str">
        <f ca="1">IFERROR(__xludf.DUMMYFUNCTION("GOOGLETRANSLATE(B24,""ja"",""vi"")"),"nồi")</f>
        <v>nồi</v>
      </c>
      <c r="F24" s="4" t="str">
        <f ca="1">IFERROR(__xludf.DUMMYFUNCTION("GOOGLETRANSLATE(C24,""ja"",""vi"")"),"Đấu giá&gt; Văn phòng, Cửa hàng cung cấp&gt; hàng bé&gt; Thiết bị nhà bếp&gt; nồi")</f>
        <v>Đấu giá&gt; Văn phòng, Cửa hàng cung cấp&gt; hàng bé&gt; Thiết bị nhà bếp&gt; nồi</v>
      </c>
      <c r="G24" t="str">
        <f t="shared" ca="1" si="0"/>
        <v>"2084063487" : "nồi",</v>
      </c>
    </row>
    <row r="25" spans="1:7" ht="14.25" customHeight="1">
      <c r="A25" s="2">
        <v>2084063511</v>
      </c>
      <c r="B25" s="2" t="s">
        <v>16052</v>
      </c>
      <c r="C25" s="2" t="s">
        <v>16054</v>
      </c>
      <c r="D25" s="2" t="s">
        <v>16055</v>
      </c>
      <c r="E25" s="4" t="str">
        <f ca="1">IFERROR(__xludf.DUMMYFUNCTION("GOOGLETRANSLATE(B25,""ja"",""vi"")"),"Nhà bếp dao")</f>
        <v>Nhà bếp dao</v>
      </c>
      <c r="F25" s="4" t="str">
        <f ca="1">IFERROR(__xludf.DUMMYFUNCTION("GOOGLETRANSLATE(C25,""ja"",""vi"")"),"Đấu giá&gt; Văn phòng, Cửa hàng cung cấp&gt; hàng bé&gt; Thiết bị nhà bếp&gt; dao nhà bếp")</f>
        <v>Đấu giá&gt; Văn phòng, Cửa hàng cung cấp&gt; hàng bé&gt; Thiết bị nhà bếp&gt; dao nhà bếp</v>
      </c>
      <c r="G25" t="str">
        <f t="shared" ca="1" si="0"/>
        <v>"2084063511" : "Nhà bếp dao",</v>
      </c>
    </row>
    <row r="26" spans="1:7" ht="14.25" customHeight="1">
      <c r="A26" s="2">
        <v>2084221072</v>
      </c>
      <c r="B26" s="2" t="s">
        <v>16058</v>
      </c>
      <c r="C26" s="2" t="s">
        <v>16059</v>
      </c>
      <c r="D26" s="2" t="s">
        <v>16060</v>
      </c>
      <c r="E26" s="4" t="str">
        <f ca="1">IFERROR(__xludf.DUMMYFUNCTION("GOOGLETRANSLATE(B26,""ja"",""vi"")"),"Bồn rửa, bồn rửa chén")</f>
        <v>Bồn rửa, bồn rửa chén</v>
      </c>
      <c r="F26" s="4" t="str">
        <f ca="1">IFERROR(__xludf.DUMMYFUNCTION("GOOGLETRANSLATE(C26,""ja"",""vi"")"),"Đấu giá&gt; Văn phòng, Cửa hàng cung cấp&gt; hàng bé&gt; Thiết bị nhà bếp&gt; bồn rửa, bồn rửa chén")</f>
        <v>Đấu giá&gt; Văn phòng, Cửa hàng cung cấp&gt; hàng bé&gt; Thiết bị nhà bếp&gt; bồn rửa, bồn rửa chén</v>
      </c>
      <c r="G26" t="str">
        <f t="shared" ca="1" si="0"/>
        <v>"2084221072" : "Bồn rửa, bồn rửa chén",</v>
      </c>
    </row>
    <row r="27" spans="1:7" ht="14.25" customHeight="1">
      <c r="A27" s="2">
        <v>2084226757</v>
      </c>
      <c r="B27" s="2" t="s">
        <v>16063</v>
      </c>
      <c r="C27" s="2" t="s">
        <v>16064</v>
      </c>
      <c r="D27" s="2" t="s">
        <v>16065</v>
      </c>
      <c r="E27" s="4" t="str">
        <f ca="1">IFERROR(__xludf.DUMMYFUNCTION("GOOGLETRANSLATE(B27,""ja"",""vi"")"),"showcase lạnh")</f>
        <v>showcase lạnh</v>
      </c>
      <c r="F27" s="4" t="str">
        <f ca="1">IFERROR(__xludf.DUMMYFUNCTION("GOOGLETRANSLATE(C27,""ja"",""vi"")"),"Đấu giá&gt; Văn phòng, Cửa hàng cung cấp&gt; hàng bé&gt; Thiết bị nhà bếp&gt; lạnh showcase")</f>
        <v>Đấu giá&gt; Văn phòng, Cửa hàng cung cấp&gt; hàng bé&gt; Thiết bị nhà bếp&gt; lạnh showcase</v>
      </c>
      <c r="G27" t="str">
        <f t="shared" ca="1" si="0"/>
        <v>"2084226757" : "showcase lạnh",</v>
      </c>
    </row>
    <row r="28" spans="1:7" ht="14.25" customHeight="1">
      <c r="A28" s="2">
        <v>2084263145</v>
      </c>
      <c r="B28" s="2" t="s">
        <v>16069</v>
      </c>
      <c r="C28" s="2" t="s">
        <v>16070</v>
      </c>
      <c r="D28" s="2" t="s">
        <v>16073</v>
      </c>
      <c r="E28" s="4" t="str">
        <f ca="1">IFERROR(__xludf.DUMMYFUNCTION("GOOGLETRANSLATE(B28,""ja"",""vi"")"),"Yutakazo showcase")</f>
        <v>Yutakazo showcase</v>
      </c>
      <c r="F28" s="4" t="str">
        <f ca="1">IFERROR(__xludf.DUMMYFUNCTION("GOOGLETRANSLATE(C28,""ja"",""vi"")"),"Đấu giá&gt; Văn phòng, Cửa hàng cung cấp&gt; hàng bé&gt; Thiết bị nhà bếp&gt; Yutakazo Showcase")</f>
        <v>Đấu giá&gt; Văn phòng, Cửa hàng cung cấp&gt; hàng bé&gt; Thiết bị nhà bếp&gt; Yutakazo Showcase</v>
      </c>
      <c r="G28" t="str">
        <f t="shared" ca="1" si="0"/>
        <v>"2084263145" : "Yutakazo showcase",</v>
      </c>
    </row>
    <row r="29" spans="1:7" ht="14.25" customHeight="1">
      <c r="A29" s="2">
        <v>2084263146</v>
      </c>
      <c r="B29" s="2" t="s">
        <v>16075</v>
      </c>
      <c r="C29" s="2" t="s">
        <v>16077</v>
      </c>
      <c r="D29" s="2" t="s">
        <v>16080</v>
      </c>
      <c r="E29" s="4" t="str">
        <f ca="1">IFERROR(__xludf.DUMMYFUNCTION("GOOGLETRANSLATE(B29,""ja"",""vi"")"),"lưu trữ nóng lạnh showcase")</f>
        <v>lưu trữ nóng lạnh showcase</v>
      </c>
      <c r="F29" s="4" t="str">
        <f ca="1">IFERROR(__xludf.DUMMYFUNCTION("GOOGLETRANSLATE(C29,""ja"",""vi"")"),"Đấu giá&gt; Văn phòng, Cửa hàng cung cấp&gt; hàng bé&gt; Thiết bị nhà bếp&gt; showcase lưu trữ nóng lạnh")</f>
        <v>Đấu giá&gt; Văn phòng, Cửa hàng cung cấp&gt; hàng bé&gt; Thiết bị nhà bếp&gt; showcase lưu trữ nóng lạnh</v>
      </c>
      <c r="G29" t="str">
        <f t="shared" ca="1" si="0"/>
        <v>"2084263146" : "lưu trữ nóng lạnh showcase",</v>
      </c>
    </row>
    <row r="30" spans="1:7" ht="14.25" customHeight="1">
      <c r="A30" s="2">
        <v>2084062995</v>
      </c>
      <c r="B30" s="2" t="s">
        <v>5640</v>
      </c>
      <c r="C30" s="2" t="s">
        <v>16083</v>
      </c>
      <c r="D30" s="2" t="s">
        <v>16084</v>
      </c>
      <c r="E30" s="4" t="str">
        <f ca="1">IFERROR(__xludf.DUMMYFUNCTION("GOOGLETRANSLATE(B30,""ja"",""vi"")"),"tủ lạnh")</f>
        <v>tủ lạnh</v>
      </c>
      <c r="F30" s="4" t="str">
        <f ca="1">IFERROR(__xludf.DUMMYFUNCTION("GOOGLETRANSLATE(C30,""ja"",""vi"")"),"Đấu giá&gt; Văn phòng, Cửa hàng cung cấp&gt; hàng bé&gt; Thiết bị nhà bếp&gt; Tủ lạnh")</f>
        <v>Đấu giá&gt; Văn phòng, Cửa hàng cung cấp&gt; hàng bé&gt; Thiết bị nhà bếp&gt; Tủ lạnh</v>
      </c>
      <c r="G30" t="str">
        <f t="shared" ca="1" si="0"/>
        <v>"2084062995" : "tủ lạnh",</v>
      </c>
    </row>
    <row r="31" spans="1:7" ht="14.25" customHeight="1">
      <c r="A31" s="2">
        <v>2084062996</v>
      </c>
      <c r="B31" s="2" t="s">
        <v>5645</v>
      </c>
      <c r="C31" s="2" t="s">
        <v>16087</v>
      </c>
      <c r="D31" s="2" t="s">
        <v>16088</v>
      </c>
      <c r="E31" s="4" t="str">
        <f ca="1">IFERROR(__xludf.DUMMYFUNCTION("GOOGLETRANSLATE(B31,""ja"",""vi"")"),"máy làm lạnh")</f>
        <v>máy làm lạnh</v>
      </c>
      <c r="F31" s="4" t="str">
        <f ca="1">IFERROR(__xludf.DUMMYFUNCTION("GOOGLETRANSLATE(C31,""ja"",""vi"")"),"Đấu giá&gt; Văn phòng, Cửa hàng cung cấp&gt; hàng bé&gt; Thiết bị nhà bếp&gt; tủ đông")</f>
        <v>Đấu giá&gt; Văn phòng, Cửa hàng cung cấp&gt; hàng bé&gt; Thiết bị nhà bếp&gt; tủ đông</v>
      </c>
      <c r="G31" t="str">
        <f t="shared" ca="1" si="0"/>
        <v>"2084062996" : "máy làm lạnh",</v>
      </c>
    </row>
    <row r="32" spans="1:7" ht="14.25" customHeight="1">
      <c r="A32" s="2">
        <v>2084062997</v>
      </c>
      <c r="B32" s="2" t="s">
        <v>16091</v>
      </c>
      <c r="C32" s="2" t="s">
        <v>16092</v>
      </c>
      <c r="D32" s="2" t="s">
        <v>16093</v>
      </c>
      <c r="E32" s="4" t="str">
        <f ca="1">IFERROR(__xludf.DUMMYFUNCTION("GOOGLETRANSLATE(B32,""ja"",""vi"")"),"Tủ lạnh-tủ đông")</f>
        <v>Tủ lạnh-tủ đông</v>
      </c>
      <c r="F32" s="4" t="str">
        <f ca="1">IFERROR(__xludf.DUMMYFUNCTION("GOOGLETRANSLATE(C32,""ja"",""vi"")"),"Đấu giá&gt; Văn phòng, Cửa hàng cung cấp&gt; hàng bé&gt; Thiết bị nhà bếp&gt; Tủ lạnh")</f>
        <v>Đấu giá&gt; Văn phòng, Cửa hàng cung cấp&gt; hàng bé&gt; Thiết bị nhà bếp&gt; Tủ lạnh</v>
      </c>
      <c r="G32" t="str">
        <f t="shared" ca="1" si="0"/>
        <v>"2084062997" : "Tủ lạnh-tủ đông",</v>
      </c>
    </row>
    <row r="33" spans="1:7" ht="14.25" customHeight="1">
      <c r="A33" s="2">
        <v>2084263152</v>
      </c>
      <c r="B33" s="2" t="s">
        <v>16096</v>
      </c>
      <c r="C33" s="2" t="s">
        <v>16097</v>
      </c>
      <c r="D33" s="2" t="s">
        <v>16098</v>
      </c>
      <c r="E33" s="4" t="str">
        <f ca="1">IFERROR(__xludf.DUMMYFUNCTION("GOOGLETRANSLATE(B33,""ja"",""vi"")"),"Yutakakurako")</f>
        <v>Yutakakurako</v>
      </c>
      <c r="F33" s="4" t="str">
        <f ca="1">IFERROR(__xludf.DUMMYFUNCTION("GOOGLETRANSLATE(C33,""ja"",""vi"")"),"Đấu giá&gt; Văn phòng, Cửa hàng cung cấp&gt; hàng bé&gt; Thiết bị nhà bếp&gt; Yutakakurako")</f>
        <v>Đấu giá&gt; Văn phòng, Cửa hàng cung cấp&gt; hàng bé&gt; Thiết bị nhà bếp&gt; Yutakakurako</v>
      </c>
      <c r="G33" t="str">
        <f t="shared" ca="1" si="0"/>
        <v>"2084263152" : "Yutakakurako",</v>
      </c>
    </row>
    <row r="34" spans="1:7" ht="14.25" customHeight="1">
      <c r="A34" s="2">
        <v>2084063000</v>
      </c>
      <c r="B34" s="2" t="s">
        <v>46</v>
      </c>
      <c r="C34" s="2" t="s">
        <v>16101</v>
      </c>
      <c r="D34" s="2" t="s">
        <v>16102</v>
      </c>
      <c r="E34" s="4" t="str">
        <f ca="1">IFERROR(__xludf.DUMMYFUNCTION("GOOGLETRANSLATE(B34,""ja"",""vi"")"),"nếu không thì")</f>
        <v>nếu không thì</v>
      </c>
      <c r="F34" s="4" t="str">
        <f ca="1">IFERROR(__xludf.DUMMYFUNCTION("GOOGLETRANSLATE(C34,""ja"",""vi"")"),"Đấu giá&gt; Văn phòng, Cửa hàng cung cấp&gt; hàng bé&gt; Thiết bị nhà bếp&gt; Khác")</f>
        <v>Đấu giá&gt; Văn phòng, Cửa hàng cung cấp&gt; hàng bé&gt; Thiết bị nhà bếp&gt; Khác</v>
      </c>
      <c r="G34" t="str">
        <f t="shared" ca="1" si="0"/>
        <v>"2084063000" : "nếu không thì",</v>
      </c>
    </row>
    <row r="35" spans="1:7" ht="14.25" customHeight="1">
      <c r="A35" s="2">
        <v>2084049738</v>
      </c>
      <c r="B35" s="2" t="s">
        <v>16105</v>
      </c>
      <c r="C35" s="2" t="s">
        <v>16106</v>
      </c>
      <c r="D35" s="2" t="s">
        <v>16108</v>
      </c>
      <c r="E35" s="4" t="str">
        <f ca="1">IFERROR(__xludf.DUMMYFUNCTION("GOOGLETRANSLATE(B35,""ja"",""vi"")"),"áo choàng ngoài")</f>
        <v>áo choàng ngoài</v>
      </c>
      <c r="F35" s="4" t="str">
        <f ca="1">IFERROR(__xludf.DUMMYFUNCTION("GOOGLETRANSLATE(C35,""ja"",""vi"")"),"Đấu giá&gt; làm đẹp, chăm sóc sức khỏe&gt; ​​Chăm sóc móng tay&gt; lớp phủ")</f>
        <v>Đấu giá&gt; làm đẹp, chăm sóc sức khỏe&gt; ​​Chăm sóc móng tay&gt; lớp phủ</v>
      </c>
      <c r="G35" t="str">
        <f t="shared" ca="1" si="0"/>
        <v>"2084049738" : "áo choàng ngoài",</v>
      </c>
    </row>
    <row r="36" spans="1:7" ht="14.25" customHeight="1">
      <c r="A36" s="2">
        <v>2084049741</v>
      </c>
      <c r="B36" s="2" t="s">
        <v>16112</v>
      </c>
      <c r="C36" s="2" t="s">
        <v>16113</v>
      </c>
      <c r="D36" s="2" t="s">
        <v>16114</v>
      </c>
      <c r="E36" s="4" t="str">
        <f ca="1">IFERROR(__xludf.DUMMYFUNCTION("GOOGLETRANSLATE(B36,""ja"",""vi"")"),"Tx Nail Art")</f>
        <v>Tx Nail Art</v>
      </c>
      <c r="F36" s="4" t="str">
        <f ca="1">IFERROR(__xludf.DUMMYFUNCTION("GOOGLETRANSLATE(C36,""ja"",""vi"")"),"Đấu giá&gt; làm đẹp, chăm sóc sức khỏe&gt; ​​Chăm sóc móng tay&gt; Tx Nail Art")</f>
        <v>Đấu giá&gt; làm đẹp, chăm sóc sức khỏe&gt; ​​Chăm sóc móng tay&gt; Tx Nail Art</v>
      </c>
      <c r="G36" t="str">
        <f t="shared" ca="1" si="0"/>
        <v>"2084049741" : "Tx Nail Art",</v>
      </c>
    </row>
    <row r="37" spans="1:7" ht="14.25" customHeight="1">
      <c r="A37" s="2">
        <v>2084007455</v>
      </c>
      <c r="B37" s="2" t="s">
        <v>16119</v>
      </c>
      <c r="C37" s="2" t="s">
        <v>16120</v>
      </c>
      <c r="D37" s="2" t="s">
        <v>16121</v>
      </c>
      <c r="E37" s="4" t="str">
        <f ca="1">IFERROR(__xludf.DUMMYFUNCTION("GOOGLETRANSLATE(B37,""ja"",""vi"")"),"Nail màu")</f>
        <v>Nail màu</v>
      </c>
      <c r="F37" s="4" t="str">
        <f ca="1">IFERROR(__xludf.DUMMYFUNCTION("GOOGLETRANSLATE(C37,""ja"",""vi"")"),"Đấu giá&gt; làm đẹp, chăm sóc sức khỏe&gt; ​​Chăm sóc móng tay&gt; màu móng tay")</f>
        <v>Đấu giá&gt; làm đẹp, chăm sóc sức khỏe&gt; ​​Chăm sóc móng tay&gt; màu móng tay</v>
      </c>
      <c r="G37" t="str">
        <f t="shared" ca="1" si="0"/>
        <v>"2084007455" : "Nail màu",</v>
      </c>
    </row>
    <row r="38" spans="1:7" ht="14.25" customHeight="1">
      <c r="A38" s="2">
        <v>2084007456</v>
      </c>
      <c r="B38" s="2" t="s">
        <v>16125</v>
      </c>
      <c r="C38" s="2" t="s">
        <v>16127</v>
      </c>
      <c r="D38" s="2" t="s">
        <v>16128</v>
      </c>
      <c r="E38" s="4" t="str">
        <f ca="1">IFERROR(__xludf.DUMMYFUNCTION("GOOGLETRANSLATE(B38,""ja"",""vi"")"),"Nail tip, móng tay")</f>
        <v>Nail tip, móng tay</v>
      </c>
      <c r="F38" s="4" t="str">
        <f ca="1">IFERROR(__xludf.DUMMYFUNCTION("GOOGLETRANSLATE(C38,""ja"",""vi"")"),"Đấu giá&gt; làm đẹp, chăm sóc sức khỏe&gt; ​​Chăm sóc móng tay&gt; đầu móng tay, móng tay")</f>
        <v>Đấu giá&gt; làm đẹp, chăm sóc sức khỏe&gt; ​​Chăm sóc móng tay&gt; đầu móng tay, móng tay</v>
      </c>
      <c r="G38" t="str">
        <f t="shared" ca="1" si="0"/>
        <v>"2084007456" : "Nail tip, móng tay",</v>
      </c>
    </row>
    <row r="39" spans="1:7" ht="14.25" customHeight="1">
      <c r="A39" s="2">
        <v>2084049740</v>
      </c>
      <c r="B39" s="2" t="s">
        <v>16131</v>
      </c>
      <c r="C39" s="2" t="s">
        <v>16132</v>
      </c>
      <c r="D39" s="2" t="s">
        <v>16133</v>
      </c>
      <c r="E39" s="4" t="str">
        <f ca="1">IFERROR(__xludf.DUMMYFUNCTION("GOOGLETRANSLATE(B39,""ja"",""vi"")"),"xử lý móng tay")</f>
        <v>xử lý móng tay</v>
      </c>
      <c r="F39" s="4" t="str">
        <f ca="1">IFERROR(__xludf.DUMMYFUNCTION("GOOGLETRANSLATE(C39,""ja"",""vi"")"),"Đấu giá&gt; làm đẹp, chăm sóc sức khỏe&gt; ​​Chăm sóc móng tay&gt; Nail điều trị")</f>
        <v>Đấu giá&gt; làm đẹp, chăm sóc sức khỏe&gt; ​​Chăm sóc móng tay&gt; Nail điều trị</v>
      </c>
      <c r="G39" t="str">
        <f t="shared" ca="1" si="0"/>
        <v>"2084049740" : "xử lý móng tay",</v>
      </c>
    </row>
    <row r="40" spans="1:7" ht="14.25" customHeight="1">
      <c r="A40" s="2">
        <v>2084049739</v>
      </c>
      <c r="B40" s="2" t="s">
        <v>16136</v>
      </c>
      <c r="C40" s="2" t="s">
        <v>16137</v>
      </c>
      <c r="D40" s="2" t="s">
        <v>16138</v>
      </c>
      <c r="E40" s="4" t="str">
        <f ca="1">IFERROR(__xludf.DUMMYFUNCTION("GOOGLETRANSLATE(B40,""ja"",""vi"")"),"lớp phủ nền")</f>
        <v>lớp phủ nền</v>
      </c>
      <c r="F40" s="4" t="str">
        <f ca="1">IFERROR(__xludf.DUMMYFUNCTION("GOOGLETRANSLATE(C40,""ja"",""vi"")"),"Đấu giá&gt; làm đẹp, chăm sóc sức khỏe&gt; ​​Chăm sóc móng tay&gt; lớp phủ nền")</f>
        <v>Đấu giá&gt; làm đẹp, chăm sóc sức khỏe&gt; ​​Chăm sóc móng tay&gt; lớp phủ nền</v>
      </c>
      <c r="G40" t="str">
        <f t="shared" ca="1" si="0"/>
        <v>"2084049739" : "lớp phủ nền",</v>
      </c>
    </row>
    <row r="41" spans="1:7" ht="14.25" customHeight="1">
      <c r="A41" s="2">
        <v>2084049737</v>
      </c>
      <c r="B41" s="2" t="s">
        <v>16141</v>
      </c>
      <c r="C41" s="2" t="s">
        <v>16142</v>
      </c>
      <c r="D41" s="2" t="s">
        <v>16143</v>
      </c>
      <c r="E41" s="4" t="str">
        <f ca="1">IFERROR(__xludf.DUMMYFUNCTION("GOOGLETRANSLATE(B41,""ja"",""vi"")"),"làm sạch Công cụ")</f>
        <v>làm sạch Công cụ</v>
      </c>
      <c r="F41" s="4" t="str">
        <f ca="1">IFERROR(__xludf.DUMMYFUNCTION("GOOGLETRANSLATE(C41,""ja"",""vi"")"),"Đấu giá&gt; làm đẹp, chăm sóc sức khỏe&gt; ​​Chăm sóc móng tay&gt; Công cụ làm sạch")</f>
        <v>Đấu giá&gt; làm đẹp, chăm sóc sức khỏe&gt; ​​Chăm sóc móng tay&gt; Công cụ làm sạch</v>
      </c>
      <c r="G41" t="str">
        <f t="shared" ca="1" si="0"/>
        <v>"2084049737" : "làm sạch Công cụ",</v>
      </c>
    </row>
    <row r="42" spans="1:7" ht="14.25" customHeight="1">
      <c r="A42" s="2">
        <v>2084049736</v>
      </c>
      <c r="B42" s="2" t="s">
        <v>16146</v>
      </c>
      <c r="C42" s="2" t="s">
        <v>16147</v>
      </c>
      <c r="D42" s="2" t="s">
        <v>16148</v>
      </c>
      <c r="E42" s="4" t="str">
        <f ca="1">IFERROR(__xludf.DUMMYFUNCTION("GOOGLETRANSLATE(B42,""ja"",""vi"")"),"Johikarieki")</f>
        <v>Johikarieki</v>
      </c>
      <c r="F42" s="4" t="str">
        <f ca="1">IFERROR(__xludf.DUMMYFUNCTION("GOOGLETRANSLATE(C42,""ja"",""vi"")"),"Đấu giá&gt; làm đẹp, chăm sóc sức khỏe&gt; ​​Chăm sóc móng tay&gt; Johikarieki")</f>
        <v>Đấu giá&gt; làm đẹp, chăm sóc sức khỏe&gt; ​​Chăm sóc móng tay&gt; Johikarieki</v>
      </c>
      <c r="G42" t="str">
        <f t="shared" ca="1" si="0"/>
        <v>"2084049736" : "Johikarieki",</v>
      </c>
    </row>
    <row r="43" spans="1:7" ht="14.25" customHeight="1">
      <c r="A43" s="2">
        <v>2084227185</v>
      </c>
      <c r="B43" s="2" t="s">
        <v>10149</v>
      </c>
      <c r="C43" s="2" t="s">
        <v>16152</v>
      </c>
      <c r="D43" s="2" t="s">
        <v>16153</v>
      </c>
      <c r="E43" s="4" t="str">
        <f ca="1">IFERROR(__xludf.DUMMYFUNCTION("GOOGLETRANSLATE(B43,""ja"",""vi"")"),"cắt móng tay")</f>
        <v>cắt móng tay</v>
      </c>
      <c r="F43" s="4" t="str">
        <f ca="1">IFERROR(__xludf.DUMMYFUNCTION("GOOGLETRANSLATE(C43,""ja"",""vi"")"),"Đấu giá&gt; làm đẹp, chăm sóc sức khỏe&gt; ​​Chăm sóc móng tay&gt; cắt móng tay")</f>
        <v>Đấu giá&gt; làm đẹp, chăm sóc sức khỏe&gt; ​​Chăm sóc móng tay&gt; cắt móng tay</v>
      </c>
      <c r="G43" t="str">
        <f t="shared" ca="1" si="0"/>
        <v>"2084227185" : "cắt móng tay",</v>
      </c>
    </row>
    <row r="44" spans="1:7" ht="14.25" customHeight="1">
      <c r="A44" s="2">
        <v>2084007457</v>
      </c>
      <c r="B44" s="2" t="s">
        <v>46</v>
      </c>
      <c r="C44" s="2" t="s">
        <v>16154</v>
      </c>
      <c r="D44" s="2" t="s">
        <v>16156</v>
      </c>
      <c r="E44" s="4" t="str">
        <f ca="1">IFERROR(__xludf.DUMMYFUNCTION("GOOGLETRANSLATE(B44,""ja"",""vi"")"),"nếu không thì")</f>
        <v>nếu không thì</v>
      </c>
      <c r="F44" s="4" t="str">
        <f ca="1">IFERROR(__xludf.DUMMYFUNCTION("GOOGLETRANSLATE(C44,""ja"",""vi"")"),"Đấu giá&gt; làm đẹp, chăm sóc sức khỏe&gt; ​​Chăm sóc móng tay&gt; Khác")</f>
        <v>Đấu giá&gt; làm đẹp, chăm sóc sức khỏe&gt; ​​Chăm sóc móng tay&gt; Khác</v>
      </c>
      <c r="G44" t="str">
        <f t="shared" ca="1" si="0"/>
        <v>"2084007457" : "nếu không thì",</v>
      </c>
    </row>
    <row r="45" spans="1:7" ht="14.25" customHeight="1">
      <c r="A45" s="2">
        <v>2084007432</v>
      </c>
      <c r="B45" s="2" t="s">
        <v>16159</v>
      </c>
      <c r="C45" s="2" t="s">
        <v>16160</v>
      </c>
      <c r="D45" s="2" t="s">
        <v>16161</v>
      </c>
      <c r="E45" s="4" t="str">
        <f ca="1">IFERROR(__xludf.DUMMYFUNCTION("GOOGLETRANSLATE(B45,""ja"",""vi"")"),"dầu gội đầu")</f>
        <v>dầu gội đầu</v>
      </c>
      <c r="F45" s="4" t="str">
        <f ca="1">IFERROR(__xludf.DUMMYFUNCTION("GOOGLETRANSLATE(C45,""ja"",""vi"")"),"Đấu giá&gt; làm đẹp, chăm sóc sức khỏe&gt; ​​Chăm sóc tóc&gt; dầu gội đầu")</f>
        <v>Đấu giá&gt; làm đẹp, chăm sóc sức khỏe&gt; ​​Chăm sóc tóc&gt; dầu gội đầu</v>
      </c>
      <c r="G45" t="str">
        <f t="shared" ca="1" si="0"/>
        <v>"2084007432" : "dầu gội đầu",</v>
      </c>
    </row>
    <row r="46" spans="1:7" ht="14.25" customHeight="1">
      <c r="A46" s="2">
        <v>2084007433</v>
      </c>
      <c r="B46" s="2" t="s">
        <v>16164</v>
      </c>
      <c r="C46" s="2" t="s">
        <v>16165</v>
      </c>
      <c r="D46" s="2" t="s">
        <v>16166</v>
      </c>
      <c r="E46" s="4" t="str">
        <f ca="1">IFERROR(__xludf.DUMMYFUNCTION("GOOGLETRANSLATE(B46,""ja"",""vi"")"),"rửa")</f>
        <v>rửa</v>
      </c>
      <c r="F46" s="4" t="str">
        <f ca="1">IFERROR(__xludf.DUMMYFUNCTION("GOOGLETRANSLATE(C46,""ja"",""vi"")"),"Đấu giá&gt; làm đẹp, chăm sóc sức khỏe&gt; ​​Chăm sóc tóc&gt; rửa")</f>
        <v>Đấu giá&gt; làm đẹp, chăm sóc sức khỏe&gt; ​​Chăm sóc tóc&gt; rửa</v>
      </c>
      <c r="G46" t="str">
        <f t="shared" ca="1" si="0"/>
        <v>"2084007433" : "rửa",</v>
      </c>
    </row>
    <row r="47" spans="1:7" ht="14.25" customHeight="1">
      <c r="A47" s="2">
        <v>2084007434</v>
      </c>
      <c r="B47" s="2" t="s">
        <v>16169</v>
      </c>
      <c r="C47" s="2" t="s">
        <v>16170</v>
      </c>
      <c r="D47" s="2" t="s">
        <v>16171</v>
      </c>
      <c r="E47" s="4" t="str">
        <f ca="1">IFERROR(__xludf.DUMMYFUNCTION("GOOGLETRANSLATE(B47,""ja"",""vi"")"),"Điều trị, Essence")</f>
        <v>Điều trị, Essence</v>
      </c>
      <c r="F47" s="4" t="str">
        <f ca="1">IFERROR(__xludf.DUMMYFUNCTION("GOOGLETRANSLATE(C47,""ja"",""vi"")"),"Đấu giá&gt; làm đẹp, chăm sóc sức khỏe&gt; ​​Chăm sóc tóc&gt; điều trị, bản chất")</f>
        <v>Đấu giá&gt; làm đẹp, chăm sóc sức khỏe&gt; ​​Chăm sóc tóc&gt; điều trị, bản chất</v>
      </c>
      <c r="G47" t="str">
        <f t="shared" ca="1" si="0"/>
        <v>"2084007434" : "Điều trị, Essence",</v>
      </c>
    </row>
    <row r="48" spans="1:7" ht="14.25" customHeight="1">
      <c r="A48" s="2">
        <v>2084007436</v>
      </c>
      <c r="B48" s="2" t="s">
        <v>16174</v>
      </c>
      <c r="C48" s="2" t="s">
        <v>16175</v>
      </c>
      <c r="D48" s="2" t="s">
        <v>16177</v>
      </c>
      <c r="E48" s="4" t="str">
        <f ca="1">IFERROR(__xludf.DUMMYFUNCTION("GOOGLETRANSLATE(B48,""ja"",""vi"")"),"đại lý màu")</f>
        <v>đại lý màu</v>
      </c>
      <c r="F48" s="4" t="str">
        <f ca="1">IFERROR(__xludf.DUMMYFUNCTION("GOOGLETRANSLATE(C48,""ja"",""vi"")"),"Đấu giá&gt; làm đẹp, chăm sóc sức khỏe&gt; ​​Chăm sóc tóc&gt; đại lý màu")</f>
        <v>Đấu giá&gt; làm đẹp, chăm sóc sức khỏe&gt; ​​Chăm sóc tóc&gt; đại lý màu</v>
      </c>
      <c r="G48" t="str">
        <f t="shared" ca="1" si="0"/>
        <v>"2084007436" : "đại lý màu",</v>
      </c>
    </row>
    <row r="49" spans="1:7" ht="14.25" customHeight="1">
      <c r="A49" s="2">
        <v>2084007435</v>
      </c>
      <c r="B49" s="2" t="s">
        <v>16180</v>
      </c>
      <c r="C49" s="2" t="s">
        <v>16182</v>
      </c>
      <c r="D49" s="2" t="s">
        <v>16184</v>
      </c>
      <c r="E49" s="4" t="str">
        <f ca="1">IFERROR(__xludf.DUMMYFUNCTION("GOOGLETRANSLATE(B49,""ja"",""vi"")"),"phong cách")</f>
        <v>phong cách</v>
      </c>
      <c r="F49" s="4" t="str">
        <f ca="1">IFERROR(__xludf.DUMMYFUNCTION("GOOGLETRANSLATE(C49,""ja"",""vi"")"),"Đấu giá&gt; làm đẹp, chăm sóc sức khỏe&gt; ​​Chăm sóc tóc&gt; Styling")</f>
        <v>Đấu giá&gt; làm đẹp, chăm sóc sức khỏe&gt; ​​Chăm sóc tóc&gt; Styling</v>
      </c>
      <c r="G49" t="str">
        <f t="shared" ca="1" si="0"/>
        <v>"2084007435" : "phong cách",</v>
      </c>
    </row>
    <row r="50" spans="1:7" ht="14.25" customHeight="1">
      <c r="A50" s="2">
        <v>2084007481</v>
      </c>
      <c r="B50" s="2" t="s">
        <v>16188</v>
      </c>
      <c r="C50" s="2" t="s">
        <v>16189</v>
      </c>
      <c r="D50" s="2" t="s">
        <v>16190</v>
      </c>
      <c r="E50" s="4" t="str">
        <f ca="1">IFERROR(__xludf.DUMMYFUNCTION("GOOGLETRANSLATE(B50,""ja"",""vi"")"),"Bàn chải, lược")</f>
        <v>Bàn chải, lược</v>
      </c>
      <c r="F50" s="4" t="str">
        <f ca="1">IFERROR(__xludf.DUMMYFUNCTION("GOOGLETRANSLATE(C50,""ja"",""vi"")"),"Đấu giá&gt; làm đẹp, chăm sóc sức khỏe&gt; ​​Chăm sóc tóc&gt; bàn chải, lược")</f>
        <v>Đấu giá&gt; làm đẹp, chăm sóc sức khỏe&gt; ​​Chăm sóc tóc&gt; bàn chải, lược</v>
      </c>
      <c r="G50" t="str">
        <f t="shared" ca="1" si="0"/>
        <v>"2084007481" : "Bàn chải, lược",</v>
      </c>
    </row>
    <row r="51" spans="1:7" ht="14.25" customHeight="1">
      <c r="A51" s="2">
        <v>2084044961</v>
      </c>
      <c r="B51" s="2" t="s">
        <v>16192</v>
      </c>
      <c r="C51" s="2" t="s">
        <v>16194</v>
      </c>
      <c r="D51" s="2" t="s">
        <v>16196</v>
      </c>
      <c r="E51" s="4" t="str">
        <f ca="1">IFERROR(__xludf.DUMMYFUNCTION("GOOGLETRANSLATE(B51,""ja"",""vi"")"),"sắt uốn")</f>
        <v>sắt uốn</v>
      </c>
      <c r="F51" s="4" t="str">
        <f ca="1">IFERROR(__xludf.DUMMYFUNCTION("GOOGLETRANSLATE(C51,""ja"",""vi"")"),"Đấu giá&gt; làm đẹp, chăm sóc sức khỏe&gt; ​​Chăm sóc tóc&gt; bàn cong")</f>
        <v>Đấu giá&gt; làm đẹp, chăm sóc sức khỏe&gt; ​​Chăm sóc tóc&gt; bàn cong</v>
      </c>
      <c r="G51" t="str">
        <f t="shared" ca="1" si="0"/>
        <v>"2084044961" : "sắt uốn",</v>
      </c>
    </row>
    <row r="52" spans="1:7" ht="14.25" customHeight="1">
      <c r="A52" s="2">
        <v>2084236841</v>
      </c>
      <c r="B52" s="2" t="s">
        <v>16199</v>
      </c>
      <c r="C52" s="2" t="s">
        <v>16201</v>
      </c>
      <c r="D52" s="2" t="s">
        <v>16202</v>
      </c>
      <c r="E52" s="4" t="str">
        <f ca="1">IFERROR(__xludf.DUMMYFUNCTION("GOOGLETRANSLATE(B52,""ja"",""vi"")"),"nối tóc")</f>
        <v>nối tóc</v>
      </c>
      <c r="F52" s="4" t="str">
        <f ca="1">IFERROR(__xludf.DUMMYFUNCTION("GOOGLETRANSLATE(C52,""ja"",""vi"")"),"Đấu giá&gt; làm đẹp, chăm sóc sức khỏe&gt; ​​Chăm sóc tóc&gt; phần mở rộng tóc")</f>
        <v>Đấu giá&gt; làm đẹp, chăm sóc sức khỏe&gt; ​​Chăm sóc tóc&gt; phần mở rộng tóc</v>
      </c>
      <c r="G52" t="str">
        <f t="shared" ca="1" si="0"/>
        <v>"2084236841" : "nối tóc",</v>
      </c>
    </row>
    <row r="53" spans="1:7" ht="14.25" customHeight="1">
      <c r="A53" s="2">
        <v>2084044960</v>
      </c>
      <c r="B53" s="2" t="s">
        <v>16205</v>
      </c>
      <c r="C53" s="2" t="s">
        <v>16206</v>
      </c>
      <c r="D53" s="2" t="s">
        <v>16208</v>
      </c>
      <c r="E53" s="4" t="str">
        <f ca="1">IFERROR(__xludf.DUMMYFUNCTION("GOOGLETRANSLATE(B53,""ja"",""vi"")"),"máy sấy tóc")</f>
        <v>máy sấy tóc</v>
      </c>
      <c r="F53" s="4" t="str">
        <f ca="1">IFERROR(__xludf.DUMMYFUNCTION("GOOGLETRANSLATE(C53,""ja"",""vi"")"),"Đấu giá&gt; làm đẹp, chăm sóc sức khỏe&gt; ​​Chăm sóc tóc&gt; Máy sấy tóc")</f>
        <v>Đấu giá&gt; làm đẹp, chăm sóc sức khỏe&gt; ​​Chăm sóc tóc&gt; Máy sấy tóc</v>
      </c>
      <c r="G53" t="str">
        <f t="shared" ca="1" si="0"/>
        <v>"2084044960" : "máy sấy tóc",</v>
      </c>
    </row>
    <row r="54" spans="1:7" ht="14.25" customHeight="1">
      <c r="A54" s="2">
        <v>2084044962</v>
      </c>
      <c r="B54" s="2" t="s">
        <v>16211</v>
      </c>
      <c r="C54" s="2" t="s">
        <v>16212</v>
      </c>
      <c r="D54" s="2" t="s">
        <v>16214</v>
      </c>
      <c r="E54" s="4" t="str">
        <f ca="1">IFERROR(__xludf.DUMMYFUNCTION("GOOGLETRANSLATE(B54,""ja"",""vi"")"),"curler nóng")</f>
        <v>curler nóng</v>
      </c>
      <c r="F54" s="4" t="str">
        <f ca="1">IFERROR(__xludf.DUMMYFUNCTION("GOOGLETRANSLATE(C54,""ja"",""vi"")"),"Đấu giá&gt; làm đẹp, chăm sóc sức khỏe&gt; ​​Chăm sóc tóc&gt; curler nóng")</f>
        <v>Đấu giá&gt; làm đẹp, chăm sóc sức khỏe&gt; ​​Chăm sóc tóc&gt; curler nóng</v>
      </c>
      <c r="G54" t="str">
        <f t="shared" ca="1" si="0"/>
        <v>"2084044962" : "curler nóng",</v>
      </c>
    </row>
    <row r="55" spans="1:7" ht="14.25" customHeight="1">
      <c r="A55" s="2">
        <v>2084048852</v>
      </c>
      <c r="B55" s="2" t="s">
        <v>16218</v>
      </c>
      <c r="C55" s="2" t="s">
        <v>16219</v>
      </c>
      <c r="D55" s="2" t="s">
        <v>16220</v>
      </c>
      <c r="E55" s="4" t="str">
        <f ca="1">IFERROR(__xludf.DUMMYFUNCTION("GOOGLETRANSLATE(B55,""ja"",""vi"")"),"tốc độ tăng trưởng tóc, đại lý phát triển của tóc")</f>
        <v>tốc độ tăng trưởng tóc, đại lý phát triển của tóc</v>
      </c>
      <c r="F55" s="4" t="str">
        <f ca="1">IFERROR(__xludf.DUMMYFUNCTION("GOOGLETRANSLATE(C55,""ja"",""vi"")"),"Đấu giá&gt; làm đẹp, chăm sóc sức khỏe&gt; ​​Chăm sóc tóc&gt; tốc độ tăng trưởng tóc, đại lý phát triển của tóc")</f>
        <v>Đấu giá&gt; làm đẹp, chăm sóc sức khỏe&gt; ​​Chăm sóc tóc&gt; tốc độ tăng trưởng tóc, đại lý phát triển của tóc</v>
      </c>
      <c r="G55" t="str">
        <f t="shared" ca="1" si="0"/>
        <v>"2084048852" : "tốc độ tăng trưởng tóc, đại lý phát triển của tóc",</v>
      </c>
    </row>
    <row r="56" spans="1:7" ht="14.25" customHeight="1">
      <c r="A56" s="2">
        <v>2084007441</v>
      </c>
      <c r="B56" s="2" t="s">
        <v>8077</v>
      </c>
      <c r="C56" s="2" t="s">
        <v>16225</v>
      </c>
      <c r="D56" s="2" t="s">
        <v>16226</v>
      </c>
      <c r="E56" s="4" t="str">
        <f ca="1">IFERROR(__xludf.DUMMYFUNCTION("GOOGLETRANSLATE(B56,""ja"",""vi"")"),"tóc giả")</f>
        <v>tóc giả</v>
      </c>
      <c r="F56" s="4" t="str">
        <f ca="1">IFERROR(__xludf.DUMMYFUNCTION("GOOGLETRANSLATE(C56,""ja"",""vi"")"),"Đấu giá&gt; làm đẹp, chăm sóc sức khỏe&gt; ​​Chăm sóc tóc&gt; tóc giả")</f>
        <v>Đấu giá&gt; làm đẹp, chăm sóc sức khỏe&gt; ​​Chăm sóc tóc&gt; tóc giả</v>
      </c>
      <c r="G56" t="str">
        <f t="shared" ca="1" si="0"/>
        <v>"2084007441" : "tóc giả",</v>
      </c>
    </row>
    <row r="57" spans="1:7" ht="14.25" customHeight="1">
      <c r="A57" s="2">
        <v>2084007438</v>
      </c>
      <c r="B57" s="2" t="s">
        <v>16229</v>
      </c>
      <c r="C57" s="2" t="s">
        <v>16230</v>
      </c>
      <c r="D57" s="2" t="s">
        <v>16231</v>
      </c>
      <c r="E57" s="4" t="str">
        <f ca="1">IFERROR(__xludf.DUMMYFUNCTION("GOOGLETRANSLATE(B57,""ja"",""vi"")"),"thời trang Tóc")</f>
        <v>thời trang Tóc</v>
      </c>
      <c r="F57" s="4" t="str">
        <f ca="1">IFERROR(__xludf.DUMMYFUNCTION("GOOGLETRANSLATE(C57,""ja"",""vi"")"),"Đấu giá&gt; làm đẹp, chăm sóc sức khỏe&gt; ​​Chăm sóc tóc&gt; Tóc giả thời trang")</f>
        <v>Đấu giá&gt; làm đẹp, chăm sóc sức khỏe&gt; ​​Chăm sóc tóc&gt; Tóc giả thời trang</v>
      </c>
      <c r="G57" t="str">
        <f t="shared" ca="1" si="0"/>
        <v>"2084007438" : "thời trang Tóc",</v>
      </c>
    </row>
    <row r="58" spans="1:7" ht="14.25" customHeight="1">
      <c r="A58" s="2">
        <v>2084007437</v>
      </c>
      <c r="B58" s="2" t="s">
        <v>46</v>
      </c>
      <c r="C58" s="2" t="s">
        <v>16234</v>
      </c>
      <c r="D58" s="2" t="s">
        <v>16235</v>
      </c>
      <c r="E58" s="4" t="str">
        <f ca="1">IFERROR(__xludf.DUMMYFUNCTION("GOOGLETRANSLATE(B58,""ja"",""vi"")"),"nếu không thì")</f>
        <v>nếu không thì</v>
      </c>
      <c r="F58" s="4" t="str">
        <f ca="1">IFERROR(__xludf.DUMMYFUNCTION("GOOGLETRANSLATE(C58,""ja"",""vi"")"),"Đấu giá&gt; làm đẹp, chăm sóc sức khỏe&gt; ​​Chăm sóc tóc&gt; Khác")</f>
        <v>Đấu giá&gt; làm đẹp, chăm sóc sức khỏe&gt; ​​Chăm sóc tóc&gt; Khác</v>
      </c>
      <c r="G58" t="str">
        <f t="shared" ca="1" si="0"/>
        <v>"2084007437" : "nếu không thì",</v>
      </c>
    </row>
    <row r="59" spans="1:7" ht="14.25" customHeight="1">
      <c r="A59" s="2">
        <v>2084227136</v>
      </c>
      <c r="B59" s="2" t="s">
        <v>7379</v>
      </c>
      <c r="C59" s="8" t="s">
        <v>7380</v>
      </c>
      <c r="D59" s="2" t="s">
        <v>16239</v>
      </c>
      <c r="E59" s="4" t="str">
        <f ca="1">IFERROR(__xludf.DUMMYFUNCTION("GOOGLETRANSLATE(B59,""ja"",""vi"")"),"Torso")</f>
        <v>Torso</v>
      </c>
      <c r="F59" s="4" t="str">
        <f ca="1">IFERROR(__xludf.DUMMYFUNCTION("GOOGLETRANSLATE(C59,""ja"",""vi"")"),"Đấu giá&gt; vật tư văn phòng, cửa hàng&gt; Baby hàng&gt; nộm&gt; thân")</f>
        <v>Đấu giá&gt; vật tư văn phòng, cửa hàng&gt; Baby hàng&gt; nộm&gt; thân</v>
      </c>
      <c r="G59" t="str">
        <f t="shared" ca="1" si="0"/>
        <v>"2084227136" : "Torso",</v>
      </c>
    </row>
    <row r="60" spans="1:7" ht="14.25" customHeight="1">
      <c r="A60" s="2">
        <v>2084227137</v>
      </c>
      <c r="B60" s="2" t="s">
        <v>7383</v>
      </c>
      <c r="C60" s="8" t="s">
        <v>7384</v>
      </c>
      <c r="D60" s="2" t="s">
        <v>16242</v>
      </c>
      <c r="E60" s="4" t="str">
        <f ca="1">IFERROR(__xludf.DUMMYFUNCTION("GOOGLETRANSLATE(B60,""ja"",""vi"")"),"giống như người mẫu")</f>
        <v>giống như người mẫu</v>
      </c>
      <c r="F60" s="4" t="str">
        <f ca="1">IFERROR(__xludf.DUMMYFUNCTION("GOOGLETRANSLATE(C60,""ja"",""vi"")"),"Đấu giá&gt; vật tư văn phòng, cửa hàng&gt; Baby hàng&gt; nộm&gt; nộm")</f>
        <v>Đấu giá&gt; vật tư văn phòng, cửa hàng&gt; Baby hàng&gt; nộm&gt; nộm</v>
      </c>
      <c r="G60" t="str">
        <f t="shared" ca="1" si="0"/>
        <v>"2084227137" : "giống như người mẫu",</v>
      </c>
    </row>
    <row r="61" spans="1:7" ht="14.25" customHeight="1">
      <c r="A61" s="2">
        <v>2084227144</v>
      </c>
      <c r="B61" s="2" t="s">
        <v>46</v>
      </c>
      <c r="C61" s="8" t="s">
        <v>7387</v>
      </c>
      <c r="D61" s="2" t="s">
        <v>16243</v>
      </c>
      <c r="E61" s="4" t="str">
        <f ca="1">IFERROR(__xludf.DUMMYFUNCTION("GOOGLETRANSLATE(B61,""ja"",""vi"")"),"nếu không thì")</f>
        <v>nếu không thì</v>
      </c>
      <c r="F61" s="4" t="str">
        <f ca="1">IFERROR(__xludf.DUMMYFUNCTION("GOOGLETRANSLATE(C61,""ja"",""vi"")"),"Đấu giá&gt; Văn phòng, Cửa hàng cung cấp&gt; hàng bé&gt; nộm&gt; Khác")</f>
        <v>Đấu giá&gt; Văn phòng, Cửa hàng cung cấp&gt; hàng bé&gt; nộm&gt; Khác</v>
      </c>
      <c r="G61" t="str">
        <f t="shared" ca="1" si="0"/>
        <v>"2084227144" : "nếu không thì",</v>
      </c>
    </row>
    <row r="62" spans="1:7" ht="14.25" customHeight="1">
      <c r="A62" s="2">
        <v>2084263153</v>
      </c>
      <c r="B62" s="2" t="s">
        <v>16246</v>
      </c>
      <c r="C62" s="2" t="s">
        <v>16247</v>
      </c>
      <c r="D62" s="2" t="s">
        <v>16248</v>
      </c>
      <c r="E62" s="4" t="str">
        <f ca="1">IFERROR(__xludf.DUMMYFUNCTION("GOOGLETRANSLATE(B62,""ja"",""vi"")"),"máy đóng gói")</f>
        <v>máy đóng gói</v>
      </c>
      <c r="F62" s="4" t="str">
        <f ca="1">IFERROR(__xludf.DUMMYFUNCTION("GOOGLETRANSLATE(C62,""ja"",""vi"")"),"Đấu giá&gt; Văn phòng, Cửa hàng cung cấp&gt; bao bì, đóng gói&gt; Máy đóng gói")</f>
        <v>Đấu giá&gt; Văn phòng, Cửa hàng cung cấp&gt; bao bì, đóng gói&gt; Máy đóng gói</v>
      </c>
      <c r="G62" t="str">
        <f t="shared" ca="1" si="0"/>
        <v>"2084263153" : "máy đóng gói",</v>
      </c>
    </row>
    <row r="63" spans="1:7" ht="14.25" customHeight="1">
      <c r="A63" s="2">
        <v>2084221001</v>
      </c>
      <c r="B63" s="2" t="s">
        <v>16251</v>
      </c>
      <c r="C63" s="2" t="s">
        <v>16252</v>
      </c>
      <c r="D63" s="2" t="s">
        <v>16253</v>
      </c>
      <c r="E63" s="4" t="str">
        <f ca="1">IFERROR(__xludf.DUMMYFUNCTION("GOOGLETRANSLATE(B63,""ja"",""vi"")"),"hộp quà tặng")</f>
        <v>hộp quà tặng</v>
      </c>
      <c r="F63" s="4" t="str">
        <f ca="1">IFERROR(__xludf.DUMMYFUNCTION("GOOGLETRANSLATE(C63,""ja"",""vi"")"),"Đấu giá&gt; Văn phòng, Cửa hàng cung cấp&gt; bao bì, đóng gói&gt; hộp quà tặng")</f>
        <v>Đấu giá&gt; Văn phòng, Cửa hàng cung cấp&gt; bao bì, đóng gói&gt; hộp quà tặng</v>
      </c>
      <c r="G63" t="str">
        <f t="shared" ca="1" si="0"/>
        <v>"2084221001" : "hộp quà tặng",</v>
      </c>
    </row>
    <row r="64" spans="1:7" ht="14.25" customHeight="1">
      <c r="A64" s="2">
        <v>2084063699</v>
      </c>
      <c r="B64" s="2" t="s">
        <v>16255</v>
      </c>
      <c r="C64" s="2" t="s">
        <v>16257</v>
      </c>
      <c r="D64" s="2" t="s">
        <v>16258</v>
      </c>
      <c r="E64" s="4" t="str">
        <f ca="1">IFERROR(__xludf.DUMMYFUNCTION("GOOGLETRANSLATE(B64,""ja"",""vi"")"),"người săn hải cẩu")</f>
        <v>người săn hải cẩu</v>
      </c>
      <c r="F64" s="4" t="str">
        <f ca="1">IFERROR(__xludf.DUMMYFUNCTION("GOOGLETRANSLATE(C64,""ja"",""vi"")"),"Đấu giá&gt; Văn phòng, Cửa hàng cung cấp&gt; bao bì, đóng gói&gt; niêm phong")</f>
        <v>Đấu giá&gt; Văn phòng, Cửa hàng cung cấp&gt; bao bì, đóng gói&gt; niêm phong</v>
      </c>
      <c r="G64" t="str">
        <f t="shared" ca="1" si="0"/>
        <v>"2084063699" : "người săn hải cẩu",</v>
      </c>
    </row>
    <row r="65" spans="1:7" ht="14.25" customHeight="1">
      <c r="A65" s="2">
        <v>2084221003</v>
      </c>
      <c r="B65" s="2" t="s">
        <v>16261</v>
      </c>
      <c r="C65" s="2" t="s">
        <v>16262</v>
      </c>
      <c r="D65" s="2" t="s">
        <v>16263</v>
      </c>
      <c r="E65" s="4" t="str">
        <f ca="1">IFERROR(__xludf.DUMMYFUNCTION("GOOGLETRANSLATE(B65,""ja"",""vi"")"),"laminator")</f>
        <v>laminator</v>
      </c>
      <c r="F65" s="4" t="str">
        <f ca="1">IFERROR(__xludf.DUMMYFUNCTION("GOOGLETRANSLATE(C65,""ja"",""vi"")"),"Đấu giá&gt; Văn phòng, Cửa hàng cung cấp&gt; bao bì, đóng gói&gt; laminator")</f>
        <v>Đấu giá&gt; Văn phòng, Cửa hàng cung cấp&gt; bao bì, đóng gói&gt; laminator</v>
      </c>
      <c r="G65" t="str">
        <f t="shared" ca="1" si="0"/>
        <v>"2084221003" : "laminator",</v>
      </c>
    </row>
    <row r="66" spans="1:7" ht="14.25" customHeight="1">
      <c r="A66" s="2">
        <v>2084063479</v>
      </c>
      <c r="B66" s="2" t="s">
        <v>16266</v>
      </c>
      <c r="C66" s="2" t="s">
        <v>16267</v>
      </c>
      <c r="D66" s="2" t="s">
        <v>16268</v>
      </c>
      <c r="E66" s="4" t="str">
        <f ca="1">IFERROR(__xludf.DUMMYFUNCTION("GOOGLETRANSLATE(B66,""ja"",""vi"")"),"dây băng")</f>
        <v>dây băng</v>
      </c>
      <c r="F66" s="4" t="str">
        <f ca="1">IFERROR(__xludf.DUMMYFUNCTION("GOOGLETRANSLATE(C66,""ja"",""vi"")"),"Đấu giá&gt; Văn phòng, Cửa hàng cung cấp&gt; bao bì, đóng gói&gt; ruy băng")</f>
        <v>Đấu giá&gt; Văn phòng, Cửa hàng cung cấp&gt; bao bì, đóng gói&gt; ruy băng</v>
      </c>
      <c r="G66" t="str">
        <f t="shared" ca="1" si="0"/>
        <v>"2084063479" : "dây băng",</v>
      </c>
    </row>
    <row r="67" spans="1:7" ht="14.25" customHeight="1">
      <c r="A67" s="2">
        <v>2084062994</v>
      </c>
      <c r="B67" s="2" t="s">
        <v>16271</v>
      </c>
      <c r="C67" s="2" t="s">
        <v>16272</v>
      </c>
      <c r="D67" s="2" t="s">
        <v>16273</v>
      </c>
      <c r="E67" s="4" t="str">
        <f ca="1">IFERROR(__xludf.DUMMYFUNCTION("GOOGLETRANSLATE(B67,""ja"",""vi"")"),"vật liệu đệm")</f>
        <v>vật liệu đệm</v>
      </c>
      <c r="F67" s="4" t="str">
        <f ca="1">IFERROR(__xludf.DUMMYFUNCTION("GOOGLETRANSLATE(C67,""ja"",""vi"")"),"Đấu giá&gt; Văn phòng, Cửa hàng cung cấp&gt; bao bì, đóng gói&gt; vật liệu đệm")</f>
        <v>Đấu giá&gt; Văn phòng, Cửa hàng cung cấp&gt; bao bì, đóng gói&gt; vật liệu đệm</v>
      </c>
      <c r="G67" t="str">
        <f t="shared" ref="G67:G130" ca="1" si="1">CONCATENATE(CHAR(34)&amp;"",A67,""&amp;CHAR(34)," : ", CHAR(34)&amp;"",E67,""&amp;CHAR(34),",")</f>
        <v>"2084062994" : "vật liệu đệm",</v>
      </c>
    </row>
    <row r="68" spans="1:7" ht="14.25" customHeight="1">
      <c r="A68" s="2">
        <v>2084063474</v>
      </c>
      <c r="B68" s="2" t="s">
        <v>6975</v>
      </c>
      <c r="C68" s="2" t="s">
        <v>16276</v>
      </c>
      <c r="D68" s="2" t="s">
        <v>16278</v>
      </c>
      <c r="E68" s="4" t="str">
        <f ca="1">IFERROR(__xludf.DUMMYFUNCTION("GOOGLETRANSLATE(B68,""ja"",""vi"")"),"nguồn cung cấp chất kết dính")</f>
        <v>nguồn cung cấp chất kết dính</v>
      </c>
      <c r="F68" s="4" t="str">
        <f ca="1">IFERROR(__xludf.DUMMYFUNCTION("GOOGLETRANSLATE(C68,""ja"",""vi"")"),"Đấu giá&gt; Văn phòng, Cửa hàng cung cấp&gt; bao bì, đóng gói&gt; nguồn cung cấp liên kết")</f>
        <v>Đấu giá&gt; Văn phòng, Cửa hàng cung cấp&gt; bao bì, đóng gói&gt; nguồn cung cấp liên kết</v>
      </c>
      <c r="G68" t="str">
        <f t="shared" ca="1" si="1"/>
        <v>"2084063474" : "nguồn cung cấp chất kết dính",</v>
      </c>
    </row>
    <row r="69" spans="1:7" ht="14.25" customHeight="1">
      <c r="A69" s="2">
        <v>2084063482</v>
      </c>
      <c r="B69" s="2" t="s">
        <v>16280</v>
      </c>
      <c r="C69" s="2" t="s">
        <v>16282</v>
      </c>
      <c r="D69" s="2" t="s">
        <v>16283</v>
      </c>
      <c r="E69" s="4" t="str">
        <f ca="1">IFERROR(__xludf.DUMMYFUNCTION("GOOGLETRANSLATE(B69,""ja"",""vi"")"),"Túi, phong bì")</f>
        <v>Túi, phong bì</v>
      </c>
      <c r="F69" s="4" t="str">
        <f ca="1">IFERROR(__xludf.DUMMYFUNCTION("GOOGLETRANSLATE(C69,""ja"",""vi"")"),"Đấu giá&gt; Văn phòng, Cửa hàng cung cấp&gt; bao bì, đóng gói&gt; túi, phong bì")</f>
        <v>Đấu giá&gt; Văn phòng, Cửa hàng cung cấp&gt; bao bì, đóng gói&gt; túi, phong bì</v>
      </c>
      <c r="G69" t="str">
        <f t="shared" ca="1" si="1"/>
        <v>"2084063482" : "Túi, phong bì",</v>
      </c>
    </row>
    <row r="70" spans="1:7" ht="14.25" customHeight="1">
      <c r="A70" s="2">
        <v>2084062992</v>
      </c>
      <c r="B70" s="2" t="s">
        <v>16286</v>
      </c>
      <c r="C70" s="2" t="s">
        <v>16287</v>
      </c>
      <c r="D70" s="2" t="s">
        <v>16288</v>
      </c>
      <c r="E70" s="4" t="str">
        <f ca="1">IFERROR(__xludf.DUMMYFUNCTION("GOOGLETRANSLATE(B70,""ja"",""vi"")"),"Một hộp các tông")</f>
        <v>Một hộp các tông</v>
      </c>
      <c r="F70" s="4" t="str">
        <f ca="1">IFERROR(__xludf.DUMMYFUNCTION("GOOGLETRANSLATE(C70,""ja"",""vi"")"),"Đấu giá&gt; Văn phòng, Cửa hàng cung cấp&gt; bao bì, đóng gói&gt; hộp các tông")</f>
        <v>Đấu giá&gt; Văn phòng, Cửa hàng cung cấp&gt; bao bì, đóng gói&gt; hộp các tông</v>
      </c>
      <c r="G70" t="str">
        <f t="shared" ca="1" si="1"/>
        <v>"2084062992" : "Một hộp các tông",</v>
      </c>
    </row>
    <row r="71" spans="1:7" ht="14.25" customHeight="1">
      <c r="A71" s="2">
        <v>2084063478</v>
      </c>
      <c r="B71" s="2" t="s">
        <v>16290</v>
      </c>
      <c r="C71" s="2" t="s">
        <v>16291</v>
      </c>
      <c r="D71" s="2" t="s">
        <v>16292</v>
      </c>
      <c r="E71" s="4" t="str">
        <f ca="1">IFERROR(__xludf.DUMMYFUNCTION("GOOGLETRANSLATE(B71,""ja"",""vi"")"),"chuỗi")</f>
        <v>chuỗi</v>
      </c>
      <c r="F71" s="4" t="str">
        <f ca="1">IFERROR(__xludf.DUMMYFUNCTION("GOOGLETRANSLATE(C71,""ja"",""vi"")"),"Đấu giá&gt; Văn phòng, Cửa hàng cung cấp&gt; bao bì, đóng gói&gt; chuỗi")</f>
        <v>Đấu giá&gt; Văn phòng, Cửa hàng cung cấp&gt; bao bì, đóng gói&gt; chuỗi</v>
      </c>
      <c r="G71" t="str">
        <f t="shared" ca="1" si="1"/>
        <v>"2084063478" : "chuỗi",</v>
      </c>
    </row>
    <row r="72" spans="1:7" ht="14.25" customHeight="1">
      <c r="A72" s="2">
        <v>2084063477</v>
      </c>
      <c r="B72" s="2" t="s">
        <v>16294</v>
      </c>
      <c r="C72" s="2" t="s">
        <v>16295</v>
      </c>
      <c r="D72" s="2" t="s">
        <v>16298</v>
      </c>
      <c r="E72" s="4" t="str">
        <f ca="1">IFERROR(__xludf.DUMMYFUNCTION("GOOGLETRANSLATE(B72,""ja"",""vi"")"),"giấy Bao bì")</f>
        <v>giấy Bao bì</v>
      </c>
      <c r="F72" s="4" t="str">
        <f ca="1">IFERROR(__xludf.DUMMYFUNCTION("GOOGLETRANSLATE(C72,""ja"",""vi"")"),"Đấu giá&gt; Văn phòng, Cửa hàng cung cấp&gt; bao bì, đóng gói&gt; giấy gói")</f>
        <v>Đấu giá&gt; Văn phòng, Cửa hàng cung cấp&gt; bao bì, đóng gói&gt; giấy gói</v>
      </c>
      <c r="G72" t="str">
        <f t="shared" ca="1" si="1"/>
        <v>"2084063477" : "giấy Bao bì",</v>
      </c>
    </row>
    <row r="73" spans="1:7" ht="14.25" customHeight="1">
      <c r="A73" s="2">
        <v>2084062993</v>
      </c>
      <c r="B73" s="2" t="s">
        <v>46</v>
      </c>
      <c r="C73" s="2" t="s">
        <v>16299</v>
      </c>
      <c r="D73" s="2" t="s">
        <v>16300</v>
      </c>
      <c r="E73" s="4" t="str">
        <f ca="1">IFERROR(__xludf.DUMMYFUNCTION("GOOGLETRANSLATE(B73,""ja"",""vi"")"),"nếu không thì")</f>
        <v>nếu không thì</v>
      </c>
      <c r="F73" s="4" t="str">
        <f ca="1">IFERROR(__xludf.DUMMYFUNCTION("GOOGLETRANSLATE(C73,""ja"",""vi"")"),"Đấu giá&gt; vật tư văn phòng, cửa hàng&gt; bao bì, đóng gói&gt; Khác")</f>
        <v>Đấu giá&gt; vật tư văn phòng, cửa hàng&gt; bao bì, đóng gói&gt; Khác</v>
      </c>
      <c r="G73" t="str">
        <f t="shared" ca="1" si="1"/>
        <v>"2084062993" : "nếu không thì",</v>
      </c>
    </row>
    <row r="74" spans="1:7" ht="14.25" customHeight="1">
      <c r="A74" s="2">
        <v>2084061611</v>
      </c>
      <c r="B74" s="2" t="s">
        <v>16303</v>
      </c>
      <c r="C74" s="2" t="s">
        <v>16304</v>
      </c>
      <c r="D74" s="2" t="s">
        <v>16306</v>
      </c>
      <c r="E74" s="4" t="str">
        <f ca="1">IFERROR(__xludf.DUMMYFUNCTION("GOOGLETRANSLATE(B74,""ja"",""vi"")"),"áo móc")</f>
        <v>áo móc</v>
      </c>
      <c r="F74" s="4" t="str">
        <f ca="1">IFERROR(__xludf.DUMMYFUNCTION("GOOGLETRANSLATE(C74,""ja"",""vi"")"),"Đấu giá&gt; nhà, nội thất&gt; nội thất, nội thất&gt; hanger giá&gt; móc áo")</f>
        <v>Đấu giá&gt; nhà, nội thất&gt; nội thất, nội thất&gt; hanger giá&gt; móc áo</v>
      </c>
      <c r="G74" t="str">
        <f t="shared" ca="1" si="1"/>
        <v>"2084061611" : "áo móc",</v>
      </c>
    </row>
    <row r="75" spans="1:7" ht="14.25" customHeight="1">
      <c r="A75" s="2">
        <v>2084061610</v>
      </c>
      <c r="B75" s="2" t="s">
        <v>16308</v>
      </c>
      <c r="C75" s="2" t="s">
        <v>16309</v>
      </c>
      <c r="D75" s="2" t="s">
        <v>16311</v>
      </c>
      <c r="E75" s="4" t="str">
        <f ca="1">IFERROR(__xludf.DUMMYFUNCTION("GOOGLETRANSLATE(B75,""ja"",""vi"")"),"Pipe hanger")</f>
        <v>Pipe hanger</v>
      </c>
      <c r="F75" s="4" t="str">
        <f ca="1">IFERROR(__xludf.DUMMYFUNCTION("GOOGLETRANSLATE(C75,""ja"",""vi"")"),"Đấu giá&gt; nhà, nội thất&gt; nội thất, nội thất&gt; hanger giá&gt; treo ống")</f>
        <v>Đấu giá&gt; nhà, nội thất&gt; nội thất, nội thất&gt; hanger giá&gt; treo ống</v>
      </c>
      <c r="G75" t="str">
        <f t="shared" ca="1" si="1"/>
        <v>"2084061610" : "Pipe hanger",</v>
      </c>
    </row>
    <row r="76" spans="1:7" ht="14.25" customHeight="1">
      <c r="A76" s="2">
        <v>2084061612</v>
      </c>
      <c r="B76" s="2" t="s">
        <v>46</v>
      </c>
      <c r="C76" s="2" t="s">
        <v>16314</v>
      </c>
      <c r="D76" s="2" t="s">
        <v>16315</v>
      </c>
      <c r="E76" s="4" t="str">
        <f ca="1">IFERROR(__xludf.DUMMYFUNCTION("GOOGLETRANSLATE(B76,""ja"",""vi"")"),"nếu không thì")</f>
        <v>nếu không thì</v>
      </c>
      <c r="F76" s="4" t="str">
        <f ca="1">IFERROR(__xludf.DUMMYFUNCTION("GOOGLETRANSLATE(C76,""ja"",""vi"")"),"Đấu giá&gt; nhà, nội thất&gt; nội thất, nội thất&gt; hanger giá&gt; Khác")</f>
        <v>Đấu giá&gt; nhà, nội thất&gt; nội thất, nội thất&gt; hanger giá&gt; Khác</v>
      </c>
      <c r="G76" t="str">
        <f t="shared" ca="1" si="1"/>
        <v>"2084061612" : "nếu không thì",</v>
      </c>
    </row>
    <row r="77" spans="1:7" ht="14.25" customHeight="1">
      <c r="A77" s="2">
        <v>2084239829</v>
      </c>
      <c r="B77" s="2" t="s">
        <v>16317</v>
      </c>
      <c r="C77" s="2" t="s">
        <v>16318</v>
      </c>
      <c r="D77" s="2" t="s">
        <v>16319</v>
      </c>
      <c r="E77" s="4" t="str">
        <f ca="1">IFERROR(__xludf.DUMMYFUNCTION("GOOGLETRANSLATE(B77,""ja"",""vi"")"),"biển hiệu theo thứ tự")</f>
        <v>biển hiệu theo thứ tự</v>
      </c>
      <c r="F77" s="4" t="str">
        <f ca="1">IFERROR(__xludf.DUMMYFUNCTION("GOOGLETRANSLATE(C77,""ja"",""vi"")"),"Đấu giá&gt; Văn phòng, Cửa hàng cung cấp&gt; hàng bé&gt; bảng hiệu&gt; Để biển hiệu")</f>
        <v>Đấu giá&gt; Văn phòng, Cửa hàng cung cấp&gt; hàng bé&gt; bảng hiệu&gt; Để biển hiệu</v>
      </c>
      <c r="G77" t="str">
        <f t="shared" ca="1" si="1"/>
        <v>"2084239829" : "biển hiệu theo thứ tự",</v>
      </c>
    </row>
    <row r="78" spans="1:7" ht="14.25" customHeight="1">
      <c r="A78" s="2">
        <v>2084239828</v>
      </c>
      <c r="B78" s="2" t="s">
        <v>16322</v>
      </c>
      <c r="C78" s="2" t="s">
        <v>16324</v>
      </c>
      <c r="D78" s="2" t="s">
        <v>16325</v>
      </c>
      <c r="E78" s="4" t="str">
        <f ca="1">IFERROR(__xludf.DUMMYFUNCTION("GOOGLETRANSLATE(B78,""ja"",""vi"")"),"tấm cắt")</f>
        <v>tấm cắt</v>
      </c>
      <c r="F78" s="4" t="str">
        <f ca="1">IFERROR(__xludf.DUMMYFUNCTION("GOOGLETRANSLATE(C78,""ja"",""vi"")"),"Đấu giá&gt; Văn phòng, Cửa hàng cung cấp&gt; hàng bé&gt; bảng hiệu&gt; tấm cắt")</f>
        <v>Đấu giá&gt; Văn phòng, Cửa hàng cung cấp&gt; hàng bé&gt; bảng hiệu&gt; tấm cắt</v>
      </c>
      <c r="G78" t="str">
        <f t="shared" ca="1" si="1"/>
        <v>"2084239828" : "tấm cắt",</v>
      </c>
    </row>
    <row r="79" spans="1:7" ht="14.25" customHeight="1">
      <c r="A79" s="2">
        <v>2084239826</v>
      </c>
      <c r="B79" s="2" t="s">
        <v>16327</v>
      </c>
      <c r="C79" s="2" t="s">
        <v>16328</v>
      </c>
      <c r="D79" s="2" t="s">
        <v>16329</v>
      </c>
      <c r="E79" s="4" t="str">
        <f ca="1">IFERROR(__xludf.DUMMYFUNCTION("GOOGLETRANSLATE(B79,""ja"",""vi"")"),"Sleeve biển hiệu")</f>
        <v>Sleeve biển hiệu</v>
      </c>
      <c r="F79" s="4" t="str">
        <f ca="1">IFERROR(__xludf.DUMMYFUNCTION("GOOGLETRANSLATE(C79,""ja"",""vi"")"),"Đấu giá&gt; Văn phòng, Cửa hàng cung cấp&gt; hàng bé&gt; bảng hiệu&gt; tay biển hiệu")</f>
        <v>Đấu giá&gt; Văn phòng, Cửa hàng cung cấp&gt; hàng bé&gt; bảng hiệu&gt; tay biển hiệu</v>
      </c>
      <c r="G79" t="str">
        <f t="shared" ca="1" si="1"/>
        <v>"2084239826" : "Sleeve biển hiệu",</v>
      </c>
    </row>
    <row r="80" spans="1:7" ht="14.25" customHeight="1">
      <c r="A80" s="2">
        <v>2084239825</v>
      </c>
      <c r="B80" s="2" t="s">
        <v>16332</v>
      </c>
      <c r="C80" s="2" t="s">
        <v>16334</v>
      </c>
      <c r="D80" s="2" t="s">
        <v>16335</v>
      </c>
      <c r="E80" s="4" t="str">
        <f ca="1">IFERROR(__xludf.DUMMYFUNCTION("GOOGLETRANSLATE(B80,""ja"",""vi"")"),"Đứng, biển quảng cáo miễn phí-đứng")</f>
        <v>Đứng, biển quảng cáo miễn phí-đứng</v>
      </c>
      <c r="F80" s="4" t="str">
        <f ca="1">IFERROR(__xludf.DUMMYFUNCTION("GOOGLETRANSLATE(C80,""ja"",""vi"")"),"Đấu giá&gt; vật tư văn phòng, cửa hàng&gt; hàng bé&gt; bảng hiệu&gt; đứng, biển quảng cáo miễn phí-đứng")</f>
        <v>Đấu giá&gt; vật tư văn phòng, cửa hàng&gt; hàng bé&gt; bảng hiệu&gt; đứng, biển quảng cáo miễn phí-đứng</v>
      </c>
      <c r="G80" t="str">
        <f t="shared" ca="1" si="1"/>
        <v>"2084239825" : "Đứng, biển quảng cáo miễn phí-đứng",</v>
      </c>
    </row>
    <row r="81" spans="1:7" ht="14.25" customHeight="1">
      <c r="A81" s="2">
        <v>2084239827</v>
      </c>
      <c r="B81" s="2" t="s">
        <v>16338</v>
      </c>
      <c r="C81" s="2" t="s">
        <v>16340</v>
      </c>
      <c r="D81" s="2" t="s">
        <v>16341</v>
      </c>
      <c r="E81" s="4" t="str">
        <f ca="1">IFERROR(__xludf.DUMMYFUNCTION("GOOGLETRANSLATE(B81,""ja"",""vi"")"),"dấu tường")</f>
        <v>dấu tường</v>
      </c>
      <c r="F81" s="4" t="str">
        <f ca="1">IFERROR(__xludf.DUMMYFUNCTION("GOOGLETRANSLATE(C81,""ja"",""vi"")"),"Đấu giá&gt; Văn phòng, Cửa hàng cung cấp&gt; hàng bé&gt; bảng hiệu&gt; bảng hiệu tường")</f>
        <v>Đấu giá&gt; Văn phòng, Cửa hàng cung cấp&gt; hàng bé&gt; bảng hiệu&gt; bảng hiệu tường</v>
      </c>
      <c r="G81" t="str">
        <f t="shared" ca="1" si="1"/>
        <v>"2084239827" : "dấu tường",</v>
      </c>
    </row>
    <row r="82" spans="1:7" ht="14.25" customHeight="1">
      <c r="A82" s="2">
        <v>2084243711</v>
      </c>
      <c r="B82" s="2" t="s">
        <v>16343</v>
      </c>
      <c r="C82" s="2" t="s">
        <v>16344</v>
      </c>
      <c r="D82" s="2" t="s">
        <v>16346</v>
      </c>
      <c r="E82" s="4" t="str">
        <f ca="1">IFERROR(__xludf.DUMMYFUNCTION("GOOGLETRANSLATE(B82,""ja"",""vi"")"),"climbing")</f>
        <v>climbing</v>
      </c>
      <c r="F82" s="4" t="str">
        <f ca="1">IFERROR(__xludf.DUMMYFUNCTION("GOOGLETRANSLATE(C82,""ja"",""vi"")"),"Đấu giá&gt; Văn phòng, Cửa hàng cung cấp&gt; hàng bé&gt; bảng hiệu&gt; leo núi")</f>
        <v>Đấu giá&gt; Văn phòng, Cửa hàng cung cấp&gt; hàng bé&gt; bảng hiệu&gt; leo núi</v>
      </c>
      <c r="G82" t="str">
        <f t="shared" ca="1" si="1"/>
        <v>"2084243711" : "climbing",</v>
      </c>
    </row>
    <row r="83" spans="1:7" ht="14.25" customHeight="1">
      <c r="A83" s="2">
        <v>2084243712</v>
      </c>
      <c r="B83" s="2" t="s">
        <v>16348</v>
      </c>
      <c r="C83" s="2" t="s">
        <v>16350</v>
      </c>
      <c r="D83" s="2" t="s">
        <v>16351</v>
      </c>
      <c r="E83" s="4" t="str">
        <f ca="1">IFERROR(__xludf.DUMMYFUNCTION("GOOGLETRANSLATE(B83,""ja"",""vi"")"),"đèn lồng giấy")</f>
        <v>đèn lồng giấy</v>
      </c>
      <c r="F83" s="4" t="str">
        <f ca="1">IFERROR(__xludf.DUMMYFUNCTION("GOOGLETRANSLATE(C83,""ja"",""vi"")"),"Đấu giá&gt; vật tư văn phòng, cửa hàng&gt; Baby hàng&gt; bảng hiệu&gt; đèn lồng")</f>
        <v>Đấu giá&gt; vật tư văn phòng, cửa hàng&gt; Baby hàng&gt; bảng hiệu&gt; đèn lồng</v>
      </c>
      <c r="G83" t="str">
        <f t="shared" ca="1" si="1"/>
        <v>"2084243712" : "đèn lồng giấy",</v>
      </c>
    </row>
    <row r="84" spans="1:7" ht="14.25" customHeight="1">
      <c r="A84" s="2">
        <v>2084239830</v>
      </c>
      <c r="B84" s="2" t="s">
        <v>46</v>
      </c>
      <c r="C84" s="2" t="s">
        <v>16354</v>
      </c>
      <c r="D84" s="2" t="s">
        <v>16355</v>
      </c>
      <c r="E84" s="4" t="str">
        <f ca="1">IFERROR(__xludf.DUMMYFUNCTION("GOOGLETRANSLATE(B84,""ja"",""vi"")"),"nếu không thì")</f>
        <v>nếu không thì</v>
      </c>
      <c r="F84" s="4" t="str">
        <f ca="1">IFERROR(__xludf.DUMMYFUNCTION("GOOGLETRANSLATE(C84,""ja"",""vi"")"),"Đấu giá&gt; vật tư văn phòng, cửa hàng&gt; Baby hàng&gt; bảng hiệu&gt; Khác")</f>
        <v>Đấu giá&gt; vật tư văn phòng, cửa hàng&gt; Baby hàng&gt; bảng hiệu&gt; Khác</v>
      </c>
      <c r="G84" t="str">
        <f t="shared" ca="1" si="1"/>
        <v>"2084239830" : "nếu không thì",</v>
      </c>
    </row>
    <row r="85" spans="1:7" ht="14.25" customHeight="1">
      <c r="A85" s="2">
        <v>2084216952</v>
      </c>
      <c r="B85" s="2" t="s">
        <v>13089</v>
      </c>
      <c r="C85" s="2" t="s">
        <v>13091</v>
      </c>
      <c r="D85" s="2" t="s">
        <v>15661</v>
      </c>
      <c r="E85" s="4" t="str">
        <f ca="1">IFERROR(__xludf.DUMMYFUNCTION("GOOGLETRANSLATE(B85,""ja"",""vi"")"),"agave")</f>
        <v>agave</v>
      </c>
      <c r="F85" s="4" t="str">
        <f ca="1">IFERROR(__xludf.DUMMYFUNCTION("GOOGLETRANSLATE(C85,""ja"",""vi"")"),"Đấu giá&gt; hoa, làm vườn&gt; cây trang trí&gt; agave")</f>
        <v>Đấu giá&gt; hoa, làm vườn&gt; cây trang trí&gt; agave</v>
      </c>
      <c r="G85" t="str">
        <f t="shared" ca="1" si="1"/>
        <v>"2084216952" : "agave",</v>
      </c>
    </row>
    <row r="86" spans="1:7" ht="14.25" customHeight="1">
      <c r="A86" s="2">
        <v>2084063285</v>
      </c>
      <c r="B86" s="2" t="s">
        <v>13094</v>
      </c>
      <c r="C86" s="2" t="s">
        <v>13097</v>
      </c>
      <c r="D86" s="2" t="s">
        <v>15665</v>
      </c>
      <c r="E86" s="4" t="str">
        <f ca="1">IFERROR(__xludf.DUMMYFUNCTION("GOOGLETRANSLATE(B86,""ja"",""vi"")"),"trái thơm")</f>
        <v>trái thơm</v>
      </c>
      <c r="F86" s="4" t="str">
        <f ca="1">IFERROR(__xludf.DUMMYFUNCTION("GOOGLETRANSLATE(C86,""ja"",""vi"")"),"Đấu giá&gt; hoa, làm vườn&gt; cây trang trí&gt; bromeliad")</f>
        <v>Đấu giá&gt; hoa, làm vườn&gt; cây trang trí&gt; bromeliad</v>
      </c>
      <c r="G86" t="str">
        <f t="shared" ca="1" si="1"/>
        <v>"2084063285" : "trái thơm",</v>
      </c>
    </row>
    <row r="87" spans="1:7" ht="14.25" customHeight="1">
      <c r="A87" s="2">
        <v>2084063286</v>
      </c>
      <c r="B87" s="2" t="s">
        <v>13099</v>
      </c>
      <c r="C87" s="2" t="s">
        <v>13100</v>
      </c>
      <c r="D87" s="2" t="s">
        <v>15671</v>
      </c>
      <c r="E87" s="4" t="str">
        <f ca="1">IFERROR(__xludf.DUMMYFUNCTION("GOOGLETRANSLATE(B87,""ja"",""vi"")"),"cây lô hội")</f>
        <v>cây lô hội</v>
      </c>
      <c r="F87" s="4" t="str">
        <f ca="1">IFERROR(__xludf.DUMMYFUNCTION("GOOGLETRANSLATE(C87,""ja"",""vi"")"),"Đấu giá&gt; hoa, làm vườn&gt; cây trang trí&gt; lô hội")</f>
        <v>Đấu giá&gt; hoa, làm vườn&gt; cây trang trí&gt; lô hội</v>
      </c>
      <c r="G87" t="str">
        <f t="shared" ca="1" si="1"/>
        <v>"2084063286" : "cây lô hội",</v>
      </c>
    </row>
    <row r="88" spans="1:7" ht="14.25" customHeight="1">
      <c r="A88" s="2">
        <v>2084063287</v>
      </c>
      <c r="B88" s="2" t="s">
        <v>13105</v>
      </c>
      <c r="C88" s="2" t="s">
        <v>13106</v>
      </c>
      <c r="D88" s="2" t="s">
        <v>15676</v>
      </c>
      <c r="E88" s="4" t="str">
        <f ca="1">IFERROR(__xludf.DUMMYFUNCTION("GOOGLETRANSLATE(B88,""ja"",""vi"")"),"Unberata")</f>
        <v>Unberata</v>
      </c>
      <c r="F88" s="4" t="str">
        <f ca="1">IFERROR(__xludf.DUMMYFUNCTION("GOOGLETRANSLATE(C88,""ja"",""vi"")"),"Đấu giá&gt; hoa, làm vườn&gt; cây trang trí&gt; Unberata")</f>
        <v>Đấu giá&gt; hoa, làm vườn&gt; cây trang trí&gt; Unberata</v>
      </c>
      <c r="G88" t="str">
        <f t="shared" ca="1" si="1"/>
        <v>"2084063287" : "Unberata",</v>
      </c>
    </row>
    <row r="89" spans="1:7" ht="14.25" customHeight="1">
      <c r="A89" s="2">
        <v>2084216954</v>
      </c>
      <c r="B89" s="2" t="s">
        <v>13110</v>
      </c>
      <c r="C89" s="2" t="s">
        <v>13112</v>
      </c>
      <c r="D89" s="2" t="s">
        <v>15682</v>
      </c>
      <c r="E89" s="4" t="str">
        <f ca="1">IFERROR(__xludf.DUMMYFUNCTION("GOOGLETRANSLATE(B89,""ja"",""vi"")"),"Augusta")</f>
        <v>Augusta</v>
      </c>
      <c r="F89" s="4" t="str">
        <f ca="1">IFERROR(__xludf.DUMMYFUNCTION("GOOGLETRANSLATE(C89,""ja"",""vi"")"),"Đấu giá&gt; hoa, làm vườn&gt; cây trang trí&gt; Augusta")</f>
        <v>Đấu giá&gt; hoa, làm vườn&gt; cây trang trí&gt; Augusta</v>
      </c>
      <c r="G89" t="str">
        <f t="shared" ca="1" si="1"/>
        <v>"2084216954" : "Augusta",</v>
      </c>
    </row>
    <row r="90" spans="1:7" ht="14.25" customHeight="1">
      <c r="A90" s="2">
        <v>2084063294</v>
      </c>
      <c r="B90" s="2" t="s">
        <v>13114</v>
      </c>
      <c r="C90" s="2" t="s">
        <v>13115</v>
      </c>
      <c r="D90" s="2" t="s">
        <v>15687</v>
      </c>
      <c r="E90" s="4" t="str">
        <f ca="1">IFERROR(__xludf.DUMMYFUNCTION("GOOGLETRANSLATE(B90,""ja"",""vi"")"),"chi ráy")</f>
        <v>chi ráy</v>
      </c>
      <c r="F90" s="4" t="str">
        <f ca="1">IFERROR(__xludf.DUMMYFUNCTION("GOOGLETRANSLATE(C90,""ja"",""vi"")"),"Đấu giá&gt; hoa, làm vườn&gt; cây trang trí&gt; chi ráy")</f>
        <v>Đấu giá&gt; hoa, làm vườn&gt; cây trang trí&gt; chi ráy</v>
      </c>
      <c r="G90" t="str">
        <f t="shared" ca="1" si="1"/>
        <v>"2084063294" : "chi ráy",</v>
      </c>
    </row>
    <row r="91" spans="1:7" ht="14.25" customHeight="1">
      <c r="A91" s="2">
        <v>2084063278</v>
      </c>
      <c r="B91" s="2" t="s">
        <v>13120</v>
      </c>
      <c r="C91" s="2" t="s">
        <v>13121</v>
      </c>
      <c r="D91" s="2" t="s">
        <v>15692</v>
      </c>
      <c r="E91" s="4" t="str">
        <f ca="1">IFERROR(__xludf.DUMMYFUNCTION("GOOGLETRANSLATE(B91,""ja"",""vi"")"),"cây xương rồng")</f>
        <v>cây xương rồng</v>
      </c>
      <c r="F91" s="4" t="str">
        <f ca="1">IFERROR(__xludf.DUMMYFUNCTION("GOOGLETRANSLATE(C91,""ja"",""vi"")"),"Đấu giá&gt; hoa, làm vườn&gt; cây trang trí&gt; cây xương rồng")</f>
        <v>Đấu giá&gt; hoa, làm vườn&gt; cây trang trí&gt; cây xương rồng</v>
      </c>
      <c r="G91" t="str">
        <f t="shared" ca="1" si="1"/>
        <v>"2084063278" : "cây xương rồng",</v>
      </c>
    </row>
    <row r="92" spans="1:7" ht="14.25" customHeight="1">
      <c r="A92" s="2">
        <v>2084063284</v>
      </c>
      <c r="B92" s="2" t="s">
        <v>13124</v>
      </c>
      <c r="C92" s="2" t="s">
        <v>13126</v>
      </c>
      <c r="D92" s="2" t="s">
        <v>15697</v>
      </c>
      <c r="E92" s="4" t="str">
        <f ca="1">IFERROR(__xludf.DUMMYFUNCTION("GOOGLETRANSLATE(B92,""ja"",""vi"")"),"Jasmine")</f>
        <v>Jasmine</v>
      </c>
      <c r="F92" s="4" t="str">
        <f ca="1">IFERROR(__xludf.DUMMYFUNCTION("GOOGLETRANSLATE(C92,""ja"",""vi"")"),"Đấu giá&gt; hoa, làm vườn&gt; cây trang trí&gt; hoa nhài")</f>
        <v>Đấu giá&gt; hoa, làm vườn&gt; cây trang trí&gt; hoa nhài</v>
      </c>
      <c r="G92" t="str">
        <f t="shared" ca="1" si="1"/>
        <v>"2084063284" : "Jasmine",</v>
      </c>
    </row>
    <row r="93" spans="1:7" ht="14.25" customHeight="1">
      <c r="A93" s="2">
        <v>2084063288</v>
      </c>
      <c r="B93" s="2" t="s">
        <v>13127</v>
      </c>
      <c r="C93" s="2" t="s">
        <v>13128</v>
      </c>
      <c r="D93" s="2" t="s">
        <v>15700</v>
      </c>
      <c r="E93" s="4" t="str">
        <f ca="1">IFERROR(__xludf.DUMMYFUNCTION("GOOGLETRANSLATE(B93,""ja"",""vi"")"),"Seromu")</f>
        <v>Seromu</v>
      </c>
      <c r="F93" s="4" t="str">
        <f ca="1">IFERROR(__xludf.DUMMYFUNCTION("GOOGLETRANSLATE(C93,""ja"",""vi"")"),"Đấu giá&gt; hoa, làm vườn&gt; cây trang trí&gt; Seromu")</f>
        <v>Đấu giá&gt; hoa, làm vườn&gt; cây trang trí&gt; Seromu</v>
      </c>
      <c r="G93" t="str">
        <f t="shared" ca="1" si="1"/>
        <v>"2084063288" : "Seromu",</v>
      </c>
    </row>
    <row r="94" spans="1:7" ht="14.25" customHeight="1">
      <c r="A94" s="2">
        <v>2084063289</v>
      </c>
      <c r="B94" s="2" t="s">
        <v>13132</v>
      </c>
      <c r="C94" s="2" t="s">
        <v>13133</v>
      </c>
      <c r="D94" s="2" t="s">
        <v>15704</v>
      </c>
      <c r="E94" s="4" t="str">
        <f ca="1">IFERROR(__xludf.DUMMYFUNCTION("GOOGLETRANSLATE(B94,""ja"",""vi"")"),"cây long huyết")</f>
        <v>cây long huyết</v>
      </c>
      <c r="F94" s="4" t="str">
        <f ca="1">IFERROR(__xludf.DUMMYFUNCTION("GOOGLETRANSLATE(C94,""ja"",""vi"")"),"Đấu giá&gt; hoa, làm vườn&gt; cây trang trí&gt; Dracaena")</f>
        <v>Đấu giá&gt; hoa, làm vườn&gt; cây trang trí&gt; Dracaena</v>
      </c>
      <c r="G94" t="str">
        <f t="shared" ca="1" si="1"/>
        <v>"2084063289" : "cây long huyết",</v>
      </c>
    </row>
    <row r="95" spans="1:7" ht="14.25" customHeight="1">
      <c r="A95" s="2">
        <v>2084063290</v>
      </c>
      <c r="B95" s="2" t="s">
        <v>13137</v>
      </c>
      <c r="C95" s="2" t="s">
        <v>13139</v>
      </c>
      <c r="D95" s="2" t="s">
        <v>15707</v>
      </c>
      <c r="E95" s="4" t="str">
        <f ca="1">IFERROR(__xludf.DUMMYFUNCTION("GOOGLETRANSLATE(B95,""ja"",""vi"")"),"Pachira")</f>
        <v>Pachira</v>
      </c>
      <c r="F95" s="4" t="str">
        <f ca="1">IFERROR(__xludf.DUMMYFUNCTION("GOOGLETRANSLATE(C95,""ja"",""vi"")"),"Đấu giá&gt; hoa, làm vườn&gt; cây trang trí&gt; pachira")</f>
        <v>Đấu giá&gt; hoa, làm vườn&gt; cây trang trí&gt; pachira</v>
      </c>
      <c r="G95" t="str">
        <f t="shared" ca="1" si="1"/>
        <v>"2084063290" : "Pachira",</v>
      </c>
    </row>
    <row r="96" spans="1:7" ht="14.25" customHeight="1">
      <c r="A96" s="2">
        <v>2084216953</v>
      </c>
      <c r="B96" s="2" t="s">
        <v>13142</v>
      </c>
      <c r="C96" s="2" t="s">
        <v>13144</v>
      </c>
      <c r="D96" s="2" t="s">
        <v>15709</v>
      </c>
      <c r="E96" s="4" t="str">
        <f ca="1">IFERROR(__xludf.DUMMYFUNCTION("GOOGLETRANSLATE(B96,""ja"",""vi"")"),"Bikakushida, dơi chạy")</f>
        <v>Bikakushida, dơi chạy</v>
      </c>
      <c r="F96" s="4" t="str">
        <f ca="1">IFERROR(__xludf.DUMMYFUNCTION("GOOGLETRANSLATE(C96,""ja"",""vi"")"),"Đấu giá&gt; hoa, làm vườn&gt; cây trang trí&gt; Bikakushida, dơi chạy")</f>
        <v>Đấu giá&gt; hoa, làm vườn&gt; cây trang trí&gt; Bikakushida, dơi chạy</v>
      </c>
      <c r="G96" t="str">
        <f t="shared" ca="1" si="1"/>
        <v>"2084216953" : "Bikakushida, dơi chạy",</v>
      </c>
    </row>
    <row r="97" spans="1:7" ht="14.25" customHeight="1">
      <c r="A97" s="2">
        <v>2084063279</v>
      </c>
      <c r="B97" s="2" t="s">
        <v>13148</v>
      </c>
      <c r="C97" s="2" t="s">
        <v>13150</v>
      </c>
      <c r="D97" s="2" t="s">
        <v>15714</v>
      </c>
      <c r="E97" s="4" t="str">
        <f ca="1">IFERROR(__xludf.DUMMYFUNCTION("GOOGLETRANSLATE(B97,""ja"",""vi"")"),"cây bồ đề")</f>
        <v>cây bồ đề</v>
      </c>
      <c r="F97" s="4" t="str">
        <f ca="1">IFERROR(__xludf.DUMMYFUNCTION("GOOGLETRANSLATE(C97,""ja"",""vi"")"),"Đấu giá&gt; hoa, làm vườn&gt; cây trang trí&gt; Benjamin")</f>
        <v>Đấu giá&gt; hoa, làm vườn&gt; cây trang trí&gt; Benjamin</v>
      </c>
      <c r="G97" t="str">
        <f t="shared" ca="1" si="1"/>
        <v>"2084063279" : "cây bồ đề",</v>
      </c>
    </row>
    <row r="98" spans="1:7" ht="14.25" customHeight="1">
      <c r="A98" s="2">
        <v>2084063293</v>
      </c>
      <c r="B98" s="2" t="s">
        <v>13154</v>
      </c>
      <c r="C98" s="2" t="s">
        <v>13156</v>
      </c>
      <c r="D98" s="2" t="s">
        <v>15717</v>
      </c>
      <c r="E98" s="4" t="str">
        <f ca="1">IFERROR(__xludf.DUMMYFUNCTION("GOOGLETRANSLATE(B98,""ja"",""vi"")"),"Hồng Kông bông gạo")</f>
        <v>Hồng Kông bông gạo</v>
      </c>
      <c r="F98" s="4" t="str">
        <f ca="1">IFERROR(__xludf.DUMMYFUNCTION("GOOGLETRANSLATE(C98,""ja"",""vi"")"),"Đấu giá&gt; hoa, làm vườn&gt; cây trang trí&gt; Hồng Kông bông gạo")</f>
        <v>Đấu giá&gt; hoa, làm vườn&gt; cây trang trí&gt; Hồng Kông bông gạo</v>
      </c>
      <c r="G98" t="str">
        <f t="shared" ca="1" si="1"/>
        <v>"2084063293" : "Hồng Kông bông gạo",</v>
      </c>
    </row>
    <row r="99" spans="1:7" ht="14.25" customHeight="1">
      <c r="A99" s="2">
        <v>2084063291</v>
      </c>
      <c r="B99" s="2" t="s">
        <v>13159</v>
      </c>
      <c r="C99" s="2" t="s">
        <v>13161</v>
      </c>
      <c r="D99" s="2" t="s">
        <v>15723</v>
      </c>
      <c r="E99" s="4" t="str">
        <f ca="1">IFERROR(__xludf.DUMMYFUNCTION("GOOGLETRANSLATE(B99,""ja"",""vi"")"),"Pothos")</f>
        <v>Pothos</v>
      </c>
      <c r="F99" s="4" t="str">
        <f ca="1">IFERROR(__xludf.DUMMYFUNCTION("GOOGLETRANSLATE(C99,""ja"",""vi"")"),"Đấu giá&gt; hoa, làm vườn&gt; cây trang trí&gt; Pothos")</f>
        <v>Đấu giá&gt; hoa, làm vườn&gt; cây trang trí&gt; Pothos</v>
      </c>
      <c r="G99" t="str">
        <f t="shared" ca="1" si="1"/>
        <v>"2084063291" : "Pothos",</v>
      </c>
    </row>
    <row r="100" spans="1:7" ht="14.25" customHeight="1">
      <c r="A100" s="2">
        <v>2084063282</v>
      </c>
      <c r="B100" s="2" t="s">
        <v>13164</v>
      </c>
      <c r="C100" s="2" t="s">
        <v>13166</v>
      </c>
      <c r="D100" s="2" t="s">
        <v>15727</v>
      </c>
      <c r="E100" s="4" t="str">
        <f ca="1">IFERROR(__xludf.DUMMYFUNCTION("GOOGLETRANSLATE(B100,""ja"",""vi"")"),"triệu tre")</f>
        <v>triệu tre</v>
      </c>
      <c r="F100" s="4" t="str">
        <f ca="1">IFERROR(__xludf.DUMMYFUNCTION("GOOGLETRANSLATE(C100,""ja"",""vi"")"),"Đấu giá&gt; hoa, làm vườn&gt; cây trang trí&gt; triệu tre")</f>
        <v>Đấu giá&gt; hoa, làm vườn&gt; cây trang trí&gt; triệu tre</v>
      </c>
      <c r="G100" t="str">
        <f t="shared" ca="1" si="1"/>
        <v>"2084063282" : "triệu tre",</v>
      </c>
    </row>
    <row r="101" spans="1:7" ht="14.25" customHeight="1">
      <c r="A101" s="2">
        <v>2084063280</v>
      </c>
      <c r="B101" s="2" t="s">
        <v>13169</v>
      </c>
      <c r="C101" s="2" t="s">
        <v>13171</v>
      </c>
      <c r="D101" s="2" t="s">
        <v>15731</v>
      </c>
      <c r="E101" s="4" t="str">
        <f ca="1">IFERROR(__xludf.DUMMYFUNCTION("GOOGLETRANSLATE(B101,""ja"",""vi"")"),"Monstera")</f>
        <v>Monstera</v>
      </c>
      <c r="F101" s="4" t="str">
        <f ca="1">IFERROR(__xludf.DUMMYFUNCTION("GOOGLETRANSLATE(C101,""ja"",""vi"")"),"Đấu giá&gt; hoa, làm vườn&gt; cây trang trí&gt; Monstera")</f>
        <v>Đấu giá&gt; hoa, làm vườn&gt; cây trang trí&gt; Monstera</v>
      </c>
      <c r="G101" t="str">
        <f t="shared" ca="1" si="1"/>
        <v>"2084063280" : "Monstera",</v>
      </c>
    </row>
    <row r="102" spans="1:7" ht="14.25" customHeight="1">
      <c r="A102" s="2">
        <v>2084063281</v>
      </c>
      <c r="B102" s="2" t="s">
        <v>13177</v>
      </c>
      <c r="C102" s="2" t="s">
        <v>13178</v>
      </c>
      <c r="D102" s="2" t="s">
        <v>15737</v>
      </c>
      <c r="E102" s="4" t="str">
        <f ca="1">IFERROR(__xludf.DUMMYFUNCTION("GOOGLETRANSLATE(B102,""ja"",""vi"")"),"lòng bàn tay")</f>
        <v>lòng bàn tay</v>
      </c>
      <c r="F102" s="4" t="str">
        <f ca="1">IFERROR(__xludf.DUMMYFUNCTION("GOOGLETRANSLATE(C102,""ja"",""vi"")"),"Đấu giá&gt; hoa, làm vườn&gt; cây trang trí&gt; cọ")</f>
        <v>Đấu giá&gt; hoa, làm vườn&gt; cây trang trí&gt; cọ</v>
      </c>
      <c r="G102" t="str">
        <f t="shared" ca="1" si="1"/>
        <v>"2084063281" : "lòng bàn tay",</v>
      </c>
    </row>
    <row r="103" spans="1:7" ht="14.25" customHeight="1">
      <c r="A103" s="2">
        <v>2084063292</v>
      </c>
      <c r="B103" s="2" t="s">
        <v>13183</v>
      </c>
      <c r="C103" s="2" t="s">
        <v>13184</v>
      </c>
      <c r="D103" s="2" t="s">
        <v>15744</v>
      </c>
      <c r="E103" s="4" t="str">
        <f ca="1">IFERROR(__xludf.DUMMYFUNCTION("GOOGLETRANSLATE(B103,""ja"",""vi"")"),"cây ngọc da hoa")</f>
        <v>cây ngọc da hoa</v>
      </c>
      <c r="F103" s="4" t="str">
        <f ca="1">IFERROR(__xludf.DUMMYFUNCTION("GOOGLETRANSLATE(C103,""ja"",""vi"")"),"Đấu giá&gt; hoa, làm vườn&gt; cây trang trí&gt; yucca")</f>
        <v>Đấu giá&gt; hoa, làm vườn&gt; cây trang trí&gt; yucca</v>
      </c>
      <c r="G103" t="str">
        <f t="shared" ca="1" si="1"/>
        <v>"2084063292" : "cây ngọc da hoa",</v>
      </c>
    </row>
    <row r="104" spans="1:7" ht="14.25" customHeight="1">
      <c r="A104" s="2">
        <v>2084006705</v>
      </c>
      <c r="B104" s="2" t="s">
        <v>13049</v>
      </c>
      <c r="C104" s="2" t="s">
        <v>13189</v>
      </c>
      <c r="D104" s="2" t="s">
        <v>15747</v>
      </c>
      <c r="E104" s="4" t="str">
        <f ca="1">IFERROR(__xludf.DUMMYFUNCTION("GOOGLETRANSLATE(B104,""ja"",""vi"")"),"hoa nhân tạo")</f>
        <v>hoa nhân tạo</v>
      </c>
      <c r="F104" s="4" t="str">
        <f ca="1">IFERROR(__xludf.DUMMYFUNCTION("GOOGLETRANSLATE(C104,""ja"",""vi"")"),"Đấu giá&gt; hoa, làm vườn&gt; cây trang trí&gt; hoa giả")</f>
        <v>Đấu giá&gt; hoa, làm vườn&gt; cây trang trí&gt; hoa giả</v>
      </c>
      <c r="G104" t="str">
        <f t="shared" ca="1" si="1"/>
        <v>"2084006705" : "hoa nhân tạo",</v>
      </c>
    </row>
    <row r="105" spans="1:7" ht="14.25" customHeight="1">
      <c r="A105" s="2">
        <v>2084063283</v>
      </c>
      <c r="B105" s="2" t="s">
        <v>46</v>
      </c>
      <c r="C105" s="2" t="s">
        <v>13193</v>
      </c>
      <c r="D105" s="2" t="s">
        <v>15749</v>
      </c>
      <c r="E105" s="4" t="str">
        <f ca="1">IFERROR(__xludf.DUMMYFUNCTION("GOOGLETRANSLATE(B105,""ja"",""vi"")"),"nếu không thì")</f>
        <v>nếu không thì</v>
      </c>
      <c r="F105" s="4" t="str">
        <f ca="1">IFERROR(__xludf.DUMMYFUNCTION("GOOGLETRANSLATE(C105,""ja"",""vi"")"),"Đấu giá&gt; hoa, làm vườn&gt; cây trang trí&gt; Khác")</f>
        <v>Đấu giá&gt; hoa, làm vườn&gt; cây trang trí&gt; Khác</v>
      </c>
      <c r="G105" t="str">
        <f t="shared" ca="1" si="1"/>
        <v>"2084063283" : "nếu không thì",</v>
      </c>
    </row>
    <row r="106" spans="1:7" ht="14.25" customHeight="1">
      <c r="A106" s="2">
        <v>2084062780</v>
      </c>
      <c r="B106" s="2" t="s">
        <v>16404</v>
      </c>
      <c r="C106" s="2" t="s">
        <v>16405</v>
      </c>
      <c r="D106" s="2" t="s">
        <v>16406</v>
      </c>
      <c r="E106" s="4" t="str">
        <f ca="1">IFERROR(__xludf.DUMMYFUNCTION("GOOGLETRANSLATE(B106,""ja"",""vi"")"),"Treo tường")</f>
        <v>Treo tường</v>
      </c>
      <c r="F106" s="4" t="str">
        <f ca="1">IFERROR(__xludf.DUMMYFUNCTION("GOOGLETRANSLATE(C106,""ja"",""vi"")"),"Đấu giá&gt; nhà, nội thất&gt; nội thất, nội thất&gt; gương&gt; treo tường")</f>
        <v>Đấu giá&gt; nhà, nội thất&gt; nội thất, nội thất&gt; gương&gt; treo tường</v>
      </c>
      <c r="G106" t="str">
        <f t="shared" ca="1" si="1"/>
        <v>"2084062780" : "Treo tường",</v>
      </c>
    </row>
    <row r="107" spans="1:7" ht="14.25" customHeight="1">
      <c r="A107" s="2">
        <v>2084062777</v>
      </c>
      <c r="B107" s="2" t="s">
        <v>16408</v>
      </c>
      <c r="C107" s="2" t="s">
        <v>16409</v>
      </c>
      <c r="D107" s="2" t="s">
        <v>16410</v>
      </c>
      <c r="E107" s="4" t="str">
        <f ca="1">IFERROR(__xludf.DUMMYFUNCTION("GOOGLETRANSLATE(B107,""ja"",""vi"")"),"Tựa loại")</f>
        <v>Tựa loại</v>
      </c>
      <c r="F107" s="4" t="str">
        <f ca="1">IFERROR(__xludf.DUMMYFUNCTION("GOOGLETRANSLATE(C107,""ja"",""vi"")"),"Đấu giá&gt; nhà, nội thất&gt; nội thất, nội thất&gt; gương&gt; tựa loại")</f>
        <v>Đấu giá&gt; nhà, nội thất&gt; nội thất, nội thất&gt; gương&gt; tựa loại</v>
      </c>
      <c r="G107" t="str">
        <f t="shared" ca="1" si="1"/>
        <v>"2084062777" : "Tựa loại",</v>
      </c>
    </row>
    <row r="108" spans="1:7" ht="14.25" customHeight="1">
      <c r="A108" s="2">
        <v>2084048383</v>
      </c>
      <c r="B108" s="2" t="s">
        <v>16413</v>
      </c>
      <c r="C108" s="2" t="s">
        <v>16414</v>
      </c>
      <c r="D108" s="2" t="s">
        <v>16416</v>
      </c>
      <c r="E108" s="4" t="str">
        <f ca="1">IFERROR(__xludf.DUMMYFUNCTION("GOOGLETRANSLATE(B108,""ja"",""vi"")"),"gương mặt")</f>
        <v>gương mặt</v>
      </c>
      <c r="F108" s="4" t="str">
        <f ca="1">IFERROR(__xludf.DUMMYFUNCTION("GOOGLETRANSLATE(C108,""ja"",""vi"")"),"Đấu giá&gt; nhà, nội thất&gt; nội thất, nội thất&gt; gương&gt; gương mặt")</f>
        <v>Đấu giá&gt; nhà, nội thất&gt; nội thất, nội thất&gt; gương&gt; gương mặt</v>
      </c>
      <c r="G108" t="str">
        <f t="shared" ca="1" si="1"/>
        <v>"2084048383" : "gương mặt",</v>
      </c>
    </row>
    <row r="109" spans="1:7" ht="14.25" customHeight="1">
      <c r="A109" s="2">
        <v>2084005506</v>
      </c>
      <c r="B109" s="2" t="s">
        <v>16419</v>
      </c>
      <c r="C109" s="2" t="s">
        <v>16420</v>
      </c>
      <c r="D109" s="2" t="s">
        <v>16422</v>
      </c>
      <c r="E109" s="4" t="str">
        <f ca="1">IFERROR(__xludf.DUMMYFUNCTION("GOOGLETRANSLATE(B109,""ja"",""vi"")"),"Bàn trang điểm, tủ quần áo")</f>
        <v>Bàn trang điểm, tủ quần áo</v>
      </c>
      <c r="F109" s="4" t="str">
        <f ca="1">IFERROR(__xludf.DUMMYFUNCTION("GOOGLETRANSLATE(C109,""ja"",""vi"")"),"Đấu giá&gt; nhà, nội thất&gt; nội thất, nội thất&gt; gương&gt; thay đồ bàn, tủ quần áo")</f>
        <v>Đấu giá&gt; nhà, nội thất&gt; nội thất, nội thất&gt; gương&gt; thay đồ bàn, tủ quần áo</v>
      </c>
      <c r="G109" t="str">
        <f t="shared" ca="1" si="1"/>
        <v>"2084005506" : "Bàn trang điểm, tủ quần áo",</v>
      </c>
    </row>
    <row r="110" spans="1:7" ht="14.25" customHeight="1">
      <c r="A110" s="2">
        <v>2084062781</v>
      </c>
      <c r="B110" s="2" t="s">
        <v>46</v>
      </c>
      <c r="C110" s="2" t="s">
        <v>16425</v>
      </c>
      <c r="D110" s="2" t="s">
        <v>16427</v>
      </c>
      <c r="E110" s="4" t="str">
        <f ca="1">IFERROR(__xludf.DUMMYFUNCTION("GOOGLETRANSLATE(B110,""ja"",""vi"")"),"nếu không thì")</f>
        <v>nếu không thì</v>
      </c>
      <c r="F110" s="4" t="str">
        <f ca="1">IFERROR(__xludf.DUMMYFUNCTION("GOOGLETRANSLATE(C110,""ja"",""vi"")"),"Đấu giá&gt; nhà, nội thất&gt; nội thất, nội thất&gt; gương&gt; Khác")</f>
        <v>Đấu giá&gt; nhà, nội thất&gt; nội thất, nội thất&gt; gương&gt; Khác</v>
      </c>
      <c r="G110" t="str">
        <f t="shared" ca="1" si="1"/>
        <v>"2084062781" : "nếu không thì",</v>
      </c>
    </row>
    <row r="111" spans="1:7" ht="14.25" customHeight="1">
      <c r="A111" s="2">
        <v>2084062982</v>
      </c>
      <c r="B111" s="2" t="s">
        <v>1678</v>
      </c>
      <c r="C111" s="2" t="s">
        <v>4444</v>
      </c>
      <c r="D111" s="2" t="s">
        <v>16430</v>
      </c>
      <c r="E111" s="4" t="str">
        <f ca="1">IFERROR(__xludf.DUMMYFUNCTION("GOOGLETRANSLATE(B111,""ja"",""vi"")"),"Một cơ thể")</f>
        <v>Một cơ thể</v>
      </c>
      <c r="F111" s="4" t="str">
        <f ca="1">IFERROR(__xludf.DUMMYFUNCTION("GOOGLETRANSLATE(C111,""ja"",""vi"")"),"Đấu giá&gt; Văn phòng, Cửa hàng cung cấp&gt; thiết bị OA&gt; máy đa chức năng, sao chép máy&gt; cơ thể")</f>
        <v>Đấu giá&gt; Văn phòng, Cửa hàng cung cấp&gt; thiết bị OA&gt; máy đa chức năng, sao chép máy&gt; cơ thể</v>
      </c>
      <c r="G111" t="str">
        <f t="shared" ca="1" si="1"/>
        <v>"2084062982" : "Một cơ thể",</v>
      </c>
    </row>
    <row r="112" spans="1:7" ht="14.25" customHeight="1">
      <c r="A112" s="2">
        <v>2084063008</v>
      </c>
      <c r="B112" s="2" t="s">
        <v>4447</v>
      </c>
      <c r="C112" s="2" t="s">
        <v>4448</v>
      </c>
      <c r="D112" s="2" t="s">
        <v>16435</v>
      </c>
      <c r="E112" s="4" t="str">
        <f ca="1">IFERROR(__xludf.DUMMYFUNCTION("GOOGLETRANSLATE(B112,""ja"",""vi"")"),"cung cấp")</f>
        <v>cung cấp</v>
      </c>
      <c r="F112" s="4" t="str">
        <f ca="1">IFERROR(__xludf.DUMMYFUNCTION("GOOGLETRANSLATE(C112,""ja"",""vi"")"),"Đấu giá&gt; Văn phòng, Cửa hàng cung cấp&gt; thiết bị OA&gt; máy đa chức năng, sao chép máy&gt; cung cấp")</f>
        <v>Đấu giá&gt; Văn phòng, Cửa hàng cung cấp&gt; thiết bị OA&gt; máy đa chức năng, sao chép máy&gt; cung cấp</v>
      </c>
      <c r="G112" t="str">
        <f t="shared" ca="1" si="1"/>
        <v>"2084063008" : "cung cấp",</v>
      </c>
    </row>
    <row r="113" spans="1:7" ht="14.25" customHeight="1">
      <c r="A113" s="2">
        <v>2084198557</v>
      </c>
      <c r="B113" s="2" t="s">
        <v>1707</v>
      </c>
      <c r="C113" s="2" t="s">
        <v>4412</v>
      </c>
      <c r="D113" s="2" t="s">
        <v>16443</v>
      </c>
      <c r="E113" s="4" t="str">
        <f ca="1">IFERROR(__xludf.DUMMYFUNCTION("GOOGLETRANSLATE(B113,""ja"",""vi"")"),"NEC")</f>
        <v>NEC</v>
      </c>
      <c r="F113" s="4" t="str">
        <f ca="1">IFERROR(__xludf.DUMMYFUNCTION("GOOGLETRANSLATE(C113,""ja"",""vi"")"),"Đấu giá&gt; Văn phòng, Cửa hàng cung cấp&gt; thiết bị OA&gt; điện thoại kinh doanh&gt; NEC")</f>
        <v>Đấu giá&gt; Văn phòng, Cửa hàng cung cấp&gt; thiết bị OA&gt; điện thoại kinh doanh&gt; NEC</v>
      </c>
      <c r="G113" t="str">
        <f t="shared" ca="1" si="1"/>
        <v>"2084198557" : "NEC",</v>
      </c>
    </row>
    <row r="114" spans="1:7" ht="14.25" customHeight="1">
      <c r="A114" s="2">
        <v>2084198553</v>
      </c>
      <c r="B114" s="2" t="s">
        <v>4416</v>
      </c>
      <c r="C114" s="2" t="s">
        <v>4417</v>
      </c>
      <c r="D114" s="2" t="s">
        <v>16448</v>
      </c>
      <c r="E114" s="4" t="str">
        <f ca="1">IFERROR(__xludf.DUMMYFUNCTION("GOOGLETRANSLATE(B114,""ja"",""vi"")"),"NTT")</f>
        <v>NTT</v>
      </c>
      <c r="F114" s="4" t="str">
        <f ca="1">IFERROR(__xludf.DUMMYFUNCTION("GOOGLETRANSLATE(C114,""ja"",""vi"")"),"Đấu giá&gt; Văn phòng, Cửa hàng cung cấp&gt; thiết bị OA&gt; điện thoại kinh doanh&gt; NTT")</f>
        <v>Đấu giá&gt; Văn phòng, Cửa hàng cung cấp&gt; thiết bị OA&gt; điện thoại kinh doanh&gt; NTT</v>
      </c>
      <c r="G114" t="str">
        <f t="shared" ca="1" si="1"/>
        <v>"2084198553" : "NTT",</v>
      </c>
    </row>
    <row r="115" spans="1:7" ht="14.25" customHeight="1">
      <c r="A115" s="2">
        <v>2084198559</v>
      </c>
      <c r="B115" s="2" t="s">
        <v>4418</v>
      </c>
      <c r="C115" s="2" t="s">
        <v>4420</v>
      </c>
      <c r="D115" s="2" t="s">
        <v>16454</v>
      </c>
      <c r="E115" s="4" t="str">
        <f ca="1">IFERROR(__xludf.DUMMYFUNCTION("GOOGLETRANSLATE(B115,""ja"",""vi"")"),"SAXA")</f>
        <v>SAXA</v>
      </c>
      <c r="F115" s="4" t="str">
        <f ca="1">IFERROR(__xludf.DUMMYFUNCTION("GOOGLETRANSLATE(C115,""ja"",""vi"")"),"Đấu giá&gt; Văn phòng, Cửa hàng cung cấp&gt; thiết bị OA&gt; điện thoại kinh doanh&gt; Saxa")</f>
        <v>Đấu giá&gt; Văn phòng, Cửa hàng cung cấp&gt; thiết bị OA&gt; điện thoại kinh doanh&gt; Saxa</v>
      </c>
      <c r="G115" t="str">
        <f t="shared" ca="1" si="1"/>
        <v>"2084198559" : "SAXA",</v>
      </c>
    </row>
    <row r="116" spans="1:7" ht="14.25" customHeight="1">
      <c r="A116" s="2">
        <v>2084198556</v>
      </c>
      <c r="B116" s="2" t="s">
        <v>4423</v>
      </c>
      <c r="C116" s="2" t="s">
        <v>4425</v>
      </c>
      <c r="D116" s="2" t="s">
        <v>16458</v>
      </c>
      <c r="E116" s="4" t="str">
        <f ca="1">IFERROR(__xludf.DUMMYFUNCTION("GOOGLETRANSLATE(B116,""ja"",""vi"")"),"dịch vụ điện tử Nakayo")</f>
        <v>dịch vụ điện tử Nakayo</v>
      </c>
      <c r="F116" s="4" t="str">
        <f ca="1">IFERROR(__xludf.DUMMYFUNCTION("GOOGLETRANSLATE(C116,""ja"",""vi"")"),"Đấu giá&gt; Văn phòng, Cửa hàng cung cấp&gt; thiết bị OA&gt; điện thoại kinh doanh&gt; Nakayo dịch vụ điện tử")</f>
        <v>Đấu giá&gt; Văn phòng, Cửa hàng cung cấp&gt; thiết bị OA&gt; điện thoại kinh doanh&gt; Nakayo dịch vụ điện tử</v>
      </c>
      <c r="G116" t="str">
        <f t="shared" ca="1" si="1"/>
        <v>"2084198556" : "dịch vụ điện tử Nakayo",</v>
      </c>
    </row>
    <row r="117" spans="1:7" ht="14.25" customHeight="1">
      <c r="A117" s="2">
        <v>2084198558</v>
      </c>
      <c r="B117" s="2" t="s">
        <v>1918</v>
      </c>
      <c r="C117" s="2" t="s">
        <v>4429</v>
      </c>
      <c r="D117" s="2" t="s">
        <v>16462</v>
      </c>
      <c r="E117" s="4" t="str">
        <f ca="1">IFERROR(__xludf.DUMMYFUNCTION("GOOGLETRANSLATE(B117,""ja"",""vi"")"),"Panasonic")</f>
        <v>Panasonic</v>
      </c>
      <c r="F117" s="4" t="str">
        <f ca="1">IFERROR(__xludf.DUMMYFUNCTION("GOOGLETRANSLATE(C117,""ja"",""vi"")"),"Đấu giá&gt; Văn phòng, Cửa hàng cung cấp&gt; thiết bị OA&gt; điện thoại kinh doanh&gt; Panasonic")</f>
        <v>Đấu giá&gt; Văn phòng, Cửa hàng cung cấp&gt; thiết bị OA&gt; điện thoại kinh doanh&gt; Panasonic</v>
      </c>
      <c r="G117" t="str">
        <f t="shared" ca="1" si="1"/>
        <v>"2084198558" : "Panasonic",</v>
      </c>
    </row>
    <row r="118" spans="1:7" ht="14.25" customHeight="1">
      <c r="A118" s="2">
        <v>2084198555</v>
      </c>
      <c r="B118" s="2" t="s">
        <v>4431</v>
      </c>
      <c r="C118" s="2" t="s">
        <v>4432</v>
      </c>
      <c r="D118" s="2" t="s">
        <v>16466</v>
      </c>
      <c r="E118" s="4" t="str">
        <f ca="1">IFERROR(__xludf.DUMMYFUNCTION("GOOGLETRANSLATE(B118,""ja"",""vi"")"),"Iwatsu Electric")</f>
        <v>Iwatsu Electric</v>
      </c>
      <c r="F118" s="4" t="str">
        <f ca="1">IFERROR(__xludf.DUMMYFUNCTION("GOOGLETRANSLATE(C118,""ja"",""vi"")"),"Đấu giá&gt; Văn phòng, Cửa hàng cung cấp&gt; thiết bị OA&gt; điện thoại kinh doanh&gt; Iwatsu Electric")</f>
        <v>Đấu giá&gt; Văn phòng, Cửa hàng cung cấp&gt; thiết bị OA&gt; điện thoại kinh doanh&gt; Iwatsu Electric</v>
      </c>
      <c r="G118" t="str">
        <f t="shared" ca="1" si="1"/>
        <v>"2084198555" : "Iwatsu Electric",</v>
      </c>
    </row>
    <row r="119" spans="1:7" ht="14.25" customHeight="1">
      <c r="A119" s="2">
        <v>2084198554</v>
      </c>
      <c r="B119" s="2" t="s">
        <v>4436</v>
      </c>
      <c r="C119" s="2" t="s">
        <v>4437</v>
      </c>
      <c r="D119" s="2" t="s">
        <v>16472</v>
      </c>
      <c r="E119" s="4" t="str">
        <f ca="1">IFERROR(__xludf.DUMMYFUNCTION("GOOGLETRANSLATE(B119,""ja"",""vi"")"),"Hitachi, Ltd.")</f>
        <v>Hitachi, Ltd.</v>
      </c>
      <c r="F119" s="4" t="str">
        <f ca="1">IFERROR(__xludf.DUMMYFUNCTION("GOOGLETRANSLATE(C119,""ja"",""vi"")"),"Đấu giá&gt; Văn phòng, Cửa hàng cung cấp&gt; thiết bị OA&gt; điện thoại kinh doanh&gt; Hitachi")</f>
        <v>Đấu giá&gt; Văn phòng, Cửa hàng cung cấp&gt; thiết bị OA&gt; điện thoại kinh doanh&gt; Hitachi</v>
      </c>
      <c r="G119" t="str">
        <f t="shared" ca="1" si="1"/>
        <v>"2084198554" : "Hitachi, Ltd.",</v>
      </c>
    </row>
    <row r="120" spans="1:7" ht="14.25" customHeight="1">
      <c r="A120" s="2">
        <v>2084198560</v>
      </c>
      <c r="B120" s="2" t="s">
        <v>46</v>
      </c>
      <c r="C120" s="2" t="s">
        <v>4441</v>
      </c>
      <c r="D120" s="2" t="s">
        <v>16477</v>
      </c>
      <c r="E120" s="4" t="str">
        <f ca="1">IFERROR(__xludf.DUMMYFUNCTION("GOOGLETRANSLATE(B120,""ja"",""vi"")"),"nếu không thì")</f>
        <v>nếu không thì</v>
      </c>
      <c r="F120" s="4" t="str">
        <f ca="1">IFERROR(__xludf.DUMMYFUNCTION("GOOGLETRANSLATE(C120,""ja"",""vi"")"),"Đấu giá&gt; vật tư văn phòng, cửa hàng&gt; thiết bị OA&gt; điện thoại kinh doanh&gt; Khác")</f>
        <v>Đấu giá&gt; vật tư văn phòng, cửa hàng&gt; thiết bị OA&gt; điện thoại kinh doanh&gt; Khác</v>
      </c>
      <c r="G120" t="str">
        <f t="shared" ca="1" si="1"/>
        <v>"2084198560" : "nếu không thì",</v>
      </c>
    </row>
    <row r="121" spans="1:7" ht="14.25" customHeight="1">
      <c r="A121" s="2">
        <v>2084032442</v>
      </c>
      <c r="B121" s="2" t="s">
        <v>4447</v>
      </c>
      <c r="C121" s="2" t="s">
        <v>4556</v>
      </c>
      <c r="D121" s="2" t="s">
        <v>16483</v>
      </c>
      <c r="E121" s="4" t="str">
        <f ca="1">IFERROR(__xludf.DUMMYFUNCTION("GOOGLETRANSLATE(B121,""ja"",""vi"")"),"cung cấp")</f>
        <v>cung cấp</v>
      </c>
      <c r="F121" s="4" t="str">
        <f ca="1">IFERROR(__xludf.DUMMYFUNCTION("GOOGLETRANSLATE(C121,""ja"",""vi"")"),"Đấu giá&gt; Văn phòng, Cửa hàng cung cấp&gt; thiết bị OA&gt; fax&gt; Cung cấp")</f>
        <v>Đấu giá&gt; Văn phòng, Cửa hàng cung cấp&gt; thiết bị OA&gt; fax&gt; Cung cấp</v>
      </c>
      <c r="G121" t="str">
        <f t="shared" ca="1" si="1"/>
        <v>"2084032442" : "cung cấp",</v>
      </c>
    </row>
    <row r="122" spans="1:7" ht="14.25" customHeight="1">
      <c r="A122" s="2">
        <v>2084032436</v>
      </c>
      <c r="B122" s="2" t="s">
        <v>4560</v>
      </c>
      <c r="C122" s="2" t="s">
        <v>4561</v>
      </c>
      <c r="D122" s="2" t="s">
        <v>16488</v>
      </c>
      <c r="E122" s="4" t="str">
        <f ca="1">IFERROR(__xludf.DUMMYFUNCTION("GOOGLETRANSLATE(B122,""ja"",""vi"")"),"fax Hồng")</f>
        <v>fax Hồng</v>
      </c>
      <c r="F122" s="4" t="str">
        <f ca="1">IFERROR(__xludf.DUMMYFUNCTION("GOOGLETRANSLATE(C122,""ja"",""vi"")"),"Đấu giá&gt; Văn phòng, Cửa hàng cung cấp&gt; thiết bị OA&gt; fax&gt; điện thoại fax")</f>
        <v>Đấu giá&gt; Văn phòng, Cửa hàng cung cấp&gt; thiết bị OA&gt; fax&gt; điện thoại fax</v>
      </c>
      <c r="G122" t="str">
        <f t="shared" ca="1" si="1"/>
        <v>"2084032436" : "fax Hồng",</v>
      </c>
    </row>
    <row r="123" spans="1:7" ht="14.25" customHeight="1">
      <c r="A123" s="2">
        <v>2084032437</v>
      </c>
      <c r="B123" s="2" t="s">
        <v>2241</v>
      </c>
      <c r="C123" s="2" t="s">
        <v>4565</v>
      </c>
      <c r="D123" s="2" t="s">
        <v>16492</v>
      </c>
      <c r="E123" s="4" t="str">
        <f ca="1">IFERROR(__xludf.DUMMYFUNCTION("GOOGLETRANSLATE(B123,""ja"",""vi"")"),"chung")</f>
        <v>chung</v>
      </c>
      <c r="F123" s="4" t="str">
        <f ca="1">IFERROR(__xludf.DUMMYFUNCTION("GOOGLETRANSLATE(C123,""ja"",""vi"")"),"Đấu giá&gt; Văn phòng, Cửa hàng cung cấp&gt; thiết bị OA&gt; fax&gt; General")</f>
        <v>Đấu giá&gt; Văn phòng, Cửa hàng cung cấp&gt; thiết bị OA&gt; fax&gt; General</v>
      </c>
      <c r="G123" t="str">
        <f t="shared" ca="1" si="1"/>
        <v>"2084032437" : "chung",</v>
      </c>
    </row>
    <row r="124" spans="1:7" ht="14.25" customHeight="1">
      <c r="A124" s="2">
        <v>2084032441</v>
      </c>
      <c r="B124" s="2" t="s">
        <v>1625</v>
      </c>
      <c r="C124" s="2" t="s">
        <v>4569</v>
      </c>
      <c r="D124" s="2" t="s">
        <v>16495</v>
      </c>
      <c r="E124" s="4" t="str">
        <f ca="1">IFERROR(__xludf.DUMMYFUNCTION("GOOGLETRANSLATE(B124,""ja"",""vi"")"),"chu vi")</f>
        <v>chu vi</v>
      </c>
      <c r="F124" s="4" t="str">
        <f ca="1">IFERROR(__xludf.DUMMYFUNCTION("GOOGLETRANSLATE(C124,""ja"",""vi"")"),"Đấu giá&gt; Văn phòng, Cửa hàng cung cấp&gt; thiết bị OA&gt; fax&gt; thiết bị ngoại vi")</f>
        <v>Đấu giá&gt; Văn phòng, Cửa hàng cung cấp&gt; thiết bị OA&gt; fax&gt; thiết bị ngoại vi</v>
      </c>
      <c r="G124" t="str">
        <f t="shared" ca="1" si="1"/>
        <v>"2084032441" : "chu vi",</v>
      </c>
    </row>
    <row r="125" spans="1:7" ht="14.25" customHeight="1">
      <c r="A125" s="2">
        <v>2084062310</v>
      </c>
      <c r="B125" s="2" t="s">
        <v>1806</v>
      </c>
      <c r="C125" s="2" t="s">
        <v>4573</v>
      </c>
      <c r="D125" s="2" t="s">
        <v>16498</v>
      </c>
      <c r="E125" s="4" t="str">
        <f ca="1">IFERROR(__xludf.DUMMYFUNCTION("GOOGLETRANSLATE(B125,""ja"",""vi"")"),"Casio")</f>
        <v>Casio</v>
      </c>
      <c r="F125" s="4" t="str">
        <f ca="1">IFERROR(__xludf.DUMMYFUNCTION("GOOGLETRANSLATE(C125,""ja"",""vi"")"),"Đấu giá&gt; vật tư văn phòng, cửa hàng&gt; thiết bị OA&gt; Từ điển điện tử&gt; Casio")</f>
        <v>Đấu giá&gt; vật tư văn phòng, cửa hàng&gt; thiết bị OA&gt; Từ điển điện tử&gt; Casio</v>
      </c>
      <c r="G125" t="str">
        <f t="shared" ca="1" si="1"/>
        <v>"2084062310" : "Casio",</v>
      </c>
    </row>
    <row r="126" spans="1:7" ht="14.25" customHeight="1">
      <c r="A126" s="2">
        <v>2084062313</v>
      </c>
      <c r="B126" s="2" t="s">
        <v>2031</v>
      </c>
      <c r="C126" s="2" t="s">
        <v>4580</v>
      </c>
      <c r="D126" s="2" t="s">
        <v>16500</v>
      </c>
      <c r="E126" s="4" t="str">
        <f ca="1">IFERROR(__xludf.DUMMYFUNCTION("GOOGLETRANSLATE(B126,""ja"",""vi"")"),"Canon")</f>
        <v>Canon</v>
      </c>
      <c r="F126" s="4" t="str">
        <f ca="1">IFERROR(__xludf.DUMMYFUNCTION("GOOGLETRANSLATE(C126,""ja"",""vi"")"),"Đấu giá&gt; vật tư văn phòng, cửa hàng&gt; thiết bị OA&gt; Từ điển điện tử&gt; Canon")</f>
        <v>Đấu giá&gt; vật tư văn phòng, cửa hàng&gt; thiết bị OA&gt; Từ điển điện tử&gt; Canon</v>
      </c>
      <c r="G126" t="str">
        <f t="shared" ca="1" si="1"/>
        <v>"2084062313" : "Canon",</v>
      </c>
    </row>
    <row r="127" spans="1:7" ht="14.25" customHeight="1">
      <c r="A127" s="2">
        <v>2084062315</v>
      </c>
      <c r="B127" s="2" t="s">
        <v>4583</v>
      </c>
      <c r="C127" s="2" t="s">
        <v>4585</v>
      </c>
      <c r="D127" s="2" t="s">
        <v>16503</v>
      </c>
      <c r="E127" s="4" t="str">
        <f ca="1">IFERROR(__xludf.DUMMYFUNCTION("GOOGLETRANSLATE(B127,""ja"",""vi"")"),"công dân")</f>
        <v>công dân</v>
      </c>
      <c r="F127" s="4" t="str">
        <f ca="1">IFERROR(__xludf.DUMMYFUNCTION("GOOGLETRANSLATE(C127,""ja"",""vi"")"),"Đấu giá&gt; vật tư văn phòng, cửa hàng&gt; thiết bị OA&gt; Từ điển điện tử&gt; Citizen")</f>
        <v>Đấu giá&gt; vật tư văn phòng, cửa hàng&gt; thiết bị OA&gt; Từ điển điện tử&gt; Citizen</v>
      </c>
      <c r="G127" t="str">
        <f t="shared" ca="1" si="1"/>
        <v>"2084062315" : "công dân",</v>
      </c>
    </row>
    <row r="128" spans="1:7" ht="14.25" customHeight="1">
      <c r="A128" s="2">
        <v>2084062311</v>
      </c>
      <c r="B128" s="2" t="s">
        <v>1731</v>
      </c>
      <c r="C128" s="2" t="s">
        <v>4590</v>
      </c>
      <c r="D128" s="2" t="s">
        <v>16505</v>
      </c>
      <c r="E128" s="4" t="str">
        <f ca="1">IFERROR(__xludf.DUMMYFUNCTION("GOOGLETRANSLATE(B128,""ja"",""vi"")"),"nhọn")</f>
        <v>nhọn</v>
      </c>
      <c r="F128" s="4" t="str">
        <f ca="1">IFERROR(__xludf.DUMMYFUNCTION("GOOGLETRANSLATE(C128,""ja"",""vi"")"),"Đấu giá&gt; vật tư văn phòng, cửa hàng&gt; thiết bị OA&gt; Từ điển điện tử&gt; sắc nét")</f>
        <v>Đấu giá&gt; vật tư văn phòng, cửa hàng&gt; thiết bị OA&gt; Từ điển điện tử&gt; sắc nét</v>
      </c>
      <c r="G128" t="str">
        <f t="shared" ca="1" si="1"/>
        <v>"2084062311" : "nhọn",</v>
      </c>
    </row>
    <row r="129" spans="1:7" ht="14.25" customHeight="1">
      <c r="A129" s="2">
        <v>2084062312</v>
      </c>
      <c r="B129" s="2" t="s">
        <v>4283</v>
      </c>
      <c r="C129" s="2" t="s">
        <v>4594</v>
      </c>
      <c r="D129" s="2" t="s">
        <v>16508</v>
      </c>
      <c r="E129" s="4" t="str">
        <f ca="1">IFERROR(__xludf.DUMMYFUNCTION("GOOGLETRANSLATE(B129,""ja"",""vi"")"),"Seiko")</f>
        <v>Seiko</v>
      </c>
      <c r="F129" s="4" t="str">
        <f ca="1">IFERROR(__xludf.DUMMYFUNCTION("GOOGLETRANSLATE(C129,""ja"",""vi"")"),"Đấu giá&gt; vật tư văn phòng, cửa hàng&gt; thiết bị OA&gt; Từ điển điện tử&gt; Seiko")</f>
        <v>Đấu giá&gt; vật tư văn phòng, cửa hàng&gt; thiết bị OA&gt; Từ điển điện tử&gt; Seiko</v>
      </c>
      <c r="G129" t="str">
        <f t="shared" ca="1" si="1"/>
        <v>"2084062312" : "Seiko",</v>
      </c>
    </row>
    <row r="130" spans="1:7" ht="14.25" customHeight="1">
      <c r="A130" s="2">
        <v>2084062309</v>
      </c>
      <c r="B130" s="2" t="s">
        <v>1738</v>
      </c>
      <c r="C130" s="2" t="s">
        <v>4600</v>
      </c>
      <c r="D130" s="2" t="s">
        <v>16511</v>
      </c>
      <c r="E130" s="4" t="str">
        <f ca="1">IFERROR(__xludf.DUMMYFUNCTION("GOOGLETRANSLATE(B130,""ja"",""vi"")"),"Sony")</f>
        <v>Sony</v>
      </c>
      <c r="F130" s="4" t="str">
        <f ca="1">IFERROR(__xludf.DUMMYFUNCTION("GOOGLETRANSLATE(C130,""ja"",""vi"")"),"Đấu giá&gt; vật tư văn phòng, cửa hàng&gt; thiết bị OA&gt; Từ điển điện tử&gt; Sony")</f>
        <v>Đấu giá&gt; vật tư văn phòng, cửa hàng&gt; thiết bị OA&gt; Từ điển điện tử&gt; Sony</v>
      </c>
      <c r="G130" t="str">
        <f t="shared" ca="1" si="1"/>
        <v>"2084062309" : "Sony",</v>
      </c>
    </row>
    <row r="131" spans="1:7" ht="14.25" customHeight="1">
      <c r="A131" s="2">
        <v>2084062314</v>
      </c>
      <c r="B131" s="2" t="s">
        <v>46</v>
      </c>
      <c r="C131" s="2" t="s">
        <v>4604</v>
      </c>
      <c r="D131" s="2" t="s">
        <v>16513</v>
      </c>
      <c r="E131" s="4" t="str">
        <f ca="1">IFERROR(__xludf.DUMMYFUNCTION("GOOGLETRANSLATE(B131,""ja"",""vi"")"),"nếu không thì")</f>
        <v>nếu không thì</v>
      </c>
      <c r="F131" s="4" t="str">
        <f ca="1">IFERROR(__xludf.DUMMYFUNCTION("GOOGLETRANSLATE(C131,""ja"",""vi"")"),"Đấu giá&gt; vật tư văn phòng, cửa hàng&gt; thiết bị OA&gt; Từ điển điện tử&gt; Khác")</f>
        <v>Đấu giá&gt; vật tư văn phòng, cửa hàng&gt; thiết bị OA&gt; Từ điển điện tử&gt; Khác</v>
      </c>
      <c r="G131" t="str">
        <f t="shared" ref="G131:G194" ca="1" si="2">CONCATENATE(CHAR(34)&amp;"",A131,""&amp;CHAR(34)," : ", CHAR(34)&amp;"",E131,""&amp;CHAR(34),",")</f>
        <v>"2084062314" : "nếu không thì",</v>
      </c>
    </row>
    <row r="132" spans="1:7" ht="14.25" customHeight="1">
      <c r="A132" s="2">
        <v>2084239841</v>
      </c>
      <c r="B132" s="2" t="s">
        <v>4608</v>
      </c>
      <c r="C132" s="2" t="s">
        <v>4611</v>
      </c>
      <c r="D132" s="2" t="s">
        <v>16515</v>
      </c>
      <c r="E132" s="4" t="str">
        <f ca="1">IFERROR(__xludf.DUMMYFUNCTION("GOOGLETRANSLATE(B132,""ja"",""vi"")"),"Amadana")</f>
        <v>Amadana</v>
      </c>
      <c r="F132" s="4" t="str">
        <f ca="1">IFERROR(__xludf.DUMMYFUNCTION("GOOGLETRANSLATE(C132,""ja"",""vi"")"),"Đấu giá&gt; Văn phòng, Cửa hàng cung cấp&gt; thiết bị OA&gt; Máy tính&gt; amadana")</f>
        <v>Đấu giá&gt; Văn phòng, Cửa hàng cung cấp&gt; thiết bị OA&gt; Máy tính&gt; amadana</v>
      </c>
      <c r="G132" t="str">
        <f t="shared" ca="1" si="2"/>
        <v>"2084239841" : "Amadana",</v>
      </c>
    </row>
    <row r="133" spans="1:7" ht="14.25" customHeight="1">
      <c r="A133" s="2">
        <v>2084239839</v>
      </c>
      <c r="B133" s="2" t="s">
        <v>1806</v>
      </c>
      <c r="C133" s="2" t="s">
        <v>4616</v>
      </c>
      <c r="D133" s="2" t="s">
        <v>16518</v>
      </c>
      <c r="E133" s="4" t="str">
        <f ca="1">IFERROR(__xludf.DUMMYFUNCTION("GOOGLETRANSLATE(B133,""ja"",""vi"")"),"Casio")</f>
        <v>Casio</v>
      </c>
      <c r="F133" s="4" t="str">
        <f ca="1">IFERROR(__xludf.DUMMYFUNCTION("GOOGLETRANSLATE(C133,""ja"",""vi"")"),"Đấu giá&gt; Văn phòng, Cửa hàng cung cấp&gt; thiết bị OA&gt; Máy tính&gt; Casio")</f>
        <v>Đấu giá&gt; Văn phòng, Cửa hàng cung cấp&gt; thiết bị OA&gt; Máy tính&gt; Casio</v>
      </c>
      <c r="G133" t="str">
        <f t="shared" ca="1" si="2"/>
        <v>"2084239839" : "Casio",</v>
      </c>
    </row>
    <row r="134" spans="1:7" ht="14.25" customHeight="1">
      <c r="A134" s="2">
        <v>2084239840</v>
      </c>
      <c r="B134" s="2" t="s">
        <v>4583</v>
      </c>
      <c r="C134" s="2" t="s">
        <v>4620</v>
      </c>
      <c r="D134" s="2" t="s">
        <v>16520</v>
      </c>
      <c r="E134" s="4" t="str">
        <f ca="1">IFERROR(__xludf.DUMMYFUNCTION("GOOGLETRANSLATE(B134,""ja"",""vi"")"),"công dân")</f>
        <v>công dân</v>
      </c>
      <c r="F134" s="4" t="str">
        <f ca="1">IFERROR(__xludf.DUMMYFUNCTION("GOOGLETRANSLATE(C134,""ja"",""vi"")"),"Đấu giá&gt; Văn phòng, Cửa hàng cung cấp&gt; thiết bị OA&gt; Máy tính&gt; Citizen")</f>
        <v>Đấu giá&gt; Văn phòng, Cửa hàng cung cấp&gt; thiết bị OA&gt; Máy tính&gt; Citizen</v>
      </c>
      <c r="G134" t="str">
        <f t="shared" ca="1" si="2"/>
        <v>"2084239840" : "công dân",</v>
      </c>
    </row>
    <row r="135" spans="1:7" ht="14.25" customHeight="1">
      <c r="A135" s="2">
        <v>2084239838</v>
      </c>
      <c r="B135" s="2" t="s">
        <v>1731</v>
      </c>
      <c r="C135" s="2" t="s">
        <v>4623</v>
      </c>
      <c r="D135" s="2" t="s">
        <v>16522</v>
      </c>
      <c r="E135" s="4" t="str">
        <f ca="1">IFERROR(__xludf.DUMMYFUNCTION("GOOGLETRANSLATE(B135,""ja"",""vi"")"),"nhọn")</f>
        <v>nhọn</v>
      </c>
      <c r="F135" s="4" t="str">
        <f ca="1">IFERROR(__xludf.DUMMYFUNCTION("GOOGLETRANSLATE(C135,""ja"",""vi"")"),"Đấu giá&gt; Văn phòng, Cửa hàng cung cấp&gt; thiết bị OA&gt; Máy tính&gt; sắc nét")</f>
        <v>Đấu giá&gt; Văn phòng, Cửa hàng cung cấp&gt; thiết bị OA&gt; Máy tính&gt; sắc nét</v>
      </c>
      <c r="G135" t="str">
        <f t="shared" ca="1" si="2"/>
        <v>"2084239838" : "nhọn",</v>
      </c>
    </row>
    <row r="136" spans="1:7" ht="14.25" customHeight="1">
      <c r="A136" s="2">
        <v>2084239842</v>
      </c>
      <c r="B136" s="2" t="s">
        <v>46</v>
      </c>
      <c r="C136" s="2" t="s">
        <v>4627</v>
      </c>
      <c r="D136" s="2" t="s">
        <v>16524</v>
      </c>
      <c r="E136" s="4" t="str">
        <f ca="1">IFERROR(__xludf.DUMMYFUNCTION("GOOGLETRANSLATE(B136,""ja"",""vi"")"),"nếu không thì")</f>
        <v>nếu không thì</v>
      </c>
      <c r="F136" s="4" t="str">
        <f ca="1">IFERROR(__xludf.DUMMYFUNCTION("GOOGLETRANSLATE(C136,""ja"",""vi"")"),"Đấu giá&gt; Văn phòng, Cửa hàng cung cấp&gt; OA thiết bị&gt; Máy tính&gt; Khác")</f>
        <v>Đấu giá&gt; Văn phòng, Cửa hàng cung cấp&gt; OA thiết bị&gt; Máy tính&gt; Khác</v>
      </c>
      <c r="G136" t="str">
        <f t="shared" ca="1" si="2"/>
        <v>"2084239842" : "nếu không thì",</v>
      </c>
    </row>
    <row r="137" spans="1:7" ht="14.25" customHeight="1">
      <c r="A137" s="2">
        <v>2084243710</v>
      </c>
      <c r="B137" s="2" t="s">
        <v>16526</v>
      </c>
      <c r="C137" s="2" t="s">
        <v>16527</v>
      </c>
      <c r="D137" s="2" t="s">
        <v>16528</v>
      </c>
      <c r="E137" s="4" t="str">
        <f ca="1">IFERROR(__xludf.DUMMYFUNCTION("GOOGLETRANSLATE(B137,""ja"",""vi"")"),"sofa")</f>
        <v>sofa</v>
      </c>
      <c r="F137" s="4" t="str">
        <f ca="1">IFERROR(__xludf.DUMMYFUNCTION("GOOGLETRANSLATE(C137,""ja"",""vi"")"),"Đấu giá&gt; Văn phòng, Cửa hàng cung cấp&gt; Nội thất văn phòng&gt; Ghế&gt; sofa")</f>
        <v>Đấu giá&gt; Văn phòng, Cửa hàng cung cấp&gt; Nội thất văn phòng&gt; Ghế&gt; sofa</v>
      </c>
      <c r="G137" t="str">
        <f t="shared" ca="1" si="2"/>
        <v>"2084243710" : "sofa",</v>
      </c>
    </row>
    <row r="138" spans="1:7" ht="14.25" customHeight="1">
      <c r="A138" s="2">
        <v>2084227123</v>
      </c>
      <c r="B138" s="2" t="s">
        <v>16531</v>
      </c>
      <c r="C138" s="2" t="s">
        <v>16532</v>
      </c>
      <c r="D138" s="2" t="s">
        <v>16533</v>
      </c>
      <c r="E138" s="4" t="str">
        <f ca="1">IFERROR(__xludf.DUMMYFUNCTION("GOOGLETRANSLATE(B138,""ja"",""vi"")"),"bàn ghế")</f>
        <v>bàn ghế</v>
      </c>
      <c r="F138" s="4" t="str">
        <f ca="1">IFERROR(__xludf.DUMMYFUNCTION("GOOGLETRANSLATE(C138,""ja"",""vi"")"),"Đấu giá&gt; Văn phòng, Cửa hàng cung cấp&gt; Nội thất văn phòng&gt; Ghế&gt; Ghế bàn")</f>
        <v>Đấu giá&gt; Văn phòng, Cửa hàng cung cấp&gt; Nội thất văn phòng&gt; Ghế&gt; Ghế bàn</v>
      </c>
      <c r="G138" t="str">
        <f t="shared" ca="1" si="2"/>
        <v>"2084227123" : "bàn ghế",</v>
      </c>
    </row>
    <row r="139" spans="1:7" ht="14.25" customHeight="1">
      <c r="A139" s="2">
        <v>2084227364</v>
      </c>
      <c r="B139" s="2" t="s">
        <v>16535</v>
      </c>
      <c r="C139" s="2" t="s">
        <v>16536</v>
      </c>
      <c r="D139" s="2" t="s">
        <v>16537</v>
      </c>
      <c r="E139" s="4" t="str">
        <f ca="1">IFERROR(__xludf.DUMMYFUNCTION("GOOGLETRANSLATE(B139,""ja"",""vi"")"),"ghế dài")</f>
        <v>ghế dài</v>
      </c>
      <c r="F139" s="4" t="str">
        <f ca="1">IFERROR(__xludf.DUMMYFUNCTION("GOOGLETRANSLATE(C139,""ja"",""vi"")"),"Đấu giá&gt; Văn phòng, Cửa hàng cung cấp&gt; Nội thất văn phòng&gt; Ghế&gt; băng ghế dự bị")</f>
        <v>Đấu giá&gt; Văn phòng, Cửa hàng cung cấp&gt; Nội thất văn phòng&gt; Ghế&gt; băng ghế dự bị</v>
      </c>
      <c r="G139" t="str">
        <f t="shared" ca="1" si="2"/>
        <v>"2084227364" : "ghế dài",</v>
      </c>
    </row>
    <row r="140" spans="1:7" ht="14.25" customHeight="1">
      <c r="A140" s="2">
        <v>2084227124</v>
      </c>
      <c r="B140" s="2" t="s">
        <v>16539</v>
      </c>
      <c r="C140" s="2" t="s">
        <v>16540</v>
      </c>
      <c r="D140" s="2" t="s">
        <v>16541</v>
      </c>
      <c r="E140" s="4" t="str">
        <f ca="1">IFERROR(__xludf.DUMMYFUNCTION("GOOGLETRANSLATE(B140,""ja"",""vi"")"),"Đối với cuộc họp")</f>
        <v>Đối với cuộc họp</v>
      </c>
      <c r="F140" s="4" t="str">
        <f ca="1">IFERROR(__xludf.DUMMYFUNCTION("GOOGLETRANSLATE(C140,""ja"",""vi"")"),"Đấu giá&gt; Văn phòng, Cửa hàng cung cấp&gt; Nội thất văn phòng&gt; Ghế&gt; hội nghị")</f>
        <v>Đấu giá&gt; Văn phòng, Cửa hàng cung cấp&gt; Nội thất văn phòng&gt; Ghế&gt; hội nghị</v>
      </c>
      <c r="G140" t="str">
        <f t="shared" ca="1" si="2"/>
        <v>"2084227124" : "Đối với cuộc họp",</v>
      </c>
    </row>
    <row r="141" spans="1:7" ht="14.25" customHeight="1">
      <c r="A141" s="2">
        <v>2084227125</v>
      </c>
      <c r="B141" s="2" t="s">
        <v>16543</v>
      </c>
      <c r="C141" s="2" t="s">
        <v>16544</v>
      </c>
      <c r="D141" s="2" t="s">
        <v>16545</v>
      </c>
      <c r="E141" s="4" t="str">
        <f ca="1">IFERROR(__xludf.DUMMYFUNCTION("GOOGLETRANSLATE(B141,""ja"",""vi"")"),"Paipuisu")</f>
        <v>Paipuisu</v>
      </c>
      <c r="F141" s="4" t="str">
        <f ca="1">IFERROR(__xludf.DUMMYFUNCTION("GOOGLETRANSLATE(C141,""ja"",""vi"")"),"Đấu giá&gt; Văn phòng, Cửa hàng cung cấp&gt; Nội thất văn phòng&gt; Ghế&gt; Paipuisu")</f>
        <v>Đấu giá&gt; Văn phòng, Cửa hàng cung cấp&gt; Nội thất văn phòng&gt; Ghế&gt; Paipuisu</v>
      </c>
      <c r="G141" t="str">
        <f t="shared" ca="1" si="2"/>
        <v>"2084227125" : "Paipuisu",</v>
      </c>
    </row>
    <row r="142" spans="1:7" ht="14.25" customHeight="1">
      <c r="A142" s="2">
        <v>2084283595</v>
      </c>
      <c r="B142" s="2" t="s">
        <v>16549</v>
      </c>
      <c r="C142" s="2" t="s">
        <v>16550</v>
      </c>
      <c r="D142" s="2" t="s">
        <v>16552</v>
      </c>
      <c r="E142" s="4" t="str">
        <f ca="1">IFERROR(__xludf.DUMMYFUNCTION("GOOGLETRANSLATE(B142,""ja"",""vi"")"),"Jirofurekkusu")</f>
        <v>Jirofurekkusu</v>
      </c>
      <c r="F142" s="4" t="str">
        <f ca="1">IFERROR(__xludf.DUMMYFUNCTION("GOOGLETRANSLATE(C142,""ja"",""vi"")"),"Đấu giá&gt; Văn phòng, Cửa hàng cung cấp&gt; Nội thất văn phòng&gt; Ghế&gt; Jirofurekkusu")</f>
        <v>Đấu giá&gt; Văn phòng, Cửa hàng cung cấp&gt; Nội thất văn phòng&gt; Ghế&gt; Jirofurekkusu</v>
      </c>
      <c r="G142" t="str">
        <f t="shared" ca="1" si="2"/>
        <v>"2084283595" : "Jirofurekkusu",</v>
      </c>
    </row>
    <row r="143" spans="1:7" ht="14.25" customHeight="1">
      <c r="A143" s="2">
        <v>2084227126</v>
      </c>
      <c r="B143" s="2" t="s">
        <v>46</v>
      </c>
      <c r="C143" s="2" t="s">
        <v>16557</v>
      </c>
      <c r="D143" s="2" t="s">
        <v>16558</v>
      </c>
      <c r="E143" s="4" t="str">
        <f ca="1">IFERROR(__xludf.DUMMYFUNCTION("GOOGLETRANSLATE(B143,""ja"",""vi"")"),"nếu không thì")</f>
        <v>nếu không thì</v>
      </c>
      <c r="F143" s="4" t="str">
        <f ca="1">IFERROR(__xludf.DUMMYFUNCTION("GOOGLETRANSLATE(C143,""ja"",""vi"")"),"Đấu giá&gt; vật tư văn phòng, cửa hàng&gt; Nội thất văn phòng&gt; Ghế&gt; Khác")</f>
        <v>Đấu giá&gt; vật tư văn phòng, cửa hàng&gt; Nội thất văn phòng&gt; Ghế&gt; Khác</v>
      </c>
      <c r="G143" t="str">
        <f t="shared" ca="1" si="2"/>
        <v>"2084227126" : "nếu không thì",</v>
      </c>
    </row>
    <row r="144" spans="1:7" ht="14.25" customHeight="1">
      <c r="A144" s="2">
        <v>2084222736</v>
      </c>
      <c r="B144" s="2" t="s">
        <v>16539</v>
      </c>
      <c r="C144" s="2" t="s">
        <v>16560</v>
      </c>
      <c r="D144" s="2" t="s">
        <v>16562</v>
      </c>
      <c r="E144" s="4" t="str">
        <f ca="1">IFERROR(__xludf.DUMMYFUNCTION("GOOGLETRANSLATE(B144,""ja"",""vi"")"),"Đối với cuộc họp")</f>
        <v>Đối với cuộc họp</v>
      </c>
      <c r="F144" s="4" t="str">
        <f ca="1">IFERROR(__xludf.DUMMYFUNCTION("GOOGLETRANSLATE(C144,""ja"",""vi"")"),"Đấu giá&gt; Văn phòng, Cửa hàng cung cấp&gt; đồ nội thất văn phòng&gt; table&gt; cho cuộc họp")</f>
        <v>Đấu giá&gt; Văn phòng, Cửa hàng cung cấp&gt; đồ nội thất văn phòng&gt; table&gt; cho cuộc họp</v>
      </c>
      <c r="G144" t="str">
        <f t="shared" ca="1" si="2"/>
        <v>"2084222736" : "Đối với cuộc họp",</v>
      </c>
    </row>
    <row r="145" spans="1:7" ht="14.25" customHeight="1">
      <c r="A145" s="2">
        <v>22944</v>
      </c>
      <c r="B145" s="2" t="s">
        <v>16565</v>
      </c>
      <c r="C145" s="2" t="s">
        <v>16566</v>
      </c>
      <c r="D145" s="2" t="s">
        <v>16567</v>
      </c>
      <c r="E145" s="4" t="str">
        <f ca="1">IFERROR(__xludf.DUMMYFUNCTION("GOOGLETRANSLATE(B145,""ja"",""vi"")"),"bàn")</f>
        <v>bàn</v>
      </c>
      <c r="F145" s="4" t="str">
        <f ca="1">IFERROR(__xludf.DUMMYFUNCTION("GOOGLETRANSLATE(C145,""ja"",""vi"")"),"Đấu giá&gt; Văn phòng, Cửa hàng cung cấp&gt; đồ nội thất văn phòng&gt; table&gt; bàn")</f>
        <v>Đấu giá&gt; Văn phòng, Cửa hàng cung cấp&gt; đồ nội thất văn phòng&gt; table&gt; bàn</v>
      </c>
      <c r="G145" t="str">
        <f t="shared" ca="1" si="2"/>
        <v>"22944" : "bàn",</v>
      </c>
    </row>
    <row r="146" spans="1:7" ht="14.25" customHeight="1">
      <c r="A146" s="2">
        <v>2084216952</v>
      </c>
      <c r="B146" s="2" t="s">
        <v>13089</v>
      </c>
      <c r="C146" s="2" t="s">
        <v>13091</v>
      </c>
      <c r="D146" s="8" t="s">
        <v>15661</v>
      </c>
      <c r="E146" s="4" t="str">
        <f ca="1">IFERROR(__xludf.DUMMYFUNCTION("GOOGLETRANSLATE(B146,""ja"",""vi"")"),"agave")</f>
        <v>agave</v>
      </c>
      <c r="F146" s="4" t="str">
        <f ca="1">IFERROR(__xludf.DUMMYFUNCTION("GOOGLETRANSLATE(C146,""ja"",""vi"")"),"Đấu giá&gt; hoa, làm vườn&gt; cây trang trí&gt; agave")</f>
        <v>Đấu giá&gt; hoa, làm vườn&gt; cây trang trí&gt; agave</v>
      </c>
      <c r="G146" t="str">
        <f t="shared" ca="1" si="2"/>
        <v>"2084216952" : "agave",</v>
      </c>
    </row>
    <row r="147" spans="1:7" ht="14.25" customHeight="1">
      <c r="A147" s="2">
        <v>2084063285</v>
      </c>
      <c r="B147" s="2" t="s">
        <v>13094</v>
      </c>
      <c r="C147" s="2" t="s">
        <v>13097</v>
      </c>
      <c r="D147" s="8" t="s">
        <v>15665</v>
      </c>
      <c r="E147" s="4" t="str">
        <f ca="1">IFERROR(__xludf.DUMMYFUNCTION("GOOGLETRANSLATE(B147,""ja"",""vi"")"),"trái thơm")</f>
        <v>trái thơm</v>
      </c>
      <c r="F147" s="4" t="str">
        <f ca="1">IFERROR(__xludf.DUMMYFUNCTION("GOOGLETRANSLATE(C147,""ja"",""vi"")"),"Đấu giá&gt; hoa, làm vườn&gt; cây trang trí&gt; bromeliad")</f>
        <v>Đấu giá&gt; hoa, làm vườn&gt; cây trang trí&gt; bromeliad</v>
      </c>
      <c r="G147" t="str">
        <f t="shared" ca="1" si="2"/>
        <v>"2084063285" : "trái thơm",</v>
      </c>
    </row>
    <row r="148" spans="1:7" ht="14.25" customHeight="1">
      <c r="A148" s="2">
        <v>2084063286</v>
      </c>
      <c r="B148" s="2" t="s">
        <v>13099</v>
      </c>
      <c r="C148" s="2" t="s">
        <v>13100</v>
      </c>
      <c r="D148" s="8" t="s">
        <v>15671</v>
      </c>
      <c r="E148" s="4" t="str">
        <f ca="1">IFERROR(__xludf.DUMMYFUNCTION("GOOGLETRANSLATE(B148,""ja"",""vi"")"),"cây lô hội")</f>
        <v>cây lô hội</v>
      </c>
      <c r="F148" s="4" t="str">
        <f ca="1">IFERROR(__xludf.DUMMYFUNCTION("GOOGLETRANSLATE(C148,""ja"",""vi"")"),"Đấu giá&gt; hoa, làm vườn&gt; cây trang trí&gt; lô hội")</f>
        <v>Đấu giá&gt; hoa, làm vườn&gt; cây trang trí&gt; lô hội</v>
      </c>
      <c r="G148" t="str">
        <f t="shared" ca="1" si="2"/>
        <v>"2084063286" : "cây lô hội",</v>
      </c>
    </row>
    <row r="149" spans="1:7" ht="14.25" customHeight="1">
      <c r="A149" s="2">
        <v>2084063287</v>
      </c>
      <c r="B149" s="2" t="s">
        <v>13105</v>
      </c>
      <c r="C149" s="2" t="s">
        <v>13106</v>
      </c>
      <c r="D149" s="8" t="s">
        <v>15676</v>
      </c>
      <c r="E149" s="4" t="str">
        <f ca="1">IFERROR(__xludf.DUMMYFUNCTION("GOOGLETRANSLATE(B149,""ja"",""vi"")"),"Unberata")</f>
        <v>Unberata</v>
      </c>
      <c r="F149" s="4" t="str">
        <f ca="1">IFERROR(__xludf.DUMMYFUNCTION("GOOGLETRANSLATE(C149,""ja"",""vi"")"),"Đấu giá&gt; hoa, làm vườn&gt; cây trang trí&gt; Unberata")</f>
        <v>Đấu giá&gt; hoa, làm vườn&gt; cây trang trí&gt; Unberata</v>
      </c>
      <c r="G149" t="str">
        <f t="shared" ca="1" si="2"/>
        <v>"2084063287" : "Unberata",</v>
      </c>
    </row>
    <row r="150" spans="1:7" ht="14.25" customHeight="1">
      <c r="A150" s="2">
        <v>2084216954</v>
      </c>
      <c r="B150" s="2" t="s">
        <v>13110</v>
      </c>
      <c r="C150" s="2" t="s">
        <v>13112</v>
      </c>
      <c r="D150" s="8" t="s">
        <v>15682</v>
      </c>
      <c r="E150" s="4" t="str">
        <f ca="1">IFERROR(__xludf.DUMMYFUNCTION("GOOGLETRANSLATE(B150,""ja"",""vi"")"),"Augusta")</f>
        <v>Augusta</v>
      </c>
      <c r="F150" s="4" t="str">
        <f ca="1">IFERROR(__xludf.DUMMYFUNCTION("GOOGLETRANSLATE(C150,""ja"",""vi"")"),"Đấu giá&gt; hoa, làm vườn&gt; cây trang trí&gt; Augusta")</f>
        <v>Đấu giá&gt; hoa, làm vườn&gt; cây trang trí&gt; Augusta</v>
      </c>
      <c r="G150" t="str">
        <f t="shared" ca="1" si="2"/>
        <v>"2084216954" : "Augusta",</v>
      </c>
    </row>
    <row r="151" spans="1:7" ht="14.25" customHeight="1">
      <c r="A151" s="2">
        <v>2084063294</v>
      </c>
      <c r="B151" s="2" t="s">
        <v>13114</v>
      </c>
      <c r="C151" s="2" t="s">
        <v>13115</v>
      </c>
      <c r="D151" s="8" t="s">
        <v>15687</v>
      </c>
      <c r="E151" s="4" t="str">
        <f ca="1">IFERROR(__xludf.DUMMYFUNCTION("GOOGLETRANSLATE(B151,""ja"",""vi"")"),"chi ráy")</f>
        <v>chi ráy</v>
      </c>
      <c r="F151" s="4" t="str">
        <f ca="1">IFERROR(__xludf.DUMMYFUNCTION("GOOGLETRANSLATE(C151,""ja"",""vi"")"),"Đấu giá&gt; hoa, làm vườn&gt; cây trang trí&gt; chi ráy")</f>
        <v>Đấu giá&gt; hoa, làm vườn&gt; cây trang trí&gt; chi ráy</v>
      </c>
      <c r="G151" t="str">
        <f t="shared" ca="1" si="2"/>
        <v>"2084063294" : "chi ráy",</v>
      </c>
    </row>
    <row r="152" spans="1:7" ht="14.25" customHeight="1">
      <c r="A152" s="2">
        <v>2084063278</v>
      </c>
      <c r="B152" s="2" t="s">
        <v>13120</v>
      </c>
      <c r="C152" s="2" t="s">
        <v>13121</v>
      </c>
      <c r="D152" s="8" t="s">
        <v>15692</v>
      </c>
      <c r="E152" s="4" t="str">
        <f ca="1">IFERROR(__xludf.DUMMYFUNCTION("GOOGLETRANSLATE(B152,""ja"",""vi"")"),"cây xương rồng")</f>
        <v>cây xương rồng</v>
      </c>
      <c r="F152" s="4" t="str">
        <f ca="1">IFERROR(__xludf.DUMMYFUNCTION("GOOGLETRANSLATE(C152,""ja"",""vi"")"),"Đấu giá&gt; hoa, làm vườn&gt; cây trang trí&gt; cây xương rồng")</f>
        <v>Đấu giá&gt; hoa, làm vườn&gt; cây trang trí&gt; cây xương rồng</v>
      </c>
      <c r="G152" t="str">
        <f t="shared" ca="1" si="2"/>
        <v>"2084063278" : "cây xương rồng",</v>
      </c>
    </row>
    <row r="153" spans="1:7" ht="14.25" customHeight="1">
      <c r="A153" s="2">
        <v>2084063284</v>
      </c>
      <c r="B153" s="2" t="s">
        <v>13124</v>
      </c>
      <c r="C153" s="2" t="s">
        <v>13126</v>
      </c>
      <c r="D153" s="8" t="s">
        <v>15697</v>
      </c>
      <c r="E153" s="4" t="str">
        <f ca="1">IFERROR(__xludf.DUMMYFUNCTION("GOOGLETRANSLATE(B153,""ja"",""vi"")"),"Jasmine")</f>
        <v>Jasmine</v>
      </c>
      <c r="F153" s="4" t="str">
        <f ca="1">IFERROR(__xludf.DUMMYFUNCTION("GOOGLETRANSLATE(C153,""ja"",""vi"")"),"Đấu giá&gt; hoa, làm vườn&gt; cây trang trí&gt; hoa nhài")</f>
        <v>Đấu giá&gt; hoa, làm vườn&gt; cây trang trí&gt; hoa nhài</v>
      </c>
      <c r="G153" t="str">
        <f t="shared" ca="1" si="2"/>
        <v>"2084063284" : "Jasmine",</v>
      </c>
    </row>
    <row r="154" spans="1:7" ht="14.25" customHeight="1">
      <c r="A154" s="2">
        <v>2084063288</v>
      </c>
      <c r="B154" s="2" t="s">
        <v>13127</v>
      </c>
      <c r="C154" s="2" t="s">
        <v>13128</v>
      </c>
      <c r="D154" s="8" t="s">
        <v>15700</v>
      </c>
      <c r="E154" s="4" t="str">
        <f ca="1">IFERROR(__xludf.DUMMYFUNCTION("GOOGLETRANSLATE(B154,""ja"",""vi"")"),"Seromu")</f>
        <v>Seromu</v>
      </c>
      <c r="F154" s="4" t="str">
        <f ca="1">IFERROR(__xludf.DUMMYFUNCTION("GOOGLETRANSLATE(C154,""ja"",""vi"")"),"Đấu giá&gt; hoa, làm vườn&gt; cây trang trí&gt; Seromu")</f>
        <v>Đấu giá&gt; hoa, làm vườn&gt; cây trang trí&gt; Seromu</v>
      </c>
      <c r="G154" t="str">
        <f t="shared" ca="1" si="2"/>
        <v>"2084063288" : "Seromu",</v>
      </c>
    </row>
    <row r="155" spans="1:7" ht="14.25" customHeight="1">
      <c r="A155" s="2">
        <v>2084063289</v>
      </c>
      <c r="B155" s="2" t="s">
        <v>13132</v>
      </c>
      <c r="C155" s="2" t="s">
        <v>13133</v>
      </c>
      <c r="D155" s="8" t="s">
        <v>15704</v>
      </c>
      <c r="E155" s="4" t="str">
        <f ca="1">IFERROR(__xludf.DUMMYFUNCTION("GOOGLETRANSLATE(B155,""ja"",""vi"")"),"cây long huyết")</f>
        <v>cây long huyết</v>
      </c>
      <c r="F155" s="4" t="str">
        <f ca="1">IFERROR(__xludf.DUMMYFUNCTION("GOOGLETRANSLATE(C155,""ja"",""vi"")"),"Đấu giá&gt; hoa, làm vườn&gt; cây trang trí&gt; Dracaena")</f>
        <v>Đấu giá&gt; hoa, làm vườn&gt; cây trang trí&gt; Dracaena</v>
      </c>
      <c r="G155" t="str">
        <f t="shared" ca="1" si="2"/>
        <v>"2084063289" : "cây long huyết",</v>
      </c>
    </row>
    <row r="156" spans="1:7" ht="14.25" customHeight="1">
      <c r="A156" s="2">
        <v>2084063290</v>
      </c>
      <c r="B156" s="2" t="s">
        <v>13137</v>
      </c>
      <c r="C156" s="2" t="s">
        <v>13139</v>
      </c>
      <c r="D156" s="8" t="s">
        <v>15707</v>
      </c>
      <c r="E156" s="4" t="str">
        <f ca="1">IFERROR(__xludf.DUMMYFUNCTION("GOOGLETRANSLATE(B156,""ja"",""vi"")"),"Pachira")</f>
        <v>Pachira</v>
      </c>
      <c r="F156" s="4" t="str">
        <f ca="1">IFERROR(__xludf.DUMMYFUNCTION("GOOGLETRANSLATE(C156,""ja"",""vi"")"),"Đấu giá&gt; hoa, làm vườn&gt; cây trang trí&gt; pachira")</f>
        <v>Đấu giá&gt; hoa, làm vườn&gt; cây trang trí&gt; pachira</v>
      </c>
      <c r="G156" t="str">
        <f t="shared" ca="1" si="2"/>
        <v>"2084063290" : "Pachira",</v>
      </c>
    </row>
    <row r="157" spans="1:7" ht="14.25" customHeight="1">
      <c r="A157" s="2">
        <v>2084216953</v>
      </c>
      <c r="B157" s="2" t="s">
        <v>13142</v>
      </c>
      <c r="C157" s="2" t="s">
        <v>13144</v>
      </c>
      <c r="D157" s="8" t="s">
        <v>15709</v>
      </c>
      <c r="E157" s="4" t="str">
        <f ca="1">IFERROR(__xludf.DUMMYFUNCTION("GOOGLETRANSLATE(B157,""ja"",""vi"")"),"Bikakushida, dơi chạy")</f>
        <v>Bikakushida, dơi chạy</v>
      </c>
      <c r="F157" s="4" t="str">
        <f ca="1">IFERROR(__xludf.DUMMYFUNCTION("GOOGLETRANSLATE(C157,""ja"",""vi"")"),"Đấu giá&gt; hoa, làm vườn&gt; cây trang trí&gt; Bikakushida, dơi chạy")</f>
        <v>Đấu giá&gt; hoa, làm vườn&gt; cây trang trí&gt; Bikakushida, dơi chạy</v>
      </c>
      <c r="G157" t="str">
        <f t="shared" ca="1" si="2"/>
        <v>"2084216953" : "Bikakushida, dơi chạy",</v>
      </c>
    </row>
    <row r="158" spans="1:7" ht="14.25" customHeight="1">
      <c r="A158" s="2">
        <v>2084063279</v>
      </c>
      <c r="B158" s="2" t="s">
        <v>13148</v>
      </c>
      <c r="C158" s="2" t="s">
        <v>13150</v>
      </c>
      <c r="D158" s="8" t="s">
        <v>15714</v>
      </c>
      <c r="E158" s="4" t="str">
        <f ca="1">IFERROR(__xludf.DUMMYFUNCTION("GOOGLETRANSLATE(B158,""ja"",""vi"")"),"cây bồ đề")</f>
        <v>cây bồ đề</v>
      </c>
      <c r="F158" s="4" t="str">
        <f ca="1">IFERROR(__xludf.DUMMYFUNCTION("GOOGLETRANSLATE(C158,""ja"",""vi"")"),"Đấu giá&gt; hoa, làm vườn&gt; cây trang trí&gt; Benjamin")</f>
        <v>Đấu giá&gt; hoa, làm vườn&gt; cây trang trí&gt; Benjamin</v>
      </c>
      <c r="G158" t="str">
        <f t="shared" ca="1" si="2"/>
        <v>"2084063279" : "cây bồ đề",</v>
      </c>
    </row>
    <row r="159" spans="1:7" ht="14.25" customHeight="1">
      <c r="A159" s="2">
        <v>2084063293</v>
      </c>
      <c r="B159" s="2" t="s">
        <v>13154</v>
      </c>
      <c r="C159" s="2" t="s">
        <v>13156</v>
      </c>
      <c r="D159" s="8" t="s">
        <v>15717</v>
      </c>
      <c r="E159" s="4" t="str">
        <f ca="1">IFERROR(__xludf.DUMMYFUNCTION("GOOGLETRANSLATE(B159,""ja"",""vi"")"),"Hồng Kông bông gạo")</f>
        <v>Hồng Kông bông gạo</v>
      </c>
      <c r="F159" s="4" t="str">
        <f ca="1">IFERROR(__xludf.DUMMYFUNCTION("GOOGLETRANSLATE(C159,""ja"",""vi"")"),"Đấu giá&gt; hoa, làm vườn&gt; cây trang trí&gt; Hồng Kông bông gạo")</f>
        <v>Đấu giá&gt; hoa, làm vườn&gt; cây trang trí&gt; Hồng Kông bông gạo</v>
      </c>
      <c r="G159" t="str">
        <f t="shared" ca="1" si="2"/>
        <v>"2084063293" : "Hồng Kông bông gạo",</v>
      </c>
    </row>
    <row r="160" spans="1:7" ht="14.25" customHeight="1">
      <c r="A160" s="2">
        <v>2084063291</v>
      </c>
      <c r="B160" s="2" t="s">
        <v>13159</v>
      </c>
      <c r="C160" s="2" t="s">
        <v>13161</v>
      </c>
      <c r="D160" s="8" t="s">
        <v>15723</v>
      </c>
      <c r="E160" s="4" t="str">
        <f ca="1">IFERROR(__xludf.DUMMYFUNCTION("GOOGLETRANSLATE(B160,""ja"",""vi"")"),"Pothos")</f>
        <v>Pothos</v>
      </c>
      <c r="F160" s="4" t="str">
        <f ca="1">IFERROR(__xludf.DUMMYFUNCTION("GOOGLETRANSLATE(C160,""ja"",""vi"")"),"Đấu giá&gt; hoa, làm vườn&gt; cây trang trí&gt; Pothos")</f>
        <v>Đấu giá&gt; hoa, làm vườn&gt; cây trang trí&gt; Pothos</v>
      </c>
      <c r="G160" t="str">
        <f t="shared" ca="1" si="2"/>
        <v>"2084063291" : "Pothos",</v>
      </c>
    </row>
    <row r="161" spans="1:7" ht="14.25" customHeight="1">
      <c r="A161" s="2">
        <v>2084063282</v>
      </c>
      <c r="B161" s="2" t="s">
        <v>13164</v>
      </c>
      <c r="C161" s="2" t="s">
        <v>13166</v>
      </c>
      <c r="D161" s="8" t="s">
        <v>15727</v>
      </c>
      <c r="E161" s="4" t="str">
        <f ca="1">IFERROR(__xludf.DUMMYFUNCTION("GOOGLETRANSLATE(B161,""ja"",""vi"")"),"triệu tre")</f>
        <v>triệu tre</v>
      </c>
      <c r="F161" s="4" t="str">
        <f ca="1">IFERROR(__xludf.DUMMYFUNCTION("GOOGLETRANSLATE(C161,""ja"",""vi"")"),"Đấu giá&gt; hoa, làm vườn&gt; cây trang trí&gt; triệu tre")</f>
        <v>Đấu giá&gt; hoa, làm vườn&gt; cây trang trí&gt; triệu tre</v>
      </c>
      <c r="G161" t="str">
        <f t="shared" ca="1" si="2"/>
        <v>"2084063282" : "triệu tre",</v>
      </c>
    </row>
    <row r="162" spans="1:7" ht="14.25" customHeight="1">
      <c r="A162" s="2">
        <v>2084063280</v>
      </c>
      <c r="B162" s="2" t="s">
        <v>13169</v>
      </c>
      <c r="C162" s="2" t="s">
        <v>13171</v>
      </c>
      <c r="D162" s="8" t="s">
        <v>15731</v>
      </c>
      <c r="E162" s="4" t="str">
        <f ca="1">IFERROR(__xludf.DUMMYFUNCTION("GOOGLETRANSLATE(B162,""ja"",""vi"")"),"Monstera")</f>
        <v>Monstera</v>
      </c>
      <c r="F162" s="4" t="str">
        <f ca="1">IFERROR(__xludf.DUMMYFUNCTION("GOOGLETRANSLATE(C162,""ja"",""vi"")"),"Đấu giá&gt; hoa, làm vườn&gt; cây trang trí&gt; Monstera")</f>
        <v>Đấu giá&gt; hoa, làm vườn&gt; cây trang trí&gt; Monstera</v>
      </c>
      <c r="G162" t="str">
        <f t="shared" ca="1" si="2"/>
        <v>"2084063280" : "Monstera",</v>
      </c>
    </row>
    <row r="163" spans="1:7" ht="14.25" customHeight="1">
      <c r="A163" s="2">
        <v>2084063281</v>
      </c>
      <c r="B163" s="2" t="s">
        <v>13177</v>
      </c>
      <c r="C163" s="2" t="s">
        <v>13178</v>
      </c>
      <c r="D163" s="8" t="s">
        <v>15737</v>
      </c>
      <c r="E163" s="4" t="str">
        <f ca="1">IFERROR(__xludf.DUMMYFUNCTION("GOOGLETRANSLATE(B163,""ja"",""vi"")"),"lòng bàn tay")</f>
        <v>lòng bàn tay</v>
      </c>
      <c r="F163" s="4" t="str">
        <f ca="1">IFERROR(__xludf.DUMMYFUNCTION("GOOGLETRANSLATE(C163,""ja"",""vi"")"),"Đấu giá&gt; hoa, làm vườn&gt; cây trang trí&gt; cọ")</f>
        <v>Đấu giá&gt; hoa, làm vườn&gt; cây trang trí&gt; cọ</v>
      </c>
      <c r="G163" t="str">
        <f t="shared" ca="1" si="2"/>
        <v>"2084063281" : "lòng bàn tay",</v>
      </c>
    </row>
    <row r="164" spans="1:7" ht="14.25" customHeight="1">
      <c r="A164" s="2">
        <v>2084063292</v>
      </c>
      <c r="B164" s="2" t="s">
        <v>13183</v>
      </c>
      <c r="C164" s="2" t="s">
        <v>13184</v>
      </c>
      <c r="D164" s="8" t="s">
        <v>15744</v>
      </c>
      <c r="E164" s="4" t="str">
        <f ca="1">IFERROR(__xludf.DUMMYFUNCTION("GOOGLETRANSLATE(B164,""ja"",""vi"")"),"cây ngọc da hoa")</f>
        <v>cây ngọc da hoa</v>
      </c>
      <c r="F164" s="4" t="str">
        <f ca="1">IFERROR(__xludf.DUMMYFUNCTION("GOOGLETRANSLATE(C164,""ja"",""vi"")"),"Đấu giá&gt; hoa, làm vườn&gt; cây trang trí&gt; yucca")</f>
        <v>Đấu giá&gt; hoa, làm vườn&gt; cây trang trí&gt; yucca</v>
      </c>
      <c r="G164" t="str">
        <f t="shared" ca="1" si="2"/>
        <v>"2084063292" : "cây ngọc da hoa",</v>
      </c>
    </row>
    <row r="165" spans="1:7" ht="14.25" customHeight="1">
      <c r="A165" s="2">
        <v>2084006705</v>
      </c>
      <c r="B165" s="2" t="s">
        <v>13049</v>
      </c>
      <c r="C165" s="2" t="s">
        <v>13189</v>
      </c>
      <c r="D165" s="8" t="s">
        <v>15747</v>
      </c>
      <c r="E165" s="4" t="str">
        <f ca="1">IFERROR(__xludf.DUMMYFUNCTION("GOOGLETRANSLATE(B165,""ja"",""vi"")"),"hoa nhân tạo")</f>
        <v>hoa nhân tạo</v>
      </c>
      <c r="F165" s="4" t="str">
        <f ca="1">IFERROR(__xludf.DUMMYFUNCTION("GOOGLETRANSLATE(C165,""ja"",""vi"")"),"Đấu giá&gt; hoa, làm vườn&gt; cây trang trí&gt; hoa giả")</f>
        <v>Đấu giá&gt; hoa, làm vườn&gt; cây trang trí&gt; hoa giả</v>
      </c>
      <c r="G165" t="str">
        <f t="shared" ca="1" si="2"/>
        <v>"2084006705" : "hoa nhân tạo",</v>
      </c>
    </row>
    <row r="166" spans="1:7" ht="14.25" customHeight="1">
      <c r="A166" s="2">
        <v>2084063283</v>
      </c>
      <c r="B166" s="2" t="s">
        <v>46</v>
      </c>
      <c r="C166" s="2" t="s">
        <v>13193</v>
      </c>
      <c r="D166" s="8" t="s">
        <v>15749</v>
      </c>
      <c r="E166" s="4" t="str">
        <f ca="1">IFERROR(__xludf.DUMMYFUNCTION("GOOGLETRANSLATE(B166,""ja"",""vi"")"),"nếu không thì")</f>
        <v>nếu không thì</v>
      </c>
      <c r="F166" s="4" t="str">
        <f ca="1">IFERROR(__xludf.DUMMYFUNCTION("GOOGLETRANSLATE(C166,""ja"",""vi"")"),"Đấu giá&gt; hoa, làm vườn&gt; cây trang trí&gt; Khác")</f>
        <v>Đấu giá&gt; hoa, làm vườn&gt; cây trang trí&gt; Khác</v>
      </c>
      <c r="G166" t="str">
        <f t="shared" ca="1" si="2"/>
        <v>"2084063283" : "nếu không thì",</v>
      </c>
    </row>
    <row r="167" spans="1:7" ht="14.25" customHeight="1">
      <c r="A167" s="2">
        <v>2084227133</v>
      </c>
      <c r="B167" s="2" t="s">
        <v>16618</v>
      </c>
      <c r="C167" s="2" t="s">
        <v>16619</v>
      </c>
      <c r="D167" s="2" t="s">
        <v>16620</v>
      </c>
      <c r="E167" s="4" t="str">
        <f ca="1">IFERROR(__xludf.DUMMYFUNCTION("GOOGLETRANSLATE(B167,""ja"",""vi"")"),"Hiratsukue")</f>
        <v>Hiratsukue</v>
      </c>
      <c r="F167" s="4" t="str">
        <f ca="1">IFERROR(__xludf.DUMMYFUNCTION("GOOGLETRANSLATE(C167,""ja"",""vi"")"),"Đấu giá&gt; Văn phòng, Cửa hàng cung cấp&gt; đồ nội thất văn phòng&gt; bàn&gt; Hiratsukue")</f>
        <v>Đấu giá&gt; Văn phòng, Cửa hàng cung cấp&gt; đồ nội thất văn phòng&gt; bàn&gt; Hiratsukue</v>
      </c>
      <c r="G167" t="str">
        <f t="shared" ca="1" si="2"/>
        <v>"2084227133" : "Hiratsukue",</v>
      </c>
    </row>
    <row r="168" spans="1:7" ht="14.25" customHeight="1">
      <c r="A168" s="2">
        <v>2084227131</v>
      </c>
      <c r="B168" s="2" t="s">
        <v>16623</v>
      </c>
      <c r="C168" s="2" t="s">
        <v>16624</v>
      </c>
      <c r="D168" s="2" t="s">
        <v>16625</v>
      </c>
      <c r="E168" s="4" t="str">
        <f ca="1">IFERROR(__xludf.DUMMYFUNCTION("GOOGLETRANSLATE(B168,""ja"",""vi"")"),"mảnh tay áo")</f>
        <v>mảnh tay áo</v>
      </c>
      <c r="F168" s="4" t="str">
        <f ca="1">IFERROR(__xludf.DUMMYFUNCTION("GOOGLETRANSLATE(C168,""ja"",""vi"")"),"Đấu giá&gt; Văn phòng, Cửa hàng cung cấp&gt; đồ nội thất văn phòng&gt; bàn&gt; mảnh tay áo")</f>
        <v>Đấu giá&gt; Văn phòng, Cửa hàng cung cấp&gt; đồ nội thất văn phòng&gt; bàn&gt; mảnh tay áo</v>
      </c>
      <c r="G168" t="str">
        <f t="shared" ca="1" si="2"/>
        <v>"2084227131" : "mảnh tay áo",</v>
      </c>
    </row>
    <row r="169" spans="1:7" ht="14.25" customHeight="1">
      <c r="A169" s="2">
        <v>2084227132</v>
      </c>
      <c r="B169" s="2" t="s">
        <v>16629</v>
      </c>
      <c r="C169" s="2" t="s">
        <v>16631</v>
      </c>
      <c r="D169" s="2" t="s">
        <v>16632</v>
      </c>
      <c r="E169" s="4" t="str">
        <f ca="1">IFERROR(__xludf.DUMMYFUNCTION("GOOGLETRANSLATE(B169,""ja"",""vi"")"),"cả hai tay áo")</f>
        <v>cả hai tay áo</v>
      </c>
      <c r="F169" s="4" t="str">
        <f ca="1">IFERROR(__xludf.DUMMYFUNCTION("GOOGLETRANSLATE(C169,""ja"",""vi"")"),"Đấu giá&gt; vật tư văn phòng, cửa hàng&gt; đồ nội thất văn phòng&gt; bàn&gt; cả hai tay áo")</f>
        <v>Đấu giá&gt; vật tư văn phòng, cửa hàng&gt; đồ nội thất văn phòng&gt; bàn&gt; cả hai tay áo</v>
      </c>
      <c r="G169" t="str">
        <f t="shared" ca="1" si="2"/>
        <v>"2084227132" : "cả hai tay áo",</v>
      </c>
    </row>
    <row r="170" spans="1:7" ht="14.25" customHeight="1">
      <c r="A170" s="2">
        <v>2084227134</v>
      </c>
      <c r="B170" s="2" t="s">
        <v>16635</v>
      </c>
      <c r="C170" s="2" t="s">
        <v>16637</v>
      </c>
      <c r="D170" s="2" t="s">
        <v>16638</v>
      </c>
      <c r="E170" s="4" t="str">
        <f ca="1">IFERROR(__xludf.DUMMYFUNCTION("GOOGLETRANSLATE(B170,""ja"",""vi"")"),"Wakitsukue, tay áo bàn")</f>
        <v>Wakitsukue, tay áo bàn</v>
      </c>
      <c r="F170" s="4" t="str">
        <f ca="1">IFERROR(__xludf.DUMMYFUNCTION("GOOGLETRANSLATE(C170,""ja"",""vi"")"),"Đấu giá&gt; Văn phòng, Cửa hàng cung cấp&gt; đồ nội thất văn phòng&gt; bàn&gt; Wakitsukue, tay áo bàn")</f>
        <v>Đấu giá&gt; Văn phòng, Cửa hàng cung cấp&gt; đồ nội thất văn phòng&gt; bàn&gt; Wakitsukue, tay áo bàn</v>
      </c>
      <c r="G170" t="str">
        <f t="shared" ca="1" si="2"/>
        <v>"2084227134" : "Wakitsukue, tay áo bàn",</v>
      </c>
    </row>
    <row r="171" spans="1:7" ht="14.25" customHeight="1">
      <c r="A171" s="2">
        <v>22956</v>
      </c>
      <c r="B171" s="2" t="s">
        <v>8341</v>
      </c>
      <c r="C171" s="2" t="s">
        <v>16642</v>
      </c>
      <c r="D171" s="2" t="s">
        <v>16643</v>
      </c>
      <c r="E171" s="4" t="str">
        <f ca="1">IFERROR(__xludf.DUMMYFUNCTION("GOOGLETRANSLATE(B171,""ja"",""vi"")"),"bàn")</f>
        <v>bàn</v>
      </c>
      <c r="F171" s="4" t="str">
        <f ca="1">IFERROR(__xludf.DUMMYFUNCTION("GOOGLETRANSLATE(C171,""ja"",""vi"")"),"Đấu giá&gt; Văn phòng, Cửa hàng cung cấp&gt; đồ nội thất văn phòng&gt; bàn&gt; bảng")</f>
        <v>Đấu giá&gt; Văn phòng, Cửa hàng cung cấp&gt; đồ nội thất văn phòng&gt; bàn&gt; bảng</v>
      </c>
      <c r="G171" t="str">
        <f t="shared" ca="1" si="2"/>
        <v>"22956" : "bàn",</v>
      </c>
    </row>
    <row r="172" spans="1:7" ht="14.25" customHeight="1">
      <c r="A172" s="2">
        <v>2084063570</v>
      </c>
      <c r="B172" s="2" t="s">
        <v>16646</v>
      </c>
      <c r="C172" s="2" t="s">
        <v>16648</v>
      </c>
      <c r="D172" s="2" t="s">
        <v>16650</v>
      </c>
      <c r="E172" s="4" t="str">
        <f ca="1">IFERROR(__xludf.DUMMYFUNCTION("GOOGLETRANSLATE(B172,""ja"",""vi"")"),"Đứng, tựa loại")</f>
        <v>Đứng, tựa loại</v>
      </c>
      <c r="F172" s="4" t="str">
        <f ca="1">IFERROR(__xludf.DUMMYFUNCTION("GOOGLETRANSLATE(C172,""ja"",""vi"")"),"Đấu giá&gt; nhà, nội thất&gt; nội thất, nội thất&gt; Nội thất Phụ kiện&gt; khung ảnh&gt; đứng, tựa loại")</f>
        <v>Đấu giá&gt; nhà, nội thất&gt; nội thất, nội thất&gt; Nội thất Phụ kiện&gt; khung ảnh&gt; đứng, tựa loại</v>
      </c>
      <c r="G172" t="str">
        <f t="shared" ca="1" si="2"/>
        <v>"2084063570" : "Đứng, tựa loại",</v>
      </c>
    </row>
    <row r="173" spans="1:7" ht="14.25" customHeight="1">
      <c r="A173" s="2">
        <v>2084231456</v>
      </c>
      <c r="B173" s="2" t="s">
        <v>2723</v>
      </c>
      <c r="C173" s="2" t="s">
        <v>16654</v>
      </c>
      <c r="D173" s="2" t="s">
        <v>16658</v>
      </c>
      <c r="E173" s="4" t="str">
        <f ca="1">IFERROR(__xludf.DUMMYFUNCTION("GOOGLETRANSLATE(B173,""ja"",""vi"")"),"Ảnh kỹ thuật số Khung")</f>
        <v>Ảnh kỹ thuật số Khung</v>
      </c>
      <c r="F173" s="4" t="str">
        <f ca="1">IFERROR(__xludf.DUMMYFUNCTION("GOOGLETRANSLATE(C173,""ja"",""vi"")"),"Đấu giá&gt; nhà, nội thất&gt; nội thất, nội thất&gt; Nội thất Phụ kiện&gt; khung ảnh&gt; khung ảnh kỹ thuật số")</f>
        <v>Đấu giá&gt; nhà, nội thất&gt; nội thất, nội thất&gt; Nội thất Phụ kiện&gt; khung ảnh&gt; khung ảnh kỹ thuật số</v>
      </c>
      <c r="G173" t="str">
        <f t="shared" ca="1" si="2"/>
        <v>"2084231456" : "Ảnh kỹ thuật số Khung",</v>
      </c>
    </row>
    <row r="174" spans="1:7" ht="14.25" customHeight="1">
      <c r="A174" s="2">
        <v>2084063569</v>
      </c>
      <c r="B174" s="2" t="s">
        <v>16404</v>
      </c>
      <c r="C174" s="2" t="s">
        <v>16661</v>
      </c>
      <c r="D174" s="2" t="s">
        <v>16662</v>
      </c>
      <c r="E174" s="4" t="str">
        <f ca="1">IFERROR(__xludf.DUMMYFUNCTION("GOOGLETRANSLATE(B174,""ja"",""vi"")"),"Treo tường")</f>
        <v>Treo tường</v>
      </c>
      <c r="F174" s="4" t="str">
        <f ca="1">IFERROR(__xludf.DUMMYFUNCTION("GOOGLETRANSLATE(C174,""ja"",""vi"")"),"Đấu giá&gt; nhà, nội thất&gt; nội thất, nội thất&gt; Nội thất Phụ kiện&gt; khung ảnh&gt; treo tường")</f>
        <v>Đấu giá&gt; nhà, nội thất&gt; nội thất, nội thất&gt; Nội thất Phụ kiện&gt; khung ảnh&gt; treo tường</v>
      </c>
      <c r="G174" t="str">
        <f t="shared" ca="1" si="2"/>
        <v>"2084063569" : "Treo tường",</v>
      </c>
    </row>
    <row r="175" spans="1:7" ht="14.25" customHeight="1">
      <c r="A175" s="2">
        <v>2084063576</v>
      </c>
      <c r="B175" s="2" t="s">
        <v>46</v>
      </c>
      <c r="C175" s="2" t="s">
        <v>16670</v>
      </c>
      <c r="D175" s="2" t="s">
        <v>16671</v>
      </c>
      <c r="E175" s="4" t="str">
        <f ca="1">IFERROR(__xludf.DUMMYFUNCTION("GOOGLETRANSLATE(B175,""ja"",""vi"")"),"nếu không thì")</f>
        <v>nếu không thì</v>
      </c>
      <c r="F175" s="4" t="str">
        <f ca="1">IFERROR(__xludf.DUMMYFUNCTION("GOOGLETRANSLATE(C175,""ja"",""vi"")"),"Đấu giá&gt; nhà, nội thất&gt; nội thất, nội thất&gt; Nội thất Phụ kiện&gt; Khung ảnh&gt; Khác")</f>
        <v>Đấu giá&gt; nhà, nội thất&gt; nội thất, nội thất&gt; Nội thất Phụ kiện&gt; Khung ảnh&gt; Khác</v>
      </c>
      <c r="G175" t="str">
        <f t="shared" ca="1" si="2"/>
        <v>"2084063576" : "nếu không thì",</v>
      </c>
    </row>
    <row r="176" spans="1:7" ht="14.25" customHeight="1">
      <c r="A176" s="2">
        <v>2084063002</v>
      </c>
      <c r="B176" s="2" t="s">
        <v>16677</v>
      </c>
      <c r="C176" s="2" t="s">
        <v>16678</v>
      </c>
      <c r="D176" s="2" t="s">
        <v>16679</v>
      </c>
      <c r="E176" s="4" t="str">
        <f ca="1">IFERROR(__xludf.DUMMYFUNCTION("GOOGLETRANSLATE(B176,""ja"",""vi"")"),"niêm phong")</f>
        <v>niêm phong</v>
      </c>
      <c r="F176" s="4" t="str">
        <f ca="1">IFERROR(__xludf.DUMMYFUNCTION("GOOGLETRANSLATE(C176,""ja"",""vi"")"),"Đấu giá&gt; Văn phòng, Cửa hàng cung cấp&gt; văn phòng phẩm&gt; con dấu, tem&gt; con dấu")</f>
        <v>Đấu giá&gt; Văn phòng, Cửa hàng cung cấp&gt; văn phòng phẩm&gt; con dấu, tem&gt; con dấu</v>
      </c>
      <c r="G176" t="str">
        <f t="shared" ca="1" si="2"/>
        <v>"2084063002" : "niêm phong",</v>
      </c>
    </row>
    <row r="177" spans="1:7" ht="14.25" customHeight="1">
      <c r="A177" s="2">
        <v>2084063003</v>
      </c>
      <c r="B177" s="2" t="s">
        <v>16683</v>
      </c>
      <c r="C177" s="2" t="s">
        <v>16684</v>
      </c>
      <c r="D177" s="2" t="s">
        <v>16685</v>
      </c>
      <c r="E177" s="4" t="str">
        <f ca="1">IFERROR(__xludf.DUMMYFUNCTION("GOOGLETRANSLATE(B177,""ja"",""vi"")"),"tem mực")</f>
        <v>tem mực</v>
      </c>
      <c r="F177" s="4" t="str">
        <f ca="1">IFERROR(__xludf.DUMMYFUNCTION("GOOGLETRANSLATE(C177,""ja"",""vi"")"),"Đấu giá&gt; Văn phòng, Cửa hàng cung cấp&gt; văn phòng phẩm&gt; con dấu, tem&gt; đánh dấu sự thâm nhập")</f>
        <v>Đấu giá&gt; Văn phòng, Cửa hàng cung cấp&gt; văn phòng phẩm&gt; con dấu, tem&gt; đánh dấu sự thâm nhập</v>
      </c>
      <c r="G177" t="str">
        <f t="shared" ca="1" si="2"/>
        <v>"2084063003" : "tem mực",</v>
      </c>
    </row>
    <row r="178" spans="1:7" ht="14.25" customHeight="1">
      <c r="A178" s="2">
        <v>2084063006</v>
      </c>
      <c r="B178" s="2" t="s">
        <v>16692</v>
      </c>
      <c r="C178" s="2" t="s">
        <v>16693</v>
      </c>
      <c r="D178" s="2" t="s">
        <v>16694</v>
      </c>
      <c r="E178" s="4" t="str">
        <f ca="1">IFERROR(__xludf.DUMMYFUNCTION("GOOGLETRANSLATE(B178,""ja"",""vi"")"),"tem")</f>
        <v>tem</v>
      </c>
      <c r="F178" s="4" t="str">
        <f ca="1">IFERROR(__xludf.DUMMYFUNCTION("GOOGLETRANSLATE(C178,""ja"",""vi"")"),"Đấu giá&gt; Văn phòng, Cửa hàng cung cấp&gt; văn phòng phẩm&gt; con dấu, tem&gt; tem")</f>
        <v>Đấu giá&gt; Văn phòng, Cửa hàng cung cấp&gt; văn phòng phẩm&gt; con dấu, tem&gt; tem</v>
      </c>
      <c r="G178" t="str">
        <f t="shared" ca="1" si="2"/>
        <v>"2084063006" : "tem",</v>
      </c>
    </row>
    <row r="179" spans="1:7" ht="14.25" customHeight="1">
      <c r="A179" s="2">
        <v>2084063004</v>
      </c>
      <c r="B179" s="2" t="s">
        <v>16697</v>
      </c>
      <c r="C179" s="2" t="s">
        <v>16700</v>
      </c>
      <c r="D179" s="2" t="s">
        <v>16702</v>
      </c>
      <c r="E179" s="4" t="str">
        <f ca="1">IFERROR(__xludf.DUMMYFUNCTION("GOOGLETRANSLATE(B179,""ja"",""vi"")"),"trường hợp Seal")</f>
        <v>trường hợp Seal</v>
      </c>
      <c r="F179" s="4" t="str">
        <f ca="1">IFERROR(__xludf.DUMMYFUNCTION("GOOGLETRANSLATE(C179,""ja"",""vi"")"),"Đấu giá&gt; Văn phòng, Cửa hàng cung cấp&gt; văn phòng phẩm&gt; con dấu, tem&gt; trường hợp con dấu")</f>
        <v>Đấu giá&gt; Văn phòng, Cửa hàng cung cấp&gt; văn phòng phẩm&gt; con dấu, tem&gt; trường hợp con dấu</v>
      </c>
      <c r="G179" t="str">
        <f t="shared" ca="1" si="2"/>
        <v>"2084063004" : "trường hợp Seal",</v>
      </c>
    </row>
    <row r="180" spans="1:7" ht="14.25" customHeight="1">
      <c r="A180" s="2">
        <v>2084063005</v>
      </c>
      <c r="B180" s="2" t="s">
        <v>16706</v>
      </c>
      <c r="C180" s="2" t="s">
        <v>16707</v>
      </c>
      <c r="D180" s="2" t="s">
        <v>16709</v>
      </c>
      <c r="E180" s="4" t="str">
        <f ca="1">IFERROR(__xludf.DUMMYFUNCTION("GOOGLETRANSLATE(B180,""ja"",""vi"")"),"chứng khoán Seal")</f>
        <v>chứng khoán Seal</v>
      </c>
      <c r="F180" s="4" t="str">
        <f ca="1">IFERROR(__xludf.DUMMYFUNCTION("GOOGLETRANSLATE(C180,""ja"",""vi"")"),"Đấu giá&gt; Văn phòng, Cửa hàng cung cấp&gt; văn phòng phẩm&gt; con dấu, tem&gt; nguyên tem")</f>
        <v>Đấu giá&gt; Văn phòng, Cửa hàng cung cấp&gt; văn phòng phẩm&gt; con dấu, tem&gt; nguyên tem</v>
      </c>
      <c r="G180" t="str">
        <f t="shared" ca="1" si="2"/>
        <v>"2084063005" : "chứng khoán Seal",</v>
      </c>
    </row>
    <row r="181" spans="1:7" ht="14.25" customHeight="1">
      <c r="A181" s="2">
        <v>2084063007</v>
      </c>
      <c r="B181" s="2" t="s">
        <v>46</v>
      </c>
      <c r="C181" s="2" t="s">
        <v>16715</v>
      </c>
      <c r="D181" s="2" t="s">
        <v>16716</v>
      </c>
      <c r="E181" s="4" t="str">
        <f ca="1">IFERROR(__xludf.DUMMYFUNCTION("GOOGLETRANSLATE(B181,""ja"",""vi"")"),"nếu không thì")</f>
        <v>nếu không thì</v>
      </c>
      <c r="F181" s="4" t="str">
        <f ca="1">IFERROR(__xludf.DUMMYFUNCTION("GOOGLETRANSLATE(C181,""ja"",""vi"")"),"Đấu giá&gt; vật tư văn phòng, cửa hàng&gt; văn phòng phẩm&gt; con dấu, tem&gt; Khác")</f>
        <v>Đấu giá&gt; vật tư văn phòng, cửa hàng&gt; văn phòng phẩm&gt; con dấu, tem&gt; Khác</v>
      </c>
      <c r="G181" t="str">
        <f t="shared" ca="1" si="2"/>
        <v>"2084063007" : "nếu không thì",</v>
      </c>
    </row>
    <row r="182" spans="1:7" ht="14.25" customHeight="1">
      <c r="A182" s="2">
        <v>2084063309</v>
      </c>
      <c r="B182" s="2" t="s">
        <v>7132</v>
      </c>
      <c r="C182" s="2" t="s">
        <v>16719</v>
      </c>
      <c r="D182" s="2" t="s">
        <v>16720</v>
      </c>
      <c r="E182" s="4" t="str">
        <f ca="1">IFERROR(__xludf.DUMMYFUNCTION("GOOGLETRANSLATE(B182,""ja"",""vi"")"),"kéo")</f>
        <v>kéo</v>
      </c>
      <c r="F182" s="4" t="str">
        <f ca="1">IFERROR(__xludf.DUMMYFUNCTION("GOOGLETRANSLATE(C182,""ja"",""vi"")"),"Đấu giá&gt; Văn phòng, Cửa hàng cung cấp&gt; văn phòng phẩm&gt; nguồn cung cấp cắt&gt; Kéo")</f>
        <v>Đấu giá&gt; Văn phòng, Cửa hàng cung cấp&gt; văn phòng phẩm&gt; nguồn cung cấp cắt&gt; Kéo</v>
      </c>
      <c r="G182" t="str">
        <f t="shared" ca="1" si="2"/>
        <v>"2084063309" : "kéo",</v>
      </c>
    </row>
    <row r="183" spans="1:7" ht="14.25" customHeight="1">
      <c r="A183" s="2">
        <v>2084063310</v>
      </c>
      <c r="B183" s="2" t="s">
        <v>7137</v>
      </c>
      <c r="C183" s="2" t="s">
        <v>16723</v>
      </c>
      <c r="D183" s="2" t="s">
        <v>16724</v>
      </c>
      <c r="E183" s="4" t="str">
        <f ca="1">IFERROR(__xludf.DUMMYFUNCTION("GOOGLETRANSLATE(B183,""ja"",""vi"")"),"dao cắt")</f>
        <v>dao cắt</v>
      </c>
      <c r="F183" s="4" t="str">
        <f ca="1">IFERROR(__xludf.DUMMYFUNCTION("GOOGLETRANSLATE(C183,""ja"",""vi"")"),"Đấu giá&gt; Văn phòng, Cửa hàng cung cấp&gt; văn phòng phẩm&gt; cắt nguồn cung cấp&gt; dao cắt")</f>
        <v>Đấu giá&gt; Văn phòng, Cửa hàng cung cấp&gt; văn phòng phẩm&gt; cắt nguồn cung cấp&gt; dao cắt</v>
      </c>
      <c r="G183" t="str">
        <f t="shared" ca="1" si="2"/>
        <v>"2084063310" : "dao cắt",</v>
      </c>
    </row>
    <row r="184" spans="1:7" ht="14.25" customHeight="1">
      <c r="A184" s="2">
        <v>2084226756</v>
      </c>
      <c r="B184" s="2" t="s">
        <v>16728</v>
      </c>
      <c r="C184" s="2" t="s">
        <v>16729</v>
      </c>
      <c r="D184" s="2" t="s">
        <v>16730</v>
      </c>
      <c r="E184" s="4" t="str">
        <f ca="1">IFERROR(__xludf.DUMMYFUNCTION("GOOGLETRANSLATE(B184,""ja"",""vi"")"),"dao cắt giấy")</f>
        <v>dao cắt giấy</v>
      </c>
      <c r="F184" s="4" t="str">
        <f ca="1">IFERROR(__xludf.DUMMYFUNCTION("GOOGLETRANSLATE(C184,""ja"",""vi"")"),"Đấu giá&gt; Văn phòng, Cửa hàng cung cấp&gt; văn phòng phẩm&gt; cắt nguồn cung cấp&gt; dao giấy")</f>
        <v>Đấu giá&gt; Văn phòng, Cửa hàng cung cấp&gt; văn phòng phẩm&gt; cắt nguồn cung cấp&gt; dao giấy</v>
      </c>
      <c r="G184" t="str">
        <f t="shared" ca="1" si="2"/>
        <v>"2084226756" : "dao cắt giấy",</v>
      </c>
    </row>
    <row r="185" spans="1:7" ht="14.25" customHeight="1">
      <c r="A185" s="2">
        <v>2084063311</v>
      </c>
      <c r="B185" s="2" t="s">
        <v>16734</v>
      </c>
      <c r="C185" s="2" t="s">
        <v>16735</v>
      </c>
      <c r="D185" s="2" t="s">
        <v>16737</v>
      </c>
      <c r="E185" s="4" t="str">
        <f ca="1">IFERROR(__xludf.DUMMYFUNCTION("GOOGLETRANSLATE(B185,""ja"",""vi"")"),"máy cắt")</f>
        <v>máy cắt</v>
      </c>
      <c r="F185" s="4" t="str">
        <f ca="1">IFERROR(__xludf.DUMMYFUNCTION("GOOGLETRANSLATE(C185,""ja"",""vi"")"),"Đấu giá&gt; Văn phòng, Cửa hàng cung cấp&gt; văn phòng phẩm&gt; cắt nguồn cung cấp&gt; cắt")</f>
        <v>Đấu giá&gt; Văn phòng, Cửa hàng cung cấp&gt; văn phòng phẩm&gt; cắt nguồn cung cấp&gt; cắt</v>
      </c>
      <c r="G185" t="str">
        <f t="shared" ca="1" si="2"/>
        <v>"2084063311" : "máy cắt",</v>
      </c>
    </row>
    <row r="186" spans="1:7" ht="14.25" customHeight="1">
      <c r="A186" s="2">
        <v>2084062310</v>
      </c>
      <c r="B186" s="2" t="s">
        <v>1806</v>
      </c>
      <c r="C186" s="2" t="s">
        <v>4573</v>
      </c>
      <c r="D186" s="2" t="s">
        <v>16498</v>
      </c>
      <c r="E186" s="4" t="str">
        <f ca="1">IFERROR(__xludf.DUMMYFUNCTION("GOOGLETRANSLATE(B186,""ja"",""vi"")"),"Casio")</f>
        <v>Casio</v>
      </c>
      <c r="F186" s="4" t="str">
        <f ca="1">IFERROR(__xludf.DUMMYFUNCTION("GOOGLETRANSLATE(C186,""ja"",""vi"")"),"Đấu giá&gt; vật tư văn phòng, cửa hàng&gt; thiết bị OA&gt; Từ điển điện tử&gt; Casio")</f>
        <v>Đấu giá&gt; vật tư văn phòng, cửa hàng&gt; thiết bị OA&gt; Từ điển điện tử&gt; Casio</v>
      </c>
      <c r="G186" t="str">
        <f t="shared" ca="1" si="2"/>
        <v>"2084062310" : "Casio",</v>
      </c>
    </row>
    <row r="187" spans="1:7" ht="14.25" customHeight="1">
      <c r="A187" s="2">
        <v>2084062313</v>
      </c>
      <c r="B187" s="2" t="s">
        <v>2031</v>
      </c>
      <c r="C187" s="2" t="s">
        <v>4580</v>
      </c>
      <c r="D187" s="2" t="s">
        <v>16500</v>
      </c>
      <c r="E187" s="4" t="str">
        <f ca="1">IFERROR(__xludf.DUMMYFUNCTION("GOOGLETRANSLATE(B187,""ja"",""vi"")"),"Canon")</f>
        <v>Canon</v>
      </c>
      <c r="F187" s="4" t="str">
        <f ca="1">IFERROR(__xludf.DUMMYFUNCTION("GOOGLETRANSLATE(C187,""ja"",""vi"")"),"Đấu giá&gt; vật tư văn phòng, cửa hàng&gt; thiết bị OA&gt; Từ điển điện tử&gt; Canon")</f>
        <v>Đấu giá&gt; vật tư văn phòng, cửa hàng&gt; thiết bị OA&gt; Từ điển điện tử&gt; Canon</v>
      </c>
      <c r="G187" t="str">
        <f t="shared" ca="1" si="2"/>
        <v>"2084062313" : "Canon",</v>
      </c>
    </row>
    <row r="188" spans="1:7" ht="14.25" customHeight="1">
      <c r="A188" s="2">
        <v>2084062315</v>
      </c>
      <c r="B188" s="2" t="s">
        <v>4583</v>
      </c>
      <c r="C188" s="2" t="s">
        <v>4585</v>
      </c>
      <c r="D188" s="2" t="s">
        <v>16503</v>
      </c>
      <c r="E188" s="4" t="str">
        <f ca="1">IFERROR(__xludf.DUMMYFUNCTION("GOOGLETRANSLATE(B188,""ja"",""vi"")"),"công dân")</f>
        <v>công dân</v>
      </c>
      <c r="F188" s="4" t="str">
        <f ca="1">IFERROR(__xludf.DUMMYFUNCTION("GOOGLETRANSLATE(C188,""ja"",""vi"")"),"Đấu giá&gt; vật tư văn phòng, cửa hàng&gt; thiết bị OA&gt; Từ điển điện tử&gt; Citizen")</f>
        <v>Đấu giá&gt; vật tư văn phòng, cửa hàng&gt; thiết bị OA&gt; Từ điển điện tử&gt; Citizen</v>
      </c>
      <c r="G188" t="str">
        <f t="shared" ca="1" si="2"/>
        <v>"2084062315" : "công dân",</v>
      </c>
    </row>
    <row r="189" spans="1:7" ht="14.25" customHeight="1">
      <c r="A189" s="2">
        <v>2084062311</v>
      </c>
      <c r="B189" s="2" t="s">
        <v>1731</v>
      </c>
      <c r="C189" s="2" t="s">
        <v>4590</v>
      </c>
      <c r="D189" s="2" t="s">
        <v>16505</v>
      </c>
      <c r="E189" s="4" t="str">
        <f ca="1">IFERROR(__xludf.DUMMYFUNCTION("GOOGLETRANSLATE(B189,""ja"",""vi"")"),"nhọn")</f>
        <v>nhọn</v>
      </c>
      <c r="F189" s="4" t="str">
        <f ca="1">IFERROR(__xludf.DUMMYFUNCTION("GOOGLETRANSLATE(C189,""ja"",""vi"")"),"Đấu giá&gt; vật tư văn phòng, cửa hàng&gt; thiết bị OA&gt; Từ điển điện tử&gt; sắc nét")</f>
        <v>Đấu giá&gt; vật tư văn phòng, cửa hàng&gt; thiết bị OA&gt; Từ điển điện tử&gt; sắc nét</v>
      </c>
      <c r="G189" t="str">
        <f t="shared" ca="1" si="2"/>
        <v>"2084062311" : "nhọn",</v>
      </c>
    </row>
    <row r="190" spans="1:7" ht="14.25" customHeight="1">
      <c r="A190" s="2">
        <v>2084062312</v>
      </c>
      <c r="B190" s="2" t="s">
        <v>4283</v>
      </c>
      <c r="C190" s="2" t="s">
        <v>4594</v>
      </c>
      <c r="D190" s="2" t="s">
        <v>16508</v>
      </c>
      <c r="E190" s="4" t="str">
        <f ca="1">IFERROR(__xludf.DUMMYFUNCTION("GOOGLETRANSLATE(B190,""ja"",""vi"")"),"Seiko")</f>
        <v>Seiko</v>
      </c>
      <c r="F190" s="4" t="str">
        <f ca="1">IFERROR(__xludf.DUMMYFUNCTION("GOOGLETRANSLATE(C190,""ja"",""vi"")"),"Đấu giá&gt; vật tư văn phòng, cửa hàng&gt; thiết bị OA&gt; Từ điển điện tử&gt; Seiko")</f>
        <v>Đấu giá&gt; vật tư văn phòng, cửa hàng&gt; thiết bị OA&gt; Từ điển điện tử&gt; Seiko</v>
      </c>
      <c r="G190" t="str">
        <f t="shared" ca="1" si="2"/>
        <v>"2084062312" : "Seiko",</v>
      </c>
    </row>
    <row r="191" spans="1:7" ht="14.25" customHeight="1">
      <c r="A191" s="2">
        <v>2084062309</v>
      </c>
      <c r="B191" s="2" t="s">
        <v>1738</v>
      </c>
      <c r="C191" s="2" t="s">
        <v>4600</v>
      </c>
      <c r="D191" s="2" t="s">
        <v>16511</v>
      </c>
      <c r="E191" s="4" t="str">
        <f ca="1">IFERROR(__xludf.DUMMYFUNCTION("GOOGLETRANSLATE(B191,""ja"",""vi"")"),"Sony")</f>
        <v>Sony</v>
      </c>
      <c r="F191" s="4" t="str">
        <f ca="1">IFERROR(__xludf.DUMMYFUNCTION("GOOGLETRANSLATE(C191,""ja"",""vi"")"),"Đấu giá&gt; vật tư văn phòng, cửa hàng&gt; thiết bị OA&gt; Từ điển điện tử&gt; Sony")</f>
        <v>Đấu giá&gt; vật tư văn phòng, cửa hàng&gt; thiết bị OA&gt; Từ điển điện tử&gt; Sony</v>
      </c>
      <c r="G191" t="str">
        <f t="shared" ca="1" si="2"/>
        <v>"2084062309" : "Sony",</v>
      </c>
    </row>
    <row r="192" spans="1:7" ht="14.25" customHeight="1">
      <c r="A192" s="2">
        <v>2084062314</v>
      </c>
      <c r="B192" s="2" t="s">
        <v>46</v>
      </c>
      <c r="C192" s="2" t="s">
        <v>4604</v>
      </c>
      <c r="D192" s="2" t="s">
        <v>16513</v>
      </c>
      <c r="E192" s="4" t="str">
        <f ca="1">IFERROR(__xludf.DUMMYFUNCTION("GOOGLETRANSLATE(B192,""ja"",""vi"")"),"nếu không thì")</f>
        <v>nếu không thì</v>
      </c>
      <c r="F192" s="4" t="str">
        <f ca="1">IFERROR(__xludf.DUMMYFUNCTION("GOOGLETRANSLATE(C192,""ja"",""vi"")"),"Đấu giá&gt; vật tư văn phòng, cửa hàng&gt; thiết bị OA&gt; Từ điển điện tử&gt; Khác")</f>
        <v>Đấu giá&gt; vật tư văn phòng, cửa hàng&gt; thiết bị OA&gt; Từ điển điện tử&gt; Khác</v>
      </c>
      <c r="G192" t="str">
        <f t="shared" ca="1" si="2"/>
        <v>"2084062314" : "nếu không thì",</v>
      </c>
    </row>
    <row r="193" spans="1:7" ht="14.25" hidden="1" customHeight="1">
      <c r="E193" s="4" t="str">
        <f ca="1">IFERROR(__xludf.DUMMYFUNCTION("GOOGLETRANSLATE(B193,""ja"",""vi"")"),"#VALUE!")</f>
        <v>#VALUE!</v>
      </c>
      <c r="F193" s="4" t="str">
        <f ca="1">IFERROR(__xludf.DUMMYFUNCTION("GOOGLETRANSLATE(C193,""ja"",""vi"")"),"#VALUE!")</f>
        <v>#VALUE!</v>
      </c>
      <c r="G193" t="str">
        <f t="shared" ca="1" si="2"/>
        <v>"" : "#VALUE!",</v>
      </c>
    </row>
    <row r="194" spans="1:7" ht="14.25" hidden="1" customHeight="1">
      <c r="A194" s="3">
        <v>23878</v>
      </c>
      <c r="B194" s="10"/>
      <c r="C194" s="10"/>
      <c r="D194" s="10"/>
      <c r="E194" s="4" t="str">
        <f ca="1">IFERROR(__xludf.DUMMYFUNCTION("GOOGLETRANSLATE(B194,""ja"",""vi"")"),"#VALUE!")</f>
        <v>#VALUE!</v>
      </c>
      <c r="F194" s="4" t="str">
        <f ca="1">IFERROR(__xludf.DUMMYFUNCTION("GOOGLETRANSLATE(C194,""ja"",""vi"")"),"#VALUE!")</f>
        <v>#VALUE!</v>
      </c>
      <c r="G194" t="str">
        <f t="shared" ca="1" si="2"/>
        <v>"23878" : "#VALUE!",</v>
      </c>
    </row>
    <row r="195" spans="1:7" ht="14.25" customHeight="1">
      <c r="A195" s="11">
        <v>2084239841</v>
      </c>
      <c r="B195" s="11" t="s">
        <v>4608</v>
      </c>
      <c r="C195" s="11" t="s">
        <v>4611</v>
      </c>
      <c r="D195" s="11" t="s">
        <v>16515</v>
      </c>
      <c r="E195" s="4" t="str">
        <f ca="1">IFERROR(__xludf.DUMMYFUNCTION("GOOGLETRANSLATE(B195,""ja"",""vi"")"),"Amadana")</f>
        <v>Amadana</v>
      </c>
      <c r="F195" s="4" t="str">
        <f ca="1">IFERROR(__xludf.DUMMYFUNCTION("GOOGLETRANSLATE(C195,""ja"",""vi"")"),"Đấu giá&gt; Văn phòng, Cửa hàng cung cấp&gt; thiết bị OA&gt; Máy tính&gt; amadana")</f>
        <v>Đấu giá&gt; Văn phòng, Cửa hàng cung cấp&gt; thiết bị OA&gt; Máy tính&gt; amadana</v>
      </c>
      <c r="G195" t="str">
        <f t="shared" ref="G195:G258" ca="1" si="3">CONCATENATE(CHAR(34)&amp;"",A195,""&amp;CHAR(34)," : ", CHAR(34)&amp;"",E195,""&amp;CHAR(34),",")</f>
        <v>"2084239841" : "Amadana",</v>
      </c>
    </row>
    <row r="196" spans="1:7" ht="14.25" customHeight="1">
      <c r="A196" s="2">
        <v>2084239839</v>
      </c>
      <c r="B196" s="2" t="s">
        <v>1806</v>
      </c>
      <c r="C196" s="2" t="s">
        <v>4616</v>
      </c>
      <c r="D196" s="2" t="s">
        <v>16518</v>
      </c>
      <c r="E196" s="4" t="str">
        <f ca="1">IFERROR(__xludf.DUMMYFUNCTION("GOOGLETRANSLATE(B196,""ja"",""vi"")"),"Casio")</f>
        <v>Casio</v>
      </c>
      <c r="F196" s="4" t="str">
        <f ca="1">IFERROR(__xludf.DUMMYFUNCTION("GOOGLETRANSLATE(C196,""ja"",""vi"")"),"Đấu giá&gt; Văn phòng, Cửa hàng cung cấp&gt; thiết bị OA&gt; Máy tính&gt; Casio")</f>
        <v>Đấu giá&gt; Văn phòng, Cửa hàng cung cấp&gt; thiết bị OA&gt; Máy tính&gt; Casio</v>
      </c>
      <c r="G196" t="str">
        <f t="shared" ca="1" si="3"/>
        <v>"2084239839" : "Casio",</v>
      </c>
    </row>
    <row r="197" spans="1:7" ht="14.25" customHeight="1">
      <c r="A197" s="2">
        <v>2084239840</v>
      </c>
      <c r="B197" s="2" t="s">
        <v>4583</v>
      </c>
      <c r="C197" s="2" t="s">
        <v>4620</v>
      </c>
      <c r="D197" s="2" t="s">
        <v>16520</v>
      </c>
      <c r="E197" s="4" t="str">
        <f ca="1">IFERROR(__xludf.DUMMYFUNCTION("GOOGLETRANSLATE(B197,""ja"",""vi"")"),"công dân")</f>
        <v>công dân</v>
      </c>
      <c r="F197" s="4" t="str">
        <f ca="1">IFERROR(__xludf.DUMMYFUNCTION("GOOGLETRANSLATE(C197,""ja"",""vi"")"),"Đấu giá&gt; Văn phòng, Cửa hàng cung cấp&gt; thiết bị OA&gt; Máy tính&gt; Citizen")</f>
        <v>Đấu giá&gt; Văn phòng, Cửa hàng cung cấp&gt; thiết bị OA&gt; Máy tính&gt; Citizen</v>
      </c>
      <c r="G197" t="str">
        <f t="shared" ca="1" si="3"/>
        <v>"2084239840" : "công dân",</v>
      </c>
    </row>
    <row r="198" spans="1:7" ht="14.25" customHeight="1">
      <c r="A198" s="2">
        <v>2084239838</v>
      </c>
      <c r="B198" s="2" t="s">
        <v>1731</v>
      </c>
      <c r="C198" s="2" t="s">
        <v>4623</v>
      </c>
      <c r="D198" s="2" t="s">
        <v>16522</v>
      </c>
      <c r="E198" s="4" t="str">
        <f ca="1">IFERROR(__xludf.DUMMYFUNCTION("GOOGLETRANSLATE(B198,""ja"",""vi"")"),"nhọn")</f>
        <v>nhọn</v>
      </c>
      <c r="F198" s="4" t="str">
        <f ca="1">IFERROR(__xludf.DUMMYFUNCTION("GOOGLETRANSLATE(C198,""ja"",""vi"")"),"Đấu giá&gt; Văn phòng, Cửa hàng cung cấp&gt; thiết bị OA&gt; Máy tính&gt; sắc nét")</f>
        <v>Đấu giá&gt; Văn phòng, Cửa hàng cung cấp&gt; thiết bị OA&gt; Máy tính&gt; sắc nét</v>
      </c>
      <c r="G198" t="str">
        <f t="shared" ca="1" si="3"/>
        <v>"2084239838" : "nhọn",</v>
      </c>
    </row>
    <row r="199" spans="1:7" ht="14.25" customHeight="1">
      <c r="A199" s="2">
        <v>2084239842</v>
      </c>
      <c r="B199" s="2" t="s">
        <v>46</v>
      </c>
      <c r="C199" s="2" t="s">
        <v>4627</v>
      </c>
      <c r="D199" s="2" t="s">
        <v>16524</v>
      </c>
      <c r="E199" s="4" t="str">
        <f ca="1">IFERROR(__xludf.DUMMYFUNCTION("GOOGLETRANSLATE(B199,""ja"",""vi"")"),"nếu không thì")</f>
        <v>nếu không thì</v>
      </c>
      <c r="F199" s="4" t="str">
        <f ca="1">IFERROR(__xludf.DUMMYFUNCTION("GOOGLETRANSLATE(C199,""ja"",""vi"")"),"Đấu giá&gt; Văn phòng, Cửa hàng cung cấp&gt; OA thiết bị&gt; Máy tính&gt; Khác")</f>
        <v>Đấu giá&gt; Văn phòng, Cửa hàng cung cấp&gt; OA thiết bị&gt; Máy tính&gt; Khác</v>
      </c>
      <c r="G199" t="str">
        <f t="shared" ca="1" si="3"/>
        <v>"2084239842" : "nếu không thì",</v>
      </c>
    </row>
    <row r="200" spans="1:7" ht="14.25" customHeight="1">
      <c r="A200" s="2">
        <v>2084063699</v>
      </c>
      <c r="B200" s="2" t="s">
        <v>16255</v>
      </c>
      <c r="C200" s="2" t="s">
        <v>16775</v>
      </c>
      <c r="D200" s="2" t="s">
        <v>16776</v>
      </c>
      <c r="E200" s="4" t="str">
        <f ca="1">IFERROR(__xludf.DUMMYFUNCTION("GOOGLETRANSLATE(B200,""ja"",""vi"")"),"người săn hải cẩu")</f>
        <v>người săn hải cẩu</v>
      </c>
      <c r="F200" s="4" t="str">
        <f ca="1">IFERROR(__xludf.DUMMYFUNCTION("GOOGLETRANSLATE(C200,""ja"",""vi"")"),"Đấu giá&gt; Văn phòng, Cửa hàng cung cấp&gt; bao bì, đóng gói&gt; nguồn cung cấp liên kết&gt; Sealer")</f>
        <v>Đấu giá&gt; Văn phòng, Cửa hàng cung cấp&gt; bao bì, đóng gói&gt; nguồn cung cấp liên kết&gt; Sealer</v>
      </c>
      <c r="G200" t="str">
        <f t="shared" ca="1" si="3"/>
        <v>"2084063699" : "người săn hải cẩu",</v>
      </c>
    </row>
    <row r="201" spans="1:7" ht="14.25" customHeight="1">
      <c r="A201" s="2">
        <v>2084063476</v>
      </c>
      <c r="B201" s="2" t="s">
        <v>16778</v>
      </c>
      <c r="C201" s="2" t="s">
        <v>16780</v>
      </c>
      <c r="D201" s="2" t="s">
        <v>16781</v>
      </c>
      <c r="E201" s="4" t="str">
        <f ca="1">IFERROR(__xludf.DUMMYFUNCTION("GOOGLETRANSLATE(B201,""ja"",""vi"")"),"niêm phong")</f>
        <v>niêm phong</v>
      </c>
      <c r="F201" s="4" t="str">
        <f ca="1">IFERROR(__xludf.DUMMYFUNCTION("GOOGLETRANSLATE(C201,""ja"",""vi"")"),"Đấu giá&gt; Văn phòng, Cửa hàng cung cấp&gt; bao bì, đóng gói&gt; nguồn cung cấp liên kết&gt; con dấu")</f>
        <v>Đấu giá&gt; Văn phòng, Cửa hàng cung cấp&gt; bao bì, đóng gói&gt; nguồn cung cấp liên kết&gt; con dấu</v>
      </c>
      <c r="G201" t="str">
        <f t="shared" ca="1" si="3"/>
        <v>"2084063476" : "niêm phong",</v>
      </c>
    </row>
    <row r="202" spans="1:7" ht="14.25" customHeight="1">
      <c r="A202" s="2">
        <v>2084063475</v>
      </c>
      <c r="B202" s="2" t="s">
        <v>16785</v>
      </c>
      <c r="C202" s="2" t="s">
        <v>16787</v>
      </c>
      <c r="D202" s="2" t="s">
        <v>16788</v>
      </c>
      <c r="E202" s="4" t="str">
        <f ca="1">IFERROR(__xludf.DUMMYFUNCTION("GOOGLETRANSLATE(B202,""ja"",""vi"")"),"băng keo")</f>
        <v>băng keo</v>
      </c>
      <c r="F202" s="4" t="str">
        <f ca="1">IFERROR(__xludf.DUMMYFUNCTION("GOOGLETRANSLATE(C202,""ja"",""vi"")"),"Đấu giá&gt; Văn phòng, Cửa hàng cung cấp&gt; bao bì, đóng gói&gt; nguồn cung cấp liên kết&gt; băng keo")</f>
        <v>Đấu giá&gt; Văn phòng, Cửa hàng cung cấp&gt; bao bì, đóng gói&gt; nguồn cung cấp liên kết&gt; băng keo</v>
      </c>
      <c r="G202" t="str">
        <f t="shared" ca="1" si="3"/>
        <v>"2084063475" : "băng keo",</v>
      </c>
    </row>
    <row r="203" spans="1:7" ht="14.25" customHeight="1">
      <c r="A203" s="2">
        <v>2084063484</v>
      </c>
      <c r="B203" s="2" t="s">
        <v>46</v>
      </c>
      <c r="C203" s="2" t="s">
        <v>16791</v>
      </c>
      <c r="D203" s="2" t="s">
        <v>16792</v>
      </c>
      <c r="E203" s="4" t="str">
        <f ca="1">IFERROR(__xludf.DUMMYFUNCTION("GOOGLETRANSLATE(B203,""ja"",""vi"")"),"nếu không thì")</f>
        <v>nếu không thì</v>
      </c>
      <c r="F203" s="4" t="str">
        <f ca="1">IFERROR(__xludf.DUMMYFUNCTION("GOOGLETRANSLATE(C203,""ja"",""vi"")"),"Đấu giá&gt; Văn phòng, Cửa hàng cung cấp&gt; bao bì, đóng gói&gt; nguồn cung cấp liên kết&gt; Khác")</f>
        <v>Đấu giá&gt; Văn phòng, Cửa hàng cung cấp&gt; bao bì, đóng gói&gt; nguồn cung cấp liên kết&gt; Khác</v>
      </c>
      <c r="G203" t="str">
        <f t="shared" ca="1" si="3"/>
        <v>"2084063484" : "nếu không thì",</v>
      </c>
    </row>
    <row r="204" spans="1:7" ht="14.25" customHeight="1">
      <c r="A204" s="2">
        <v>2084221002</v>
      </c>
      <c r="B204" s="2" t="s">
        <v>16794</v>
      </c>
      <c r="C204" s="2" t="s">
        <v>16796</v>
      </c>
      <c r="D204" s="2" t="s">
        <v>16797</v>
      </c>
      <c r="E204" s="4" t="str">
        <f ca="1">IFERROR(__xludf.DUMMYFUNCTION("GOOGLETRANSLATE(B204,""ja"",""vi"")"),"túi OPP")</f>
        <v>túi OPP</v>
      </c>
      <c r="F204" s="4" t="str">
        <f ca="1">IFERROR(__xludf.DUMMYFUNCTION("GOOGLETRANSLATE(C204,""ja"",""vi"")"),"Đấu giá&gt; Văn phòng, Cửa hàng cung cấp&gt; bao bì, đóng gói&gt; túi, phong bì&gt; túi OPP")</f>
        <v>Đấu giá&gt; Văn phòng, Cửa hàng cung cấp&gt; bao bì, đóng gói&gt; túi, phong bì&gt; túi OPP</v>
      </c>
      <c r="G204" t="str">
        <f t="shared" ca="1" si="3"/>
        <v>"2084221002" : "túi OPP",</v>
      </c>
    </row>
    <row r="205" spans="1:7" ht="14.25" customHeight="1">
      <c r="A205" s="2">
        <v>2084063480</v>
      </c>
      <c r="B205" s="2" t="s">
        <v>16803</v>
      </c>
      <c r="C205" s="2" t="s">
        <v>16804</v>
      </c>
      <c r="D205" s="2" t="s">
        <v>16805</v>
      </c>
      <c r="E205" s="4" t="str">
        <f ca="1">IFERROR(__xludf.DUMMYFUNCTION("GOOGLETRANSLATE(B205,""ja"",""vi"")"),"Carrier-túi")</f>
        <v>Carrier-túi</v>
      </c>
      <c r="F205" s="4" t="str">
        <f ca="1">IFERROR(__xludf.DUMMYFUNCTION("GOOGLETRANSLATE(C205,""ja"",""vi"")"),"Đấu giá&gt; Văn phòng, Cửa hàng cung cấp&gt; bao bì, đóng gói&gt; túi, phong bì&gt; hãng túi")</f>
        <v>Đấu giá&gt; Văn phòng, Cửa hàng cung cấp&gt; bao bì, đóng gói&gt; túi, phong bì&gt; hãng túi</v>
      </c>
      <c r="G205" t="str">
        <f t="shared" ca="1" si="3"/>
        <v>"2084063480" : "Carrier-túi",</v>
      </c>
    </row>
    <row r="206" spans="1:7" ht="14.25" customHeight="1">
      <c r="A206" s="2">
        <v>2084221000</v>
      </c>
      <c r="B206" s="2" t="s">
        <v>16808</v>
      </c>
      <c r="C206" s="2" t="s">
        <v>16810</v>
      </c>
      <c r="D206" s="2" t="s">
        <v>16811</v>
      </c>
      <c r="E206" s="4" t="str">
        <f ca="1">IFERROR(__xludf.DUMMYFUNCTION("GOOGLETRANSLATE(B206,""ja"",""vi"")"),"túi Courier")</f>
        <v>túi Courier</v>
      </c>
      <c r="F206" s="4" t="str">
        <f ca="1">IFERROR(__xludf.DUMMYFUNCTION("GOOGLETRANSLATE(C206,""ja"",""vi"")"),"Đấu giá&gt; Văn phòng, Cửa hàng cung cấp&gt; bao bì, đóng gói&gt; túi xách, phong bì&gt; túi chuyển phát nhanh")</f>
        <v>Đấu giá&gt; Văn phòng, Cửa hàng cung cấp&gt; bao bì, đóng gói&gt; túi xách, phong bì&gt; túi chuyển phát nhanh</v>
      </c>
      <c r="G206" t="str">
        <f t="shared" ca="1" si="3"/>
        <v>"2084221000" : "túi Courier",</v>
      </c>
    </row>
    <row r="207" spans="1:7" ht="14.25" customHeight="1">
      <c r="A207" s="2">
        <v>2084063481</v>
      </c>
      <c r="B207" s="2" t="s">
        <v>16813</v>
      </c>
      <c r="C207" s="2" t="s">
        <v>16815</v>
      </c>
      <c r="D207" s="2" t="s">
        <v>16817</v>
      </c>
      <c r="E207" s="4" t="str">
        <f ca="1">IFERROR(__xludf.DUMMYFUNCTION("GOOGLETRANSLATE(B207,""ja"",""vi"")"),"phong bì")</f>
        <v>phong bì</v>
      </c>
      <c r="F207" s="4" t="str">
        <f ca="1">IFERROR(__xludf.DUMMYFUNCTION("GOOGLETRANSLATE(C207,""ja"",""vi"")"),"Đấu giá&gt; Văn phòng, Cửa hàng cung cấp&gt; bao bì, đóng gói&gt; túi, phong bì&gt; phong bì")</f>
        <v>Đấu giá&gt; Văn phòng, Cửa hàng cung cấp&gt; bao bì, đóng gói&gt; túi, phong bì&gt; phong bì</v>
      </c>
      <c r="G207" t="str">
        <f t="shared" ca="1" si="3"/>
        <v>"2084063481" : "phong bì",</v>
      </c>
    </row>
    <row r="208" spans="1:7" ht="14.25" customHeight="1">
      <c r="A208" s="2">
        <v>2084063483</v>
      </c>
      <c r="B208" s="2" t="s">
        <v>46</v>
      </c>
      <c r="C208" s="2" t="s">
        <v>16820</v>
      </c>
      <c r="D208" s="2" t="s">
        <v>16822</v>
      </c>
      <c r="E208" s="4" t="str">
        <f ca="1">IFERROR(__xludf.DUMMYFUNCTION("GOOGLETRANSLATE(B208,""ja"",""vi"")"),"nếu không thì")</f>
        <v>nếu không thì</v>
      </c>
      <c r="F208" s="4" t="str">
        <f ca="1">IFERROR(__xludf.DUMMYFUNCTION("GOOGLETRANSLATE(C208,""ja"",""vi"")"),"Đấu giá&gt; vật tư văn phòng, cửa hàng&gt; bao bì, đóng gói&gt; túi, phong bì&gt; Khác")</f>
        <v>Đấu giá&gt; vật tư văn phòng, cửa hàng&gt; bao bì, đóng gói&gt; túi, phong bì&gt; Khác</v>
      </c>
      <c r="G208" t="str">
        <f t="shared" ca="1" si="3"/>
        <v>"2084063483" : "nếu không thì",</v>
      </c>
    </row>
    <row r="209" spans="1:7" ht="14.25" customHeight="1">
      <c r="A209" s="2">
        <v>2084040736</v>
      </c>
      <c r="B209" s="2" t="s">
        <v>16825</v>
      </c>
      <c r="C209" s="2" t="s">
        <v>16826</v>
      </c>
      <c r="D209" s="2" t="s">
        <v>16828</v>
      </c>
      <c r="E209" s="4" t="str">
        <f ca="1">IFERROR(__xludf.DUMMYFUNCTION("GOOGLETRANSLATE(B209,""ja"",""vi"")"),"Fountain bút")</f>
        <v>Fountain bút</v>
      </c>
      <c r="F209" s="4" t="str">
        <f ca="1">IFERROR(__xludf.DUMMYFUNCTION("GOOGLETRANSLATE(C209,""ja"",""vi"")"),"Đấu giá&gt; Văn phòng, Cửa hàng cung cấp&gt; văn phòng phẩm&gt; viết cụ&gt; bút đài phun nước")</f>
        <v>Đấu giá&gt; Văn phòng, Cửa hàng cung cấp&gt; văn phòng phẩm&gt; viết cụ&gt; bút đài phun nước</v>
      </c>
      <c r="G209" t="str">
        <f t="shared" ca="1" si="3"/>
        <v>"2084040736" : "Fountain bút",</v>
      </c>
    </row>
    <row r="210" spans="1:7" ht="14.25" customHeight="1">
      <c r="A210" s="2">
        <v>2084305432</v>
      </c>
      <c r="B210" s="2" t="s">
        <v>16831</v>
      </c>
      <c r="C210" s="2" t="s">
        <v>16833</v>
      </c>
      <c r="D210" s="2" t="s">
        <v>16834</v>
      </c>
      <c r="E210" s="4" t="str">
        <f ca="1">IFERROR(__xludf.DUMMYFUNCTION("GOOGLETRANSLATE(B210,""ja"",""vi"")"),"Fountain bút mực")</f>
        <v>Fountain bút mực</v>
      </c>
      <c r="F210" s="4" t="str">
        <f ca="1">IFERROR(__xludf.DUMMYFUNCTION("GOOGLETRANSLATE(C210,""ja"",""vi"")"),"Đấu giá&gt; Văn phòng, Cửa hàng cung cấp&gt; văn phòng phẩm&gt; viết cụ&gt; bút mực")</f>
        <v>Đấu giá&gt; Văn phòng, Cửa hàng cung cấp&gt; văn phòng phẩm&gt; viết cụ&gt; bút mực</v>
      </c>
      <c r="G210" t="str">
        <f t="shared" ca="1" si="3"/>
        <v>"2084305432" : "Fountain bút mực",</v>
      </c>
    </row>
    <row r="211" spans="1:7" ht="14.25" customHeight="1">
      <c r="A211" s="2">
        <v>2084040734</v>
      </c>
      <c r="B211" s="2" t="s">
        <v>16837</v>
      </c>
      <c r="C211" s="2" t="s">
        <v>16838</v>
      </c>
      <c r="D211" s="2" t="s">
        <v>16839</v>
      </c>
      <c r="E211" s="4" t="str">
        <f ca="1">IFERROR(__xludf.DUMMYFUNCTION("GOOGLETRANSLATE(B211,""ja"",""vi"")"),"bút bi")</f>
        <v>bút bi</v>
      </c>
      <c r="F211" s="4" t="str">
        <f ca="1">IFERROR(__xludf.DUMMYFUNCTION("GOOGLETRANSLATE(C211,""ja"",""vi"")"),"Đấu giá&gt; Văn phòng, Cửa hàng cung cấp&gt; văn phòng phẩm&gt; viết cụ&gt; bút bi")</f>
        <v>Đấu giá&gt; Văn phòng, Cửa hàng cung cấp&gt; văn phòng phẩm&gt; viết cụ&gt; bút bi</v>
      </c>
      <c r="G211" t="str">
        <f t="shared" ca="1" si="3"/>
        <v>"2084040734" : "bút bi",</v>
      </c>
    </row>
    <row r="212" spans="1:7" ht="14.25" customHeight="1">
      <c r="A212" s="2">
        <v>2084305433</v>
      </c>
      <c r="B212" s="2" t="s">
        <v>16841</v>
      </c>
      <c r="C212" s="2" t="s">
        <v>16842</v>
      </c>
      <c r="D212" s="2" t="s">
        <v>16843</v>
      </c>
      <c r="E212" s="4" t="str">
        <f ca="1">IFERROR(__xludf.DUMMYFUNCTION("GOOGLETRANSLATE(B212,""ja"",""vi"")"),"Bút bi nạp dẫn")</f>
        <v>Bút bi nạp dẫn</v>
      </c>
      <c r="F212" s="4" t="str">
        <f ca="1">IFERROR(__xludf.DUMMYFUNCTION("GOOGLETRANSLATE(C212,""ja"",""vi"")"),"Đấu giá&gt; Văn phòng, Cửa hàng cung cấp&gt; văn phòng phẩm&gt; viết cụ&gt; bóng điểm bút chì nạp")</f>
        <v>Đấu giá&gt; Văn phòng, Cửa hàng cung cấp&gt; văn phòng phẩm&gt; viết cụ&gt; bóng điểm bút chì nạp</v>
      </c>
      <c r="G212" t="str">
        <f t="shared" ca="1" si="3"/>
        <v>"2084305433" : "Bút bi nạp dẫn",</v>
      </c>
    </row>
    <row r="213" spans="1:7" ht="14.25" customHeight="1">
      <c r="A213" s="2">
        <v>2084040729</v>
      </c>
      <c r="B213" s="2" t="s">
        <v>16846</v>
      </c>
      <c r="C213" s="2" t="s">
        <v>16847</v>
      </c>
      <c r="D213" s="2" t="s">
        <v>16848</v>
      </c>
      <c r="E213" s="4" t="str">
        <f ca="1">IFERROR(__xludf.DUMMYFUNCTION("GOOGLETRANSLATE(B213,""ja"",""vi"")"),"bút chì cơ khí")</f>
        <v>bút chì cơ khí</v>
      </c>
      <c r="F213" s="4" t="str">
        <f ca="1">IFERROR(__xludf.DUMMYFUNCTION("GOOGLETRANSLATE(C213,""ja"",""vi"")"),"Đấu giá&gt; Văn phòng, Cửa hàng cung cấp&gt; văn phòng phẩm&gt; viết cụ&gt; bút chì cơ khí")</f>
        <v>Đấu giá&gt; Văn phòng, Cửa hàng cung cấp&gt; văn phòng phẩm&gt; viết cụ&gt; bút chì cơ khí</v>
      </c>
      <c r="G213" t="str">
        <f t="shared" ca="1" si="3"/>
        <v>"2084040729" : "bút chì cơ khí",</v>
      </c>
    </row>
    <row r="214" spans="1:7" ht="14.25" customHeight="1">
      <c r="A214" s="2">
        <v>2084040728</v>
      </c>
      <c r="B214" s="2" t="s">
        <v>16849</v>
      </c>
      <c r="C214" s="2" t="s">
        <v>16850</v>
      </c>
      <c r="D214" s="2" t="s">
        <v>16851</v>
      </c>
      <c r="E214" s="4" t="str">
        <f ca="1">IFERROR(__xludf.DUMMYFUNCTION("GOOGLETRANSLATE(B214,""ja"",""vi"")"),"bút chì")</f>
        <v>bút chì</v>
      </c>
      <c r="F214" s="4" t="str">
        <f ca="1">IFERROR(__xludf.DUMMYFUNCTION("GOOGLETRANSLATE(C214,""ja"",""vi"")"),"Đấu giá&gt; Văn phòng, Cửa hàng cung cấp&gt; văn phòng phẩm&gt; viết cụ&gt; Bút chì")</f>
        <v>Đấu giá&gt; Văn phòng, Cửa hàng cung cấp&gt; văn phòng phẩm&gt; viết cụ&gt; Bút chì</v>
      </c>
      <c r="G214" t="str">
        <f t="shared" ca="1" si="3"/>
        <v>"2084040728" : "bút chì",</v>
      </c>
    </row>
    <row r="215" spans="1:7" ht="14.25" customHeight="1">
      <c r="A215" s="2">
        <v>2084040735</v>
      </c>
      <c r="B215" s="2" t="s">
        <v>6843</v>
      </c>
      <c r="C215" s="2" t="s">
        <v>16852</v>
      </c>
      <c r="D215" s="2" t="s">
        <v>16853</v>
      </c>
      <c r="E215" s="4" t="str">
        <f ca="1">IFERROR(__xludf.DUMMYFUNCTION("GOOGLETRANSLATE(B215,""ja"",""vi"")"),"Marker, phớt-tip bút")</f>
        <v>Marker, phớt-tip bút</v>
      </c>
      <c r="F215" s="4" t="str">
        <f ca="1">IFERROR(__xludf.DUMMYFUNCTION("GOOGLETRANSLATE(C215,""ja"",""vi"")"),"Đấu giá&gt; vật tư văn phòng, cửa hàng&gt; văn phòng phẩm&gt; viết cụ&gt; đánh dấu, cảm-tip bút")</f>
        <v>Đấu giá&gt; vật tư văn phòng, cửa hàng&gt; văn phòng phẩm&gt; viết cụ&gt; đánh dấu, cảm-tip bút</v>
      </c>
      <c r="G215" t="str">
        <f t="shared" ca="1" si="3"/>
        <v>"2084040735" : "Marker, phớt-tip bút",</v>
      </c>
    </row>
    <row r="216" spans="1:7" ht="14.25" customHeight="1">
      <c r="A216" s="2">
        <v>2084049866</v>
      </c>
      <c r="B216" s="2" t="s">
        <v>16855</v>
      </c>
      <c r="C216" s="2" t="s">
        <v>16856</v>
      </c>
      <c r="D216" s="2" t="s">
        <v>16857</v>
      </c>
      <c r="E216" s="4" t="str">
        <f ca="1">IFERROR(__xludf.DUMMYFUNCTION("GOOGLETRANSLATE(B216,""ja"",""vi"")"),"công cụ viết tổng hợp")</f>
        <v>công cụ viết tổng hợp</v>
      </c>
      <c r="F216" s="4" t="str">
        <f ca="1">IFERROR(__xludf.DUMMYFUNCTION("GOOGLETRANSLATE(C216,""ja"",""vi"")"),"Đấu giá&gt; Văn phòng, Cửa hàng cung cấp&gt; văn phòng phẩm&gt; viết cụ&gt; công cụ viết tổng hợp")</f>
        <v>Đấu giá&gt; Văn phòng, Cửa hàng cung cấp&gt; văn phòng phẩm&gt; viết cụ&gt; công cụ viết tổng hợp</v>
      </c>
      <c r="G216" t="str">
        <f t="shared" ca="1" si="3"/>
        <v>"2084049866" : "công cụ viết tổng hợp",</v>
      </c>
    </row>
    <row r="217" spans="1:7" ht="14.25" customHeight="1">
      <c r="A217" s="2">
        <v>2084040718</v>
      </c>
      <c r="B217" s="2" t="s">
        <v>6836</v>
      </c>
      <c r="C217" s="2" t="s">
        <v>16861</v>
      </c>
      <c r="D217" s="2" t="s">
        <v>16862</v>
      </c>
      <c r="E217" s="4" t="str">
        <f ca="1">IFERROR(__xludf.DUMMYFUNCTION("GOOGLETRANSLATE(B217,""ja"",""vi"")"),"Crayon, pastel")</f>
        <v>Crayon, pastel</v>
      </c>
      <c r="F217" s="4" t="str">
        <f ca="1">IFERROR(__xludf.DUMMYFUNCTION("GOOGLETRANSLATE(C217,""ja"",""vi"")"),"Đấu giá&gt; Văn phòng, Cửa hàng cung cấp&gt; văn phòng phẩm&gt; viết cụ&gt; crayon, pastel")</f>
        <v>Đấu giá&gt; Văn phòng, Cửa hàng cung cấp&gt; văn phòng phẩm&gt; viết cụ&gt; crayon, pastel</v>
      </c>
      <c r="G217" t="str">
        <f t="shared" ca="1" si="3"/>
        <v>"2084040718" : "Crayon, pastel",</v>
      </c>
    </row>
    <row r="218" spans="1:7" ht="14.25" customHeight="1">
      <c r="A218" s="2">
        <v>2084040730</v>
      </c>
      <c r="B218" s="2" t="s">
        <v>16866</v>
      </c>
      <c r="C218" s="2" t="s">
        <v>16867</v>
      </c>
      <c r="D218" s="2" t="s">
        <v>16868</v>
      </c>
      <c r="E218" s="4" t="str">
        <f ca="1">IFERROR(__xludf.DUMMYFUNCTION("GOOGLETRANSLATE(B218,""ja"",""vi"")"),"Một highlighter")</f>
        <v>Một highlighter</v>
      </c>
      <c r="F218" s="4" t="str">
        <f ca="1">IFERROR(__xludf.DUMMYFUNCTION("GOOGLETRANSLATE(C218,""ja"",""vi"")"),"Đấu giá&gt; Văn phòng, Cửa hàng cung cấp&gt; văn phòng phẩm&gt; viết cụ&gt; Highlighter")</f>
        <v>Đấu giá&gt; Văn phòng, Cửa hàng cung cấp&gt; văn phòng phẩm&gt; viết cụ&gt; Highlighter</v>
      </c>
      <c r="G218" t="str">
        <f t="shared" ca="1" si="3"/>
        <v>"2084040730" : "Một highlighter",</v>
      </c>
    </row>
    <row r="219" spans="1:7" ht="14.25" customHeight="1">
      <c r="A219" s="2">
        <v>2084040719</v>
      </c>
      <c r="B219" s="2" t="s">
        <v>6858</v>
      </c>
      <c r="C219" s="2" t="s">
        <v>16870</v>
      </c>
      <c r="D219" s="2" t="s">
        <v>16871</v>
      </c>
      <c r="E219" s="4" t="str">
        <f ca="1">IFERROR(__xludf.DUMMYFUNCTION("GOOGLETRANSLATE(B219,""ja"",""vi"")"),"màu bút chì")</f>
        <v>màu bút chì</v>
      </c>
      <c r="F219" s="4" t="str">
        <f ca="1">IFERROR(__xludf.DUMMYFUNCTION("GOOGLETRANSLATE(C219,""ja"",""vi"")"),"Đấu giá&gt; vật tư văn phòng, cửa hàng&gt; văn phòng phẩm&gt; viết cụ&gt; bút chì màu")</f>
        <v>Đấu giá&gt; vật tư văn phòng, cửa hàng&gt; văn phòng phẩm&gt; viết cụ&gt; bút chì màu</v>
      </c>
      <c r="G219" t="str">
        <f t="shared" ca="1" si="3"/>
        <v>"2084040719" : "màu bút chì",</v>
      </c>
    </row>
    <row r="220" spans="1:7" ht="14.25" customHeight="1">
      <c r="A220" s="2">
        <v>2084227016</v>
      </c>
      <c r="B220" s="2" t="s">
        <v>6798</v>
      </c>
      <c r="C220" s="2" t="s">
        <v>16874</v>
      </c>
      <c r="D220" s="2" t="s">
        <v>16875</v>
      </c>
      <c r="E220" s="4" t="str">
        <f ca="1">IFERROR(__xludf.DUMMYFUNCTION("GOOGLETRANSLATE(B220,""ja"",""vi"")"),"viết bàn chải")</f>
        <v>viết bàn chải</v>
      </c>
      <c r="F220" s="4" t="str">
        <f ca="1">IFERROR(__xludf.DUMMYFUNCTION("GOOGLETRANSLATE(C220,""ja"",""vi"")"),"Đấu giá&gt; Văn phòng, Cửa hàng cung cấp&gt; văn phòng phẩm&gt; viết cụ&gt; bàn chải")</f>
        <v>Đấu giá&gt; Văn phòng, Cửa hàng cung cấp&gt; văn phòng phẩm&gt; viết cụ&gt; bàn chải</v>
      </c>
      <c r="G220" t="str">
        <f t="shared" ca="1" si="3"/>
        <v>"2084227016" : "viết bàn chải",</v>
      </c>
    </row>
    <row r="221" spans="1:7" ht="14.25" customHeight="1">
      <c r="A221" s="2">
        <v>2084040733</v>
      </c>
      <c r="B221" s="2" t="s">
        <v>16877</v>
      </c>
      <c r="C221" s="2" t="s">
        <v>16878</v>
      </c>
      <c r="D221" s="2" t="s">
        <v>16879</v>
      </c>
      <c r="E221" s="4" t="str">
        <f ca="1">IFERROR(__xludf.DUMMYFUNCTION("GOOGLETRANSLATE(B221,""ja"",""vi"")"),"Thư pháp bút")</f>
        <v>Thư pháp bút</v>
      </c>
      <c r="F221" s="4" t="str">
        <f ca="1">IFERROR(__xludf.DUMMYFUNCTION("GOOGLETRANSLATE(C221,""ja"",""vi"")"),"Đấu giá&gt; Văn phòng, Cửa hàng cung cấp&gt; văn phòng phẩm&gt; viết cụ&gt; bàn chải bút")</f>
        <v>Đấu giá&gt; Văn phòng, Cửa hàng cung cấp&gt; văn phòng phẩm&gt; viết cụ&gt; bàn chải bút</v>
      </c>
      <c r="G221" t="str">
        <f t="shared" ca="1" si="3"/>
        <v>"2084040733" : "Thư pháp bút",</v>
      </c>
    </row>
    <row r="222" spans="1:7" ht="14.25" customHeight="1">
      <c r="A222" s="2">
        <v>2084056526</v>
      </c>
      <c r="B222" s="2" t="s">
        <v>6854</v>
      </c>
      <c r="C222" s="2" t="s">
        <v>16882</v>
      </c>
      <c r="D222" s="2" t="s">
        <v>16883</v>
      </c>
      <c r="E222" s="4" t="str">
        <f ca="1">IFERROR(__xludf.DUMMYFUNCTION("GOOGLETRANSLATE(B222,""ja"",""vi"")"),"cọ sơn")</f>
        <v>cọ sơn</v>
      </c>
      <c r="F222" s="4" t="str">
        <f ca="1">IFERROR(__xludf.DUMMYFUNCTION("GOOGLETRANSLATE(C222,""ja"",""vi"")"),"Đấu giá&gt; Văn phòng, Cửa hàng cung cấp&gt; văn phòng phẩm&gt; viết cụ&gt; cọ")</f>
        <v>Đấu giá&gt; Văn phòng, Cửa hàng cung cấp&gt; văn phòng phẩm&gt; viết cụ&gt; cọ</v>
      </c>
      <c r="G222" t="str">
        <f t="shared" ca="1" si="3"/>
        <v>"2084056526" : "cọ sơn",</v>
      </c>
    </row>
    <row r="223" spans="1:7" ht="14.25" customHeight="1">
      <c r="A223" s="2">
        <v>2084040732</v>
      </c>
      <c r="B223" s="2" t="s">
        <v>16885</v>
      </c>
      <c r="C223" s="2" t="s">
        <v>16886</v>
      </c>
      <c r="D223" s="2" t="s">
        <v>16887</v>
      </c>
      <c r="E223" s="4" t="str">
        <f ca="1">IFERROR(__xludf.DUMMYFUNCTION("GOOGLETRANSLATE(B223,""ja"",""vi"")"),"Correction chất lỏng, bút hiệu chỉnh, băng chỉnh")</f>
        <v>Correction chất lỏng, bút hiệu chỉnh, băng chỉnh</v>
      </c>
      <c r="F223" s="4" t="str">
        <f ca="1">IFERROR(__xludf.DUMMYFUNCTION("GOOGLETRANSLATE(C223,""ja"",""vi"")"),"Đấu giá&gt; Văn phòng, Cửa hàng cung cấp&gt; văn phòng phẩm&gt; viết cụ&gt; chất lỏng sửa chữa, hiệu chỉnh bút, băng chỉnh")</f>
        <v>Đấu giá&gt; Văn phòng, Cửa hàng cung cấp&gt; văn phòng phẩm&gt; viết cụ&gt; chất lỏng sửa chữa, hiệu chỉnh bút, băng chỉnh</v>
      </c>
      <c r="G223" t="str">
        <f t="shared" ca="1" si="3"/>
        <v>"2084040732" : "Correction chất lỏng, bút hiệu chỉnh, băng chỉnh",</v>
      </c>
    </row>
    <row r="224" spans="1:7" ht="14.25" customHeight="1">
      <c r="A224" s="2">
        <v>2084040731</v>
      </c>
      <c r="B224" s="2" t="s">
        <v>16889</v>
      </c>
      <c r="C224" s="2" t="s">
        <v>16890</v>
      </c>
      <c r="D224" s="2" t="s">
        <v>16892</v>
      </c>
      <c r="E224" s="4" t="str">
        <f ca="1">IFERROR(__xludf.DUMMYFUNCTION("GOOGLETRANSLATE(B224,""ja"",""vi"")"),"cục tẩy")</f>
        <v>cục tẩy</v>
      </c>
      <c r="F224" s="4" t="str">
        <f ca="1">IFERROR(__xludf.DUMMYFUNCTION("GOOGLETRANSLATE(C224,""ja"",""vi"")"),"Đấu giá&gt; Văn phòng, Cửa hàng cung cấp&gt; văn phòng phẩm&gt; viết cụ&gt; tẩy")</f>
        <v>Đấu giá&gt; Văn phòng, Cửa hàng cung cấp&gt; văn phòng phẩm&gt; viết cụ&gt; tẩy</v>
      </c>
      <c r="G224" t="str">
        <f t="shared" ca="1" si="3"/>
        <v>"2084040731" : "cục tẩy",</v>
      </c>
    </row>
    <row r="225" spans="1:7" ht="14.25" customHeight="1">
      <c r="A225" s="2">
        <v>2084040727</v>
      </c>
      <c r="B225" s="2" t="s">
        <v>46</v>
      </c>
      <c r="C225" s="2" t="s">
        <v>16894</v>
      </c>
      <c r="D225" s="2" t="s">
        <v>16895</v>
      </c>
      <c r="E225" s="4" t="str">
        <f ca="1">IFERROR(__xludf.DUMMYFUNCTION("GOOGLETRANSLATE(B225,""ja"",""vi"")"),"nếu không thì")</f>
        <v>nếu không thì</v>
      </c>
      <c r="F225" s="4" t="str">
        <f ca="1">IFERROR(__xludf.DUMMYFUNCTION("GOOGLETRANSLATE(C225,""ja"",""vi"")"),"Đấu giá&gt; Văn phòng, Cửa hàng cung cấp&gt; văn phòng phẩm&gt; viết cụ&gt; Khác")</f>
        <v>Đấu giá&gt; Văn phòng, Cửa hàng cung cấp&gt; văn phòng phẩm&gt; viết cụ&gt; Khác</v>
      </c>
      <c r="G225" t="str">
        <f t="shared" ca="1" si="3"/>
        <v>"2084040727" : "nếu không thì",</v>
      </c>
    </row>
    <row r="226" spans="1:7" ht="14.25" customHeight="1">
      <c r="A226" s="2">
        <v>2084063002</v>
      </c>
      <c r="B226" s="2" t="s">
        <v>16677</v>
      </c>
      <c r="C226" s="2" t="s">
        <v>16678</v>
      </c>
      <c r="D226" s="2" t="s">
        <v>16679</v>
      </c>
      <c r="E226" s="4" t="str">
        <f ca="1">IFERROR(__xludf.DUMMYFUNCTION("GOOGLETRANSLATE(B226,""ja"",""vi"")"),"niêm phong")</f>
        <v>niêm phong</v>
      </c>
      <c r="F226" s="4" t="str">
        <f ca="1">IFERROR(__xludf.DUMMYFUNCTION("GOOGLETRANSLATE(C226,""ja"",""vi"")"),"Đấu giá&gt; Văn phòng, Cửa hàng cung cấp&gt; văn phòng phẩm&gt; con dấu, tem&gt; con dấu")</f>
        <v>Đấu giá&gt; Văn phòng, Cửa hàng cung cấp&gt; văn phòng phẩm&gt; con dấu, tem&gt; con dấu</v>
      </c>
      <c r="G226" t="str">
        <f t="shared" ca="1" si="3"/>
        <v>"2084063002" : "niêm phong",</v>
      </c>
    </row>
    <row r="227" spans="1:7" ht="14.25" customHeight="1">
      <c r="A227" s="2">
        <v>2084063003</v>
      </c>
      <c r="B227" s="2" t="s">
        <v>16683</v>
      </c>
      <c r="C227" s="2" t="s">
        <v>16684</v>
      </c>
      <c r="D227" s="2" t="s">
        <v>16685</v>
      </c>
      <c r="E227" s="4" t="str">
        <f ca="1">IFERROR(__xludf.DUMMYFUNCTION("GOOGLETRANSLATE(B227,""ja"",""vi"")"),"tem mực")</f>
        <v>tem mực</v>
      </c>
      <c r="F227" s="4" t="str">
        <f ca="1">IFERROR(__xludf.DUMMYFUNCTION("GOOGLETRANSLATE(C227,""ja"",""vi"")"),"Đấu giá&gt; Văn phòng, Cửa hàng cung cấp&gt; văn phòng phẩm&gt; con dấu, tem&gt; đánh dấu sự thâm nhập")</f>
        <v>Đấu giá&gt; Văn phòng, Cửa hàng cung cấp&gt; văn phòng phẩm&gt; con dấu, tem&gt; đánh dấu sự thâm nhập</v>
      </c>
      <c r="G227" t="str">
        <f t="shared" ca="1" si="3"/>
        <v>"2084063003" : "tem mực",</v>
      </c>
    </row>
    <row r="228" spans="1:7" ht="14.25" customHeight="1">
      <c r="A228" s="2">
        <v>2084063006</v>
      </c>
      <c r="B228" s="2" t="s">
        <v>16692</v>
      </c>
      <c r="C228" s="2" t="s">
        <v>16693</v>
      </c>
      <c r="D228" s="2" t="s">
        <v>16694</v>
      </c>
      <c r="E228" s="4" t="str">
        <f ca="1">IFERROR(__xludf.DUMMYFUNCTION("GOOGLETRANSLATE(B228,""ja"",""vi"")"),"tem")</f>
        <v>tem</v>
      </c>
      <c r="F228" s="4" t="str">
        <f ca="1">IFERROR(__xludf.DUMMYFUNCTION("GOOGLETRANSLATE(C228,""ja"",""vi"")"),"Đấu giá&gt; Văn phòng, Cửa hàng cung cấp&gt; văn phòng phẩm&gt; con dấu, tem&gt; tem")</f>
        <v>Đấu giá&gt; Văn phòng, Cửa hàng cung cấp&gt; văn phòng phẩm&gt; con dấu, tem&gt; tem</v>
      </c>
      <c r="G228" t="str">
        <f t="shared" ca="1" si="3"/>
        <v>"2084063006" : "tem",</v>
      </c>
    </row>
    <row r="229" spans="1:7" ht="14.25" customHeight="1">
      <c r="A229" s="2">
        <v>2084063004</v>
      </c>
      <c r="B229" s="2" t="s">
        <v>16697</v>
      </c>
      <c r="C229" s="2" t="s">
        <v>16700</v>
      </c>
      <c r="D229" s="2" t="s">
        <v>16702</v>
      </c>
      <c r="E229" s="4" t="str">
        <f ca="1">IFERROR(__xludf.DUMMYFUNCTION("GOOGLETRANSLATE(B229,""ja"",""vi"")"),"trường hợp Seal")</f>
        <v>trường hợp Seal</v>
      </c>
      <c r="F229" s="4" t="str">
        <f ca="1">IFERROR(__xludf.DUMMYFUNCTION("GOOGLETRANSLATE(C229,""ja"",""vi"")"),"Đấu giá&gt; Văn phòng, Cửa hàng cung cấp&gt; văn phòng phẩm&gt; con dấu, tem&gt; trường hợp con dấu")</f>
        <v>Đấu giá&gt; Văn phòng, Cửa hàng cung cấp&gt; văn phòng phẩm&gt; con dấu, tem&gt; trường hợp con dấu</v>
      </c>
      <c r="G229" t="str">
        <f t="shared" ca="1" si="3"/>
        <v>"2084063004" : "trường hợp Seal",</v>
      </c>
    </row>
    <row r="230" spans="1:7" ht="14.25" customHeight="1">
      <c r="A230" s="2">
        <v>2084063005</v>
      </c>
      <c r="B230" s="2" t="s">
        <v>16706</v>
      </c>
      <c r="C230" s="2" t="s">
        <v>16707</v>
      </c>
      <c r="D230" s="2" t="s">
        <v>16709</v>
      </c>
      <c r="E230" s="4" t="str">
        <f ca="1">IFERROR(__xludf.DUMMYFUNCTION("GOOGLETRANSLATE(B230,""ja"",""vi"")"),"chứng khoán Seal")</f>
        <v>chứng khoán Seal</v>
      </c>
      <c r="F230" s="4" t="str">
        <f ca="1">IFERROR(__xludf.DUMMYFUNCTION("GOOGLETRANSLATE(C230,""ja"",""vi"")"),"Đấu giá&gt; Văn phòng, Cửa hàng cung cấp&gt; văn phòng phẩm&gt; con dấu, tem&gt; nguyên tem")</f>
        <v>Đấu giá&gt; Văn phòng, Cửa hàng cung cấp&gt; văn phòng phẩm&gt; con dấu, tem&gt; nguyên tem</v>
      </c>
      <c r="G230" t="str">
        <f t="shared" ca="1" si="3"/>
        <v>"2084063005" : "chứng khoán Seal",</v>
      </c>
    </row>
    <row r="231" spans="1:7" ht="14.25" customHeight="1">
      <c r="A231" s="2">
        <v>2084063007</v>
      </c>
      <c r="B231" s="2" t="s">
        <v>46</v>
      </c>
      <c r="C231" s="2" t="s">
        <v>16715</v>
      </c>
      <c r="D231" s="2" t="s">
        <v>16716</v>
      </c>
      <c r="E231" s="4" t="str">
        <f ca="1">IFERROR(__xludf.DUMMYFUNCTION("GOOGLETRANSLATE(B231,""ja"",""vi"")"),"nếu không thì")</f>
        <v>nếu không thì</v>
      </c>
      <c r="F231" s="4" t="str">
        <f ca="1">IFERROR(__xludf.DUMMYFUNCTION("GOOGLETRANSLATE(C231,""ja"",""vi"")"),"Đấu giá&gt; vật tư văn phòng, cửa hàng&gt; văn phòng phẩm&gt; con dấu, tem&gt; Khác")</f>
        <v>Đấu giá&gt; vật tư văn phòng, cửa hàng&gt; văn phòng phẩm&gt; con dấu, tem&gt; Khác</v>
      </c>
      <c r="G231" t="str">
        <f t="shared" ca="1" si="3"/>
        <v>"2084063007" : "nếu không thì",</v>
      </c>
    </row>
    <row r="232" spans="1:7" ht="14.25" customHeight="1">
      <c r="A232" s="2">
        <v>2084227091</v>
      </c>
      <c r="B232" s="2" t="s">
        <v>2241</v>
      </c>
      <c r="C232" s="2" t="s">
        <v>16905</v>
      </c>
      <c r="D232" s="2" t="s">
        <v>16907</v>
      </c>
      <c r="E232" s="4" t="str">
        <f ca="1">IFERROR(__xludf.DUMMYFUNCTION("GOOGLETRANSLATE(B232,""ja"",""vi"")"),"chung")</f>
        <v>chung</v>
      </c>
      <c r="F232" s="4" t="str">
        <f ca="1">IFERROR(__xludf.DUMMYFUNCTION("GOOGLETRANSLATE(C232,""ja"",""vi"")"),"Đấu giá&gt; vật tư văn phòng, cửa hàng&gt; văn phòng phẩm&gt; máy tính xách tay&gt; General")</f>
        <v>Đấu giá&gt; vật tư văn phòng, cửa hàng&gt; văn phòng phẩm&gt; máy tính xách tay&gt; General</v>
      </c>
      <c r="G232" t="str">
        <f t="shared" ca="1" si="3"/>
        <v>"2084227091" : "chung",</v>
      </c>
    </row>
    <row r="233" spans="1:7" ht="14.25" customHeight="1">
      <c r="A233" s="2">
        <v>2084227093</v>
      </c>
      <c r="B233" s="2" t="s">
        <v>16909</v>
      </c>
      <c r="C233" s="2" t="s">
        <v>16910</v>
      </c>
      <c r="D233" s="2" t="s">
        <v>16911</v>
      </c>
      <c r="E233" s="4" t="str">
        <f ca="1">IFERROR(__xludf.DUMMYFUNCTION("GOOGLETRANSLATE(B233,""ja"",""vi"")"),"Filofax")</f>
        <v>Filofax</v>
      </c>
      <c r="F233" s="4" t="str">
        <f ca="1">IFERROR(__xludf.DUMMYFUNCTION("GOOGLETRANSLATE(C233,""ja"",""vi"")"),"Đấu giá&gt; Văn phòng, Cửa hàng cung cấp&gt; văn phòng phẩm&gt; máy tính xách tay&gt; máy tính xách tay Hệ thống")</f>
        <v>Đấu giá&gt; Văn phòng, Cửa hàng cung cấp&gt; văn phòng phẩm&gt; máy tính xách tay&gt; máy tính xách tay Hệ thống</v>
      </c>
      <c r="G233" t="str">
        <f t="shared" ca="1" si="3"/>
        <v>"2084227093" : "Filofax",</v>
      </c>
    </row>
    <row r="234" spans="1:7" ht="14.25" customHeight="1">
      <c r="A234" s="2">
        <v>2084227092</v>
      </c>
      <c r="B234" s="2" t="s">
        <v>16913</v>
      </c>
      <c r="C234" s="2" t="s">
        <v>16914</v>
      </c>
      <c r="D234" s="2" t="s">
        <v>16915</v>
      </c>
      <c r="E234" s="4" t="str">
        <f ca="1">IFERROR(__xludf.DUMMYFUNCTION("GOOGLETRANSLATE(B234,""ja"",""vi"")"),"bìa máy tính xách tay")</f>
        <v>bìa máy tính xách tay</v>
      </c>
      <c r="F234" s="4" t="str">
        <f ca="1">IFERROR(__xludf.DUMMYFUNCTION("GOOGLETRANSLATE(C234,""ja"",""vi"")"),"Đấu giá&gt; Văn phòng, Cửa hàng cung cấp&gt; văn phòng phẩm&gt; máy tính xách tay&gt; bìa máy tính xách tay")</f>
        <v>Đấu giá&gt; Văn phòng, Cửa hàng cung cấp&gt; văn phòng phẩm&gt; máy tính xách tay&gt; bìa máy tính xách tay</v>
      </c>
      <c r="G234" t="str">
        <f t="shared" ca="1" si="3"/>
        <v>"2084227092" : "bìa máy tính xách tay",</v>
      </c>
    </row>
    <row r="235" spans="1:7" ht="14.25" customHeight="1">
      <c r="A235" s="2">
        <v>2084227094</v>
      </c>
      <c r="B235" s="2" t="s">
        <v>46</v>
      </c>
      <c r="C235" s="2" t="s">
        <v>16917</v>
      </c>
      <c r="D235" s="2" t="s">
        <v>16919</v>
      </c>
      <c r="E235" s="4" t="str">
        <f ca="1">IFERROR(__xludf.DUMMYFUNCTION("GOOGLETRANSLATE(B235,""ja"",""vi"")"),"nếu không thì")</f>
        <v>nếu không thì</v>
      </c>
      <c r="F235" s="4" t="str">
        <f ca="1">IFERROR(__xludf.DUMMYFUNCTION("GOOGLETRANSLATE(C235,""ja"",""vi"")"),"Đấu giá&gt; vật tư văn phòng, cửa hàng&gt; văn phòng phẩm&gt; máy tính xách tay&gt; Khác")</f>
        <v>Đấu giá&gt; vật tư văn phòng, cửa hàng&gt; văn phòng phẩm&gt; máy tính xách tay&gt; Khác</v>
      </c>
      <c r="G235" t="str">
        <f t="shared" ca="1" si="3"/>
        <v>"2084227094" : "nếu không thì",</v>
      </c>
    </row>
    <row r="236" spans="1:7" ht="14.25" customHeight="1">
      <c r="A236" s="2">
        <v>2084062310</v>
      </c>
      <c r="B236" s="2" t="s">
        <v>1806</v>
      </c>
      <c r="C236" s="2" t="s">
        <v>4573</v>
      </c>
      <c r="D236" s="2" t="s">
        <v>16498</v>
      </c>
      <c r="E236" s="4" t="str">
        <f ca="1">IFERROR(__xludf.DUMMYFUNCTION("GOOGLETRANSLATE(B236,""ja"",""vi"")"),"Casio")</f>
        <v>Casio</v>
      </c>
      <c r="F236" s="4" t="str">
        <f ca="1">IFERROR(__xludf.DUMMYFUNCTION("GOOGLETRANSLATE(C236,""ja"",""vi"")"),"Đấu giá&gt; vật tư văn phòng, cửa hàng&gt; thiết bị OA&gt; Từ điển điện tử&gt; Casio")</f>
        <v>Đấu giá&gt; vật tư văn phòng, cửa hàng&gt; thiết bị OA&gt; Từ điển điện tử&gt; Casio</v>
      </c>
      <c r="G236" t="str">
        <f t="shared" ca="1" si="3"/>
        <v>"2084062310" : "Casio",</v>
      </c>
    </row>
    <row r="237" spans="1:7" ht="14.25" customHeight="1">
      <c r="A237" s="2">
        <v>2084062313</v>
      </c>
      <c r="B237" s="2" t="s">
        <v>2031</v>
      </c>
      <c r="C237" s="2" t="s">
        <v>4580</v>
      </c>
      <c r="D237" s="2" t="s">
        <v>16500</v>
      </c>
      <c r="E237" s="4" t="str">
        <f ca="1">IFERROR(__xludf.DUMMYFUNCTION("GOOGLETRANSLATE(B237,""ja"",""vi"")"),"Canon")</f>
        <v>Canon</v>
      </c>
      <c r="F237" s="4" t="str">
        <f ca="1">IFERROR(__xludf.DUMMYFUNCTION("GOOGLETRANSLATE(C237,""ja"",""vi"")"),"Đấu giá&gt; vật tư văn phòng, cửa hàng&gt; thiết bị OA&gt; Từ điển điện tử&gt; Canon")</f>
        <v>Đấu giá&gt; vật tư văn phòng, cửa hàng&gt; thiết bị OA&gt; Từ điển điện tử&gt; Canon</v>
      </c>
      <c r="G237" t="str">
        <f t="shared" ca="1" si="3"/>
        <v>"2084062313" : "Canon",</v>
      </c>
    </row>
    <row r="238" spans="1:7" ht="14.25" customHeight="1">
      <c r="A238" s="2">
        <v>2084062315</v>
      </c>
      <c r="B238" s="2" t="s">
        <v>4583</v>
      </c>
      <c r="C238" s="2" t="s">
        <v>4585</v>
      </c>
      <c r="D238" s="2" t="s">
        <v>16503</v>
      </c>
      <c r="E238" s="4" t="str">
        <f ca="1">IFERROR(__xludf.DUMMYFUNCTION("GOOGLETRANSLATE(B238,""ja"",""vi"")"),"công dân")</f>
        <v>công dân</v>
      </c>
      <c r="F238" s="4" t="str">
        <f ca="1">IFERROR(__xludf.DUMMYFUNCTION("GOOGLETRANSLATE(C238,""ja"",""vi"")"),"Đấu giá&gt; vật tư văn phòng, cửa hàng&gt; thiết bị OA&gt; Từ điển điện tử&gt; Citizen")</f>
        <v>Đấu giá&gt; vật tư văn phòng, cửa hàng&gt; thiết bị OA&gt; Từ điển điện tử&gt; Citizen</v>
      </c>
      <c r="G238" t="str">
        <f t="shared" ca="1" si="3"/>
        <v>"2084062315" : "công dân",</v>
      </c>
    </row>
    <row r="239" spans="1:7" ht="14.25" customHeight="1">
      <c r="A239" s="2">
        <v>2084062311</v>
      </c>
      <c r="B239" s="2" t="s">
        <v>1731</v>
      </c>
      <c r="C239" s="2" t="s">
        <v>4590</v>
      </c>
      <c r="D239" s="2" t="s">
        <v>16505</v>
      </c>
      <c r="E239" s="4" t="str">
        <f ca="1">IFERROR(__xludf.DUMMYFUNCTION("GOOGLETRANSLATE(B239,""ja"",""vi"")"),"nhọn")</f>
        <v>nhọn</v>
      </c>
      <c r="F239" s="4" t="str">
        <f ca="1">IFERROR(__xludf.DUMMYFUNCTION("GOOGLETRANSLATE(C239,""ja"",""vi"")"),"Đấu giá&gt; vật tư văn phòng, cửa hàng&gt; thiết bị OA&gt; Từ điển điện tử&gt; sắc nét")</f>
        <v>Đấu giá&gt; vật tư văn phòng, cửa hàng&gt; thiết bị OA&gt; Từ điển điện tử&gt; sắc nét</v>
      </c>
      <c r="G239" t="str">
        <f t="shared" ca="1" si="3"/>
        <v>"2084062311" : "nhọn",</v>
      </c>
    </row>
    <row r="240" spans="1:7" ht="14.25" customHeight="1">
      <c r="A240" s="2">
        <v>2084062312</v>
      </c>
      <c r="B240" s="2" t="s">
        <v>4283</v>
      </c>
      <c r="C240" s="2" t="s">
        <v>4594</v>
      </c>
      <c r="D240" s="2" t="s">
        <v>16508</v>
      </c>
      <c r="E240" s="4" t="str">
        <f ca="1">IFERROR(__xludf.DUMMYFUNCTION("GOOGLETRANSLATE(B240,""ja"",""vi"")"),"Seiko")</f>
        <v>Seiko</v>
      </c>
      <c r="F240" s="4" t="str">
        <f ca="1">IFERROR(__xludf.DUMMYFUNCTION("GOOGLETRANSLATE(C240,""ja"",""vi"")"),"Đấu giá&gt; vật tư văn phòng, cửa hàng&gt; thiết bị OA&gt; Từ điển điện tử&gt; Seiko")</f>
        <v>Đấu giá&gt; vật tư văn phòng, cửa hàng&gt; thiết bị OA&gt; Từ điển điện tử&gt; Seiko</v>
      </c>
      <c r="G240" t="str">
        <f t="shared" ca="1" si="3"/>
        <v>"2084062312" : "Seiko",</v>
      </c>
    </row>
    <row r="241" spans="1:7" ht="14.25" customHeight="1">
      <c r="A241" s="2">
        <v>2084062309</v>
      </c>
      <c r="B241" s="2" t="s">
        <v>1738</v>
      </c>
      <c r="C241" s="2" t="s">
        <v>4600</v>
      </c>
      <c r="D241" s="2" t="s">
        <v>16511</v>
      </c>
      <c r="E241" s="4" t="str">
        <f ca="1">IFERROR(__xludf.DUMMYFUNCTION("GOOGLETRANSLATE(B241,""ja"",""vi"")"),"Sony")</f>
        <v>Sony</v>
      </c>
      <c r="F241" s="4" t="str">
        <f ca="1">IFERROR(__xludf.DUMMYFUNCTION("GOOGLETRANSLATE(C241,""ja"",""vi"")"),"Đấu giá&gt; vật tư văn phòng, cửa hàng&gt; thiết bị OA&gt; Từ điển điện tử&gt; Sony")</f>
        <v>Đấu giá&gt; vật tư văn phòng, cửa hàng&gt; thiết bị OA&gt; Từ điển điện tử&gt; Sony</v>
      </c>
      <c r="G241" t="str">
        <f t="shared" ca="1" si="3"/>
        <v>"2084062309" : "Sony",</v>
      </c>
    </row>
    <row r="242" spans="1:7" ht="14.25" customHeight="1">
      <c r="A242" s="2">
        <v>2084062314</v>
      </c>
      <c r="B242" s="2" t="s">
        <v>46</v>
      </c>
      <c r="C242" s="2" t="s">
        <v>4604</v>
      </c>
      <c r="D242" s="2" t="s">
        <v>16513</v>
      </c>
      <c r="E242" s="4" t="str">
        <f ca="1">IFERROR(__xludf.DUMMYFUNCTION("GOOGLETRANSLATE(B242,""ja"",""vi"")"),"nếu không thì")</f>
        <v>nếu không thì</v>
      </c>
      <c r="F242" s="4" t="str">
        <f ca="1">IFERROR(__xludf.DUMMYFUNCTION("GOOGLETRANSLATE(C242,""ja"",""vi"")"),"Đấu giá&gt; vật tư văn phòng, cửa hàng&gt; thiết bị OA&gt; Từ điển điện tử&gt; Khác")</f>
        <v>Đấu giá&gt; vật tư văn phòng, cửa hàng&gt; thiết bị OA&gt; Từ điển điện tử&gt; Khác</v>
      </c>
      <c r="G242" t="str">
        <f t="shared" ca="1" si="3"/>
        <v>"2084062314" : "nếu không thì",</v>
      </c>
    </row>
    <row r="243" spans="1:7" ht="14.25" customHeight="1">
      <c r="A243" s="2">
        <v>2084239841</v>
      </c>
      <c r="B243" s="2" t="s">
        <v>4608</v>
      </c>
      <c r="C243" s="2" t="s">
        <v>4611</v>
      </c>
      <c r="D243" s="2" t="s">
        <v>16515</v>
      </c>
      <c r="E243" s="4" t="str">
        <f ca="1">IFERROR(__xludf.DUMMYFUNCTION("GOOGLETRANSLATE(B243,""ja"",""vi"")"),"Amadana")</f>
        <v>Amadana</v>
      </c>
      <c r="F243" s="4" t="str">
        <f ca="1">IFERROR(__xludf.DUMMYFUNCTION("GOOGLETRANSLATE(C243,""ja"",""vi"")"),"Đấu giá&gt; Văn phòng, Cửa hàng cung cấp&gt; thiết bị OA&gt; Máy tính&gt; amadana")</f>
        <v>Đấu giá&gt; Văn phòng, Cửa hàng cung cấp&gt; thiết bị OA&gt; Máy tính&gt; amadana</v>
      </c>
      <c r="G243" t="str">
        <f t="shared" ca="1" si="3"/>
        <v>"2084239841" : "Amadana",</v>
      </c>
    </row>
    <row r="244" spans="1:7" ht="14.25" customHeight="1">
      <c r="A244" s="2">
        <v>2084239839</v>
      </c>
      <c r="B244" s="2" t="s">
        <v>1806</v>
      </c>
      <c r="C244" s="2" t="s">
        <v>4616</v>
      </c>
      <c r="D244" s="2" t="s">
        <v>16518</v>
      </c>
      <c r="E244" s="4" t="str">
        <f ca="1">IFERROR(__xludf.DUMMYFUNCTION("GOOGLETRANSLATE(B244,""ja"",""vi"")"),"Casio")</f>
        <v>Casio</v>
      </c>
      <c r="F244" s="4" t="str">
        <f ca="1">IFERROR(__xludf.DUMMYFUNCTION("GOOGLETRANSLATE(C244,""ja"",""vi"")"),"Đấu giá&gt; Văn phòng, Cửa hàng cung cấp&gt; thiết bị OA&gt; Máy tính&gt; Casio")</f>
        <v>Đấu giá&gt; Văn phòng, Cửa hàng cung cấp&gt; thiết bị OA&gt; Máy tính&gt; Casio</v>
      </c>
      <c r="G244" t="str">
        <f t="shared" ca="1" si="3"/>
        <v>"2084239839" : "Casio",</v>
      </c>
    </row>
    <row r="245" spans="1:7" ht="14.25" customHeight="1">
      <c r="A245" s="2">
        <v>2084239840</v>
      </c>
      <c r="B245" s="2" t="s">
        <v>4583</v>
      </c>
      <c r="C245" s="2" t="s">
        <v>4620</v>
      </c>
      <c r="D245" s="2" t="s">
        <v>16520</v>
      </c>
      <c r="E245" s="4" t="str">
        <f ca="1">IFERROR(__xludf.DUMMYFUNCTION("GOOGLETRANSLATE(B245,""ja"",""vi"")"),"công dân")</f>
        <v>công dân</v>
      </c>
      <c r="F245" s="4" t="str">
        <f ca="1">IFERROR(__xludf.DUMMYFUNCTION("GOOGLETRANSLATE(C245,""ja"",""vi"")"),"Đấu giá&gt; Văn phòng, Cửa hàng cung cấp&gt; thiết bị OA&gt; Máy tính&gt; Citizen")</f>
        <v>Đấu giá&gt; Văn phòng, Cửa hàng cung cấp&gt; thiết bị OA&gt; Máy tính&gt; Citizen</v>
      </c>
      <c r="G245" t="str">
        <f t="shared" ca="1" si="3"/>
        <v>"2084239840" : "công dân",</v>
      </c>
    </row>
    <row r="246" spans="1:7" ht="14.25" customHeight="1">
      <c r="A246" s="2">
        <v>2084239838</v>
      </c>
      <c r="B246" s="2" t="s">
        <v>1731</v>
      </c>
      <c r="C246" s="2" t="s">
        <v>4623</v>
      </c>
      <c r="D246" s="2" t="s">
        <v>16522</v>
      </c>
      <c r="E246" s="4" t="str">
        <f ca="1">IFERROR(__xludf.DUMMYFUNCTION("GOOGLETRANSLATE(B246,""ja"",""vi"")"),"nhọn")</f>
        <v>nhọn</v>
      </c>
      <c r="F246" s="4" t="str">
        <f ca="1">IFERROR(__xludf.DUMMYFUNCTION("GOOGLETRANSLATE(C246,""ja"",""vi"")"),"Đấu giá&gt; Văn phòng, Cửa hàng cung cấp&gt; thiết bị OA&gt; Máy tính&gt; sắc nét")</f>
        <v>Đấu giá&gt; Văn phòng, Cửa hàng cung cấp&gt; thiết bị OA&gt; Máy tính&gt; sắc nét</v>
      </c>
      <c r="G246" t="str">
        <f t="shared" ca="1" si="3"/>
        <v>"2084239838" : "nhọn",</v>
      </c>
    </row>
    <row r="247" spans="1:7" ht="14.25" customHeight="1">
      <c r="A247" s="2">
        <v>2084239842</v>
      </c>
      <c r="B247" s="2" t="s">
        <v>46</v>
      </c>
      <c r="C247" s="2" t="s">
        <v>4627</v>
      </c>
      <c r="D247" s="2" t="s">
        <v>16524</v>
      </c>
      <c r="E247" s="4" t="str">
        <f ca="1">IFERROR(__xludf.DUMMYFUNCTION("GOOGLETRANSLATE(B247,""ja"",""vi"")"),"nếu không thì")</f>
        <v>nếu không thì</v>
      </c>
      <c r="F247" s="4" t="str">
        <f ca="1">IFERROR(__xludf.DUMMYFUNCTION("GOOGLETRANSLATE(C247,""ja"",""vi"")"),"Đấu giá&gt; Văn phòng, Cửa hàng cung cấp&gt; OA thiết bị&gt; Máy tính&gt; Khác")</f>
        <v>Đấu giá&gt; Văn phòng, Cửa hàng cung cấp&gt; OA thiết bị&gt; Máy tính&gt; Khác</v>
      </c>
      <c r="G247" t="str">
        <f t="shared" ca="1" si="3"/>
        <v>"2084239842" : "nếu không thì",</v>
      </c>
    </row>
    <row r="248" spans="1:7" ht="14.25" customHeight="1">
      <c r="A248" s="2">
        <v>2084006188</v>
      </c>
      <c r="B248" s="2" t="s">
        <v>7366</v>
      </c>
      <c r="C248" s="2" t="s">
        <v>7367</v>
      </c>
      <c r="D248" s="2" t="s">
        <v>16970</v>
      </c>
      <c r="E248" s="4" t="str">
        <f ca="1">IFERROR(__xludf.DUMMYFUNCTION("GOOGLETRANSLATE(B248,""ja"",""vi"")"),"nguồn cung cấp nghệ thuật")</f>
        <v>nguồn cung cấp nghệ thuật</v>
      </c>
      <c r="F248" s="4" t="str">
        <f ca="1">IFERROR(__xludf.DUMMYFUNCTION("GOOGLETRANSLATE(C248,""ja"",""vi"")"),"Đấu giá&gt; Sở thích, văn hóa&gt; Art Supplies&gt; vật liệu sơn")</f>
        <v>Đấu giá&gt; Sở thích, văn hóa&gt; Art Supplies&gt; vật liệu sơn</v>
      </c>
      <c r="G248" t="str">
        <f t="shared" ca="1" si="3"/>
        <v>"2084006188" : "nguồn cung cấp nghệ thuật",</v>
      </c>
    </row>
    <row r="249" spans="1:7" ht="14.25" customHeight="1">
      <c r="A249" s="2">
        <v>2084006189</v>
      </c>
      <c r="B249" s="2" t="s">
        <v>6890</v>
      </c>
      <c r="C249" s="2" t="s">
        <v>7370</v>
      </c>
      <c r="D249" s="2" t="s">
        <v>16975</v>
      </c>
      <c r="E249" s="4" t="str">
        <f ca="1">IFERROR(__xludf.DUMMYFUNCTION("GOOGLETRANSLATE(B249,""ja"",""vi"")"),"khung hình")</f>
        <v>khung hình</v>
      </c>
      <c r="F249" s="4" t="str">
        <f ca="1">IFERROR(__xludf.DUMMYFUNCTION("GOOGLETRANSLATE(C249,""ja"",""vi"")"),"Đấu giá&gt; Sở thích, văn hóa&gt; Art Supplies&gt; khung hình")</f>
        <v>Đấu giá&gt; Sở thích, văn hóa&gt; Art Supplies&gt; khung hình</v>
      </c>
      <c r="G249" t="str">
        <f t="shared" ca="1" si="3"/>
        <v>"2084006189" : "khung hình",</v>
      </c>
    </row>
    <row r="250" spans="1:7" ht="14.25" customHeight="1">
      <c r="A250" s="2">
        <v>20056</v>
      </c>
      <c r="B250" s="2" t="s">
        <v>7372</v>
      </c>
      <c r="C250" s="2" t="s">
        <v>7373</v>
      </c>
      <c r="D250" s="2" t="s">
        <v>16978</v>
      </c>
      <c r="E250" s="4" t="str">
        <f ca="1">IFERROR(__xludf.DUMMYFUNCTION("GOOGLETRANSLATE(B250,""ja"",""vi"")"),"Tác phẩm nghệ thuật")</f>
        <v>Tác phẩm nghệ thuật</v>
      </c>
      <c r="F250" s="4" t="str">
        <f ca="1">IFERROR(__xludf.DUMMYFUNCTION("GOOGLETRANSLATE(C250,""ja"",""vi"")"),"Đấu giá&gt; Sở thích, văn hóa&gt; Art Supplies&gt; tác phẩm nghệ thuật")</f>
        <v>Đấu giá&gt; Sở thích, văn hóa&gt; Art Supplies&gt; tác phẩm nghệ thuật</v>
      </c>
      <c r="G250" t="str">
        <f t="shared" ca="1" si="3"/>
        <v>"20056" : "Tác phẩm nghệ thuật",</v>
      </c>
    </row>
    <row r="251" spans="1:7" ht="14.25" customHeight="1">
      <c r="A251" s="2">
        <v>2084006190</v>
      </c>
      <c r="B251" s="2" t="s">
        <v>46</v>
      </c>
      <c r="C251" s="2" t="s">
        <v>7376</v>
      </c>
      <c r="D251" s="2" t="s">
        <v>16983</v>
      </c>
      <c r="E251" s="4" t="str">
        <f ca="1">IFERROR(__xludf.DUMMYFUNCTION("GOOGLETRANSLATE(B251,""ja"",""vi"")"),"nếu không thì")</f>
        <v>nếu không thì</v>
      </c>
      <c r="F251" s="4" t="str">
        <f ca="1">IFERROR(__xludf.DUMMYFUNCTION("GOOGLETRANSLATE(C251,""ja"",""vi"")"),"Đấu giá&gt; Sở thích, văn hóa&gt; Art Supplies&gt; Khác")</f>
        <v>Đấu giá&gt; Sở thích, văn hóa&gt; Art Supplies&gt; Khác</v>
      </c>
      <c r="G251" t="str">
        <f t="shared" ca="1" si="3"/>
        <v>"2084006190" : "nếu không thì",</v>
      </c>
    </row>
    <row r="252" spans="1:7" ht="14.25" customHeight="1">
      <c r="A252" s="2">
        <v>2084263153</v>
      </c>
      <c r="B252" s="2" t="s">
        <v>16246</v>
      </c>
      <c r="C252" s="2" t="s">
        <v>16247</v>
      </c>
      <c r="D252" s="2" t="s">
        <v>16248</v>
      </c>
      <c r="E252" s="4" t="str">
        <f ca="1">IFERROR(__xludf.DUMMYFUNCTION("GOOGLETRANSLATE(B252,""ja"",""vi"")"),"máy đóng gói")</f>
        <v>máy đóng gói</v>
      </c>
      <c r="F252" s="4" t="str">
        <f ca="1">IFERROR(__xludf.DUMMYFUNCTION("GOOGLETRANSLATE(C252,""ja"",""vi"")"),"Đấu giá&gt; Văn phòng, Cửa hàng cung cấp&gt; bao bì, đóng gói&gt; Máy đóng gói")</f>
        <v>Đấu giá&gt; Văn phòng, Cửa hàng cung cấp&gt; bao bì, đóng gói&gt; Máy đóng gói</v>
      </c>
      <c r="G252" t="str">
        <f t="shared" ca="1" si="3"/>
        <v>"2084263153" : "máy đóng gói",</v>
      </c>
    </row>
    <row r="253" spans="1:7" ht="14.25" customHeight="1">
      <c r="A253" s="2">
        <v>2084221001</v>
      </c>
      <c r="B253" s="2" t="s">
        <v>16251</v>
      </c>
      <c r="C253" s="2" t="s">
        <v>16252</v>
      </c>
      <c r="D253" s="2" t="s">
        <v>16253</v>
      </c>
      <c r="E253" s="4" t="str">
        <f ca="1">IFERROR(__xludf.DUMMYFUNCTION("GOOGLETRANSLATE(B253,""ja"",""vi"")"),"hộp quà tặng")</f>
        <v>hộp quà tặng</v>
      </c>
      <c r="F253" s="4" t="str">
        <f ca="1">IFERROR(__xludf.DUMMYFUNCTION("GOOGLETRANSLATE(C253,""ja"",""vi"")"),"Đấu giá&gt; Văn phòng, Cửa hàng cung cấp&gt; bao bì, đóng gói&gt; hộp quà tặng")</f>
        <v>Đấu giá&gt; Văn phòng, Cửa hàng cung cấp&gt; bao bì, đóng gói&gt; hộp quà tặng</v>
      </c>
      <c r="G253" t="str">
        <f t="shared" ca="1" si="3"/>
        <v>"2084221001" : "hộp quà tặng",</v>
      </c>
    </row>
    <row r="254" spans="1:7" ht="14.25" customHeight="1">
      <c r="A254" s="2">
        <v>2084063699</v>
      </c>
      <c r="B254" s="2" t="s">
        <v>16255</v>
      </c>
      <c r="C254" s="2" t="s">
        <v>16257</v>
      </c>
      <c r="D254" s="2" t="s">
        <v>16258</v>
      </c>
      <c r="E254" s="4" t="str">
        <f ca="1">IFERROR(__xludf.DUMMYFUNCTION("GOOGLETRANSLATE(B254,""ja"",""vi"")"),"người săn hải cẩu")</f>
        <v>người săn hải cẩu</v>
      </c>
      <c r="F254" s="4" t="str">
        <f ca="1">IFERROR(__xludf.DUMMYFUNCTION("GOOGLETRANSLATE(C254,""ja"",""vi"")"),"Đấu giá&gt; Văn phòng, Cửa hàng cung cấp&gt; bao bì, đóng gói&gt; niêm phong")</f>
        <v>Đấu giá&gt; Văn phòng, Cửa hàng cung cấp&gt; bao bì, đóng gói&gt; niêm phong</v>
      </c>
      <c r="G254" t="str">
        <f t="shared" ca="1" si="3"/>
        <v>"2084063699" : "người săn hải cẩu",</v>
      </c>
    </row>
    <row r="255" spans="1:7" ht="14.25" customHeight="1">
      <c r="A255" s="2">
        <v>2084221003</v>
      </c>
      <c r="B255" s="2" t="s">
        <v>16261</v>
      </c>
      <c r="C255" s="2" t="s">
        <v>16262</v>
      </c>
      <c r="D255" s="2" t="s">
        <v>16263</v>
      </c>
      <c r="E255" s="4" t="str">
        <f ca="1">IFERROR(__xludf.DUMMYFUNCTION("GOOGLETRANSLATE(B255,""ja"",""vi"")"),"laminator")</f>
        <v>laminator</v>
      </c>
      <c r="F255" s="4" t="str">
        <f ca="1">IFERROR(__xludf.DUMMYFUNCTION("GOOGLETRANSLATE(C255,""ja"",""vi"")"),"Đấu giá&gt; Văn phòng, Cửa hàng cung cấp&gt; bao bì, đóng gói&gt; laminator")</f>
        <v>Đấu giá&gt; Văn phòng, Cửa hàng cung cấp&gt; bao bì, đóng gói&gt; laminator</v>
      </c>
      <c r="G255" t="str">
        <f t="shared" ca="1" si="3"/>
        <v>"2084221003" : "laminator",</v>
      </c>
    </row>
    <row r="256" spans="1:7" ht="14.25" customHeight="1">
      <c r="A256" s="2">
        <v>2084063479</v>
      </c>
      <c r="B256" s="2" t="s">
        <v>16266</v>
      </c>
      <c r="C256" s="2" t="s">
        <v>16267</v>
      </c>
      <c r="D256" s="2" t="s">
        <v>16268</v>
      </c>
      <c r="E256" s="4" t="str">
        <f ca="1">IFERROR(__xludf.DUMMYFUNCTION("GOOGLETRANSLATE(B256,""ja"",""vi"")"),"dây băng")</f>
        <v>dây băng</v>
      </c>
      <c r="F256" s="4" t="str">
        <f ca="1">IFERROR(__xludf.DUMMYFUNCTION("GOOGLETRANSLATE(C256,""ja"",""vi"")"),"Đấu giá&gt; Văn phòng, Cửa hàng cung cấp&gt; bao bì, đóng gói&gt; ruy băng")</f>
        <v>Đấu giá&gt; Văn phòng, Cửa hàng cung cấp&gt; bao bì, đóng gói&gt; ruy băng</v>
      </c>
      <c r="G256" t="str">
        <f t="shared" ca="1" si="3"/>
        <v>"2084063479" : "dây băng",</v>
      </c>
    </row>
    <row r="257" spans="1:7" ht="14.25" customHeight="1">
      <c r="A257" s="2">
        <v>2084062994</v>
      </c>
      <c r="B257" s="2" t="s">
        <v>16271</v>
      </c>
      <c r="C257" s="2" t="s">
        <v>16272</v>
      </c>
      <c r="D257" s="2" t="s">
        <v>16273</v>
      </c>
      <c r="E257" s="4" t="str">
        <f ca="1">IFERROR(__xludf.DUMMYFUNCTION("GOOGLETRANSLATE(B257,""ja"",""vi"")"),"vật liệu đệm")</f>
        <v>vật liệu đệm</v>
      </c>
      <c r="F257" s="4" t="str">
        <f ca="1">IFERROR(__xludf.DUMMYFUNCTION("GOOGLETRANSLATE(C257,""ja"",""vi"")"),"Đấu giá&gt; Văn phòng, Cửa hàng cung cấp&gt; bao bì, đóng gói&gt; vật liệu đệm")</f>
        <v>Đấu giá&gt; Văn phòng, Cửa hàng cung cấp&gt; bao bì, đóng gói&gt; vật liệu đệm</v>
      </c>
      <c r="G257" t="str">
        <f t="shared" ca="1" si="3"/>
        <v>"2084062994" : "vật liệu đệm",</v>
      </c>
    </row>
    <row r="258" spans="1:7" ht="14.25" customHeight="1">
      <c r="A258" s="2">
        <v>2084063474</v>
      </c>
      <c r="B258" s="2" t="s">
        <v>6975</v>
      </c>
      <c r="C258" s="2" t="s">
        <v>16276</v>
      </c>
      <c r="D258" s="2" t="s">
        <v>16278</v>
      </c>
      <c r="E258" s="4" t="str">
        <f ca="1">IFERROR(__xludf.DUMMYFUNCTION("GOOGLETRANSLATE(B258,""ja"",""vi"")"),"nguồn cung cấp chất kết dính")</f>
        <v>nguồn cung cấp chất kết dính</v>
      </c>
      <c r="F258" s="4" t="str">
        <f ca="1">IFERROR(__xludf.DUMMYFUNCTION("GOOGLETRANSLATE(C258,""ja"",""vi"")"),"Đấu giá&gt; Văn phòng, Cửa hàng cung cấp&gt; bao bì, đóng gói&gt; nguồn cung cấp liên kết")</f>
        <v>Đấu giá&gt; Văn phòng, Cửa hàng cung cấp&gt; bao bì, đóng gói&gt; nguồn cung cấp liên kết</v>
      </c>
      <c r="G258" t="str">
        <f t="shared" ca="1" si="3"/>
        <v>"2084063474" : "nguồn cung cấp chất kết dính",</v>
      </c>
    </row>
    <row r="259" spans="1:7" ht="14.25" customHeight="1">
      <c r="A259" s="2">
        <v>2084063482</v>
      </c>
      <c r="B259" s="2" t="s">
        <v>16280</v>
      </c>
      <c r="C259" s="2" t="s">
        <v>16282</v>
      </c>
      <c r="D259" s="2" t="s">
        <v>16283</v>
      </c>
      <c r="E259" s="4" t="str">
        <f ca="1">IFERROR(__xludf.DUMMYFUNCTION("GOOGLETRANSLATE(B259,""ja"",""vi"")"),"Túi, phong bì")</f>
        <v>Túi, phong bì</v>
      </c>
      <c r="F259" s="4" t="str">
        <f ca="1">IFERROR(__xludf.DUMMYFUNCTION("GOOGLETRANSLATE(C259,""ja"",""vi"")"),"Đấu giá&gt; Văn phòng, Cửa hàng cung cấp&gt; bao bì, đóng gói&gt; túi, phong bì")</f>
        <v>Đấu giá&gt; Văn phòng, Cửa hàng cung cấp&gt; bao bì, đóng gói&gt; túi, phong bì</v>
      </c>
      <c r="G259" t="str">
        <f t="shared" ref="G259:G288" ca="1" si="4">CONCATENATE(CHAR(34)&amp;"",A259,""&amp;CHAR(34)," : ", CHAR(34)&amp;"",E259,""&amp;CHAR(34),",")</f>
        <v>"2084063482" : "Túi, phong bì",</v>
      </c>
    </row>
    <row r="260" spans="1:7" ht="14.25" customHeight="1">
      <c r="A260" s="2">
        <v>2084062992</v>
      </c>
      <c r="B260" s="2" t="s">
        <v>16286</v>
      </c>
      <c r="C260" s="2" t="s">
        <v>16287</v>
      </c>
      <c r="D260" s="2" t="s">
        <v>16288</v>
      </c>
      <c r="E260" s="4" t="str">
        <f ca="1">IFERROR(__xludf.DUMMYFUNCTION("GOOGLETRANSLATE(B260,""ja"",""vi"")"),"Một hộp các tông")</f>
        <v>Một hộp các tông</v>
      </c>
      <c r="F260" s="4" t="str">
        <f ca="1">IFERROR(__xludf.DUMMYFUNCTION("GOOGLETRANSLATE(C260,""ja"",""vi"")"),"Đấu giá&gt; Văn phòng, Cửa hàng cung cấp&gt; bao bì, đóng gói&gt; hộp các tông")</f>
        <v>Đấu giá&gt; Văn phòng, Cửa hàng cung cấp&gt; bao bì, đóng gói&gt; hộp các tông</v>
      </c>
      <c r="G260" t="str">
        <f t="shared" ca="1" si="4"/>
        <v>"2084062992" : "Một hộp các tông",</v>
      </c>
    </row>
    <row r="261" spans="1:7" ht="14.25" customHeight="1">
      <c r="A261" s="2">
        <v>2084063478</v>
      </c>
      <c r="B261" s="2" t="s">
        <v>16290</v>
      </c>
      <c r="C261" s="2" t="s">
        <v>16291</v>
      </c>
      <c r="D261" s="2" t="s">
        <v>16292</v>
      </c>
      <c r="E261" s="4" t="str">
        <f ca="1">IFERROR(__xludf.DUMMYFUNCTION("GOOGLETRANSLATE(B261,""ja"",""vi"")"),"chuỗi")</f>
        <v>chuỗi</v>
      </c>
      <c r="F261" s="4" t="str">
        <f ca="1">IFERROR(__xludf.DUMMYFUNCTION("GOOGLETRANSLATE(C261,""ja"",""vi"")"),"Đấu giá&gt; Văn phòng, Cửa hàng cung cấp&gt; bao bì, đóng gói&gt; chuỗi")</f>
        <v>Đấu giá&gt; Văn phòng, Cửa hàng cung cấp&gt; bao bì, đóng gói&gt; chuỗi</v>
      </c>
      <c r="G261" t="str">
        <f t="shared" ca="1" si="4"/>
        <v>"2084063478" : "chuỗi",</v>
      </c>
    </row>
    <row r="262" spans="1:7" ht="14.25" customHeight="1">
      <c r="A262" s="2">
        <v>2084063477</v>
      </c>
      <c r="B262" s="2" t="s">
        <v>16294</v>
      </c>
      <c r="C262" s="2" t="s">
        <v>16295</v>
      </c>
      <c r="D262" s="2" t="s">
        <v>16298</v>
      </c>
      <c r="E262" s="4" t="str">
        <f ca="1">IFERROR(__xludf.DUMMYFUNCTION("GOOGLETRANSLATE(B262,""ja"",""vi"")"),"giấy Bao bì")</f>
        <v>giấy Bao bì</v>
      </c>
      <c r="F262" s="4" t="str">
        <f ca="1">IFERROR(__xludf.DUMMYFUNCTION("GOOGLETRANSLATE(C262,""ja"",""vi"")"),"Đấu giá&gt; Văn phòng, Cửa hàng cung cấp&gt; bao bì, đóng gói&gt; giấy gói")</f>
        <v>Đấu giá&gt; Văn phòng, Cửa hàng cung cấp&gt; bao bì, đóng gói&gt; giấy gói</v>
      </c>
      <c r="G262" t="str">
        <f t="shared" ca="1" si="4"/>
        <v>"2084063477" : "giấy Bao bì",</v>
      </c>
    </row>
    <row r="263" spans="1:7" ht="14.25" customHeight="1">
      <c r="A263" s="2">
        <v>2084062993</v>
      </c>
      <c r="B263" s="2" t="s">
        <v>46</v>
      </c>
      <c r="C263" s="2" t="s">
        <v>16299</v>
      </c>
      <c r="D263" s="2" t="s">
        <v>16300</v>
      </c>
      <c r="E263" s="4" t="str">
        <f ca="1">IFERROR(__xludf.DUMMYFUNCTION("GOOGLETRANSLATE(B263,""ja"",""vi"")"),"nếu không thì")</f>
        <v>nếu không thì</v>
      </c>
      <c r="F263" s="4" t="str">
        <f ca="1">IFERROR(__xludf.DUMMYFUNCTION("GOOGLETRANSLATE(C263,""ja"",""vi"")"),"Đấu giá&gt; vật tư văn phòng, cửa hàng&gt; bao bì, đóng gói&gt; Khác")</f>
        <v>Đấu giá&gt; vật tư văn phòng, cửa hàng&gt; bao bì, đóng gói&gt; Khác</v>
      </c>
      <c r="G263" t="str">
        <f t="shared" ca="1" si="4"/>
        <v>"2084062993" : "nếu không thì",</v>
      </c>
    </row>
    <row r="264" spans="1:7" ht="14.25" customHeight="1">
      <c r="A264" s="2">
        <v>2084063309</v>
      </c>
      <c r="B264" s="2" t="s">
        <v>7132</v>
      </c>
      <c r="C264" s="2" t="s">
        <v>16719</v>
      </c>
      <c r="D264" s="2" t="s">
        <v>16720</v>
      </c>
      <c r="E264" s="4" t="str">
        <f ca="1">IFERROR(__xludf.DUMMYFUNCTION("GOOGLETRANSLATE(B264,""ja"",""vi"")"),"kéo")</f>
        <v>kéo</v>
      </c>
      <c r="F264" s="4" t="str">
        <f ca="1">IFERROR(__xludf.DUMMYFUNCTION("GOOGLETRANSLATE(C264,""ja"",""vi"")"),"Đấu giá&gt; Văn phòng, Cửa hàng cung cấp&gt; văn phòng phẩm&gt; nguồn cung cấp cắt&gt; Kéo")</f>
        <v>Đấu giá&gt; Văn phòng, Cửa hàng cung cấp&gt; văn phòng phẩm&gt; nguồn cung cấp cắt&gt; Kéo</v>
      </c>
      <c r="G264" t="str">
        <f t="shared" ca="1" si="4"/>
        <v>"2084063309" : "kéo",</v>
      </c>
    </row>
    <row r="265" spans="1:7" ht="14.25" customHeight="1">
      <c r="A265" s="2">
        <v>2084063310</v>
      </c>
      <c r="B265" s="2" t="s">
        <v>7137</v>
      </c>
      <c r="C265" s="2" t="s">
        <v>16723</v>
      </c>
      <c r="D265" s="2" t="s">
        <v>16724</v>
      </c>
      <c r="E265" s="4" t="str">
        <f ca="1">IFERROR(__xludf.DUMMYFUNCTION("GOOGLETRANSLATE(B265,""ja"",""vi"")"),"dao cắt")</f>
        <v>dao cắt</v>
      </c>
      <c r="F265" s="4" t="str">
        <f ca="1">IFERROR(__xludf.DUMMYFUNCTION("GOOGLETRANSLATE(C265,""ja"",""vi"")"),"Đấu giá&gt; Văn phòng, Cửa hàng cung cấp&gt; văn phòng phẩm&gt; cắt nguồn cung cấp&gt; dao cắt")</f>
        <v>Đấu giá&gt; Văn phòng, Cửa hàng cung cấp&gt; văn phòng phẩm&gt; cắt nguồn cung cấp&gt; dao cắt</v>
      </c>
      <c r="G265" t="str">
        <f t="shared" ca="1" si="4"/>
        <v>"2084063310" : "dao cắt",</v>
      </c>
    </row>
    <row r="266" spans="1:7" ht="14.25" customHeight="1">
      <c r="A266" s="2">
        <v>2084226756</v>
      </c>
      <c r="B266" s="2" t="s">
        <v>16728</v>
      </c>
      <c r="C266" s="2" t="s">
        <v>16729</v>
      </c>
      <c r="D266" s="2" t="s">
        <v>16730</v>
      </c>
      <c r="E266" s="4" t="str">
        <f ca="1">IFERROR(__xludf.DUMMYFUNCTION("GOOGLETRANSLATE(B266,""ja"",""vi"")"),"dao cắt giấy")</f>
        <v>dao cắt giấy</v>
      </c>
      <c r="F266" s="4" t="str">
        <f ca="1">IFERROR(__xludf.DUMMYFUNCTION("GOOGLETRANSLATE(C266,""ja"",""vi"")"),"Đấu giá&gt; Văn phòng, Cửa hàng cung cấp&gt; văn phòng phẩm&gt; cắt nguồn cung cấp&gt; dao giấy")</f>
        <v>Đấu giá&gt; Văn phòng, Cửa hàng cung cấp&gt; văn phòng phẩm&gt; cắt nguồn cung cấp&gt; dao giấy</v>
      </c>
      <c r="G266" t="str">
        <f t="shared" ca="1" si="4"/>
        <v>"2084226756" : "dao cắt giấy",</v>
      </c>
    </row>
    <row r="267" spans="1:7" ht="14.25" customHeight="1">
      <c r="A267" s="2">
        <v>2084063311</v>
      </c>
      <c r="B267" s="2" t="s">
        <v>16734</v>
      </c>
      <c r="C267" s="2" t="s">
        <v>16735</v>
      </c>
      <c r="D267" s="2" t="s">
        <v>16737</v>
      </c>
      <c r="E267" s="4" t="str">
        <f ca="1">IFERROR(__xludf.DUMMYFUNCTION("GOOGLETRANSLATE(B267,""ja"",""vi"")"),"máy cắt")</f>
        <v>máy cắt</v>
      </c>
      <c r="F267" s="4" t="str">
        <f ca="1">IFERROR(__xludf.DUMMYFUNCTION("GOOGLETRANSLATE(C267,""ja"",""vi"")"),"Đấu giá&gt; Văn phòng, Cửa hàng cung cấp&gt; văn phòng phẩm&gt; cắt nguồn cung cấp&gt; cắt")</f>
        <v>Đấu giá&gt; Văn phòng, Cửa hàng cung cấp&gt; văn phòng phẩm&gt; cắt nguồn cung cấp&gt; cắt</v>
      </c>
      <c r="G267" t="str">
        <f t="shared" ca="1" si="4"/>
        <v>"2084063311" : "máy cắt",</v>
      </c>
    </row>
    <row r="268" spans="1:7" ht="14.25" customHeight="1">
      <c r="A268" s="2">
        <v>2084063699</v>
      </c>
      <c r="B268" s="2" t="s">
        <v>16255</v>
      </c>
      <c r="C268" s="2" t="s">
        <v>16775</v>
      </c>
      <c r="D268" s="2" t="s">
        <v>16776</v>
      </c>
      <c r="E268" s="4" t="str">
        <f ca="1">IFERROR(__xludf.DUMMYFUNCTION("GOOGLETRANSLATE(B268,""ja"",""vi"")"),"người săn hải cẩu")</f>
        <v>người săn hải cẩu</v>
      </c>
      <c r="F268" s="4" t="str">
        <f ca="1">IFERROR(__xludf.DUMMYFUNCTION("GOOGLETRANSLATE(C268,""ja"",""vi"")"),"Đấu giá&gt; Văn phòng, Cửa hàng cung cấp&gt; bao bì, đóng gói&gt; nguồn cung cấp liên kết&gt; Sealer")</f>
        <v>Đấu giá&gt; Văn phòng, Cửa hàng cung cấp&gt; bao bì, đóng gói&gt; nguồn cung cấp liên kết&gt; Sealer</v>
      </c>
      <c r="G268" t="str">
        <f t="shared" ca="1" si="4"/>
        <v>"2084063699" : "người săn hải cẩu",</v>
      </c>
    </row>
    <row r="269" spans="1:7" ht="14.25" customHeight="1">
      <c r="A269" s="2">
        <v>2084063476</v>
      </c>
      <c r="B269" s="2" t="s">
        <v>16778</v>
      </c>
      <c r="C269" s="2" t="s">
        <v>16780</v>
      </c>
      <c r="D269" s="2" t="s">
        <v>16781</v>
      </c>
      <c r="E269" s="4" t="str">
        <f ca="1">IFERROR(__xludf.DUMMYFUNCTION("GOOGLETRANSLATE(B269,""ja"",""vi"")"),"niêm phong")</f>
        <v>niêm phong</v>
      </c>
      <c r="F269" s="4" t="str">
        <f ca="1">IFERROR(__xludf.DUMMYFUNCTION("GOOGLETRANSLATE(C269,""ja"",""vi"")"),"Đấu giá&gt; Văn phòng, Cửa hàng cung cấp&gt; bao bì, đóng gói&gt; nguồn cung cấp liên kết&gt; con dấu")</f>
        <v>Đấu giá&gt; Văn phòng, Cửa hàng cung cấp&gt; bao bì, đóng gói&gt; nguồn cung cấp liên kết&gt; con dấu</v>
      </c>
      <c r="G269" t="str">
        <f t="shared" ca="1" si="4"/>
        <v>"2084063476" : "niêm phong",</v>
      </c>
    </row>
    <row r="270" spans="1:7" ht="14.25" customHeight="1">
      <c r="A270" s="2">
        <v>2084063475</v>
      </c>
      <c r="B270" s="2" t="s">
        <v>16785</v>
      </c>
      <c r="C270" s="2" t="s">
        <v>16787</v>
      </c>
      <c r="D270" s="2" t="s">
        <v>16788</v>
      </c>
      <c r="E270" s="4" t="str">
        <f ca="1">IFERROR(__xludf.DUMMYFUNCTION("GOOGLETRANSLATE(B270,""ja"",""vi"")"),"băng keo")</f>
        <v>băng keo</v>
      </c>
      <c r="F270" s="4" t="str">
        <f ca="1">IFERROR(__xludf.DUMMYFUNCTION("GOOGLETRANSLATE(C270,""ja"",""vi"")"),"Đấu giá&gt; Văn phòng, Cửa hàng cung cấp&gt; bao bì, đóng gói&gt; nguồn cung cấp liên kết&gt; băng keo")</f>
        <v>Đấu giá&gt; Văn phòng, Cửa hàng cung cấp&gt; bao bì, đóng gói&gt; nguồn cung cấp liên kết&gt; băng keo</v>
      </c>
      <c r="G270" t="str">
        <f t="shared" ca="1" si="4"/>
        <v>"2084063475" : "băng keo",</v>
      </c>
    </row>
    <row r="271" spans="1:7" ht="14.25" customHeight="1">
      <c r="A271" s="2">
        <v>2084063484</v>
      </c>
      <c r="B271" s="2" t="s">
        <v>46</v>
      </c>
      <c r="C271" s="2" t="s">
        <v>16791</v>
      </c>
      <c r="D271" s="2" t="s">
        <v>16792</v>
      </c>
      <c r="E271" s="4" t="str">
        <f ca="1">IFERROR(__xludf.DUMMYFUNCTION("GOOGLETRANSLATE(B271,""ja"",""vi"")"),"nếu không thì")</f>
        <v>nếu không thì</v>
      </c>
      <c r="F271" s="4" t="str">
        <f ca="1">IFERROR(__xludf.DUMMYFUNCTION("GOOGLETRANSLATE(C271,""ja"",""vi"")"),"Đấu giá&gt; Văn phòng, Cửa hàng cung cấp&gt; bao bì, đóng gói&gt; nguồn cung cấp liên kết&gt; Khác")</f>
        <v>Đấu giá&gt; Văn phòng, Cửa hàng cung cấp&gt; bao bì, đóng gói&gt; nguồn cung cấp liên kết&gt; Khác</v>
      </c>
      <c r="G271" t="str">
        <f t="shared" ca="1" si="4"/>
        <v>"2084063484" : "nếu không thì",</v>
      </c>
    </row>
    <row r="272" spans="1:7" ht="14.25" customHeight="1">
      <c r="A272" s="2">
        <v>2084062324</v>
      </c>
      <c r="B272" s="2" t="s">
        <v>15354</v>
      </c>
      <c r="C272" s="2" t="s">
        <v>15355</v>
      </c>
      <c r="D272" s="2" t="s">
        <v>17037</v>
      </c>
      <c r="E272" s="4" t="str">
        <f ca="1">IFERROR(__xludf.DUMMYFUNCTION("GOOGLETRANSLATE(B272,""ja"",""vi"")"),"Attache chung")</f>
        <v>Attache chung</v>
      </c>
      <c r="F272" s="4" t="str">
        <f ca="1">IFERROR(__xludf.DUMMYFUNCTION("GOOGLETRANSLATE(C272,""ja"",""vi"")"),"Đấu giá&gt; Văn phòng, Cửa hàng cung cấp&gt; túi, va li&gt; trường hợp tùy viên&gt; tùy viên nói chung trường hợp")</f>
        <v>Đấu giá&gt; Văn phòng, Cửa hàng cung cấp&gt; túi, va li&gt; trường hợp tùy viên&gt; tùy viên nói chung trường hợp</v>
      </c>
      <c r="G272" t="str">
        <f t="shared" ca="1" si="4"/>
        <v>"2084062324" : "Attache chung",</v>
      </c>
    </row>
    <row r="273" spans="1:7" ht="14.25" customHeight="1">
      <c r="A273" s="2">
        <v>2084062325</v>
      </c>
      <c r="B273" s="2" t="s">
        <v>10636</v>
      </c>
      <c r="C273" s="2" t="s">
        <v>15360</v>
      </c>
      <c r="D273" s="2" t="s">
        <v>17039</v>
      </c>
      <c r="E273" s="4" t="str">
        <f ca="1">IFERROR(__xludf.DUMMYFUNCTION("GOOGLETRANSLATE(B273,""ja"",""vi"")"),"zero Halliburton")</f>
        <v>zero Halliburton</v>
      </c>
      <c r="F273" s="4" t="str">
        <f ca="1">IFERROR(__xludf.DUMMYFUNCTION("GOOGLETRANSLATE(C273,""ja"",""vi"")"),"Đấu giá&gt; Văn phòng, Cửa hàng cung cấp&gt; túi, va li&gt; tùy trường hợp&gt; Zero, Halliburton")</f>
        <v>Đấu giá&gt; Văn phòng, Cửa hàng cung cấp&gt; túi, va li&gt; tùy trường hợp&gt; Zero, Halliburton</v>
      </c>
      <c r="G273" t="str">
        <f t="shared" ca="1" si="4"/>
        <v>"2084062325" : "zero Halliburton",</v>
      </c>
    </row>
    <row r="274" spans="1:7" ht="14.25" customHeight="1">
      <c r="A274" s="2">
        <v>2084062326</v>
      </c>
      <c r="B274" s="2" t="s">
        <v>12145</v>
      </c>
      <c r="C274" s="2" t="s">
        <v>15364</v>
      </c>
      <c r="D274" s="2" t="s">
        <v>17042</v>
      </c>
      <c r="E274" s="4" t="str">
        <f ca="1">IFERROR(__xludf.DUMMYFUNCTION("GOOGLETRANSLATE(B274,""ja"",""vi"")"),"Rimowa")</f>
        <v>Rimowa</v>
      </c>
      <c r="F274" s="4" t="str">
        <f ca="1">IFERROR(__xludf.DUMMYFUNCTION("GOOGLETRANSLATE(C274,""ja"",""vi"")"),"Đấu giá&gt; Văn phòng, Cửa hàng cung cấp&gt; túi, va li&gt; tùy trường hợp&gt; Rimowa")</f>
        <v>Đấu giá&gt; Văn phòng, Cửa hàng cung cấp&gt; túi, va li&gt; tùy trường hợp&gt; Rimowa</v>
      </c>
      <c r="G274" t="str">
        <f t="shared" ca="1" si="4"/>
        <v>"2084062326" : "Rimowa",</v>
      </c>
    </row>
    <row r="275" spans="1:7" ht="14.25" customHeight="1">
      <c r="A275" s="2">
        <v>2084062327</v>
      </c>
      <c r="B275" s="2" t="s">
        <v>12124</v>
      </c>
      <c r="C275" s="2" t="s">
        <v>12126</v>
      </c>
      <c r="D275" s="2" t="s">
        <v>17045</v>
      </c>
      <c r="E275" s="4" t="str">
        <f ca="1">IFERROR(__xludf.DUMMYFUNCTION("GOOGLETRANSLATE(B275,""ja"",""vi"")"),"Vali, chung thân")</f>
        <v>Vali, chung thân</v>
      </c>
      <c r="F275" s="4" t="str">
        <f ca="1">IFERROR(__xludf.DUMMYFUNCTION("GOOGLETRANSLATE(C275,""ja"",""vi"")"),"Đấu giá&gt; Văn phòng, Cửa hàng cung cấp&gt; túi, va li&gt; va li, thân cây&gt; va li, chung thân")</f>
        <v>Đấu giá&gt; Văn phòng, Cửa hàng cung cấp&gt; túi, va li&gt; va li, thân cây&gt; va li, chung thân</v>
      </c>
      <c r="G275" t="str">
        <f t="shared" ca="1" si="4"/>
        <v>"2084062327" : "Vali, chung thân",</v>
      </c>
    </row>
    <row r="276" spans="1:7" ht="14.25" customHeight="1">
      <c r="A276" s="2">
        <v>2084062331</v>
      </c>
      <c r="B276" s="2" t="s">
        <v>10138</v>
      </c>
      <c r="C276" s="2" t="s">
        <v>12132</v>
      </c>
      <c r="D276" s="2" t="s">
        <v>17050</v>
      </c>
      <c r="E276" s="4" t="str">
        <f ca="1">IFERROR(__xludf.DUMMYFUNCTION("GOOGLETRANSLATE(B276,""ja"",""vi"")"),"Samsonite")</f>
        <v>Samsonite</v>
      </c>
      <c r="F276" s="4" t="str">
        <f ca="1">IFERROR(__xludf.DUMMYFUNCTION("GOOGLETRANSLATE(C276,""ja"",""vi"")"),"Đấu giá&gt; Văn phòng, Cửa hàng cung cấp&gt; túi, va li&gt; va li, thân cây&gt; Samsonite")</f>
        <v>Đấu giá&gt; Văn phòng, Cửa hàng cung cấp&gt; túi, va li&gt; va li, thân cây&gt; Samsonite</v>
      </c>
      <c r="G276" t="str">
        <f t="shared" ca="1" si="4"/>
        <v>"2084062331" : "Samsonite",</v>
      </c>
    </row>
    <row r="277" spans="1:7" ht="14.25" customHeight="1">
      <c r="A277" s="2">
        <v>2084062328</v>
      </c>
      <c r="B277" s="2" t="s">
        <v>10636</v>
      </c>
      <c r="C277" s="2" t="s">
        <v>12137</v>
      </c>
      <c r="D277" s="2" t="s">
        <v>17052</v>
      </c>
      <c r="E277" s="4" t="str">
        <f ca="1">IFERROR(__xludf.DUMMYFUNCTION("GOOGLETRANSLATE(B277,""ja"",""vi"")"),"zero Halliburton")</f>
        <v>zero Halliburton</v>
      </c>
      <c r="F277" s="4" t="str">
        <f ca="1">IFERROR(__xludf.DUMMYFUNCTION("GOOGLETRANSLATE(C277,""ja"",""vi"")"),"Đấu giá&gt; Văn phòng, Cửa hàng cung cấp&gt; túi, va li&gt; va li, thân cây&gt; Zero, Halliburton")</f>
        <v>Đấu giá&gt; Văn phòng, Cửa hàng cung cấp&gt; túi, va li&gt; va li, thân cây&gt; Zero, Halliburton</v>
      </c>
      <c r="G277" t="str">
        <f t="shared" ca="1" si="4"/>
        <v>"2084062328" : "zero Halliburton",</v>
      </c>
    </row>
    <row r="278" spans="1:7" ht="14.25" customHeight="1">
      <c r="A278" s="2">
        <v>2084062329</v>
      </c>
      <c r="B278" s="2" t="s">
        <v>10960</v>
      </c>
      <c r="C278" s="2" t="s">
        <v>12141</v>
      </c>
      <c r="D278" s="2" t="s">
        <v>17057</v>
      </c>
      <c r="E278" s="4" t="str">
        <f ca="1">IFERROR(__xludf.DUMMYFUNCTION("GOOGLETRANSLATE(B278,""ja"",""vi"")"),"Tumi")</f>
        <v>Tumi</v>
      </c>
      <c r="F278" s="4" t="str">
        <f ca="1">IFERROR(__xludf.DUMMYFUNCTION("GOOGLETRANSLATE(C278,""ja"",""vi"")"),"Đấu giá&gt; vật tư văn phòng, cửa hàng&gt; túi, va li&gt; va li, thân cây&gt; Tumi")</f>
        <v>Đấu giá&gt; vật tư văn phòng, cửa hàng&gt; túi, va li&gt; va li, thân cây&gt; Tumi</v>
      </c>
      <c r="G278" t="str">
        <f t="shared" ca="1" si="4"/>
        <v>"2084062329" : "Tumi",</v>
      </c>
    </row>
    <row r="279" spans="1:7" ht="14.25" customHeight="1">
      <c r="A279" s="2">
        <v>2084062330</v>
      </c>
      <c r="B279" s="2" t="s">
        <v>12145</v>
      </c>
      <c r="C279" s="2" t="s">
        <v>12147</v>
      </c>
      <c r="D279" s="2" t="s">
        <v>17061</v>
      </c>
      <c r="E279" s="4" t="str">
        <f ca="1">IFERROR(__xludf.DUMMYFUNCTION("GOOGLETRANSLATE(B279,""ja"",""vi"")"),"Rimowa")</f>
        <v>Rimowa</v>
      </c>
      <c r="F279" s="4" t="str">
        <f ca="1">IFERROR(__xludf.DUMMYFUNCTION("GOOGLETRANSLATE(C279,""ja"",""vi"")"),"Đấu giá&gt; vật tư văn phòng, cửa hàng&gt; túi, va li&gt; va li, thân cây&gt; Rimowa")</f>
        <v>Đấu giá&gt; vật tư văn phòng, cửa hàng&gt; túi, va li&gt; va li, thân cây&gt; Rimowa</v>
      </c>
      <c r="G279" t="str">
        <f t="shared" ca="1" si="4"/>
        <v>"2084062330" : "Rimowa",</v>
      </c>
    </row>
    <row r="280" spans="1:7" ht="14.25" customHeight="1">
      <c r="A280" s="2">
        <v>2084033826</v>
      </c>
      <c r="B280" s="2" t="s">
        <v>17062</v>
      </c>
      <c r="C280" s="2" t="s">
        <v>17063</v>
      </c>
      <c r="D280" s="2" t="s">
        <v>17064</v>
      </c>
      <c r="E280" s="4" t="str">
        <f ca="1">IFERROR(__xludf.DUMMYFUNCTION("GOOGLETRANSLATE(B280,""ja"",""vi"")"),"Kinh doanh Đại cương")</f>
        <v>Kinh doanh Đại cương</v>
      </c>
      <c r="F280" s="4" t="str">
        <f ca="1">IFERROR(__xludf.DUMMYFUNCTION("GOOGLETRANSLATE(C280,""ja"",""vi"")"),"Đấu giá&gt; cuốn sách, tạp chí&gt; kinh doanh, kinh tế&gt; kinh doanh&gt; kinh doanh giáo dục&gt; nói chung kinh doanh")</f>
        <v>Đấu giá&gt; cuốn sách, tạp chí&gt; kinh doanh, kinh tế&gt; kinh doanh&gt; kinh doanh giáo dục&gt; nói chung kinh doanh</v>
      </c>
      <c r="G280" t="str">
        <f t="shared" ca="1" si="4"/>
        <v>"2084033826" : "Kinh doanh Đại cương",</v>
      </c>
    </row>
    <row r="281" spans="1:7" ht="14.25" customHeight="1">
      <c r="A281" s="2">
        <v>2084033831</v>
      </c>
      <c r="B281" s="2" t="s">
        <v>17067</v>
      </c>
      <c r="C281" s="2" t="s">
        <v>17068</v>
      </c>
      <c r="D281" s="2" t="s">
        <v>17069</v>
      </c>
      <c r="E281" s="4" t="str">
        <f ca="1">IFERROR(__xludf.DUMMYFUNCTION("GOOGLETRANSLATE(B281,""ja"",""vi"")"),"Kinh doanh Internet")</f>
        <v>Kinh doanh Internet</v>
      </c>
      <c r="F281" s="4" t="str">
        <f ca="1">IFERROR(__xludf.DUMMYFUNCTION("GOOGLETRANSLATE(C281,""ja"",""vi"")"),"Đấu giá&gt; cuốn sách, tạp chí&gt; kinh doanh, kinh tế&gt; kinh doanh&gt; giáo dục kinh doanh&gt; kinh doanh internet")</f>
        <v>Đấu giá&gt; cuốn sách, tạp chí&gt; kinh doanh, kinh tế&gt; kinh doanh&gt; giáo dục kinh doanh&gt; kinh doanh internet</v>
      </c>
      <c r="G281" t="str">
        <f t="shared" ca="1" si="4"/>
        <v>"2084033831" : "Kinh doanh Internet",</v>
      </c>
    </row>
    <row r="282" spans="1:7" ht="14.25" customHeight="1">
      <c r="A282" s="2">
        <v>2084033834</v>
      </c>
      <c r="B282" s="2" t="s">
        <v>17070</v>
      </c>
      <c r="C282" s="2" t="s">
        <v>17071</v>
      </c>
      <c r="D282" s="2" t="s">
        <v>17073</v>
      </c>
      <c r="E282" s="4" t="str">
        <f ca="1">IFERROR(__xludf.DUMMYFUNCTION("GOOGLETRANSLATE(B282,""ja"",""vi"")"),"mô hình kinh doanh")</f>
        <v>mô hình kinh doanh</v>
      </c>
      <c r="F282" s="4" t="str">
        <f ca="1">IFERROR(__xludf.DUMMYFUNCTION("GOOGLETRANSLATE(C282,""ja"",""vi"")"),"Đấu giá&gt; cuốn sách, tạp chí&gt; kinh doanh, kinh tế&gt; kinh doanh&gt; kinh doanh giáo dục&gt; mô hình kinh doanh")</f>
        <v>Đấu giá&gt; cuốn sách, tạp chí&gt; kinh doanh, kinh tế&gt; kinh doanh&gt; kinh doanh giáo dục&gt; mô hình kinh doanh</v>
      </c>
      <c r="G282" t="str">
        <f t="shared" ca="1" si="4"/>
        <v>"2084033834" : "mô hình kinh doanh",</v>
      </c>
    </row>
    <row r="283" spans="1:7" ht="14.25" customHeight="1">
      <c r="A283" s="2">
        <v>2084033830</v>
      </c>
      <c r="B283" s="2" t="s">
        <v>17075</v>
      </c>
      <c r="C283" s="2" t="s">
        <v>17076</v>
      </c>
      <c r="D283" s="2" t="s">
        <v>17077</v>
      </c>
      <c r="E283" s="4" t="str">
        <f ca="1">IFERROR(__xludf.DUMMYFUNCTION("GOOGLETRANSLATE(B283,""ja"",""vi"")"),"kinh doanh bên lề")</f>
        <v>kinh doanh bên lề</v>
      </c>
      <c r="F283" s="4" t="str">
        <f ca="1">IFERROR(__xludf.DUMMYFUNCTION("GOOGLETRANSLATE(C283,""ja"",""vi"")"),"Đấu giá&gt; cuốn sách, tạp chí&gt; kinh doanh, kinh tế&gt; kinh doanh&gt; kinh doanh giáo dục&gt; đố kinh doanh")</f>
        <v>Đấu giá&gt; cuốn sách, tạp chí&gt; kinh doanh, kinh tế&gt; kinh doanh&gt; kinh doanh giáo dục&gt; đố kinh doanh</v>
      </c>
      <c r="G283" t="str">
        <f t="shared" ca="1" si="4"/>
        <v>"2084033830" : "kinh doanh bên lề",</v>
      </c>
    </row>
    <row r="284" spans="1:7" ht="14.25" customHeight="1">
      <c r="A284" s="2">
        <v>2084033827</v>
      </c>
      <c r="B284" s="2" t="s">
        <v>17080</v>
      </c>
      <c r="C284" s="2" t="s">
        <v>17081</v>
      </c>
      <c r="D284" s="2" t="s">
        <v>17083</v>
      </c>
      <c r="E284" s="4" t="str">
        <f ca="1">IFERROR(__xludf.DUMMYFUNCTION("GOOGLETRANSLATE(B284,""ja"",""vi"")"),"Các công ty, Lý thuyết công nghiệp")</f>
        <v>Các công ty, Lý thuyết công nghiệp</v>
      </c>
      <c r="F284" s="4" t="str">
        <f ca="1">IFERROR(__xludf.DUMMYFUNCTION("GOOGLETRANSLATE(C284,""ja"",""vi"")"),"Đấu giá&gt; cuốn sách, tạp chí&gt; kinh doanh, kinh tế&gt; kinh doanh&gt; giáo dục kinh doanh&gt; kinh doanh, lý thuyết ngành")</f>
        <v>Đấu giá&gt; cuốn sách, tạp chí&gt; kinh doanh, kinh tế&gt; kinh doanh&gt; giáo dục kinh doanh&gt; kinh doanh, lý thuyết ngành</v>
      </c>
      <c r="G284" t="str">
        <f t="shared" ca="1" si="4"/>
        <v>"2084033827" : "Các công ty, Lý thuyết công nghiệp",</v>
      </c>
    </row>
    <row r="285" spans="1:7" ht="14.25" customHeight="1">
      <c r="A285" s="2">
        <v>2084033829</v>
      </c>
      <c r="B285" s="2" t="s">
        <v>17088</v>
      </c>
      <c r="C285" s="2" t="s">
        <v>17089</v>
      </c>
      <c r="D285" s="2" t="s">
        <v>17090</v>
      </c>
      <c r="E285" s="4" t="str">
        <f ca="1">IFERROR(__xludf.DUMMYFUNCTION("GOOGLETRANSLATE(B285,""ja"",""vi"")"),"Quản lý, lãnh đạo")</f>
        <v>Quản lý, lãnh đạo</v>
      </c>
      <c r="F285" s="4" t="str">
        <f ca="1">IFERROR(__xludf.DUMMYFUNCTION("GOOGLETRANSLATE(C285,""ja"",""vi"")"),"Đấu giá&gt; cuốn sách, tạp chí&gt; kinh doanh, kinh tế&gt; kinh doanh&gt; giáo dục kinh doanh&gt; Quản lý, lãnh đạo")</f>
        <v>Đấu giá&gt; cuốn sách, tạp chí&gt; kinh doanh, kinh tế&gt; kinh doanh&gt; giáo dục kinh doanh&gt; Quản lý, lãnh đạo</v>
      </c>
      <c r="G285" t="str">
        <f t="shared" ca="1" si="4"/>
        <v>"2084033829" : "Quản lý, lãnh đạo",</v>
      </c>
    </row>
    <row r="286" spans="1:7" ht="14.25" customHeight="1">
      <c r="A286" s="2">
        <v>2084033828</v>
      </c>
      <c r="B286" s="2" t="s">
        <v>17095</v>
      </c>
      <c r="C286" s="2" t="s">
        <v>17096</v>
      </c>
      <c r="D286" s="2" t="s">
        <v>17097</v>
      </c>
      <c r="E286" s="4" t="str">
        <f ca="1">IFERROR(__xludf.DUMMYFUNCTION("GOOGLETRANSLATE(B286,""ja"",""vi"")"),"đọc tài liệu Jiji")</f>
        <v>đọc tài liệu Jiji</v>
      </c>
      <c r="F286" s="4" t="str">
        <f ca="1">IFERROR(__xludf.DUMMYFUNCTION("GOOGLETRANSLATE(C286,""ja"",""vi"")"),"Đấu giá&gt; cuốn sách, tạp chí&gt; kinh doanh, kinh tế&gt; kinh doanh&gt; kinh doanh giáo dục&gt; công việc hiện tại đọc tài liệu")</f>
        <v>Đấu giá&gt; cuốn sách, tạp chí&gt; kinh doanh, kinh tế&gt; kinh doanh&gt; kinh doanh giáo dục&gt; công việc hiện tại đọc tài liệu</v>
      </c>
      <c r="G286" t="str">
        <f t="shared" ca="1" si="4"/>
        <v>"2084033828" : "đọc tài liệu Jiji",</v>
      </c>
    </row>
    <row r="287" spans="1:7" ht="14.25" customHeight="1">
      <c r="A287" s="2">
        <v>2084033833</v>
      </c>
      <c r="B287" s="2" t="s">
        <v>17102</v>
      </c>
      <c r="C287" s="2" t="s">
        <v>17103</v>
      </c>
      <c r="D287" s="2" t="s">
        <v>17104</v>
      </c>
      <c r="E287" s="4" t="str">
        <f ca="1">IFERROR(__xludf.DUMMYFUNCTION("GOOGLETRANSLATE(B287,""ja"",""vi"")"),"nhân sự")</f>
        <v>nhân sự</v>
      </c>
      <c r="F287" s="4" t="str">
        <f ca="1">IFERROR(__xludf.DUMMYFUNCTION("GOOGLETRANSLATE(C287,""ja"",""vi"")"),"Đấu giá&gt; cuốn sách, tạp chí&gt; kinh doanh, kinh tế&gt; kinh doanh&gt; kinh doanh giáo dục&gt; nhân viên tạm thời")</f>
        <v>Đấu giá&gt; cuốn sách, tạp chí&gt; kinh doanh, kinh tế&gt; kinh doanh&gt; kinh doanh giáo dục&gt; nhân viên tạm thời</v>
      </c>
      <c r="G287" t="str">
        <f t="shared" ca="1" si="4"/>
        <v>"2084033833" : "nhân sự",</v>
      </c>
    </row>
    <row r="288" spans="1:7" ht="14.25" customHeight="1">
      <c r="A288" s="2">
        <v>2084033832</v>
      </c>
      <c r="B288" s="2" t="s">
        <v>17108</v>
      </c>
      <c r="C288" s="2" t="s">
        <v>17109</v>
      </c>
      <c r="D288" s="2" t="s">
        <v>17111</v>
      </c>
      <c r="E288" s="4" t="str">
        <f ca="1">IFERROR(__xludf.DUMMYFUNCTION("GOOGLETRANSLATE(B288,""ja"",""vi"")"),"Kiến thức, từ khóa")</f>
        <v>Kiến thức, từ khóa</v>
      </c>
      <c r="F288" s="4" t="str">
        <f ca="1">IFERROR(__xludf.DUMMYFUNCTION("GOOGLETRANSLATE(C288,""ja"",""vi"")"),"Đấu giá&gt; cuốn sách, tạp chí&gt; kinh doanh, kinh tế&gt; kinh doanh&gt; kinh doanh giáo dục&gt; kiến ​​thức, từ khóa")</f>
        <v>Đấu giá&gt; cuốn sách, tạp chí&gt; kinh doanh, kinh tế&gt; kinh doanh&gt; kinh doanh giáo dục&gt; kiến ​​thức, từ khóa</v>
      </c>
      <c r="G288" t="str">
        <f t="shared" ca="1" si="4"/>
        <v>"2084033832" : "Kiến thức, từ khóa",</v>
      </c>
    </row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</sheetData>
  <pageMargins left="0.7" right="0.7" top="0.75" bottom="0.75" header="0" footer="0"/>
  <pageSetup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3"/>
  <sheetViews>
    <sheetView workbookViewId="0">
      <selection activeCell="G2" sqref="G2"/>
    </sheetView>
  </sheetViews>
  <sheetFormatPr defaultColWidth="12.59765625" defaultRowHeight="15" customHeight="1"/>
  <cols>
    <col min="1" max="1" width="11.69921875" customWidth="1"/>
    <col min="2" max="2" width="9" customWidth="1"/>
    <col min="3" max="3" width="27" customWidth="1"/>
    <col min="4" max="4" width="24.5" customWidth="1"/>
    <col min="5" max="5" width="7.59765625" customWidth="1"/>
    <col min="6" max="6" width="60.79687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  <c r="E1" s="26"/>
      <c r="F1" s="26"/>
    </row>
    <row r="2" spans="1:7" ht="14.25" customHeight="1">
      <c r="A2" s="2">
        <v>2084228596</v>
      </c>
      <c r="B2" s="2" t="s">
        <v>17160</v>
      </c>
      <c r="C2" s="2" t="s">
        <v>17162</v>
      </c>
      <c r="D2" s="2" t="s">
        <v>17163</v>
      </c>
      <c r="E2" s="4" t="str">
        <f ca="1">IFERROR(__xludf.DUMMYFUNCTION("GOOGLETRANSLATE(B2,""ja"",""vi"")"),"ranchu")</f>
        <v>ranchu</v>
      </c>
      <c r="F2" s="4" t="str">
        <f ca="1">IFERROR(__xludf.DUMMYFUNCTION("GOOGLETRANSLATE(C2,""ja"",""vi"")"),"Đấu giá&gt; có thú nuôi, sinh vật&gt; cá, đời sống thủy sinh&gt; cá vàng&gt; ranchu")</f>
        <v>Đấu giá&gt; có thú nuôi, sinh vật&gt; cá, đời sống thủy sinh&gt; cá vàng&gt; ranchu</v>
      </c>
      <c r="G2" t="str">
        <f ca="1">CONCATENATE(CHAR(34)&amp;"",A2,""&amp;CHAR(34)," : ", CHAR(34)&amp;"",E2,""&amp;CHAR(34),",")</f>
        <v>"2084228596" : "ranchu",</v>
      </c>
    </row>
    <row r="3" spans="1:7" ht="14.25" customHeight="1">
      <c r="A3" s="2">
        <v>2084228599</v>
      </c>
      <c r="B3" s="2" t="s">
        <v>17168</v>
      </c>
      <c r="C3" s="2" t="s">
        <v>17169</v>
      </c>
      <c r="D3" s="2" t="s">
        <v>17170</v>
      </c>
      <c r="E3" s="4" t="str">
        <f ca="1">IFERROR(__xludf.DUMMYFUNCTION("GOOGLETRANSLATE(B3,""ja"",""vi"")"),"Lion đầu")</f>
        <v>Lion đầu</v>
      </c>
      <c r="F3" s="4" t="str">
        <f ca="1">IFERROR(__xludf.DUMMYFUNCTION("GOOGLETRANSLATE(C3,""ja"",""vi"")"),"Đấu giá&gt; có thú nuôi, sinh vật&gt; cá, đời sống thủy sinh&gt; cá vàng&gt; đầu sư tử")</f>
        <v>Đấu giá&gt; có thú nuôi, sinh vật&gt; cá, đời sống thủy sinh&gt; cá vàng&gt; đầu sư tử</v>
      </c>
      <c r="G3" t="str">
        <f t="shared" ref="G3:G66" ca="1" si="0">CONCATENATE(CHAR(34)&amp;"",A3,""&amp;CHAR(34)," : ", CHAR(34)&amp;"",E3,""&amp;CHAR(34),",")</f>
        <v>"2084228599" : "Lion đầu",</v>
      </c>
    </row>
    <row r="4" spans="1:7" ht="14.25" customHeight="1">
      <c r="A4" s="2">
        <v>2084228597</v>
      </c>
      <c r="B4" s="2" t="s">
        <v>17174</v>
      </c>
      <c r="C4" s="2" t="s">
        <v>17175</v>
      </c>
      <c r="D4" s="2" t="s">
        <v>17177</v>
      </c>
      <c r="E4" s="4" t="str">
        <f ca="1">IFERROR(__xludf.DUMMYFUNCTION("GOOGLETRANSLATE(B4,""ja"",""vi"")"),"cá vàng")</f>
        <v>cá vàng</v>
      </c>
      <c r="F4" s="4" t="str">
        <f ca="1">IFERROR(__xludf.DUMMYFUNCTION("GOOGLETRANSLATE(C4,""ja"",""vi"")"),"Đấu giá&gt; có thú nuôi, sinh vật&gt; cá, đời sống thủy sinh&gt; cá vàng&gt; cá vàng")</f>
        <v>Đấu giá&gt; có thú nuôi, sinh vật&gt; cá, đời sống thủy sinh&gt; cá vàng&gt; cá vàng</v>
      </c>
      <c r="G4" t="str">
        <f t="shared" ca="1" si="0"/>
        <v>"2084228597" : "cá vàng",</v>
      </c>
    </row>
    <row r="5" spans="1:7" ht="14.25" customHeight="1">
      <c r="A5" s="2">
        <v>2084228598</v>
      </c>
      <c r="B5" s="2" t="s">
        <v>17179</v>
      </c>
      <c r="C5" s="2" t="s">
        <v>17182</v>
      </c>
      <c r="D5" s="2" t="s">
        <v>17184</v>
      </c>
      <c r="E5" s="4" t="str">
        <f ca="1">IFERROR(__xludf.DUMMYFUNCTION("GOOGLETRANSLATE(B5,""ja"",""vi"")"),"cá vàng")</f>
        <v>cá vàng</v>
      </c>
      <c r="F5" s="4" t="str">
        <f ca="1">IFERROR(__xludf.DUMMYFUNCTION("GOOGLETRANSLATE(C5,""ja"",""vi"")"),"Đấu giá&gt; có thú nuôi, sinh vật&gt; cá, đời sống thủy sinh&gt; cá vàng&gt; cá vàng")</f>
        <v>Đấu giá&gt; có thú nuôi, sinh vật&gt; cá, đời sống thủy sinh&gt; cá vàng&gt; cá vàng</v>
      </c>
      <c r="G5" t="str">
        <f t="shared" ca="1" si="0"/>
        <v>"2084228598" : "cá vàng",</v>
      </c>
    </row>
    <row r="6" spans="1:7" ht="14.25" customHeight="1">
      <c r="A6" s="2">
        <v>2084228600</v>
      </c>
      <c r="B6" s="2" t="s">
        <v>46</v>
      </c>
      <c r="C6" s="2" t="s">
        <v>17189</v>
      </c>
      <c r="D6" s="2" t="s">
        <v>17191</v>
      </c>
      <c r="E6" s="4" t="str">
        <f ca="1">IFERROR(__xludf.DUMMYFUNCTION("GOOGLETRANSLATE(B6,""ja"",""vi"")"),"nếu không thì")</f>
        <v>nếu không thì</v>
      </c>
      <c r="F6" s="4" t="str">
        <f ca="1">IFERROR(__xludf.DUMMYFUNCTION("GOOGLETRANSLATE(C6,""ja"",""vi"")"),"Đấu giá&gt; có thú nuôi, sinh vật&gt; cá, đời sống thủy sinh&gt; cá vàng&gt; Khác")</f>
        <v>Đấu giá&gt; có thú nuôi, sinh vật&gt; cá, đời sống thủy sinh&gt; cá vàng&gt; Khác</v>
      </c>
      <c r="G6" t="str">
        <f t="shared" ca="1" si="0"/>
        <v>"2084228600" : "nếu không thì",</v>
      </c>
    </row>
    <row r="7" spans="1:7" ht="14.25" customHeight="1">
      <c r="A7" s="2">
        <v>2084228611</v>
      </c>
      <c r="B7" s="2" t="s">
        <v>17194</v>
      </c>
      <c r="C7" s="2" t="s">
        <v>17196</v>
      </c>
      <c r="D7" s="2" t="s">
        <v>17197</v>
      </c>
      <c r="E7" s="4" t="str">
        <f ca="1">IFERROR(__xludf.DUMMYFUNCTION("GOOGLETRANSLATE(B7,""ja"",""vi"")"),"đất")</f>
        <v>đất</v>
      </c>
      <c r="F7" s="4" t="str">
        <f ca="1">IFERROR(__xludf.DUMMYFUNCTION("GOOGLETRANSLATE(C7,""ja"",""vi"")"),"Đấu giá&gt; có thú nuôi, sinh vật&gt; cá, đời sống thủy sinh&gt; Cá nước&gt; đất")</f>
        <v>Đấu giá&gt; có thú nuôi, sinh vật&gt; cá, đời sống thủy sinh&gt; Cá nước&gt; đất</v>
      </c>
      <c r="G7" t="str">
        <f t="shared" ca="1" si="0"/>
        <v>"2084228611" : "đất",</v>
      </c>
    </row>
    <row r="8" spans="1:7" ht="14.25" customHeight="1">
      <c r="A8" s="2">
        <v>2084228610</v>
      </c>
      <c r="B8" s="2" t="s">
        <v>17199</v>
      </c>
      <c r="C8" s="2" t="s">
        <v>17200</v>
      </c>
      <c r="D8" s="2" t="s">
        <v>17201</v>
      </c>
      <c r="E8" s="4" t="str">
        <f ca="1">IFERROR(__xludf.DUMMYFUNCTION("GOOGLETRANSLATE(B8,""ja"",""vi"")"),"medaka")</f>
        <v>medaka</v>
      </c>
      <c r="F8" s="4" t="str">
        <f ca="1">IFERROR(__xludf.DUMMYFUNCTION("GOOGLETRANSLATE(C8,""ja"",""vi"")"),"Đấu giá&gt; có thú nuôi, sinh vật&gt; cá, đời sống thủy sinh&gt; Cá nước&gt; Medaka")</f>
        <v>Đấu giá&gt; có thú nuôi, sinh vật&gt; cá, đời sống thủy sinh&gt; Cá nước&gt; Medaka</v>
      </c>
      <c r="G8" t="str">
        <f t="shared" ca="1" si="0"/>
        <v>"2084228610" : "medaka",</v>
      </c>
    </row>
    <row r="9" spans="1:7" ht="14.25" customHeight="1">
      <c r="A9" s="2">
        <v>2084228612</v>
      </c>
      <c r="B9" s="2" t="s">
        <v>46</v>
      </c>
      <c r="C9" s="2" t="s">
        <v>17206</v>
      </c>
      <c r="D9" s="2" t="s">
        <v>17208</v>
      </c>
      <c r="E9" s="4" t="str">
        <f ca="1">IFERROR(__xludf.DUMMYFUNCTION("GOOGLETRANSLATE(B9,""ja"",""vi"")"),"nếu không thì")</f>
        <v>nếu không thì</v>
      </c>
      <c r="F9" s="4" t="str">
        <f ca="1">IFERROR(__xludf.DUMMYFUNCTION("GOOGLETRANSLATE(C9,""ja"",""vi"")"),"Đấu giá&gt; có thú nuôi, sinh vật&gt; cá, đời sống thủy sinh&gt; Cá nước&gt; Khác")</f>
        <v>Đấu giá&gt; có thú nuôi, sinh vật&gt; cá, đời sống thủy sinh&gt; Cá nước&gt; Khác</v>
      </c>
      <c r="G9" t="str">
        <f t="shared" ca="1" si="0"/>
        <v>"2084228612" : "nếu không thì",</v>
      </c>
    </row>
    <row r="10" spans="1:7" ht="14.25" customHeight="1">
      <c r="A10" s="2">
        <v>2084055868</v>
      </c>
      <c r="B10" s="2" t="s">
        <v>17210</v>
      </c>
      <c r="C10" s="7" t="s">
        <v>17212</v>
      </c>
      <c r="D10" s="2" t="s">
        <v>17213</v>
      </c>
      <c r="E10" s="4" t="str">
        <f ca="1">IFERROR(__xludf.DUMMYFUNCTION("GOOGLETRANSLATE(B10,""ja"",""vi"")"),"cá nước mặn")</f>
        <v>cá nước mặn</v>
      </c>
      <c r="F10" s="4" t="str">
        <f ca="1">IFERROR(__xludf.DUMMYFUNCTION("GOOGLETRANSLATE(C10,""ja"",""vi"")"),"Đấu giá&gt; có thú nuôi, sinh vật&gt; cá, đời sống thủy sinh&gt; cá nhiệt đới&gt; cá nước mặn")</f>
        <v>Đấu giá&gt; có thú nuôi, sinh vật&gt; cá, đời sống thủy sinh&gt; cá nhiệt đới&gt; cá nước mặn</v>
      </c>
      <c r="G10" t="str">
        <f t="shared" ca="1" si="0"/>
        <v>"2084055868" : "cá nước mặn",</v>
      </c>
    </row>
    <row r="11" spans="1:7" ht="14.25" customHeight="1">
      <c r="A11" s="2">
        <v>2084055867</v>
      </c>
      <c r="B11" s="2" t="s">
        <v>17216</v>
      </c>
      <c r="C11" s="7" t="s">
        <v>17217</v>
      </c>
      <c r="D11" s="2" t="s">
        <v>17219</v>
      </c>
      <c r="E11" s="4" t="str">
        <f ca="1">IFERROR(__xludf.DUMMYFUNCTION("GOOGLETRANSLATE(B11,""ja"",""vi"")"),"cá nước lợ")</f>
        <v>cá nước lợ</v>
      </c>
      <c r="F11" s="4" t="str">
        <f ca="1">IFERROR(__xludf.DUMMYFUNCTION("GOOGLETRANSLATE(C11,""ja"",""vi"")"),"Đấu giá&gt; có thú nuôi, sinh vật&gt; cá, đời sống thủy sinh&gt; cá nhiệt đới&gt; cá nước lợ")</f>
        <v>Đấu giá&gt; có thú nuôi, sinh vật&gt; cá, đời sống thủy sinh&gt; cá nhiệt đới&gt; cá nước lợ</v>
      </c>
      <c r="G11" t="str">
        <f t="shared" ca="1" si="0"/>
        <v>"2084055867" : "cá nước lợ",</v>
      </c>
    </row>
    <row r="12" spans="1:7" ht="14.25" customHeight="1">
      <c r="A12" s="2">
        <v>2084055866</v>
      </c>
      <c r="B12" s="2" t="s">
        <v>17222</v>
      </c>
      <c r="C12" s="7" t="s">
        <v>17223</v>
      </c>
      <c r="D12" s="2" t="s">
        <v>17224</v>
      </c>
      <c r="E12" s="4" t="str">
        <f ca="1">IFERROR(__xludf.DUMMYFUNCTION("GOOGLETRANSLATE(B12,""ja"",""vi"")"),"cá nước ngọt")</f>
        <v>cá nước ngọt</v>
      </c>
      <c r="F12" s="4" t="str">
        <f ca="1">IFERROR(__xludf.DUMMYFUNCTION("GOOGLETRANSLATE(C12,""ja"",""vi"")"),"Đấu giá&gt; có thú nuôi, sinh vật&gt; cá, đời sống thủy sinh&gt; cá nhiệt đới&gt; cá nước ngọt")</f>
        <v>Đấu giá&gt; có thú nuôi, sinh vật&gt; cá, đời sống thủy sinh&gt; cá nhiệt đới&gt; cá nước ngọt</v>
      </c>
      <c r="G12" t="str">
        <f t="shared" ca="1" si="0"/>
        <v>"2084055866" : "cá nước ngọt",</v>
      </c>
    </row>
    <row r="13" spans="1:7" ht="14.25" customHeight="1">
      <c r="A13" s="2">
        <v>2084228292</v>
      </c>
      <c r="B13" s="2" t="s">
        <v>17228</v>
      </c>
      <c r="C13" s="7" t="s">
        <v>17230</v>
      </c>
      <c r="D13" s="2" t="s">
        <v>17231</v>
      </c>
      <c r="E13" s="4" t="str">
        <f ca="1">IFERROR(__xludf.DUMMYFUNCTION("GOOGLETRANSLATE(B13,""ja"",""vi"")"),"Numaebi")</f>
        <v>Numaebi</v>
      </c>
      <c r="F13" s="4" t="str">
        <f ca="1">IFERROR(__xludf.DUMMYFUNCTION("GOOGLETRANSLATE(C13,""ja"",""vi"")"),"Đấu giá&gt; có thú nuôi, sinh vật&gt; cá, đời sống thủy sinh&gt; động vật giáp xác&gt; Numaebi")</f>
        <v>Đấu giá&gt; có thú nuôi, sinh vật&gt; cá, đời sống thủy sinh&gt; động vật giáp xác&gt; Numaebi</v>
      </c>
      <c r="G13" t="str">
        <f t="shared" ca="1" si="0"/>
        <v>"2084228292" : "Numaebi",</v>
      </c>
    </row>
    <row r="14" spans="1:7" ht="14.25" customHeight="1">
      <c r="A14" s="2">
        <v>2084228293</v>
      </c>
      <c r="B14" s="2" t="s">
        <v>17236</v>
      </c>
      <c r="C14" s="7" t="s">
        <v>17237</v>
      </c>
      <c r="D14" s="2" t="s">
        <v>17238</v>
      </c>
      <c r="E14" s="4" t="str">
        <f ca="1">IFERROR(__xludf.DUMMYFUNCTION("GOOGLETRANSLATE(B14,""ja"",""vi"")"),"Bee tôm")</f>
        <v>Bee tôm</v>
      </c>
      <c r="F14" s="4" t="str">
        <f ca="1">IFERROR(__xludf.DUMMYFUNCTION("GOOGLETRANSLATE(C14,""ja"",""vi"")"),"Đấu giá&gt; có thú nuôi, sinh vật&gt; cá, đời sống thủy sinh&gt; động vật giáp xác&gt; Bee Tôm")</f>
        <v>Đấu giá&gt; có thú nuôi, sinh vật&gt; cá, đời sống thủy sinh&gt; động vật giáp xác&gt; Bee Tôm</v>
      </c>
      <c r="G14" t="str">
        <f t="shared" ca="1" si="0"/>
        <v>"2084228293" : "Bee tôm",</v>
      </c>
    </row>
    <row r="15" spans="1:7" ht="14.25" customHeight="1">
      <c r="A15" s="2">
        <v>2084228299</v>
      </c>
      <c r="B15" s="2" t="s">
        <v>46</v>
      </c>
      <c r="C15" s="7" t="s">
        <v>17242</v>
      </c>
      <c r="D15" s="2" t="s">
        <v>17243</v>
      </c>
      <c r="E15" s="4" t="str">
        <f ca="1">IFERROR(__xludf.DUMMYFUNCTION("GOOGLETRANSLATE(B15,""ja"",""vi"")"),"nếu không thì")</f>
        <v>nếu không thì</v>
      </c>
      <c r="F15" s="4" t="str">
        <f ca="1">IFERROR(__xludf.DUMMYFUNCTION("GOOGLETRANSLATE(C15,""ja"",""vi"")"),"Đấu giá&gt; có thú nuôi, sinh vật&gt; cá, đời sống thủy sinh&gt; động vật giáp xác&gt; Khác")</f>
        <v>Đấu giá&gt; có thú nuôi, sinh vật&gt; cá, đời sống thủy sinh&gt; động vật giáp xác&gt; Khác</v>
      </c>
      <c r="G15" t="str">
        <f t="shared" ca="1" si="0"/>
        <v>"2084228299" : "nếu không thì",</v>
      </c>
    </row>
    <row r="16" spans="1:7" ht="14.25" customHeight="1">
      <c r="A16" s="2">
        <v>2084062696</v>
      </c>
      <c r="B16" s="2" t="s">
        <v>3138</v>
      </c>
      <c r="C16" s="2" t="s">
        <v>17246</v>
      </c>
      <c r="D16" s="2" t="s">
        <v>17247</v>
      </c>
      <c r="E16" s="4" t="str">
        <f ca="1">IFERROR(__xludf.DUMMYFUNCTION("GOOGLETRANSLATE(B16,""ja"",""vi"")"),"bộ")</f>
        <v>bộ</v>
      </c>
      <c r="F16" s="4" t="str">
        <f ca="1">IFERROR(__xludf.DUMMYFUNCTION("GOOGLETRANSLATE(C16,""ja"",""vi"")"),"Đấu giá&gt; nhà, nội thất&gt; Đồ Pet&gt; cá, nhà máy nước&gt; Cây nước&gt; bộ")</f>
        <v>Đấu giá&gt; nhà, nội thất&gt; Đồ Pet&gt; cá, nhà máy nước&gt; Cây nước&gt; bộ</v>
      </c>
      <c r="G16" t="str">
        <f t="shared" ca="1" si="0"/>
        <v>"2084062696" : "bộ",</v>
      </c>
    </row>
    <row r="17" spans="1:7" ht="14.25" customHeight="1">
      <c r="A17" s="2">
        <v>2084062701</v>
      </c>
      <c r="B17" s="2" t="s">
        <v>17249</v>
      </c>
      <c r="C17" s="2" t="s">
        <v>17250</v>
      </c>
      <c r="D17" s="2" t="s">
        <v>17251</v>
      </c>
      <c r="E17" s="4" t="str">
        <f ca="1">IFERROR(__xludf.DUMMYFUNCTION("GOOGLETRANSLATE(B17,""ja"",""vi"")"),"Anubias")</f>
        <v>Anubias</v>
      </c>
      <c r="F17" s="4" t="str">
        <f ca="1">IFERROR(__xludf.DUMMYFUNCTION("GOOGLETRANSLATE(C17,""ja"",""vi"")"),"Đấu giá&gt; nhà, nội thất&gt; Đồ Pet&gt; cá, nhà máy nước&gt; Cây nước&gt; Anubias")</f>
        <v>Đấu giá&gt; nhà, nội thất&gt; Đồ Pet&gt; cá, nhà máy nước&gt; Cây nước&gt; Anubias</v>
      </c>
      <c r="G17" t="str">
        <f t="shared" ca="1" si="0"/>
        <v>"2084062701" : "Anubias",</v>
      </c>
    </row>
    <row r="18" spans="1:7" ht="14.25" customHeight="1">
      <c r="A18" s="2">
        <v>2084062697</v>
      </c>
      <c r="B18" s="2" t="s">
        <v>17254</v>
      </c>
      <c r="C18" s="2" t="s">
        <v>17256</v>
      </c>
      <c r="D18" s="2" t="s">
        <v>17257</v>
      </c>
      <c r="E18" s="4" t="str">
        <f ca="1">IFERROR(__xludf.DUMMYFUNCTION("GOOGLETRANSLATE(B18,""ja"",""vi"")"),"Java moss")</f>
        <v>Java moss</v>
      </c>
      <c r="F18" s="4" t="str">
        <f ca="1">IFERROR(__xludf.DUMMYFUNCTION("GOOGLETRANSLATE(C18,""ja"",""vi"")"),"Đấu giá&gt; nhà, nội thất&gt; Đồ Pet&gt; cá, nhà máy nước&gt; Cây nước&gt; java moss")</f>
        <v>Đấu giá&gt; nhà, nội thất&gt; Đồ Pet&gt; cá, nhà máy nước&gt; Cây nước&gt; java moss</v>
      </c>
      <c r="G18" t="str">
        <f t="shared" ca="1" si="0"/>
        <v>"2084062697" : "Java moss",</v>
      </c>
    </row>
    <row r="19" spans="1:7" ht="14.25" customHeight="1">
      <c r="A19" s="2">
        <v>2084062703</v>
      </c>
      <c r="B19" s="2" t="s">
        <v>17259</v>
      </c>
      <c r="C19" s="2" t="s">
        <v>17260</v>
      </c>
      <c r="D19" s="2" t="s">
        <v>17261</v>
      </c>
      <c r="E19" s="4" t="str">
        <f ca="1">IFERROR(__xludf.DUMMYFUNCTION("GOOGLETRANSLATE(B19,""ja"",""vi"")"),"Echinodorus")</f>
        <v>Echinodorus</v>
      </c>
      <c r="F19" s="4" t="str">
        <f ca="1">IFERROR(__xludf.DUMMYFUNCTION("GOOGLETRANSLATE(C19,""ja"",""vi"")"),"Đấu giá&gt; nhà, nội thất&gt; Đồ Pet&gt; cá, nhà máy nước&gt; Cây nước&gt; Echinodorus")</f>
        <v>Đấu giá&gt; nhà, nội thất&gt; Đồ Pet&gt; cá, nhà máy nước&gt; Cây nước&gt; Echinodorus</v>
      </c>
      <c r="G19" t="str">
        <f t="shared" ca="1" si="0"/>
        <v>"2084062703" : "Echinodorus",</v>
      </c>
    </row>
    <row r="20" spans="1:7" ht="14.25" customHeight="1">
      <c r="A20" s="2">
        <v>2084062702</v>
      </c>
      <c r="B20" s="2" t="s">
        <v>17263</v>
      </c>
      <c r="C20" s="2" t="s">
        <v>17264</v>
      </c>
      <c r="D20" s="2" t="s">
        <v>17265</v>
      </c>
      <c r="E20" s="4" t="str">
        <f ca="1">IFERROR(__xludf.DUMMYFUNCTION("GOOGLETRANSLATE(B20,""ja"",""vi"")"),"Cryptocoryne")</f>
        <v>Cryptocoryne</v>
      </c>
      <c r="F20" s="4" t="str">
        <f ca="1">IFERROR(__xludf.DUMMYFUNCTION("GOOGLETRANSLATE(C20,""ja"",""vi"")"),"Đấu giá&gt; nhà, nội thất&gt; Đồ Pet&gt; cá, nhà máy nước&gt; Cây nước&gt; Cryptocoryne")</f>
        <v>Đấu giá&gt; nhà, nội thất&gt; Đồ Pet&gt; cá, nhà máy nước&gt; Cây nước&gt; Cryptocoryne</v>
      </c>
      <c r="G20" t="str">
        <f t="shared" ca="1" si="0"/>
        <v>"2084062702" : "Cryptocoryne",</v>
      </c>
    </row>
    <row r="21" spans="1:7" ht="14.25" customHeight="1">
      <c r="A21" s="2">
        <v>2084062700</v>
      </c>
      <c r="B21" s="2" t="s">
        <v>17267</v>
      </c>
      <c r="C21" s="2" t="s">
        <v>17268</v>
      </c>
      <c r="D21" s="2" t="s">
        <v>17269</v>
      </c>
      <c r="E21" s="4" t="str">
        <f ca="1">IFERROR(__xludf.DUMMYFUNCTION("GOOGLETRANSLATE(B21,""ja"",""vi"")"),"Grosso kỳ thị")</f>
        <v>Grosso kỳ thị</v>
      </c>
      <c r="F21" s="4" t="str">
        <f ca="1">IFERROR(__xludf.DUMMYFUNCTION("GOOGLETRANSLATE(C21,""ja"",""vi"")"),"Đấu giá&gt; nhà, nội thất&gt; Đồ Pet&gt; cá, nhà máy nước&gt; Cây nước&gt; Grosso kỳ thị")</f>
        <v>Đấu giá&gt; nhà, nội thất&gt; Đồ Pet&gt; cá, nhà máy nước&gt; Cây nước&gt; Grosso kỳ thị</v>
      </c>
      <c r="G21" t="str">
        <f t="shared" ca="1" si="0"/>
        <v>"2084062700" : "Grosso kỳ thị",</v>
      </c>
    </row>
    <row r="22" spans="1:7" ht="14.25" customHeight="1">
      <c r="A22" s="2">
        <v>2084062699</v>
      </c>
      <c r="B22" s="2" t="s">
        <v>17272</v>
      </c>
      <c r="C22" s="2" t="s">
        <v>17273</v>
      </c>
      <c r="D22" s="2" t="s">
        <v>17275</v>
      </c>
      <c r="E22" s="4" t="str">
        <f ca="1">IFERROR(__xludf.DUMMYFUNCTION("GOOGLETRANSLATE(B22,""ja"",""vi"")"),"kính ngọc trai")</f>
        <v>kính ngọc trai</v>
      </c>
      <c r="F22" s="4" t="str">
        <f ca="1">IFERROR(__xludf.DUMMYFUNCTION("GOOGLETRANSLATE(C22,""ja"",""vi"")"),"Đấu giá&gt; nhà, nội thất&gt; Đồ Pet&gt; cá, nhà máy nước&gt; Cây nước&gt; kính ngọc trai")</f>
        <v>Đấu giá&gt; nhà, nội thất&gt; Đồ Pet&gt; cá, nhà máy nước&gt; Cây nước&gt; kính ngọc trai</v>
      </c>
      <c r="G22" t="str">
        <f t="shared" ca="1" si="0"/>
        <v>"2084062699" : "kính ngọc trai",</v>
      </c>
    </row>
    <row r="23" spans="1:7" ht="14.25" customHeight="1">
      <c r="A23" s="2">
        <v>2084062698</v>
      </c>
      <c r="B23" s="2" t="s">
        <v>17276</v>
      </c>
      <c r="C23" s="2" t="s">
        <v>17277</v>
      </c>
      <c r="D23" s="2" t="s">
        <v>17278</v>
      </c>
      <c r="E23" s="4" t="str">
        <f ca="1">IFERROR(__xludf.DUMMYFUNCTION("GOOGLETRANSLATE(B23,""ja"",""vi"")"),"Licia")</f>
        <v>Licia</v>
      </c>
      <c r="F23" s="4" t="str">
        <f ca="1">IFERROR(__xludf.DUMMYFUNCTION("GOOGLETRANSLATE(C23,""ja"",""vi"")"),"Đấu giá&gt; nhà, nội thất&gt; Đồ Pet&gt; cá, nhà máy nước&gt; Cây nước&gt; Licia")</f>
        <v>Đấu giá&gt; nhà, nội thất&gt; Đồ Pet&gt; cá, nhà máy nước&gt; Cây nước&gt; Licia</v>
      </c>
      <c r="G23" t="str">
        <f t="shared" ca="1" si="0"/>
        <v>"2084062698" : "Licia",</v>
      </c>
    </row>
    <row r="24" spans="1:7" ht="14.25" customHeight="1">
      <c r="A24" s="2">
        <v>2084062704</v>
      </c>
      <c r="B24" s="2" t="s">
        <v>17279</v>
      </c>
      <c r="C24" s="2" t="s">
        <v>17280</v>
      </c>
      <c r="D24" s="2" t="s">
        <v>17281</v>
      </c>
      <c r="E24" s="4" t="str">
        <f ca="1">IFERROR(__xludf.DUMMYFUNCTION("GOOGLETRANSLATE(B24,""ja"",""vi"")"),"lớp bèo tấm")</f>
        <v>lớp bèo tấm</v>
      </c>
      <c r="F24" s="4" t="str">
        <f ca="1">IFERROR(__xludf.DUMMYFUNCTION("GOOGLETRANSLATE(C24,""ja"",""vi"")"),"Đấu giá&gt; nhà, nội thất&gt; Đồ Pet&gt; cá, nhà máy nước&gt; Cây nước&gt; lớp bèo tấm")</f>
        <v>Đấu giá&gt; nhà, nội thất&gt; Đồ Pet&gt; cá, nhà máy nước&gt; Cây nước&gt; lớp bèo tấm</v>
      </c>
      <c r="G24" t="str">
        <f t="shared" ca="1" si="0"/>
        <v>"2084062704" : "lớp bèo tấm",</v>
      </c>
    </row>
    <row r="25" spans="1:7" ht="14.25" customHeight="1">
      <c r="A25" s="2">
        <v>24266</v>
      </c>
      <c r="B25" s="2" t="s">
        <v>12697</v>
      </c>
      <c r="C25" s="2" t="s">
        <v>17282</v>
      </c>
      <c r="D25" s="2" t="s">
        <v>17283</v>
      </c>
      <c r="E25" s="4" t="str">
        <f ca="1">IFERROR(__xludf.DUMMYFUNCTION("GOOGLETRANSLATE(B25,""ja"",""vi"")"),"chiếu sáng")</f>
        <v>chiếu sáng</v>
      </c>
      <c r="F25" s="4" t="str">
        <f ca="1">IFERROR(__xludf.DUMMYFUNCTION("GOOGLETRANSLATE(C25,""ja"",""vi"")"),"Đấu giá&gt; nhà, nội thất&gt; Đồ Pet&gt; cá, nhà máy nước&gt; Cây nước&gt; ánh sáng")</f>
        <v>Đấu giá&gt; nhà, nội thất&gt; Đồ Pet&gt; cá, nhà máy nước&gt; Cây nước&gt; ánh sáng</v>
      </c>
      <c r="G25" t="str">
        <f t="shared" ca="1" si="0"/>
        <v>"24266" : "chiếu sáng",</v>
      </c>
    </row>
    <row r="26" spans="1:7" ht="14.25" customHeight="1">
      <c r="A26" s="2">
        <v>2084047555</v>
      </c>
      <c r="B26" s="2" t="s">
        <v>12737</v>
      </c>
      <c r="C26" s="2" t="s">
        <v>17284</v>
      </c>
      <c r="D26" s="2" t="s">
        <v>17285</v>
      </c>
      <c r="E26" s="4" t="str">
        <f ca="1">IFERROR(__xludf.DUMMYFUNCTION("GOOGLETRANSLATE(B26,""ja"",""vi"")"),"nguồn cung cấp nhà máy nước")</f>
        <v>nguồn cung cấp nhà máy nước</v>
      </c>
      <c r="F26" s="4" t="str">
        <f ca="1">IFERROR(__xludf.DUMMYFUNCTION("GOOGLETRANSLATE(C26,""ja"",""vi"")"),"Đấu giá&gt; nhà, nội thất&gt; Đồ Pet&gt; cá, nhà máy nước&gt; Cây nước&gt; nhà máy cung cấp nước")</f>
        <v>Đấu giá&gt; nhà, nội thất&gt; Đồ Pet&gt; cá, nhà máy nước&gt; Cây nước&gt; nhà máy cung cấp nước</v>
      </c>
      <c r="G26" t="str">
        <f t="shared" ca="1" si="0"/>
        <v>"2084047555" : "nguồn cung cấp nhà máy nước",</v>
      </c>
    </row>
    <row r="27" spans="1:7" ht="14.25" customHeight="1">
      <c r="A27" s="2">
        <v>2084062705</v>
      </c>
      <c r="B27" s="2" t="s">
        <v>46</v>
      </c>
      <c r="C27" s="2" t="s">
        <v>17286</v>
      </c>
      <c r="D27" s="2" t="s">
        <v>17287</v>
      </c>
      <c r="E27" s="4" t="str">
        <f ca="1">IFERROR(__xludf.DUMMYFUNCTION("GOOGLETRANSLATE(B27,""ja"",""vi"")"),"nếu không thì")</f>
        <v>nếu không thì</v>
      </c>
      <c r="F27" s="4" t="str">
        <f ca="1">IFERROR(__xludf.DUMMYFUNCTION("GOOGLETRANSLATE(C27,""ja"",""vi"")"),"Đấu giá&gt; nhà, nội thất&gt; Đồ Pet&gt; cá, nhà máy nước&gt; Cây nước&gt; Khác")</f>
        <v>Đấu giá&gt; nhà, nội thất&gt; Đồ Pet&gt; cá, nhà máy nước&gt; Cây nước&gt; Khác</v>
      </c>
      <c r="G27" t="str">
        <f t="shared" ca="1" si="0"/>
        <v>"2084062705" : "nếu không thì",</v>
      </c>
    </row>
    <row r="28" spans="1:7" ht="14.25" customHeight="1">
      <c r="A28" s="2">
        <v>24290</v>
      </c>
      <c r="B28" s="2" t="s">
        <v>3138</v>
      </c>
      <c r="C28" s="2" t="s">
        <v>12635</v>
      </c>
      <c r="D28" s="2" t="s">
        <v>17289</v>
      </c>
      <c r="E28" s="4" t="str">
        <f ca="1">IFERROR(__xludf.DUMMYFUNCTION("GOOGLETRANSLATE(B28,""ja"",""vi"")"),"bộ")</f>
        <v>bộ</v>
      </c>
      <c r="F28" s="4" t="str">
        <f ca="1">IFERROR(__xludf.DUMMYFUNCTION("GOOGLETRANSLATE(C28,""ja"",""vi"")"),"Đấu giá&gt; nhà, nội thất&gt; Đồ Pet&gt; cá, nhà máy nước&gt; bộ")</f>
        <v>Đấu giá&gt; nhà, nội thất&gt; Đồ Pet&gt; cá, nhà máy nước&gt; bộ</v>
      </c>
      <c r="G28" t="str">
        <f t="shared" ca="1" si="0"/>
        <v>"24290" : "bộ",</v>
      </c>
    </row>
    <row r="29" spans="1:7" ht="14.25" customHeight="1">
      <c r="A29" s="2">
        <v>2084061343</v>
      </c>
      <c r="B29" s="2" t="s">
        <v>12640</v>
      </c>
      <c r="C29" s="2" t="s">
        <v>12642</v>
      </c>
      <c r="D29" s="2" t="s">
        <v>17292</v>
      </c>
      <c r="E29" s="4" t="str">
        <f ca="1">IFERROR(__xludf.DUMMYFUNCTION("GOOGLETRANSLATE(B29,""ja"",""vi"")"),"vật liệu lọc")</f>
        <v>vật liệu lọc</v>
      </c>
      <c r="F29" s="4" t="str">
        <f ca="1">IFERROR(__xludf.DUMMYFUNCTION("GOOGLETRANSLATE(C29,""ja"",""vi"")"),"Đấu giá&gt; nhà, nội thất&gt; Đồ Pet&gt; cá, nhà máy nước&gt; vật liệu lọc")</f>
        <v>Đấu giá&gt; nhà, nội thất&gt; Đồ Pet&gt; cá, nhà máy nước&gt; vật liệu lọc</v>
      </c>
      <c r="G29" t="str">
        <f t="shared" ca="1" si="0"/>
        <v>"2084061343" : "vật liệu lọc",</v>
      </c>
    </row>
    <row r="30" spans="1:7" ht="14.25" customHeight="1">
      <c r="A30" s="2">
        <v>24274</v>
      </c>
      <c r="B30" s="2" t="s">
        <v>12646</v>
      </c>
      <c r="C30" s="2" t="s">
        <v>12648</v>
      </c>
      <c r="D30" s="2" t="s">
        <v>17294</v>
      </c>
      <c r="E30" s="4" t="str">
        <f ca="1">IFERROR(__xludf.DUMMYFUNCTION("GOOGLETRANSLATE(B30,""ja"",""vi"")"),"máy bơm không khí")</f>
        <v>máy bơm không khí</v>
      </c>
      <c r="F30" s="4" t="str">
        <f ca="1">IFERROR(__xludf.DUMMYFUNCTION("GOOGLETRANSLATE(C30,""ja"",""vi"")"),"Đấu giá&gt; nhà, nội thất&gt; Đồ Pet&gt; cá, nhà máy nước&gt; máy bơm không khí")</f>
        <v>Đấu giá&gt; nhà, nội thất&gt; Đồ Pet&gt; cá, nhà máy nước&gt; máy bơm không khí</v>
      </c>
      <c r="G30" t="str">
        <f t="shared" ca="1" si="0"/>
        <v>"24274" : "máy bơm không khí",</v>
      </c>
    </row>
    <row r="31" spans="1:7" ht="14.25" customHeight="1">
      <c r="A31" s="2">
        <v>2084008260</v>
      </c>
      <c r="B31" s="2" t="s">
        <v>12577</v>
      </c>
      <c r="C31" s="2" t="s">
        <v>12653</v>
      </c>
      <c r="D31" s="2" t="s">
        <v>17296</v>
      </c>
      <c r="E31" s="4" t="str">
        <f ca="1">IFERROR(__xludf.DUMMYFUNCTION("GOOGLETRANSLATE(B31,""ja"",""vi"")"),"mồi")</f>
        <v>mồi</v>
      </c>
      <c r="F31" s="4" t="str">
        <f ca="1">IFERROR(__xludf.DUMMYFUNCTION("GOOGLETRANSLATE(C31,""ja"",""vi"")"),"Đấu giá&gt; nhà, nội thất&gt; Đồ Pet&gt; cá, nhà máy nước&gt; mồi")</f>
        <v>Đấu giá&gt; nhà, nội thất&gt; Đồ Pet&gt; cá, nhà máy nước&gt; mồi</v>
      </c>
      <c r="G31" t="str">
        <f t="shared" ca="1" si="0"/>
        <v>"2084008260" : "mồi",</v>
      </c>
    </row>
    <row r="32" spans="1:7" ht="14.25" customHeight="1">
      <c r="A32" s="2">
        <v>2084061388</v>
      </c>
      <c r="B32" s="2" t="s">
        <v>12659</v>
      </c>
      <c r="C32" s="2" t="s">
        <v>12660</v>
      </c>
      <c r="D32" s="2" t="s">
        <v>17297</v>
      </c>
      <c r="E32" s="4" t="str">
        <f ca="1">IFERROR(__xludf.DUMMYFUNCTION("GOOGLETRANSLATE(B32,""ja"",""vi"")"),"Cooler")</f>
        <v>Cooler</v>
      </c>
      <c r="F32" s="4" t="str">
        <f ca="1">IFERROR(__xludf.DUMMYFUNCTION("GOOGLETRANSLATE(C32,""ja"",""vi"")"),"Đấu giá&gt; nhà, nội thất&gt; Đồ Pet&gt; cá, nhà máy nước&gt; mát")</f>
        <v>Đấu giá&gt; nhà, nội thất&gt; Đồ Pet&gt; cá, nhà máy nước&gt; mát</v>
      </c>
      <c r="G32" t="str">
        <f t="shared" ca="1" si="0"/>
        <v>"2084061388" : "Cooler",</v>
      </c>
    </row>
    <row r="33" spans="1:7" ht="14.25" customHeight="1">
      <c r="A33" s="2">
        <v>2084005549</v>
      </c>
      <c r="B33" s="2" t="s">
        <v>12663</v>
      </c>
      <c r="C33" s="2" t="s">
        <v>12664</v>
      </c>
      <c r="D33" s="2" t="s">
        <v>17298</v>
      </c>
      <c r="E33" s="4" t="str">
        <f ca="1">IFERROR(__xludf.DUMMYFUNCTION("GOOGLETRANSLATE(B33,""ja"",""vi"")"),"máy điều nhiệt")</f>
        <v>máy điều nhiệt</v>
      </c>
      <c r="F33" s="4" t="str">
        <f ca="1">IFERROR(__xludf.DUMMYFUNCTION("GOOGLETRANSLATE(C33,""ja"",""vi"")"),"Đấu giá&gt; nhà, nội thất&gt; Đồ Pet&gt; cá, nhà máy nước&gt; nhiệt")</f>
        <v>Đấu giá&gt; nhà, nội thất&gt; Đồ Pet&gt; cá, nhà máy nước&gt; nhiệt</v>
      </c>
      <c r="G33" t="str">
        <f t="shared" ca="1" si="0"/>
        <v>"2084005549" : "máy điều nhiệt",</v>
      </c>
    </row>
    <row r="34" spans="1:7" ht="14.25" customHeight="1">
      <c r="A34" s="2">
        <v>24294</v>
      </c>
      <c r="B34" s="2" t="s">
        <v>12669</v>
      </c>
      <c r="C34" s="2" t="s">
        <v>12670</v>
      </c>
      <c r="D34" s="2" t="s">
        <v>17300</v>
      </c>
      <c r="E34" s="4" t="str">
        <f ca="1">IFERROR(__xludf.DUMMYFUNCTION("GOOGLETRANSLATE(B34,""ja"",""vi"")"),"san hô")</f>
        <v>san hô</v>
      </c>
      <c r="F34" s="4" t="str">
        <f ca="1">IFERROR(__xludf.DUMMYFUNCTION("GOOGLETRANSLATE(C34,""ja"",""vi"")"),"Đấu giá&gt; nhà, nội thất&gt; Đồ Pet&gt; cá, nhà máy nước&gt; san hô")</f>
        <v>Đấu giá&gt; nhà, nội thất&gt; Đồ Pet&gt; cá, nhà máy nước&gt; san hô</v>
      </c>
      <c r="G34" t="str">
        <f t="shared" ca="1" si="0"/>
        <v>"24294" : "san hô",</v>
      </c>
    </row>
    <row r="35" spans="1:7" ht="14.25" customHeight="1">
      <c r="A35" s="2">
        <v>2084062684</v>
      </c>
      <c r="B35" s="2" t="s">
        <v>12673</v>
      </c>
      <c r="C35" s="2" t="s">
        <v>12676</v>
      </c>
      <c r="D35" s="2" t="s">
        <v>17302</v>
      </c>
      <c r="E35" s="4" t="str">
        <f ca="1">IFERROR(__xludf.DUMMYFUNCTION("GOOGLETRANSLATE(B35,""ja"",""vi"")"),"timer")</f>
        <v>timer</v>
      </c>
      <c r="F35" s="4" t="str">
        <f ca="1">IFERROR(__xludf.DUMMYFUNCTION("GOOGLETRANSLATE(C35,""ja"",""vi"")"),"Đấu giá&gt; nhà, nội thất&gt; Đồ Pet&gt; cá, nhà máy nước&gt; timer")</f>
        <v>Đấu giá&gt; nhà, nội thất&gt; Đồ Pet&gt; cá, nhà máy nước&gt; timer</v>
      </c>
      <c r="G35" t="str">
        <f t="shared" ca="1" si="0"/>
        <v>"2084062684" : "timer",</v>
      </c>
    </row>
    <row r="36" spans="1:7" ht="14.25" customHeight="1">
      <c r="A36" s="2">
        <v>24262</v>
      </c>
      <c r="B36" s="2" t="s">
        <v>12678</v>
      </c>
      <c r="C36" s="2" t="s">
        <v>12681</v>
      </c>
      <c r="D36" s="2" t="s">
        <v>17306</v>
      </c>
      <c r="E36" s="4" t="str">
        <f ca="1">IFERROR(__xludf.DUMMYFUNCTION("GOOGLETRANSLATE(B36,""ja"",""vi"")"),"lò sưởi")</f>
        <v>lò sưởi</v>
      </c>
      <c r="F36" s="4" t="str">
        <f ca="1">IFERROR(__xludf.DUMMYFUNCTION("GOOGLETRANSLATE(C36,""ja"",""vi"")"),"Đấu giá&gt; nhà, nội thất&gt; Đồ Pet&gt; cá, nhà máy nước&gt; nóng")</f>
        <v>Đấu giá&gt; nhà, nội thất&gt; Đồ Pet&gt; cá, nhà máy nước&gt; nóng</v>
      </c>
      <c r="G36" t="str">
        <f t="shared" ca="1" si="0"/>
        <v>"24262" : "lò sưởi",</v>
      </c>
    </row>
    <row r="37" spans="1:7" ht="14.25" customHeight="1">
      <c r="A37" s="2">
        <v>24250</v>
      </c>
      <c r="B37" s="2" t="s">
        <v>3400</v>
      </c>
      <c r="C37" s="2" t="s">
        <v>12687</v>
      </c>
      <c r="D37" s="2" t="s">
        <v>17309</v>
      </c>
      <c r="E37" s="4" t="str">
        <f ca="1">IFERROR(__xludf.DUMMYFUNCTION("GOOGLETRANSLATE(B37,""ja"",""vi"")"),"Lọc")</f>
        <v>Lọc</v>
      </c>
      <c r="F37" s="4" t="str">
        <f ca="1">IFERROR(__xludf.DUMMYFUNCTION("GOOGLETRANSLATE(C37,""ja"",""vi"")"),"Đấu giá&gt; nhà, nội thất&gt; Đồ Pet&gt; cá, nhà máy nước&gt; lọc")</f>
        <v>Đấu giá&gt; nhà, nội thất&gt; Đồ Pet&gt; cá, nhà máy nước&gt; lọc</v>
      </c>
      <c r="G37" t="str">
        <f t="shared" ca="1" si="0"/>
        <v>"24250" : "Lọc",</v>
      </c>
    </row>
    <row r="38" spans="1:7" ht="14.25" customHeight="1">
      <c r="A38" s="2">
        <v>2084061344</v>
      </c>
      <c r="B38" s="2" t="s">
        <v>12692</v>
      </c>
      <c r="C38" s="2" t="s">
        <v>12693</v>
      </c>
      <c r="D38" s="2" t="s">
        <v>17312</v>
      </c>
      <c r="E38" s="4" t="str">
        <f ca="1">IFERROR(__xludf.DUMMYFUNCTION("GOOGLETRANSLATE(B38,""ja"",""vi"")"),"Gravel, sàn")</f>
        <v>Gravel, sàn</v>
      </c>
      <c r="F38" s="4" t="str">
        <f ca="1">IFERROR(__xludf.DUMMYFUNCTION("GOOGLETRANSLATE(C38,""ja"",""vi"")"),"Đấu giá&gt; nhà, nội thất&gt; Đồ Pet&gt; cá, nhà máy nước&gt; sỏi, ván sàn")</f>
        <v>Đấu giá&gt; nhà, nội thất&gt; Đồ Pet&gt; cá, nhà máy nước&gt; sỏi, ván sàn</v>
      </c>
      <c r="G38" t="str">
        <f t="shared" ca="1" si="0"/>
        <v>"2084061344" : "Gravel, sàn",</v>
      </c>
    </row>
    <row r="39" spans="1:7" ht="14.25" customHeight="1">
      <c r="A39" s="2">
        <v>24266</v>
      </c>
      <c r="B39" s="2" t="s">
        <v>12697</v>
      </c>
      <c r="C39" s="2" t="s">
        <v>12698</v>
      </c>
      <c r="D39" s="2" t="s">
        <v>17314</v>
      </c>
      <c r="E39" s="4" t="str">
        <f ca="1">IFERROR(__xludf.DUMMYFUNCTION("GOOGLETRANSLATE(B39,""ja"",""vi"")"),"chiếu sáng")</f>
        <v>chiếu sáng</v>
      </c>
      <c r="F39" s="4" t="str">
        <f ca="1">IFERROR(__xludf.DUMMYFUNCTION("GOOGLETRANSLATE(C39,""ja"",""vi"")"),"Đấu giá&gt; nhà, nội thất&gt; Đồ Pet&gt; cá, nhà máy nước&gt; ánh sáng")</f>
        <v>Đấu giá&gt; nhà, nội thất&gt; Đồ Pet&gt; cá, nhà máy nước&gt; ánh sáng</v>
      </c>
      <c r="G39" t="str">
        <f t="shared" ca="1" si="0"/>
        <v>"24266" : "chiếu sáng",</v>
      </c>
    </row>
    <row r="40" spans="1:7" ht="14.25" customHeight="1">
      <c r="A40" s="2">
        <v>24258</v>
      </c>
      <c r="B40" s="2" t="s">
        <v>12700</v>
      </c>
      <c r="C40" s="2" t="s">
        <v>12703</v>
      </c>
      <c r="D40" s="2" t="s">
        <v>17316</v>
      </c>
      <c r="E40" s="4" t="str">
        <f ca="1">IFERROR(__xludf.DUMMYFUNCTION("GOOGLETRANSLATE(B40,""ja"",""vi"")"),"đo nhiệt độ nước")</f>
        <v>đo nhiệt độ nước</v>
      </c>
      <c r="F40" s="4" t="str">
        <f ca="1">IFERROR(__xludf.DUMMYFUNCTION("GOOGLETRANSLATE(C40,""ja"",""vi"")"),"Đấu giá&gt; nhà, nội thất&gt; Đồ Pet&gt; cá, nhà máy nước&gt; nhiệt kế nước")</f>
        <v>Đấu giá&gt; nhà, nội thất&gt; Đồ Pet&gt; cá, nhà máy nước&gt; nhiệt kế nước</v>
      </c>
      <c r="G40" t="str">
        <f t="shared" ca="1" si="0"/>
        <v>"24258" : "đo nhiệt độ nước",</v>
      </c>
    </row>
    <row r="41" spans="1:7" ht="14.25" customHeight="1">
      <c r="A41" s="2">
        <v>2084062659</v>
      </c>
      <c r="B41" s="2" t="s">
        <v>12705</v>
      </c>
      <c r="C41" s="2" t="s">
        <v>12708</v>
      </c>
      <c r="D41" s="2" t="s">
        <v>17318</v>
      </c>
      <c r="E41" s="4" t="str">
        <f ca="1">IFERROR(__xludf.DUMMYFUNCTION("GOOGLETRANSLATE(B41,""ja"",""vi"")"),"dụng cụ đo lường chất lượng nước")</f>
        <v>dụng cụ đo lường chất lượng nước</v>
      </c>
      <c r="F41" s="4" t="str">
        <f ca="1">IFERROR(__xludf.DUMMYFUNCTION("GOOGLETRANSLATE(C41,""ja"",""vi"")"),"Đấu giá&gt; nhà, nội thất&gt; Đồ Pet&gt; cá, nhà máy nước&gt; công cụ đo chất lượng nước")</f>
        <v>Đấu giá&gt; nhà, nội thất&gt; Đồ Pet&gt; cá, nhà máy nước&gt; công cụ đo chất lượng nước</v>
      </c>
      <c r="G41" t="str">
        <f t="shared" ca="1" si="0"/>
        <v>"2084062659" : "dụng cụ đo lường chất lượng nước",</v>
      </c>
    </row>
    <row r="42" spans="1:7" ht="14.25" customHeight="1">
      <c r="A42" s="2">
        <v>24286</v>
      </c>
      <c r="B42" s="2" t="s">
        <v>12712</v>
      </c>
      <c r="C42" s="2" t="s">
        <v>12713</v>
      </c>
      <c r="D42" s="2" t="s">
        <v>17320</v>
      </c>
      <c r="E42" s="4" t="str">
        <f ca="1">IFERROR(__xludf.DUMMYFUNCTION("GOOGLETRANSLATE(B42,""ja"",""vi"")"),"điều hòa nước")</f>
        <v>điều hòa nước</v>
      </c>
      <c r="F42" s="4" t="str">
        <f ca="1">IFERROR(__xludf.DUMMYFUNCTION("GOOGLETRANSLATE(C42,""ja"",""vi"")"),"Đấu giá&gt; nhà, nội thất&gt; Đồ Pet&gt; cá, nhà máy nước&gt; điều chỉnh chất lượng nước")</f>
        <v>Đấu giá&gt; nhà, nội thất&gt; Đồ Pet&gt; cá, nhà máy nước&gt; điều chỉnh chất lượng nước</v>
      </c>
      <c r="G42" t="str">
        <f t="shared" ca="1" si="0"/>
        <v>"24286" : "điều hòa nước",</v>
      </c>
    </row>
    <row r="43" spans="1:7" ht="14.25" customHeight="1">
      <c r="A43" s="2">
        <v>24254</v>
      </c>
      <c r="B43" s="2" t="s">
        <v>12718</v>
      </c>
      <c r="C43" s="2" t="s">
        <v>12719</v>
      </c>
      <c r="D43" s="2" t="s">
        <v>17322</v>
      </c>
      <c r="E43" s="4" t="str">
        <f ca="1">IFERROR(__xludf.DUMMYFUNCTION("GOOGLETRANSLATE(B43,""ja"",""vi"")"),"bồn nước")</f>
        <v>bồn nước</v>
      </c>
      <c r="F43" s="4" t="str">
        <f ca="1">IFERROR(__xludf.DUMMYFUNCTION("GOOGLETRANSLATE(C43,""ja"",""vi"")"),"Đấu giá&gt; nhà, nội thất&gt; Đồ Pet&gt; cá, nhà máy nước&gt; Bồn nước")</f>
        <v>Đấu giá&gt; nhà, nội thất&gt; Đồ Pet&gt; cá, nhà máy nước&gt; Bồn nước</v>
      </c>
      <c r="G43" t="str">
        <f t="shared" ca="1" si="0"/>
        <v>"24254" : "bồn nước",</v>
      </c>
    </row>
    <row r="44" spans="1:7" ht="14.25" customHeight="1">
      <c r="A44" s="2">
        <v>2084045165</v>
      </c>
      <c r="B44" s="2" t="s">
        <v>12722</v>
      </c>
      <c r="C44" s="2" t="s">
        <v>12723</v>
      </c>
      <c r="D44" s="2" t="s">
        <v>17326</v>
      </c>
      <c r="E44" s="4" t="str">
        <f ca="1">IFERROR(__xludf.DUMMYFUNCTION("GOOGLETRANSLATE(B44,""ja"",""vi"")"),"đồ trang trí bể cá")</f>
        <v>đồ trang trí bể cá</v>
      </c>
      <c r="F44" s="4" t="str">
        <f ca="1">IFERROR(__xludf.DUMMYFUNCTION("GOOGLETRANSLATE(C44,""ja"",""vi"")"),"Đấu giá&gt; nhà, nội thất&gt; Đồ Pet&gt; cá, nhà máy nước&gt; đồ trang trí bể nước")</f>
        <v>Đấu giá&gt; nhà, nội thất&gt; Đồ Pet&gt; cá, nhà máy nước&gt; đồ trang trí bể nước</v>
      </c>
      <c r="G44" t="str">
        <f t="shared" ca="1" si="0"/>
        <v>"2084045165" : "đồ trang trí bể cá",</v>
      </c>
    </row>
    <row r="45" spans="1:7" ht="14.25" customHeight="1">
      <c r="A45" s="2">
        <v>2084061387</v>
      </c>
      <c r="B45" s="2" t="s">
        <v>12727</v>
      </c>
      <c r="C45" s="2" t="s">
        <v>12728</v>
      </c>
      <c r="D45" s="2" t="s">
        <v>17328</v>
      </c>
      <c r="E45" s="4" t="str">
        <f ca="1">IFERROR(__xludf.DUMMYFUNCTION("GOOGLETRANSLATE(B45,""ja"",""vi"")"),"xe bồn")</f>
        <v>xe bồn</v>
      </c>
      <c r="F45" s="4" t="str">
        <f ca="1">IFERROR(__xludf.DUMMYFUNCTION("GOOGLETRANSLATE(C45,""ja"",""vi"")"),"Đấu giá&gt; nhà, nội thất&gt; Đồ Pet&gt; cá, nhà máy nước&gt; xe bồn")</f>
        <v>Đấu giá&gt; nhà, nội thất&gt; Đồ Pet&gt; cá, nhà máy nước&gt; xe bồn</v>
      </c>
      <c r="G45" t="str">
        <f t="shared" ca="1" si="0"/>
        <v>"2084061387" : "xe bồn",</v>
      </c>
    </row>
    <row r="46" spans="1:7" ht="14.25" customHeight="1">
      <c r="A46" s="2">
        <v>24306</v>
      </c>
      <c r="B46" s="2" t="s">
        <v>12732</v>
      </c>
      <c r="C46" s="2" t="s">
        <v>12734</v>
      </c>
      <c r="D46" s="2" t="s">
        <v>17330</v>
      </c>
      <c r="E46" s="4" t="str">
        <f ca="1">IFERROR(__xludf.DUMMYFUNCTION("GOOGLETRANSLATE(B46,""ja"",""vi"")"),"Các loài cây thủy")</f>
        <v>Các loài cây thủy</v>
      </c>
      <c r="F46" s="4" t="str">
        <f ca="1">IFERROR(__xludf.DUMMYFUNCTION("GOOGLETRANSLATE(C46,""ja"",""vi"")"),"Đấu giá&gt; nhà, nội thất&gt; Đồ Pet&gt; cá, nhà máy nước&gt; nhà máy nước")</f>
        <v>Đấu giá&gt; nhà, nội thất&gt; Đồ Pet&gt; cá, nhà máy nước&gt; nhà máy nước</v>
      </c>
      <c r="G46" t="str">
        <f t="shared" ca="1" si="0"/>
        <v>"24306" : "Các loài cây thủy",</v>
      </c>
    </row>
    <row r="47" spans="1:7" ht="14.25" customHeight="1">
      <c r="A47" s="2">
        <v>2084047555</v>
      </c>
      <c r="B47" s="2" t="s">
        <v>12737</v>
      </c>
      <c r="C47" s="2" t="s">
        <v>12738</v>
      </c>
      <c r="D47" s="2" t="s">
        <v>17333</v>
      </c>
      <c r="E47" s="4" t="str">
        <f ca="1">IFERROR(__xludf.DUMMYFUNCTION("GOOGLETRANSLATE(B47,""ja"",""vi"")"),"nguồn cung cấp nhà máy nước")</f>
        <v>nguồn cung cấp nhà máy nước</v>
      </c>
      <c r="F47" s="4" t="str">
        <f ca="1">IFERROR(__xludf.DUMMYFUNCTION("GOOGLETRANSLATE(C47,""ja"",""vi"")"),"Đấu giá&gt; nhà, nội thất&gt; Đồ Pet&gt; cá, nhà máy nước&gt; nguồn cung cấp nhà máy nước")</f>
        <v>Đấu giá&gt; nhà, nội thất&gt; Đồ Pet&gt; cá, nhà máy nước&gt; nguồn cung cấp nhà máy nước</v>
      </c>
      <c r="G47" t="str">
        <f t="shared" ca="1" si="0"/>
        <v>"2084047555" : "nguồn cung cấp nhà máy nước",</v>
      </c>
    </row>
    <row r="48" spans="1:7" ht="14.25" customHeight="1">
      <c r="A48" s="2">
        <v>24282</v>
      </c>
      <c r="B48" s="2" t="s">
        <v>12743</v>
      </c>
      <c r="C48" s="2" t="s">
        <v>12744</v>
      </c>
      <c r="D48" s="2" t="s">
        <v>17335</v>
      </c>
      <c r="E48" s="4" t="str">
        <f ca="1">IFERROR(__xludf.DUMMYFUNCTION("GOOGLETRANSLATE(B48,""ja"",""vi"")"),"công cụ làm sạch")</f>
        <v>công cụ làm sạch</v>
      </c>
      <c r="F48" s="4" t="str">
        <f ca="1">IFERROR(__xludf.DUMMYFUNCTION("GOOGLETRANSLATE(C48,""ja"",""vi"")"),"Đấu giá&gt; nhà, nội thất&gt; Đồ Pet&gt; cá, nhà máy nước&gt; công cụ làm sạch")</f>
        <v>Đấu giá&gt; nhà, nội thất&gt; Đồ Pet&gt; cá, nhà máy nước&gt; công cụ làm sạch</v>
      </c>
      <c r="G48" t="str">
        <f t="shared" ca="1" si="0"/>
        <v>"24282" : "công cụ làm sạch",</v>
      </c>
    </row>
    <row r="49" spans="1:7" ht="14.25" customHeight="1">
      <c r="A49" s="2">
        <v>2084008887</v>
      </c>
      <c r="B49" s="2" t="s">
        <v>1632</v>
      </c>
      <c r="C49" s="2" t="s">
        <v>12749</v>
      </c>
      <c r="D49" s="2" t="s">
        <v>17339</v>
      </c>
      <c r="E49" s="4" t="str">
        <f ca="1">IFERROR(__xludf.DUMMYFUNCTION("GOOGLETRANSLATE(B49,""ja"",""vi"")"),"điều này")</f>
        <v>điều này</v>
      </c>
      <c r="F49" s="4" t="str">
        <f ca="1">IFERROR(__xludf.DUMMYFUNCTION("GOOGLETRANSLATE(C49,""ja"",""vi"")"),"Đấu giá&gt; nhà, nội thất&gt; Đồ Pet&gt; cá, nhà máy nước&gt; Sách")</f>
        <v>Đấu giá&gt; nhà, nội thất&gt; Đồ Pet&gt; cá, nhà máy nước&gt; Sách</v>
      </c>
      <c r="G49" t="str">
        <f t="shared" ca="1" si="0"/>
        <v>"2084008887" : "điều này",</v>
      </c>
    </row>
    <row r="50" spans="1:7" ht="14.25" customHeight="1">
      <c r="A50" s="2">
        <v>24310</v>
      </c>
      <c r="B50" s="2" t="s">
        <v>46</v>
      </c>
      <c r="C50" s="2" t="s">
        <v>12754</v>
      </c>
      <c r="D50" s="2" t="s">
        <v>17343</v>
      </c>
      <c r="E50" s="4" t="str">
        <f ca="1">IFERROR(__xludf.DUMMYFUNCTION("GOOGLETRANSLATE(B50,""ja"",""vi"")"),"nếu không thì")</f>
        <v>nếu không thì</v>
      </c>
      <c r="F50" s="4" t="str">
        <f ca="1">IFERROR(__xludf.DUMMYFUNCTION("GOOGLETRANSLATE(C50,""ja"",""vi"")"),"Đấu giá&gt; nhà, nội thất&gt; Đồ Pet&gt; cá, nhà máy nước&gt; Khác")</f>
        <v>Đấu giá&gt; nhà, nội thất&gt; Đồ Pet&gt; cá, nhà máy nước&gt; Khác</v>
      </c>
      <c r="G50" t="str">
        <f t="shared" ca="1" si="0"/>
        <v>"24310" : "nếu không thì",</v>
      </c>
    </row>
    <row r="51" spans="1:7" ht="14.25" customHeight="1">
      <c r="A51" s="2">
        <v>2084061398</v>
      </c>
      <c r="B51" s="2" t="s">
        <v>17346</v>
      </c>
      <c r="C51" s="2" t="s">
        <v>17348</v>
      </c>
      <c r="D51" s="2" t="s">
        <v>17350</v>
      </c>
      <c r="E51" s="4" t="str">
        <f ca="1">IFERROR(__xludf.DUMMYFUNCTION("GOOGLETRANSLATE(B51,""ja"",""vi"")"),"người lớn")</f>
        <v>người lớn</v>
      </c>
      <c r="F51" s="4" t="str">
        <f ca="1">IFERROR(__xludf.DUMMYFUNCTION("GOOGLETRANSLATE(C51,""ja"",""vi"")"),"Đấu giá&gt; có thú nuôi, sinh vật&gt; côn trùng&gt; bọ cánh cứng&gt; imago")</f>
        <v>Đấu giá&gt; có thú nuôi, sinh vật&gt; côn trùng&gt; bọ cánh cứng&gt; imago</v>
      </c>
      <c r="G51" t="str">
        <f t="shared" ca="1" si="0"/>
        <v>"2084061398" : "người lớn",</v>
      </c>
    </row>
    <row r="52" spans="1:7" ht="14.25" customHeight="1">
      <c r="A52" s="2">
        <v>2084061401</v>
      </c>
      <c r="B52" s="2" t="s">
        <v>17353</v>
      </c>
      <c r="C52" s="2" t="s">
        <v>17354</v>
      </c>
      <c r="D52" s="2" t="s">
        <v>17355</v>
      </c>
      <c r="E52" s="4" t="str">
        <f ca="1">IFERROR(__xludf.DUMMYFUNCTION("GOOGLETRANSLATE(B52,""ja"",""vi"")"),"con sâu con")</f>
        <v>con sâu con</v>
      </c>
      <c r="F52" s="4" t="str">
        <f ca="1">IFERROR(__xludf.DUMMYFUNCTION("GOOGLETRANSLATE(C52,""ja"",""vi"")"),"Đấu giá&gt; có thú nuôi, sinh vật&gt; côn trùng&gt; bọ cánh cứng&gt; ấu trùng")</f>
        <v>Đấu giá&gt; có thú nuôi, sinh vật&gt; côn trùng&gt; bọ cánh cứng&gt; ấu trùng</v>
      </c>
      <c r="G52" t="str">
        <f t="shared" ca="1" si="0"/>
        <v>"2084061401" : "con sâu con",</v>
      </c>
    </row>
    <row r="53" spans="1:7" ht="14.25" customHeight="1">
      <c r="A53" s="2">
        <v>2084061391</v>
      </c>
      <c r="B53" s="2" t="s">
        <v>17346</v>
      </c>
      <c r="C53" s="2" t="s">
        <v>17357</v>
      </c>
      <c r="D53" s="2" t="s">
        <v>17359</v>
      </c>
      <c r="E53" s="4" t="str">
        <f ca="1">IFERROR(__xludf.DUMMYFUNCTION("GOOGLETRANSLATE(B53,""ja"",""vi"")"),"người lớn")</f>
        <v>người lớn</v>
      </c>
      <c r="F53" s="4" t="str">
        <f ca="1">IFERROR(__xludf.DUMMYFUNCTION("GOOGLETRANSLATE(C53,""ja"",""vi"")"),"Đấu giá&gt; có thú nuôi, sinh vật&gt; côn trùng&gt; hươu&gt; người lớn")</f>
        <v>Đấu giá&gt; có thú nuôi, sinh vật&gt; côn trùng&gt; hươu&gt; người lớn</v>
      </c>
      <c r="G53" t="str">
        <f t="shared" ca="1" si="0"/>
        <v>"2084061391" : "người lớn",</v>
      </c>
    </row>
    <row r="54" spans="1:7" ht="14.25" customHeight="1">
      <c r="A54" s="2">
        <v>2084061394</v>
      </c>
      <c r="B54" s="2" t="s">
        <v>17353</v>
      </c>
      <c r="C54" s="2" t="s">
        <v>17362</v>
      </c>
      <c r="D54" s="2" t="s">
        <v>17364</v>
      </c>
      <c r="E54" s="4" t="str">
        <f ca="1">IFERROR(__xludf.DUMMYFUNCTION("GOOGLETRANSLATE(B54,""ja"",""vi"")"),"con sâu con")</f>
        <v>con sâu con</v>
      </c>
      <c r="F54" s="4" t="str">
        <f ca="1">IFERROR(__xludf.DUMMYFUNCTION("GOOGLETRANSLATE(C54,""ja"",""vi"")"),"Đấu giá&gt; có thú nuôi, sinh vật&gt; côn trùng&gt; hươu&gt; ấu trùng")</f>
        <v>Đấu giá&gt; có thú nuôi, sinh vật&gt; côn trùng&gt; hươu&gt; ấu trùng</v>
      </c>
      <c r="G54" t="str">
        <f t="shared" ca="1" si="0"/>
        <v>"2084061394" : "con sâu con",</v>
      </c>
    </row>
    <row r="55" spans="1:7" ht="14.25" customHeight="1">
      <c r="A55" s="2">
        <v>2084061346</v>
      </c>
      <c r="B55" s="2" t="s">
        <v>12577</v>
      </c>
      <c r="C55" s="2" t="s">
        <v>12803</v>
      </c>
      <c r="D55" s="2" t="s">
        <v>17368</v>
      </c>
      <c r="E55" s="4" t="str">
        <f ca="1">IFERROR(__xludf.DUMMYFUNCTION("GOOGLETRANSLATE(B55,""ja"",""vi"")"),"mồi")</f>
        <v>mồi</v>
      </c>
      <c r="F55" s="4" t="str">
        <f ca="1">IFERROR(__xludf.DUMMYFUNCTION("GOOGLETRANSLATE(C55,""ja"",""vi"")"),"Đấu giá&gt; nhà, nội thất&gt; Pet Supplies&gt; côn trùng&gt; mồi")</f>
        <v>Đấu giá&gt; nhà, nội thất&gt; Pet Supplies&gt; côn trùng&gt; mồi</v>
      </c>
      <c r="G55" t="str">
        <f t="shared" ca="1" si="0"/>
        <v>"2084061346" : "mồi",</v>
      </c>
    </row>
    <row r="56" spans="1:7" ht="14.25" customHeight="1">
      <c r="A56" s="2">
        <v>2084061350</v>
      </c>
      <c r="B56" s="2" t="s">
        <v>3138</v>
      </c>
      <c r="C56" s="2" t="s">
        <v>12807</v>
      </c>
      <c r="D56" s="2" t="s">
        <v>17373</v>
      </c>
      <c r="E56" s="4" t="str">
        <f ca="1">IFERROR(__xludf.DUMMYFUNCTION("GOOGLETRANSLATE(B56,""ja"",""vi"")"),"bộ")</f>
        <v>bộ</v>
      </c>
      <c r="F56" s="4" t="str">
        <f ca="1">IFERROR(__xludf.DUMMYFUNCTION("GOOGLETRANSLATE(C56,""ja"",""vi"")"),"Đấu giá&gt; nhà, nội thất&gt; Đồ Pet&gt; côn trùng&gt; bộ")</f>
        <v>Đấu giá&gt; nhà, nội thất&gt; Đồ Pet&gt; côn trùng&gt; bộ</v>
      </c>
      <c r="G56" t="str">
        <f t="shared" ca="1" si="0"/>
        <v>"2084061350" : "bộ",</v>
      </c>
    </row>
    <row r="57" spans="1:7" ht="14.25" customHeight="1">
      <c r="A57" s="2">
        <v>2084061347</v>
      </c>
      <c r="B57" s="2" t="s">
        <v>12810</v>
      </c>
      <c r="C57" s="2" t="s">
        <v>12811</v>
      </c>
      <c r="D57" s="2" t="s">
        <v>17377</v>
      </c>
      <c r="E57" s="4" t="str">
        <f ca="1">IFERROR(__xludf.DUMMYFUNCTION("GOOGLETRANSLATE(B57,""ja"",""vi"")"),"Mat, sàn")</f>
        <v>Mat, sàn</v>
      </c>
      <c r="F57" s="4" t="str">
        <f ca="1">IFERROR(__xludf.DUMMYFUNCTION("GOOGLETRANSLATE(C57,""ja"",""vi"")"),"Đấu giá&gt; nhà, Đồ nội thất&gt; Pet&gt; côn trùng&gt; mat, sàn")</f>
        <v>Đấu giá&gt; nhà, Đồ nội thất&gt; Pet&gt; côn trùng&gt; mat, sàn</v>
      </c>
      <c r="G57" t="str">
        <f t="shared" ca="1" si="0"/>
        <v>"2084061347" : "Mat, sàn",</v>
      </c>
    </row>
    <row r="58" spans="1:7" ht="14.25" customHeight="1">
      <c r="A58" s="2">
        <v>2084061351</v>
      </c>
      <c r="B58" s="2" t="s">
        <v>12814</v>
      </c>
      <c r="C58" s="2" t="s">
        <v>12815</v>
      </c>
      <c r="D58" s="2" t="s">
        <v>17380</v>
      </c>
      <c r="E58" s="4" t="str">
        <f ca="1">IFERROR(__xludf.DUMMYFUNCTION("GOOGLETRANSLATE(B58,""ja"",""vi"")"),"Cá rô, Hodaki")</f>
        <v>Cá rô, Hodaki</v>
      </c>
      <c r="F58" s="4" t="str">
        <f ca="1">IFERROR(__xludf.DUMMYFUNCTION("GOOGLETRANSLATE(C58,""ja"",""vi"")"),"Đấu giá&gt; nhà, nội thất&gt; Pet Supplies&gt; côn trùng&gt; cá rô, Hodaki")</f>
        <v>Đấu giá&gt; nhà, nội thất&gt; Pet Supplies&gt; côn trùng&gt; cá rô, Hodaki</v>
      </c>
      <c r="G58" t="str">
        <f t="shared" ca="1" si="0"/>
        <v>"2084061351" : "Cá rô, Hodaki",</v>
      </c>
    </row>
    <row r="59" spans="1:7" ht="14.25" customHeight="1">
      <c r="A59" s="2">
        <v>2084061348</v>
      </c>
      <c r="B59" s="2" t="s">
        <v>12771</v>
      </c>
      <c r="C59" s="2" t="s">
        <v>12819</v>
      </c>
      <c r="D59" s="2" t="s">
        <v>17387</v>
      </c>
      <c r="E59" s="4" t="str">
        <f ca="1">IFERROR(__xludf.DUMMYFUNCTION("GOOGLETRANSLATE(B59,""ja"",""vi"")"),"chỗ nuôi thú")</f>
        <v>chỗ nuôi thú</v>
      </c>
      <c r="F59" s="4" t="str">
        <f ca="1">IFERROR(__xludf.DUMMYFUNCTION("GOOGLETRANSLATE(C59,""ja"",""vi"")"),"Đấu giá&gt; nhà, Đồ nội thất&gt; Pet&gt; côn trùng&gt; trường hợp chăn nuôi")</f>
        <v>Đấu giá&gt; nhà, Đồ nội thất&gt; Pet&gt; côn trùng&gt; trường hợp chăn nuôi</v>
      </c>
      <c r="G59" t="str">
        <f t="shared" ca="1" si="0"/>
        <v>"2084061348" : "chỗ nuôi thú",</v>
      </c>
    </row>
    <row r="60" spans="1:7" ht="14.25" customHeight="1">
      <c r="A60" s="2">
        <v>2084008890</v>
      </c>
      <c r="B60" s="2" t="s">
        <v>1632</v>
      </c>
      <c r="C60" s="2" t="s">
        <v>12823</v>
      </c>
      <c r="D60" s="2" t="s">
        <v>17391</v>
      </c>
      <c r="E60" s="4" t="str">
        <f ca="1">IFERROR(__xludf.DUMMYFUNCTION("GOOGLETRANSLATE(B60,""ja"",""vi"")"),"điều này")</f>
        <v>điều này</v>
      </c>
      <c r="F60" s="4" t="str">
        <f ca="1">IFERROR(__xludf.DUMMYFUNCTION("GOOGLETRANSLATE(C60,""ja"",""vi"")"),"Đấu giá&gt; nhà, Đồ nội thất&gt; Pet&gt; côn trùng&gt; Sách")</f>
        <v>Đấu giá&gt; nhà, Đồ nội thất&gt; Pet&gt; côn trùng&gt; Sách</v>
      </c>
      <c r="G60" t="str">
        <f t="shared" ca="1" si="0"/>
        <v>"2084008890" : "điều này",</v>
      </c>
    </row>
    <row r="61" spans="1:7" ht="14.25" customHeight="1">
      <c r="A61" s="2">
        <v>2084061349</v>
      </c>
      <c r="B61" s="2" t="s">
        <v>46</v>
      </c>
      <c r="C61" s="2" t="s">
        <v>12827</v>
      </c>
      <c r="D61" s="2" t="s">
        <v>17397</v>
      </c>
      <c r="E61" s="4" t="str">
        <f ca="1">IFERROR(__xludf.DUMMYFUNCTION("GOOGLETRANSLATE(B61,""ja"",""vi"")"),"nếu không thì")</f>
        <v>nếu không thì</v>
      </c>
      <c r="F61" s="4" t="str">
        <f ca="1">IFERROR(__xludf.DUMMYFUNCTION("GOOGLETRANSLATE(C61,""ja"",""vi"")"),"Đấu giá&gt; nhà, nội thất&gt; Đồ Pet&gt; côn trùng&gt; Khác")</f>
        <v>Đấu giá&gt; nhà, nội thất&gt; Đồ Pet&gt; côn trùng&gt; Khác</v>
      </c>
      <c r="G61" t="str">
        <f t="shared" ca="1" si="0"/>
        <v>"2084061349" : "nếu không thì",</v>
      </c>
    </row>
    <row r="62" spans="1:7" ht="14.25" customHeight="1">
      <c r="A62" s="2">
        <v>2084062725</v>
      </c>
      <c r="B62" s="2" t="s">
        <v>3138</v>
      </c>
      <c r="C62" s="2" t="s">
        <v>12757</v>
      </c>
      <c r="D62" s="2" t="s">
        <v>17401</v>
      </c>
      <c r="E62" s="4" t="str">
        <f ca="1">IFERROR(__xludf.DUMMYFUNCTION("GOOGLETRANSLATE(B62,""ja"",""vi"")"),"bộ")</f>
        <v>bộ</v>
      </c>
      <c r="F62" s="4" t="str">
        <f ca="1">IFERROR(__xludf.DUMMYFUNCTION("GOOGLETRANSLATE(C62,""ja"",""vi"")"),"Đấu giá&gt; nhà, nội thất&gt; Đồ Pet&gt; bò sát, lưỡng cư nguồn cung cấp&gt; bộ")</f>
        <v>Đấu giá&gt; nhà, nội thất&gt; Đồ Pet&gt; bò sát, lưỡng cư nguồn cung cấp&gt; bộ</v>
      </c>
      <c r="G62" t="str">
        <f t="shared" ca="1" si="0"/>
        <v>"2084062725" : "bộ",</v>
      </c>
    </row>
    <row r="63" spans="1:7" ht="14.25" customHeight="1">
      <c r="A63" s="2">
        <v>2084062729</v>
      </c>
      <c r="B63" s="2" t="s">
        <v>12577</v>
      </c>
      <c r="C63" s="2" t="s">
        <v>12760</v>
      </c>
      <c r="D63" s="2" t="s">
        <v>17406</v>
      </c>
      <c r="E63" s="4" t="str">
        <f ca="1">IFERROR(__xludf.DUMMYFUNCTION("GOOGLETRANSLATE(B63,""ja"",""vi"")"),"mồi")</f>
        <v>mồi</v>
      </c>
      <c r="F63" s="4" t="str">
        <f ca="1">IFERROR(__xludf.DUMMYFUNCTION("GOOGLETRANSLATE(C63,""ja"",""vi"")"),"Đấu giá&gt; nhà, nội thất&gt; Đồ Pet&gt; bò sát, lưỡng cư và vườn&gt; mồi")</f>
        <v>Đấu giá&gt; nhà, nội thất&gt; Đồ Pet&gt; bò sát, lưỡng cư và vườn&gt; mồi</v>
      </c>
      <c r="G63" t="str">
        <f t="shared" ca="1" si="0"/>
        <v>"2084062729" : "mồi",</v>
      </c>
    </row>
    <row r="64" spans="1:7" ht="14.25" customHeight="1">
      <c r="A64" s="2">
        <v>2084062727</v>
      </c>
      <c r="B64" s="2" t="s">
        <v>12663</v>
      </c>
      <c r="C64" s="2" t="s">
        <v>12764</v>
      </c>
      <c r="D64" s="2" t="s">
        <v>17410</v>
      </c>
      <c r="E64" s="4" t="str">
        <f ca="1">IFERROR(__xludf.DUMMYFUNCTION("GOOGLETRANSLATE(B64,""ja"",""vi"")"),"máy điều nhiệt")</f>
        <v>máy điều nhiệt</v>
      </c>
      <c r="F64" s="4" t="str">
        <f ca="1">IFERROR(__xludf.DUMMYFUNCTION("GOOGLETRANSLATE(C64,""ja"",""vi"")"),"Đấu giá&gt; nhà, nội thất&gt; Đồ Pet&gt; bò sát, lưỡng cư và vườn&gt; nhiệt")</f>
        <v>Đấu giá&gt; nhà, nội thất&gt; Đồ Pet&gt; bò sát, lưỡng cư và vườn&gt; nhiệt</v>
      </c>
      <c r="G64" t="str">
        <f t="shared" ca="1" si="0"/>
        <v>"2084062727" : "máy điều nhiệt",</v>
      </c>
    </row>
    <row r="65" spans="1:7" ht="14.25" customHeight="1">
      <c r="A65" s="2">
        <v>2084062728</v>
      </c>
      <c r="B65" s="2" t="s">
        <v>12678</v>
      </c>
      <c r="C65" s="2" t="s">
        <v>12767</v>
      </c>
      <c r="D65" s="2" t="s">
        <v>17413</v>
      </c>
      <c r="E65" s="4" t="str">
        <f ca="1">IFERROR(__xludf.DUMMYFUNCTION("GOOGLETRANSLATE(B65,""ja"",""vi"")"),"lò sưởi")</f>
        <v>lò sưởi</v>
      </c>
      <c r="F65" s="4" t="str">
        <f ca="1">IFERROR(__xludf.DUMMYFUNCTION("GOOGLETRANSLATE(C65,""ja"",""vi"")"),"Đấu giá&gt; nhà, nội thất&gt; Đồ Pet&gt; bò sát, lưỡng cư và vườn&gt; nóng")</f>
        <v>Đấu giá&gt; nhà, nội thất&gt; Đồ Pet&gt; bò sát, lưỡng cư và vườn&gt; nóng</v>
      </c>
      <c r="G65" t="str">
        <f t="shared" ca="1" si="0"/>
        <v>"2084062728" : "lò sưởi",</v>
      </c>
    </row>
    <row r="66" spans="1:7" ht="14.25" customHeight="1">
      <c r="A66" s="2">
        <v>2084062730</v>
      </c>
      <c r="B66" s="2" t="s">
        <v>12771</v>
      </c>
      <c r="C66" s="2" t="s">
        <v>12773</v>
      </c>
      <c r="D66" s="2" t="s">
        <v>17417</v>
      </c>
      <c r="E66" s="4" t="str">
        <f ca="1">IFERROR(__xludf.DUMMYFUNCTION("GOOGLETRANSLATE(B66,""ja"",""vi"")"),"chỗ nuôi thú")</f>
        <v>chỗ nuôi thú</v>
      </c>
      <c r="F66" s="4" t="str">
        <f ca="1">IFERROR(__xludf.DUMMYFUNCTION("GOOGLETRANSLATE(C66,""ja"",""vi"")"),"Đấu giá&gt; nhà, nội thất&gt; Đồ Pet&gt; bò sát, lưỡng cư và vườn&gt; trường hợp chăn nuôi")</f>
        <v>Đấu giá&gt; nhà, nội thất&gt; Đồ Pet&gt; bò sát, lưỡng cư và vườn&gt; trường hợp chăn nuôi</v>
      </c>
      <c r="G66" t="str">
        <f t="shared" ca="1" si="0"/>
        <v>"2084062730" : "chỗ nuôi thú",</v>
      </c>
    </row>
    <row r="67" spans="1:7" ht="14.25" customHeight="1">
      <c r="A67" s="2">
        <v>2084062732</v>
      </c>
      <c r="B67" s="2" t="s">
        <v>12777</v>
      </c>
      <c r="C67" s="2" t="s">
        <v>12780</v>
      </c>
      <c r="D67" s="2" t="s">
        <v>17424</v>
      </c>
      <c r="E67" s="4" t="str">
        <f ca="1">IFERROR(__xludf.DUMMYFUNCTION("GOOGLETRANSLATE(B67,""ja"",""vi"")"),"sàn")</f>
        <v>sàn</v>
      </c>
      <c r="F67" s="4" t="str">
        <f ca="1">IFERROR(__xludf.DUMMYFUNCTION("GOOGLETRANSLATE(C67,""ja"",""vi"")"),"Đấu giá&gt; nhà, Đồ nội thất&gt; Pet&gt; bò sát, lưỡng cư nguồn cung cấp&gt; sàn")</f>
        <v>Đấu giá&gt; nhà, Đồ nội thất&gt; Pet&gt; bò sát, lưỡng cư nguồn cung cấp&gt; sàn</v>
      </c>
      <c r="G67" t="str">
        <f t="shared" ref="G67:G130" ca="1" si="1">CONCATENATE(CHAR(34)&amp;"",A67,""&amp;CHAR(34)," : ", CHAR(34)&amp;"",E67,""&amp;CHAR(34),",")</f>
        <v>"2084062732" : "sàn",</v>
      </c>
    </row>
    <row r="68" spans="1:7" ht="14.25" customHeight="1">
      <c r="A68" s="2">
        <v>2084062726</v>
      </c>
      <c r="B68" s="2" t="s">
        <v>12697</v>
      </c>
      <c r="C68" s="2" t="s">
        <v>12785</v>
      </c>
      <c r="D68" s="2" t="s">
        <v>17429</v>
      </c>
      <c r="E68" s="4" t="str">
        <f ca="1">IFERROR(__xludf.DUMMYFUNCTION("GOOGLETRANSLATE(B68,""ja"",""vi"")"),"chiếu sáng")</f>
        <v>chiếu sáng</v>
      </c>
      <c r="F68" s="4" t="str">
        <f ca="1">IFERROR(__xludf.DUMMYFUNCTION("GOOGLETRANSLATE(C68,""ja"",""vi"")"),"Đấu giá&gt; nhà, nội thất&gt; Đồ Pet&gt; bò sát, lưỡng cư nguồn cung cấp&gt; Ánh sáng")</f>
        <v>Đấu giá&gt; nhà, nội thất&gt; Đồ Pet&gt; bò sát, lưỡng cư nguồn cung cấp&gt; Ánh sáng</v>
      </c>
      <c r="G68" t="str">
        <f t="shared" ca="1" si="1"/>
        <v>"2084062726" : "chiếu sáng",</v>
      </c>
    </row>
    <row r="69" spans="1:7" ht="14.25" customHeight="1">
      <c r="A69" s="2">
        <v>2084062731</v>
      </c>
      <c r="B69" s="2" t="s">
        <v>12790</v>
      </c>
      <c r="C69" s="2" t="s">
        <v>12791</v>
      </c>
      <c r="D69" s="2" t="s">
        <v>17433</v>
      </c>
      <c r="E69" s="4" t="str">
        <f ca="1">IFERROR(__xludf.DUMMYFUNCTION("GOOGLETRANSLATE(B69,""ja"",""vi"")"),"đồ trang trí")</f>
        <v>đồ trang trí</v>
      </c>
      <c r="F69" s="4" t="str">
        <f ca="1">IFERROR(__xludf.DUMMYFUNCTION("GOOGLETRANSLATE(C69,""ja"",""vi"")"),"Đấu giá&gt; nhà, nội thất&gt; Đồ Pet&gt; bò sát, lưỡng cư và vườn&gt; đồ trang trí")</f>
        <v>Đấu giá&gt; nhà, nội thất&gt; Đồ Pet&gt; bò sát, lưỡng cư và vườn&gt; đồ trang trí</v>
      </c>
      <c r="G69" t="str">
        <f t="shared" ca="1" si="1"/>
        <v>"2084062731" : "đồ trang trí",</v>
      </c>
    </row>
    <row r="70" spans="1:7" ht="14.25" customHeight="1">
      <c r="A70" s="2">
        <v>2084047552</v>
      </c>
      <c r="B70" s="2" t="s">
        <v>1632</v>
      </c>
      <c r="C70" s="2" t="s">
        <v>12795</v>
      </c>
      <c r="D70" s="2" t="s">
        <v>17437</v>
      </c>
      <c r="E70" s="4" t="str">
        <f ca="1">IFERROR(__xludf.DUMMYFUNCTION("GOOGLETRANSLATE(B70,""ja"",""vi"")"),"điều này")</f>
        <v>điều này</v>
      </c>
      <c r="F70" s="4" t="str">
        <f ca="1">IFERROR(__xludf.DUMMYFUNCTION("GOOGLETRANSLATE(C70,""ja"",""vi"")"),"Đấu giá&gt; nhà, Đồ nội thất&gt; Pet&gt; bò sát, lưỡng cư và vườn&gt; Sách")</f>
        <v>Đấu giá&gt; nhà, Đồ nội thất&gt; Pet&gt; bò sát, lưỡng cư và vườn&gt; Sách</v>
      </c>
      <c r="G70" t="str">
        <f t="shared" ca="1" si="1"/>
        <v>"2084047552" : "điều này",</v>
      </c>
    </row>
    <row r="71" spans="1:7" ht="14.25" customHeight="1">
      <c r="A71" s="2">
        <v>2084062733</v>
      </c>
      <c r="B71" s="2" t="s">
        <v>46</v>
      </c>
      <c r="C71" s="2" t="s">
        <v>12799</v>
      </c>
      <c r="D71" s="2" t="s">
        <v>17441</v>
      </c>
      <c r="E71" s="4" t="str">
        <f ca="1">IFERROR(__xludf.DUMMYFUNCTION("GOOGLETRANSLATE(B71,""ja"",""vi"")"),"nếu không thì")</f>
        <v>nếu không thì</v>
      </c>
      <c r="F71" s="4" t="str">
        <f ca="1">IFERROR(__xludf.DUMMYFUNCTION("GOOGLETRANSLATE(C71,""ja"",""vi"")"),"Đấu giá&gt; nhà, nội thất&gt; Đồ Pet&gt; bò sát, lưỡng cư Vật tư&gt; Khác")</f>
        <v>Đấu giá&gt; nhà, nội thất&gt; Đồ Pet&gt; bò sát, lưỡng cư Vật tư&gt; Khác</v>
      </c>
      <c r="G71" t="str">
        <f t="shared" ca="1" si="1"/>
        <v>"2084062733" : "nếu không thì",</v>
      </c>
    </row>
    <row r="72" spans="1:7" ht="14.25" customHeight="1">
      <c r="A72" s="2">
        <v>2084008196</v>
      </c>
      <c r="B72" s="2" t="s">
        <v>134</v>
      </c>
      <c r="C72" s="2" t="s">
        <v>12420</v>
      </c>
      <c r="D72" s="2" t="s">
        <v>17446</v>
      </c>
      <c r="E72" s="4" t="str">
        <f ca="1">IFERROR(__xludf.DUMMYFUNCTION("GOOGLETRANSLATE(B72,""ja"",""vi"")"),"Một món đồ chơi")</f>
        <v>Một món đồ chơi</v>
      </c>
      <c r="F72" s="4" t="str">
        <f ca="1">IFERROR(__xludf.DUMMYFUNCTION("GOOGLETRANSLATE(C72,""ja"",""vi"")"),"Đấu giá&gt; nhà, nội thất&gt; Đồ Pet&gt; Chó&gt; Đồ chơi")</f>
        <v>Đấu giá&gt; nhà, nội thất&gt; Đồ Pet&gt; Chó&gt; Đồ chơi</v>
      </c>
      <c r="G72" t="str">
        <f t="shared" ca="1" si="1"/>
        <v>"2084008196" : "Một món đồ chơi",</v>
      </c>
    </row>
    <row r="73" spans="1:7" ht="14.25" customHeight="1">
      <c r="A73" s="2">
        <v>2084049721</v>
      </c>
      <c r="B73" s="2" t="s">
        <v>12425</v>
      </c>
      <c r="C73" s="2" t="s">
        <v>12426</v>
      </c>
      <c r="D73" s="2" t="s">
        <v>17450</v>
      </c>
      <c r="E73" s="4" t="str">
        <f ca="1">IFERROR(__xludf.DUMMYFUNCTION("GOOGLETRANSLATE(B73,""ja"",""vi"")"),"Đào tạo Hàng")</f>
        <v>Đào tạo Hàng</v>
      </c>
      <c r="F73" s="4" t="str">
        <f ca="1">IFERROR(__xludf.DUMMYFUNCTION("GOOGLETRANSLATE(C73,""ja"",""vi"")"),"Đấu giá&gt; nhà, nội thất&gt; Đồ Pet&gt; Chó&gt; Đào tạo Hàng")</f>
        <v>Đấu giá&gt; nhà, nội thất&gt; Đồ Pet&gt; Chó&gt; Đào tạo Hàng</v>
      </c>
      <c r="G73" t="str">
        <f t="shared" ca="1" si="1"/>
        <v>"2084049721" : "Đào tạo Hàng",</v>
      </c>
    </row>
    <row r="74" spans="1:7" ht="14.25" customHeight="1">
      <c r="A74" s="2">
        <v>2084008195</v>
      </c>
      <c r="B74" s="2" t="s">
        <v>12429</v>
      </c>
      <c r="C74" s="2" t="s">
        <v>12431</v>
      </c>
      <c r="D74" s="2" t="s">
        <v>17456</v>
      </c>
      <c r="E74" s="4" t="str">
        <f ca="1">IFERROR(__xludf.DUMMYFUNCTION("GOOGLETRANSLATE(B74,""ja"",""vi"")"),"nghề nghiệp")</f>
        <v>nghề nghiệp</v>
      </c>
      <c r="F74" s="4" t="str">
        <f ca="1">IFERROR(__xludf.DUMMYFUNCTION("GOOGLETRANSLATE(C74,""ja"",""vi"")"),"Đấu giá&gt; nhà, nội thất&gt; Đồ Pet&gt; Chó&gt; Career")</f>
        <v>Đấu giá&gt; nhà, nội thất&gt; Đồ Pet&gt; Chó&gt; Career</v>
      </c>
      <c r="G74" t="str">
        <f t="shared" ca="1" si="1"/>
        <v>"2084008195" : "nghề nghiệp",</v>
      </c>
    </row>
    <row r="75" spans="1:7" ht="14.25" customHeight="1">
      <c r="A75" s="2">
        <v>2084049722</v>
      </c>
      <c r="B75" s="2" t="s">
        <v>12434</v>
      </c>
      <c r="C75" s="2" t="s">
        <v>12435</v>
      </c>
      <c r="D75" s="2" t="s">
        <v>17461</v>
      </c>
      <c r="E75" s="4" t="str">
        <f ca="1">IFERROR(__xludf.DUMMYFUNCTION("GOOGLETRANSLATE(B75,""ja"",""vi"")"),"lồng")</f>
        <v>lồng</v>
      </c>
      <c r="F75" s="4" t="str">
        <f ca="1">IFERROR(__xludf.DUMMYFUNCTION("GOOGLETRANSLATE(C75,""ja"",""vi"")"),"Đấu giá&gt; nhà, nội thất&gt; nguồn cung cấp vật nuôi&gt; chó&gt; lồng")</f>
        <v>Đấu giá&gt; nhà, nội thất&gt; nguồn cung cấp vật nuôi&gt; chó&gt; lồng</v>
      </c>
      <c r="G75" t="str">
        <f t="shared" ca="1" si="1"/>
        <v>"2084049722" : "lồng",</v>
      </c>
    </row>
    <row r="76" spans="1:7" ht="14.25" customHeight="1">
      <c r="A76" s="2">
        <v>2084061521</v>
      </c>
      <c r="B76" s="2" t="s">
        <v>12440</v>
      </c>
      <c r="C76" s="2" t="s">
        <v>12441</v>
      </c>
      <c r="D76" s="2" t="s">
        <v>17465</v>
      </c>
      <c r="E76" s="4" t="str">
        <f ca="1">IFERROR(__xludf.DUMMYFUNCTION("GOOGLETRANSLATE(B76,""ja"",""vi"")"),"nhà vệ sinh")</f>
        <v>nhà vệ sinh</v>
      </c>
      <c r="F76" s="4" t="str">
        <f ca="1">IFERROR(__xludf.DUMMYFUNCTION("GOOGLETRANSLATE(C76,""ja"",""vi"")"),"Đấu giá&gt; nhà, nội thất&gt; Đồ Pet&gt; Chó&gt; nhà vệ sinh")</f>
        <v>Đấu giá&gt; nhà, nội thất&gt; Đồ Pet&gt; Chó&gt; nhà vệ sinh</v>
      </c>
      <c r="G76" t="str">
        <f t="shared" ca="1" si="1"/>
        <v>"2084061521" : "nhà vệ sinh",</v>
      </c>
    </row>
    <row r="77" spans="1:7" ht="14.25" customHeight="1">
      <c r="A77" s="2">
        <v>2084008199</v>
      </c>
      <c r="B77" s="2" t="s">
        <v>12446</v>
      </c>
      <c r="C77" s="2" t="s">
        <v>12447</v>
      </c>
      <c r="D77" s="2" t="s">
        <v>17469</v>
      </c>
      <c r="E77" s="4" t="str">
        <f ca="1">IFERROR(__xludf.DUMMYFUNCTION("GOOGLETRANSLATE(B77,""ja"",""vi"")"),"thức ăn cho chó")</f>
        <v>thức ăn cho chó</v>
      </c>
      <c r="F77" s="4" t="str">
        <f ca="1">IFERROR(__xludf.DUMMYFUNCTION("GOOGLETRANSLATE(C77,""ja"",""vi"")"),"Đấu giá&gt; nhà, nội thất&gt; nguồn cung cấp vật nuôi&gt; chó&gt; thức ăn cho chó")</f>
        <v>Đấu giá&gt; nhà, nội thất&gt; nguồn cung cấp vật nuôi&gt; chó&gt; thức ăn cho chó</v>
      </c>
      <c r="G77" t="str">
        <f t="shared" ca="1" si="1"/>
        <v>"2084008199" : "thức ăn cho chó",</v>
      </c>
    </row>
    <row r="78" spans="1:7" ht="14.25" customHeight="1">
      <c r="A78" s="2">
        <v>2084061550</v>
      </c>
      <c r="B78" s="2" t="s">
        <v>9648</v>
      </c>
      <c r="C78" s="2" t="s">
        <v>12452</v>
      </c>
      <c r="D78" s="2" t="s">
        <v>17473</v>
      </c>
      <c r="E78" s="4" t="str">
        <f ca="1">IFERROR(__xludf.DUMMYFUNCTION("GOOGLETRANSLATE(B78,""ja"",""vi"")"),"giường")</f>
        <v>giường</v>
      </c>
      <c r="F78" s="4" t="str">
        <f ca="1">IFERROR(__xludf.DUMMYFUNCTION("GOOGLETRANSLATE(C78,""ja"",""vi"")"),"Đấu giá&gt; nhà, nội thất&gt; Đồ Pet&gt; Chó&gt; Giường")</f>
        <v>Đấu giá&gt; nhà, nội thất&gt; Đồ Pet&gt; Chó&gt; Giường</v>
      </c>
      <c r="G78" t="str">
        <f t="shared" ca="1" si="1"/>
        <v>"2084061550" : "giường",</v>
      </c>
    </row>
    <row r="79" spans="1:7" ht="14.25" customHeight="1">
      <c r="A79" s="2">
        <v>2084008194</v>
      </c>
      <c r="B79" s="2" t="s">
        <v>12456</v>
      </c>
      <c r="C79" s="2" t="s">
        <v>12458</v>
      </c>
      <c r="D79" s="2" t="s">
        <v>17477</v>
      </c>
      <c r="E79" s="4" t="str">
        <f ca="1">IFERROR(__xludf.DUMMYFUNCTION("GOOGLETRANSLATE(B79,""ja"",""vi"")"),"chuồng chó")</f>
        <v>chuồng chó</v>
      </c>
      <c r="F79" s="4" t="str">
        <f ca="1">IFERROR(__xludf.DUMMYFUNCTION("GOOGLETRANSLATE(C79,""ja"",""vi"")"),"Đấu giá&gt; nhà, nội thất&gt; nguồn cung cấp vật nuôi&gt; chó&gt; cũi")</f>
        <v>Đấu giá&gt; nhà, nội thất&gt; nguồn cung cấp vật nuôi&gt; chó&gt; cũi</v>
      </c>
      <c r="G79" t="str">
        <f t="shared" ca="1" si="1"/>
        <v>"2084008194" : "chuồng chó",</v>
      </c>
    </row>
    <row r="80" spans="1:7" ht="14.25" customHeight="1">
      <c r="A80" s="2">
        <v>2084008198</v>
      </c>
      <c r="B80" s="2" t="s">
        <v>12463</v>
      </c>
      <c r="C80" s="2" t="s">
        <v>12464</v>
      </c>
      <c r="D80" s="2" t="s">
        <v>17481</v>
      </c>
      <c r="E80" s="4" t="str">
        <f ca="1">IFERROR(__xludf.DUMMYFUNCTION("GOOGLETRANSLATE(B80,""ja"",""vi"")"),"sản phẩm chăm sóc")</f>
        <v>sản phẩm chăm sóc</v>
      </c>
      <c r="F80" s="4" t="str">
        <f ca="1">IFERROR(__xludf.DUMMYFUNCTION("GOOGLETRANSLATE(C80,""ja"",""vi"")"),"Đấu giá&gt; nhà, nội thất&gt; nguồn cung cấp vật nuôi&gt; chó&gt; sản phẩm chăm sóc")</f>
        <v>Đấu giá&gt; nhà, nội thất&gt; nguồn cung cấp vật nuôi&gt; chó&gt; sản phẩm chăm sóc</v>
      </c>
      <c r="G80" t="str">
        <f t="shared" ca="1" si="1"/>
        <v>"2084008198" : "sản phẩm chăm sóc",</v>
      </c>
    </row>
    <row r="81" spans="1:7" ht="14.25" customHeight="1">
      <c r="A81" s="2">
        <v>2084008197</v>
      </c>
      <c r="B81" s="2" t="s">
        <v>12469</v>
      </c>
      <c r="C81" s="2" t="s">
        <v>12470</v>
      </c>
      <c r="D81" s="2" t="s">
        <v>17488</v>
      </c>
      <c r="E81" s="4" t="str">
        <f ca="1">IFERROR(__xludf.DUMMYFUNCTION("GOOGLETRANSLATE(B81,""ja"",""vi"")"),"Cổ áo, chì")</f>
        <v>Cổ áo, chì</v>
      </c>
      <c r="F81" s="4" t="str">
        <f ca="1">IFERROR(__xludf.DUMMYFUNCTION("GOOGLETRANSLATE(C81,""ja"",""vi"")"),"Đấu giá&gt; nhà, nội thất&gt; Đồ Pet&gt; Chó&gt; Collar, chì")</f>
        <v>Đấu giá&gt; nhà, nội thất&gt; Đồ Pet&gt; Chó&gt; Collar, chì</v>
      </c>
      <c r="G81" t="str">
        <f t="shared" ca="1" si="1"/>
        <v>"2084008197" : "Cổ áo, chì",</v>
      </c>
    </row>
    <row r="82" spans="1:7" ht="14.25" customHeight="1">
      <c r="A82" s="2">
        <v>2084048882</v>
      </c>
      <c r="B82" s="2" t="s">
        <v>8322</v>
      </c>
      <c r="C82" s="2" t="s">
        <v>12476</v>
      </c>
      <c r="D82" s="2" t="s">
        <v>17492</v>
      </c>
      <c r="E82" s="4" t="str">
        <f ca="1">IFERROR(__xludf.DUMMYFUNCTION("GOOGLETRANSLATE(B82,""ja"",""vi"")"),"đồ dùng trên bàn")</f>
        <v>đồ dùng trên bàn</v>
      </c>
      <c r="F82" s="4" t="str">
        <f ca="1">IFERROR(__xludf.DUMMYFUNCTION("GOOGLETRANSLATE(C82,""ja"",""vi"")"),"Đấu giá&gt; nhà, nội thất&gt; Đồ Pet&gt; Chó&gt; bộ đồ ăn")</f>
        <v>Đấu giá&gt; nhà, nội thất&gt; Đồ Pet&gt; Chó&gt; bộ đồ ăn</v>
      </c>
      <c r="G82" t="str">
        <f t="shared" ca="1" si="1"/>
        <v>"2084048882" : "đồ dùng trên bàn",</v>
      </c>
    </row>
    <row r="83" spans="1:7" ht="14.25" customHeight="1">
      <c r="A83" s="2">
        <v>2084045164</v>
      </c>
      <c r="B83" s="2" t="s">
        <v>12481</v>
      </c>
      <c r="C83" s="2" t="s">
        <v>12483</v>
      </c>
      <c r="D83" s="2" t="s">
        <v>17496</v>
      </c>
      <c r="E83" s="4" t="str">
        <f ca="1">IFERROR(__xludf.DUMMYFUNCTION("GOOGLETRANSLATE(B83,""ja"",""vi"")"),"quần áo")</f>
        <v>quần áo</v>
      </c>
      <c r="F83" s="4" t="str">
        <f ca="1">IFERROR(__xludf.DUMMYFUNCTION("GOOGLETRANSLATE(C83,""ja"",""vi"")"),"Đấu giá&gt; nhà, nội thất&gt; nguồn cung cấp vật nuôi&gt; chó&gt; quần áo")</f>
        <v>Đấu giá&gt; nhà, nội thất&gt; nguồn cung cấp vật nuôi&gt; chó&gt; quần áo</v>
      </c>
      <c r="G83" t="str">
        <f t="shared" ca="1" si="1"/>
        <v>"2084045164" : "quần áo",</v>
      </c>
    </row>
    <row r="84" spans="1:7" ht="14.25" customHeight="1">
      <c r="A84" s="2">
        <v>2084008885</v>
      </c>
      <c r="B84" s="2" t="s">
        <v>1632</v>
      </c>
      <c r="C84" s="2" t="s">
        <v>12489</v>
      </c>
      <c r="D84" s="2" t="s">
        <v>17500</v>
      </c>
      <c r="E84" s="4" t="str">
        <f ca="1">IFERROR(__xludf.DUMMYFUNCTION("GOOGLETRANSLATE(B84,""ja"",""vi"")"),"điều này")</f>
        <v>điều này</v>
      </c>
      <c r="F84" s="4" t="str">
        <f ca="1">IFERROR(__xludf.DUMMYFUNCTION("GOOGLETRANSLATE(C84,""ja"",""vi"")"),"Đấu giá&gt; nhà, nội thất&gt; Đồ Pet&gt; Chó&gt; Sách")</f>
        <v>Đấu giá&gt; nhà, nội thất&gt; Đồ Pet&gt; Chó&gt; Sách</v>
      </c>
      <c r="G84" t="str">
        <f t="shared" ca="1" si="1"/>
        <v>"2084008885" : "điều này",</v>
      </c>
    </row>
    <row r="85" spans="1:7" ht="14.25" customHeight="1">
      <c r="A85" s="2">
        <v>2084008200</v>
      </c>
      <c r="B85" s="2" t="s">
        <v>46</v>
      </c>
      <c r="C85" s="2" t="s">
        <v>12496</v>
      </c>
      <c r="D85" s="2" t="s">
        <v>17505</v>
      </c>
      <c r="E85" s="4" t="str">
        <f ca="1">IFERROR(__xludf.DUMMYFUNCTION("GOOGLETRANSLATE(B85,""ja"",""vi"")"),"nếu không thì")</f>
        <v>nếu không thì</v>
      </c>
      <c r="F85" s="4" t="str">
        <f ca="1">IFERROR(__xludf.DUMMYFUNCTION("GOOGLETRANSLATE(C85,""ja"",""vi"")"),"Đấu giá&gt; nhà, nội thất&gt; Đồ Pet&gt; Chó&gt; Khác")</f>
        <v>Đấu giá&gt; nhà, nội thất&gt; Đồ Pet&gt; Chó&gt; Khác</v>
      </c>
      <c r="G85" t="str">
        <f t="shared" ca="1" si="1"/>
        <v>"2084008200" : "nếu không thì",</v>
      </c>
    </row>
    <row r="86" spans="1:7" ht="14.25" hidden="1" customHeight="1">
      <c r="E86" s="4" t="str">
        <f ca="1">IFERROR(__xludf.DUMMYFUNCTION("GOOGLETRANSLATE(B86,""ja"",""vi"")"),"#VALUE!")</f>
        <v>#VALUE!</v>
      </c>
      <c r="F86" s="4" t="str">
        <f ca="1">IFERROR(__xludf.DUMMYFUNCTION("GOOGLETRANSLATE(C86,""ja"",""vi"")"),"#VALUE!")</f>
        <v>#VALUE!</v>
      </c>
      <c r="G86" t="str">
        <f t="shared" ca="1" si="1"/>
        <v>"" : "#VALUE!",</v>
      </c>
    </row>
    <row r="87" spans="1:7" ht="14.25" hidden="1" customHeight="1">
      <c r="A87" s="3">
        <v>2084008191</v>
      </c>
      <c r="B87" s="10"/>
      <c r="C87" s="10"/>
      <c r="D87" s="10"/>
      <c r="E87" s="4" t="str">
        <f ca="1">IFERROR(__xludf.DUMMYFUNCTION("GOOGLETRANSLATE(B87,""ja"",""vi"")"),"#VALUE!")</f>
        <v>#VALUE!</v>
      </c>
      <c r="F87" s="4" t="str">
        <f ca="1">IFERROR(__xludf.DUMMYFUNCTION("GOOGLETRANSLATE(C87,""ja"",""vi"")"),"#VALUE!")</f>
        <v>#VALUE!</v>
      </c>
      <c r="G87" t="str">
        <f t="shared" ca="1" si="1"/>
        <v>"2084008191" : "#VALUE!",</v>
      </c>
    </row>
    <row r="88" spans="1:7" ht="14.25" customHeight="1">
      <c r="A88" s="11">
        <v>2084008203</v>
      </c>
      <c r="B88" s="11" t="s">
        <v>134</v>
      </c>
      <c r="C88" s="11" t="s">
        <v>12501</v>
      </c>
      <c r="D88" s="11" t="s">
        <v>17510</v>
      </c>
      <c r="E88" s="4" t="str">
        <f ca="1">IFERROR(__xludf.DUMMYFUNCTION("GOOGLETRANSLATE(B88,""ja"",""vi"")"),"Một món đồ chơi")</f>
        <v>Một món đồ chơi</v>
      </c>
      <c r="F88" s="4" t="str">
        <f ca="1">IFERROR(__xludf.DUMMYFUNCTION("GOOGLETRANSLATE(C88,""ja"",""vi"")"),"Đấu giá&gt; nhà, nội thất&gt; Đồ Pet&gt; Cát&gt; Đồ chơi")</f>
        <v>Đấu giá&gt; nhà, nội thất&gt; Đồ Pet&gt; Cát&gt; Đồ chơi</v>
      </c>
      <c r="G88" t="str">
        <f t="shared" ca="1" si="1"/>
        <v>"2084008203" : "Một món đồ chơi",</v>
      </c>
    </row>
    <row r="89" spans="1:7" ht="14.25" customHeight="1">
      <c r="A89" s="2">
        <v>2084192986</v>
      </c>
      <c r="B89" s="2" t="s">
        <v>12505</v>
      </c>
      <c r="C89" s="2" t="s">
        <v>12506</v>
      </c>
      <c r="D89" s="2" t="s">
        <v>17515</v>
      </c>
      <c r="E89" s="4" t="str">
        <f ca="1">IFERROR(__xludf.DUMMYFUNCTION("GOOGLETRANSLATE(B89,""ja"",""vi"")"),"Cát Tháp")</f>
        <v>Cát Tháp</v>
      </c>
      <c r="F89" s="4" t="str">
        <f ca="1">IFERROR(__xludf.DUMMYFUNCTION("GOOGLETRANSLATE(C89,""ja"",""vi"")"),"Đấu giá&gt; nhà, nội thất&gt; Đồ Pet&gt; Cát&gt; Cát Tháp")</f>
        <v>Đấu giá&gt; nhà, nội thất&gt; Đồ Pet&gt; Cát&gt; Cát Tháp</v>
      </c>
      <c r="G89" t="str">
        <f t="shared" ca="1" si="1"/>
        <v>"2084192986" : "Cát Tháp",</v>
      </c>
    </row>
    <row r="90" spans="1:7" ht="14.25" customHeight="1">
      <c r="A90" s="2">
        <v>2084008205</v>
      </c>
      <c r="B90" s="2" t="s">
        <v>12510</v>
      </c>
      <c r="C90" s="2" t="s">
        <v>12513</v>
      </c>
      <c r="D90" s="2" t="s">
        <v>17519</v>
      </c>
      <c r="E90" s="4" t="str">
        <f ca="1">IFERROR(__xludf.DUMMYFUNCTION("GOOGLETRANSLATE(B90,""ja"",""vi"")"),"Thức ăn cho mèo")</f>
        <v>Thức ăn cho mèo</v>
      </c>
      <c r="F90" s="4" t="str">
        <f ca="1">IFERROR(__xludf.DUMMYFUNCTION("GOOGLETRANSLATE(C90,""ja"",""vi"")"),"Đấu giá&gt; nhà, nội thất&gt; Đồ Pet&gt; mèo&gt; thức ăn cho mèo")</f>
        <v>Đấu giá&gt; nhà, nội thất&gt; Đồ Pet&gt; mèo&gt; thức ăn cho mèo</v>
      </c>
      <c r="G90" t="str">
        <f t="shared" ca="1" si="1"/>
        <v>"2084008205" : "Thức ăn cho mèo",</v>
      </c>
    </row>
    <row r="91" spans="1:7" ht="14.25" customHeight="1">
      <c r="A91" s="2">
        <v>2084008202</v>
      </c>
      <c r="B91" s="2" t="s">
        <v>12429</v>
      </c>
      <c r="C91" s="2" t="s">
        <v>12517</v>
      </c>
      <c r="D91" s="2" t="s">
        <v>17525</v>
      </c>
      <c r="E91" s="4" t="str">
        <f ca="1">IFERROR(__xludf.DUMMYFUNCTION("GOOGLETRANSLATE(B91,""ja"",""vi"")"),"nghề nghiệp")</f>
        <v>nghề nghiệp</v>
      </c>
      <c r="F91" s="4" t="str">
        <f ca="1">IFERROR(__xludf.DUMMYFUNCTION("GOOGLETRANSLATE(C91,""ja"",""vi"")"),"Đấu giá&gt; nhà, nội thất&gt; Đồ Pet&gt; mèo&gt; Career")</f>
        <v>Đấu giá&gt; nhà, nội thất&gt; Đồ Pet&gt; mèo&gt; Career</v>
      </c>
      <c r="G91" t="str">
        <f t="shared" ca="1" si="1"/>
        <v>"2084008202" : "nghề nghiệp",</v>
      </c>
    </row>
    <row r="92" spans="1:7" ht="14.25" customHeight="1">
      <c r="A92" s="2">
        <v>2084061522</v>
      </c>
      <c r="B92" s="2" t="s">
        <v>12440</v>
      </c>
      <c r="C92" s="2" t="s">
        <v>12522</v>
      </c>
      <c r="D92" s="2" t="s">
        <v>17531</v>
      </c>
      <c r="E92" s="4" t="str">
        <f ca="1">IFERROR(__xludf.DUMMYFUNCTION("GOOGLETRANSLATE(B92,""ja"",""vi"")"),"nhà vệ sinh")</f>
        <v>nhà vệ sinh</v>
      </c>
      <c r="F92" s="4" t="str">
        <f ca="1">IFERROR(__xludf.DUMMYFUNCTION("GOOGLETRANSLATE(C92,""ja"",""vi"")"),"Đấu giá&gt; nhà, nội thất&gt; Đồ Pet&gt; mèo&gt; nhà vệ sinh")</f>
        <v>Đấu giá&gt; nhà, nội thất&gt; Đồ Pet&gt; mèo&gt; nhà vệ sinh</v>
      </c>
      <c r="G92" t="str">
        <f t="shared" ca="1" si="1"/>
        <v>"2084061522" : "nhà vệ sinh",</v>
      </c>
    </row>
    <row r="93" spans="1:7" ht="14.25" customHeight="1">
      <c r="A93" s="2">
        <v>2084008201</v>
      </c>
      <c r="B93" s="2" t="s">
        <v>12525</v>
      </c>
      <c r="C93" s="2" t="s">
        <v>12527</v>
      </c>
      <c r="D93" s="2" t="s">
        <v>17534</v>
      </c>
      <c r="E93" s="4" t="str">
        <f ca="1">IFERROR(__xludf.DUMMYFUNCTION("GOOGLETRANSLATE(B93,""ja"",""vi"")"),"House, giường")</f>
        <v>House, giường</v>
      </c>
      <c r="F93" s="4" t="str">
        <f ca="1">IFERROR(__xludf.DUMMYFUNCTION("GOOGLETRANSLATE(C93,""ja"",""vi"")"),"Đấu giá&gt; nhà, nội thất&gt; Đồ Pet&gt; mèo&gt; nhà, giường")</f>
        <v>Đấu giá&gt; nhà, nội thất&gt; Đồ Pet&gt; mèo&gt; nhà, giường</v>
      </c>
      <c r="G93" t="str">
        <f t="shared" ca="1" si="1"/>
        <v>"2084008201" : "House, giường",</v>
      </c>
    </row>
    <row r="94" spans="1:7" ht="14.25" customHeight="1">
      <c r="A94" s="2">
        <v>2084008204</v>
      </c>
      <c r="B94" s="2" t="s">
        <v>12463</v>
      </c>
      <c r="C94" s="2" t="s">
        <v>12532</v>
      </c>
      <c r="D94" s="2" t="s">
        <v>17537</v>
      </c>
      <c r="E94" s="4" t="str">
        <f ca="1">IFERROR(__xludf.DUMMYFUNCTION("GOOGLETRANSLATE(B94,""ja"",""vi"")"),"sản phẩm chăm sóc")</f>
        <v>sản phẩm chăm sóc</v>
      </c>
      <c r="F94" s="4" t="str">
        <f ca="1">IFERROR(__xludf.DUMMYFUNCTION("GOOGLETRANSLATE(C94,""ja"",""vi"")"),"Đấu giá&gt; nhà, nội thất&gt; Đồ Pet&gt; mèo&gt; sản phẩm chăm sóc")</f>
        <v>Đấu giá&gt; nhà, nội thất&gt; Đồ Pet&gt; mèo&gt; sản phẩm chăm sóc</v>
      </c>
      <c r="G94" t="str">
        <f t="shared" ca="1" si="1"/>
        <v>"2084008204" : "sản phẩm chăm sóc",</v>
      </c>
    </row>
    <row r="95" spans="1:7" ht="14.25" customHeight="1">
      <c r="A95" s="2">
        <v>2084061897</v>
      </c>
      <c r="B95" s="2" t="s">
        <v>12535</v>
      </c>
      <c r="C95" s="2" t="s">
        <v>12537</v>
      </c>
      <c r="D95" s="2" t="s">
        <v>17543</v>
      </c>
      <c r="E95" s="4" t="str">
        <f ca="1">IFERROR(__xludf.DUMMYFUNCTION("GOOGLETRANSLATE(B95,""ja"",""vi"")"),"khăn quàng cổ")</f>
        <v>khăn quàng cổ</v>
      </c>
      <c r="F95" s="4" t="str">
        <f ca="1">IFERROR(__xludf.DUMMYFUNCTION("GOOGLETRANSLATE(C95,""ja"",""vi"")"),"Đấu giá&gt; nhà, nội thất&gt; Đồ Pet&gt; mèo&gt; Collar")</f>
        <v>Đấu giá&gt; nhà, nội thất&gt; Đồ Pet&gt; mèo&gt; Collar</v>
      </c>
      <c r="G95" t="str">
        <f t="shared" ca="1" si="1"/>
        <v>"2084061897" : "khăn quàng cổ",</v>
      </c>
    </row>
    <row r="96" spans="1:7" ht="14.25" customHeight="1">
      <c r="A96" s="2">
        <v>2084048883</v>
      </c>
      <c r="B96" s="2" t="s">
        <v>8322</v>
      </c>
      <c r="C96" s="2" t="s">
        <v>12540</v>
      </c>
      <c r="D96" s="2" t="s">
        <v>17547</v>
      </c>
      <c r="E96" s="4" t="str">
        <f ca="1">IFERROR(__xludf.DUMMYFUNCTION("GOOGLETRANSLATE(B96,""ja"",""vi"")"),"đồ dùng trên bàn")</f>
        <v>đồ dùng trên bàn</v>
      </c>
      <c r="F96" s="4" t="str">
        <f ca="1">IFERROR(__xludf.DUMMYFUNCTION("GOOGLETRANSLATE(C96,""ja"",""vi"")"),"Đấu giá&gt; nhà, nội thất&gt; Đồ Pet&gt; mèo&gt; bộ đồ ăn")</f>
        <v>Đấu giá&gt; nhà, nội thất&gt; Đồ Pet&gt; mèo&gt; bộ đồ ăn</v>
      </c>
      <c r="G96" t="str">
        <f t="shared" ca="1" si="1"/>
        <v>"2084048883" : "đồ dùng trên bàn",</v>
      </c>
    </row>
    <row r="97" spans="1:7" ht="14.25" customHeight="1">
      <c r="A97" s="2">
        <v>2084192987</v>
      </c>
      <c r="B97" s="2" t="s">
        <v>12545</v>
      </c>
      <c r="C97" s="2" t="s">
        <v>12546</v>
      </c>
      <c r="D97" s="2" t="s">
        <v>17549</v>
      </c>
      <c r="E97" s="4" t="str">
        <f ca="1">IFERROR(__xludf.DUMMYFUNCTION("GOOGLETRANSLATE(B97,""ja"",""vi"")"),"gãi nguồn cung cấp")</f>
        <v>gãi nguồn cung cấp</v>
      </c>
      <c r="F97" s="4" t="str">
        <f ca="1">IFERROR(__xludf.DUMMYFUNCTION("GOOGLETRANSLATE(C97,""ja"",""vi"")"),"Đấu giá&gt; nhà, nội thất&gt; Đồ Pet&gt; mèo&gt; nguồn cung cấp gãi")</f>
        <v>Đấu giá&gt; nhà, nội thất&gt; Đồ Pet&gt; mèo&gt; nguồn cung cấp gãi</v>
      </c>
      <c r="G97" t="str">
        <f t="shared" ca="1" si="1"/>
        <v>"2084192987" : "gãi nguồn cung cấp",</v>
      </c>
    </row>
    <row r="98" spans="1:7" ht="14.25" customHeight="1">
      <c r="A98" s="2">
        <v>2084192988</v>
      </c>
      <c r="B98" s="2" t="s">
        <v>12481</v>
      </c>
      <c r="C98" s="2" t="s">
        <v>12551</v>
      </c>
      <c r="D98" s="2" t="s">
        <v>17552</v>
      </c>
      <c r="E98" s="4" t="str">
        <f ca="1">IFERROR(__xludf.DUMMYFUNCTION("GOOGLETRANSLATE(B98,""ja"",""vi"")"),"quần áo")</f>
        <v>quần áo</v>
      </c>
      <c r="F98" s="4" t="str">
        <f ca="1">IFERROR(__xludf.DUMMYFUNCTION("GOOGLETRANSLATE(C98,""ja"",""vi"")"),"Đấu giá&gt; nhà, nội thất&gt; Đồ Pet&gt; mèo&gt; Quần áo")</f>
        <v>Đấu giá&gt; nhà, nội thất&gt; Đồ Pet&gt; mèo&gt; Quần áo</v>
      </c>
      <c r="G98" t="str">
        <f t="shared" ca="1" si="1"/>
        <v>"2084192988" : "quần áo",</v>
      </c>
    </row>
    <row r="99" spans="1:7" ht="14.25" customHeight="1">
      <c r="A99" s="2">
        <v>2084008886</v>
      </c>
      <c r="B99" s="2" t="s">
        <v>1632</v>
      </c>
      <c r="C99" s="2" t="s">
        <v>12556</v>
      </c>
      <c r="D99" s="2" t="s">
        <v>17560</v>
      </c>
      <c r="E99" s="4" t="str">
        <f ca="1">IFERROR(__xludf.DUMMYFUNCTION("GOOGLETRANSLATE(B99,""ja"",""vi"")"),"điều này")</f>
        <v>điều này</v>
      </c>
      <c r="F99" s="4" t="str">
        <f ca="1">IFERROR(__xludf.DUMMYFUNCTION("GOOGLETRANSLATE(C99,""ja"",""vi"")"),"Đấu giá&gt; nhà, nội thất&gt; Đồ Pet&gt; mèo&gt; Sách")</f>
        <v>Đấu giá&gt; nhà, nội thất&gt; Đồ Pet&gt; mèo&gt; Sách</v>
      </c>
      <c r="G99" t="str">
        <f t="shared" ca="1" si="1"/>
        <v>"2084008886" : "điều này",</v>
      </c>
    </row>
    <row r="100" spans="1:7" ht="14.25" customHeight="1">
      <c r="A100" s="2">
        <v>2084008206</v>
      </c>
      <c r="B100" s="2" t="s">
        <v>46</v>
      </c>
      <c r="C100" s="2" t="s">
        <v>12559</v>
      </c>
      <c r="D100" s="2" t="s">
        <v>17563</v>
      </c>
      <c r="E100" s="4" t="str">
        <f ca="1">IFERROR(__xludf.DUMMYFUNCTION("GOOGLETRANSLATE(B100,""ja"",""vi"")"),"nếu không thì")</f>
        <v>nếu không thì</v>
      </c>
      <c r="F100" s="4" t="str">
        <f ca="1">IFERROR(__xludf.DUMMYFUNCTION("GOOGLETRANSLATE(C100,""ja"",""vi"")"),"Đấu giá&gt; nhà, nội thất&gt; Đồ Pet&gt; mèo&gt; Khác")</f>
        <v>Đấu giá&gt; nhà, nội thất&gt; Đồ Pet&gt; mèo&gt; Khác</v>
      </c>
      <c r="G100" t="str">
        <f t="shared" ca="1" si="1"/>
        <v>"2084008206" : "nếu không thì",</v>
      </c>
    </row>
    <row r="101" spans="1:7" ht="14.25" customHeight="1">
      <c r="A101" s="2">
        <v>2084008208</v>
      </c>
      <c r="B101" s="2" t="s">
        <v>134</v>
      </c>
      <c r="C101" s="2" t="s">
        <v>12566</v>
      </c>
      <c r="D101" s="2" t="s">
        <v>17567</v>
      </c>
      <c r="E101" s="4" t="str">
        <f ca="1">IFERROR(__xludf.DUMMYFUNCTION("GOOGLETRANSLATE(B101,""ja"",""vi"")"),"Một món đồ chơi")</f>
        <v>Một món đồ chơi</v>
      </c>
      <c r="F101" s="4" t="str">
        <f ca="1">IFERROR(__xludf.DUMMYFUNCTION("GOOGLETRANSLATE(C101,""ja"",""vi"")"),"Đấu giá&gt; nhà, nội thất&gt; Đồ Pet&gt; động vật nhỏ&gt; Đồ chơi")</f>
        <v>Đấu giá&gt; nhà, nội thất&gt; Đồ Pet&gt; động vật nhỏ&gt; Đồ chơi</v>
      </c>
      <c r="G101" t="str">
        <f t="shared" ca="1" si="1"/>
        <v>"2084008208" : "Một món đồ chơi",</v>
      </c>
    </row>
    <row r="102" spans="1:7" ht="14.25" customHeight="1">
      <c r="A102" s="2">
        <v>2084008207</v>
      </c>
      <c r="B102" s="2" t="s">
        <v>12570</v>
      </c>
      <c r="C102" s="2" t="s">
        <v>12572</v>
      </c>
      <c r="D102" s="2" t="s">
        <v>17570</v>
      </c>
      <c r="E102" s="4" t="str">
        <f ca="1">IFERROR(__xludf.DUMMYFUNCTION("GOOGLETRANSLATE(B102,""ja"",""vi"")"),"Cage, lồng")</f>
        <v>Cage, lồng</v>
      </c>
      <c r="F102" s="4" t="str">
        <f ca="1">IFERROR(__xludf.DUMMYFUNCTION("GOOGLETRANSLATE(C102,""ja"",""vi"")"),"Đấu giá&gt; nhà, nội thất&gt; Đồ Pet&gt; động vật nhỏ&gt; lồng, lồng")</f>
        <v>Đấu giá&gt; nhà, nội thất&gt; Đồ Pet&gt; động vật nhỏ&gt; lồng, lồng</v>
      </c>
      <c r="G102" t="str">
        <f t="shared" ca="1" si="1"/>
        <v>"2084008207" : "Cage, lồng",</v>
      </c>
    </row>
    <row r="103" spans="1:7" ht="14.25" customHeight="1">
      <c r="A103" s="2">
        <v>2084008209</v>
      </c>
      <c r="B103" s="2" t="s">
        <v>12577</v>
      </c>
      <c r="C103" s="2" t="s">
        <v>12578</v>
      </c>
      <c r="D103" s="2" t="s">
        <v>17576</v>
      </c>
      <c r="E103" s="4" t="str">
        <f ca="1">IFERROR(__xludf.DUMMYFUNCTION("GOOGLETRANSLATE(B103,""ja"",""vi"")"),"mồi")</f>
        <v>mồi</v>
      </c>
      <c r="F103" s="4" t="str">
        <f ca="1">IFERROR(__xludf.DUMMYFUNCTION("GOOGLETRANSLATE(C103,""ja"",""vi"")"),"Đấu giá&gt; nhà, nội thất&gt; Đồ Pet&gt; động vật nhỏ&gt; mồi")</f>
        <v>Đấu giá&gt; nhà, nội thất&gt; Đồ Pet&gt; động vật nhỏ&gt; mồi</v>
      </c>
      <c r="G103" t="str">
        <f t="shared" ca="1" si="1"/>
        <v>"2084008209" : "mồi",</v>
      </c>
    </row>
    <row r="104" spans="1:7" ht="14.25" customHeight="1">
      <c r="A104" s="2">
        <v>2084008342</v>
      </c>
      <c r="B104" s="2" t="s">
        <v>12429</v>
      </c>
      <c r="C104" s="2" t="s">
        <v>12583</v>
      </c>
      <c r="D104" s="2" t="s">
        <v>17580</v>
      </c>
      <c r="E104" s="4" t="str">
        <f ca="1">IFERROR(__xludf.DUMMYFUNCTION("GOOGLETRANSLATE(B104,""ja"",""vi"")"),"nghề nghiệp")</f>
        <v>nghề nghiệp</v>
      </c>
      <c r="F104" s="4" t="str">
        <f ca="1">IFERROR(__xludf.DUMMYFUNCTION("GOOGLETRANSLATE(C104,""ja"",""vi"")"),"Đấu giá&gt; nhà, nội thất&gt; Đồ Pet&gt; động vật nhỏ&gt; Career")</f>
        <v>Đấu giá&gt; nhà, nội thất&gt; Đồ Pet&gt; động vật nhỏ&gt; Career</v>
      </c>
      <c r="G104" t="str">
        <f t="shared" ca="1" si="1"/>
        <v>"2084008342" : "nghề nghiệp",</v>
      </c>
    </row>
    <row r="105" spans="1:7" ht="14.25" customHeight="1">
      <c r="A105" s="2">
        <v>2084061523</v>
      </c>
      <c r="B105" s="2" t="s">
        <v>12440</v>
      </c>
      <c r="C105" s="2" t="s">
        <v>12588</v>
      </c>
      <c r="D105" s="2" t="s">
        <v>17584</v>
      </c>
      <c r="E105" s="4" t="str">
        <f ca="1">IFERROR(__xludf.DUMMYFUNCTION("GOOGLETRANSLATE(B105,""ja"",""vi"")"),"nhà vệ sinh")</f>
        <v>nhà vệ sinh</v>
      </c>
      <c r="F105" s="4" t="str">
        <f ca="1">IFERROR(__xludf.DUMMYFUNCTION("GOOGLETRANSLATE(C105,""ja"",""vi"")"),"Đấu giá&gt; nhà, nội thất&gt; Đồ Pet&gt; động vật nhỏ&gt; nhà vệ sinh")</f>
        <v>Đấu giá&gt; nhà, nội thất&gt; Đồ Pet&gt; động vật nhỏ&gt; nhà vệ sinh</v>
      </c>
      <c r="G105" t="str">
        <f t="shared" ca="1" si="1"/>
        <v>"2084061523" : "nhà vệ sinh",</v>
      </c>
    </row>
    <row r="106" spans="1:7" ht="14.25" customHeight="1">
      <c r="A106" s="2">
        <v>2084008889</v>
      </c>
      <c r="B106" s="2" t="s">
        <v>1632</v>
      </c>
      <c r="C106" s="2" t="s">
        <v>12594</v>
      </c>
      <c r="D106" s="2" t="s">
        <v>17589</v>
      </c>
      <c r="E106" s="4" t="str">
        <f ca="1">IFERROR(__xludf.DUMMYFUNCTION("GOOGLETRANSLATE(B106,""ja"",""vi"")"),"điều này")</f>
        <v>điều này</v>
      </c>
      <c r="F106" s="4" t="str">
        <f ca="1">IFERROR(__xludf.DUMMYFUNCTION("GOOGLETRANSLATE(C106,""ja"",""vi"")"),"Đấu giá&gt; nhà, Đồ nội thất&gt; Pet&gt; động vật nhỏ&gt; Sách")</f>
        <v>Đấu giá&gt; nhà, Đồ nội thất&gt; Pet&gt; động vật nhỏ&gt; Sách</v>
      </c>
      <c r="G106" t="str">
        <f t="shared" ca="1" si="1"/>
        <v>"2084008889" : "điều này",</v>
      </c>
    </row>
    <row r="107" spans="1:7" ht="14.25" customHeight="1">
      <c r="A107" s="2">
        <v>2084008210</v>
      </c>
      <c r="B107" s="2" t="s">
        <v>46</v>
      </c>
      <c r="C107" s="2" t="s">
        <v>12602</v>
      </c>
      <c r="D107" s="2" t="s">
        <v>17592</v>
      </c>
      <c r="E107" s="4" t="str">
        <f ca="1">IFERROR(__xludf.DUMMYFUNCTION("GOOGLETRANSLATE(B107,""ja"",""vi"")"),"nếu không thì")</f>
        <v>nếu không thì</v>
      </c>
      <c r="F107" s="4" t="str">
        <f ca="1">IFERROR(__xludf.DUMMYFUNCTION("GOOGLETRANSLATE(C107,""ja"",""vi"")"),"Đấu giá&gt; nhà, nội thất&gt; Đồ Pet&gt; động vật nhỏ&gt; Khác")</f>
        <v>Đấu giá&gt; nhà, nội thất&gt; Đồ Pet&gt; động vật nhỏ&gt; Khác</v>
      </c>
      <c r="G107" t="str">
        <f t="shared" ca="1" si="1"/>
        <v>"2084008210" : "nếu không thì",</v>
      </c>
    </row>
    <row r="108" spans="1:7" ht="14.25" customHeight="1">
      <c r="A108" s="2">
        <v>2084008212</v>
      </c>
      <c r="B108" s="2" t="s">
        <v>134</v>
      </c>
      <c r="C108" s="2" t="s">
        <v>12606</v>
      </c>
      <c r="D108" s="2" t="s">
        <v>17601</v>
      </c>
      <c r="E108" s="4" t="str">
        <f ca="1">IFERROR(__xludf.DUMMYFUNCTION("GOOGLETRANSLATE(B108,""ja"",""vi"")"),"Một món đồ chơi")</f>
        <v>Một món đồ chơi</v>
      </c>
      <c r="F108" s="4" t="str">
        <f ca="1">IFERROR(__xludf.DUMMYFUNCTION("GOOGLETRANSLATE(C108,""ja"",""vi"")"),"Đấu giá&gt; nhà, nội thất&gt; Đồ Pet&gt; Bird&gt; Đồ chơi")</f>
        <v>Đấu giá&gt; nhà, nội thất&gt; Đồ Pet&gt; Bird&gt; Đồ chơi</v>
      </c>
      <c r="G108" t="str">
        <f t="shared" ca="1" si="1"/>
        <v>"2084008212" : "Một món đồ chơi",</v>
      </c>
    </row>
    <row r="109" spans="1:7" ht="14.25" customHeight="1">
      <c r="A109" s="2">
        <v>2084008214</v>
      </c>
      <c r="B109" s="2" t="s">
        <v>12577</v>
      </c>
      <c r="C109" s="2" t="s">
        <v>12611</v>
      </c>
      <c r="D109" s="2" t="s">
        <v>17607</v>
      </c>
      <c r="E109" s="4" t="str">
        <f ca="1">IFERROR(__xludf.DUMMYFUNCTION("GOOGLETRANSLATE(B109,""ja"",""vi"")"),"mồi")</f>
        <v>mồi</v>
      </c>
      <c r="F109" s="4" t="str">
        <f ca="1">IFERROR(__xludf.DUMMYFUNCTION("GOOGLETRANSLATE(C109,""ja"",""vi"")"),"Đấu giá&gt; nhà, nội thất&gt; Đồ Pet&gt; Bird&gt; mồi")</f>
        <v>Đấu giá&gt; nhà, nội thất&gt; Đồ Pet&gt; Bird&gt; mồi</v>
      </c>
      <c r="G109" t="str">
        <f t="shared" ca="1" si="1"/>
        <v>"2084008214" : "mồi",</v>
      </c>
    </row>
    <row r="110" spans="1:7" ht="14.25" customHeight="1">
      <c r="A110" s="2">
        <v>2084008211</v>
      </c>
      <c r="B110" s="2" t="s">
        <v>12614</v>
      </c>
      <c r="C110" s="2" t="s">
        <v>12617</v>
      </c>
      <c r="D110" s="2" t="s">
        <v>17613</v>
      </c>
      <c r="E110" s="4" t="str">
        <f ca="1">IFERROR(__xludf.DUMMYFUNCTION("GOOGLETRANSLATE(B110,""ja"",""vi"")"),"Birdcage")</f>
        <v>Birdcage</v>
      </c>
      <c r="F110" s="4" t="str">
        <f ca="1">IFERROR(__xludf.DUMMYFUNCTION("GOOGLETRANSLATE(C110,""ja"",""vi"")"),"Đấu giá&gt; nhà, nội thất&gt; Đồ Pet&gt; Bird&gt; Bird Cage")</f>
        <v>Đấu giá&gt; nhà, nội thất&gt; Đồ Pet&gt; Bird&gt; Bird Cage</v>
      </c>
      <c r="G110" t="str">
        <f t="shared" ca="1" si="1"/>
        <v>"2084008211" : "Birdcage",</v>
      </c>
    </row>
    <row r="111" spans="1:7" ht="14.25" customHeight="1">
      <c r="A111" s="2">
        <v>2084008888</v>
      </c>
      <c r="B111" s="2" t="s">
        <v>1632</v>
      </c>
      <c r="C111" s="2" t="s">
        <v>12624</v>
      </c>
      <c r="D111" s="2" t="s">
        <v>17617</v>
      </c>
      <c r="E111" s="4" t="str">
        <f ca="1">IFERROR(__xludf.DUMMYFUNCTION("GOOGLETRANSLATE(B111,""ja"",""vi"")"),"điều này")</f>
        <v>điều này</v>
      </c>
      <c r="F111" s="4" t="str">
        <f ca="1">IFERROR(__xludf.DUMMYFUNCTION("GOOGLETRANSLATE(C111,""ja"",""vi"")"),"Đấu giá&gt; nhà, nội thất&gt; Đồ Pet&gt; Bird&gt; Sách")</f>
        <v>Đấu giá&gt; nhà, nội thất&gt; Đồ Pet&gt; Bird&gt; Sách</v>
      </c>
      <c r="G111" t="str">
        <f t="shared" ca="1" si="1"/>
        <v>"2084008888" : "điều này",</v>
      </c>
    </row>
    <row r="112" spans="1:7" ht="14.25" customHeight="1">
      <c r="A112" s="2">
        <v>2084008215</v>
      </c>
      <c r="B112" s="2" t="s">
        <v>46</v>
      </c>
      <c r="C112" s="2" t="s">
        <v>12629</v>
      </c>
      <c r="D112" s="2" t="s">
        <v>17621</v>
      </c>
      <c r="E112" s="4" t="str">
        <f ca="1">IFERROR(__xludf.DUMMYFUNCTION("GOOGLETRANSLATE(B112,""ja"",""vi"")"),"nếu không thì")</f>
        <v>nếu không thì</v>
      </c>
      <c r="F112" s="4" t="str">
        <f ca="1">IFERROR(__xludf.DUMMYFUNCTION("GOOGLETRANSLATE(C112,""ja"",""vi"")"),"Đấu giá&gt; nhà, nội thất&gt; Đồ Pet&gt; Bird&gt; Khác")</f>
        <v>Đấu giá&gt; nhà, nội thất&gt; Đồ Pet&gt; Bird&gt; Khác</v>
      </c>
      <c r="G112" t="str">
        <f t="shared" ca="1" si="1"/>
        <v>"2084008215" : "nếu không thì",</v>
      </c>
    </row>
    <row r="113" spans="1:7" ht="14.25" customHeight="1">
      <c r="A113" s="2">
        <v>24290</v>
      </c>
      <c r="B113" s="2" t="s">
        <v>3138</v>
      </c>
      <c r="C113" s="2" t="s">
        <v>12635</v>
      </c>
      <c r="D113" s="2" t="s">
        <v>17289</v>
      </c>
      <c r="E113" s="4" t="str">
        <f ca="1">IFERROR(__xludf.DUMMYFUNCTION("GOOGLETRANSLATE(B113,""ja"",""vi"")"),"bộ")</f>
        <v>bộ</v>
      </c>
      <c r="F113" s="4" t="str">
        <f ca="1">IFERROR(__xludf.DUMMYFUNCTION("GOOGLETRANSLATE(C113,""ja"",""vi"")"),"Đấu giá&gt; nhà, nội thất&gt; Đồ Pet&gt; cá, nhà máy nước&gt; bộ")</f>
        <v>Đấu giá&gt; nhà, nội thất&gt; Đồ Pet&gt; cá, nhà máy nước&gt; bộ</v>
      </c>
      <c r="G113" t="str">
        <f t="shared" ca="1" si="1"/>
        <v>"24290" : "bộ",</v>
      </c>
    </row>
    <row r="114" spans="1:7" ht="14.25" customHeight="1">
      <c r="A114" s="2">
        <v>2084061343</v>
      </c>
      <c r="B114" s="2" t="s">
        <v>12640</v>
      </c>
      <c r="C114" s="2" t="s">
        <v>12642</v>
      </c>
      <c r="D114" s="2" t="s">
        <v>17292</v>
      </c>
      <c r="E114" s="4" t="str">
        <f ca="1">IFERROR(__xludf.DUMMYFUNCTION("GOOGLETRANSLATE(B114,""ja"",""vi"")"),"vật liệu lọc")</f>
        <v>vật liệu lọc</v>
      </c>
      <c r="F114" s="4" t="str">
        <f ca="1">IFERROR(__xludf.DUMMYFUNCTION("GOOGLETRANSLATE(C114,""ja"",""vi"")"),"Đấu giá&gt; nhà, nội thất&gt; Đồ Pet&gt; cá, nhà máy nước&gt; vật liệu lọc")</f>
        <v>Đấu giá&gt; nhà, nội thất&gt; Đồ Pet&gt; cá, nhà máy nước&gt; vật liệu lọc</v>
      </c>
      <c r="G114" t="str">
        <f t="shared" ca="1" si="1"/>
        <v>"2084061343" : "vật liệu lọc",</v>
      </c>
    </row>
    <row r="115" spans="1:7" ht="14.25" customHeight="1">
      <c r="A115" s="2">
        <v>24274</v>
      </c>
      <c r="B115" s="2" t="s">
        <v>12646</v>
      </c>
      <c r="C115" s="2" t="s">
        <v>12648</v>
      </c>
      <c r="D115" s="2" t="s">
        <v>17294</v>
      </c>
      <c r="E115" s="4" t="str">
        <f ca="1">IFERROR(__xludf.DUMMYFUNCTION("GOOGLETRANSLATE(B115,""ja"",""vi"")"),"máy bơm không khí")</f>
        <v>máy bơm không khí</v>
      </c>
      <c r="F115" s="4" t="str">
        <f ca="1">IFERROR(__xludf.DUMMYFUNCTION("GOOGLETRANSLATE(C115,""ja"",""vi"")"),"Đấu giá&gt; nhà, nội thất&gt; Đồ Pet&gt; cá, nhà máy nước&gt; máy bơm không khí")</f>
        <v>Đấu giá&gt; nhà, nội thất&gt; Đồ Pet&gt; cá, nhà máy nước&gt; máy bơm không khí</v>
      </c>
      <c r="G115" t="str">
        <f t="shared" ca="1" si="1"/>
        <v>"24274" : "máy bơm không khí",</v>
      </c>
    </row>
    <row r="116" spans="1:7" ht="14.25" customHeight="1">
      <c r="A116" s="2">
        <v>2084008260</v>
      </c>
      <c r="B116" s="2" t="s">
        <v>12577</v>
      </c>
      <c r="C116" s="2" t="s">
        <v>12653</v>
      </c>
      <c r="D116" s="2" t="s">
        <v>17296</v>
      </c>
      <c r="E116" s="4" t="str">
        <f ca="1">IFERROR(__xludf.DUMMYFUNCTION("GOOGLETRANSLATE(B116,""ja"",""vi"")"),"mồi")</f>
        <v>mồi</v>
      </c>
      <c r="F116" s="4" t="str">
        <f ca="1">IFERROR(__xludf.DUMMYFUNCTION("GOOGLETRANSLATE(C116,""ja"",""vi"")"),"Đấu giá&gt; nhà, nội thất&gt; Đồ Pet&gt; cá, nhà máy nước&gt; mồi")</f>
        <v>Đấu giá&gt; nhà, nội thất&gt; Đồ Pet&gt; cá, nhà máy nước&gt; mồi</v>
      </c>
      <c r="G116" t="str">
        <f t="shared" ca="1" si="1"/>
        <v>"2084008260" : "mồi",</v>
      </c>
    </row>
    <row r="117" spans="1:7" ht="14.25" customHeight="1">
      <c r="A117" s="2">
        <v>2084061388</v>
      </c>
      <c r="B117" s="2" t="s">
        <v>12659</v>
      </c>
      <c r="C117" s="2" t="s">
        <v>12660</v>
      </c>
      <c r="D117" s="2" t="s">
        <v>17297</v>
      </c>
      <c r="E117" s="4" t="str">
        <f ca="1">IFERROR(__xludf.DUMMYFUNCTION("GOOGLETRANSLATE(B117,""ja"",""vi"")"),"Cooler")</f>
        <v>Cooler</v>
      </c>
      <c r="F117" s="4" t="str">
        <f ca="1">IFERROR(__xludf.DUMMYFUNCTION("GOOGLETRANSLATE(C117,""ja"",""vi"")"),"Đấu giá&gt; nhà, nội thất&gt; Đồ Pet&gt; cá, nhà máy nước&gt; mát")</f>
        <v>Đấu giá&gt; nhà, nội thất&gt; Đồ Pet&gt; cá, nhà máy nước&gt; mát</v>
      </c>
      <c r="G117" t="str">
        <f t="shared" ca="1" si="1"/>
        <v>"2084061388" : "Cooler",</v>
      </c>
    </row>
    <row r="118" spans="1:7" ht="14.25" customHeight="1">
      <c r="A118" s="2">
        <v>2084005549</v>
      </c>
      <c r="B118" s="2" t="s">
        <v>12663</v>
      </c>
      <c r="C118" s="2" t="s">
        <v>12664</v>
      </c>
      <c r="D118" s="2" t="s">
        <v>17298</v>
      </c>
      <c r="E118" s="4" t="str">
        <f ca="1">IFERROR(__xludf.DUMMYFUNCTION("GOOGLETRANSLATE(B118,""ja"",""vi"")"),"máy điều nhiệt")</f>
        <v>máy điều nhiệt</v>
      </c>
      <c r="F118" s="4" t="str">
        <f ca="1">IFERROR(__xludf.DUMMYFUNCTION("GOOGLETRANSLATE(C118,""ja"",""vi"")"),"Đấu giá&gt; nhà, nội thất&gt; Đồ Pet&gt; cá, nhà máy nước&gt; nhiệt")</f>
        <v>Đấu giá&gt; nhà, nội thất&gt; Đồ Pet&gt; cá, nhà máy nước&gt; nhiệt</v>
      </c>
      <c r="G118" t="str">
        <f t="shared" ca="1" si="1"/>
        <v>"2084005549" : "máy điều nhiệt",</v>
      </c>
    </row>
    <row r="119" spans="1:7" ht="14.25" customHeight="1">
      <c r="A119" s="2">
        <v>24294</v>
      </c>
      <c r="B119" s="2" t="s">
        <v>12669</v>
      </c>
      <c r="C119" s="2" t="s">
        <v>12670</v>
      </c>
      <c r="D119" s="2" t="s">
        <v>17300</v>
      </c>
      <c r="E119" s="4" t="str">
        <f ca="1">IFERROR(__xludf.DUMMYFUNCTION("GOOGLETRANSLATE(B119,""ja"",""vi"")"),"san hô")</f>
        <v>san hô</v>
      </c>
      <c r="F119" s="4" t="str">
        <f ca="1">IFERROR(__xludf.DUMMYFUNCTION("GOOGLETRANSLATE(C119,""ja"",""vi"")"),"Đấu giá&gt; nhà, nội thất&gt; Đồ Pet&gt; cá, nhà máy nước&gt; san hô")</f>
        <v>Đấu giá&gt; nhà, nội thất&gt; Đồ Pet&gt; cá, nhà máy nước&gt; san hô</v>
      </c>
      <c r="G119" t="str">
        <f t="shared" ca="1" si="1"/>
        <v>"24294" : "san hô",</v>
      </c>
    </row>
    <row r="120" spans="1:7" ht="14.25" customHeight="1">
      <c r="A120" s="2">
        <v>2084062684</v>
      </c>
      <c r="B120" s="2" t="s">
        <v>12673</v>
      </c>
      <c r="C120" s="2" t="s">
        <v>12676</v>
      </c>
      <c r="D120" s="2" t="s">
        <v>17302</v>
      </c>
      <c r="E120" s="4" t="str">
        <f ca="1">IFERROR(__xludf.DUMMYFUNCTION("GOOGLETRANSLATE(B120,""ja"",""vi"")"),"timer")</f>
        <v>timer</v>
      </c>
      <c r="F120" s="4" t="str">
        <f ca="1">IFERROR(__xludf.DUMMYFUNCTION("GOOGLETRANSLATE(C120,""ja"",""vi"")"),"Đấu giá&gt; nhà, nội thất&gt; Đồ Pet&gt; cá, nhà máy nước&gt; timer")</f>
        <v>Đấu giá&gt; nhà, nội thất&gt; Đồ Pet&gt; cá, nhà máy nước&gt; timer</v>
      </c>
      <c r="G120" t="str">
        <f t="shared" ca="1" si="1"/>
        <v>"2084062684" : "timer",</v>
      </c>
    </row>
    <row r="121" spans="1:7" ht="14.25" customHeight="1">
      <c r="A121" s="2">
        <v>24262</v>
      </c>
      <c r="B121" s="2" t="s">
        <v>12678</v>
      </c>
      <c r="C121" s="2" t="s">
        <v>12681</v>
      </c>
      <c r="D121" s="2" t="s">
        <v>17306</v>
      </c>
      <c r="E121" s="4" t="str">
        <f ca="1">IFERROR(__xludf.DUMMYFUNCTION("GOOGLETRANSLATE(B121,""ja"",""vi"")"),"lò sưởi")</f>
        <v>lò sưởi</v>
      </c>
      <c r="F121" s="4" t="str">
        <f ca="1">IFERROR(__xludf.DUMMYFUNCTION("GOOGLETRANSLATE(C121,""ja"",""vi"")"),"Đấu giá&gt; nhà, nội thất&gt; Đồ Pet&gt; cá, nhà máy nước&gt; nóng")</f>
        <v>Đấu giá&gt; nhà, nội thất&gt; Đồ Pet&gt; cá, nhà máy nước&gt; nóng</v>
      </c>
      <c r="G121" t="str">
        <f t="shared" ca="1" si="1"/>
        <v>"24262" : "lò sưởi",</v>
      </c>
    </row>
    <row r="122" spans="1:7" ht="14.25" customHeight="1">
      <c r="A122" s="2">
        <v>24250</v>
      </c>
      <c r="B122" s="2" t="s">
        <v>3400</v>
      </c>
      <c r="C122" s="2" t="s">
        <v>12687</v>
      </c>
      <c r="D122" s="2" t="s">
        <v>17309</v>
      </c>
      <c r="E122" s="4" t="str">
        <f ca="1">IFERROR(__xludf.DUMMYFUNCTION("GOOGLETRANSLATE(B122,""ja"",""vi"")"),"Lọc")</f>
        <v>Lọc</v>
      </c>
      <c r="F122" s="4" t="str">
        <f ca="1">IFERROR(__xludf.DUMMYFUNCTION("GOOGLETRANSLATE(C122,""ja"",""vi"")"),"Đấu giá&gt; nhà, nội thất&gt; Đồ Pet&gt; cá, nhà máy nước&gt; lọc")</f>
        <v>Đấu giá&gt; nhà, nội thất&gt; Đồ Pet&gt; cá, nhà máy nước&gt; lọc</v>
      </c>
      <c r="G122" t="str">
        <f t="shared" ca="1" si="1"/>
        <v>"24250" : "Lọc",</v>
      </c>
    </row>
    <row r="123" spans="1:7" ht="14.25" customHeight="1">
      <c r="A123" s="2">
        <v>2084061344</v>
      </c>
      <c r="B123" s="2" t="s">
        <v>12692</v>
      </c>
      <c r="C123" s="2" t="s">
        <v>12693</v>
      </c>
      <c r="D123" s="2" t="s">
        <v>17312</v>
      </c>
      <c r="E123" s="4" t="str">
        <f ca="1">IFERROR(__xludf.DUMMYFUNCTION("GOOGLETRANSLATE(B123,""ja"",""vi"")"),"Gravel, sàn")</f>
        <v>Gravel, sàn</v>
      </c>
      <c r="F123" s="4" t="str">
        <f ca="1">IFERROR(__xludf.DUMMYFUNCTION("GOOGLETRANSLATE(C123,""ja"",""vi"")"),"Đấu giá&gt; nhà, nội thất&gt; Đồ Pet&gt; cá, nhà máy nước&gt; sỏi, ván sàn")</f>
        <v>Đấu giá&gt; nhà, nội thất&gt; Đồ Pet&gt; cá, nhà máy nước&gt; sỏi, ván sàn</v>
      </c>
      <c r="G123" t="str">
        <f t="shared" ca="1" si="1"/>
        <v>"2084061344" : "Gravel, sàn",</v>
      </c>
    </row>
    <row r="124" spans="1:7" ht="14.25" customHeight="1">
      <c r="A124" s="2">
        <v>24266</v>
      </c>
      <c r="B124" s="2" t="s">
        <v>12697</v>
      </c>
      <c r="C124" s="2" t="s">
        <v>12698</v>
      </c>
      <c r="D124" s="2" t="s">
        <v>17314</v>
      </c>
      <c r="E124" s="4" t="str">
        <f ca="1">IFERROR(__xludf.DUMMYFUNCTION("GOOGLETRANSLATE(B124,""ja"",""vi"")"),"chiếu sáng")</f>
        <v>chiếu sáng</v>
      </c>
      <c r="F124" s="4" t="str">
        <f ca="1">IFERROR(__xludf.DUMMYFUNCTION("GOOGLETRANSLATE(C124,""ja"",""vi"")"),"Đấu giá&gt; nhà, nội thất&gt; Đồ Pet&gt; cá, nhà máy nước&gt; ánh sáng")</f>
        <v>Đấu giá&gt; nhà, nội thất&gt; Đồ Pet&gt; cá, nhà máy nước&gt; ánh sáng</v>
      </c>
      <c r="G124" t="str">
        <f t="shared" ca="1" si="1"/>
        <v>"24266" : "chiếu sáng",</v>
      </c>
    </row>
    <row r="125" spans="1:7" ht="14.25" customHeight="1">
      <c r="A125" s="2">
        <v>24258</v>
      </c>
      <c r="B125" s="2" t="s">
        <v>12700</v>
      </c>
      <c r="C125" s="2" t="s">
        <v>12703</v>
      </c>
      <c r="D125" s="2" t="s">
        <v>17316</v>
      </c>
      <c r="E125" s="4" t="str">
        <f ca="1">IFERROR(__xludf.DUMMYFUNCTION("GOOGLETRANSLATE(B125,""ja"",""vi"")"),"đo nhiệt độ nước")</f>
        <v>đo nhiệt độ nước</v>
      </c>
      <c r="F125" s="4" t="str">
        <f ca="1">IFERROR(__xludf.DUMMYFUNCTION("GOOGLETRANSLATE(C125,""ja"",""vi"")"),"Đấu giá&gt; nhà, nội thất&gt; Đồ Pet&gt; cá, nhà máy nước&gt; nhiệt kế nước")</f>
        <v>Đấu giá&gt; nhà, nội thất&gt; Đồ Pet&gt; cá, nhà máy nước&gt; nhiệt kế nước</v>
      </c>
      <c r="G125" t="str">
        <f t="shared" ca="1" si="1"/>
        <v>"24258" : "đo nhiệt độ nước",</v>
      </c>
    </row>
    <row r="126" spans="1:7" ht="14.25" customHeight="1">
      <c r="A126" s="2">
        <v>2084062659</v>
      </c>
      <c r="B126" s="2" t="s">
        <v>12705</v>
      </c>
      <c r="C126" s="2" t="s">
        <v>12708</v>
      </c>
      <c r="D126" s="2" t="s">
        <v>17318</v>
      </c>
      <c r="E126" s="4" t="str">
        <f ca="1">IFERROR(__xludf.DUMMYFUNCTION("GOOGLETRANSLATE(B126,""ja"",""vi"")"),"dụng cụ đo lường chất lượng nước")</f>
        <v>dụng cụ đo lường chất lượng nước</v>
      </c>
      <c r="F126" s="4" t="str">
        <f ca="1">IFERROR(__xludf.DUMMYFUNCTION("GOOGLETRANSLATE(C126,""ja"",""vi"")"),"Đấu giá&gt; nhà, nội thất&gt; Đồ Pet&gt; cá, nhà máy nước&gt; công cụ đo chất lượng nước")</f>
        <v>Đấu giá&gt; nhà, nội thất&gt; Đồ Pet&gt; cá, nhà máy nước&gt; công cụ đo chất lượng nước</v>
      </c>
      <c r="G126" t="str">
        <f t="shared" ca="1" si="1"/>
        <v>"2084062659" : "dụng cụ đo lường chất lượng nước",</v>
      </c>
    </row>
    <row r="127" spans="1:7" ht="14.25" customHeight="1">
      <c r="A127" s="2">
        <v>24286</v>
      </c>
      <c r="B127" s="2" t="s">
        <v>12712</v>
      </c>
      <c r="C127" s="2" t="s">
        <v>12713</v>
      </c>
      <c r="D127" s="2" t="s">
        <v>17320</v>
      </c>
      <c r="E127" s="4" t="str">
        <f ca="1">IFERROR(__xludf.DUMMYFUNCTION("GOOGLETRANSLATE(B127,""ja"",""vi"")"),"điều hòa nước")</f>
        <v>điều hòa nước</v>
      </c>
      <c r="F127" s="4" t="str">
        <f ca="1">IFERROR(__xludf.DUMMYFUNCTION("GOOGLETRANSLATE(C127,""ja"",""vi"")"),"Đấu giá&gt; nhà, nội thất&gt; Đồ Pet&gt; cá, nhà máy nước&gt; điều chỉnh chất lượng nước")</f>
        <v>Đấu giá&gt; nhà, nội thất&gt; Đồ Pet&gt; cá, nhà máy nước&gt; điều chỉnh chất lượng nước</v>
      </c>
      <c r="G127" t="str">
        <f t="shared" ca="1" si="1"/>
        <v>"24286" : "điều hòa nước",</v>
      </c>
    </row>
    <row r="128" spans="1:7" ht="14.25" customHeight="1">
      <c r="A128" s="2">
        <v>24254</v>
      </c>
      <c r="B128" s="2" t="s">
        <v>12718</v>
      </c>
      <c r="C128" s="2" t="s">
        <v>12719</v>
      </c>
      <c r="D128" s="2" t="s">
        <v>17322</v>
      </c>
      <c r="E128" s="4" t="str">
        <f ca="1">IFERROR(__xludf.DUMMYFUNCTION("GOOGLETRANSLATE(B128,""ja"",""vi"")"),"bồn nước")</f>
        <v>bồn nước</v>
      </c>
      <c r="F128" s="4" t="str">
        <f ca="1">IFERROR(__xludf.DUMMYFUNCTION("GOOGLETRANSLATE(C128,""ja"",""vi"")"),"Đấu giá&gt; nhà, nội thất&gt; Đồ Pet&gt; cá, nhà máy nước&gt; Bồn nước")</f>
        <v>Đấu giá&gt; nhà, nội thất&gt; Đồ Pet&gt; cá, nhà máy nước&gt; Bồn nước</v>
      </c>
      <c r="G128" t="str">
        <f t="shared" ca="1" si="1"/>
        <v>"24254" : "bồn nước",</v>
      </c>
    </row>
    <row r="129" spans="1:7" ht="14.25" customHeight="1">
      <c r="A129" s="2">
        <v>2084045165</v>
      </c>
      <c r="B129" s="2" t="s">
        <v>12722</v>
      </c>
      <c r="C129" s="2" t="s">
        <v>12723</v>
      </c>
      <c r="D129" s="2" t="s">
        <v>17326</v>
      </c>
      <c r="E129" s="4" t="str">
        <f ca="1">IFERROR(__xludf.DUMMYFUNCTION("GOOGLETRANSLATE(B129,""ja"",""vi"")"),"đồ trang trí bể cá")</f>
        <v>đồ trang trí bể cá</v>
      </c>
      <c r="F129" s="4" t="str">
        <f ca="1">IFERROR(__xludf.DUMMYFUNCTION("GOOGLETRANSLATE(C129,""ja"",""vi"")"),"Đấu giá&gt; nhà, nội thất&gt; Đồ Pet&gt; cá, nhà máy nước&gt; đồ trang trí bể nước")</f>
        <v>Đấu giá&gt; nhà, nội thất&gt; Đồ Pet&gt; cá, nhà máy nước&gt; đồ trang trí bể nước</v>
      </c>
      <c r="G129" t="str">
        <f t="shared" ca="1" si="1"/>
        <v>"2084045165" : "đồ trang trí bể cá",</v>
      </c>
    </row>
    <row r="130" spans="1:7" ht="14.25" customHeight="1">
      <c r="A130" s="2">
        <v>2084061387</v>
      </c>
      <c r="B130" s="2" t="s">
        <v>12727</v>
      </c>
      <c r="C130" s="2" t="s">
        <v>12728</v>
      </c>
      <c r="D130" s="2" t="s">
        <v>17328</v>
      </c>
      <c r="E130" s="4" t="str">
        <f ca="1">IFERROR(__xludf.DUMMYFUNCTION("GOOGLETRANSLATE(B130,""ja"",""vi"")"),"xe bồn")</f>
        <v>xe bồn</v>
      </c>
      <c r="F130" s="4" t="str">
        <f ca="1">IFERROR(__xludf.DUMMYFUNCTION("GOOGLETRANSLATE(C130,""ja"",""vi"")"),"Đấu giá&gt; nhà, nội thất&gt; Đồ Pet&gt; cá, nhà máy nước&gt; xe bồn")</f>
        <v>Đấu giá&gt; nhà, nội thất&gt; Đồ Pet&gt; cá, nhà máy nước&gt; xe bồn</v>
      </c>
      <c r="G130" t="str">
        <f t="shared" ca="1" si="1"/>
        <v>"2084061387" : "xe bồn",</v>
      </c>
    </row>
    <row r="131" spans="1:7" ht="14.25" customHeight="1">
      <c r="A131" s="2">
        <v>24306</v>
      </c>
      <c r="B131" s="2" t="s">
        <v>12732</v>
      </c>
      <c r="C131" s="2" t="s">
        <v>12734</v>
      </c>
      <c r="D131" s="2" t="s">
        <v>17330</v>
      </c>
      <c r="E131" s="4" t="str">
        <f ca="1">IFERROR(__xludf.DUMMYFUNCTION("GOOGLETRANSLATE(B131,""ja"",""vi"")"),"Các loài cây thủy")</f>
        <v>Các loài cây thủy</v>
      </c>
      <c r="F131" s="4" t="str">
        <f ca="1">IFERROR(__xludf.DUMMYFUNCTION("GOOGLETRANSLATE(C131,""ja"",""vi"")"),"Đấu giá&gt; nhà, nội thất&gt; Đồ Pet&gt; cá, nhà máy nước&gt; nhà máy nước")</f>
        <v>Đấu giá&gt; nhà, nội thất&gt; Đồ Pet&gt; cá, nhà máy nước&gt; nhà máy nước</v>
      </c>
      <c r="G131" t="str">
        <f t="shared" ref="G131:G177" ca="1" si="2">CONCATENATE(CHAR(34)&amp;"",A131,""&amp;CHAR(34)," : ", CHAR(34)&amp;"",E131,""&amp;CHAR(34),",")</f>
        <v>"24306" : "Các loài cây thủy",</v>
      </c>
    </row>
    <row r="132" spans="1:7" ht="14.25" customHeight="1">
      <c r="A132" s="2">
        <v>2084047555</v>
      </c>
      <c r="B132" s="2" t="s">
        <v>12737</v>
      </c>
      <c r="C132" s="2" t="s">
        <v>12738</v>
      </c>
      <c r="D132" s="2" t="s">
        <v>17333</v>
      </c>
      <c r="E132" s="4" t="str">
        <f ca="1">IFERROR(__xludf.DUMMYFUNCTION("GOOGLETRANSLATE(B132,""ja"",""vi"")"),"nguồn cung cấp nhà máy nước")</f>
        <v>nguồn cung cấp nhà máy nước</v>
      </c>
      <c r="F132" s="4" t="str">
        <f ca="1">IFERROR(__xludf.DUMMYFUNCTION("GOOGLETRANSLATE(C132,""ja"",""vi"")"),"Đấu giá&gt; nhà, nội thất&gt; Đồ Pet&gt; cá, nhà máy nước&gt; nguồn cung cấp nhà máy nước")</f>
        <v>Đấu giá&gt; nhà, nội thất&gt; Đồ Pet&gt; cá, nhà máy nước&gt; nguồn cung cấp nhà máy nước</v>
      </c>
      <c r="G132" t="str">
        <f t="shared" ca="1" si="2"/>
        <v>"2084047555" : "nguồn cung cấp nhà máy nước",</v>
      </c>
    </row>
    <row r="133" spans="1:7" ht="14.25" customHeight="1">
      <c r="A133" s="2">
        <v>24282</v>
      </c>
      <c r="B133" s="2" t="s">
        <v>12743</v>
      </c>
      <c r="C133" s="2" t="s">
        <v>12744</v>
      </c>
      <c r="D133" s="2" t="s">
        <v>17335</v>
      </c>
      <c r="E133" s="4" t="str">
        <f ca="1">IFERROR(__xludf.DUMMYFUNCTION("GOOGLETRANSLATE(B133,""ja"",""vi"")"),"công cụ làm sạch")</f>
        <v>công cụ làm sạch</v>
      </c>
      <c r="F133" s="4" t="str">
        <f ca="1">IFERROR(__xludf.DUMMYFUNCTION("GOOGLETRANSLATE(C133,""ja"",""vi"")"),"Đấu giá&gt; nhà, nội thất&gt; Đồ Pet&gt; cá, nhà máy nước&gt; công cụ làm sạch")</f>
        <v>Đấu giá&gt; nhà, nội thất&gt; Đồ Pet&gt; cá, nhà máy nước&gt; công cụ làm sạch</v>
      </c>
      <c r="G133" t="str">
        <f t="shared" ca="1" si="2"/>
        <v>"24282" : "công cụ làm sạch",</v>
      </c>
    </row>
    <row r="134" spans="1:7" ht="14.25" customHeight="1">
      <c r="A134" s="2">
        <v>2084008887</v>
      </c>
      <c r="B134" s="2" t="s">
        <v>1632</v>
      </c>
      <c r="C134" s="2" t="s">
        <v>12749</v>
      </c>
      <c r="D134" s="2" t="s">
        <v>17339</v>
      </c>
      <c r="E134" s="4" t="str">
        <f ca="1">IFERROR(__xludf.DUMMYFUNCTION("GOOGLETRANSLATE(B134,""ja"",""vi"")"),"điều này")</f>
        <v>điều này</v>
      </c>
      <c r="F134" s="4" t="str">
        <f ca="1">IFERROR(__xludf.DUMMYFUNCTION("GOOGLETRANSLATE(C134,""ja"",""vi"")"),"Đấu giá&gt; nhà, nội thất&gt; Đồ Pet&gt; cá, nhà máy nước&gt; Sách")</f>
        <v>Đấu giá&gt; nhà, nội thất&gt; Đồ Pet&gt; cá, nhà máy nước&gt; Sách</v>
      </c>
      <c r="G134" t="str">
        <f t="shared" ca="1" si="2"/>
        <v>"2084008887" : "điều này",</v>
      </c>
    </row>
    <row r="135" spans="1:7" ht="14.25" customHeight="1">
      <c r="A135" s="2">
        <v>24310</v>
      </c>
      <c r="B135" s="2" t="s">
        <v>46</v>
      </c>
      <c r="C135" s="2" t="s">
        <v>12754</v>
      </c>
      <c r="D135" s="2" t="s">
        <v>17343</v>
      </c>
      <c r="E135" s="4" t="str">
        <f ca="1">IFERROR(__xludf.DUMMYFUNCTION("GOOGLETRANSLATE(B135,""ja"",""vi"")"),"nếu không thì")</f>
        <v>nếu không thì</v>
      </c>
      <c r="F135" s="4" t="str">
        <f ca="1">IFERROR(__xludf.DUMMYFUNCTION("GOOGLETRANSLATE(C135,""ja"",""vi"")"),"Đấu giá&gt; nhà, nội thất&gt; Đồ Pet&gt; cá, nhà máy nước&gt; Khác")</f>
        <v>Đấu giá&gt; nhà, nội thất&gt; Đồ Pet&gt; cá, nhà máy nước&gt; Khác</v>
      </c>
      <c r="G135" t="str">
        <f t="shared" ca="1" si="2"/>
        <v>"24310" : "nếu không thì",</v>
      </c>
    </row>
    <row r="136" spans="1:7" ht="14.25" customHeight="1">
      <c r="A136" s="2">
        <v>2084062725</v>
      </c>
      <c r="B136" s="2" t="s">
        <v>3138</v>
      </c>
      <c r="C136" s="2" t="s">
        <v>12757</v>
      </c>
      <c r="D136" s="2" t="s">
        <v>17401</v>
      </c>
      <c r="E136" s="4" t="str">
        <f ca="1">IFERROR(__xludf.DUMMYFUNCTION("GOOGLETRANSLATE(B136,""ja"",""vi"")"),"bộ")</f>
        <v>bộ</v>
      </c>
      <c r="F136" s="4" t="str">
        <f ca="1">IFERROR(__xludf.DUMMYFUNCTION("GOOGLETRANSLATE(C136,""ja"",""vi"")"),"Đấu giá&gt; nhà, nội thất&gt; Đồ Pet&gt; bò sát, lưỡng cư nguồn cung cấp&gt; bộ")</f>
        <v>Đấu giá&gt; nhà, nội thất&gt; Đồ Pet&gt; bò sát, lưỡng cư nguồn cung cấp&gt; bộ</v>
      </c>
      <c r="G136" t="str">
        <f t="shared" ca="1" si="2"/>
        <v>"2084062725" : "bộ",</v>
      </c>
    </row>
    <row r="137" spans="1:7" ht="14.25" customHeight="1">
      <c r="A137" s="2">
        <v>2084062729</v>
      </c>
      <c r="B137" s="2" t="s">
        <v>12577</v>
      </c>
      <c r="C137" s="2" t="s">
        <v>12760</v>
      </c>
      <c r="D137" s="2" t="s">
        <v>17406</v>
      </c>
      <c r="E137" s="4" t="str">
        <f ca="1">IFERROR(__xludf.DUMMYFUNCTION("GOOGLETRANSLATE(B137,""ja"",""vi"")"),"mồi")</f>
        <v>mồi</v>
      </c>
      <c r="F137" s="4" t="str">
        <f ca="1">IFERROR(__xludf.DUMMYFUNCTION("GOOGLETRANSLATE(C137,""ja"",""vi"")"),"Đấu giá&gt; nhà, nội thất&gt; Đồ Pet&gt; bò sát, lưỡng cư và vườn&gt; mồi")</f>
        <v>Đấu giá&gt; nhà, nội thất&gt; Đồ Pet&gt; bò sát, lưỡng cư và vườn&gt; mồi</v>
      </c>
      <c r="G137" t="str">
        <f t="shared" ca="1" si="2"/>
        <v>"2084062729" : "mồi",</v>
      </c>
    </row>
    <row r="138" spans="1:7" ht="14.25" customHeight="1">
      <c r="A138" s="2">
        <v>2084062727</v>
      </c>
      <c r="B138" s="2" t="s">
        <v>12663</v>
      </c>
      <c r="C138" s="2" t="s">
        <v>12764</v>
      </c>
      <c r="D138" s="2" t="s">
        <v>17410</v>
      </c>
      <c r="E138" s="4" t="str">
        <f ca="1">IFERROR(__xludf.DUMMYFUNCTION("GOOGLETRANSLATE(B138,""ja"",""vi"")"),"máy điều nhiệt")</f>
        <v>máy điều nhiệt</v>
      </c>
      <c r="F138" s="4" t="str">
        <f ca="1">IFERROR(__xludf.DUMMYFUNCTION("GOOGLETRANSLATE(C138,""ja"",""vi"")"),"Đấu giá&gt; nhà, nội thất&gt; Đồ Pet&gt; bò sát, lưỡng cư và vườn&gt; nhiệt")</f>
        <v>Đấu giá&gt; nhà, nội thất&gt; Đồ Pet&gt; bò sát, lưỡng cư và vườn&gt; nhiệt</v>
      </c>
      <c r="G138" t="str">
        <f t="shared" ca="1" si="2"/>
        <v>"2084062727" : "máy điều nhiệt",</v>
      </c>
    </row>
    <row r="139" spans="1:7" ht="14.25" customHeight="1">
      <c r="A139" s="2">
        <v>2084062728</v>
      </c>
      <c r="B139" s="2" t="s">
        <v>12678</v>
      </c>
      <c r="C139" s="2" t="s">
        <v>12767</v>
      </c>
      <c r="D139" s="2" t="s">
        <v>17413</v>
      </c>
      <c r="E139" s="4" t="str">
        <f ca="1">IFERROR(__xludf.DUMMYFUNCTION("GOOGLETRANSLATE(B139,""ja"",""vi"")"),"lò sưởi")</f>
        <v>lò sưởi</v>
      </c>
      <c r="F139" s="4" t="str">
        <f ca="1">IFERROR(__xludf.DUMMYFUNCTION("GOOGLETRANSLATE(C139,""ja"",""vi"")"),"Đấu giá&gt; nhà, nội thất&gt; Đồ Pet&gt; bò sát, lưỡng cư và vườn&gt; nóng")</f>
        <v>Đấu giá&gt; nhà, nội thất&gt; Đồ Pet&gt; bò sát, lưỡng cư và vườn&gt; nóng</v>
      </c>
      <c r="G139" t="str">
        <f t="shared" ca="1" si="2"/>
        <v>"2084062728" : "lò sưởi",</v>
      </c>
    </row>
    <row r="140" spans="1:7" ht="14.25" customHeight="1">
      <c r="A140" s="2">
        <v>2084062730</v>
      </c>
      <c r="B140" s="2" t="s">
        <v>12771</v>
      </c>
      <c r="C140" s="2" t="s">
        <v>12773</v>
      </c>
      <c r="D140" s="2" t="s">
        <v>17417</v>
      </c>
      <c r="E140" s="4" t="str">
        <f ca="1">IFERROR(__xludf.DUMMYFUNCTION("GOOGLETRANSLATE(B140,""ja"",""vi"")"),"chỗ nuôi thú")</f>
        <v>chỗ nuôi thú</v>
      </c>
      <c r="F140" s="4" t="str">
        <f ca="1">IFERROR(__xludf.DUMMYFUNCTION("GOOGLETRANSLATE(C140,""ja"",""vi"")"),"Đấu giá&gt; nhà, nội thất&gt; Đồ Pet&gt; bò sát, lưỡng cư và vườn&gt; trường hợp chăn nuôi")</f>
        <v>Đấu giá&gt; nhà, nội thất&gt; Đồ Pet&gt; bò sát, lưỡng cư và vườn&gt; trường hợp chăn nuôi</v>
      </c>
      <c r="G140" t="str">
        <f t="shared" ca="1" si="2"/>
        <v>"2084062730" : "chỗ nuôi thú",</v>
      </c>
    </row>
    <row r="141" spans="1:7" ht="14.25" customHeight="1">
      <c r="A141" s="2">
        <v>2084062732</v>
      </c>
      <c r="B141" s="2" t="s">
        <v>12777</v>
      </c>
      <c r="C141" s="2" t="s">
        <v>12780</v>
      </c>
      <c r="D141" s="2" t="s">
        <v>17424</v>
      </c>
      <c r="E141" s="4" t="str">
        <f ca="1">IFERROR(__xludf.DUMMYFUNCTION("GOOGLETRANSLATE(B141,""ja"",""vi"")"),"sàn")</f>
        <v>sàn</v>
      </c>
      <c r="F141" s="4" t="str">
        <f ca="1">IFERROR(__xludf.DUMMYFUNCTION("GOOGLETRANSLATE(C141,""ja"",""vi"")"),"Đấu giá&gt; nhà, Đồ nội thất&gt; Pet&gt; bò sát, lưỡng cư nguồn cung cấp&gt; sàn")</f>
        <v>Đấu giá&gt; nhà, Đồ nội thất&gt; Pet&gt; bò sát, lưỡng cư nguồn cung cấp&gt; sàn</v>
      </c>
      <c r="G141" t="str">
        <f t="shared" ca="1" si="2"/>
        <v>"2084062732" : "sàn",</v>
      </c>
    </row>
    <row r="142" spans="1:7" ht="14.25" customHeight="1">
      <c r="A142" s="2">
        <v>2084062726</v>
      </c>
      <c r="B142" s="2" t="s">
        <v>12697</v>
      </c>
      <c r="C142" s="2" t="s">
        <v>12785</v>
      </c>
      <c r="D142" s="2" t="s">
        <v>17429</v>
      </c>
      <c r="E142" s="4" t="str">
        <f ca="1">IFERROR(__xludf.DUMMYFUNCTION("GOOGLETRANSLATE(B142,""ja"",""vi"")"),"chiếu sáng")</f>
        <v>chiếu sáng</v>
      </c>
      <c r="F142" s="4" t="str">
        <f ca="1">IFERROR(__xludf.DUMMYFUNCTION("GOOGLETRANSLATE(C142,""ja"",""vi"")"),"Đấu giá&gt; nhà, nội thất&gt; Đồ Pet&gt; bò sát, lưỡng cư nguồn cung cấp&gt; Ánh sáng")</f>
        <v>Đấu giá&gt; nhà, nội thất&gt; Đồ Pet&gt; bò sát, lưỡng cư nguồn cung cấp&gt; Ánh sáng</v>
      </c>
      <c r="G142" t="str">
        <f t="shared" ca="1" si="2"/>
        <v>"2084062726" : "chiếu sáng",</v>
      </c>
    </row>
    <row r="143" spans="1:7" ht="14.25" customHeight="1">
      <c r="A143" s="2">
        <v>2084062731</v>
      </c>
      <c r="B143" s="2" t="s">
        <v>12790</v>
      </c>
      <c r="C143" s="2" t="s">
        <v>12791</v>
      </c>
      <c r="D143" s="2" t="s">
        <v>17433</v>
      </c>
      <c r="E143" s="4" t="str">
        <f ca="1">IFERROR(__xludf.DUMMYFUNCTION("GOOGLETRANSLATE(B143,""ja"",""vi"")"),"đồ trang trí")</f>
        <v>đồ trang trí</v>
      </c>
      <c r="F143" s="4" t="str">
        <f ca="1">IFERROR(__xludf.DUMMYFUNCTION("GOOGLETRANSLATE(C143,""ja"",""vi"")"),"Đấu giá&gt; nhà, nội thất&gt; Đồ Pet&gt; bò sát, lưỡng cư và vườn&gt; đồ trang trí")</f>
        <v>Đấu giá&gt; nhà, nội thất&gt; Đồ Pet&gt; bò sát, lưỡng cư và vườn&gt; đồ trang trí</v>
      </c>
      <c r="G143" t="str">
        <f t="shared" ca="1" si="2"/>
        <v>"2084062731" : "đồ trang trí",</v>
      </c>
    </row>
    <row r="144" spans="1:7" ht="14.25" customHeight="1">
      <c r="A144" s="2">
        <v>2084047552</v>
      </c>
      <c r="B144" s="2" t="s">
        <v>1632</v>
      </c>
      <c r="C144" s="2" t="s">
        <v>12795</v>
      </c>
      <c r="D144" s="2" t="s">
        <v>17437</v>
      </c>
      <c r="E144" s="4" t="str">
        <f ca="1">IFERROR(__xludf.DUMMYFUNCTION("GOOGLETRANSLATE(B144,""ja"",""vi"")"),"điều này")</f>
        <v>điều này</v>
      </c>
      <c r="F144" s="4" t="str">
        <f ca="1">IFERROR(__xludf.DUMMYFUNCTION("GOOGLETRANSLATE(C144,""ja"",""vi"")"),"Đấu giá&gt; nhà, Đồ nội thất&gt; Pet&gt; bò sát, lưỡng cư và vườn&gt; Sách")</f>
        <v>Đấu giá&gt; nhà, Đồ nội thất&gt; Pet&gt; bò sát, lưỡng cư và vườn&gt; Sách</v>
      </c>
      <c r="G144" t="str">
        <f t="shared" ca="1" si="2"/>
        <v>"2084047552" : "điều này",</v>
      </c>
    </row>
    <row r="145" spans="1:7" ht="14.25" customHeight="1">
      <c r="A145" s="2">
        <v>2084062733</v>
      </c>
      <c r="B145" s="2" t="s">
        <v>46</v>
      </c>
      <c r="C145" s="2" t="s">
        <v>12799</v>
      </c>
      <c r="D145" s="2" t="s">
        <v>17441</v>
      </c>
      <c r="E145" s="4" t="str">
        <f ca="1">IFERROR(__xludf.DUMMYFUNCTION("GOOGLETRANSLATE(B145,""ja"",""vi"")"),"nếu không thì")</f>
        <v>nếu không thì</v>
      </c>
      <c r="F145" s="4" t="str">
        <f ca="1">IFERROR(__xludf.DUMMYFUNCTION("GOOGLETRANSLATE(C145,""ja"",""vi"")"),"Đấu giá&gt; nhà, nội thất&gt; Đồ Pet&gt; bò sát, lưỡng cư Vật tư&gt; Khác")</f>
        <v>Đấu giá&gt; nhà, nội thất&gt; Đồ Pet&gt; bò sát, lưỡng cư Vật tư&gt; Khác</v>
      </c>
      <c r="G145" t="str">
        <f t="shared" ca="1" si="2"/>
        <v>"2084062733" : "nếu không thì",</v>
      </c>
    </row>
    <row r="146" spans="1:7" ht="14.25" customHeight="1">
      <c r="A146" s="2">
        <v>2084061346</v>
      </c>
      <c r="B146" s="2" t="s">
        <v>12577</v>
      </c>
      <c r="C146" s="2" t="s">
        <v>12803</v>
      </c>
      <c r="D146" s="2" t="s">
        <v>17368</v>
      </c>
      <c r="E146" s="4" t="str">
        <f ca="1">IFERROR(__xludf.DUMMYFUNCTION("GOOGLETRANSLATE(B146,""ja"",""vi"")"),"mồi")</f>
        <v>mồi</v>
      </c>
      <c r="F146" s="4" t="str">
        <f ca="1">IFERROR(__xludf.DUMMYFUNCTION("GOOGLETRANSLATE(C146,""ja"",""vi"")"),"Đấu giá&gt; nhà, nội thất&gt; Pet Supplies&gt; côn trùng&gt; mồi")</f>
        <v>Đấu giá&gt; nhà, nội thất&gt; Pet Supplies&gt; côn trùng&gt; mồi</v>
      </c>
      <c r="G146" t="str">
        <f t="shared" ca="1" si="2"/>
        <v>"2084061346" : "mồi",</v>
      </c>
    </row>
    <row r="147" spans="1:7" ht="14.25" customHeight="1">
      <c r="A147" s="2">
        <v>2084061350</v>
      </c>
      <c r="B147" s="2" t="s">
        <v>3138</v>
      </c>
      <c r="C147" s="2" t="s">
        <v>12807</v>
      </c>
      <c r="D147" s="2" t="s">
        <v>17373</v>
      </c>
      <c r="E147" s="4" t="str">
        <f ca="1">IFERROR(__xludf.DUMMYFUNCTION("GOOGLETRANSLATE(B147,""ja"",""vi"")"),"bộ")</f>
        <v>bộ</v>
      </c>
      <c r="F147" s="4" t="str">
        <f ca="1">IFERROR(__xludf.DUMMYFUNCTION("GOOGLETRANSLATE(C147,""ja"",""vi"")"),"Đấu giá&gt; nhà, nội thất&gt; Đồ Pet&gt; côn trùng&gt; bộ")</f>
        <v>Đấu giá&gt; nhà, nội thất&gt; Đồ Pet&gt; côn trùng&gt; bộ</v>
      </c>
      <c r="G147" t="str">
        <f t="shared" ca="1" si="2"/>
        <v>"2084061350" : "bộ",</v>
      </c>
    </row>
    <row r="148" spans="1:7" ht="14.25" customHeight="1">
      <c r="A148" s="2">
        <v>2084061347</v>
      </c>
      <c r="B148" s="2" t="s">
        <v>12810</v>
      </c>
      <c r="C148" s="2" t="s">
        <v>12811</v>
      </c>
      <c r="D148" s="2" t="s">
        <v>17377</v>
      </c>
      <c r="E148" s="4" t="str">
        <f ca="1">IFERROR(__xludf.DUMMYFUNCTION("GOOGLETRANSLATE(B148,""ja"",""vi"")"),"Mat, sàn")</f>
        <v>Mat, sàn</v>
      </c>
      <c r="F148" s="4" t="str">
        <f ca="1">IFERROR(__xludf.DUMMYFUNCTION("GOOGLETRANSLATE(C148,""ja"",""vi"")"),"Đấu giá&gt; nhà, Đồ nội thất&gt; Pet&gt; côn trùng&gt; mat, sàn")</f>
        <v>Đấu giá&gt; nhà, Đồ nội thất&gt; Pet&gt; côn trùng&gt; mat, sàn</v>
      </c>
      <c r="G148" t="str">
        <f t="shared" ca="1" si="2"/>
        <v>"2084061347" : "Mat, sàn",</v>
      </c>
    </row>
    <row r="149" spans="1:7" ht="14.25" customHeight="1">
      <c r="A149" s="2">
        <v>2084061351</v>
      </c>
      <c r="B149" s="2" t="s">
        <v>12814</v>
      </c>
      <c r="C149" s="2" t="s">
        <v>12815</v>
      </c>
      <c r="D149" s="2" t="s">
        <v>17380</v>
      </c>
      <c r="E149" s="4" t="str">
        <f ca="1">IFERROR(__xludf.DUMMYFUNCTION("GOOGLETRANSLATE(B149,""ja"",""vi"")"),"Cá rô, Hodaki")</f>
        <v>Cá rô, Hodaki</v>
      </c>
      <c r="F149" s="4" t="str">
        <f ca="1">IFERROR(__xludf.DUMMYFUNCTION("GOOGLETRANSLATE(C149,""ja"",""vi"")"),"Đấu giá&gt; nhà, nội thất&gt; Pet Supplies&gt; côn trùng&gt; cá rô, Hodaki")</f>
        <v>Đấu giá&gt; nhà, nội thất&gt; Pet Supplies&gt; côn trùng&gt; cá rô, Hodaki</v>
      </c>
      <c r="G149" t="str">
        <f t="shared" ca="1" si="2"/>
        <v>"2084061351" : "Cá rô, Hodaki",</v>
      </c>
    </row>
    <row r="150" spans="1:7" ht="14.25" customHeight="1">
      <c r="A150" s="2">
        <v>2084061348</v>
      </c>
      <c r="B150" s="2" t="s">
        <v>12771</v>
      </c>
      <c r="C150" s="2" t="s">
        <v>12819</v>
      </c>
      <c r="D150" s="2" t="s">
        <v>17387</v>
      </c>
      <c r="E150" s="4" t="str">
        <f ca="1">IFERROR(__xludf.DUMMYFUNCTION("GOOGLETRANSLATE(B150,""ja"",""vi"")"),"chỗ nuôi thú")</f>
        <v>chỗ nuôi thú</v>
      </c>
      <c r="F150" s="4" t="str">
        <f ca="1">IFERROR(__xludf.DUMMYFUNCTION("GOOGLETRANSLATE(C150,""ja"",""vi"")"),"Đấu giá&gt; nhà, Đồ nội thất&gt; Pet&gt; côn trùng&gt; trường hợp chăn nuôi")</f>
        <v>Đấu giá&gt; nhà, Đồ nội thất&gt; Pet&gt; côn trùng&gt; trường hợp chăn nuôi</v>
      </c>
      <c r="G150" t="str">
        <f t="shared" ca="1" si="2"/>
        <v>"2084061348" : "chỗ nuôi thú",</v>
      </c>
    </row>
    <row r="151" spans="1:7" ht="14.25" customHeight="1">
      <c r="A151" s="2">
        <v>2084008890</v>
      </c>
      <c r="B151" s="2" t="s">
        <v>1632</v>
      </c>
      <c r="C151" s="2" t="s">
        <v>12823</v>
      </c>
      <c r="D151" s="2" t="s">
        <v>17391</v>
      </c>
      <c r="E151" s="4" t="str">
        <f ca="1">IFERROR(__xludf.DUMMYFUNCTION("GOOGLETRANSLATE(B151,""ja"",""vi"")"),"điều này")</f>
        <v>điều này</v>
      </c>
      <c r="F151" s="4" t="str">
        <f ca="1">IFERROR(__xludf.DUMMYFUNCTION("GOOGLETRANSLATE(C151,""ja"",""vi"")"),"Đấu giá&gt; nhà, Đồ nội thất&gt; Pet&gt; côn trùng&gt; Sách")</f>
        <v>Đấu giá&gt; nhà, Đồ nội thất&gt; Pet&gt; côn trùng&gt; Sách</v>
      </c>
      <c r="G151" t="str">
        <f t="shared" ca="1" si="2"/>
        <v>"2084008890" : "điều này",</v>
      </c>
    </row>
    <row r="152" spans="1:7" ht="14.25" customHeight="1">
      <c r="A152" s="2">
        <v>2084061349</v>
      </c>
      <c r="B152" s="2" t="s">
        <v>46</v>
      </c>
      <c r="C152" s="2" t="s">
        <v>12827</v>
      </c>
      <c r="D152" s="2" t="s">
        <v>17397</v>
      </c>
      <c r="E152" s="4" t="str">
        <f ca="1">IFERROR(__xludf.DUMMYFUNCTION("GOOGLETRANSLATE(B152,""ja"",""vi"")"),"nếu không thì")</f>
        <v>nếu không thì</v>
      </c>
      <c r="F152" s="4" t="str">
        <f ca="1">IFERROR(__xludf.DUMMYFUNCTION("GOOGLETRANSLATE(C152,""ja"",""vi"")"),"Đấu giá&gt; nhà, nội thất&gt; Đồ Pet&gt; côn trùng&gt; Khác")</f>
        <v>Đấu giá&gt; nhà, nội thất&gt; Đồ Pet&gt; côn trùng&gt; Khác</v>
      </c>
      <c r="G152" t="str">
        <f t="shared" ca="1" si="2"/>
        <v>"2084061349" : "nếu không thì",</v>
      </c>
    </row>
    <row r="153" spans="1:7" ht="14.25" customHeight="1">
      <c r="A153" s="2">
        <v>2084008194</v>
      </c>
      <c r="B153" s="8" t="s">
        <v>12456</v>
      </c>
      <c r="C153" s="2" t="s">
        <v>12832</v>
      </c>
      <c r="D153" s="2" t="s">
        <v>17719</v>
      </c>
      <c r="E153" s="4" t="str">
        <f ca="1">IFERROR(__xludf.DUMMYFUNCTION("GOOGLETRANSLATE(B153,""ja"",""vi"")"),"chuồng chó")</f>
        <v>chuồng chó</v>
      </c>
      <c r="F153" s="4" t="str">
        <f ca="1">IFERROR(__xludf.DUMMYFUNCTION("GOOGLETRANSLATE(C153,""ja"",""vi"")"),"Đấu giá&gt; nhà, Đồ nội thất&gt; Pet&gt; lồng, lồng&gt; cũi")</f>
        <v>Đấu giá&gt; nhà, Đồ nội thất&gt; Pet&gt; lồng, lồng&gt; cũi</v>
      </c>
      <c r="G153" t="str">
        <f t="shared" ca="1" si="2"/>
        <v>"2084008194" : "chuồng chó",</v>
      </c>
    </row>
    <row r="154" spans="1:7" ht="14.25" customHeight="1">
      <c r="A154" s="2">
        <v>2084008195</v>
      </c>
      <c r="B154" s="8" t="s">
        <v>12836</v>
      </c>
      <c r="C154" s="2" t="s">
        <v>12838</v>
      </c>
      <c r="D154" s="2" t="s">
        <v>17723</v>
      </c>
      <c r="E154" s="4" t="str">
        <f ca="1">IFERROR(__xludf.DUMMYFUNCTION("GOOGLETRANSLATE(B154,""ja"",""vi"")"),"hãng chó")</f>
        <v>hãng chó</v>
      </c>
      <c r="F154" s="4" t="str">
        <f ca="1">IFERROR(__xludf.DUMMYFUNCTION("GOOGLETRANSLATE(C154,""ja"",""vi"")"),"Đấu giá&gt; nhà, nội thất&gt; Đồ Pet&gt; lồng, lồng&gt; hãng chó")</f>
        <v>Đấu giá&gt; nhà, nội thất&gt; Đồ Pet&gt; lồng, lồng&gt; hãng chó</v>
      </c>
      <c r="G154" t="str">
        <f t="shared" ca="1" si="2"/>
        <v>"2084008195" : "hãng chó",</v>
      </c>
    </row>
    <row r="155" spans="1:7" ht="14.25" customHeight="1">
      <c r="A155" s="2">
        <v>2084008207</v>
      </c>
      <c r="B155" s="8" t="s">
        <v>12842</v>
      </c>
      <c r="C155" s="2" t="s">
        <v>12844</v>
      </c>
      <c r="D155" s="2" t="s">
        <v>17726</v>
      </c>
      <c r="E155" s="4" t="str">
        <f ca="1">IFERROR(__xludf.DUMMYFUNCTION("GOOGLETRANSLATE(B155,""ja"",""vi"")"),"Đối với động vật nhỏ giỏ, lồng")</f>
        <v>Đối với động vật nhỏ giỏ, lồng</v>
      </c>
      <c r="F155" s="4" t="str">
        <f ca="1">IFERROR(__xludf.DUMMYFUNCTION("GOOGLETRANSLATE(C155,""ja"",""vi"")"),"Đấu giá&gt; nhà, Đồ nội thất&gt; Pet&gt; lồng, lồng&gt; cho động vật nhỏ giỏ, lồng")</f>
        <v>Đấu giá&gt; nhà, Đồ nội thất&gt; Pet&gt; lồng, lồng&gt; cho động vật nhỏ giỏ, lồng</v>
      </c>
      <c r="G155" t="str">
        <f t="shared" ca="1" si="2"/>
        <v>"2084008207" : "Đối với động vật nhỏ giỏ, lồng",</v>
      </c>
    </row>
    <row r="156" spans="1:7" ht="14.25" customHeight="1">
      <c r="A156" s="2">
        <v>2084008342</v>
      </c>
      <c r="B156" s="8" t="s">
        <v>12848</v>
      </c>
      <c r="C156" s="2" t="s">
        <v>12851</v>
      </c>
      <c r="D156" s="2" t="s">
        <v>17731</v>
      </c>
      <c r="E156" s="4" t="str">
        <f ca="1">IFERROR(__xludf.DUMMYFUNCTION("GOOGLETRANSLATE(B156,""ja"",""vi"")"),"Hãng động vật nhỏ")</f>
        <v>Hãng động vật nhỏ</v>
      </c>
      <c r="F156" s="4" t="str">
        <f ca="1">IFERROR(__xludf.DUMMYFUNCTION("GOOGLETRANSLATE(C156,""ja"",""vi"")"),"Đấu giá&gt; nhà, nội thất&gt; Đồ Pet&gt; lồng, lồng&gt; hãng động vật nhỏ")</f>
        <v>Đấu giá&gt; nhà, nội thất&gt; Đồ Pet&gt; lồng, lồng&gt; hãng động vật nhỏ</v>
      </c>
      <c r="G156" t="str">
        <f t="shared" ca="1" si="2"/>
        <v>"2084008342" : "Hãng động vật nhỏ",</v>
      </c>
    </row>
    <row r="157" spans="1:7" ht="14.25" customHeight="1">
      <c r="A157" s="2">
        <v>2084061348</v>
      </c>
      <c r="B157" s="8" t="s">
        <v>12856</v>
      </c>
      <c r="C157" s="2" t="s">
        <v>12858</v>
      </c>
      <c r="D157" s="2" t="s">
        <v>17734</v>
      </c>
      <c r="E157" s="4" t="str">
        <f ca="1">IFERROR(__xludf.DUMMYFUNCTION("GOOGLETRANSLATE(B157,""ja"",""vi"")"),"côn trùng lồng")</f>
        <v>côn trùng lồng</v>
      </c>
      <c r="F157" s="4" t="str">
        <f ca="1">IFERROR(__xludf.DUMMYFUNCTION("GOOGLETRANSLATE(C157,""ja"",""vi"")"),"Đấu giá&gt; nhà, nội thất&gt; Đồ Pet&gt; lồng, lồng&gt; lồng côn trùng")</f>
        <v>Đấu giá&gt; nhà, nội thất&gt; Đồ Pet&gt; lồng, lồng&gt; lồng côn trùng</v>
      </c>
      <c r="G157" t="str">
        <f t="shared" ca="1" si="2"/>
        <v>"2084061348" : "côn trùng lồng",</v>
      </c>
    </row>
    <row r="158" spans="1:7" ht="14.25" customHeight="1">
      <c r="A158" s="2">
        <v>2084008211</v>
      </c>
      <c r="B158" s="8" t="s">
        <v>12614</v>
      </c>
      <c r="C158" s="2" t="s">
        <v>12864</v>
      </c>
      <c r="D158" s="2" t="s">
        <v>17740</v>
      </c>
      <c r="E158" s="4" t="str">
        <f ca="1">IFERROR(__xludf.DUMMYFUNCTION("GOOGLETRANSLATE(B158,""ja"",""vi"")"),"Birdcage")</f>
        <v>Birdcage</v>
      </c>
      <c r="F158" s="4" t="str">
        <f ca="1">IFERROR(__xludf.DUMMYFUNCTION("GOOGLETRANSLATE(C158,""ja"",""vi"")"),"Đấu giá&gt; nhà, nội thất&gt; Đồ Pet&gt; lồng, lồng&gt; lồng chim")</f>
        <v>Đấu giá&gt; nhà, nội thất&gt; Đồ Pet&gt; lồng, lồng&gt; lồng chim</v>
      </c>
      <c r="G158" t="str">
        <f t="shared" ca="1" si="2"/>
        <v>"2084008211" : "Birdcage",</v>
      </c>
    </row>
    <row r="159" spans="1:7" ht="14.25" customHeight="1">
      <c r="A159" s="2">
        <v>2084008202</v>
      </c>
      <c r="B159" s="8" t="s">
        <v>12867</v>
      </c>
      <c r="C159" s="2" t="s">
        <v>12870</v>
      </c>
      <c r="D159" s="2" t="s">
        <v>17744</v>
      </c>
      <c r="E159" s="4" t="str">
        <f ca="1">IFERROR(__xludf.DUMMYFUNCTION("GOOGLETRANSLATE(B159,""ja"",""vi"")"),"hãng Cát")</f>
        <v>hãng Cát</v>
      </c>
      <c r="F159" s="4" t="str">
        <f ca="1">IFERROR(__xludf.DUMMYFUNCTION("GOOGLETRANSLATE(C159,""ja"",""vi"")"),"Đấu giá&gt; nhà, nội thất&gt; Đồ Pet&gt; lồng, lồng&gt; hãng mèo")</f>
        <v>Đấu giá&gt; nhà, nội thất&gt; Đồ Pet&gt; lồng, lồng&gt; hãng mèo</v>
      </c>
      <c r="G159" t="str">
        <f t="shared" ca="1" si="2"/>
        <v>"2084008202" : "hãng Cát",</v>
      </c>
    </row>
    <row r="160" spans="1:7" ht="14.25" customHeight="1">
      <c r="A160" s="2">
        <v>2084008201</v>
      </c>
      <c r="B160" s="8" t="s">
        <v>12873</v>
      </c>
      <c r="C160" s="2" t="s">
        <v>12875</v>
      </c>
      <c r="D160" s="2" t="s">
        <v>17748</v>
      </c>
      <c r="E160" s="4" t="str">
        <f ca="1">IFERROR(__xludf.DUMMYFUNCTION("GOOGLETRANSLATE(B160,""ja"",""vi"")"),"Cát nhà, giường")</f>
        <v>Cát nhà, giường</v>
      </c>
      <c r="F160" s="4" t="str">
        <f ca="1">IFERROR(__xludf.DUMMYFUNCTION("GOOGLETRANSLATE(C160,""ja"",""vi"")"),"Đấu giá&gt; nhà, nội thất&gt; Đồ Pet&gt; lồng, lồng&gt; nhà mèo, giường")</f>
        <v>Đấu giá&gt; nhà, nội thất&gt; Đồ Pet&gt; lồng, lồng&gt; nhà mèo, giường</v>
      </c>
      <c r="G160" t="str">
        <f t="shared" ca="1" si="2"/>
        <v>"2084008201" : "Cát nhà, giường",</v>
      </c>
    </row>
    <row r="161" spans="1:7" ht="14.25" customHeight="1">
      <c r="A161" s="2">
        <v>2084062730</v>
      </c>
      <c r="B161" s="8" t="s">
        <v>12879</v>
      </c>
      <c r="C161" s="2" t="s">
        <v>12881</v>
      </c>
      <c r="D161" s="2" t="s">
        <v>17751</v>
      </c>
      <c r="E161" s="4" t="str">
        <f ca="1">IFERROR(__xludf.DUMMYFUNCTION("GOOGLETRANSLATE(B161,""ja"",""vi"")"),"Bò sát, trường hợp cho động vật lưỡng cư")</f>
        <v>Bò sát, trường hợp cho động vật lưỡng cư</v>
      </c>
      <c r="F161" s="4" t="str">
        <f ca="1">IFERROR(__xludf.DUMMYFUNCTION("GOOGLETRANSLATE(C161,""ja"",""vi"")"),"Đấu giá&gt; nhà, nội thất&gt; Đồ Pet&gt; lồng, lồng&gt; bò sát, trường hợp cho động vật lưỡng cư")</f>
        <v>Đấu giá&gt; nhà, nội thất&gt; Đồ Pet&gt; lồng, lồng&gt; bò sát, trường hợp cho động vật lưỡng cư</v>
      </c>
      <c r="G161" t="str">
        <f t="shared" ca="1" si="2"/>
        <v>"2084062730" : "Bò sát, trường hợp cho động vật lưỡng cư",</v>
      </c>
    </row>
    <row r="162" spans="1:7" ht="14.25" customHeight="1">
      <c r="A162" s="2">
        <v>2084008205</v>
      </c>
      <c r="B162" s="2" t="s">
        <v>12510</v>
      </c>
      <c r="C162" s="2" t="s">
        <v>12886</v>
      </c>
      <c r="D162" s="2" t="s">
        <v>17755</v>
      </c>
      <c r="E162" s="4" t="str">
        <f ca="1">IFERROR(__xludf.DUMMYFUNCTION("GOOGLETRANSLATE(B162,""ja"",""vi"")"),"Thức ăn cho mèo")</f>
        <v>Thức ăn cho mèo</v>
      </c>
      <c r="F162" s="4" t="str">
        <f ca="1">IFERROR(__xludf.DUMMYFUNCTION("GOOGLETRANSLATE(C162,""ja"",""vi"")"),"Đấu giá&gt; nhà, nội thất&gt; Đồ Pet&gt; Pet Food&gt; Cát Thực phẩm")</f>
        <v>Đấu giá&gt; nhà, nội thất&gt; Đồ Pet&gt; Pet Food&gt; Cát Thực phẩm</v>
      </c>
      <c r="G162" t="str">
        <f t="shared" ca="1" si="2"/>
        <v>"2084008205" : "Thức ăn cho mèo",</v>
      </c>
    </row>
    <row r="163" spans="1:7" ht="14.25" customHeight="1">
      <c r="A163" s="2">
        <v>2084008199</v>
      </c>
      <c r="B163" s="2" t="s">
        <v>12446</v>
      </c>
      <c r="C163" s="2" t="s">
        <v>12889</v>
      </c>
      <c r="D163" s="2" t="s">
        <v>17758</v>
      </c>
      <c r="E163" s="4" t="str">
        <f ca="1">IFERROR(__xludf.DUMMYFUNCTION("GOOGLETRANSLATE(B163,""ja"",""vi"")"),"thức ăn cho chó")</f>
        <v>thức ăn cho chó</v>
      </c>
      <c r="F163" s="4" t="str">
        <f ca="1">IFERROR(__xludf.DUMMYFUNCTION("GOOGLETRANSLATE(C163,""ja"",""vi"")"),"Đấu giá&gt; nhà, nội thất&gt; Đồ Pet&gt; Pet Food&gt; thức ăn cho chó")</f>
        <v>Đấu giá&gt; nhà, nội thất&gt; Đồ Pet&gt; Pet Food&gt; thức ăn cho chó</v>
      </c>
      <c r="G163" t="str">
        <f t="shared" ca="1" si="2"/>
        <v>"2084008199" : "thức ăn cho chó",</v>
      </c>
    </row>
    <row r="164" spans="1:7" ht="14.25" customHeight="1">
      <c r="A164" s="2">
        <v>2084008260</v>
      </c>
      <c r="B164" s="2" t="s">
        <v>12892</v>
      </c>
      <c r="C164" s="2" t="s">
        <v>12895</v>
      </c>
      <c r="D164" s="2" t="s">
        <v>17764</v>
      </c>
      <c r="E164" s="4" t="str">
        <f ca="1">IFERROR(__xludf.DUMMYFUNCTION("GOOGLETRANSLATE(B164,""ja"",""vi"")"),"Xem cá mồi")</f>
        <v>Xem cá mồi</v>
      </c>
      <c r="F164" s="4" t="str">
        <f ca="1">IFERROR(__xludf.DUMMYFUNCTION("GOOGLETRANSLATE(C164,""ja"",""vi"")"),"Đấu giá&gt; nhà, nội thất&gt; Đồ Pet&gt; Pet Food&gt; cá đánh giá cao cho mồi")</f>
        <v>Đấu giá&gt; nhà, nội thất&gt; Đồ Pet&gt; Pet Food&gt; cá đánh giá cao cho mồi</v>
      </c>
      <c r="G164" t="str">
        <f t="shared" ca="1" si="2"/>
        <v>"2084008260" : "Xem cá mồi",</v>
      </c>
    </row>
    <row r="165" spans="1:7" ht="14.25" customHeight="1">
      <c r="A165" s="2">
        <v>2084008209</v>
      </c>
      <c r="B165" s="2" t="s">
        <v>12899</v>
      </c>
      <c r="C165" s="2" t="s">
        <v>12901</v>
      </c>
      <c r="D165" s="2" t="s">
        <v>17768</v>
      </c>
      <c r="E165" s="4" t="str">
        <f ca="1">IFERROR(__xludf.DUMMYFUNCTION("GOOGLETRANSLATE(B165,""ja"",""vi"")"),"động vật nhỏ cho thực phẩm")</f>
        <v>động vật nhỏ cho thực phẩm</v>
      </c>
      <c r="F165" s="4" t="str">
        <f ca="1">IFERROR(__xludf.DUMMYFUNCTION("GOOGLETRANSLATE(C165,""ja"",""vi"")"),"Đấu giá&gt; nhà, nội thất&gt; Đồ Pet&gt; Pet Food&gt; mồi cho động vật nhỏ")</f>
        <v>Đấu giá&gt; nhà, nội thất&gt; Đồ Pet&gt; Pet Food&gt; mồi cho động vật nhỏ</v>
      </c>
      <c r="G165" t="str">
        <f t="shared" ca="1" si="2"/>
        <v>"2084008209" : "động vật nhỏ cho thực phẩm",</v>
      </c>
    </row>
    <row r="166" spans="1:7" ht="14.25" customHeight="1">
      <c r="A166" s="2">
        <v>2084061346</v>
      </c>
      <c r="B166" s="2" t="s">
        <v>12906</v>
      </c>
      <c r="C166" s="2" t="s">
        <v>12907</v>
      </c>
      <c r="D166" s="2" t="s">
        <v>17771</v>
      </c>
      <c r="E166" s="4" t="str">
        <f ca="1">IFERROR(__xludf.DUMMYFUNCTION("GOOGLETRANSLATE(B166,""ja"",""vi"")"),"Thức ăn nhử côn trùng")</f>
        <v>Thức ăn nhử côn trùng</v>
      </c>
      <c r="F166" s="4" t="str">
        <f ca="1">IFERROR(__xludf.DUMMYFUNCTION("GOOGLETRANSLATE(C166,""ja"",""vi"")"),"Đấu giá&gt; nhà, nội thất&gt; Đồ Pet&gt; Pet Food&gt; Thức ăn nhử côn trùng")</f>
        <v>Đấu giá&gt; nhà, nội thất&gt; Đồ Pet&gt; Pet Food&gt; Thức ăn nhử côn trùng</v>
      </c>
      <c r="G166" t="str">
        <f t="shared" ca="1" si="2"/>
        <v>"2084061346" : "Thức ăn nhử côn trùng",</v>
      </c>
    </row>
    <row r="167" spans="1:7" ht="14.25" customHeight="1">
      <c r="A167" s="2">
        <v>2084008214</v>
      </c>
      <c r="B167" s="2" t="s">
        <v>12911</v>
      </c>
      <c r="C167" s="2" t="s">
        <v>12913</v>
      </c>
      <c r="D167" s="2" t="s">
        <v>17775</v>
      </c>
      <c r="E167" s="4" t="str">
        <f ca="1">IFERROR(__xludf.DUMMYFUNCTION("GOOGLETRANSLATE(B167,""ja"",""vi"")"),"Thức ăn cho chim")</f>
        <v>Thức ăn cho chim</v>
      </c>
      <c r="F167" s="4" t="str">
        <f ca="1">IFERROR(__xludf.DUMMYFUNCTION("GOOGLETRANSLATE(C167,""ja"",""vi"")"),"Đấu giá&gt; nhà, nội thất&gt; Đồ Pet&gt; Pet Food&gt; thức ăn cho chim")</f>
        <v>Đấu giá&gt; nhà, nội thất&gt; Đồ Pet&gt; Pet Food&gt; thức ăn cho chim</v>
      </c>
      <c r="G167" t="str">
        <f t="shared" ca="1" si="2"/>
        <v>"2084008214" : "Thức ăn cho chim",</v>
      </c>
    </row>
    <row r="168" spans="1:7" ht="14.25" customHeight="1">
      <c r="A168" s="2">
        <v>2084062729</v>
      </c>
      <c r="B168" s="2" t="s">
        <v>12917</v>
      </c>
      <c r="C168" s="2" t="s">
        <v>12919</v>
      </c>
      <c r="D168" s="2" t="s">
        <v>17778</v>
      </c>
      <c r="E168" s="4" t="str">
        <f ca="1">IFERROR(__xludf.DUMMYFUNCTION("GOOGLETRANSLATE(B168,""ja"",""vi"")"),"Bò sát, lưỡng cư mồi cho")</f>
        <v>Bò sát, lưỡng cư mồi cho</v>
      </c>
      <c r="F168" s="4" t="str">
        <f ca="1">IFERROR(__xludf.DUMMYFUNCTION("GOOGLETRANSLATE(C168,""ja"",""vi"")"),"Đấu giá&gt; nhà, nội thất&gt; Đồ Pet&gt; Pet Food&gt; bò sát, lưỡng cư Thức ăn nhử")</f>
        <v>Đấu giá&gt; nhà, nội thất&gt; Đồ Pet&gt; Pet Food&gt; bò sát, lưỡng cư Thức ăn nhử</v>
      </c>
      <c r="G168" t="str">
        <f t="shared" ca="1" si="2"/>
        <v>"2084062729" : "Bò sát, lưỡng cư mồi cho",</v>
      </c>
    </row>
    <row r="169" spans="1:7" ht="14.25" customHeight="1">
      <c r="A169" s="2">
        <v>2084008887</v>
      </c>
      <c r="B169" s="2" t="s">
        <v>5455</v>
      </c>
      <c r="C169" s="2" t="s">
        <v>5456</v>
      </c>
      <c r="D169" s="2" t="s">
        <v>17782</v>
      </c>
      <c r="E169" s="4" t="str">
        <f ca="1">IFERROR(__xludf.DUMMYFUNCTION("GOOGLETRANSLATE(B169,""ja"",""vi"")"),"cá cảnh")</f>
        <v>cá cảnh</v>
      </c>
      <c r="F169" s="4" t="str">
        <f ca="1">IFERROR(__xludf.DUMMYFUNCTION("GOOGLETRANSLATE(C169,""ja"",""vi"")"),"Đấu giá&gt; cuốn sách, tạp chí&gt; sở thích, thể thao, sử dụng thực tế&gt; vật nuôi, động vật&gt; cá cảnh")</f>
        <v>Đấu giá&gt; cuốn sách, tạp chí&gt; sở thích, thể thao, sử dụng thực tế&gt; vật nuôi, động vật&gt; cá cảnh</v>
      </c>
      <c r="G169" t="str">
        <f t="shared" ca="1" si="2"/>
        <v>"2084008887" : "cá cảnh",</v>
      </c>
    </row>
    <row r="170" spans="1:7" ht="14.25" customHeight="1">
      <c r="A170" s="2">
        <v>2084008885</v>
      </c>
      <c r="B170" s="2" t="s">
        <v>5457</v>
      </c>
      <c r="C170" s="2" t="s">
        <v>5458</v>
      </c>
      <c r="D170" s="2" t="s">
        <v>17787</v>
      </c>
      <c r="E170" s="4" t="str">
        <f ca="1">IFERROR(__xludf.DUMMYFUNCTION("GOOGLETRANSLATE(B170,""ja"",""vi"")"),"chó")</f>
        <v>chó</v>
      </c>
      <c r="F170" s="4" t="str">
        <f ca="1">IFERROR(__xludf.DUMMYFUNCTION("GOOGLETRANSLATE(C170,""ja"",""vi"")"),"Đấu giá&gt; cuốn sách, tạp chí&gt; sở thích, thể thao, sử dụng thực tế&gt; vật nuôi, động vật&gt; chó")</f>
        <v>Đấu giá&gt; cuốn sách, tạp chí&gt; sở thích, thể thao, sử dụng thực tế&gt; vật nuôi, động vật&gt; chó</v>
      </c>
      <c r="G170" t="str">
        <f t="shared" ca="1" si="2"/>
        <v>"2084008885" : "chó",</v>
      </c>
    </row>
    <row r="171" spans="1:7" ht="14.25" customHeight="1">
      <c r="A171" s="2">
        <v>2084008890</v>
      </c>
      <c r="B171" s="2" t="s">
        <v>5460</v>
      </c>
      <c r="C171" s="2" t="s">
        <v>5461</v>
      </c>
      <c r="D171" s="2" t="s">
        <v>17789</v>
      </c>
      <c r="E171" s="4" t="str">
        <f ca="1">IFERROR(__xludf.DUMMYFUNCTION("GOOGLETRANSLATE(B171,""ja"",""vi"")"),"côn trùng")</f>
        <v>côn trùng</v>
      </c>
      <c r="F171" s="4" t="str">
        <f ca="1">IFERROR(__xludf.DUMMYFUNCTION("GOOGLETRANSLATE(C171,""ja"",""vi"")"),"Đấu giá&gt; cuốn sách, tạp chí&gt; sở thích, thể thao, sử dụng thực tế&gt; vật nuôi, động vật&gt; côn trùng")</f>
        <v>Đấu giá&gt; cuốn sách, tạp chí&gt; sở thích, thể thao, sử dụng thực tế&gt; vật nuôi, động vật&gt; côn trùng</v>
      </c>
      <c r="G171" t="str">
        <f t="shared" ca="1" si="2"/>
        <v>"2084008890" : "côn trùng",</v>
      </c>
    </row>
    <row r="172" spans="1:7" ht="14.25" customHeight="1">
      <c r="A172" s="2">
        <v>2084008095</v>
      </c>
      <c r="B172" s="2" t="s">
        <v>1586</v>
      </c>
      <c r="C172" s="2" t="s">
        <v>5463</v>
      </c>
      <c r="D172" s="2" t="s">
        <v>17793</v>
      </c>
      <c r="E172" s="4" t="str">
        <f ca="1">IFERROR(__xludf.DUMMYFUNCTION("GOOGLETRANSLATE(B172,""ja"",""vi"")"),"tạp chí")</f>
        <v>tạp chí</v>
      </c>
      <c r="F172" s="4" t="str">
        <f ca="1">IFERROR(__xludf.DUMMYFUNCTION("GOOGLETRANSLATE(C172,""ja"",""vi"")"),"Đấu giá&gt; cuốn sách, tạp chí&gt; sở thích, thể thao, sử dụng thực tế&gt; vật nuôi, động vật&gt; Tạp chí")</f>
        <v>Đấu giá&gt; cuốn sách, tạp chí&gt; sở thích, thể thao, sử dụng thực tế&gt; vật nuôi, động vật&gt; Tạp chí</v>
      </c>
      <c r="G172" t="str">
        <f t="shared" ca="1" si="2"/>
        <v>"2084008095" : "tạp chí",</v>
      </c>
    </row>
    <row r="173" spans="1:7" ht="14.25" customHeight="1">
      <c r="A173" s="2">
        <v>2084008888</v>
      </c>
      <c r="B173" s="2" t="s">
        <v>5464</v>
      </c>
      <c r="C173" s="2" t="s">
        <v>5466</v>
      </c>
      <c r="D173" s="2" t="s">
        <v>17797</v>
      </c>
      <c r="E173" s="4" t="str">
        <f ca="1">IFERROR(__xludf.DUMMYFUNCTION("GOOGLETRANSLATE(B173,""ja"",""vi"")"),"con chim nhỏ")</f>
        <v>con chim nhỏ</v>
      </c>
      <c r="F173" s="4" t="str">
        <f ca="1">IFERROR(__xludf.DUMMYFUNCTION("GOOGLETRANSLATE(C173,""ja"",""vi"")"),"Đấu giá&gt; cuốn sách, tạp chí&gt; sở thích, thể thao, sử dụng thực tế&gt; vật nuôi, động vật&gt; Chim")</f>
        <v>Đấu giá&gt; cuốn sách, tạp chí&gt; sở thích, thể thao, sử dụng thực tế&gt; vật nuôi, động vật&gt; Chim</v>
      </c>
      <c r="G173" t="str">
        <f t="shared" ca="1" si="2"/>
        <v>"2084008888" : "con chim nhỏ",</v>
      </c>
    </row>
    <row r="174" spans="1:7" ht="14.25" customHeight="1">
      <c r="A174" s="2">
        <v>2084008889</v>
      </c>
      <c r="B174" s="2" t="s">
        <v>5468</v>
      </c>
      <c r="C174" s="2" t="s">
        <v>5469</v>
      </c>
      <c r="D174" s="2" t="s">
        <v>17800</v>
      </c>
      <c r="E174" s="4" t="str">
        <f ca="1">IFERROR(__xludf.DUMMYFUNCTION("GOOGLETRANSLATE(B174,""ja"",""vi"")"),"động vật nhỏ")</f>
        <v>động vật nhỏ</v>
      </c>
      <c r="F174" s="4" t="str">
        <f ca="1">IFERROR(__xludf.DUMMYFUNCTION("GOOGLETRANSLATE(C174,""ja"",""vi"")"),"Đấu giá&gt; cuốn sách, tạp chí&gt; sở thích, thể thao, sử dụng thực tế&gt; vật nuôi, động vật&gt; động vật nhỏ")</f>
        <v>Đấu giá&gt; cuốn sách, tạp chí&gt; sở thích, thể thao, sử dụng thực tế&gt; vật nuôi, động vật&gt; động vật nhỏ</v>
      </c>
      <c r="G174" t="str">
        <f t="shared" ca="1" si="2"/>
        <v>"2084008889" : "động vật nhỏ",</v>
      </c>
    </row>
    <row r="175" spans="1:7" ht="14.25" customHeight="1">
      <c r="A175" s="2">
        <v>2084008886</v>
      </c>
      <c r="B175" s="2" t="s">
        <v>5471</v>
      </c>
      <c r="C175" s="2" t="s">
        <v>5473</v>
      </c>
      <c r="D175" s="2" t="s">
        <v>17802</v>
      </c>
      <c r="E175" s="4" t="str">
        <f ca="1">IFERROR(__xludf.DUMMYFUNCTION("GOOGLETRANSLATE(B175,""ja"",""vi"")"),"con mèo")</f>
        <v>con mèo</v>
      </c>
      <c r="F175" s="4" t="str">
        <f ca="1">IFERROR(__xludf.DUMMYFUNCTION("GOOGLETRANSLATE(C175,""ja"",""vi"")"),"Đấu giá&gt; cuốn sách, tạp chí&gt; sở thích, thể thao, sử dụng thực tế&gt; vật nuôi, động vật&gt; mèo")</f>
        <v>Đấu giá&gt; cuốn sách, tạp chí&gt; sở thích, thể thao, sử dụng thực tế&gt; vật nuôi, động vật&gt; mèo</v>
      </c>
      <c r="G175" t="str">
        <f t="shared" ca="1" si="2"/>
        <v>"2084008886" : "con mèo",</v>
      </c>
    </row>
    <row r="176" spans="1:7" ht="14.25" customHeight="1">
      <c r="A176" s="2">
        <v>2084047552</v>
      </c>
      <c r="B176" s="2" t="s">
        <v>5474</v>
      </c>
      <c r="C176" s="2" t="s">
        <v>5476</v>
      </c>
      <c r="D176" s="2" t="s">
        <v>17805</v>
      </c>
      <c r="E176" s="4" t="str">
        <f ca="1">IFERROR(__xludf.DUMMYFUNCTION("GOOGLETRANSLATE(B176,""ja"",""vi"")"),"Bò sát, động vật lưỡng cư")</f>
        <v>Bò sát, động vật lưỡng cư</v>
      </c>
      <c r="F176" s="4" t="str">
        <f ca="1">IFERROR(__xludf.DUMMYFUNCTION("GOOGLETRANSLATE(C176,""ja"",""vi"")"),"Đấu giá&gt; cuốn sách, tạp chí&gt; sở thích, thể thao, sử dụng thực tế&gt; vật nuôi, động vật&gt; bò sát, động vật lưỡng cư")</f>
        <v>Đấu giá&gt; cuốn sách, tạp chí&gt; sở thích, thể thao, sử dụng thực tế&gt; vật nuôi, động vật&gt; bò sát, động vật lưỡng cư</v>
      </c>
      <c r="G176" t="str">
        <f t="shared" ca="1" si="2"/>
        <v>"2084047552" : "Bò sát, động vật lưỡng cư",</v>
      </c>
    </row>
    <row r="177" spans="1:7" ht="14.25" customHeight="1">
      <c r="A177" s="2">
        <v>2084008891</v>
      </c>
      <c r="B177" s="2" t="s">
        <v>46</v>
      </c>
      <c r="C177" s="2" t="s">
        <v>5478</v>
      </c>
      <c r="D177" s="2" t="s">
        <v>17807</v>
      </c>
      <c r="E177" s="4" t="str">
        <f ca="1">IFERROR(__xludf.DUMMYFUNCTION("GOOGLETRANSLATE(B177,""ja"",""vi"")"),"nếu không thì")</f>
        <v>nếu không thì</v>
      </c>
      <c r="F177" s="4" t="str">
        <f ca="1">IFERROR(__xludf.DUMMYFUNCTION("GOOGLETRANSLATE(C177,""ja"",""vi"")"),"Đấu giá&gt; cuốn sách, tạp chí&gt; sở thích, thể thao, sử dụng thực tế&gt; vật nuôi, động vật&gt; Khác")</f>
        <v>Đấu giá&gt; cuốn sách, tạp chí&gt; sở thích, thể thao, sử dụng thực tế&gt; vật nuôi, động vật&gt; Khác</v>
      </c>
      <c r="G177" t="str">
        <f t="shared" ca="1" si="2"/>
        <v>"2084008891" : "nếu không thì",</v>
      </c>
    </row>
    <row r="178" spans="1:7" ht="14.25" customHeight="1"/>
    <row r="179" spans="1:7" ht="14.25" customHeight="1"/>
    <row r="180" spans="1:7" ht="14.25" customHeight="1"/>
    <row r="181" spans="1:7" ht="14.25" customHeight="1"/>
    <row r="182" spans="1:7" ht="14.25" customHeight="1"/>
    <row r="183" spans="1:7" ht="14.25" customHeight="1"/>
    <row r="184" spans="1:7" ht="14.25" customHeight="1"/>
    <row r="185" spans="1:7" ht="14.25" customHeight="1"/>
    <row r="186" spans="1:7" ht="14.25" customHeight="1"/>
    <row r="187" spans="1:7" ht="14.25" customHeight="1"/>
    <row r="188" spans="1:7" ht="14.25" customHeight="1"/>
    <row r="189" spans="1:7" ht="14.25" customHeight="1"/>
    <row r="190" spans="1:7" ht="14.25" customHeight="1"/>
    <row r="191" spans="1:7" ht="14.25" customHeight="1"/>
    <row r="192" spans="1:7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</sheetData>
  <pageMargins left="0.7" right="0.7" top="0.75" bottom="0.75" header="0" footer="0"/>
  <pageSetup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3"/>
  <sheetViews>
    <sheetView topLeftCell="A421" workbookViewId="0">
      <selection activeCell="G428" sqref="G428"/>
    </sheetView>
  </sheetViews>
  <sheetFormatPr defaultColWidth="12.59765625" defaultRowHeight="15" customHeight="1"/>
  <cols>
    <col min="1" max="1" width="7.5" customWidth="1"/>
    <col min="2" max="2" width="8.5" customWidth="1"/>
    <col min="3" max="3" width="32.5" customWidth="1"/>
    <col min="4" max="4" width="22.09765625" customWidth="1"/>
    <col min="5" max="5" width="7.59765625" customWidth="1"/>
    <col min="6" max="6" width="54.69921875" customWidth="1"/>
    <col min="7" max="26" width="7.597656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7" ht="14.25" customHeight="1">
      <c r="A2" s="2">
        <v>2084264195</v>
      </c>
      <c r="B2" s="2" t="s">
        <v>9387</v>
      </c>
      <c r="C2" s="2" t="s">
        <v>17862</v>
      </c>
      <c r="D2" s="2" t="s">
        <v>17863</v>
      </c>
      <c r="E2" s="4" t="str">
        <f ca="1">IFERROR(__xludf.DUMMYFUNCTION("GOOGLETRANSLATE(B3,""ja"",""vi"")"),"by Nhãn hiệu")</f>
        <v>by Nhãn hiệu</v>
      </c>
      <c r="F2" s="4" t="str">
        <f ca="1">IFERROR(__xludf.DUMMYFUNCTION("GOOGLETRANSLATE(C3,""ja"",""vi"")"),"Đấu giá&gt; nhà, nội thất&gt; bếp, bộ đồ ăn&gt; Bộ đồ ăn&gt; By Nhãn hiệu")</f>
        <v>Đấu giá&gt; nhà, nội thất&gt; bếp, bộ đồ ăn&gt; Bộ đồ ăn&gt; By Nhãn hiệu</v>
      </c>
      <c r="G2" t="str">
        <f ca="1">CONCATENATE(CHAR(34)&amp;"",A2,""&amp;CHAR(34)," : ", CHAR(34)&amp;"",E2,""&amp;CHAR(34),",")</f>
        <v>"2084264195" : "by Nhãn hiệu",</v>
      </c>
    </row>
    <row r="3" spans="1:7" ht="14.25" customHeight="1">
      <c r="A3" s="2">
        <v>2084005662</v>
      </c>
      <c r="B3" s="2" t="s">
        <v>17869</v>
      </c>
      <c r="C3" s="2" t="s">
        <v>17871</v>
      </c>
      <c r="D3" s="2" t="s">
        <v>17872</v>
      </c>
      <c r="E3" s="4" t="str">
        <f ca="1">IFERROR(__xludf.DUMMYFUNCTION("GOOGLETRANSLATE(B4,""ja"",""vi"")"),"Bộ đồ ăn Nhật Bản")</f>
        <v>Bộ đồ ăn Nhật Bản</v>
      </c>
      <c r="F3" s="4" t="str">
        <f ca="1">IFERROR(__xludf.DUMMYFUNCTION("GOOGLETRANSLATE(C4,""ja"",""vi"")"),"Đấu giá&gt; nhà, nội thất&gt; bếp, bộ đồ ăn&gt; Bộ đồ ăn&gt; đơn vị Nhật Bản")</f>
        <v>Đấu giá&gt; nhà, nội thất&gt; bếp, bộ đồ ăn&gt; Bộ đồ ăn&gt; đơn vị Nhật Bản</v>
      </c>
      <c r="G3" t="str">
        <f t="shared" ref="G3:G66" ca="1" si="0">CONCATENATE(CHAR(34)&amp;"",A3,""&amp;CHAR(34)," : ", CHAR(34)&amp;"",E3,""&amp;CHAR(34),",")</f>
        <v>"2084005662" : "Bộ đồ ăn Nhật Bản",</v>
      </c>
    </row>
    <row r="4" spans="1:7" ht="14.25" customHeight="1">
      <c r="A4" s="2">
        <v>2084005663</v>
      </c>
      <c r="B4" s="2" t="s">
        <v>17875</v>
      </c>
      <c r="C4" s="2" t="s">
        <v>17876</v>
      </c>
      <c r="D4" s="2" t="s">
        <v>17878</v>
      </c>
      <c r="E4" s="4" t="str">
        <f ca="1">IFERROR(__xludf.DUMMYFUNCTION("GOOGLETRANSLATE(B5,""ja"",""vi"")"),"bộ đồ ăn phương Tây")</f>
        <v>bộ đồ ăn phương Tây</v>
      </c>
      <c r="F4" s="4" t="str">
        <f ca="1">IFERROR(__xludf.DUMMYFUNCTION("GOOGLETRANSLATE(C5,""ja"",""vi"")"),"Đấu giá&gt; nhà, nội thất&gt; bếp, bộ đồ ăn&gt; Bộ đồ ăn&gt; bộ đồ ăn")</f>
        <v>Đấu giá&gt; nhà, nội thất&gt; bếp, bộ đồ ăn&gt; Bộ đồ ăn&gt; bộ đồ ăn</v>
      </c>
      <c r="G4" t="str">
        <f t="shared" ca="1" si="0"/>
        <v>"2084005663" : "bộ đồ ăn phương Tây",</v>
      </c>
    </row>
    <row r="5" spans="1:7" ht="14.25" customHeight="1">
      <c r="A5" s="2">
        <v>2084005665</v>
      </c>
      <c r="B5" s="2" t="s">
        <v>17880</v>
      </c>
      <c r="C5" s="2" t="s">
        <v>17882</v>
      </c>
      <c r="D5" s="2" t="s">
        <v>17884</v>
      </c>
      <c r="E5" s="4" t="str">
        <f ca="1">IFERROR(__xludf.DUMMYFUNCTION("GOOGLETRANSLATE(B6,""ja"",""vi"")"),"bộ đồ ăn Trung Quốc")</f>
        <v>bộ đồ ăn Trung Quốc</v>
      </c>
      <c r="F5" s="4" t="str">
        <f ca="1">IFERROR(__xludf.DUMMYFUNCTION("GOOGLETRANSLATE(C6,""ja"",""vi"")"),"Đấu giá&gt; nhà, nội thất&gt; bếp, bộ đồ ăn&gt; Bộ đồ ăn&gt; Bộ đồ ăn Trung Quốc")</f>
        <v>Đấu giá&gt; nhà, nội thất&gt; bếp, bộ đồ ăn&gt; Bộ đồ ăn&gt; Bộ đồ ăn Trung Quốc</v>
      </c>
      <c r="G5" t="str">
        <f t="shared" ca="1" si="0"/>
        <v>"2084005665" : "bộ đồ ăn Trung Quốc",</v>
      </c>
    </row>
    <row r="6" spans="1:7" ht="14.25" customHeight="1">
      <c r="A6" s="2">
        <v>2084005667</v>
      </c>
      <c r="B6" s="2" t="s">
        <v>17886</v>
      </c>
      <c r="C6" s="2" t="s">
        <v>17888</v>
      </c>
      <c r="D6" s="2" t="s">
        <v>17889</v>
      </c>
      <c r="E6" s="4" t="str">
        <f ca="1">IFERROR(__xludf.DUMMYFUNCTION("GOOGLETRANSLATE(B7,""ja"",""vi"")"),"Thủy tinh, chai")</f>
        <v>Thủy tinh, chai</v>
      </c>
      <c r="F6" s="4" t="str">
        <f ca="1">IFERROR(__xludf.DUMMYFUNCTION("GOOGLETRANSLATE(C7,""ja"",""vi"")"),"Đấu giá&gt; nhà, nội thất&gt; bếp, bộ đồ ăn&gt; Bộ đồ ăn&gt; thủy tinh, chai")</f>
        <v>Đấu giá&gt; nhà, nội thất&gt; bếp, bộ đồ ăn&gt; Bộ đồ ăn&gt; thủy tinh, chai</v>
      </c>
      <c r="G6" t="str">
        <f t="shared" ca="1" si="0"/>
        <v>"2084005667" : "Thủy tinh, chai",</v>
      </c>
    </row>
    <row r="7" spans="1:7" ht="14.25" customHeight="1">
      <c r="A7" s="2">
        <v>2084005664</v>
      </c>
      <c r="B7" s="2" t="s">
        <v>17010</v>
      </c>
      <c r="C7" s="2" t="s">
        <v>17892</v>
      </c>
      <c r="D7" s="2" t="s">
        <v>17893</v>
      </c>
      <c r="E7" s="4" t="str">
        <f ca="1">IFERROR(__xludf.DUMMYFUNCTION("GOOGLETRANSLATE(B8,""ja"",""vi"")"),"đứa bé")</f>
        <v>đứa bé</v>
      </c>
      <c r="F7" s="4" t="str">
        <f ca="1">IFERROR(__xludf.DUMMYFUNCTION("GOOGLETRANSLATE(C8,""ja"",""vi"")"),"Đấu giá&gt; nhà, nội thất&gt; bếp, bộ đồ ăn&gt; Bộ đồ ăn&gt; cho bé")</f>
        <v>Đấu giá&gt; nhà, nội thất&gt; bếp, bộ đồ ăn&gt; Bộ đồ ăn&gt; cho bé</v>
      </c>
      <c r="G7" t="str">
        <f t="shared" ca="1" si="0"/>
        <v>"2084005664" : "đứa bé",</v>
      </c>
    </row>
    <row r="8" spans="1:7" ht="14.25" customHeight="1">
      <c r="A8" s="2">
        <v>2084042502</v>
      </c>
      <c r="B8" s="2" t="s">
        <v>17896</v>
      </c>
      <c r="C8" s="2" t="s">
        <v>17897</v>
      </c>
      <c r="D8" s="2" t="s">
        <v>17898</v>
      </c>
      <c r="E8" s="4" t="str">
        <f ca="1">IFERROR(__xludf.DUMMYFUNCTION("GOOGLETRANSLATE(B9,""ja"",""vi"")"),"ngoài trời")</f>
        <v>ngoài trời</v>
      </c>
      <c r="F8" s="4" t="str">
        <f ca="1">IFERROR(__xludf.DUMMYFUNCTION("GOOGLETRANSLATE(C9,""ja"",""vi"")"),"Đấu giá&gt; nhà, nội thất&gt; bếp, bộ đồ ăn&gt; Bộ đồ ăn&gt; Ngoài trời")</f>
        <v>Đấu giá&gt; nhà, nội thất&gt; bếp, bộ đồ ăn&gt; Bộ đồ ăn&gt; Ngoài trời</v>
      </c>
      <c r="G8" t="str">
        <f t="shared" ca="1" si="0"/>
        <v>"2084042502" : "ngoài trời",</v>
      </c>
    </row>
    <row r="9" spans="1:7" ht="14.25" customHeight="1">
      <c r="A9" s="2">
        <v>2084024010</v>
      </c>
      <c r="B9" s="2" t="s">
        <v>2880</v>
      </c>
      <c r="C9" s="2" t="s">
        <v>17903</v>
      </c>
      <c r="D9" s="2" t="s">
        <v>17905</v>
      </c>
      <c r="E9" s="4" t="str">
        <f ca="1">IFERROR(__xludf.DUMMYFUNCTION("GOOGLETRANSLATE(B10,""ja"",""vi"")"),"đồ cổ")</f>
        <v>đồ cổ</v>
      </c>
      <c r="F9" s="4" t="str">
        <f ca="1">IFERROR(__xludf.DUMMYFUNCTION("GOOGLETRANSLATE(C10,""ja"",""vi"")"),"Đấu giá&gt; nhà, nội thất&gt; bếp, bộ đồ ăn&gt; Bộ đồ ăn&gt; Antique")</f>
        <v>Đấu giá&gt; nhà, nội thất&gt; bếp, bộ đồ ăn&gt; Bộ đồ ăn&gt; Antique</v>
      </c>
      <c r="G9" t="str">
        <f t="shared" ca="1" si="0"/>
        <v>"2084024010" : "đồ cổ",</v>
      </c>
    </row>
    <row r="10" spans="1:7" ht="14.25" customHeight="1">
      <c r="A10" s="2">
        <v>2084282952</v>
      </c>
      <c r="B10" s="2" t="s">
        <v>17908</v>
      </c>
      <c r="C10" s="2" t="s">
        <v>17909</v>
      </c>
      <c r="D10" s="2" t="s">
        <v>17911</v>
      </c>
      <c r="E10" s="4" t="str">
        <f ca="1">IFERROR(__xludf.DUMMYFUNCTION("GOOGLETRANSLATE(B11,""ja"",""vi"")"),"Tumbler, chai của tôi")</f>
        <v>Tumbler, chai của tôi</v>
      </c>
      <c r="F10" s="4" t="str">
        <f ca="1">IFERROR(__xludf.DUMMYFUNCTION("GOOGLETRANSLATE(C11,""ja"",""vi"")"),"Đấu giá&gt; nhà, nội thất&gt; bếp, bộ đồ ăn&gt; Bộ đồ ăn&gt; con lật đật, chai của tôi")</f>
        <v>Đấu giá&gt; nhà, nội thất&gt; bếp, bộ đồ ăn&gt; Bộ đồ ăn&gt; con lật đật, chai của tôi</v>
      </c>
      <c r="G10" t="str">
        <f t="shared" ca="1" si="0"/>
        <v>"2084282952" : "Tumbler, chai của tôi",</v>
      </c>
    </row>
    <row r="11" spans="1:7" ht="14.25" customHeight="1">
      <c r="A11" s="2">
        <v>2084005666</v>
      </c>
      <c r="B11" s="2" t="s">
        <v>46</v>
      </c>
      <c r="C11" s="2" t="s">
        <v>17914</v>
      </c>
      <c r="D11" s="2" t="s">
        <v>17915</v>
      </c>
      <c r="E11" s="4" t="str">
        <f ca="1">IFERROR(__xludf.DUMMYFUNCTION("GOOGLETRANSLATE(B12,""ja"",""vi"")"),"nếu không thì")</f>
        <v>nếu không thì</v>
      </c>
      <c r="F11" s="4" t="str">
        <f ca="1">IFERROR(__xludf.DUMMYFUNCTION("GOOGLETRANSLATE(C12,""ja"",""vi"")"),"Đấu giá&gt; nhà, nội thất&gt; bếp, bộ đồ ăn&gt; Bộ đồ ăn&gt; Khác")</f>
        <v>Đấu giá&gt; nhà, nội thất&gt; bếp, bộ đồ ăn&gt; Bộ đồ ăn&gt; Khác</v>
      </c>
      <c r="G11" t="str">
        <f t="shared" ca="1" si="0"/>
        <v>"2084005666" : "nếu không thì",</v>
      </c>
    </row>
    <row r="12" spans="1:7" ht="14.25" customHeight="1">
      <c r="A12" s="11">
        <v>2084282954</v>
      </c>
      <c r="B12" s="11" t="s">
        <v>17919</v>
      </c>
      <c r="C12" s="11" t="s">
        <v>17920</v>
      </c>
      <c r="D12" s="11" t="s">
        <v>17921</v>
      </c>
      <c r="E12" s="4" t="str">
        <f ca="1">IFERROR(__xludf.DUMMYFUNCTION("GOOGLETRANSLATE(B15,""ja"",""vi"")"),"Spoon")</f>
        <v>Spoon</v>
      </c>
      <c r="F12" s="4" t="str">
        <f ca="1">IFERROR(__xludf.DUMMYFUNCTION("GOOGLETRANSLATE(C15,""ja"",""vi"")"),"Đấu giá&gt; nhà, nội thất&gt; bếp, bộ đồ ăn&gt; dao kéo&gt; muỗng")</f>
        <v>Đấu giá&gt; nhà, nội thất&gt; bếp, bộ đồ ăn&gt; dao kéo&gt; muỗng</v>
      </c>
      <c r="G12" t="str">
        <f t="shared" ca="1" si="0"/>
        <v>"2084282954" : "Spoon",</v>
      </c>
    </row>
    <row r="13" spans="1:7" ht="14.25" customHeight="1">
      <c r="A13" s="2">
        <v>2084282955</v>
      </c>
      <c r="B13" s="2" t="s">
        <v>10366</v>
      </c>
      <c r="C13" s="2" t="s">
        <v>17924</v>
      </c>
      <c r="D13" s="2" t="s">
        <v>17926</v>
      </c>
      <c r="E13" s="4" t="str">
        <f ca="1">IFERROR(__xludf.DUMMYFUNCTION("GOOGLETRANSLATE(B16,""ja"",""vi"")"),"nĩa")</f>
        <v>nĩa</v>
      </c>
      <c r="F13" s="4" t="str">
        <f ca="1">IFERROR(__xludf.DUMMYFUNCTION("GOOGLETRANSLATE(C16,""ja"",""vi"")"),"Đấu giá&gt; nhà, nội thất&gt; bếp, bộ đồ ăn&gt; dao kéo&gt; ngã ba")</f>
        <v>Đấu giá&gt; nhà, nội thất&gt; bếp, bộ đồ ăn&gt; dao kéo&gt; ngã ba</v>
      </c>
      <c r="G13" t="str">
        <f t="shared" ca="1" si="0"/>
        <v>"2084282955" : "nĩa",</v>
      </c>
    </row>
    <row r="14" spans="1:7" ht="14.25" customHeight="1">
      <c r="A14" s="2">
        <v>2084282956</v>
      </c>
      <c r="B14" s="2" t="s">
        <v>17929</v>
      </c>
      <c r="C14" s="2" t="s">
        <v>17930</v>
      </c>
      <c r="D14" s="2" t="s">
        <v>17931</v>
      </c>
      <c r="E14" s="4" t="str">
        <f ca="1">IFERROR(__xludf.DUMMYFUNCTION("GOOGLETRANSLATE(B17,""ja"",""vi"")"),"bàn để dao")</f>
        <v>bàn để dao</v>
      </c>
      <c r="F14" s="4" t="str">
        <f ca="1">IFERROR(__xludf.DUMMYFUNCTION("GOOGLETRANSLATE(C17,""ja"",""vi"")"),"Đấu giá&gt; nhà, nội thất&gt; bếp, bộ đồ ăn&gt; Dao kéo&gt; dao bảng")</f>
        <v>Đấu giá&gt; nhà, nội thất&gt; bếp, bộ đồ ăn&gt; Dao kéo&gt; dao bảng</v>
      </c>
      <c r="G14" t="str">
        <f t="shared" ca="1" si="0"/>
        <v>"2084282956" : "bàn để dao",</v>
      </c>
    </row>
    <row r="15" spans="1:7" ht="14.25" customHeight="1">
      <c r="A15" s="2">
        <v>2084282957</v>
      </c>
      <c r="B15" s="2" t="s">
        <v>17935</v>
      </c>
      <c r="C15" s="2" t="s">
        <v>17936</v>
      </c>
      <c r="D15" s="2" t="s">
        <v>17937</v>
      </c>
      <c r="E15" s="4" t="str">
        <f ca="1">IFERROR(__xludf.DUMMYFUNCTION("GOOGLETRANSLATE(B18,""ja"",""vi"")"),"đặt bàn trước")</f>
        <v>đặt bàn trước</v>
      </c>
      <c r="F15" s="4" t="str">
        <f ca="1">IFERROR(__xludf.DUMMYFUNCTION("GOOGLETRANSLATE(C18,""ja"",""vi"")"),"Đấu giá&gt; nhà, nội thất&gt; bếp, bộ đồ ăn&gt; Dao kéo&gt; bộ Dinner")</f>
        <v>Đấu giá&gt; nhà, nội thất&gt; bếp, bộ đồ ăn&gt; Dao kéo&gt; bộ Dinner</v>
      </c>
      <c r="G15" t="str">
        <f t="shared" ca="1" si="0"/>
        <v>"2084282957" : "đặt bàn trước",</v>
      </c>
    </row>
    <row r="16" spans="1:7" ht="14.25" customHeight="1">
      <c r="A16" s="2">
        <v>2084282958</v>
      </c>
      <c r="B16" s="2" t="s">
        <v>9298</v>
      </c>
      <c r="C16" s="2" t="s">
        <v>17940</v>
      </c>
      <c r="D16" s="2" t="s">
        <v>17941</v>
      </c>
      <c r="E16" s="4" t="str">
        <f ca="1">IFERROR(__xludf.DUMMYFUNCTION("GOOGLETRANSLATE(B19,""ja"",""vi"")"),"Đối với trẻ em")</f>
        <v>Đối với trẻ em</v>
      </c>
      <c r="F16" s="4" t="str">
        <f ca="1">IFERROR(__xludf.DUMMYFUNCTION("GOOGLETRANSLATE(C19,""ja"",""vi"")"),"Đấu giá&gt; nhà, nội thất&gt; bếp, bộ đồ ăn&gt; dao kéo&gt; cho trẻ em")</f>
        <v>Đấu giá&gt; nhà, nội thất&gt; bếp, bộ đồ ăn&gt; dao kéo&gt; cho trẻ em</v>
      </c>
      <c r="G16" t="str">
        <f t="shared" ca="1" si="0"/>
        <v>"2084282958" : "Đối với trẻ em",</v>
      </c>
    </row>
    <row r="17" spans="1:7" ht="14.25" customHeight="1">
      <c r="A17" s="2">
        <v>2084046728</v>
      </c>
      <c r="B17" s="2" t="s">
        <v>17944</v>
      </c>
      <c r="C17" s="2" t="s">
        <v>17945</v>
      </c>
      <c r="D17" s="2" t="s">
        <v>17947</v>
      </c>
      <c r="E17" s="4" t="str">
        <f ca="1">IFERROR(__xludf.DUMMYFUNCTION("GOOGLETRANSLATE(B20,""ja"",""vi"")"),"đôi đũa")</f>
        <v>đôi đũa</v>
      </c>
      <c r="F17" s="4" t="str">
        <f ca="1">IFERROR(__xludf.DUMMYFUNCTION("GOOGLETRANSLATE(C20,""ja"",""vi"")"),"Đấu giá&gt; nhà, nội thất&gt; bếp, bộ đồ ăn&gt; dao kéo&gt; đũa")</f>
        <v>Đấu giá&gt; nhà, nội thất&gt; bếp, bộ đồ ăn&gt; dao kéo&gt; đũa</v>
      </c>
      <c r="G17" t="str">
        <f t="shared" ca="1" si="0"/>
        <v>"2084046728" : "đôi đũa",</v>
      </c>
    </row>
    <row r="18" spans="1:7" ht="14.25" customHeight="1">
      <c r="A18" s="2">
        <v>2084282959</v>
      </c>
      <c r="B18" s="2" t="s">
        <v>46</v>
      </c>
      <c r="C18" s="2" t="s">
        <v>17950</v>
      </c>
      <c r="D18" s="2" t="s">
        <v>17951</v>
      </c>
      <c r="E18" s="4" t="str">
        <f ca="1">IFERROR(__xludf.DUMMYFUNCTION("GOOGLETRANSLATE(B21,""ja"",""vi"")"),"nếu không thì")</f>
        <v>nếu không thì</v>
      </c>
      <c r="F18" s="4" t="str">
        <f ca="1">IFERROR(__xludf.DUMMYFUNCTION("GOOGLETRANSLATE(C21,""ja"",""vi"")"),"Đấu giá&gt; nhà, nội thất&gt; bếp, bộ đồ ăn&gt; Dao kéo&gt; Khác")</f>
        <v>Đấu giá&gt; nhà, nội thất&gt; bếp, bộ đồ ăn&gt; Dao kéo&gt; Khác</v>
      </c>
      <c r="G18" t="str">
        <f t="shared" ca="1" si="0"/>
        <v>"2084282959" : "nếu không thì",</v>
      </c>
    </row>
    <row r="19" spans="1:7" ht="14.25" customHeight="1">
      <c r="A19" s="11">
        <v>2084005967</v>
      </c>
      <c r="B19" s="11" t="s">
        <v>16047</v>
      </c>
      <c r="C19" s="11" t="s">
        <v>17955</v>
      </c>
      <c r="D19" s="11" t="s">
        <v>17956</v>
      </c>
      <c r="E19" s="4" t="str">
        <f ca="1">IFERROR(__xludf.DUMMYFUNCTION("GOOGLETRANSLATE(B24,""ja"",""vi"")"),"nồi")</f>
        <v>nồi</v>
      </c>
      <c r="F19" s="4" t="str">
        <f ca="1">IFERROR(__xludf.DUMMYFUNCTION("GOOGLETRANSLATE(C24,""ja"",""vi"")"),"Đấu giá&gt; nhà, nội thất&gt; bếp, bộ đồ ăn&gt; dụng cụ nấu&gt; nồi")</f>
        <v>Đấu giá&gt; nhà, nội thất&gt; bếp, bộ đồ ăn&gt; dụng cụ nấu&gt; nồi</v>
      </c>
      <c r="G19" t="str">
        <f t="shared" ca="1" si="0"/>
        <v>"2084005967" : "nồi",</v>
      </c>
    </row>
    <row r="20" spans="1:7" ht="14.25" customHeight="1">
      <c r="A20" s="2">
        <v>2084005968</v>
      </c>
      <c r="B20" s="2" t="s">
        <v>15955</v>
      </c>
      <c r="C20" s="2" t="s">
        <v>17960</v>
      </c>
      <c r="D20" s="2" t="s">
        <v>17961</v>
      </c>
      <c r="E20" s="4" t="str">
        <f ca="1">IFERROR(__xludf.DUMMYFUNCTION("GOOGLETRANSLATE(B25,""ja"",""vi"")"),"chảo chiên")</f>
        <v>chảo chiên</v>
      </c>
      <c r="F20" s="4" t="str">
        <f ca="1">IFERROR(__xludf.DUMMYFUNCTION("GOOGLETRANSLATE(C25,""ja"",""vi"")"),"Đấu giá&gt; nhà, nội thất&gt; bếp, bộ đồ ăn&gt; dụng cụ nấu&gt; chảo")</f>
        <v>Đấu giá&gt; nhà, nội thất&gt; bếp, bộ đồ ăn&gt; dụng cụ nấu&gt; chảo</v>
      </c>
      <c r="G20" t="str">
        <f t="shared" ca="1" si="0"/>
        <v>"2084005968" : "chảo chiên",</v>
      </c>
    </row>
    <row r="21" spans="1:7" ht="14.25" customHeight="1">
      <c r="A21" s="2">
        <v>2084005972</v>
      </c>
      <c r="B21" s="2" t="s">
        <v>17964</v>
      </c>
      <c r="C21" s="2" t="s">
        <v>17966</v>
      </c>
      <c r="D21" s="2" t="s">
        <v>17967</v>
      </c>
      <c r="E21" s="4" t="str">
        <f ca="1">IFERROR(__xludf.DUMMYFUNCTION("GOOGLETRANSLATE(B26,""ja"",""vi"")"),"dao kéo")</f>
        <v>dao kéo</v>
      </c>
      <c r="F21" s="4" t="str">
        <f ca="1">IFERROR(__xludf.DUMMYFUNCTION("GOOGLETRANSLATE(C26,""ja"",""vi"")"),"Đấu giá&gt; nhà, nội thất&gt; bếp, bộ đồ ăn&gt; dụng cụ nấu&gt; dao kéo")</f>
        <v>Đấu giá&gt; nhà, nội thất&gt; bếp, bộ đồ ăn&gt; dụng cụ nấu&gt; dao kéo</v>
      </c>
      <c r="G21" t="str">
        <f t="shared" ca="1" si="0"/>
        <v>"2084005972" : "dao kéo",</v>
      </c>
    </row>
    <row r="22" spans="1:7" ht="14.25" customHeight="1">
      <c r="A22" s="2">
        <v>2084005971</v>
      </c>
      <c r="B22" s="2" t="s">
        <v>15918</v>
      </c>
      <c r="C22" s="2" t="s">
        <v>17969</v>
      </c>
      <c r="D22" s="2" t="s">
        <v>17971</v>
      </c>
      <c r="E22" s="4" t="str">
        <f ca="1">IFERROR(__xludf.DUMMYFUNCTION("GOOGLETRANSLATE(B27,""ja"",""vi"")"),"thớt")</f>
        <v>thớt</v>
      </c>
      <c r="F22" s="4" t="str">
        <f ca="1">IFERROR(__xludf.DUMMYFUNCTION("GOOGLETRANSLATE(C27,""ja"",""vi"")"),"Đấu giá&gt; nhà, nội thất&gt; bếp, bộ đồ ăn&gt; dụng cụ nấu&gt; board cắt")</f>
        <v>Đấu giá&gt; nhà, nội thất&gt; bếp, bộ đồ ăn&gt; dụng cụ nấu&gt; board cắt</v>
      </c>
      <c r="G22" t="str">
        <f t="shared" ca="1" si="0"/>
        <v>"2084005971" : "thớt",</v>
      </c>
    </row>
    <row r="23" spans="1:7" ht="14.25" customHeight="1">
      <c r="A23" s="2">
        <v>2084282962</v>
      </c>
      <c r="B23" s="2" t="s">
        <v>17973</v>
      </c>
      <c r="C23" s="2" t="s">
        <v>17974</v>
      </c>
      <c r="D23" s="2" t="s">
        <v>17975</v>
      </c>
      <c r="E23" s="4" t="str">
        <f ca="1">IFERROR(__xludf.DUMMYFUNCTION("GOOGLETRANSLATE(B28,""ja"",""vi"")"),"Udon, công cụ kiều mạch")</f>
        <v>Udon, công cụ kiều mạch</v>
      </c>
      <c r="F23" s="4" t="str">
        <f ca="1">IFERROR(__xludf.DUMMYFUNCTION("GOOGLETRANSLATE(C28,""ja"",""vi"")"),"Đấu giá&gt; nhà, nội thất&gt; bếp, bộ đồ ăn&gt; dụng cụ nấu&gt; udon, soba công cụ")</f>
        <v>Đấu giá&gt; nhà, nội thất&gt; bếp, bộ đồ ăn&gt; dụng cụ nấu&gt; udon, soba công cụ</v>
      </c>
      <c r="G23" t="str">
        <f t="shared" ca="1" si="0"/>
        <v>"2084282962" : "Udon, công cụ kiều mạch",</v>
      </c>
    </row>
    <row r="24" spans="1:7" ht="14.25" customHeight="1">
      <c r="A24" s="2">
        <v>2084282963</v>
      </c>
      <c r="B24" s="2" t="s">
        <v>17978</v>
      </c>
      <c r="C24" s="2" t="s">
        <v>17979</v>
      </c>
      <c r="D24" s="2" t="s">
        <v>17981</v>
      </c>
      <c r="E24" s="4" t="str">
        <f ca="1">IFERROR(__xludf.DUMMYFUNCTION("GOOGLETRANSLATE(B29,""ja"",""vi"")"),"Ohitsu, Handai")</f>
        <v>Ohitsu, Handai</v>
      </c>
      <c r="F24" s="4" t="str">
        <f ca="1">IFERROR(__xludf.DUMMYFUNCTION("GOOGLETRANSLATE(C29,""ja"",""vi"")"),"Đấu giá&gt; nhà, nội thất&gt; bếp, bộ đồ ăn&gt; dụng cụ nấu&gt; Ohitsu, Handai")</f>
        <v>Đấu giá&gt; nhà, nội thất&gt; bếp, bộ đồ ăn&gt; dụng cụ nấu&gt; Ohitsu, Handai</v>
      </c>
      <c r="G24" t="str">
        <f t="shared" ca="1" si="0"/>
        <v>"2084282963" : "Ohitsu, Handai",</v>
      </c>
    </row>
    <row r="25" spans="1:7" ht="14.25" customHeight="1">
      <c r="A25" s="2">
        <v>2084005976</v>
      </c>
      <c r="B25" s="2" t="s">
        <v>17983</v>
      </c>
      <c r="C25" s="2" t="s">
        <v>17985</v>
      </c>
      <c r="D25" s="2" t="s">
        <v>17986</v>
      </c>
      <c r="E25" s="4" t="str">
        <f ca="1">IFERROR(__xludf.DUMMYFUNCTION("GOOGLETRANSLATE(B30,""ja"",""vi"")"),"dụng cụ nhà bếp")</f>
        <v>dụng cụ nhà bếp</v>
      </c>
      <c r="F25" s="4" t="str">
        <f ca="1">IFERROR(__xludf.DUMMYFUNCTION("GOOGLETRANSLATE(C30,""ja"",""vi"")"),"Đấu giá&gt; nhà, nội thất&gt; bếp, bộ đồ ăn&gt; dụng cụ nấu&gt; dụng cụ nhà bếp")</f>
        <v>Đấu giá&gt; nhà, nội thất&gt; bếp, bộ đồ ăn&gt; dụng cụ nấu&gt; dụng cụ nhà bếp</v>
      </c>
      <c r="G25" t="str">
        <f t="shared" ca="1" si="0"/>
        <v>"2084005976" : "dụng cụ nhà bếp",</v>
      </c>
    </row>
    <row r="26" spans="1:7" ht="14.25" customHeight="1">
      <c r="A26" s="2">
        <v>2084005970</v>
      </c>
      <c r="B26" s="2" t="s">
        <v>17989</v>
      </c>
      <c r="C26" s="2" t="s">
        <v>17991</v>
      </c>
      <c r="D26" s="2" t="s">
        <v>17992</v>
      </c>
      <c r="E26" s="4" t="str">
        <f ca="1">IFERROR(__xludf.DUMMYFUNCTION("GOOGLETRANSLATE(B31,""ja"",""vi"")"),"Ball, colander")</f>
        <v>Ball, colander</v>
      </c>
      <c r="F26" s="4" t="str">
        <f ca="1">IFERROR(__xludf.DUMMYFUNCTION("GOOGLETRANSLATE(C31,""ja"",""vi"")"),"Đấu giá&gt; nhà, nội thất&gt; bếp, bộ đồ ăn&gt; dụng cụ nấu&gt; bóng, colander")</f>
        <v>Đấu giá&gt; nhà, nội thất&gt; bếp, bộ đồ ăn&gt; dụng cụ nấu&gt; bóng, colander</v>
      </c>
      <c r="G26" t="str">
        <f t="shared" ca="1" si="0"/>
        <v>"2084005970" : "Ball, colander",</v>
      </c>
    </row>
    <row r="27" spans="1:7" ht="14.25" customHeight="1">
      <c r="A27" s="2">
        <v>2084005969</v>
      </c>
      <c r="B27" s="2" t="s">
        <v>17997</v>
      </c>
      <c r="C27" s="2" t="s">
        <v>18000</v>
      </c>
      <c r="D27" s="2" t="s">
        <v>18001</v>
      </c>
      <c r="E27" s="4" t="str">
        <f ca="1">IFERROR(__xludf.DUMMYFUNCTION("GOOGLETRANSLATE(B32,""ja"",""vi"")"),"ấm đun nước")</f>
        <v>ấm đun nước</v>
      </c>
      <c r="F27" s="4" t="str">
        <f ca="1">IFERROR(__xludf.DUMMYFUNCTION("GOOGLETRANSLATE(C32,""ja"",""vi"")"),"Đấu giá&gt; nhà, nội thất&gt; bếp, bộ đồ ăn&gt; dụng cụ nấu&gt; ấm đun nước")</f>
        <v>Đấu giá&gt; nhà, nội thất&gt; bếp, bộ đồ ăn&gt; dụng cụ nấu&gt; ấm đun nước</v>
      </c>
      <c r="G27" t="str">
        <f t="shared" ca="1" si="0"/>
        <v>"2084005969" : "ấm đun nước",</v>
      </c>
    </row>
    <row r="28" spans="1:7" ht="14.25" customHeight="1">
      <c r="A28" s="2">
        <v>2084005975</v>
      </c>
      <c r="B28" s="2" t="s">
        <v>18004</v>
      </c>
      <c r="C28" s="2" t="s">
        <v>18005</v>
      </c>
      <c r="D28" s="2" t="s">
        <v>18006</v>
      </c>
      <c r="E28" s="4" t="str">
        <f ca="1">IFERROR(__xludf.DUMMYFUNCTION("GOOGLETRANSLATE(B33,""ja"",""vi"")"),"thiết bị nặng")</f>
        <v>thiết bị nặng</v>
      </c>
      <c r="F28" s="4" t="str">
        <f ca="1">IFERROR(__xludf.DUMMYFUNCTION("GOOGLETRANSLATE(C33,""ja"",""vi"")"),"Đấu giá&gt; nhà, nội thất&gt; bếp, bộ đồ ăn&gt; dụng cụ nấu&gt; công cụ đo lường")</f>
        <v>Đấu giá&gt; nhà, nội thất&gt; bếp, bộ đồ ăn&gt; dụng cụ nấu&gt; công cụ đo lường</v>
      </c>
      <c r="G28" t="str">
        <f t="shared" ca="1" si="0"/>
        <v>"2084005975" : "thiết bị nặng",</v>
      </c>
    </row>
    <row r="29" spans="1:7" ht="14.25" customHeight="1">
      <c r="A29" s="2">
        <v>2084005973</v>
      </c>
      <c r="B29" s="2" t="s">
        <v>18009</v>
      </c>
      <c r="C29" s="2" t="s">
        <v>18010</v>
      </c>
      <c r="D29" s="2" t="s">
        <v>18013</v>
      </c>
      <c r="E29" s="4" t="str">
        <f ca="1">IFERROR(__xludf.DUMMYFUNCTION("GOOGLETRANSLATE(B34,""ja"",""vi"")"),"Đối với bánh kẹo")</f>
        <v>Đối với bánh kẹo</v>
      </c>
      <c r="F29" s="4" t="str">
        <f ca="1">IFERROR(__xludf.DUMMYFUNCTION("GOOGLETRANSLATE(C34,""ja"",""vi"")"),"Đấu giá&gt; nhà, nội thất&gt; bếp, bộ đồ ăn&gt; dụng cụ nấu&gt; bánh kẹo")</f>
        <v>Đấu giá&gt; nhà, nội thất&gt; bếp, bộ đồ ăn&gt; dụng cụ nấu&gt; bánh kẹo</v>
      </c>
      <c r="G29" t="str">
        <f t="shared" ca="1" si="0"/>
        <v>"2084005973" : "Đối với bánh kẹo",</v>
      </c>
    </row>
    <row r="30" spans="1:7" ht="14.25" customHeight="1">
      <c r="A30" s="2">
        <v>2084008364</v>
      </c>
      <c r="B30" s="2" t="s">
        <v>18017</v>
      </c>
      <c r="C30" s="2" t="s">
        <v>18018</v>
      </c>
      <c r="D30" s="2" t="s">
        <v>18020</v>
      </c>
      <c r="E30" s="4" t="str">
        <f ca="1">IFERROR(__xludf.DUMMYFUNCTION("GOOGLETRANSLATE(B35,""ja"",""vi"")"),"thiết bị điện")</f>
        <v>thiết bị điện</v>
      </c>
      <c r="F30" s="4" t="str">
        <f ca="1">IFERROR(__xludf.DUMMYFUNCTION("GOOGLETRANSLATE(C35,""ja"",""vi"")"),"Đấu giá&gt; nhà, nội thất&gt; bếp, bộ đồ ăn&gt; dụng cụ nấu&gt; thiết bị")</f>
        <v>Đấu giá&gt; nhà, nội thất&gt; bếp, bộ đồ ăn&gt; dụng cụ nấu&gt; thiết bị</v>
      </c>
      <c r="G30" t="str">
        <f t="shared" ca="1" si="0"/>
        <v>"2084008364" : "thiết bị điện",</v>
      </c>
    </row>
    <row r="31" spans="1:7" ht="14.25" customHeight="1">
      <c r="A31" s="2">
        <v>2084282961</v>
      </c>
      <c r="B31" s="2" t="s">
        <v>18025</v>
      </c>
      <c r="C31" s="2" t="s">
        <v>18026</v>
      </c>
      <c r="D31" s="2" t="s">
        <v>18027</v>
      </c>
      <c r="E31" s="4" t="str">
        <f ca="1">IFERROR(__xludf.DUMMYFUNCTION("GOOGLETRANSLATE(B36,""ja"",""vi"")"),"Nồi cho lò vi sóng")</f>
        <v>Nồi cho lò vi sóng</v>
      </c>
      <c r="F31" s="4" t="str">
        <f ca="1">IFERROR(__xludf.DUMMYFUNCTION("GOOGLETRANSLATE(C36,""ja"",""vi"")"),"lò đấu giá&gt; nhà, nội thất&gt; bếp, bộ đồ ăn&gt; dụng cụ nấu&gt; nồi cho lò vi sóng")</f>
        <v>lò đấu giá&gt; nhà, nội thất&gt; bếp, bộ đồ ăn&gt; dụng cụ nấu&gt; nồi cho lò vi sóng</v>
      </c>
      <c r="G31" t="str">
        <f t="shared" ca="1" si="0"/>
        <v>"2084282961" : "Nồi cho lò vi sóng",</v>
      </c>
    </row>
    <row r="32" spans="1:7" ht="14.25" customHeight="1">
      <c r="A32" s="2">
        <v>2084048468</v>
      </c>
      <c r="B32" s="2" t="s">
        <v>18030</v>
      </c>
      <c r="C32" s="2" t="s">
        <v>18031</v>
      </c>
      <c r="D32" s="2" t="s">
        <v>18032</v>
      </c>
      <c r="E32" s="4" t="str">
        <f ca="1">IFERROR(__xludf.DUMMYFUNCTION("GOOGLETRANSLATE(B37,""ja"",""vi"")"),"thiết bị nhà bếp thương mại")</f>
        <v>thiết bị nhà bếp thương mại</v>
      </c>
      <c r="F32" s="4" t="str">
        <f ca="1">IFERROR(__xludf.DUMMYFUNCTION("GOOGLETRANSLATE(C37,""ja"",""vi"")"),"Đấu giá&gt; nhà, nội thất&gt; bếp, bộ đồ ăn&gt; dụng cụ nấu&gt; thiết bị nhà bếp thương mại")</f>
        <v>Đấu giá&gt; nhà, nội thất&gt; bếp, bộ đồ ăn&gt; dụng cụ nấu&gt; thiết bị nhà bếp thương mại</v>
      </c>
      <c r="G32" t="str">
        <f t="shared" ca="1" si="0"/>
        <v>"2084048468" : "thiết bị nhà bếp thương mại",</v>
      </c>
    </row>
    <row r="33" spans="1:7" ht="14.25" customHeight="1">
      <c r="A33" s="2">
        <v>24822</v>
      </c>
      <c r="B33" s="2" t="s">
        <v>17896</v>
      </c>
      <c r="C33" s="2" t="s">
        <v>18037</v>
      </c>
      <c r="D33" s="2" t="s">
        <v>18038</v>
      </c>
      <c r="E33" s="4" t="str">
        <f ca="1">IFERROR(__xludf.DUMMYFUNCTION("GOOGLETRANSLATE(B38,""ja"",""vi"")"),"ngoài trời")</f>
        <v>ngoài trời</v>
      </c>
      <c r="F33" s="4" t="str">
        <f ca="1">IFERROR(__xludf.DUMMYFUNCTION("GOOGLETRANSLATE(C38,""ja"",""vi"")"),"Đấu giá&gt; nhà, nội thất&gt; bếp, bộ đồ ăn&gt; dụng cụ nấu&gt; Ngoài trời")</f>
        <v>Đấu giá&gt; nhà, nội thất&gt; bếp, bộ đồ ăn&gt; dụng cụ nấu&gt; Ngoài trời</v>
      </c>
      <c r="G33" t="str">
        <f t="shared" ca="1" si="0"/>
        <v>"24822" : "ngoài trời",</v>
      </c>
    </row>
    <row r="34" spans="1:7" ht="14.25" customHeight="1">
      <c r="A34" s="2">
        <v>2084005977</v>
      </c>
      <c r="B34" s="2" t="s">
        <v>46</v>
      </c>
      <c r="C34" s="2" t="s">
        <v>18042</v>
      </c>
      <c r="D34" s="2" t="s">
        <v>18043</v>
      </c>
      <c r="E34" s="4" t="str">
        <f ca="1">IFERROR(__xludf.DUMMYFUNCTION("GOOGLETRANSLATE(B39,""ja"",""vi"")"),"nếu không thì")</f>
        <v>nếu không thì</v>
      </c>
      <c r="F34" s="4" t="str">
        <f ca="1">IFERROR(__xludf.DUMMYFUNCTION("GOOGLETRANSLATE(C39,""ja"",""vi"")"),"Đấu giá&gt; nhà, nội thất&gt; bếp, bộ đồ ăn&gt; dụng cụ nấu&gt; Khác")</f>
        <v>Đấu giá&gt; nhà, nội thất&gt; bếp, bộ đồ ăn&gt; dụng cụ nấu&gt; Khác</v>
      </c>
      <c r="G34" t="str">
        <f t="shared" ca="1" si="0"/>
        <v>"2084005977" : "nếu không thì",</v>
      </c>
    </row>
    <row r="35" spans="1:7" ht="14.25" customHeight="1">
      <c r="A35" s="11">
        <v>2084046730</v>
      </c>
      <c r="B35" s="11" t="s">
        <v>18048</v>
      </c>
      <c r="C35" s="11" t="s">
        <v>18049</v>
      </c>
      <c r="D35" s="11" t="s">
        <v>18050</v>
      </c>
      <c r="E35" s="4" t="str">
        <f ca="1">IFERROR(__xludf.DUMMYFUNCTION("GOOGLETRANSLATE(B42,""ja"",""vi"")"),"Obon")</f>
        <v>Obon</v>
      </c>
      <c r="F35" s="4" t="str">
        <f ca="1">IFERROR(__xludf.DUMMYFUNCTION("GOOGLETRANSLATE(C42,""ja"",""vi"")"),"Đấu giá&gt; nhà, nội thất&gt; bếp, bộ đồ ăn&gt; phụ kiện&gt; khay")</f>
        <v>Đấu giá&gt; nhà, nội thất&gt; bếp, bộ đồ ăn&gt; phụ kiện&gt; khay</v>
      </c>
      <c r="G35" t="str">
        <f t="shared" ca="1" si="0"/>
        <v>"2084046730" : "Obon",</v>
      </c>
    </row>
    <row r="36" spans="1:7" ht="14.25" customHeight="1">
      <c r="A36" s="2">
        <v>2084015572</v>
      </c>
      <c r="B36" s="2" t="s">
        <v>18053</v>
      </c>
      <c r="C36" s="2" t="s">
        <v>18054</v>
      </c>
      <c r="D36" s="2" t="s">
        <v>18055</v>
      </c>
      <c r="E36" s="4" t="str">
        <f ca="1">IFERROR(__xludf.DUMMYFUNCTION("GOOGLETRANSLATE(B43,""ja"",""vi"")"),"giữ Cup")</f>
        <v>giữ Cup</v>
      </c>
      <c r="F36" s="4" t="str">
        <f ca="1">IFERROR(__xludf.DUMMYFUNCTION("GOOGLETRANSLATE(C43,""ja"",""vi"")"),"Đấu giá&gt; nhà, nội thất&gt; bếp, bộ đồ ăn&gt; phụ kiện&gt; giữ cốc")</f>
        <v>Đấu giá&gt; nhà, nội thất&gt; bếp, bộ đồ ăn&gt; phụ kiện&gt; giữ cốc</v>
      </c>
      <c r="G36" t="str">
        <f t="shared" ca="1" si="0"/>
        <v>"2084015572" : "giữ Cup",</v>
      </c>
    </row>
    <row r="37" spans="1:7" ht="14.25" customHeight="1">
      <c r="A37" s="2">
        <v>2084288030</v>
      </c>
      <c r="B37" s="2" t="s">
        <v>18058</v>
      </c>
      <c r="C37" s="2" t="s">
        <v>18059</v>
      </c>
      <c r="D37" s="2" t="s">
        <v>18062</v>
      </c>
      <c r="E37" s="4" t="str">
        <f ca="1">IFERROR(__xludf.DUMMYFUNCTION("GOOGLETRANSLATE(B44,""ja"",""vi"")"),"kệ trong nhà bếp")</f>
        <v>kệ trong nhà bếp</v>
      </c>
      <c r="F37" s="4" t="str">
        <f ca="1">IFERROR(__xludf.DUMMYFUNCTION("GOOGLETRANSLATE(C44,""ja"",""vi"")"),"Đấu giá&gt; nhà, nội thất&gt; bếp, bộ đồ ăn&gt; phụ kiện&gt; kệ trong nhà bếp")</f>
        <v>Đấu giá&gt; nhà, nội thất&gt; bếp, bộ đồ ăn&gt; phụ kiện&gt; kệ trong nhà bếp</v>
      </c>
      <c r="G37" t="str">
        <f t="shared" ca="1" si="0"/>
        <v>"2084288030" : "kệ trong nhà bếp",</v>
      </c>
    </row>
    <row r="38" spans="1:7" ht="14.25" customHeight="1">
      <c r="A38" s="2">
        <v>2084018479</v>
      </c>
      <c r="B38" s="2" t="s">
        <v>18063</v>
      </c>
      <c r="C38" s="2" t="s">
        <v>18065</v>
      </c>
      <c r="D38" s="2" t="s">
        <v>18067</v>
      </c>
      <c r="E38" s="4" t="str">
        <f ca="1">IFERROR(__xludf.DUMMYFUNCTION("GOOGLETRANSLATE(B45,""ja"",""vi"")"),"Nhà bếp timer")</f>
        <v>Nhà bếp timer</v>
      </c>
      <c r="F38" s="4" t="str">
        <f ca="1">IFERROR(__xludf.DUMMYFUNCTION("GOOGLETRANSLATE(C45,""ja"",""vi"")"),"Đấu giá&gt; nhà, nội thất&gt; bếp, bộ đồ ăn&gt; phụ kiện&gt; Nhà bếp timer")</f>
        <v>Đấu giá&gt; nhà, nội thất&gt; bếp, bộ đồ ăn&gt; phụ kiện&gt; Nhà bếp timer</v>
      </c>
      <c r="G38" t="str">
        <f t="shared" ca="1" si="0"/>
        <v>"2084018479" : "Nhà bếp timer",</v>
      </c>
    </row>
    <row r="39" spans="1:7" ht="14.25" customHeight="1">
      <c r="A39" s="2">
        <v>2084061482</v>
      </c>
      <c r="B39" s="2" t="s">
        <v>18071</v>
      </c>
      <c r="C39" s="2" t="s">
        <v>18072</v>
      </c>
      <c r="D39" s="2" t="s">
        <v>18073</v>
      </c>
      <c r="E39" s="4" t="str">
        <f ca="1">IFERROR(__xludf.DUMMYFUNCTION("GOOGLETRANSLATE(B46,""ja"",""vi"")"),"bếp nam châm")</f>
        <v>bếp nam châm</v>
      </c>
      <c r="F39" s="4" t="str">
        <f ca="1">IFERROR(__xludf.DUMMYFUNCTION("GOOGLETRANSLATE(C46,""ja"",""vi"")"),"Đấu giá&gt; nhà, nội thất&gt; bếp, bộ đồ ăn&gt; phụ kiện&gt; nam châm bếp")</f>
        <v>Đấu giá&gt; nhà, nội thất&gt; bếp, bộ đồ ăn&gt; phụ kiện&gt; nam châm bếp</v>
      </c>
      <c r="G39" t="str">
        <f t="shared" ca="1" si="0"/>
        <v>"2084061482" : "bếp nam châm",</v>
      </c>
    </row>
    <row r="40" spans="1:7" ht="14.25" customHeight="1">
      <c r="A40" s="2">
        <v>2084288032</v>
      </c>
      <c r="B40" s="2" t="s">
        <v>18077</v>
      </c>
      <c r="C40" s="2" t="s">
        <v>18078</v>
      </c>
      <c r="D40" s="2" t="s">
        <v>18079</v>
      </c>
      <c r="E40" s="4" t="str">
        <f ca="1">IFERROR(__xludf.DUMMYFUNCTION("GOOGLETRANSLATE(B47,""ja"",""vi"")"),"Nhà bếp Thùng rác")</f>
        <v>Nhà bếp Thùng rác</v>
      </c>
      <c r="F40" s="4" t="str">
        <f ca="1">IFERROR(__xludf.DUMMYFUNCTION("GOOGLETRANSLATE(C47,""ja"",""vi"")"),"Đấu giá&gt; nhà, nội thất&gt; bếp, bộ đồ ăn&gt; Accessories&gt; Recycle Bin cho nhà bếp")</f>
        <v>Đấu giá&gt; nhà, nội thất&gt; bếp, bộ đồ ăn&gt; Accessories&gt; Recycle Bin cho nhà bếp</v>
      </c>
      <c r="G40" t="str">
        <f t="shared" ca="1" si="0"/>
        <v>"2084288032" : "Nhà bếp Thùng rác",</v>
      </c>
    </row>
    <row r="41" spans="1:7" ht="14.25" customHeight="1">
      <c r="A41" s="2">
        <v>2084046731</v>
      </c>
      <c r="B41" s="2" t="s">
        <v>9014</v>
      </c>
      <c r="C41" s="2" t="s">
        <v>18084</v>
      </c>
      <c r="D41" s="2" t="s">
        <v>18086</v>
      </c>
      <c r="E41" s="4" t="str">
        <f ca="1">IFERROR(__xludf.DUMMYFUNCTION("GOOGLETRANSLATE(B48,""ja"",""vi"")"),"coaster")</f>
        <v>coaster</v>
      </c>
      <c r="F41" s="4" t="str">
        <f ca="1">IFERROR(__xludf.DUMMYFUNCTION("GOOGLETRANSLATE(C48,""ja"",""vi"")"),"Đấu giá&gt; nhà, nội thất&gt; bếp, bộ đồ ăn&gt; Accessories&gt; coaster")</f>
        <v>Đấu giá&gt; nhà, nội thất&gt; bếp, bộ đồ ăn&gt; Accessories&gt; coaster</v>
      </c>
      <c r="G41" t="str">
        <f t="shared" ca="1" si="0"/>
        <v>"2084046731" : "coaster",</v>
      </c>
    </row>
    <row r="42" spans="1:7" ht="14.25" customHeight="1">
      <c r="A42" s="2">
        <v>2084015573</v>
      </c>
      <c r="B42" s="2" t="s">
        <v>18088</v>
      </c>
      <c r="C42" s="2" t="s">
        <v>18090</v>
      </c>
      <c r="D42" s="2" t="s">
        <v>18091</v>
      </c>
      <c r="E42" s="4" t="str">
        <f ca="1">IFERROR(__xludf.DUMMYFUNCTION("GOOGLETRANSLATE(B49,""ja"",""vi"")"),"wagon")</f>
        <v>wagon</v>
      </c>
      <c r="F42" s="4" t="str">
        <f ca="1">IFERROR(__xludf.DUMMYFUNCTION("GOOGLETRANSLATE(C49,""ja"",""vi"")"),"Đấu giá&gt; nhà, nội thất&gt; bếp, bộ đồ ăn&gt; Accessories&gt; toa xe")</f>
        <v>Đấu giá&gt; nhà, nội thất&gt; bếp, bộ đồ ăn&gt; Accessories&gt; toa xe</v>
      </c>
      <c r="G42" t="str">
        <f t="shared" ca="1" si="0"/>
        <v>"2084015573" : "wagon",</v>
      </c>
    </row>
    <row r="43" spans="1:7" ht="14.25" customHeight="1">
      <c r="A43" s="2">
        <v>2084015571</v>
      </c>
      <c r="B43" s="2" t="s">
        <v>18095</v>
      </c>
      <c r="C43" s="2" t="s">
        <v>18096</v>
      </c>
      <c r="D43" s="2" t="s">
        <v>18097</v>
      </c>
      <c r="E43" s="4" t="str">
        <f ca="1">IFERROR(__xludf.DUMMYFUNCTION("GOOGLETRANSLATE(B50,""ja"",""vi"")"),"Dish drainer, đứng món ăn")</f>
        <v>Dish drainer, đứng món ăn</v>
      </c>
      <c r="F43" s="4" t="str">
        <f ca="1">IFERROR(__xludf.DUMMYFUNCTION("GOOGLETRANSLATE(C50,""ja"",""vi"")"),"Đấu giá&gt; nhà, nội thất&gt; bếp, bộ đồ ăn&gt; Accessories&gt; drainer món ăn, món ăn đứng")</f>
        <v>Đấu giá&gt; nhà, nội thất&gt; bếp, bộ đồ ăn&gt; Accessories&gt; drainer món ăn, món ăn đứng</v>
      </c>
      <c r="G43" t="str">
        <f t="shared" ca="1" si="0"/>
        <v>"2084015571" : "Dish drainer, đứng món ăn",</v>
      </c>
    </row>
    <row r="44" spans="1:7" ht="14.25" customHeight="1">
      <c r="A44" s="2">
        <v>2084005999</v>
      </c>
      <c r="B44" s="2" t="s">
        <v>18101</v>
      </c>
      <c r="C44" s="2" t="s">
        <v>18103</v>
      </c>
      <c r="D44" s="2" t="s">
        <v>18104</v>
      </c>
      <c r="E44" s="4" t="str">
        <f ca="1">IFERROR(__xludf.DUMMYFUNCTION("GOOGLETRANSLATE(B51,""ja"",""vi"")"),"Mở chai, có thể mở")</f>
        <v>Mở chai, có thể mở</v>
      </c>
      <c r="F44" s="4" t="str">
        <f ca="1">IFERROR(__xludf.DUMMYFUNCTION("GOOGLETRANSLATE(C51,""ja"",""vi"")"),"Đấu giá&gt; nhà, nội thất&gt; bếp, bộ đồ ăn&gt; phụ kiện&gt; mở chai, lon mở")</f>
        <v>Đấu giá&gt; nhà, nội thất&gt; bếp, bộ đồ ăn&gt; phụ kiện&gt; mở chai, lon mở</v>
      </c>
      <c r="G44" t="str">
        <f t="shared" ca="1" si="0"/>
        <v>"2084005999" : "Mở chai, có thể mở",</v>
      </c>
    </row>
    <row r="45" spans="1:7" ht="14.25" customHeight="1">
      <c r="A45" s="2">
        <v>2084015570</v>
      </c>
      <c r="B45" s="2" t="s">
        <v>18109</v>
      </c>
      <c r="C45" s="2" t="s">
        <v>18111</v>
      </c>
      <c r="D45" s="2" t="s">
        <v>18113</v>
      </c>
      <c r="E45" s="4" t="str">
        <f ca="1">IFERROR(__xludf.DUMMYFUNCTION("GOOGLETRANSLATE(B52,""ja"",""vi"")"),"nêm giá")</f>
        <v>nêm giá</v>
      </c>
      <c r="F45" s="4" t="str">
        <f ca="1">IFERROR(__xludf.DUMMYFUNCTION("GOOGLETRANSLATE(C52,""ja"",""vi"")"),"Đấu giá&gt; nhà, nội thất&gt; bếp, bộ đồ ăn&gt; phụ kiện&gt; nêm giá")</f>
        <v>Đấu giá&gt; nhà, nội thất&gt; bếp, bộ đồ ăn&gt; phụ kiện&gt; nêm giá</v>
      </c>
      <c r="G45" t="str">
        <f t="shared" ca="1" si="0"/>
        <v>"2084015570" : "nêm giá",</v>
      </c>
    </row>
    <row r="46" spans="1:7" ht="14.25" customHeight="1">
      <c r="A46" s="2">
        <v>2084015576</v>
      </c>
      <c r="B46" s="2" t="s">
        <v>18117</v>
      </c>
      <c r="C46" s="2" t="s">
        <v>18119</v>
      </c>
      <c r="D46" s="2" t="s">
        <v>18120</v>
      </c>
      <c r="E46" s="4" t="str">
        <f ca="1">IFERROR(__xludf.DUMMYFUNCTION("GOOGLETRANSLATE(B53,""ja"",""vi"")"),"Potholder, mitten")</f>
        <v>Potholder, mitten</v>
      </c>
      <c r="F46" s="4" t="str">
        <f ca="1">IFERROR(__xludf.DUMMYFUNCTION("GOOGLETRANSLATE(C53,""ja"",""vi"")"),"Đấu giá&gt; nhà, nội thất&gt; bếp, bộ đồ ăn&gt; Accessories&gt; potholder, mitten")</f>
        <v>Đấu giá&gt; nhà, nội thất&gt; bếp, bộ đồ ăn&gt; Accessories&gt; potholder, mitten</v>
      </c>
      <c r="G46" t="str">
        <f t="shared" ca="1" si="0"/>
        <v>"2084015576" : "Potholder, mitten",</v>
      </c>
    </row>
    <row r="47" spans="1:7" ht="14.25" customHeight="1">
      <c r="A47" s="2">
        <v>2084288031</v>
      </c>
      <c r="B47" s="2" t="s">
        <v>18124</v>
      </c>
      <c r="C47" s="2" t="s">
        <v>18125</v>
      </c>
      <c r="D47" s="2" t="s">
        <v>18126</v>
      </c>
      <c r="E47" s="4" t="str">
        <f ca="1">IFERROR(__xludf.DUMMYFUNCTION("GOOGLETRANSLATE(B54,""ja"",""vi"")"),"rau Stocker")</f>
        <v>rau Stocker</v>
      </c>
      <c r="F47" s="4" t="str">
        <f ca="1">IFERROR(__xludf.DUMMYFUNCTION("GOOGLETRANSLATE(C54,""ja"",""vi"")"),"Đấu giá&gt; nhà, nội thất&gt; bếp, bộ đồ ăn&gt; Accessories&gt; rau Stocker")</f>
        <v>Đấu giá&gt; nhà, nội thất&gt; bếp, bộ đồ ăn&gt; Accessories&gt; rau Stocker</v>
      </c>
      <c r="G47" t="str">
        <f t="shared" ca="1" si="0"/>
        <v>"2084288031" : "rau Stocker",</v>
      </c>
    </row>
    <row r="48" spans="1:7" ht="14.25" customHeight="1">
      <c r="A48" s="2">
        <v>2084018482</v>
      </c>
      <c r="B48" s="2" t="s">
        <v>46</v>
      </c>
      <c r="C48" s="2" t="s">
        <v>18134</v>
      </c>
      <c r="D48" s="2" t="s">
        <v>18135</v>
      </c>
      <c r="E48" s="4" t="str">
        <f ca="1">IFERROR(__xludf.DUMMYFUNCTION("GOOGLETRANSLATE(B55,""ja"",""vi"")"),"nếu không thì")</f>
        <v>nếu không thì</v>
      </c>
      <c r="F48" s="4" t="str">
        <f ca="1">IFERROR(__xludf.DUMMYFUNCTION("GOOGLETRANSLATE(C55,""ja"",""vi"")"),"Đấu giá&gt; nhà, nội thất&gt; bếp, bộ đồ ăn&gt; Accessories&gt; Khác")</f>
        <v>Đấu giá&gt; nhà, nội thất&gt; bếp, bộ đồ ăn&gt; Accessories&gt; Khác</v>
      </c>
      <c r="G48" t="str">
        <f t="shared" ca="1" si="0"/>
        <v>"2084018482" : "nếu không thì",</v>
      </c>
    </row>
    <row r="49" spans="1:7" ht="14.25" customHeight="1">
      <c r="A49" s="11">
        <v>2084005673</v>
      </c>
      <c r="B49" s="11" t="s">
        <v>18153</v>
      </c>
      <c r="C49" s="11" t="s">
        <v>18154</v>
      </c>
      <c r="D49" s="11" t="s">
        <v>18155</v>
      </c>
      <c r="E49" s="4" t="str">
        <f ca="1">IFERROR(__xludf.DUMMYFUNCTION("GOOGLETRANSLATE(B58,""ja"",""vi"")"),"rượu")</f>
        <v>rượu</v>
      </c>
      <c r="F49" s="4" t="str">
        <f ca="1">IFERROR(__xludf.DUMMYFUNCTION("GOOGLETRANSLATE(C58,""ja"",""vi"")"),"Đấu giá&gt; nhà, nội thất&gt; bếp, bộ đồ ăn&gt; hàng rượu&gt; Rượu")</f>
        <v>Đấu giá&gt; nhà, nội thất&gt; bếp, bộ đồ ăn&gt; hàng rượu&gt; Rượu</v>
      </c>
      <c r="G49" t="str">
        <f t="shared" ca="1" si="0"/>
        <v>"2084005673" : "rượu",</v>
      </c>
    </row>
    <row r="50" spans="1:7" ht="14.25" customHeight="1">
      <c r="A50" s="2">
        <v>2084044992</v>
      </c>
      <c r="B50" s="2" t="s">
        <v>18160</v>
      </c>
      <c r="C50" s="2" t="s">
        <v>18162</v>
      </c>
      <c r="D50" s="2" t="s">
        <v>18164</v>
      </c>
      <c r="E50" s="4" t="str">
        <f ca="1">IFERROR(__xludf.DUMMYFUNCTION("GOOGLETRANSLATE(B59,""ja"",""vi"")"),"xô đá")</f>
        <v>xô đá</v>
      </c>
      <c r="F50" s="4" t="str">
        <f ca="1">IFERROR(__xludf.DUMMYFUNCTION("GOOGLETRANSLATE(C59,""ja"",""vi"")"),"Đấu giá&gt; nhà, nội thất&gt; bếp, bộ đồ ăn&gt; hàng rượu&gt; xô đá")</f>
        <v>Đấu giá&gt; nhà, nội thất&gt; bếp, bộ đồ ăn&gt; hàng rượu&gt; xô đá</v>
      </c>
      <c r="G50" t="str">
        <f t="shared" ca="1" si="0"/>
        <v>"2084044992" : "xô đá",</v>
      </c>
    </row>
    <row r="51" spans="1:7" ht="14.25" customHeight="1">
      <c r="A51" s="2">
        <v>2084044993</v>
      </c>
      <c r="B51" s="2" t="s">
        <v>18168</v>
      </c>
      <c r="C51" s="2" t="s">
        <v>18171</v>
      </c>
      <c r="D51" s="2" t="s">
        <v>18172</v>
      </c>
      <c r="E51" s="4" t="str">
        <f ca="1">IFERROR(__xludf.DUMMYFUNCTION("GOOGLETRANSLATE(B60,""ja"",""vi"")"),"cocktail shaker")</f>
        <v>cocktail shaker</v>
      </c>
      <c r="F51" s="4" t="str">
        <f ca="1">IFERROR(__xludf.DUMMYFUNCTION("GOOGLETRANSLATE(C60,""ja"",""vi"")"),"Đấu giá&gt; nhà, nội thất&gt; bếp, bộ đồ ăn&gt; hàng rượu&gt; cocktail shaker")</f>
        <v>Đấu giá&gt; nhà, nội thất&gt; bếp, bộ đồ ăn&gt; hàng rượu&gt; cocktail shaker</v>
      </c>
      <c r="G51" t="str">
        <f t="shared" ca="1" si="0"/>
        <v>"2084044993" : "cocktail shaker",</v>
      </c>
    </row>
    <row r="52" spans="1:7" ht="14.25" customHeight="1">
      <c r="A52" s="2">
        <v>2084005667</v>
      </c>
      <c r="B52" s="2" t="s">
        <v>17886</v>
      </c>
      <c r="C52" s="2" t="s">
        <v>18176</v>
      </c>
      <c r="D52" s="2" t="s">
        <v>18177</v>
      </c>
      <c r="E52" s="4" t="str">
        <f ca="1">IFERROR(__xludf.DUMMYFUNCTION("GOOGLETRANSLATE(B61,""ja"",""vi"")"),"Thủy tinh, chai")</f>
        <v>Thủy tinh, chai</v>
      </c>
      <c r="F52" s="4" t="str">
        <f ca="1">IFERROR(__xludf.DUMMYFUNCTION("GOOGLETRANSLATE(C61,""ja"",""vi"")"),"Đấu giá&gt; nhà, nội thất&gt; bếp, bộ đồ ăn&gt; hàng rượu&gt; thủy tinh, chai")</f>
        <v>Đấu giá&gt; nhà, nội thất&gt; bếp, bộ đồ ăn&gt; hàng rượu&gt; thủy tinh, chai</v>
      </c>
      <c r="G52" t="str">
        <f t="shared" ca="1" si="0"/>
        <v>"2084005667" : "Thủy tinh, chai",</v>
      </c>
    </row>
    <row r="53" spans="1:7" ht="14.25" customHeight="1">
      <c r="A53" s="2">
        <v>2084063492</v>
      </c>
      <c r="B53" s="2" t="s">
        <v>18180</v>
      </c>
      <c r="C53" s="2" t="s">
        <v>18181</v>
      </c>
      <c r="D53" s="2" t="s">
        <v>18183</v>
      </c>
      <c r="E53" s="4" t="str">
        <f ca="1">IFERROR(__xludf.DUMMYFUNCTION("GOOGLETRANSLATE(B62,""ja"",""vi"")"),"Sommelier dao")</f>
        <v>Sommelier dao</v>
      </c>
      <c r="F53" s="4" t="str">
        <f ca="1">IFERROR(__xludf.DUMMYFUNCTION("GOOGLETRANSLATE(C62,""ja"",""vi"")"),"Đấu giá&gt; nhà, nội thất&gt; bếp, bộ đồ ăn&gt; hàng rượu&gt; dao sommelier")</f>
        <v>Đấu giá&gt; nhà, nội thất&gt; bếp, bộ đồ ăn&gt; hàng rượu&gt; dao sommelier</v>
      </c>
      <c r="G53" t="str">
        <f t="shared" ca="1" si="0"/>
        <v>"2084063492" : "Sommelier dao",</v>
      </c>
    </row>
    <row r="54" spans="1:7" ht="14.25" customHeight="1">
      <c r="A54" s="2">
        <v>2084044996</v>
      </c>
      <c r="B54" s="2" t="s">
        <v>18186</v>
      </c>
      <c r="C54" s="2" t="s">
        <v>18189</v>
      </c>
      <c r="D54" s="2" t="s">
        <v>18190</v>
      </c>
      <c r="E54" s="4" t="str">
        <f ca="1">IFERROR(__xludf.DUMMYFUNCTION("GOOGLETRANSLATE(B63,""ja"",""vi"")"),"máy chủ thông qua")</f>
        <v>máy chủ thông qua</v>
      </c>
      <c r="F54" s="4" t="str">
        <f ca="1">IFERROR(__xludf.DUMMYFUNCTION("GOOGLETRANSLATE(C63,""ja"",""vi"")"),"Đấu giá&gt; nhà, nội thất&gt; bếp, bộ đồ ăn&gt; hàng rượu&gt; qua máy chủ")</f>
        <v>Đấu giá&gt; nhà, nội thất&gt; bếp, bộ đồ ăn&gt; hàng rượu&gt; qua máy chủ</v>
      </c>
      <c r="G54" t="str">
        <f t="shared" ca="1" si="0"/>
        <v>"2084044996" : "máy chủ thông qua",</v>
      </c>
    </row>
    <row r="55" spans="1:7" ht="14.25" customHeight="1">
      <c r="A55" s="2">
        <v>2084044994</v>
      </c>
      <c r="B55" s="2" t="s">
        <v>18193</v>
      </c>
      <c r="C55" s="2" t="s">
        <v>18194</v>
      </c>
      <c r="D55" s="2" t="s">
        <v>18196</v>
      </c>
      <c r="E55" s="4" t="str">
        <f ca="1">IFERROR(__xludf.DUMMYFUNCTION("GOOGLETRANSLATE(B64,""ja"",""vi"")"),"Khui")</f>
        <v>Khui</v>
      </c>
      <c r="F55" s="4" t="str">
        <f ca="1">IFERROR(__xludf.DUMMYFUNCTION("GOOGLETRANSLATE(C64,""ja"",""vi"")"),"Đấu giá&gt; nhà, nội thất&gt; bếp, bộ đồ ăn&gt; hàng rượu&gt; mở rượu vang")</f>
        <v>Đấu giá&gt; nhà, nội thất&gt; bếp, bộ đồ ăn&gt; hàng rượu&gt; mở rượu vang</v>
      </c>
      <c r="G55" t="str">
        <f t="shared" ca="1" si="0"/>
        <v>"2084044994" : "Khui",</v>
      </c>
    </row>
    <row r="56" spans="1:7" ht="14.25" customHeight="1">
      <c r="A56" s="2">
        <v>2084044995</v>
      </c>
      <c r="B56" s="2" t="s">
        <v>18198</v>
      </c>
      <c r="C56" s="2" t="s">
        <v>18201</v>
      </c>
      <c r="D56" s="2" t="s">
        <v>18202</v>
      </c>
      <c r="E56" s="4" t="str">
        <f ca="1">IFERROR(__xludf.DUMMYFUNCTION("GOOGLETRANSLATE(B65,""ja"",""vi"")"),"Tủ lạnh đựng rượu")</f>
        <v>Tủ lạnh đựng rượu</v>
      </c>
      <c r="F56" s="4" t="str">
        <f ca="1">IFERROR(__xludf.DUMMYFUNCTION("GOOGLETRANSLATE(C65,""ja"",""vi"")"),"Đấu giá&gt; nhà, nội thất&gt; bếp, bộ đồ ăn&gt; hàng rượu&gt; Wine Cooler")</f>
        <v>Đấu giá&gt; nhà, nội thất&gt; bếp, bộ đồ ăn&gt; hàng rượu&gt; Wine Cooler</v>
      </c>
      <c r="G56" t="str">
        <f t="shared" ca="1" si="0"/>
        <v>"2084044995" : "Tủ lạnh đựng rượu",</v>
      </c>
    </row>
    <row r="57" spans="1:7" ht="14.25" customHeight="1">
      <c r="A57" s="2">
        <v>2084050525</v>
      </c>
      <c r="B57" s="2" t="s">
        <v>18206</v>
      </c>
      <c r="C57" s="2" t="s">
        <v>18207</v>
      </c>
      <c r="D57" s="2" t="s">
        <v>18210</v>
      </c>
      <c r="E57" s="4" t="str">
        <f ca="1">IFERROR(__xludf.DUMMYFUNCTION("GOOGLETRANSLATE(B66,""ja"",""vi"")"),"rượu Saver")</f>
        <v>rượu Saver</v>
      </c>
      <c r="F57" s="4" t="str">
        <f ca="1">IFERROR(__xludf.DUMMYFUNCTION("GOOGLETRANSLATE(C66,""ja"",""vi"")"),"Đấu giá&gt; nhà, nội thất&gt; bếp, bộ đồ ăn&gt; hàng rượu&gt; saver rượu")</f>
        <v>Đấu giá&gt; nhà, nội thất&gt; bếp, bộ đồ ăn&gt; hàng rượu&gt; saver rượu</v>
      </c>
      <c r="G57" t="str">
        <f t="shared" ca="1" si="0"/>
        <v>"2084050525" : "rượu Saver",</v>
      </c>
    </row>
    <row r="58" spans="1:7" ht="14.25" customHeight="1">
      <c r="A58" s="2">
        <v>2084044997</v>
      </c>
      <c r="B58" s="2" t="s">
        <v>5600</v>
      </c>
      <c r="C58" s="2" t="s">
        <v>18215</v>
      </c>
      <c r="D58" s="2" t="s">
        <v>18217</v>
      </c>
      <c r="E58" s="4" t="str">
        <f ca="1">IFERROR(__xludf.DUMMYFUNCTION("GOOGLETRANSLATE(B67,""ja"",""vi"")"),"Wine Cellar")</f>
        <v>Wine Cellar</v>
      </c>
      <c r="F58" s="4" t="str">
        <f ca="1">IFERROR(__xludf.DUMMYFUNCTION("GOOGLETRANSLATE(C67,""ja"",""vi"")"),"Đấu giá&gt; nhà, nội thất&gt; bếp, bộ đồ ăn&gt; hàng rượu&gt; hầm rượu vang")</f>
        <v>Đấu giá&gt; nhà, nội thất&gt; bếp, bộ đồ ăn&gt; hàng rượu&gt; hầm rượu vang</v>
      </c>
      <c r="G58" t="str">
        <f t="shared" ca="1" si="0"/>
        <v>"2084044997" : "Wine Cellar",</v>
      </c>
    </row>
    <row r="59" spans="1:7" ht="14.25" customHeight="1">
      <c r="A59" s="2">
        <v>2084015569</v>
      </c>
      <c r="B59" s="2" t="s">
        <v>18222</v>
      </c>
      <c r="C59" s="2" t="s">
        <v>18224</v>
      </c>
      <c r="D59" s="2" t="s">
        <v>18225</v>
      </c>
      <c r="E59" s="4" t="str">
        <f ca="1">IFERROR(__xludf.DUMMYFUNCTION("GOOGLETRANSLATE(B68,""ja"",""vi"")"),"rack rượu")</f>
        <v>rack rượu</v>
      </c>
      <c r="F59" s="4" t="str">
        <f ca="1">IFERROR(__xludf.DUMMYFUNCTION("GOOGLETRANSLATE(C68,""ja"",""vi"")"),"Đấu giá&gt; nhà, nội thất&gt; bếp, bộ đồ ăn&gt; hàng rượu&gt; rack rượu vang")</f>
        <v>Đấu giá&gt; nhà, nội thất&gt; bếp, bộ đồ ăn&gt; hàng rượu&gt; rack rượu vang</v>
      </c>
      <c r="G59" t="str">
        <f t="shared" ca="1" si="0"/>
        <v>"2084015569" : "rack rượu",</v>
      </c>
    </row>
    <row r="60" spans="1:7" ht="14.25" customHeight="1">
      <c r="A60" s="2">
        <v>2084211470</v>
      </c>
      <c r="B60" s="2" t="s">
        <v>18228</v>
      </c>
      <c r="C60" s="2" t="s">
        <v>18229</v>
      </c>
      <c r="D60" s="2" t="s">
        <v>18230</v>
      </c>
      <c r="E60" s="4" t="str">
        <f ca="1">IFERROR(__xludf.DUMMYFUNCTION("GOOGLETRANSLATE(B69,""ja"",""vi"")"),"máy chủ shochu")</f>
        <v>máy chủ shochu</v>
      </c>
      <c r="F60" s="4" t="str">
        <f ca="1">IFERROR(__xludf.DUMMYFUNCTION("GOOGLETRANSLATE(C69,""ja"",""vi"")"),"Đấu giá&gt; nhà, nội thất&gt; bếp, bộ đồ ăn&gt; hàng rượu&gt; Máy chủ shochu")</f>
        <v>Đấu giá&gt; nhà, nội thất&gt; bếp, bộ đồ ăn&gt; hàng rượu&gt; Máy chủ shochu</v>
      </c>
      <c r="G60" t="str">
        <f t="shared" ca="1" si="0"/>
        <v>"2084211470" : "máy chủ shochu",</v>
      </c>
    </row>
    <row r="61" spans="1:7" ht="14.25" customHeight="1">
      <c r="A61" s="11">
        <v>2084046736</v>
      </c>
      <c r="B61" s="11" t="s">
        <v>9855</v>
      </c>
      <c r="C61" s="11" t="s">
        <v>9857</v>
      </c>
      <c r="D61" s="11" t="s">
        <v>18237</v>
      </c>
      <c r="E61" s="4" t="str">
        <f ca="1">IFERROR(__xludf.DUMMYFUNCTION("GOOGLETRANSLATE(B72,""ja"",""vi"")"),"Cooler túi")</f>
        <v>Cooler túi</v>
      </c>
      <c r="F61" s="4" t="str">
        <f ca="1">IFERROR(__xludf.DUMMYFUNCTION("GOOGLETRANSLATE(C72,""ja"",""vi"")"),"Đấu giá&gt; thể thao, giải trí&gt; trại, hàng ngoài trời&gt; mát, thiết bị kho lạnh&gt; túi lạnh")</f>
        <v>Đấu giá&gt; thể thao, giải trí&gt; trại, hàng ngoài trời&gt; mát, thiết bị kho lạnh&gt; túi lạnh</v>
      </c>
      <c r="G61" t="str">
        <f t="shared" ca="1" si="0"/>
        <v>"2084046736" : "Cooler túi",</v>
      </c>
    </row>
    <row r="62" spans="1:7" ht="14.25" customHeight="1">
      <c r="A62" s="2">
        <v>2084046737</v>
      </c>
      <c r="B62" s="2" t="s">
        <v>9861</v>
      </c>
      <c r="C62" s="2" t="s">
        <v>9863</v>
      </c>
      <c r="D62" s="2" t="s">
        <v>18244</v>
      </c>
      <c r="E62" s="4" t="str">
        <f ca="1">IFERROR(__xludf.DUMMYFUNCTION("GOOGLETRANSLATE(B73,""ja"",""vi"")"),"Cooler hộp")</f>
        <v>Cooler hộp</v>
      </c>
      <c r="F62" s="4" t="str">
        <f ca="1">IFERROR(__xludf.DUMMYFUNCTION("GOOGLETRANSLATE(C73,""ja"",""vi"")"),"Đấu giá&gt; thể thao, giải trí&gt; trại, hàng ngoài trời&gt; mát, thiết bị kho lạnh&gt; hộp mát")</f>
        <v>Đấu giá&gt; thể thao, giải trí&gt; trại, hàng ngoài trời&gt; mát, thiết bị kho lạnh&gt; hộp mát</v>
      </c>
      <c r="G62" t="str">
        <f t="shared" ca="1" si="0"/>
        <v>"2084046737" : "Cooler hộp",</v>
      </c>
    </row>
    <row r="63" spans="1:7" ht="14.25" customHeight="1">
      <c r="A63" s="2">
        <v>2084046741</v>
      </c>
      <c r="B63" s="2" t="s">
        <v>9870</v>
      </c>
      <c r="C63" s="2" t="s">
        <v>9871</v>
      </c>
      <c r="D63" s="2" t="s">
        <v>18249</v>
      </c>
      <c r="E63" s="4" t="str">
        <f ca="1">IFERROR(__xludf.DUMMYFUNCTION("GOOGLETRANSLATE(B74,""ja"",""vi"")"),"cái bình")</f>
        <v>cái bình</v>
      </c>
      <c r="F63" s="4" t="str">
        <f ca="1">IFERROR(__xludf.DUMMYFUNCTION("GOOGLETRANSLATE(C74,""ja"",""vi"")"),"Đấu giá&gt; thể thao, giải trí&gt; trại, hàng ngoài trời&gt; mát, thiết bị kho lạnh&gt; jug")</f>
        <v>Đấu giá&gt; thể thao, giải trí&gt; trại, hàng ngoài trời&gt; mát, thiết bị kho lạnh&gt; jug</v>
      </c>
      <c r="G63" t="str">
        <f t="shared" ca="1" si="0"/>
        <v>"2084046741" : "cái bình",</v>
      </c>
    </row>
    <row r="64" spans="1:7" ht="14.25" customHeight="1">
      <c r="A64" s="2">
        <v>2084046738</v>
      </c>
      <c r="B64" s="2" t="s">
        <v>9876</v>
      </c>
      <c r="C64" s="2" t="s">
        <v>9877</v>
      </c>
      <c r="D64" s="2" t="s">
        <v>18252</v>
      </c>
      <c r="E64" s="4" t="str">
        <f ca="1">IFERROR(__xludf.DUMMYFUNCTION("GOOGLETRANSLATE(B75,""ja"",""vi"")"),"Tủ lạnh di động")</f>
        <v>Tủ lạnh di động</v>
      </c>
      <c r="F64" s="4" t="str">
        <f ca="1">IFERROR(__xludf.DUMMYFUNCTION("GOOGLETRANSLATE(C75,""ja"",""vi"")"),"Đấu giá&gt; thể thao, giải trí&gt; trại, hàng ngoài trời&gt; mát, thiết bị kho lạnh&gt; Thiết bị Tủ lạnh")</f>
        <v>Đấu giá&gt; thể thao, giải trí&gt; trại, hàng ngoài trời&gt; mát, thiết bị kho lạnh&gt; Thiết bị Tủ lạnh</v>
      </c>
      <c r="G64" t="str">
        <f t="shared" ca="1" si="0"/>
        <v>"2084046738" : "Tủ lạnh di động",</v>
      </c>
    </row>
    <row r="65" spans="1:7" ht="14.25" customHeight="1">
      <c r="A65" s="2">
        <v>2084046739</v>
      </c>
      <c r="B65" s="2" t="s">
        <v>9882</v>
      </c>
      <c r="C65" s="2" t="s">
        <v>9884</v>
      </c>
      <c r="D65" s="2" t="s">
        <v>18258</v>
      </c>
      <c r="E65" s="4" t="str">
        <f ca="1">IFERROR(__xludf.DUMMYFUNCTION("GOOGLETRANSLATE(B76,""ja"",""vi"")"),"đại lý lạnh")</f>
        <v>đại lý lạnh</v>
      </c>
      <c r="F65" s="4" t="str">
        <f ca="1">IFERROR(__xludf.DUMMYFUNCTION("GOOGLETRANSLATE(C76,""ja"",""vi"")"),"Đấu giá&gt; thể thao, giải trí&gt; trại, hàng ngoài trời&gt; mát, thiết bị kho lạnh&gt; đại lý lạnh")</f>
        <v>Đấu giá&gt; thể thao, giải trí&gt; trại, hàng ngoài trời&gt; mát, thiết bị kho lạnh&gt; đại lý lạnh</v>
      </c>
      <c r="G65" t="str">
        <f t="shared" ca="1" si="0"/>
        <v>"2084046739" : "đại lý lạnh",</v>
      </c>
    </row>
    <row r="66" spans="1:7" ht="14.25" customHeight="1">
      <c r="A66" s="11">
        <v>2084054098</v>
      </c>
      <c r="B66" s="11" t="s">
        <v>18262</v>
      </c>
      <c r="C66" s="11" t="s">
        <v>18264</v>
      </c>
      <c r="D66" s="11" t="s">
        <v>18265</v>
      </c>
      <c r="E66" s="4" t="str">
        <f ca="1">IFERROR(__xludf.DUMMYFUNCTION("GOOGLETRANSLATE(B79,""ja"",""vi"")"),"Hướng dẫn sử dụng")</f>
        <v>Hướng dẫn sử dụng</v>
      </c>
      <c r="F66" s="4" t="str">
        <f ca="1">IFERROR(__xludf.DUMMYFUNCTION("GOOGLETRANSLATE(C79,""ja"",""vi"")"),"Đấu giá&gt; nhà, nội thất&gt; bếp, bộ đồ ăn&gt; cối xay cà phê&gt; thủ công")</f>
        <v>Đấu giá&gt; nhà, nội thất&gt; bếp, bộ đồ ăn&gt; cối xay cà phê&gt; thủ công</v>
      </c>
      <c r="G66" t="str">
        <f t="shared" ca="1" si="0"/>
        <v>"2084054098" : "Hướng dẫn sử dụng",</v>
      </c>
    </row>
    <row r="67" spans="1:7" ht="14.25" customHeight="1">
      <c r="A67" s="2">
        <v>2084054096</v>
      </c>
      <c r="B67" s="2" t="s">
        <v>18267</v>
      </c>
      <c r="C67" s="2" t="s">
        <v>18269</v>
      </c>
      <c r="D67" s="2" t="s">
        <v>18270</v>
      </c>
      <c r="E67" s="4" t="str">
        <f ca="1">IFERROR(__xludf.DUMMYFUNCTION("GOOGLETRANSLATE(B80,""ja"",""vi"")"),"cơ giới")</f>
        <v>cơ giới</v>
      </c>
      <c r="F67" s="4" t="str">
        <f ca="1">IFERROR(__xludf.DUMMYFUNCTION("GOOGLETRANSLATE(C80,""ja"",""vi"")"),"Đấu giá&gt; nhà, nội thất&gt; bếp, bộ đồ ăn&gt; cối xay cà phê&gt; cơ giới")</f>
        <v>Đấu giá&gt; nhà, nội thất&gt; bếp, bộ đồ ăn&gt; cối xay cà phê&gt; cơ giới</v>
      </c>
      <c r="G67" t="str">
        <f t="shared" ref="G67:G130" ca="1" si="1">CONCATENATE(CHAR(34)&amp;"",A67,""&amp;CHAR(34)," : ", CHAR(34)&amp;"",E67,""&amp;CHAR(34),",")</f>
        <v>"2084054096" : "cơ giới",</v>
      </c>
    </row>
    <row r="68" spans="1:7" ht="14.25" customHeight="1">
      <c r="A68" s="11">
        <v>2084015572</v>
      </c>
      <c r="B68" s="11" t="s">
        <v>18053</v>
      </c>
      <c r="C68" s="11" t="s">
        <v>18276</v>
      </c>
      <c r="D68" s="11" t="s">
        <v>18277</v>
      </c>
      <c r="E68" s="4" t="str">
        <f ca="1">IFERROR(__xludf.DUMMYFUNCTION("GOOGLETRANSLATE(B83,""ja"",""vi"")"),"giữ Cup")</f>
        <v>giữ Cup</v>
      </c>
      <c r="F68" s="4" t="str">
        <f ca="1">IFERROR(__xludf.DUMMYFUNCTION("GOOGLETRANSLATE(C83,""ja"",""vi"")"),"Đấu giá&gt; nhà, nội thất&gt; bếp, bộ đồ ăn&gt; lưu trữ, nhà bếp hàng linh tinh&gt; giữ cốc")</f>
        <v>Đấu giá&gt; nhà, nội thất&gt; bếp, bộ đồ ăn&gt; lưu trữ, nhà bếp hàng linh tinh&gt; giữ cốc</v>
      </c>
      <c r="G68" t="str">
        <f t="shared" ca="1" si="1"/>
        <v>"2084015572" : "giữ Cup",</v>
      </c>
    </row>
    <row r="69" spans="1:7" ht="14.25" customHeight="1">
      <c r="A69" s="2">
        <v>2084288030</v>
      </c>
      <c r="B69" s="2" t="s">
        <v>18058</v>
      </c>
      <c r="C69" s="2" t="s">
        <v>18280</v>
      </c>
      <c r="D69" s="2" t="s">
        <v>18282</v>
      </c>
      <c r="E69" s="4" t="str">
        <f ca="1">IFERROR(__xludf.DUMMYFUNCTION("GOOGLETRANSLATE(B84,""ja"",""vi"")"),"kệ trong nhà bếp")</f>
        <v>kệ trong nhà bếp</v>
      </c>
      <c r="F69" s="4" t="str">
        <f ca="1">IFERROR(__xludf.DUMMYFUNCTION("GOOGLETRANSLATE(C84,""ja"",""vi"")"),"Đấu giá&gt; nhà, nội thất&gt; bếp, bộ đồ ăn&gt; lưu trữ, nhà bếp hàng linh tinh&gt; kệ trong nhà bếp")</f>
        <v>Đấu giá&gt; nhà, nội thất&gt; bếp, bộ đồ ăn&gt; lưu trữ, nhà bếp hàng linh tinh&gt; kệ trong nhà bếp</v>
      </c>
      <c r="G69" t="str">
        <f t="shared" ca="1" si="1"/>
        <v>"2084288030" : "kệ trong nhà bếp",</v>
      </c>
    </row>
    <row r="70" spans="1:7" ht="14.25" customHeight="1">
      <c r="A70" s="2">
        <v>2084288032</v>
      </c>
      <c r="B70" s="2" t="s">
        <v>18077</v>
      </c>
      <c r="C70" s="2" t="s">
        <v>18287</v>
      </c>
      <c r="D70" s="2" t="s">
        <v>18288</v>
      </c>
      <c r="E70" s="4" t="str">
        <f ca="1">IFERROR(__xludf.DUMMYFUNCTION("GOOGLETRANSLATE(B85,""ja"",""vi"")"),"Nhà bếp Thùng rác")</f>
        <v>Nhà bếp Thùng rác</v>
      </c>
      <c r="F70" s="4" t="str">
        <f ca="1">IFERROR(__xludf.DUMMYFUNCTION("GOOGLETRANSLATE(C85,""ja"",""vi"")"),"Đấu giá&gt; nhà, nội thất&gt; bếp, bộ đồ ăn&gt; lưu trữ, thùng rác cho các phụ kiện nhà bếp&gt; Nhà bếp")</f>
        <v>Đấu giá&gt; nhà, nội thất&gt; bếp, bộ đồ ăn&gt; lưu trữ, thùng rác cho các phụ kiện nhà bếp&gt; Nhà bếp</v>
      </c>
      <c r="G70" t="str">
        <f t="shared" ca="1" si="1"/>
        <v>"2084288032" : "Nhà bếp Thùng rác",</v>
      </c>
    </row>
    <row r="71" spans="1:7" ht="14.25" customHeight="1">
      <c r="A71" s="2">
        <v>2084015552</v>
      </c>
      <c r="B71" s="2" t="s">
        <v>18291</v>
      </c>
      <c r="C71" s="2" t="s">
        <v>18292</v>
      </c>
      <c r="D71" s="2" t="s">
        <v>18293</v>
      </c>
      <c r="E71" s="4" t="str">
        <f ca="1">IFERROR(__xludf.DUMMYFUNCTION("GOOGLETRANSLATE(B86,""ja"",""vi"")"),"bảng phạm vi")</f>
        <v>bảng phạm vi</v>
      </c>
      <c r="F71" s="4" t="str">
        <f ca="1">IFERROR(__xludf.DUMMYFUNCTION("GOOGLETRANSLATE(C86,""ja"",""vi"")"),"Đấu giá&gt; nhà, nội thất&gt; bếp, bộ đồ ăn&gt; lưu trữ, nhà bếp hàng linh tinh&gt; loạt đứng")</f>
        <v>Đấu giá&gt; nhà, nội thất&gt; bếp, bộ đồ ăn&gt; lưu trữ, nhà bếp hàng linh tinh&gt; loạt đứng</v>
      </c>
      <c r="G71" t="str">
        <f t="shared" ca="1" si="1"/>
        <v>"2084015552" : "bảng phạm vi",</v>
      </c>
    </row>
    <row r="72" spans="1:7" ht="14.25" customHeight="1">
      <c r="A72" s="2">
        <v>2084015569</v>
      </c>
      <c r="B72" s="2" t="s">
        <v>18222</v>
      </c>
      <c r="C72" s="2" t="s">
        <v>18299</v>
      </c>
      <c r="D72" s="2" t="s">
        <v>18300</v>
      </c>
      <c r="E72" s="4" t="str">
        <f ca="1">IFERROR(__xludf.DUMMYFUNCTION("GOOGLETRANSLATE(B87,""ja"",""vi"")"),"rack rượu")</f>
        <v>rack rượu</v>
      </c>
      <c r="F72" s="4" t="str">
        <f ca="1">IFERROR(__xludf.DUMMYFUNCTION("GOOGLETRANSLATE(C87,""ja"",""vi"")"),"Đấu giá&gt; nhà, nội thất&gt; bếp, bộ đồ ăn&gt; lưu trữ, nhà bếp hàng linh tinh&gt; rack rượu vang")</f>
        <v>Đấu giá&gt; nhà, nội thất&gt; bếp, bộ đồ ăn&gt; lưu trữ, nhà bếp hàng linh tinh&gt; rack rượu vang</v>
      </c>
      <c r="G72" t="str">
        <f t="shared" ca="1" si="1"/>
        <v>"2084015569" : "rack rượu",</v>
      </c>
    </row>
    <row r="73" spans="1:7" ht="14.25" customHeight="1">
      <c r="A73" s="2">
        <v>2084015573</v>
      </c>
      <c r="B73" s="2" t="s">
        <v>18088</v>
      </c>
      <c r="C73" s="2" t="s">
        <v>18304</v>
      </c>
      <c r="D73" s="2" t="s">
        <v>18305</v>
      </c>
      <c r="E73" s="4" t="str">
        <f ca="1">IFERROR(__xludf.DUMMYFUNCTION("GOOGLETRANSLATE(B88,""ja"",""vi"")"),"wagon")</f>
        <v>wagon</v>
      </c>
      <c r="F73" s="4" t="str">
        <f ca="1">IFERROR(__xludf.DUMMYFUNCTION("GOOGLETRANSLATE(C88,""ja"",""vi"")"),"Đấu giá&gt; nhà, nội thất&gt; bếp, bộ đồ ăn&gt; lưu trữ, nhà bếp hàng linh tinh&gt; toa xe")</f>
        <v>Đấu giá&gt; nhà, nội thất&gt; bếp, bộ đồ ăn&gt; lưu trữ, nhà bếp hàng linh tinh&gt; toa xe</v>
      </c>
      <c r="G73" t="str">
        <f t="shared" ca="1" si="1"/>
        <v>"2084015573" : "wagon",</v>
      </c>
    </row>
    <row r="74" spans="1:7" ht="14.25" customHeight="1">
      <c r="A74" s="2">
        <v>20336</v>
      </c>
      <c r="B74" s="2" t="s">
        <v>18309</v>
      </c>
      <c r="C74" s="2" t="s">
        <v>18310</v>
      </c>
      <c r="D74" s="2" t="s">
        <v>18311</v>
      </c>
      <c r="E74" s="4" t="str">
        <f ca="1">IFERROR(__xludf.DUMMYFUNCTION("GOOGLETRANSLATE(B89,""ja"",""vi"")"),"Can")</f>
        <v>Can</v>
      </c>
      <c r="F74" s="4" t="str">
        <f ca="1">IFERROR(__xludf.DUMMYFUNCTION("GOOGLETRANSLATE(C89,""ja"",""vi"")"),"Đấu giá&gt; nhà, nội thất&gt; bếp, bộ đồ ăn&gt; lưu trữ, nhà bếp hàng linh tinh&gt; lon")</f>
        <v>Đấu giá&gt; nhà, nội thất&gt; bếp, bộ đồ ăn&gt; lưu trữ, nhà bếp hàng linh tinh&gt; lon</v>
      </c>
      <c r="G74" t="str">
        <f t="shared" ca="1" si="1"/>
        <v>"20336" : "Can",</v>
      </c>
    </row>
    <row r="75" spans="1:7" ht="14.25" customHeight="1">
      <c r="A75" s="2">
        <v>2084015553</v>
      </c>
      <c r="B75" s="2" t="s">
        <v>18315</v>
      </c>
      <c r="C75" s="2" t="s">
        <v>18316</v>
      </c>
      <c r="D75" s="2" t="s">
        <v>18318</v>
      </c>
      <c r="E75" s="4" t="str">
        <f ca="1">IFERROR(__xludf.DUMMYFUNCTION("GOOGLETRANSLATE(B90,""ja"",""vi"")"),"tủ")</f>
        <v>tủ</v>
      </c>
      <c r="F75" s="4" t="str">
        <f ca="1">IFERROR(__xludf.DUMMYFUNCTION("GOOGLETRANSLATE(C90,""ja"",""vi"")"),"Đấu giá&gt; nhà, nội thất&gt; bếp, bộ đồ ăn&gt; lưu trữ, nhà bếp hàng linh tinh&gt; tủ")</f>
        <v>Đấu giá&gt; nhà, nội thất&gt; bếp, bộ đồ ăn&gt; lưu trữ, nhà bếp hàng linh tinh&gt; tủ</v>
      </c>
      <c r="G75" t="str">
        <f t="shared" ca="1" si="1"/>
        <v>"2084015553" : "tủ",</v>
      </c>
    </row>
    <row r="76" spans="1:7" ht="14.25" customHeight="1">
      <c r="A76" s="2">
        <v>2084015571</v>
      </c>
      <c r="B76" s="2" t="s">
        <v>18095</v>
      </c>
      <c r="C76" s="2" t="s">
        <v>18323</v>
      </c>
      <c r="D76" s="2" t="s">
        <v>18326</v>
      </c>
      <c r="E76" s="4" t="str">
        <f ca="1">IFERROR(__xludf.DUMMYFUNCTION("GOOGLETRANSLATE(B91,""ja"",""vi"")"),"Dish drainer, đứng món ăn")</f>
        <v>Dish drainer, đứng món ăn</v>
      </c>
      <c r="F76" s="4" t="str">
        <f ca="1">IFERROR(__xludf.DUMMYFUNCTION("GOOGLETRANSLATE(C91,""ja"",""vi"")"),"Đấu giá&gt; nhà, nội thất&gt; bếp, bộ đồ ăn&gt; lưu trữ, nhà bếp hàng linh tinh&gt; drainer món ăn, món ăn đứng")</f>
        <v>Đấu giá&gt; nhà, nội thất&gt; bếp, bộ đồ ăn&gt; lưu trữ, nhà bếp hàng linh tinh&gt; drainer món ăn, món ăn đứng</v>
      </c>
      <c r="G76" t="str">
        <f t="shared" ca="1" si="1"/>
        <v>"2084015571" : "Dish drainer, đứng món ăn",</v>
      </c>
    </row>
    <row r="77" spans="1:7" ht="14.25" customHeight="1">
      <c r="A77" s="2">
        <v>2084015570</v>
      </c>
      <c r="B77" s="2" t="s">
        <v>18109</v>
      </c>
      <c r="C77" s="2" t="s">
        <v>18331</v>
      </c>
      <c r="D77" s="2" t="s">
        <v>18333</v>
      </c>
      <c r="E77" s="4" t="str">
        <f ca="1">IFERROR(__xludf.DUMMYFUNCTION("GOOGLETRANSLATE(B92,""ja"",""vi"")"),"nêm giá")</f>
        <v>nêm giá</v>
      </c>
      <c r="F77" s="4" t="str">
        <f ca="1">IFERROR(__xludf.DUMMYFUNCTION("GOOGLETRANSLATE(C92,""ja"",""vi"")"),"Đấu giá&gt; nhà, nội thất&gt; bếp, bộ đồ ăn&gt; lưu trữ, nhà bếp hàng linh tinh&gt; nêm giá")</f>
        <v>Đấu giá&gt; nhà, nội thất&gt; bếp, bộ đồ ăn&gt; lưu trữ, nhà bếp hàng linh tinh&gt; nêm giá</v>
      </c>
      <c r="G77" t="str">
        <f t="shared" ca="1" si="1"/>
        <v>"2084015570" : "nêm giá",</v>
      </c>
    </row>
    <row r="78" spans="1:7" ht="14.25" customHeight="1">
      <c r="A78" s="2">
        <v>2084288031</v>
      </c>
      <c r="B78" s="2" t="s">
        <v>18124</v>
      </c>
      <c r="C78" s="2" t="s">
        <v>18336</v>
      </c>
      <c r="D78" s="2" t="s">
        <v>18337</v>
      </c>
      <c r="E78" s="4" t="str">
        <f ca="1">IFERROR(__xludf.DUMMYFUNCTION("GOOGLETRANSLATE(B93,""ja"",""vi"")"),"rau Stocker")</f>
        <v>rau Stocker</v>
      </c>
      <c r="F78" s="4" t="str">
        <f ca="1">IFERROR(__xludf.DUMMYFUNCTION("GOOGLETRANSLATE(C93,""ja"",""vi"")"),"Đấu giá&gt; nhà, nội thất&gt; bếp, bộ đồ ăn&gt; lưu trữ, nhà bếp hàng linh tinh&gt; rau Stocker")</f>
        <v>Đấu giá&gt; nhà, nội thất&gt; bếp, bộ đồ ăn&gt; lưu trữ, nhà bếp hàng linh tinh&gt; rau Stocker</v>
      </c>
      <c r="G78" t="str">
        <f t="shared" ca="1" si="1"/>
        <v>"2084288031" : "rau Stocker",</v>
      </c>
    </row>
    <row r="79" spans="1:7" ht="14.25" customHeight="1">
      <c r="A79" s="2">
        <v>2084236067</v>
      </c>
      <c r="B79" s="2" t="s">
        <v>18339</v>
      </c>
      <c r="C79" s="2" t="s">
        <v>18340</v>
      </c>
      <c r="D79" s="2" t="s">
        <v>18342</v>
      </c>
      <c r="E79" s="4" t="str">
        <f ca="1">IFERROR(__xludf.DUMMYFUNCTION("GOOGLETRANSLATE(B94,""ja"",""vi"")"),"đồ nội thất cổ")</f>
        <v>đồ nội thất cổ</v>
      </c>
      <c r="F79" s="4" t="str">
        <f ca="1">IFERROR(__xludf.DUMMYFUNCTION("GOOGLETRANSLATE(C94,""ja"",""vi"")"),"Đấu giá&gt; nhà, nội thất&gt; bếp, bộ đồ ăn&gt; lưu trữ, nhà bếp hàng linh tinh&gt; đồ cổ")</f>
        <v>Đấu giá&gt; nhà, nội thất&gt; bếp, bộ đồ ăn&gt; lưu trữ, nhà bếp hàng linh tinh&gt; đồ cổ</v>
      </c>
      <c r="G79" t="str">
        <f t="shared" ca="1" si="1"/>
        <v>"2084236067" : "đồ nội thất cổ",</v>
      </c>
    </row>
    <row r="80" spans="1:7" ht="14.25" customHeight="1">
      <c r="A80" s="2">
        <v>2084018482</v>
      </c>
      <c r="B80" s="2" t="s">
        <v>46</v>
      </c>
      <c r="C80" s="2" t="s">
        <v>18348</v>
      </c>
      <c r="D80" s="2" t="s">
        <v>18349</v>
      </c>
      <c r="E80" s="4" t="str">
        <f ca="1">IFERROR(__xludf.DUMMYFUNCTION("GOOGLETRANSLATE(B95,""ja"",""vi"")"),"nếu không thì")</f>
        <v>nếu không thì</v>
      </c>
      <c r="F80" s="4" t="str">
        <f ca="1">IFERROR(__xludf.DUMMYFUNCTION("GOOGLETRANSLATE(C95,""ja"",""vi"")"),"Đấu giá&gt; nhà, nội thất&gt; bếp, bộ đồ ăn&gt; lưu trữ, nhà bếp hàng linh tinh&gt; Khác")</f>
        <v>Đấu giá&gt; nhà, nội thất&gt; bếp, bộ đồ ăn&gt; lưu trữ, nhà bếp hàng linh tinh&gt; Khác</v>
      </c>
      <c r="G80" t="str">
        <f t="shared" ca="1" si="1"/>
        <v>"2084018482" : "nếu không thì",</v>
      </c>
    </row>
    <row r="81" spans="1:7" ht="14.25" customHeight="1">
      <c r="A81" s="11">
        <v>2084063525</v>
      </c>
      <c r="B81" s="11" t="s">
        <v>5562</v>
      </c>
      <c r="C81" s="11" t="s">
        <v>18355</v>
      </c>
      <c r="D81" s="11" t="s">
        <v>18356</v>
      </c>
      <c r="E81" s="4" t="str">
        <f ca="1">IFERROR(__xludf.DUMMYFUNCTION("GOOGLETRANSLATE(B98,""ja"",""vi"")"),"Kiềm bộ máy nước ion hóa")</f>
        <v>Kiềm bộ máy nước ion hóa</v>
      </c>
      <c r="F81" s="4" t="str">
        <f ca="1">IFERROR(__xludf.DUMMYFUNCTION("GOOGLETRANSLATE(C98,""ja"",""vi"")"),"Đấu giá&gt; nhà, nội thất&gt; bếp, bộ đồ ăn&gt; nước lọc&gt; kiềm ion hóa bộ máy nước")</f>
        <v>Đấu giá&gt; nhà, nội thất&gt; bếp, bộ đồ ăn&gt; nước lọc&gt; kiềm ion hóa bộ máy nước</v>
      </c>
      <c r="G81" t="str">
        <f t="shared" ca="1" si="1"/>
        <v>"2084063525" : "Kiềm bộ máy nước ion hóa",</v>
      </c>
    </row>
    <row r="82" spans="1:7" ht="14.25" customHeight="1">
      <c r="A82" s="2">
        <v>2084063530</v>
      </c>
      <c r="B82" s="2" t="s">
        <v>18361</v>
      </c>
      <c r="C82" s="2" t="s">
        <v>18362</v>
      </c>
      <c r="D82" s="2" t="s">
        <v>18363</v>
      </c>
      <c r="E82" s="4" t="str">
        <f ca="1">IFERROR(__xludf.DUMMYFUNCTION("GOOGLETRANSLATE(B99,""ja"",""vi"")"),"Built-in, dưới bồn rửa chén loại")</f>
        <v>Built-in, dưới bồn rửa chén loại</v>
      </c>
      <c r="F82" s="4" t="str">
        <f ca="1">IFERROR(__xludf.DUMMYFUNCTION("GOOGLETRANSLATE(C99,""ja"",""vi"")"),"Đấu giá&gt; nhà, nội thất&gt; bếp, bộ đồ ăn&gt; lọc nước&gt; built-in, dưới bồn rửa chén loại")</f>
        <v>Đấu giá&gt; nhà, nội thất&gt; bếp, bộ đồ ăn&gt; lọc nước&gt; built-in, dưới bồn rửa chén loại</v>
      </c>
      <c r="G82" t="str">
        <f t="shared" ca="1" si="1"/>
        <v>"2084063530" : "Built-in, dưới bồn rửa chén loại",</v>
      </c>
    </row>
    <row r="83" spans="1:7" ht="14.25" customHeight="1">
      <c r="A83" s="2">
        <v>2084063531</v>
      </c>
      <c r="B83" s="2" t="s">
        <v>18366</v>
      </c>
      <c r="C83" s="2" t="s">
        <v>18368</v>
      </c>
      <c r="D83" s="2" t="s">
        <v>18370</v>
      </c>
      <c r="E83" s="4" t="str">
        <f ca="1">IFERROR(__xludf.DUMMYFUNCTION("GOOGLETRANSLATE(B100,""ja"",""vi"")"),"lọc nước hoạt động")</f>
        <v>lọc nước hoạt động</v>
      </c>
      <c r="F83" s="4" t="str">
        <f ca="1">IFERROR(__xludf.DUMMYFUNCTION("GOOGLETRANSLATE(C100,""ja"",""vi"")"),"Đấu giá&gt; nhà, nội thất&gt; bếp, bộ đồ ăn&gt; lọc nước&gt; lọc nước hoạt động")</f>
        <v>Đấu giá&gt; nhà, nội thất&gt; bếp, bộ đồ ăn&gt; lọc nước&gt; lọc nước hoạt động</v>
      </c>
      <c r="G83" t="str">
        <f t="shared" ca="1" si="1"/>
        <v>"2084063531" : "lọc nước hoạt động",</v>
      </c>
    </row>
    <row r="84" spans="1:7" ht="14.25" customHeight="1">
      <c r="A84" s="2">
        <v>2084063527</v>
      </c>
      <c r="B84" s="2" t="s">
        <v>18373</v>
      </c>
      <c r="C84" s="2" t="s">
        <v>18374</v>
      </c>
      <c r="D84" s="2" t="s">
        <v>18375</v>
      </c>
      <c r="E84" s="4" t="str">
        <f ca="1">IFERROR(__xludf.DUMMYFUNCTION("GOOGLETRANSLATE(B101,""ja"",""vi"")"),"loại vòi nước")</f>
        <v>loại vòi nước</v>
      </c>
      <c r="F84" s="4" t="str">
        <f ca="1">IFERROR(__xludf.DUMMYFUNCTION("GOOGLETRANSLATE(C101,""ja"",""vi"")"),"Đấu giá&gt; nhà, nội thất&gt; bếp, bộ đồ ăn&gt; lọc nước&gt; loại vòi nước")</f>
        <v>Đấu giá&gt; nhà, nội thất&gt; bếp, bộ đồ ăn&gt; lọc nước&gt; loại vòi nước</v>
      </c>
      <c r="G84" t="str">
        <f t="shared" ca="1" si="1"/>
        <v>"2084063527" : "loại vòi nước",</v>
      </c>
    </row>
    <row r="85" spans="1:7" ht="14.25" customHeight="1">
      <c r="A85" s="2">
        <v>2084063528</v>
      </c>
      <c r="B85" s="2" t="s">
        <v>18378</v>
      </c>
      <c r="C85" s="2" t="s">
        <v>18379</v>
      </c>
      <c r="D85" s="2" t="s">
        <v>18381</v>
      </c>
      <c r="E85" s="4" t="str">
        <f ca="1">IFERROR(__xludf.DUMMYFUNCTION("GOOGLETRANSLATE(B102,""ja"",""vi"")"),"Vòi tích hợp")</f>
        <v>Vòi tích hợp</v>
      </c>
      <c r="F85" s="4" t="str">
        <f ca="1">IFERROR(__xludf.DUMMYFUNCTION("GOOGLETRANSLATE(C102,""ja"",""vi"")"),"Đấu giá&gt; nhà, nội thất&gt; bếp, bộ đồ ăn&gt; nước lọc&gt; vòi nước tích hợp")</f>
        <v>Đấu giá&gt; nhà, nội thất&gt; bếp, bộ đồ ăn&gt; nước lọc&gt; vòi nước tích hợp</v>
      </c>
      <c r="G85" t="str">
        <f t="shared" ca="1" si="1"/>
        <v>"2084063528" : "Vòi tích hợp",</v>
      </c>
    </row>
    <row r="86" spans="1:7" ht="14.25" customHeight="1">
      <c r="A86" s="2">
        <v>2084063529</v>
      </c>
      <c r="B86" s="2" t="s">
        <v>18385</v>
      </c>
      <c r="C86" s="2" t="s">
        <v>18386</v>
      </c>
      <c r="D86" s="2" t="s">
        <v>18387</v>
      </c>
      <c r="E86" s="4" t="str">
        <f ca="1">IFERROR(__xludf.DUMMYFUNCTION("GOOGLETRANSLATE(B103,""ja"",""vi"")"),"bàn")</f>
        <v>bàn</v>
      </c>
      <c r="F86" s="4" t="str">
        <f ca="1">IFERROR(__xludf.DUMMYFUNCTION("GOOGLETRANSLATE(C103,""ja"",""vi"")"),"Đấu giá&gt; nhà, nội thất&gt; bếp, bộ đồ ăn&gt; lọc nước&gt; bàn-top")</f>
        <v>Đấu giá&gt; nhà, nội thất&gt; bếp, bộ đồ ăn&gt; lọc nước&gt; bàn-top</v>
      </c>
      <c r="G86" t="str">
        <f t="shared" ca="1" si="1"/>
        <v>"2084063529" : "bàn",</v>
      </c>
    </row>
    <row r="87" spans="1:7" ht="14.25" customHeight="1">
      <c r="A87" s="2">
        <v>2084063535</v>
      </c>
      <c r="B87" s="2" t="s">
        <v>18390</v>
      </c>
      <c r="C87" s="2" t="s">
        <v>18391</v>
      </c>
      <c r="D87" s="2" t="s">
        <v>18393</v>
      </c>
      <c r="E87" s="4" t="str">
        <f ca="1">IFERROR(__xludf.DUMMYFUNCTION("GOOGLETRANSLATE(B104,""ja"",""vi"")"),"vòi hoa sen")</f>
        <v>vòi hoa sen</v>
      </c>
      <c r="F87" s="4" t="str">
        <f ca="1">IFERROR(__xludf.DUMMYFUNCTION("GOOGLETRANSLATE(C104,""ja"",""vi"")"),"Đấu giá&gt; nhà, nội thất&gt; bếp, bộ đồ ăn&gt; lọc nước&gt; cho tắm vòi sen")</f>
        <v>Đấu giá&gt; nhà, nội thất&gt; bếp, bộ đồ ăn&gt; lọc nước&gt; cho tắm vòi sen</v>
      </c>
      <c r="G87" t="str">
        <f t="shared" ca="1" si="1"/>
        <v>"2084063535" : "vòi hoa sen",</v>
      </c>
    </row>
    <row r="88" spans="1:7" ht="14.25" customHeight="1">
      <c r="A88" s="2">
        <v>2084063532</v>
      </c>
      <c r="B88" s="2" t="s">
        <v>18396</v>
      </c>
      <c r="C88" s="2" t="s">
        <v>18398</v>
      </c>
      <c r="D88" s="2" t="s">
        <v>18399</v>
      </c>
      <c r="E88" s="4" t="str">
        <f ca="1">IFERROR(__xludf.DUMMYFUNCTION("GOOGLETRANSLATE(B105,""ja"",""vi"")"),"hộp mực thay thế")</f>
        <v>hộp mực thay thế</v>
      </c>
      <c r="F88" s="4" t="str">
        <f ca="1">IFERROR(__xludf.DUMMYFUNCTION("GOOGLETRANSLATE(C105,""ja"",""vi"")"),"Đấu giá&gt; nhà, nội thất&gt; bếp, bộ đồ ăn&gt; lọc nước&gt; hộp thay thế")</f>
        <v>Đấu giá&gt; nhà, nội thất&gt; bếp, bộ đồ ăn&gt; lọc nước&gt; hộp thay thế</v>
      </c>
      <c r="G88" t="str">
        <f t="shared" ca="1" si="1"/>
        <v>"2084063532" : "hộp mực thay thế",</v>
      </c>
    </row>
    <row r="89" spans="1:7" ht="14.25" customHeight="1">
      <c r="A89" s="2">
        <v>2084063533</v>
      </c>
      <c r="B89" s="2" t="s">
        <v>46</v>
      </c>
      <c r="C89" s="2" t="s">
        <v>18402</v>
      </c>
      <c r="D89" s="2" t="s">
        <v>18403</v>
      </c>
      <c r="E89" s="4" t="str">
        <f ca="1">IFERROR(__xludf.DUMMYFUNCTION("GOOGLETRANSLATE(B106,""ja"",""vi"")"),"nếu không thì")</f>
        <v>nếu không thì</v>
      </c>
      <c r="F89" s="4" t="str">
        <f ca="1">IFERROR(__xludf.DUMMYFUNCTION("GOOGLETRANSLATE(C106,""ja"",""vi"")"),"Đấu giá&gt; nhà, nội thất&gt; bếp, bộ đồ ăn&gt; lọc nước&gt; Khác")</f>
        <v>Đấu giá&gt; nhà, nội thất&gt; bếp, bộ đồ ăn&gt; lọc nước&gt; Khác</v>
      </c>
      <c r="G89" t="str">
        <f t="shared" ca="1" si="1"/>
        <v>"2084063533" : "nếu không thì",</v>
      </c>
    </row>
    <row r="90" spans="1:7" ht="14.25" customHeight="1">
      <c r="E90" s="4" t="str">
        <f ca="1">IFERROR(__xludf.DUMMYFUNCTION("GOOGLETRANSLATE(B107,""ja"",""vi"")"),"#VALUE!")</f>
        <v>#VALUE!</v>
      </c>
      <c r="F90" s="4" t="str">
        <f ca="1">IFERROR(__xludf.DUMMYFUNCTION("GOOGLETRANSLATE(C107,""ja"",""vi"")"),"#VALUE!")</f>
        <v>#VALUE!</v>
      </c>
      <c r="G90" t="str">
        <f t="shared" ca="1" si="1"/>
        <v>"" : "#VALUE!",</v>
      </c>
    </row>
    <row r="91" spans="1:7" ht="14.25" customHeight="1">
      <c r="A91" s="3">
        <v>2084008364</v>
      </c>
      <c r="B91" s="10"/>
      <c r="C91" s="10"/>
      <c r="D91" s="10"/>
      <c r="E91" s="4" t="str">
        <f ca="1">IFERROR(__xludf.DUMMYFUNCTION("GOOGLETRANSLATE(B108,""ja"",""vi"")"),"#VALUE!")</f>
        <v>#VALUE!</v>
      </c>
      <c r="F91" s="4" t="str">
        <f ca="1">IFERROR(__xludf.DUMMYFUNCTION("GOOGLETRANSLATE(C108,""ja"",""vi"")"),"#VALUE!")</f>
        <v>#VALUE!</v>
      </c>
      <c r="G91" t="str">
        <f t="shared" ca="1" si="1"/>
        <v>"2084008364" : "#VALUE!",</v>
      </c>
    </row>
    <row r="92" spans="1:7" ht="14.25" customHeight="1">
      <c r="A92" s="11">
        <v>2084061597</v>
      </c>
      <c r="B92" s="11" t="s">
        <v>5558</v>
      </c>
      <c r="C92" s="11" t="s">
        <v>5560</v>
      </c>
      <c r="D92" s="11" t="s">
        <v>18407</v>
      </c>
      <c r="E92" s="4" t="str">
        <f ca="1">IFERROR(__xludf.DUMMYFUNCTION("GOOGLETRANSLATE(B109,""ja"",""vi"")"),"máy nghiền đá")</f>
        <v>máy nghiền đá</v>
      </c>
      <c r="F92" s="4" t="str">
        <f ca="1">IFERROR(__xludf.DUMMYFUNCTION("GOOGLETRANSLATE(C109,""ja"",""vi"")"),"Đấu giá&gt; thiết bị điện tử tiêu dùng, AV, camera&gt; bếp, bàn ăn&gt; máy nghiền đá")</f>
        <v>Đấu giá&gt; thiết bị điện tử tiêu dùng, AV, camera&gt; bếp, bàn ăn&gt; máy nghiền đá</v>
      </c>
      <c r="G92" t="str">
        <f t="shared" ca="1" si="1"/>
        <v>"2084061597" : "máy nghiền đá",</v>
      </c>
    </row>
    <row r="93" spans="1:7" ht="14.25" customHeight="1">
      <c r="A93" s="2">
        <v>2084063525</v>
      </c>
      <c r="B93" s="2" t="s">
        <v>5562</v>
      </c>
      <c r="C93" s="2" t="s">
        <v>5565</v>
      </c>
      <c r="D93" s="2" t="s">
        <v>18409</v>
      </c>
      <c r="E93" s="4" t="str">
        <f ca="1">IFERROR(__xludf.DUMMYFUNCTION("GOOGLETRANSLATE(B110,""ja"",""vi"")"),"Kiềm bộ máy nước ion hóa")</f>
        <v>Kiềm bộ máy nước ion hóa</v>
      </c>
      <c r="F93" s="4" t="str">
        <f ca="1">IFERROR(__xludf.DUMMYFUNCTION("GOOGLETRANSLATE(C110,""ja"",""vi"")"),"Đấu giá&gt; thiết bị điện tử tiêu dùng, AV, camera&gt; bếp, bàn ăn&gt; Thiết bị ion hóa nước kiềm")</f>
        <v>Đấu giá&gt; thiết bị điện tử tiêu dùng, AV, camera&gt; bếp, bàn ăn&gt; Thiết bị ion hóa nước kiềm</v>
      </c>
      <c r="G93" t="str">
        <f t="shared" ca="1" si="1"/>
        <v>"2084063525" : "Kiềm bộ máy nước ion hóa",</v>
      </c>
    </row>
    <row r="94" spans="1:7" ht="14.25" customHeight="1">
      <c r="A94" s="2">
        <v>24486</v>
      </c>
      <c r="B94" s="2" t="s">
        <v>5567</v>
      </c>
      <c r="C94" s="2" t="s">
        <v>5568</v>
      </c>
      <c r="D94" s="2" t="s">
        <v>18412</v>
      </c>
      <c r="E94" s="4" t="str">
        <f ca="1">IFERROR(__xludf.DUMMYFUNCTION("GOOGLETRANSLATE(B111,""ja"",""vi"")"),"lò")</f>
        <v>lò</v>
      </c>
      <c r="F94" s="4" t="str">
        <f ca="1">IFERROR(__xludf.DUMMYFUNCTION("GOOGLETRANSLATE(C111,""ja"",""vi"")"),"Đấu giá&gt; thiết bị điện tử tiêu dùng, AV, camera&gt; bếp, bàn ăn&gt; lò")</f>
        <v>Đấu giá&gt; thiết bị điện tử tiêu dùng, AV, camera&gt; bếp, bàn ăn&gt; lò</v>
      </c>
      <c r="G94" t="str">
        <f t="shared" ca="1" si="1"/>
        <v>"24486" : "lò",</v>
      </c>
    </row>
    <row r="95" spans="1:7" ht="14.25" customHeight="1">
      <c r="A95" s="2">
        <v>24482</v>
      </c>
      <c r="B95" s="2" t="s">
        <v>5571</v>
      </c>
      <c r="C95" s="2" t="s">
        <v>5572</v>
      </c>
      <c r="D95" s="2" t="s">
        <v>18418</v>
      </c>
      <c r="E95" s="4" t="str">
        <f ca="1">IFERROR(__xludf.DUMMYFUNCTION("GOOGLETRANSLATE(B112,""ja"",""vi"")"),"máy pha cà phê")</f>
        <v>máy pha cà phê</v>
      </c>
      <c r="F95" s="4" t="str">
        <f ca="1">IFERROR(__xludf.DUMMYFUNCTION("GOOGLETRANSLATE(C112,""ja"",""vi"")"),"Đấu giá&gt; thiết bị điện tử tiêu dùng, AV, camera&gt; bếp, bàn ăn&gt; máy pha cà phê")</f>
        <v>Đấu giá&gt; thiết bị điện tử tiêu dùng, AV, camera&gt; bếp, bàn ăn&gt; máy pha cà phê</v>
      </c>
      <c r="G95" t="str">
        <f t="shared" ca="1" si="1"/>
        <v>"24482" : "máy pha cà phê",</v>
      </c>
    </row>
    <row r="96" spans="1:7" ht="14.25" customHeight="1">
      <c r="A96" s="2">
        <v>24506</v>
      </c>
      <c r="B96" s="2" t="s">
        <v>5573</v>
      </c>
      <c r="C96" s="2" t="s">
        <v>5575</v>
      </c>
      <c r="D96" s="2" t="s">
        <v>18425</v>
      </c>
      <c r="E96" s="4" t="str">
        <f ca="1">IFERROR(__xludf.DUMMYFUNCTION("GOOGLETRANSLATE(B113,""ja"",""vi"")"),"Máy ép trái cây, máy trộn")</f>
        <v>Máy ép trái cây, máy trộn</v>
      </c>
      <c r="F96" s="4" t="str">
        <f ca="1">IFERROR(__xludf.DUMMYFUNCTION("GOOGLETRANSLATE(C113,""ja"",""vi"")"),"Đấu giá&gt; thiết bị điện tử tiêu dùng, AV, camera&gt; bếp, bàn ăn&gt; máy ép trái cây, máy trộn")</f>
        <v>Đấu giá&gt; thiết bị điện tử tiêu dùng, AV, camera&gt; bếp, bàn ăn&gt; máy ép trái cây, máy trộn</v>
      </c>
      <c r="G96" t="str">
        <f t="shared" ca="1" si="1"/>
        <v>"24506" : "Máy ép trái cây, máy trộn",</v>
      </c>
    </row>
    <row r="97" spans="1:7" ht="14.25" customHeight="1">
      <c r="A97" s="2">
        <v>24518</v>
      </c>
      <c r="B97" s="2" t="s">
        <v>5579</v>
      </c>
      <c r="C97" s="2" t="s">
        <v>5580</v>
      </c>
      <c r="D97" s="2" t="s">
        <v>18430</v>
      </c>
      <c r="E97" s="4" t="str">
        <f ca="1">IFERROR(__xludf.DUMMYFUNCTION("GOOGLETRANSLATE(B114,""ja"",""vi"")"),"Toaster")</f>
        <v>Toaster</v>
      </c>
      <c r="F97" s="4" t="str">
        <f ca="1">IFERROR(__xludf.DUMMYFUNCTION("GOOGLETRANSLATE(C114,""ja"",""vi"")"),"Đấu giá&gt; thiết bị điện tử tiêu dùng, AV, camera&gt; bếp, bàn ăn&gt; nướng bánh mỳ")</f>
        <v>Đấu giá&gt; thiết bị điện tử tiêu dùng, AV, camera&gt; bếp, bàn ăn&gt; nướng bánh mỳ</v>
      </c>
      <c r="G97" t="str">
        <f t="shared" ca="1" si="1"/>
        <v>"24518" : "Toaster",</v>
      </c>
    </row>
    <row r="98" spans="1:7" ht="14.25" customHeight="1">
      <c r="A98" s="2">
        <v>24470</v>
      </c>
      <c r="B98" s="2" t="s">
        <v>5583</v>
      </c>
      <c r="C98" s="2" t="s">
        <v>5584</v>
      </c>
      <c r="D98" s="2" t="s">
        <v>18434</v>
      </c>
      <c r="E98" s="4" t="str">
        <f ca="1">IFERROR(__xludf.DUMMYFUNCTION("GOOGLETRANSLATE(B115,""ja"",""vi"")"),"người chuyển lương thực")</f>
        <v>người chuyển lương thực</v>
      </c>
      <c r="F98" s="4" t="str">
        <f ca="1">IFERROR(__xludf.DUMMYFUNCTION("GOOGLETRANSLATE(C115,""ja"",""vi"")"),"Đấu giá&gt; thiết bị điện tử tiêu dùng, AV, camera&gt; bếp, bàn ăn uống&gt; Thực phẩm xử lý")</f>
        <v>Đấu giá&gt; thiết bị điện tử tiêu dùng, AV, camera&gt; bếp, bàn ăn uống&gt; Thực phẩm xử lý</v>
      </c>
      <c r="G98" t="str">
        <f t="shared" ca="1" si="1"/>
        <v>"24470" : "người chuyển lương thực",</v>
      </c>
    </row>
    <row r="99" spans="1:7" ht="14.25" customHeight="1">
      <c r="A99" s="2">
        <v>24474</v>
      </c>
      <c r="B99" s="2" t="s">
        <v>5588</v>
      </c>
      <c r="C99" s="2" t="s">
        <v>5589</v>
      </c>
      <c r="D99" s="2" t="s">
        <v>18442</v>
      </c>
      <c r="E99" s="4" t="str">
        <f ca="1">IFERROR(__xludf.DUMMYFUNCTION("GOOGLETRANSLATE(B116,""ja"",""vi"")"),"Home Bakery")</f>
        <v>Home Bakery</v>
      </c>
      <c r="F99" s="4" t="str">
        <f ca="1">IFERROR(__xludf.DUMMYFUNCTION("GOOGLETRANSLATE(C116,""ja"",""vi"")"),"Đấu giá&gt; thiết bị điện tử tiêu dùng, AV, camera&gt; bếp, bàn ăn&gt; bánh nhà")</f>
        <v>Đấu giá&gt; thiết bị điện tử tiêu dùng, AV, camera&gt; bếp, bàn ăn&gt; bánh nhà</v>
      </c>
      <c r="G99" t="str">
        <f t="shared" ca="1" si="1"/>
        <v>"24474" : "Home Bakery",</v>
      </c>
    </row>
    <row r="100" spans="1:7" ht="14.25" customHeight="1">
      <c r="A100" s="2">
        <v>2084008365</v>
      </c>
      <c r="B100" s="2" t="s">
        <v>5593</v>
      </c>
      <c r="C100" s="2" t="s">
        <v>5594</v>
      </c>
      <c r="D100" s="2" t="s">
        <v>18446</v>
      </c>
      <c r="E100" s="4" t="str">
        <f ca="1">IFERROR(__xludf.DUMMYFUNCTION("GOOGLETRANSLATE(B117,""ja"",""vi"")"),"tấm nóng, nướng chảo")</f>
        <v>tấm nóng, nướng chảo</v>
      </c>
      <c r="F100" s="4" t="str">
        <f ca="1">IFERROR(__xludf.DUMMYFUNCTION("GOOGLETRANSLATE(C117,""ja"",""vi"")"),"Đấu giá&gt; thiết bị điện tử tiêu dùng, AV, camera&gt; bếp, bàn ăn&gt; tấm nóng, nướng chảo")</f>
        <v>Đấu giá&gt; thiết bị điện tử tiêu dùng, AV, camera&gt; bếp, bàn ăn&gt; tấm nóng, nướng chảo</v>
      </c>
      <c r="G100" t="str">
        <f t="shared" ca="1" si="1"/>
        <v>"2084008365" : "tấm nóng, nướng chảo",</v>
      </c>
    </row>
    <row r="101" spans="1:7" ht="14.25" customHeight="1">
      <c r="A101" s="2">
        <v>24514</v>
      </c>
      <c r="B101" s="2" t="s">
        <v>5596</v>
      </c>
      <c r="C101" s="2" t="s">
        <v>5597</v>
      </c>
      <c r="D101" s="2" t="s">
        <v>18451</v>
      </c>
      <c r="E101" s="4" t="str">
        <f ca="1">IFERROR(__xludf.DUMMYFUNCTION("GOOGLETRANSLATE(B118,""ja"",""vi"")"),"Range, bếp")</f>
        <v>Range, bếp</v>
      </c>
      <c r="F101" s="4" t="str">
        <f ca="1">IFERROR(__xludf.DUMMYFUNCTION("GOOGLETRANSLATE(C118,""ja"",""vi"")"),"Đấu giá&gt; thiết bị điện tử tiêu dùng, AV, camera&gt; bếp, bàn ăn&gt; phạm vi, bếp")</f>
        <v>Đấu giá&gt; thiết bị điện tử tiêu dùng, AV, camera&gt; bếp, bàn ăn&gt; phạm vi, bếp</v>
      </c>
      <c r="G101" t="str">
        <f t="shared" ca="1" si="1"/>
        <v>"24514" : "Range, bếp",</v>
      </c>
    </row>
    <row r="102" spans="1:7" ht="14.25" customHeight="1">
      <c r="A102" s="2">
        <v>2084044997</v>
      </c>
      <c r="B102" s="2" t="s">
        <v>5600</v>
      </c>
      <c r="C102" s="2" t="s">
        <v>5601</v>
      </c>
      <c r="D102" s="2" t="s">
        <v>18457</v>
      </c>
      <c r="E102" s="4" t="str">
        <f ca="1">IFERROR(__xludf.DUMMYFUNCTION("GOOGLETRANSLATE(B119,""ja"",""vi"")"),"Wine Cellar")</f>
        <v>Wine Cellar</v>
      </c>
      <c r="F102" s="4" t="str">
        <f ca="1">IFERROR(__xludf.DUMMYFUNCTION("GOOGLETRANSLATE(C119,""ja"",""vi"")"),"Đấu giá&gt; thiết bị điện tử tiêu dùng, AV, camera&gt; bếp, bàn ăn&gt; hầm rượu vang")</f>
        <v>Đấu giá&gt; thiết bị điện tử tiêu dùng, AV, camera&gt; bếp, bàn ăn&gt; hầm rượu vang</v>
      </c>
      <c r="G102" t="str">
        <f t="shared" ca="1" si="1"/>
        <v>"2084044997" : "Wine Cellar",</v>
      </c>
    </row>
    <row r="103" spans="1:7" ht="14.25" customHeight="1">
      <c r="A103" s="2">
        <v>2084258414</v>
      </c>
      <c r="B103" s="2" t="s">
        <v>5603</v>
      </c>
      <c r="C103" s="2" t="s">
        <v>5604</v>
      </c>
      <c r="D103" s="2" t="s">
        <v>18464</v>
      </c>
      <c r="E103" s="4" t="str">
        <f ca="1">IFERROR(__xludf.DUMMYFUNCTION("GOOGLETRANSLATE(B120,""ja"",""vi"")"),"thiết bị cung cấp nước nóng")</f>
        <v>thiết bị cung cấp nước nóng</v>
      </c>
      <c r="F103" s="4" t="str">
        <f ca="1">IFERROR(__xludf.DUMMYFUNCTION("GOOGLETRANSLATE(C120,""ja"",""vi"")"),"Đấu giá&gt; thiết bị điện tử tiêu dùng, AV, camera&gt; bếp, bàn ăn&gt; thiết bị cung cấp nước nóng")</f>
        <v>Đấu giá&gt; thiết bị điện tử tiêu dùng, AV, camera&gt; bếp, bàn ăn&gt; thiết bị cung cấp nước nóng</v>
      </c>
      <c r="G103" t="str">
        <f t="shared" ca="1" si="1"/>
        <v>"2084258414" : "thiết bị cung cấp nước nóng",</v>
      </c>
    </row>
    <row r="104" spans="1:7" ht="14.25" customHeight="1">
      <c r="A104" s="2">
        <v>24490</v>
      </c>
      <c r="B104" s="2" t="s">
        <v>5606</v>
      </c>
      <c r="C104" s="2" t="s">
        <v>5607</v>
      </c>
      <c r="D104" s="2" t="s">
        <v>18470</v>
      </c>
      <c r="E104" s="4" t="str">
        <f ca="1">IFERROR(__xludf.DUMMYFUNCTION("GOOGLETRANSLATE(B121,""ja"",""vi"")"),"Máy rửa chén, máy sấy món ăn")</f>
        <v>Máy rửa chén, máy sấy món ăn</v>
      </c>
      <c r="F104" s="4" t="str">
        <f ca="1">IFERROR(__xludf.DUMMYFUNCTION("GOOGLETRANSLATE(C121,""ja"",""vi"")"),"Đấu giá&gt; thiết bị điện tử tiêu dùng, AV, camera&gt; bếp, bàn ăn&gt; máy rửa chén, máy sấy món ăn")</f>
        <v>Đấu giá&gt; thiết bị điện tử tiêu dùng, AV, camera&gt; bếp, bàn ăn&gt; máy rửa chén, máy sấy món ăn</v>
      </c>
      <c r="G104" t="str">
        <f t="shared" ca="1" si="1"/>
        <v>"24490" : "Máy rửa chén, máy sấy món ăn",</v>
      </c>
    </row>
    <row r="105" spans="1:7" ht="14.25" customHeight="1">
      <c r="A105" s="2">
        <v>2084008366</v>
      </c>
      <c r="B105" s="2" t="s">
        <v>5610</v>
      </c>
      <c r="C105" s="2" t="s">
        <v>5612</v>
      </c>
      <c r="D105" s="2" t="s">
        <v>18474</v>
      </c>
      <c r="E105" s="4" t="str">
        <f ca="1">IFERROR(__xludf.DUMMYFUNCTION("GOOGLETRANSLATE(B122,""ja"",""vi"")"),"nồi cơm điện")</f>
        <v>nồi cơm điện</v>
      </c>
      <c r="F105" s="4" t="str">
        <f ca="1">IFERROR(__xludf.DUMMYFUNCTION("GOOGLETRANSLATE(C122,""ja"",""vi"")"),"Đấu giá&gt; thiết bị điện tử tiêu dùng, AV, camera&gt; bếp, bàn ăn&gt; nồi cơm điện")</f>
        <v>Đấu giá&gt; thiết bị điện tử tiêu dùng, AV, camera&gt; bếp, bàn ăn&gt; nồi cơm điện</v>
      </c>
      <c r="G105" t="str">
        <f t="shared" ca="1" si="1"/>
        <v>"2084008366" : "nồi cơm điện",</v>
      </c>
    </row>
    <row r="106" spans="1:7" ht="14.25" customHeight="1">
      <c r="A106" s="2">
        <v>24498</v>
      </c>
      <c r="B106" s="2" t="s">
        <v>5615</v>
      </c>
      <c r="C106" s="2" t="s">
        <v>5616</v>
      </c>
      <c r="D106" s="2" t="s">
        <v>18478</v>
      </c>
      <c r="E106" s="4" t="str">
        <f ca="1">IFERROR(__xludf.DUMMYFUNCTION("GOOGLETRANSLATE(B123,""ja"",""vi"")"),"xử lý rác thải")</f>
        <v>xử lý rác thải</v>
      </c>
      <c r="F106" s="4" t="str">
        <f ca="1">IFERROR(__xludf.DUMMYFUNCTION("GOOGLETRANSLATE(C123,""ja"",""vi"")"),"Đấu giá&gt; thiết bị điện tử tiêu dùng, AV, camera&gt; bếp, bàn ăn&gt; xử lý rác thải")</f>
        <v>Đấu giá&gt; thiết bị điện tử tiêu dùng, AV, camera&gt; bếp, bàn ăn&gt; xử lý rác thải</v>
      </c>
      <c r="G106" t="str">
        <f t="shared" ca="1" si="1"/>
        <v>"24498" : "xử lý rác thải",</v>
      </c>
    </row>
    <row r="107" spans="1:7" ht="14.25" customHeight="1">
      <c r="A107" s="2">
        <v>2084061798</v>
      </c>
      <c r="B107" s="2" t="s">
        <v>5618</v>
      </c>
      <c r="C107" s="2" t="s">
        <v>5619</v>
      </c>
      <c r="D107" s="2" t="s">
        <v>18483</v>
      </c>
      <c r="E107" s="4" t="str">
        <f ca="1">IFERROR(__xludf.DUMMYFUNCTION("GOOGLETRANSLATE(B124,""ja"",""vi"")"),"nhà máy gạo")</f>
        <v>nhà máy gạo</v>
      </c>
      <c r="F107" s="4" t="str">
        <f ca="1">IFERROR(__xludf.DUMMYFUNCTION("GOOGLETRANSLATE(C124,""ja"",""vi"")"),"Đấu giá&gt; thiết bị điện tử tiêu dùng, AV, camera&gt; bếp, bàn ăn&gt; nhà máy gạo")</f>
        <v>Đấu giá&gt; thiết bị điện tử tiêu dùng, AV, camera&gt; bếp, bàn ăn&gt; nhà máy gạo</v>
      </c>
      <c r="G107" t="str">
        <f t="shared" ca="1" si="1"/>
        <v>"2084061798" : "nhà máy gạo",</v>
      </c>
    </row>
    <row r="108" spans="1:7" ht="14.25" customHeight="1">
      <c r="A108" s="2">
        <v>2084244282</v>
      </c>
      <c r="B108" s="2" t="s">
        <v>5621</v>
      </c>
      <c r="C108" s="2" t="s">
        <v>5622</v>
      </c>
      <c r="D108" s="2" t="s">
        <v>18488</v>
      </c>
      <c r="E108" s="4" t="str">
        <f ca="1">IFERROR(__xludf.DUMMYFUNCTION("GOOGLETRANSLATE(B125,""ja"",""vi"")"),"ấm đun nước điện")</f>
        <v>ấm đun nước điện</v>
      </c>
      <c r="F108" s="4" t="str">
        <f ca="1">IFERROR(__xludf.DUMMYFUNCTION("GOOGLETRANSLATE(C125,""ja"",""vi"")"),"Đấu giá&gt; thiết bị điện tử tiêu dùng, AV, camera&gt; nhà bếp, ăn uống table&gt; Ấm điện")</f>
        <v>Đấu giá&gt; thiết bị điện tử tiêu dùng, AV, camera&gt; nhà bếp, ăn uống table&gt; Ấm điện</v>
      </c>
      <c r="G108" t="str">
        <f t="shared" ca="1" si="1"/>
        <v>"2084244282" : "ấm đun nước điện",</v>
      </c>
    </row>
    <row r="109" spans="1:7" ht="14.25" customHeight="1">
      <c r="A109" s="2">
        <v>2084048370</v>
      </c>
      <c r="B109" s="2" t="s">
        <v>5625</v>
      </c>
      <c r="C109" s="2" t="s">
        <v>5627</v>
      </c>
      <c r="D109" s="2" t="s">
        <v>18494</v>
      </c>
      <c r="E109" s="4" t="str">
        <f ca="1">IFERROR(__xludf.DUMMYFUNCTION("GOOGLETRANSLATE(B126,""ja"",""vi"")"),"Một ấm điện")</f>
        <v>Một ấm điện</v>
      </c>
      <c r="F109" s="4" t="str">
        <f ca="1">IFERROR(__xludf.DUMMYFUNCTION("GOOGLETRANSLATE(C126,""ja"",""vi"")"),"Đấu giá&gt; thiết bị điện tử tiêu dùng, AV, camera&gt; bếp, bàn ăn&gt; ấm đun nước điện.")</f>
        <v>Đấu giá&gt; thiết bị điện tử tiêu dùng, AV, camera&gt; bếp, bàn ăn&gt; ấm đun nước điện.</v>
      </c>
      <c r="G109" t="str">
        <f t="shared" ca="1" si="1"/>
        <v>"2084048370" : "Một ấm điện",</v>
      </c>
    </row>
    <row r="110" spans="1:7" ht="14.25" customHeight="1">
      <c r="A110" s="2">
        <v>24502</v>
      </c>
      <c r="B110" s="2" t="s">
        <v>5629</v>
      </c>
      <c r="C110" s="2" t="s">
        <v>5631</v>
      </c>
      <c r="D110" s="2" t="s">
        <v>18497</v>
      </c>
      <c r="E110" s="4" t="str">
        <f ca="1">IFERROR(__xludf.DUMMYFUNCTION("GOOGLETRANSLATE(B127,""ja"",""vi"")"),"lò vi sóng")</f>
        <v>lò vi sóng</v>
      </c>
      <c r="F110" s="4" t="str">
        <f ca="1">IFERROR(__xludf.DUMMYFUNCTION("GOOGLETRANSLATE(C127,""ja"",""vi"")"),"lò đấu giá&gt; thiết bị điện tử tiêu dùng, AV, camera&gt; bếp, bàn ăn&gt; lò vi sóng")</f>
        <v>lò đấu giá&gt; thiết bị điện tử tiêu dùng, AV, camera&gt; bếp, bàn ăn&gt; lò vi sóng</v>
      </c>
      <c r="G110" t="str">
        <f t="shared" ca="1" si="1"/>
        <v>"24502" : "lò vi sóng",</v>
      </c>
    </row>
    <row r="111" spans="1:7" ht="14.25" customHeight="1">
      <c r="A111" s="2">
        <v>2084054096</v>
      </c>
      <c r="B111" s="2" t="s">
        <v>3775</v>
      </c>
      <c r="C111" s="2" t="s">
        <v>5635</v>
      </c>
      <c r="D111" s="2" t="s">
        <v>18501</v>
      </c>
      <c r="E111" s="4" t="str">
        <f ca="1">IFERROR(__xludf.DUMMYFUNCTION("GOOGLETRANSLATE(B128,""ja"",""vi"")"),"máy pha cà phê điện")</f>
        <v>máy pha cà phê điện</v>
      </c>
      <c r="F111" s="4" t="str">
        <f ca="1">IFERROR(__xludf.DUMMYFUNCTION("GOOGLETRANSLATE(C128,""ja"",""vi"")"),"Đấu giá&gt; thiết bị điện tử tiêu dùng, AV, camera&gt; bếp, bàn ăn&gt; cối xay cà phê điện")</f>
        <v>Đấu giá&gt; thiết bị điện tử tiêu dùng, AV, camera&gt; bếp, bàn ăn&gt; cối xay cà phê điện</v>
      </c>
      <c r="G111" t="str">
        <f t="shared" ca="1" si="1"/>
        <v>"2084054096" : "máy pha cà phê điện",</v>
      </c>
    </row>
    <row r="112" spans="1:7" ht="14.25" customHeight="1">
      <c r="A112" s="2">
        <v>24510</v>
      </c>
      <c r="B112" s="2" t="s">
        <v>5640</v>
      </c>
      <c r="C112" s="2" t="s">
        <v>5642</v>
      </c>
      <c r="D112" s="2" t="s">
        <v>18507</v>
      </c>
      <c r="E112" s="4" t="str">
        <f ca="1">IFERROR(__xludf.DUMMYFUNCTION("GOOGLETRANSLATE(B129,""ja"",""vi"")"),"tủ lạnh")</f>
        <v>tủ lạnh</v>
      </c>
      <c r="F112" s="4" t="str">
        <f ca="1">IFERROR(__xludf.DUMMYFUNCTION("GOOGLETRANSLATE(C129,""ja"",""vi"")"),"Đấu giá&gt; thiết bị điện tử tiêu dùng, AV, camera&gt; bếp, bàn ăn&gt; tủ lạnh")</f>
        <v>Đấu giá&gt; thiết bị điện tử tiêu dùng, AV, camera&gt; bếp, bàn ăn&gt; tủ lạnh</v>
      </c>
      <c r="G112" t="str">
        <f t="shared" ca="1" si="1"/>
        <v>"24510" : "tủ lạnh",</v>
      </c>
    </row>
    <row r="113" spans="1:7" ht="14.25" customHeight="1">
      <c r="A113" s="2">
        <v>24494</v>
      </c>
      <c r="B113" s="2" t="s">
        <v>5645</v>
      </c>
      <c r="C113" s="2" t="s">
        <v>5647</v>
      </c>
      <c r="D113" s="2" t="s">
        <v>18511</v>
      </c>
      <c r="E113" s="4" t="str">
        <f ca="1">IFERROR(__xludf.DUMMYFUNCTION("GOOGLETRANSLATE(B130,""ja"",""vi"")"),"máy làm lạnh")</f>
        <v>máy làm lạnh</v>
      </c>
      <c r="F113" s="4" t="str">
        <f ca="1">IFERROR(__xludf.DUMMYFUNCTION("GOOGLETRANSLATE(C130,""ja"",""vi"")"),"Đấu giá&gt; thiết bị điện tử tiêu dùng, AV, camera&gt; bếp, bàn ăn&gt; tủ đông")</f>
        <v>Đấu giá&gt; thiết bị điện tử tiêu dùng, AV, camera&gt; bếp, bàn ăn&gt; tủ đông</v>
      </c>
      <c r="G113" t="str">
        <f t="shared" ca="1" si="1"/>
        <v>"24494" : "máy làm lạnh",</v>
      </c>
    </row>
    <row r="114" spans="1:7" ht="14.25" customHeight="1">
      <c r="A114" s="2">
        <v>2084008367</v>
      </c>
      <c r="B114" s="2" t="s">
        <v>46</v>
      </c>
      <c r="C114" s="2" t="s">
        <v>5649</v>
      </c>
      <c r="D114" s="2" t="s">
        <v>18516</v>
      </c>
      <c r="E114" s="4" t="str">
        <f ca="1">IFERROR(__xludf.DUMMYFUNCTION("GOOGLETRANSLATE(B131,""ja"",""vi"")"),"nếu không thì")</f>
        <v>nếu không thì</v>
      </c>
      <c r="F114" s="4" t="str">
        <f ca="1">IFERROR(__xludf.DUMMYFUNCTION("GOOGLETRANSLATE(C131,""ja"",""vi"")"),"Đấu giá&gt; thiết bị điện tử tiêu dùng, AV, camera&gt; bếp, bàn ăn&gt; Khác")</f>
        <v>Đấu giá&gt; thiết bị điện tử tiêu dùng, AV, camera&gt; bếp, bàn ăn&gt; Khác</v>
      </c>
      <c r="G114" t="str">
        <f t="shared" ca="1" si="1"/>
        <v>"2084008367" : "nếu không thì",</v>
      </c>
    </row>
    <row r="115" spans="1:7" ht="14.25" customHeight="1">
      <c r="E115" s="4" t="str">
        <f ca="1">IFERROR(__xludf.DUMMYFUNCTION("GOOGLETRANSLATE(B132,""ja"",""vi"")"),"#VALUE!")</f>
        <v>#VALUE!</v>
      </c>
      <c r="F115" s="4" t="str">
        <f ca="1">IFERROR(__xludf.DUMMYFUNCTION("GOOGLETRANSLATE(C132,""ja"",""vi"")"),"#VALUE!")</f>
        <v>#VALUE!</v>
      </c>
      <c r="G115" t="str">
        <f t="shared" ca="1" si="1"/>
        <v>"" : "#VALUE!",</v>
      </c>
    </row>
    <row r="116" spans="1:7" ht="14.25" customHeight="1">
      <c r="A116" s="3">
        <v>2084015563</v>
      </c>
      <c r="B116" s="10"/>
      <c r="C116" s="10"/>
      <c r="D116" s="10"/>
      <c r="E116" s="4" t="str">
        <f ca="1">IFERROR(__xludf.DUMMYFUNCTION("GOOGLETRANSLATE(B133,""ja"",""vi"")"),"#VALUE!")</f>
        <v>#VALUE!</v>
      </c>
      <c r="F116" s="4" t="str">
        <f ca="1">IFERROR(__xludf.DUMMYFUNCTION("GOOGLETRANSLATE(C133,""ja"",""vi"")"),"#VALUE!")</f>
        <v>#VALUE!</v>
      </c>
      <c r="G116" t="str">
        <f t="shared" ca="1" si="1"/>
        <v>"2084015563" : "#VALUE!",</v>
      </c>
    </row>
    <row r="117" spans="1:7" ht="14.25" customHeight="1">
      <c r="A117" s="11">
        <v>2084261187</v>
      </c>
      <c r="B117" s="11" t="s">
        <v>18522</v>
      </c>
      <c r="C117" s="11" t="s">
        <v>18523</v>
      </c>
      <c r="D117" s="11" t="s">
        <v>18524</v>
      </c>
      <c r="E117" s="4" t="str">
        <f ca="1">IFERROR(__xludf.DUMMYFUNCTION("GOOGLETRANSLATE(B134,""ja"",""vi"")"),"hộp cơm trưa (đối với nam)")</f>
        <v>hộp cơm trưa (đối với nam)</v>
      </c>
      <c r="F117" s="4" t="str">
        <f ca="1">IFERROR(__xludf.DUMMYFUNCTION("GOOGLETRANSLATE(C134,""ja"",""vi"")"),"Đấu giá&gt; nhà, nội thất&gt; bếp, bộ đồ ăn&gt; bento nguồn cung cấp&gt; hộp cơm trưa (đối với nam)")</f>
        <v>Đấu giá&gt; nhà, nội thất&gt; bếp, bộ đồ ăn&gt; bento nguồn cung cấp&gt; hộp cơm trưa (đối với nam)</v>
      </c>
      <c r="G117" t="str">
        <f t="shared" ca="1" si="1"/>
        <v>"2084261187" : "hộp cơm trưa (đối với nam)",</v>
      </c>
    </row>
    <row r="118" spans="1:7" ht="14.25" customHeight="1">
      <c r="A118" s="2">
        <v>2084261188</v>
      </c>
      <c r="B118" s="2" t="s">
        <v>18527</v>
      </c>
      <c r="C118" s="2" t="s">
        <v>18528</v>
      </c>
      <c r="D118" s="2" t="s">
        <v>18531</v>
      </c>
      <c r="E118" s="4" t="str">
        <f ca="1">IFERROR(__xludf.DUMMYFUNCTION("GOOGLETRANSLATE(B135,""ja"",""vi"")"),"hộp cơm trưa (đối với nữ)")</f>
        <v>hộp cơm trưa (đối với nữ)</v>
      </c>
      <c r="F118" s="4" t="str">
        <f ca="1">IFERROR(__xludf.DUMMYFUNCTION("GOOGLETRANSLATE(C135,""ja"",""vi"")"),"Đấu giá&gt; nhà, nội thất&gt; bếp, bộ đồ ăn&gt; bento nguồn cung cấp&gt; hộp cơm trưa (đối với nữ)")</f>
        <v>Đấu giá&gt; nhà, nội thất&gt; bếp, bộ đồ ăn&gt; bento nguồn cung cấp&gt; hộp cơm trưa (đối với nữ)</v>
      </c>
      <c r="G118" t="str">
        <f t="shared" ca="1" si="1"/>
        <v>"2084261188" : "hộp cơm trưa (đối với nữ)",</v>
      </c>
    </row>
    <row r="119" spans="1:7" ht="14.25" customHeight="1">
      <c r="A119" s="2">
        <v>2084261189</v>
      </c>
      <c r="B119" s="2" t="s">
        <v>18535</v>
      </c>
      <c r="C119" s="2" t="s">
        <v>18538</v>
      </c>
      <c r="D119" s="2" t="s">
        <v>18539</v>
      </c>
      <c r="E119" s="4" t="str">
        <f ca="1">IFERROR(__xludf.DUMMYFUNCTION("GOOGLETRANSLATE(B136,""ja"",""vi"")"),"hộp cơm trưa (unisex)")</f>
        <v>hộp cơm trưa (unisex)</v>
      </c>
      <c r="F119" s="4" t="str">
        <f ca="1">IFERROR(__xludf.DUMMYFUNCTION("GOOGLETRANSLATE(C136,""ja"",""vi"")"),"Đấu giá&gt; nhà, nội thất&gt; bếp, bộ đồ ăn&gt; bento nguồn cung cấp&gt; hộp cơm trưa (unisex)")</f>
        <v>Đấu giá&gt; nhà, nội thất&gt; bếp, bộ đồ ăn&gt; bento nguồn cung cấp&gt; hộp cơm trưa (unisex)</v>
      </c>
      <c r="G119" t="str">
        <f t="shared" ca="1" si="1"/>
        <v>"2084261189" : "hộp cơm trưa (unisex)",</v>
      </c>
    </row>
    <row r="120" spans="1:7" ht="14.25" customHeight="1">
      <c r="A120" s="2">
        <v>2084261190</v>
      </c>
      <c r="B120" s="2" t="s">
        <v>18543</v>
      </c>
      <c r="C120" s="2" t="s">
        <v>18544</v>
      </c>
      <c r="D120" s="2" t="s">
        <v>18545</v>
      </c>
      <c r="E120" s="4" t="str">
        <f ca="1">IFERROR(__xludf.DUMMYFUNCTION("GOOGLETRANSLATE(B137,""ja"",""vi"")"),"hộp đựng thức ăn (cho trẻ em)")</f>
        <v>hộp đựng thức ăn (cho trẻ em)</v>
      </c>
      <c r="F120" s="4" t="str">
        <f ca="1">IFERROR(__xludf.DUMMYFUNCTION("GOOGLETRANSLATE(C137,""ja"",""vi"")"),"Đấu giá&gt; nhà, nội thất&gt; bếp, bộ đồ ăn&gt; bento nguồn cung cấp&gt; hộp cơm trưa (cho trẻ em)")</f>
        <v>Đấu giá&gt; nhà, nội thất&gt; bếp, bộ đồ ăn&gt; bento nguồn cung cấp&gt; hộp cơm trưa (cho trẻ em)</v>
      </c>
      <c r="G120" t="str">
        <f t="shared" ca="1" si="1"/>
        <v>"2084261190" : "hộp đựng thức ăn (cho trẻ em)",</v>
      </c>
    </row>
    <row r="121" spans="1:7" ht="14.25" customHeight="1">
      <c r="A121" s="2">
        <v>2084261191</v>
      </c>
      <c r="B121" s="2" t="s">
        <v>18550</v>
      </c>
      <c r="C121" s="2" t="s">
        <v>18551</v>
      </c>
      <c r="D121" s="2" t="s">
        <v>18552</v>
      </c>
      <c r="E121" s="4" t="str">
        <f ca="1">IFERROR(__xludf.DUMMYFUNCTION("GOOGLETRANSLATE(B138,""ja"",""vi"")"),"hộp ăn trưa cho đũa, dao kéo")</f>
        <v>hộp ăn trưa cho đũa, dao kéo</v>
      </c>
      <c r="F121" s="4" t="str">
        <f ca="1">IFERROR(__xludf.DUMMYFUNCTION("GOOGLETRANSLATE(C138,""ja"",""vi"")"),"Đấu giá&gt; nhà, nội thất&gt; bếp, bộ đồ ăn&gt; bento nguồn cung cấp&gt; hộp ăn trưa cho đũa, dao kéo")</f>
        <v>Đấu giá&gt; nhà, nội thất&gt; bếp, bộ đồ ăn&gt; bento nguồn cung cấp&gt; hộp ăn trưa cho đũa, dao kéo</v>
      </c>
      <c r="G121" t="str">
        <f t="shared" ca="1" si="1"/>
        <v>"2084261191" : "hộp ăn trưa cho đũa, dao kéo",</v>
      </c>
    </row>
    <row r="122" spans="1:7" ht="14.25" customHeight="1">
      <c r="A122" s="2">
        <v>2084261194</v>
      </c>
      <c r="B122" s="2" t="s">
        <v>18557</v>
      </c>
      <c r="C122" s="2" t="s">
        <v>18558</v>
      </c>
      <c r="D122" s="2" t="s">
        <v>18560</v>
      </c>
      <c r="E122" s="4" t="str">
        <f ca="1">IFERROR(__xludf.DUMMYFUNCTION("GOOGLETRANSLATE(B139,""ja"",""vi"")"),"thùng chứa dùng một lần, bộ đồ ăn")</f>
        <v>thùng chứa dùng một lần, bộ đồ ăn</v>
      </c>
      <c r="F122" s="4" t="str">
        <f ca="1">IFERROR(__xludf.DUMMYFUNCTION("GOOGLETRANSLATE(C139,""ja"",""vi"")"),"Đấu giá&gt; nhà, nội thất&gt; bếp, bộ đồ ăn&gt; bento nguồn cung cấp&gt; chứa dùng một lần, bộ đồ ăn")</f>
        <v>Đấu giá&gt; nhà, nội thất&gt; bếp, bộ đồ ăn&gt; bento nguồn cung cấp&gt; chứa dùng một lần, bộ đồ ăn</v>
      </c>
      <c r="G122" t="str">
        <f t="shared" ca="1" si="1"/>
        <v>"2084261194" : "thùng chứa dùng một lần, bộ đồ ăn",</v>
      </c>
    </row>
    <row r="123" spans="1:7" ht="14.25" customHeight="1">
      <c r="A123" s="2">
        <v>2084261193</v>
      </c>
      <c r="B123" s="2" t="s">
        <v>18562</v>
      </c>
      <c r="C123" s="2" t="s">
        <v>18564</v>
      </c>
      <c r="D123" s="2" t="s">
        <v>18565</v>
      </c>
      <c r="E123" s="4" t="str">
        <f ca="1">IFERROR(__xludf.DUMMYFUNCTION("GOOGLETRANSLATE(B140,""ja"",""vi"")"),"Pick, chén, tấm (balun)")</f>
        <v>Pick, chén, tấm (balun)</v>
      </c>
      <c r="F123" s="4" t="str">
        <f ca="1">IFERROR(__xludf.DUMMYFUNCTION("GOOGLETRANSLATE(C140,""ja"",""vi"")"),"Đấu giá&gt; nhà, nội thất&gt; bếp, bộ đồ ăn&gt; bento nguồn cung cấp&gt; chọn, chén, tấm (balun)")</f>
        <v>Đấu giá&gt; nhà, nội thất&gt; bếp, bộ đồ ăn&gt; bento nguồn cung cấp&gt; chọn, chén, tấm (balun)</v>
      </c>
      <c r="G123" t="str">
        <f t="shared" ca="1" si="1"/>
        <v>"2084261193" : "Pick, chén, tấm (balun)",</v>
      </c>
    </row>
    <row r="124" spans="1:7" ht="14.25" customHeight="1">
      <c r="A124" s="2">
        <v>2084261192</v>
      </c>
      <c r="B124" s="2" t="s">
        <v>18567</v>
      </c>
      <c r="C124" s="2" t="s">
        <v>18568</v>
      </c>
      <c r="D124" s="2" t="s">
        <v>18569</v>
      </c>
      <c r="E124" s="4" t="str">
        <f ca="1">IFERROR(__xludf.DUMMYFUNCTION("GOOGLETRANSLATE(B141,""ja"",""vi"")"),"Cắt chết, loại bóng gạo")</f>
        <v>Cắt chết, loại bóng gạo</v>
      </c>
      <c r="F124" s="4" t="str">
        <f ca="1">IFERROR(__xludf.DUMMYFUNCTION("GOOGLETRANSLATE(C141,""ja"",""vi"")"),"Đấu giá&gt; nhà, nội thất&gt; bếp, bộ đồ ăn&gt; bento nguồn cung cấp&gt; cắt chết, loại bóng gạo")</f>
        <v>Đấu giá&gt; nhà, nội thất&gt; bếp, bộ đồ ăn&gt; bento nguồn cung cấp&gt; cắt chết, loại bóng gạo</v>
      </c>
      <c r="G124" t="str">
        <f t="shared" ca="1" si="1"/>
        <v>"2084261192" : "Cắt chết, loại bóng gạo",</v>
      </c>
    </row>
    <row r="125" spans="1:7" ht="14.25" customHeight="1">
      <c r="A125" s="2">
        <v>2084005674</v>
      </c>
      <c r="B125" s="2" t="s">
        <v>18571</v>
      </c>
      <c r="C125" s="2" t="s">
        <v>18572</v>
      </c>
      <c r="D125" s="2" t="s">
        <v>18574</v>
      </c>
      <c r="E125" s="4" t="str">
        <f ca="1">IFERROR(__xludf.DUMMYFUNCTION("GOOGLETRANSLATE(B142,""ja"",""vi"")"),"Nest hộp")</f>
        <v>Nest hộp</v>
      </c>
      <c r="F125" s="4" t="str">
        <f ca="1">IFERROR(__xludf.DUMMYFUNCTION("GOOGLETRANSLATE(C142,""ja"",""vi"")"),"Đấu giá&gt; nhà, nội thất&gt; bếp, bộ đồ ăn&gt; bento nguồn cung cấp&gt; tổ hộp")</f>
        <v>Đấu giá&gt; nhà, nội thất&gt; bếp, bộ đồ ăn&gt; bento nguồn cung cấp&gt; tổ hộp</v>
      </c>
      <c r="G125" t="str">
        <f t="shared" ca="1" si="1"/>
        <v>"2084005674" : "Nest hộp",</v>
      </c>
    </row>
    <row r="126" spans="1:7" ht="14.25" customHeight="1">
      <c r="A126" s="2">
        <v>2084044978</v>
      </c>
      <c r="B126" s="2" t="s">
        <v>18576</v>
      </c>
      <c r="C126" s="2" t="s">
        <v>18577</v>
      </c>
      <c r="D126" s="2" t="s">
        <v>18578</v>
      </c>
      <c r="E126" s="4" t="str">
        <f ca="1">IFERROR(__xludf.DUMMYFUNCTION("GOOGLETRANSLATE(B143,""ja"",""vi"")"),"chai nước, chai")</f>
        <v>chai nước, chai</v>
      </c>
      <c r="F126" s="4" t="str">
        <f ca="1">IFERROR(__xludf.DUMMYFUNCTION("GOOGLETRANSLATE(C143,""ja"",""vi"")"),"Đấu giá&gt; nhà, nội thất&gt; bếp, bộ đồ ăn&gt; bento nguồn cung cấp&gt; chai nước, chai")</f>
        <v>Đấu giá&gt; nhà, nội thất&gt; bếp, bộ đồ ăn&gt; bento nguồn cung cấp&gt; chai nước, chai</v>
      </c>
      <c r="G126" t="str">
        <f t="shared" ca="1" si="1"/>
        <v>"2084044978" : "chai nước, chai",</v>
      </c>
    </row>
    <row r="127" spans="1:7" ht="14.25" customHeight="1">
      <c r="A127" s="2">
        <v>2084261195</v>
      </c>
      <c r="B127" s="2" t="s">
        <v>46</v>
      </c>
      <c r="C127" s="2" t="s">
        <v>18582</v>
      </c>
      <c r="D127" s="2" t="s">
        <v>18584</v>
      </c>
      <c r="E127" s="4" t="str">
        <f ca="1">IFERROR(__xludf.DUMMYFUNCTION("GOOGLETRANSLATE(B144,""ja"",""vi"")"),"nếu không thì")</f>
        <v>nếu không thì</v>
      </c>
      <c r="F127" s="4" t="str">
        <f ca="1">IFERROR(__xludf.DUMMYFUNCTION("GOOGLETRANSLATE(C144,""ja"",""vi"")"),"Đấu giá&gt; nhà, nội thất&gt; bếp, bộ đồ ăn&gt; bento nguồn cung cấp&gt; Khác")</f>
        <v>Đấu giá&gt; nhà, nội thất&gt; bếp, bộ đồ ăn&gt; bento nguồn cung cấp&gt; Khác</v>
      </c>
      <c r="G127" t="str">
        <f t="shared" ca="1" si="1"/>
        <v>"2084261195" : "nếu không thì",</v>
      </c>
    </row>
    <row r="128" spans="1:7" ht="14.25" customHeight="1">
      <c r="E128" s="4" t="str">
        <f ca="1">IFERROR(__xludf.DUMMYFUNCTION("GOOGLETRANSLATE(B145,""ja"",""vi"")"),"#VALUE!")</f>
        <v>#VALUE!</v>
      </c>
      <c r="F128" s="4" t="str">
        <f ca="1">IFERROR(__xludf.DUMMYFUNCTION("GOOGLETRANSLATE(C145,""ja"",""vi"")"),"#VALUE!")</f>
        <v>#VALUE!</v>
      </c>
      <c r="G128" t="str">
        <f t="shared" ca="1" si="1"/>
        <v>"" : "#VALUE!",</v>
      </c>
    </row>
    <row r="129" spans="1:7" ht="14.25" customHeight="1">
      <c r="A129" s="3">
        <v>2084005974</v>
      </c>
      <c r="B129" s="10"/>
      <c r="C129" s="10"/>
      <c r="D129" s="10"/>
      <c r="E129" s="4" t="str">
        <f ca="1">IFERROR(__xludf.DUMMYFUNCTION("GOOGLETRANSLATE(B146,""ja"",""vi"")"),"#VALUE!")</f>
        <v>#VALUE!</v>
      </c>
      <c r="F129" s="4" t="str">
        <f ca="1">IFERROR(__xludf.DUMMYFUNCTION("GOOGLETRANSLATE(C146,""ja"",""vi"")"),"#VALUE!")</f>
        <v>#VALUE!</v>
      </c>
      <c r="G129" t="str">
        <f t="shared" ca="1" si="1"/>
        <v>"2084005974" : "#VALUE!",</v>
      </c>
    </row>
    <row r="130" spans="1:7" ht="14.25" customHeight="1">
      <c r="A130" s="11">
        <v>20312</v>
      </c>
      <c r="B130" s="11" t="s">
        <v>18585</v>
      </c>
      <c r="C130" s="11" t="s">
        <v>18586</v>
      </c>
      <c r="D130" s="11" t="s">
        <v>18587</v>
      </c>
      <c r="E130" s="4" t="str">
        <f ca="1">IFERROR(__xludf.DUMMYFUNCTION("GOOGLETRANSLATE(B147,""ja"",""vi"")"),"Salt &amp; Pepper")</f>
        <v>Salt &amp; Pepper</v>
      </c>
      <c r="F130" s="4" t="str">
        <f ca="1">IFERROR(__xludf.DUMMYFUNCTION("GOOGLETRANSLATE(C147,""ja"",""vi"")"),"Đấu giá&gt; nhà, nội thất&gt; bếp, bộ đồ ăn&gt; thùng&gt; Salt &amp; Pepper")</f>
        <v>Đấu giá&gt; nhà, nội thất&gt; bếp, bộ đồ ăn&gt; thùng&gt; Salt &amp; Pepper</v>
      </c>
      <c r="G130" t="str">
        <f t="shared" ca="1" si="1"/>
        <v>"20312" : "Salt &amp; Pepper",</v>
      </c>
    </row>
    <row r="131" spans="1:7" ht="14.25" customHeight="1">
      <c r="A131" s="2">
        <v>2084015561</v>
      </c>
      <c r="B131" s="2" t="s">
        <v>18589</v>
      </c>
      <c r="C131" s="2" t="s">
        <v>18590</v>
      </c>
      <c r="D131" s="2" t="s">
        <v>18591</v>
      </c>
      <c r="E131" s="4" t="str">
        <f ca="1">IFERROR(__xludf.DUMMYFUNCTION("GOOGLETRANSLATE(B148,""ja"",""vi"")"),"chai Pasta")</f>
        <v>chai Pasta</v>
      </c>
      <c r="F131" s="4" t="str">
        <f ca="1">IFERROR(__xludf.DUMMYFUNCTION("GOOGLETRANSLATE(C148,""ja"",""vi"")"),"Đấu giá&gt; nhà, nội thất&gt; bếp, bộ đồ ăn&gt; thùng&gt; chai pasta")</f>
        <v>Đấu giá&gt; nhà, nội thất&gt; bếp, bộ đồ ăn&gt; thùng&gt; chai pasta</v>
      </c>
      <c r="G131" t="str">
        <f t="shared" ref="G131:G194" ca="1" si="2">CONCATENATE(CHAR(34)&amp;"",A131,""&amp;CHAR(34)," : ", CHAR(34)&amp;"",E131,""&amp;CHAR(34),",")</f>
        <v>"2084015561" : "chai Pasta",</v>
      </c>
    </row>
    <row r="132" spans="1:7" ht="14.25" customHeight="1">
      <c r="A132" s="2">
        <v>2084005674</v>
      </c>
      <c r="B132" s="2" t="s">
        <v>18571</v>
      </c>
      <c r="C132" s="2" t="s">
        <v>18593</v>
      </c>
      <c r="D132" s="2" t="s">
        <v>18594</v>
      </c>
      <c r="E132" s="4" t="str">
        <f ca="1">IFERROR(__xludf.DUMMYFUNCTION("GOOGLETRANSLATE(B149,""ja"",""vi"")"),"Nest hộp")</f>
        <v>Nest hộp</v>
      </c>
      <c r="F132" s="4" t="str">
        <f ca="1">IFERROR(__xludf.DUMMYFUNCTION("GOOGLETRANSLATE(C149,""ja"",""vi"")"),"Đấu giá&gt; nhà, nội thất&gt; bếp, bộ đồ ăn&gt; thùng&gt; tổ hộp")</f>
        <v>Đấu giá&gt; nhà, nội thất&gt; bếp, bộ đồ ăn&gt; thùng&gt; tổ hộp</v>
      </c>
      <c r="G132" t="str">
        <f t="shared" ca="1" si="2"/>
        <v>"2084005674" : "Nest hộp",</v>
      </c>
    </row>
    <row r="133" spans="1:7" ht="14.25" customHeight="1">
      <c r="A133" s="2">
        <v>2084044978</v>
      </c>
      <c r="B133" s="2" t="s">
        <v>18576</v>
      </c>
      <c r="C133" s="2" t="s">
        <v>18597</v>
      </c>
      <c r="D133" s="2" t="s">
        <v>18598</v>
      </c>
      <c r="E133" s="4" t="str">
        <f ca="1">IFERROR(__xludf.DUMMYFUNCTION("GOOGLETRANSLATE(B150,""ja"",""vi"")"),"chai nước, chai")</f>
        <v>chai nước, chai</v>
      </c>
      <c r="F133" s="4" t="str">
        <f ca="1">IFERROR(__xludf.DUMMYFUNCTION("GOOGLETRANSLATE(C150,""ja"",""vi"")"),"Đấu giá&gt; nhà, nội thất&gt; bếp, bộ đồ ăn&gt; thùng&gt; chai nước, chai")</f>
        <v>Đấu giá&gt; nhà, nội thất&gt; bếp, bộ đồ ăn&gt; thùng&gt; chai nước, chai</v>
      </c>
      <c r="G133" t="str">
        <f t="shared" ca="1" si="2"/>
        <v>"2084044978" : "chai nước, chai",</v>
      </c>
    </row>
    <row r="134" spans="1:7" ht="14.25" customHeight="1">
      <c r="A134" s="2">
        <v>2084015562</v>
      </c>
      <c r="B134" s="2" t="s">
        <v>18599</v>
      </c>
      <c r="C134" s="2" t="s">
        <v>18601</v>
      </c>
      <c r="D134" s="2" t="s">
        <v>18602</v>
      </c>
      <c r="E134" s="4" t="str">
        <f ca="1">IFERROR(__xludf.DUMMYFUNCTION("GOOGLETRANSLATE(B151,""ja"",""vi"")"),"chai")</f>
        <v>chai</v>
      </c>
      <c r="F134" s="4" t="str">
        <f ca="1">IFERROR(__xludf.DUMMYFUNCTION("GOOGLETRANSLATE(C151,""ja"",""vi"")"),"Đấu giá&gt; nhà, nội thất&gt; bếp, bộ đồ ăn&gt; thùng&gt; chai")</f>
        <v>Đấu giá&gt; nhà, nội thất&gt; bếp, bộ đồ ăn&gt; thùng&gt; chai</v>
      </c>
      <c r="G134" t="str">
        <f t="shared" ca="1" si="2"/>
        <v>"2084015562" : "chai",</v>
      </c>
    </row>
    <row r="135" spans="1:7" ht="14.25" customHeight="1">
      <c r="A135" s="2">
        <v>2084015560</v>
      </c>
      <c r="B135" s="2" t="s">
        <v>18605</v>
      </c>
      <c r="C135" s="2" t="s">
        <v>18606</v>
      </c>
      <c r="D135" s="2" t="s">
        <v>18607</v>
      </c>
      <c r="E135" s="4" t="str">
        <f ca="1">IFERROR(__xludf.DUMMYFUNCTION("GOOGLETRANSLATE(B152,""ja"",""vi"")"),"bin gạo")</f>
        <v>bin gạo</v>
      </c>
      <c r="F135" s="4" t="str">
        <f ca="1">IFERROR(__xludf.DUMMYFUNCTION("GOOGLETRANSLATE(C152,""ja"",""vi"")"),"Đấu giá&gt; nhà, nội thất&gt; bếp, bộ đồ ăn&gt; thùng&gt; bin gạo")</f>
        <v>Đấu giá&gt; nhà, nội thất&gt; bếp, bộ đồ ăn&gt; thùng&gt; bin gạo</v>
      </c>
      <c r="G135" t="str">
        <f t="shared" ca="1" si="2"/>
        <v>"2084015560" : "bin gạo",</v>
      </c>
    </row>
    <row r="136" spans="1:7" ht="14.25" customHeight="1">
      <c r="A136" s="2">
        <v>2084015558</v>
      </c>
      <c r="B136" s="2" t="s">
        <v>18609</v>
      </c>
      <c r="C136" s="2" t="s">
        <v>18611</v>
      </c>
      <c r="D136" s="2" t="s">
        <v>18612</v>
      </c>
      <c r="E136" s="4" t="str">
        <f ca="1">IFERROR(__xludf.DUMMYFUNCTION("GOOGLETRANSLATE(B153,""ja"",""vi"")"),"container lưu trữ")</f>
        <v>container lưu trữ</v>
      </c>
      <c r="F136" s="4" t="str">
        <f ca="1">IFERROR(__xludf.DUMMYFUNCTION("GOOGLETRANSLATE(C153,""ja"",""vi"")"),"Đấu giá&gt; nhà, nội thất&gt; bếp, bộ đồ ăn&gt; thùng&gt; chứa bảo quản")</f>
        <v>Đấu giá&gt; nhà, nội thất&gt; bếp, bộ đồ ăn&gt; thùng&gt; chứa bảo quản</v>
      </c>
      <c r="G136" t="str">
        <f t="shared" ca="1" si="2"/>
        <v>"2084015558" : "container lưu trữ",</v>
      </c>
    </row>
    <row r="137" spans="1:7" ht="14.25" customHeight="1">
      <c r="A137" s="2">
        <v>2084050526</v>
      </c>
      <c r="B137" s="2" t="s">
        <v>18614</v>
      </c>
      <c r="C137" s="2" t="s">
        <v>18615</v>
      </c>
      <c r="D137" s="2" t="s">
        <v>18616</v>
      </c>
      <c r="E137" s="4" t="str">
        <f ca="1">IFERROR(__xludf.DUMMYFUNCTION("GOOGLETRANSLATE(B154,""ja"",""vi"")"),"trong bao bì kín")</f>
        <v>trong bao bì kín</v>
      </c>
      <c r="F137" s="4" t="str">
        <f ca="1">IFERROR(__xludf.DUMMYFUNCTION("GOOGLETRANSLATE(C154,""ja"",""vi"")"),"Đấu giá&gt; nhà, nội thất&gt; bếp, bộ đồ ăn&gt; thùng&gt; trong bao bì kín")</f>
        <v>Đấu giá&gt; nhà, nội thất&gt; bếp, bộ đồ ăn&gt; thùng&gt; trong bao bì kín</v>
      </c>
      <c r="G137" t="str">
        <f t="shared" ca="1" si="2"/>
        <v>"2084050526" : "trong bao bì kín",</v>
      </c>
    </row>
    <row r="138" spans="1:7" ht="14.25" customHeight="1">
      <c r="A138" s="2">
        <v>2084015565</v>
      </c>
      <c r="B138" s="2" t="s">
        <v>46</v>
      </c>
      <c r="C138" s="2" t="s">
        <v>18618</v>
      </c>
      <c r="D138" s="2" t="s">
        <v>18620</v>
      </c>
      <c r="E138" s="4" t="str">
        <f ca="1">IFERROR(__xludf.DUMMYFUNCTION("GOOGLETRANSLATE(B155,""ja"",""vi"")"),"nếu không thì")</f>
        <v>nếu không thì</v>
      </c>
      <c r="F138" s="4" t="str">
        <f ca="1">IFERROR(__xludf.DUMMYFUNCTION("GOOGLETRANSLATE(C155,""ja"",""vi"")"),"Đấu giá&gt; nhà, nội thất&gt; bếp, bộ đồ ăn&gt; thùng&gt; Khác")</f>
        <v>Đấu giá&gt; nhà, nội thất&gt; bếp, bộ đồ ăn&gt; thùng&gt; Khác</v>
      </c>
      <c r="G138" t="str">
        <f t="shared" ca="1" si="2"/>
        <v>"2084015565" : "nếu không thì",</v>
      </c>
    </row>
    <row r="139" spans="1:7" ht="14.25" customHeight="1">
      <c r="E139" s="4" t="str">
        <f ca="1">IFERROR(__xludf.DUMMYFUNCTION("GOOGLETRANSLATE(B156,""ja"",""vi"")"),"#VALUE!")</f>
        <v>#VALUE!</v>
      </c>
      <c r="F139" s="4" t="str">
        <f ca="1">IFERROR(__xludf.DUMMYFUNCTION("GOOGLETRANSLATE(C156,""ja"",""vi"")"),"#VALUE!")</f>
        <v>#VALUE!</v>
      </c>
      <c r="G139" t="str">
        <f t="shared" ca="1" si="2"/>
        <v>"" : "#VALUE!",</v>
      </c>
    </row>
    <row r="140" spans="1:7" ht="14.25" customHeight="1">
      <c r="A140" s="3">
        <v>2084006704</v>
      </c>
      <c r="B140" s="10"/>
      <c r="C140" s="10"/>
      <c r="D140" s="10"/>
      <c r="E140" s="4" t="str">
        <f ca="1">IFERROR(__xludf.DUMMYFUNCTION("GOOGLETRANSLATE(B157,""ja"",""vi"")"),"#VALUE!")</f>
        <v>#VALUE!</v>
      </c>
      <c r="F140" s="4" t="str">
        <f ca="1">IFERROR(__xludf.DUMMYFUNCTION("GOOGLETRANSLATE(C157,""ja"",""vi"")"),"#VALUE!")</f>
        <v>#VALUE!</v>
      </c>
      <c r="G140" t="str">
        <f t="shared" ca="1" si="2"/>
        <v>"2084006704" : "#VALUE!",</v>
      </c>
    </row>
    <row r="141" spans="1:7" ht="14.25" customHeight="1">
      <c r="A141" s="11">
        <v>2084206882</v>
      </c>
      <c r="B141" s="11" t="s">
        <v>13003</v>
      </c>
      <c r="C141" s="11" t="s">
        <v>13005</v>
      </c>
      <c r="D141" s="11" t="s">
        <v>18624</v>
      </c>
      <c r="E141" s="4" t="str">
        <f ca="1">IFERROR(__xludf.DUMMYFUNCTION("GOOGLETRANSLATE(B158,""ja"",""vi"")"),"bóng đèn")</f>
        <v>bóng đèn</v>
      </c>
      <c r="F141" s="4" t="str">
        <f ca="1">IFERROR(__xludf.DUMMYFUNCTION("GOOGLETRANSLATE(C158,""ja"",""vi"")"),"Đấu giá&gt; hoa, làm vườn&gt; làm vườn&gt; bóng đèn")</f>
        <v>Đấu giá&gt; hoa, làm vườn&gt; làm vườn&gt; bóng đèn</v>
      </c>
      <c r="G141" t="str">
        <f t="shared" ca="1" si="2"/>
        <v>"2084206882" : "bóng đèn",</v>
      </c>
    </row>
    <row r="142" spans="1:7" ht="14.25" customHeight="1">
      <c r="A142" s="2">
        <v>2084206897</v>
      </c>
      <c r="B142" s="2" t="s">
        <v>12992</v>
      </c>
      <c r="C142" s="2" t="s">
        <v>13009</v>
      </c>
      <c r="D142" s="2" t="s">
        <v>18629</v>
      </c>
      <c r="E142" s="4" t="str">
        <f ca="1">IFERROR(__xludf.DUMMYFUNCTION("GOOGLETRANSLATE(B159,""ja"",""vi"")"),"cây giống")</f>
        <v>cây giống</v>
      </c>
      <c r="F142" s="4" t="str">
        <f ca="1">IFERROR(__xludf.DUMMYFUNCTION("GOOGLETRANSLATE(C159,""ja"",""vi"")"),"Đấu giá&gt; hoa, làm vườn&gt; làm vườn&gt; cây giống")</f>
        <v>Đấu giá&gt; hoa, làm vườn&gt; làm vườn&gt; cây giống</v>
      </c>
      <c r="G142" t="str">
        <f t="shared" ca="1" si="2"/>
        <v>"2084206897" : "cây giống",</v>
      </c>
    </row>
    <row r="143" spans="1:7" ht="14.25" customHeight="1">
      <c r="A143" s="2">
        <v>2084206921</v>
      </c>
      <c r="B143" s="2" t="s">
        <v>12974</v>
      </c>
      <c r="C143" s="2" t="s">
        <v>13013</v>
      </c>
      <c r="D143" s="2" t="s">
        <v>18633</v>
      </c>
      <c r="E143" s="4" t="str">
        <f ca="1">IFERROR(__xludf.DUMMYFUNCTION("GOOGLETRANSLATE(B160,""ja"",""vi"")"),"thuốc làm vườn")</f>
        <v>thuốc làm vườn</v>
      </c>
      <c r="F143" s="4" t="str">
        <f ca="1">IFERROR(__xludf.DUMMYFUNCTION("GOOGLETRANSLATE(C160,""ja"",""vi"")"),"Đấu giá&gt; hoa, làm vườn&gt; Làm vườn&gt; ma túy vườn")</f>
        <v>Đấu giá&gt; hoa, làm vườn&gt; Làm vườn&gt; ma túy vườn</v>
      </c>
      <c r="G143" t="str">
        <f t="shared" ca="1" si="2"/>
        <v>"2084206921" : "thuốc làm vườn",</v>
      </c>
    </row>
    <row r="144" spans="1:7" ht="14.25" customHeight="1">
      <c r="A144" s="2">
        <v>2084206923</v>
      </c>
      <c r="B144" s="2" t="s">
        <v>12988</v>
      </c>
      <c r="C144" s="2" t="s">
        <v>13017</v>
      </c>
      <c r="D144" s="2" t="s">
        <v>18636</v>
      </c>
      <c r="E144" s="4" t="str">
        <f ca="1">IFERROR(__xludf.DUMMYFUNCTION("GOOGLETRANSLATE(B161,""ja"",""vi"")"),"Phân bón, đất")</f>
        <v>Phân bón, đất</v>
      </c>
      <c r="F144" s="4" t="str">
        <f ca="1">IFERROR(__xludf.DUMMYFUNCTION("GOOGLETRANSLATE(C161,""ja"",""vi"")"),"Đấu giá&gt; hoa, làm vườn&gt; Làm vườn&gt; phân bón, đất")</f>
        <v>Đấu giá&gt; hoa, làm vườn&gt; Làm vườn&gt; phân bón, đất</v>
      </c>
      <c r="G144" t="str">
        <f t="shared" ca="1" si="2"/>
        <v>"2084206923" : "Phân bón, đất",</v>
      </c>
    </row>
    <row r="145" spans="1:7" ht="14.25" customHeight="1">
      <c r="A145" s="2">
        <v>2084206887</v>
      </c>
      <c r="B145" s="2" t="s">
        <v>12982</v>
      </c>
      <c r="C145" s="2" t="s">
        <v>13022</v>
      </c>
      <c r="D145" s="2" t="s">
        <v>18638</v>
      </c>
      <c r="E145" s="4" t="str">
        <f ca="1">IFERROR(__xludf.DUMMYFUNCTION("GOOGLETRANSLATE(B162,""ja"",""vi"")"),"loài")</f>
        <v>loài</v>
      </c>
      <c r="F145" s="4" t="str">
        <f ca="1">IFERROR(__xludf.DUMMYFUNCTION("GOOGLETRANSLATE(C162,""ja"",""vi"")"),"Đấu giá&gt; hoa, làm vườn&gt; làm vườn&gt; loại")</f>
        <v>Đấu giá&gt; hoa, làm vườn&gt; làm vườn&gt; loại</v>
      </c>
      <c r="G145" t="str">
        <f t="shared" ca="1" si="2"/>
        <v>"2084206887" : "loài",</v>
      </c>
    </row>
    <row r="146" spans="1:7" ht="14.25" customHeight="1">
      <c r="A146" s="2">
        <v>2084006717</v>
      </c>
      <c r="B146" s="2" t="s">
        <v>13027</v>
      </c>
      <c r="C146" s="2" t="s">
        <v>13028</v>
      </c>
      <c r="D146" s="2" t="s">
        <v>18639</v>
      </c>
      <c r="E146" s="4" t="str">
        <f ca="1">IFERROR(__xludf.DUMMYFUNCTION("GOOGLETRANSLATE(B163,""ja"",""vi"")"),"Kéo, cưa")</f>
        <v>Kéo, cưa</v>
      </c>
      <c r="F146" s="4" t="str">
        <f ca="1">IFERROR(__xludf.DUMMYFUNCTION("GOOGLETRANSLATE(C163,""ja"",""vi"")"),"Đấu giá&gt; hoa, làm vườn&gt; làm vườn&gt; kéo, cưa")</f>
        <v>Đấu giá&gt; hoa, làm vườn&gt; làm vườn&gt; kéo, cưa</v>
      </c>
      <c r="G146" t="str">
        <f t="shared" ca="1" si="2"/>
        <v>"2084006717" : "Kéo, cưa",</v>
      </c>
    </row>
    <row r="147" spans="1:7" ht="14.25" customHeight="1">
      <c r="A147" s="2">
        <v>2084006716</v>
      </c>
      <c r="B147" s="2" t="s">
        <v>13032</v>
      </c>
      <c r="C147" s="2" t="s">
        <v>13034</v>
      </c>
      <c r="D147" s="2" t="s">
        <v>18640</v>
      </c>
      <c r="E147" s="4" t="str">
        <f ca="1">IFERROR(__xludf.DUMMYFUNCTION("GOOGLETRANSLATE(B164,""ja"",""vi"")"),"Scoop, xẻng")</f>
        <v>Scoop, xẻng</v>
      </c>
      <c r="F147" s="4" t="str">
        <f ca="1">IFERROR(__xludf.DUMMYFUNCTION("GOOGLETRANSLATE(C164,""ja"",""vi"")"),"Đấu giá&gt; hoa, làm vườn&gt; làm vườn&gt; muỗng, xẻng")</f>
        <v>Đấu giá&gt; hoa, làm vườn&gt; làm vườn&gt; muỗng, xẻng</v>
      </c>
      <c r="G147" t="str">
        <f t="shared" ca="1" si="2"/>
        <v>"2084006716" : "Scoop, xẻng",</v>
      </c>
    </row>
    <row r="148" spans="1:7" ht="14.25" customHeight="1">
      <c r="A148" s="2">
        <v>2084006714</v>
      </c>
      <c r="B148" s="2" t="s">
        <v>46</v>
      </c>
      <c r="C148" s="2" t="s">
        <v>13037</v>
      </c>
      <c r="D148" s="2" t="s">
        <v>18641</v>
      </c>
      <c r="E148" s="4" t="str">
        <f ca="1">IFERROR(__xludf.DUMMYFUNCTION("GOOGLETRANSLATE(B165,""ja"",""vi"")"),"nếu không thì")</f>
        <v>nếu không thì</v>
      </c>
      <c r="F148" s="4" t="str">
        <f ca="1">IFERROR(__xludf.DUMMYFUNCTION("GOOGLETRANSLATE(C165,""ja"",""vi"")"),"Đấu giá&gt; hoa, làm vườn&gt; làm vườn&gt; Khác")</f>
        <v>Đấu giá&gt; hoa, làm vườn&gt; làm vườn&gt; Khác</v>
      </c>
      <c r="G148" t="str">
        <f t="shared" ca="1" si="2"/>
        <v>"2084006714" : "nếu không thì",</v>
      </c>
    </row>
    <row r="149" spans="1:7" ht="14.25" customHeight="1">
      <c r="E149" s="4" t="str">
        <f ca="1">IFERROR(__xludf.DUMMYFUNCTION("GOOGLETRANSLATE(B166,""ja"",""vi"")"),"#VALUE!")</f>
        <v>#VALUE!</v>
      </c>
      <c r="F149" s="4" t="str">
        <f ca="1">IFERROR(__xludf.DUMMYFUNCTION("GOOGLETRANSLATE(C166,""ja"",""vi"")"),"#VALUE!")</f>
        <v>#VALUE!</v>
      </c>
      <c r="G149" t="str">
        <f t="shared" ca="1" si="2"/>
        <v>"" : "#VALUE!",</v>
      </c>
    </row>
    <row r="150" spans="1:7" ht="14.25" customHeight="1">
      <c r="A150" s="3">
        <v>42168</v>
      </c>
      <c r="B150" s="10"/>
      <c r="C150" s="10"/>
      <c r="D150" s="10"/>
      <c r="E150" s="4" t="str">
        <f ca="1">IFERROR(__xludf.DUMMYFUNCTION("GOOGLETRANSLATE(B167,""ja"",""vi"")"),"#VALUE!")</f>
        <v>#VALUE!</v>
      </c>
      <c r="F150" s="4" t="str">
        <f ca="1">IFERROR(__xludf.DUMMYFUNCTION("GOOGLETRANSLATE(C167,""ja"",""vi"")"),"#VALUE!")</f>
        <v>#VALUE!</v>
      </c>
      <c r="G150" t="str">
        <f t="shared" ca="1" si="2"/>
        <v>"42168" : "#VALUE!",</v>
      </c>
    </row>
    <row r="151" spans="1:7" ht="14.25" customHeight="1">
      <c r="A151" s="11">
        <v>42173</v>
      </c>
      <c r="B151" s="11" t="s">
        <v>8322</v>
      </c>
      <c r="C151" s="11" t="s">
        <v>18642</v>
      </c>
      <c r="D151" s="11" t="s">
        <v>18643</v>
      </c>
      <c r="E151" s="4" t="str">
        <f ca="1">IFERROR(__xludf.DUMMYFUNCTION("GOOGLETRANSLATE(B168,""ja"",""vi"")"),"đồ dùng trên bàn")</f>
        <v>đồ dùng trên bàn</v>
      </c>
      <c r="F151" s="4" t="str">
        <f ca="1">IFERROR(__xludf.DUMMYFUNCTION("GOOGLETRANSLATE(C168,""ja"",""vi"")"),"Đấu giá&gt; nhà, nội thất&gt; bếp, bộ đồ ăn&gt; bộ đồ ăn")</f>
        <v>Đấu giá&gt; nhà, nội thất&gt; bếp, bộ đồ ăn&gt; bộ đồ ăn</v>
      </c>
      <c r="G151" t="str">
        <f t="shared" ca="1" si="2"/>
        <v>"42173" : "đồ dùng trên bàn",</v>
      </c>
    </row>
    <row r="152" spans="1:7" ht="14.25" customHeight="1">
      <c r="A152" s="2">
        <v>42174</v>
      </c>
      <c r="B152" s="2" t="s">
        <v>18644</v>
      </c>
      <c r="C152" s="2" t="s">
        <v>18645</v>
      </c>
      <c r="D152" s="2" t="s">
        <v>18646</v>
      </c>
      <c r="E152" s="4" t="str">
        <f ca="1">IFERROR(__xludf.DUMMYFUNCTION("GOOGLETRANSLATE(B169,""ja"",""vi"")"),"dao kéo")</f>
        <v>dao kéo</v>
      </c>
      <c r="F152" s="4" t="str">
        <f ca="1">IFERROR(__xludf.DUMMYFUNCTION("GOOGLETRANSLATE(C169,""ja"",""vi"")"),"Đấu giá&gt; nhà, nội thất&gt; bếp, bộ đồ ăn&gt; dao kéo")</f>
        <v>Đấu giá&gt; nhà, nội thất&gt; bếp, bộ đồ ăn&gt; dao kéo</v>
      </c>
      <c r="G152" t="str">
        <f t="shared" ca="1" si="2"/>
        <v>"42174" : "dao kéo",</v>
      </c>
    </row>
    <row r="153" spans="1:7" ht="14.25" customHeight="1">
      <c r="A153" s="2">
        <v>2084005661</v>
      </c>
      <c r="B153" s="2" t="s">
        <v>18647</v>
      </c>
      <c r="C153" s="2" t="s">
        <v>18648</v>
      </c>
      <c r="D153" s="2" t="s">
        <v>18649</v>
      </c>
      <c r="E153" s="4" t="str">
        <f ca="1">IFERROR(__xludf.DUMMYFUNCTION("GOOGLETRANSLATE(B170,""ja"",""vi"")"),"vải trải bàn")</f>
        <v>vải trải bàn</v>
      </c>
      <c r="F153" s="4" t="str">
        <f ca="1">IFERROR(__xludf.DUMMYFUNCTION("GOOGLETRANSLATE(C170,""ja"",""vi"")"),"Đấu giá&gt; nhà, nội thất&gt; bếp, bộ đồ ăn&gt; Khăn trải bàn")</f>
        <v>Đấu giá&gt; nhà, nội thất&gt; bếp, bộ đồ ăn&gt; Khăn trải bàn</v>
      </c>
      <c r="G153" t="str">
        <f t="shared" ca="1" si="2"/>
        <v>"2084005661" : "vải trải bàn",</v>
      </c>
    </row>
    <row r="154" spans="1:7" ht="14.25" customHeight="1">
      <c r="A154" s="2">
        <v>42170</v>
      </c>
      <c r="B154" s="2" t="s">
        <v>18650</v>
      </c>
      <c r="C154" s="2" t="s">
        <v>18651</v>
      </c>
      <c r="D154" s="2" t="s">
        <v>18652</v>
      </c>
      <c r="E154" s="4" t="str">
        <f ca="1">IFERROR(__xludf.DUMMYFUNCTION("GOOGLETRANSLATE(B171,""ja"",""vi"")"),"dụng cụ nhà bếp")</f>
        <v>dụng cụ nhà bếp</v>
      </c>
      <c r="F154" s="4" t="str">
        <f ca="1">IFERROR(__xludf.DUMMYFUNCTION("GOOGLETRANSLATE(C171,""ja"",""vi"")"),"Đấu giá&gt; nhà, nội thất&gt; bếp, bộ đồ ăn&gt; dụng cụ nấu")</f>
        <v>Đấu giá&gt; nhà, nội thất&gt; bếp, bộ đồ ăn&gt; dụng cụ nấu</v>
      </c>
      <c r="G154" t="str">
        <f t="shared" ca="1" si="2"/>
        <v>"42170" : "dụng cụ nhà bếp",</v>
      </c>
    </row>
    <row r="155" spans="1:7" ht="14.25" customHeight="1">
      <c r="A155" s="2">
        <v>2084061597</v>
      </c>
      <c r="B155" s="2" t="s">
        <v>5558</v>
      </c>
      <c r="C155" s="2" t="s">
        <v>18653</v>
      </c>
      <c r="D155" s="2" t="s">
        <v>18654</v>
      </c>
      <c r="E155" s="4" t="str">
        <f ca="1">IFERROR(__xludf.DUMMYFUNCTION("GOOGLETRANSLATE(B172,""ja"",""vi"")"),"máy nghiền đá")</f>
        <v>máy nghiền đá</v>
      </c>
      <c r="F155" s="4" t="str">
        <f ca="1">IFERROR(__xludf.DUMMYFUNCTION("GOOGLETRANSLATE(C172,""ja"",""vi"")"),"Đấu giá&gt; nhà, nội thất&gt; bếp, bộ đồ ăn&gt; máy nghiền đá")</f>
        <v>Đấu giá&gt; nhà, nội thất&gt; bếp, bộ đồ ăn&gt; máy nghiền đá</v>
      </c>
      <c r="G155" t="str">
        <f t="shared" ca="1" si="2"/>
        <v>"2084061597" : "máy nghiền đá",</v>
      </c>
    </row>
    <row r="156" spans="1:7" ht="14.25" customHeight="1">
      <c r="A156" s="2">
        <v>2084015574</v>
      </c>
      <c r="B156" s="2" t="s">
        <v>1685</v>
      </c>
      <c r="C156" s="2" t="s">
        <v>18655</v>
      </c>
      <c r="D156" s="2" t="s">
        <v>18656</v>
      </c>
      <c r="E156" s="4" t="str">
        <f ca="1">IFERROR(__xludf.DUMMYFUNCTION("GOOGLETRANSLATE(B173,""ja"",""vi"")"),"phụ kiện")</f>
        <v>phụ kiện</v>
      </c>
      <c r="F156" s="4" t="str">
        <f ca="1">IFERROR(__xludf.DUMMYFUNCTION("GOOGLETRANSLATE(C173,""ja"",""vi"")"),"Đấu giá&gt; nhà, nội thất&gt; bếp, bộ đồ ăn&gt; Phụ kiện")</f>
        <v>Đấu giá&gt; nhà, nội thất&gt; bếp, bộ đồ ăn&gt; Phụ kiện</v>
      </c>
      <c r="G156" t="str">
        <f t="shared" ca="1" si="2"/>
        <v>"2084015574" : "phụ kiện",</v>
      </c>
    </row>
    <row r="157" spans="1:7" ht="14.25" customHeight="1">
      <c r="A157" s="2">
        <v>2084044991</v>
      </c>
      <c r="B157" s="2" t="s">
        <v>18657</v>
      </c>
      <c r="C157" s="2" t="s">
        <v>18658</v>
      </c>
      <c r="D157" s="2" t="s">
        <v>18659</v>
      </c>
      <c r="E157" s="4" t="str">
        <f ca="1">IFERROR(__xludf.DUMMYFUNCTION("GOOGLETRANSLATE(B174,""ja"",""vi"")"),"rượu Hàng")</f>
        <v>rượu Hàng</v>
      </c>
      <c r="F157" s="4" t="str">
        <f ca="1">IFERROR(__xludf.DUMMYFUNCTION("GOOGLETRANSLATE(C174,""ja"",""vi"")"),"Đấu giá&gt; nhà, nội thất&gt; bếp, bộ đồ ăn&gt; hàng rượu")</f>
        <v>Đấu giá&gt; nhà, nội thất&gt; bếp, bộ đồ ăn&gt; hàng rượu</v>
      </c>
      <c r="G157" t="str">
        <f t="shared" ca="1" si="2"/>
        <v>"2084044991" : "rượu Hàng",</v>
      </c>
    </row>
    <row r="158" spans="1:7" ht="14.25" customHeight="1">
      <c r="A158" s="2">
        <v>2084018499</v>
      </c>
      <c r="B158" s="2" t="s">
        <v>15156</v>
      </c>
      <c r="C158" s="2" t="s">
        <v>18660</v>
      </c>
      <c r="D158" s="2" t="s">
        <v>18661</v>
      </c>
      <c r="E158" s="4" t="str">
        <f ca="1">IFERROR(__xludf.DUMMYFUNCTION("GOOGLETRANSLATE(B175,""ja"",""vi"")"),"khăn")</f>
        <v>khăn</v>
      </c>
      <c r="F158" s="4" t="str">
        <f ca="1">IFERROR(__xludf.DUMMYFUNCTION("GOOGLETRANSLATE(C175,""ja"",""vi"")"),"Đấu giá&gt; nhà, nội thất&gt; bếp, bộ đồ ăn&gt; tạp dề")</f>
        <v>Đấu giá&gt; nhà, nội thất&gt; bếp, bộ đồ ăn&gt; tạp dề</v>
      </c>
      <c r="G158" t="str">
        <f t="shared" ca="1" si="2"/>
        <v>"2084018499" : "khăn",</v>
      </c>
    </row>
    <row r="159" spans="1:7" ht="14.25" customHeight="1">
      <c r="A159" s="2">
        <v>2084061480</v>
      </c>
      <c r="B159" s="2" t="s">
        <v>18662</v>
      </c>
      <c r="C159" s="2" t="s">
        <v>18663</v>
      </c>
      <c r="D159" s="2" t="s">
        <v>18664</v>
      </c>
      <c r="E159" s="4" t="str">
        <f ca="1">IFERROR(__xludf.DUMMYFUNCTION("GOOGLETRANSLATE(B176,""ja"",""vi"")"),"bếp mat")</f>
        <v>bếp mat</v>
      </c>
      <c r="F159" s="4" t="str">
        <f ca="1">IFERROR(__xludf.DUMMYFUNCTION("GOOGLETRANSLATE(C176,""ja"",""vi"")"),"Đấu giá&gt; nhà, nội thất&gt; bếp, bộ đồ ăn&gt; mat bếp")</f>
        <v>Đấu giá&gt; nhà, nội thất&gt; bếp, bộ đồ ăn&gt; mat bếp</v>
      </c>
      <c r="G159" t="str">
        <f t="shared" ca="1" si="2"/>
        <v>"2084061480" : "bếp mat",</v>
      </c>
    </row>
    <row r="160" spans="1:7" ht="14.25" customHeight="1">
      <c r="A160" s="2">
        <v>2084044977</v>
      </c>
      <c r="B160" s="2" t="s">
        <v>18665</v>
      </c>
      <c r="C160" s="2" t="s">
        <v>18666</v>
      </c>
      <c r="D160" s="2" t="s">
        <v>18667</v>
      </c>
      <c r="E160" s="4" t="str">
        <f ca="1">IFERROR(__xludf.DUMMYFUNCTION("GOOGLETRANSLATE(B177,""ja"",""vi"")"),"Cooler hộp, túi lạnh")</f>
        <v>Cooler hộp, túi lạnh</v>
      </c>
      <c r="F160" s="4" t="str">
        <f ca="1">IFERROR(__xludf.DUMMYFUNCTION("GOOGLETRANSLATE(C177,""ja"",""vi"")"),"Đấu giá&gt; nhà, nội thất&gt; bếp, bộ đồ ăn&gt; mát hộp, túi lạnh")</f>
        <v>Đấu giá&gt; nhà, nội thất&gt; bếp, bộ đồ ăn&gt; mát hộp, túi lạnh</v>
      </c>
      <c r="G160" t="str">
        <f t="shared" ca="1" si="2"/>
        <v>"2084044977" : "Cooler hộp, túi lạnh",</v>
      </c>
    </row>
    <row r="161" spans="1:7" ht="14.25" customHeight="1">
      <c r="A161" s="2">
        <v>2084054097</v>
      </c>
      <c r="B161" s="2" t="s">
        <v>18668</v>
      </c>
      <c r="C161" s="2" t="s">
        <v>18669</v>
      </c>
      <c r="D161" s="2" t="s">
        <v>18670</v>
      </c>
      <c r="E161" s="4" t="str">
        <f ca="1">IFERROR(__xludf.DUMMYFUNCTION("GOOGLETRANSLATE(B178,""ja"",""vi"")"),"cối xay cà phê")</f>
        <v>cối xay cà phê</v>
      </c>
      <c r="F161" s="4" t="str">
        <f ca="1">IFERROR(__xludf.DUMMYFUNCTION("GOOGLETRANSLATE(C178,""ja"",""vi"")"),"Đấu giá&gt; nhà, nội thất&gt; bếp, bộ đồ ăn&gt; cối xay cà phê")</f>
        <v>Đấu giá&gt; nhà, nội thất&gt; bếp, bộ đồ ăn&gt; cối xay cà phê</v>
      </c>
      <c r="G161" t="str">
        <f t="shared" ca="1" si="2"/>
        <v>"2084054097" : "cối xay cà phê",</v>
      </c>
    </row>
    <row r="162" spans="1:7" ht="14.25" customHeight="1">
      <c r="A162" s="2">
        <v>2084258414</v>
      </c>
      <c r="B162" s="2" t="s">
        <v>5603</v>
      </c>
      <c r="C162" s="2" t="s">
        <v>18674</v>
      </c>
      <c r="D162" s="2" t="s">
        <v>18675</v>
      </c>
      <c r="E162" s="4" t="str">
        <f ca="1">IFERROR(__xludf.DUMMYFUNCTION("GOOGLETRANSLATE(B179,""ja"",""vi"")"),"thiết bị cung cấp nước nóng")</f>
        <v>thiết bị cung cấp nước nóng</v>
      </c>
      <c r="F162" s="4" t="str">
        <f ca="1">IFERROR(__xludf.DUMMYFUNCTION("GOOGLETRANSLATE(C179,""ja"",""vi"")"),"Đấu giá&gt; nhà, nội thất&gt; bếp, bộ đồ ăn&gt; thiết bị cung cấp nước nóng")</f>
        <v>Đấu giá&gt; nhà, nội thất&gt; bếp, bộ đồ ăn&gt; thiết bị cung cấp nước nóng</v>
      </c>
      <c r="G162" t="str">
        <f t="shared" ca="1" si="2"/>
        <v>"2084258414" : "thiết bị cung cấp nước nóng",</v>
      </c>
    </row>
    <row r="163" spans="1:7" ht="14.25" customHeight="1">
      <c r="A163" s="2">
        <v>2084015566</v>
      </c>
      <c r="B163" s="2" t="s">
        <v>18678</v>
      </c>
      <c r="C163" s="2" t="s">
        <v>18680</v>
      </c>
      <c r="D163" s="2" t="s">
        <v>18681</v>
      </c>
      <c r="E163" s="4" t="str">
        <f ca="1">IFERROR(__xludf.DUMMYFUNCTION("GOOGLETRANSLATE(B180,""ja"",""vi"")"),"Lưu trữ, phụ kiện nhà bếp")</f>
        <v>Lưu trữ, phụ kiện nhà bếp</v>
      </c>
      <c r="F163" s="4" t="str">
        <f ca="1">IFERROR(__xludf.DUMMYFUNCTION("GOOGLETRANSLATE(C180,""ja"",""vi"")"),"Đấu giá&gt; nhà, nội thất&gt; bếp, bộ đồ ăn&gt; lưu trữ, nhà bếp hàng linh tinh")</f>
        <v>Đấu giá&gt; nhà, nội thất&gt; bếp, bộ đồ ăn&gt; lưu trữ, nhà bếp hàng linh tinh</v>
      </c>
      <c r="G163" t="str">
        <f t="shared" ca="1" si="2"/>
        <v>"2084015566" : "Lưu trữ, phụ kiện nhà bếp",</v>
      </c>
    </row>
    <row r="164" spans="1:7" ht="14.25" customHeight="1">
      <c r="A164" s="2">
        <v>2084006902</v>
      </c>
      <c r="B164" s="2" t="s">
        <v>18685</v>
      </c>
      <c r="C164" s="2" t="s">
        <v>18686</v>
      </c>
      <c r="D164" s="2" t="s">
        <v>18687</v>
      </c>
      <c r="E164" s="4" t="str">
        <f ca="1">IFERROR(__xludf.DUMMYFUNCTION("GOOGLETRANSLATE(B181,""ja"",""vi"")"),"lọc nước")</f>
        <v>lọc nước</v>
      </c>
      <c r="F164" s="4" t="str">
        <f ca="1">IFERROR(__xludf.DUMMYFUNCTION("GOOGLETRANSLATE(C181,""ja"",""vi"")"),"Đấu giá&gt; nhà, nội thất&gt; bếp, bộ đồ ăn&gt; lọc nước")</f>
        <v>Đấu giá&gt; nhà, nội thất&gt; bếp, bộ đồ ăn&gt; lọc nước</v>
      </c>
      <c r="G164" t="str">
        <f t="shared" ca="1" si="2"/>
        <v>"2084006902" : "lọc nước",</v>
      </c>
    </row>
    <row r="165" spans="1:7" ht="14.25" customHeight="1">
      <c r="A165" s="2">
        <v>2084008364</v>
      </c>
      <c r="B165" s="2" t="s">
        <v>18017</v>
      </c>
      <c r="C165" s="2" t="s">
        <v>18688</v>
      </c>
      <c r="D165" s="2" t="s">
        <v>18689</v>
      </c>
      <c r="E165" s="4" t="str">
        <f ca="1">IFERROR(__xludf.DUMMYFUNCTION("GOOGLETRANSLATE(B182,""ja"",""vi"")"),"thiết bị điện")</f>
        <v>thiết bị điện</v>
      </c>
      <c r="F165" s="4" t="str">
        <f ca="1">IFERROR(__xludf.DUMMYFUNCTION("GOOGLETRANSLATE(C182,""ja"",""vi"")"),"Đấu giá&gt; nhà, nội thất&gt; bếp, bộ đồ ăn&gt; thiết bị")</f>
        <v>Đấu giá&gt; nhà, nội thất&gt; bếp, bộ đồ ăn&gt; thiết bị</v>
      </c>
      <c r="G165" t="str">
        <f t="shared" ca="1" si="2"/>
        <v>"2084008364" : "thiết bị điện",</v>
      </c>
    </row>
    <row r="166" spans="1:7" ht="14.25" customHeight="1">
      <c r="A166" s="2">
        <v>2084015563</v>
      </c>
      <c r="B166" s="2" t="s">
        <v>18690</v>
      </c>
      <c r="C166" s="2" t="s">
        <v>18691</v>
      </c>
      <c r="D166" s="2" t="s">
        <v>18692</v>
      </c>
      <c r="E166" s="4" t="str">
        <f ca="1">IFERROR(__xludf.DUMMYFUNCTION("GOOGLETRANSLATE(B183,""ja"",""vi"")"),"nguồn cung cấp bữa ăn trưa")</f>
        <v>nguồn cung cấp bữa ăn trưa</v>
      </c>
      <c r="F166" s="4" t="str">
        <f ca="1">IFERROR(__xludf.DUMMYFUNCTION("GOOGLETRANSLATE(C183,""ja"",""vi"")"),"Đấu giá&gt; nhà, nội thất&gt; bếp, bộ đồ ăn&gt; bento nguồn cung cấp")</f>
        <v>Đấu giá&gt; nhà, nội thất&gt; bếp, bộ đồ ăn&gt; bento nguồn cung cấp</v>
      </c>
      <c r="G166" t="str">
        <f t="shared" ca="1" si="2"/>
        <v>"2084015563" : "nguồn cung cấp bữa ăn trưa",</v>
      </c>
    </row>
    <row r="167" spans="1:7" ht="14.25" customHeight="1">
      <c r="A167" s="2">
        <v>2084005974</v>
      </c>
      <c r="B167" s="2" t="s">
        <v>18694</v>
      </c>
      <c r="C167" s="2" t="s">
        <v>18695</v>
      </c>
      <c r="D167" s="2" t="s">
        <v>18697</v>
      </c>
      <c r="E167" s="4" t="str">
        <f ca="1">IFERROR(__xludf.DUMMYFUNCTION("GOOGLETRANSLATE(B184,""ja"",""vi"")"),"thùng chứa")</f>
        <v>thùng chứa</v>
      </c>
      <c r="F167" s="4" t="str">
        <f ca="1">IFERROR(__xludf.DUMMYFUNCTION("GOOGLETRANSLATE(C184,""ja"",""vi"")"),"Đấu giá&gt; nhà, nội thất&gt; bếp, bộ đồ ăn&gt; chứa")</f>
        <v>Đấu giá&gt; nhà, nội thất&gt; bếp, bộ đồ ăn&gt; chứa</v>
      </c>
      <c r="G167" t="str">
        <f t="shared" ca="1" si="2"/>
        <v>"2084005974" : "thùng chứa",</v>
      </c>
    </row>
    <row r="168" spans="1:7" ht="14.25" customHeight="1">
      <c r="A168" s="2">
        <v>42172</v>
      </c>
      <c r="B168" s="2" t="s">
        <v>46</v>
      </c>
      <c r="C168" s="2" t="s">
        <v>18702</v>
      </c>
      <c r="D168" s="2" t="s">
        <v>18704</v>
      </c>
      <c r="E168" s="4" t="str">
        <f ca="1">IFERROR(__xludf.DUMMYFUNCTION("GOOGLETRANSLATE(B185,""ja"",""vi"")"),"nếu không thì")</f>
        <v>nếu không thì</v>
      </c>
      <c r="F168" s="4" t="str">
        <f ca="1">IFERROR(__xludf.DUMMYFUNCTION("GOOGLETRANSLATE(C185,""ja"",""vi"")"),"Đấu giá&gt; nhà, nội thất&gt; bếp, bộ đồ ăn&gt; Khác")</f>
        <v>Đấu giá&gt; nhà, nội thất&gt; bếp, bộ đồ ăn&gt; Khác</v>
      </c>
      <c r="G168" t="str">
        <f t="shared" ca="1" si="2"/>
        <v>"42172" : "nếu không thì",</v>
      </c>
    </row>
    <row r="169" spans="1:7" ht="14.25" customHeight="1">
      <c r="E169" s="4" t="str">
        <f ca="1">IFERROR(__xludf.DUMMYFUNCTION("GOOGLETRANSLATE(B186,""ja"",""vi"")"),"#VALUE!")</f>
        <v>#VALUE!</v>
      </c>
      <c r="F169" s="4" t="str">
        <f ca="1">IFERROR(__xludf.DUMMYFUNCTION("GOOGLETRANSLATE(C186,""ja"",""vi"")"),"#VALUE!")</f>
        <v>#VALUE!</v>
      </c>
      <c r="G169" t="str">
        <f t="shared" ca="1" si="2"/>
        <v>"" : "#VALUE!",</v>
      </c>
    </row>
    <row r="170" spans="1:7" ht="14.25" customHeight="1">
      <c r="A170" s="3">
        <v>2084006324</v>
      </c>
      <c r="B170" s="10"/>
      <c r="C170" s="10"/>
      <c r="D170" s="10"/>
      <c r="E170" s="4" t="str">
        <f ca="1">IFERROR(__xludf.DUMMYFUNCTION("GOOGLETRANSLATE(B187,""ja"",""vi"")"),"#VALUE!")</f>
        <v>#VALUE!</v>
      </c>
      <c r="F170" s="4" t="str">
        <f ca="1">IFERROR(__xludf.DUMMYFUNCTION("GOOGLETRANSLATE(C187,""ja"",""vi"")"),"#VALUE!")</f>
        <v>#VALUE!</v>
      </c>
      <c r="G170" t="str">
        <f t="shared" ca="1" si="2"/>
        <v>"2084006324" : "#VALUE!",</v>
      </c>
    </row>
    <row r="171" spans="1:7" ht="14.25" customHeight="1">
      <c r="A171" s="11">
        <v>2084012462</v>
      </c>
      <c r="B171" s="11" t="s">
        <v>16689</v>
      </c>
      <c r="C171" s="11" t="s">
        <v>18708</v>
      </c>
      <c r="D171" s="11" t="s">
        <v>18709</v>
      </c>
      <c r="E171" s="4" t="str">
        <f ca="1">IFERROR(__xludf.DUMMYFUNCTION("GOOGLETRANSLATE(B188,""ja"",""vi"")"),"khăn tay")</f>
        <v>khăn tay</v>
      </c>
      <c r="F171" s="4" t="str">
        <f ca="1">IFERROR(__xludf.DUMMYFUNCTION("GOOGLETRANSLATE(C188,""ja"",""vi"")"),"Đấu giá&gt; nhà, nội thất&gt; đồ gia dụng&gt; khăn&gt; khăn tay")</f>
        <v>Đấu giá&gt; nhà, nội thất&gt; đồ gia dụng&gt; khăn&gt; khăn tay</v>
      </c>
      <c r="G171" t="str">
        <f t="shared" ca="1" si="2"/>
        <v>"2084012462" : "khăn tay",</v>
      </c>
    </row>
    <row r="172" spans="1:7" ht="14.25" customHeight="1">
      <c r="A172" s="2">
        <v>2084006329</v>
      </c>
      <c r="B172" s="2" t="s">
        <v>13469</v>
      </c>
      <c r="C172" s="2" t="s">
        <v>18713</v>
      </c>
      <c r="D172" s="2" t="s">
        <v>18714</v>
      </c>
      <c r="E172" s="4" t="str">
        <f ca="1">IFERROR(__xludf.DUMMYFUNCTION("GOOGLETRANSLATE(B189,""ja"",""vi"")"),"khăn tay")</f>
        <v>khăn tay</v>
      </c>
      <c r="F172" s="4" t="str">
        <f ca="1">IFERROR(__xludf.DUMMYFUNCTION("GOOGLETRANSLATE(C189,""ja"",""vi"")"),"Đấu giá&gt; nhà, nội thất&gt; đồ gia dụng&gt; khăn&gt; tay khăn")</f>
        <v>Đấu giá&gt; nhà, nội thất&gt; đồ gia dụng&gt; khăn&gt; tay khăn</v>
      </c>
      <c r="G172" t="str">
        <f t="shared" ca="1" si="2"/>
        <v>"2084006329" : "khăn tay",</v>
      </c>
    </row>
    <row r="173" spans="1:7" ht="14.25" customHeight="1">
      <c r="A173" s="2">
        <v>2084006328</v>
      </c>
      <c r="B173" s="2" t="s">
        <v>18718</v>
      </c>
      <c r="C173" s="2" t="s">
        <v>18719</v>
      </c>
      <c r="D173" s="2" t="s">
        <v>18720</v>
      </c>
      <c r="E173" s="4" t="str">
        <f ca="1">IFERROR(__xludf.DUMMYFUNCTION("GOOGLETRANSLATE(B190,""ja"",""vi"")"),"khăn mặt")</f>
        <v>khăn mặt</v>
      </c>
      <c r="F173" s="4" t="str">
        <f ca="1">IFERROR(__xludf.DUMMYFUNCTION("GOOGLETRANSLATE(C190,""ja"",""vi"")"),"Đấu giá&gt; nhà, nội thất&gt; đồ gia dụng&gt; khăn&gt; khăn tắm")</f>
        <v>Đấu giá&gt; nhà, nội thất&gt; đồ gia dụng&gt; khăn&gt; khăn tắm</v>
      </c>
      <c r="G173" t="str">
        <f t="shared" ca="1" si="2"/>
        <v>"2084006328" : "khăn mặt",</v>
      </c>
    </row>
    <row r="174" spans="1:7" ht="14.25" customHeight="1">
      <c r="A174" s="2">
        <v>2084006330</v>
      </c>
      <c r="B174" s="2" t="s">
        <v>13479</v>
      </c>
      <c r="C174" s="2" t="s">
        <v>18724</v>
      </c>
      <c r="D174" s="2" t="s">
        <v>18725</v>
      </c>
      <c r="E174" s="4" t="str">
        <f ca="1">IFERROR(__xludf.DUMMYFUNCTION("GOOGLETRANSLATE(B191,""ja"",""vi"")"),"Khăn mặt")</f>
        <v>Khăn mặt</v>
      </c>
      <c r="F174" s="4" t="str">
        <f ca="1">IFERROR(__xludf.DUMMYFUNCTION("GOOGLETRANSLATE(C191,""ja"",""vi"")"),"Đấu giá&gt; nhà, nội thất&gt; đồ gia dụng&gt; khăn&gt; khăn mặt")</f>
        <v>Đấu giá&gt; nhà, nội thất&gt; đồ gia dụng&gt; khăn&gt; khăn mặt</v>
      </c>
      <c r="G174" t="str">
        <f t="shared" ca="1" si="2"/>
        <v>"2084006330" : "Khăn mặt",</v>
      </c>
    </row>
    <row r="175" spans="1:7" ht="14.25" customHeight="1">
      <c r="A175" s="2">
        <v>2084006326</v>
      </c>
      <c r="B175" s="2" t="s">
        <v>17010</v>
      </c>
      <c r="C175" s="2" t="s">
        <v>18729</v>
      </c>
      <c r="D175" s="2" t="s">
        <v>18730</v>
      </c>
      <c r="E175" s="4" t="str">
        <f ca="1">IFERROR(__xludf.DUMMYFUNCTION("GOOGLETRANSLATE(B192,""ja"",""vi"")"),"đứa bé")</f>
        <v>đứa bé</v>
      </c>
      <c r="F175" s="4" t="str">
        <f ca="1">IFERROR(__xludf.DUMMYFUNCTION("GOOGLETRANSLATE(C192,""ja"",""vi"")"),"Đấu giá&gt; nhà, nội thất&gt; đồ gia dụng&gt; khăn&gt; Baby")</f>
        <v>Đấu giá&gt; nhà, nội thất&gt; đồ gia dụng&gt; khăn&gt; Baby</v>
      </c>
      <c r="G175" t="str">
        <f t="shared" ca="1" si="2"/>
        <v>"2084006326" : "đứa bé",</v>
      </c>
    </row>
    <row r="176" spans="1:7" ht="14.25" customHeight="1">
      <c r="A176" s="2">
        <v>2084006325</v>
      </c>
      <c r="B176" s="2" t="s">
        <v>9298</v>
      </c>
      <c r="C176" s="2" t="s">
        <v>18733</v>
      </c>
      <c r="D176" s="2" t="s">
        <v>18734</v>
      </c>
      <c r="E176" s="4" t="str">
        <f ca="1">IFERROR(__xludf.DUMMYFUNCTION("GOOGLETRANSLATE(B193,""ja"",""vi"")"),"Đối với trẻ em")</f>
        <v>Đối với trẻ em</v>
      </c>
      <c r="F176" s="4" t="str">
        <f ca="1">IFERROR(__xludf.DUMMYFUNCTION("GOOGLETRANSLATE(C193,""ja"",""vi"")"),"Đấu giá&gt; nhà, nội thất&gt; đồ gia dụng&gt; khăn&gt; cho trẻ em")</f>
        <v>Đấu giá&gt; nhà, nội thất&gt; đồ gia dụng&gt; khăn&gt; cho trẻ em</v>
      </c>
      <c r="G176" t="str">
        <f t="shared" ca="1" si="2"/>
        <v>"2084006325" : "Đối với trẻ em",</v>
      </c>
    </row>
    <row r="177" spans="1:7" ht="14.25" customHeight="1">
      <c r="A177" s="2">
        <v>2084006327</v>
      </c>
      <c r="B177" s="2" t="s">
        <v>46</v>
      </c>
      <c r="C177" s="2" t="s">
        <v>18736</v>
      </c>
      <c r="D177" s="2" t="s">
        <v>18737</v>
      </c>
      <c r="E177" s="4" t="str">
        <f ca="1">IFERROR(__xludf.DUMMYFUNCTION("GOOGLETRANSLATE(B194,""ja"",""vi"")"),"nếu không thì")</f>
        <v>nếu không thì</v>
      </c>
      <c r="F177" s="4" t="str">
        <f ca="1">IFERROR(__xludf.DUMMYFUNCTION("GOOGLETRANSLATE(C194,""ja"",""vi"")"),"Đấu giá&gt; nhà, nội thất&gt; đồ gia dụng&gt; khăn&gt; Khác")</f>
        <v>Đấu giá&gt; nhà, nội thất&gt; đồ gia dụng&gt; khăn&gt; Khác</v>
      </c>
      <c r="G177" t="str">
        <f t="shared" ca="1" si="2"/>
        <v>"2084006327" : "nếu không thì",</v>
      </c>
    </row>
    <row r="178" spans="1:7" ht="14.25" customHeight="1">
      <c r="E178" s="4" t="str">
        <f ca="1">IFERROR(__xludf.DUMMYFUNCTION("GOOGLETRANSLATE(B195,""ja"",""vi"")"),"#VALUE!")</f>
        <v>#VALUE!</v>
      </c>
      <c r="F178" s="4" t="str">
        <f ca="1">IFERROR(__xludf.DUMMYFUNCTION("GOOGLETRANSLATE(C195,""ja"",""vi"")"),"#VALUE!")</f>
        <v>#VALUE!</v>
      </c>
      <c r="G178" t="str">
        <f t="shared" ca="1" si="2"/>
        <v>"" : "#VALUE!",</v>
      </c>
    </row>
    <row r="179" spans="1:7" ht="14.25" customHeight="1">
      <c r="A179" s="3">
        <v>2084024460</v>
      </c>
      <c r="B179" s="10"/>
      <c r="C179" s="10"/>
      <c r="D179" s="10"/>
      <c r="E179" s="4" t="str">
        <f ca="1">IFERROR(__xludf.DUMMYFUNCTION("GOOGLETRANSLATE(B196,""ja"",""vi"")"),"#VALUE!")</f>
        <v>#VALUE!</v>
      </c>
      <c r="F179" s="4" t="str">
        <f ca="1">IFERROR(__xludf.DUMMYFUNCTION("GOOGLETRANSLATE(C196,""ja"",""vi"")"),"#VALUE!")</f>
        <v>#VALUE!</v>
      </c>
      <c r="G179" t="str">
        <f t="shared" ca="1" si="2"/>
        <v>"2084024460" : "#VALUE!",</v>
      </c>
    </row>
    <row r="180" spans="1:7" ht="14.25" customHeight="1">
      <c r="A180" s="11">
        <v>2084024464</v>
      </c>
      <c r="B180" s="11" t="s">
        <v>18741</v>
      </c>
      <c r="C180" s="11" t="s">
        <v>18742</v>
      </c>
      <c r="D180" s="11" t="s">
        <v>18743</v>
      </c>
      <c r="E180" s="4" t="str">
        <f ca="1">IFERROR(__xludf.DUMMYFUNCTION("GOOGLETRANSLATE(B197,""ja"",""vi"")"),"Toilet bìa, mat")</f>
        <v>Toilet bìa, mat</v>
      </c>
      <c r="F180" s="4" t="str">
        <f ca="1">IFERROR(__xludf.DUMMYFUNCTION("GOOGLETRANSLATE(C197,""ja"",""vi"")"),"Đấu giá&gt; nhà, nội thất&gt; đồ gia dụng&gt; toilet&gt; bìa toilet, mat")</f>
        <v>Đấu giá&gt; nhà, nội thất&gt; đồ gia dụng&gt; toilet&gt; bìa toilet, mat</v>
      </c>
      <c r="G180" t="str">
        <f t="shared" ca="1" si="2"/>
        <v>"2084024464" : "Toilet bìa, mat",</v>
      </c>
    </row>
    <row r="181" spans="1:7" ht="14.25" customHeight="1">
      <c r="A181" s="2">
        <v>2084288022</v>
      </c>
      <c r="B181" s="2" t="s">
        <v>18748</v>
      </c>
      <c r="C181" s="2" t="s">
        <v>18750</v>
      </c>
      <c r="D181" s="2" t="s">
        <v>18752</v>
      </c>
      <c r="E181" s="4" t="str">
        <f ca="1">IFERROR(__xludf.DUMMYFUNCTION("GOOGLETRANSLATE(B198,""ja"",""vi"")"),"giấy vệ sinh")</f>
        <v>giấy vệ sinh</v>
      </c>
      <c r="F181" s="4" t="str">
        <f ca="1">IFERROR(__xludf.DUMMYFUNCTION("GOOGLETRANSLATE(C198,""ja"",""vi"")"),"Đấu giá&gt; nhà, nội thất&gt; đồ gia dụng&gt; toilet&gt; giấy vệ sinh")</f>
        <v>Đấu giá&gt; nhà, nội thất&gt; đồ gia dụng&gt; toilet&gt; giấy vệ sinh</v>
      </c>
      <c r="G181" t="str">
        <f t="shared" ca="1" si="2"/>
        <v>"2084288022" : "giấy vệ sinh",</v>
      </c>
    </row>
    <row r="182" spans="1:7" ht="14.25" customHeight="1">
      <c r="A182" s="2">
        <v>2084061517</v>
      </c>
      <c r="B182" s="2" t="s">
        <v>18753</v>
      </c>
      <c r="C182" s="2" t="s">
        <v>18754</v>
      </c>
      <c r="D182" s="2" t="s">
        <v>18756</v>
      </c>
      <c r="E182" s="4" t="str">
        <f ca="1">IFERROR(__xludf.DUMMYFUNCTION("GOOGLETRANSLATE(B199,""ja"",""vi"")"),"bàn chải nhà vệ sinh")</f>
        <v>bàn chải nhà vệ sinh</v>
      </c>
      <c r="F182" s="4" t="str">
        <f ca="1">IFERROR(__xludf.DUMMYFUNCTION("GOOGLETRANSLATE(C199,""ja"",""vi"")"),"Đấu giá&gt; nhà, nội thất&gt; đồ gia dụng&gt; toilet&gt; bàn chải nhà vệ sinh")</f>
        <v>Đấu giá&gt; nhà, nội thất&gt; đồ gia dụng&gt; toilet&gt; bàn chải nhà vệ sinh</v>
      </c>
      <c r="G182" t="str">
        <f t="shared" ca="1" si="2"/>
        <v>"2084061517" : "bàn chải nhà vệ sinh",</v>
      </c>
    </row>
    <row r="183" spans="1:7" ht="14.25" customHeight="1">
      <c r="A183" s="2">
        <v>2084288021</v>
      </c>
      <c r="B183" s="2" t="s">
        <v>18758</v>
      </c>
      <c r="C183" s="2" t="s">
        <v>18759</v>
      </c>
      <c r="D183" s="2" t="s">
        <v>18761</v>
      </c>
      <c r="E183" s="4" t="str">
        <f ca="1">IFERROR(__xludf.DUMMYFUNCTION("GOOGLETRANSLATE(B200,""ja"",""vi"")"),"giá nhà vệ sinh")</f>
        <v>giá nhà vệ sinh</v>
      </c>
      <c r="F183" s="4" t="str">
        <f ca="1">IFERROR(__xludf.DUMMYFUNCTION("GOOGLETRANSLATE(C200,""ja"",""vi"")"),"Đấu giá&gt; nhà, nội thất&gt; đồ gia dụng&gt; toilet&gt; giá nhà vệ sinh")</f>
        <v>Đấu giá&gt; nhà, nội thất&gt; đồ gia dụng&gt; toilet&gt; giá nhà vệ sinh</v>
      </c>
      <c r="G183" t="str">
        <f t="shared" ca="1" si="2"/>
        <v>"2084288021" : "giá nhà vệ sinh",</v>
      </c>
    </row>
    <row r="184" spans="1:7" ht="14.25" customHeight="1">
      <c r="A184" s="2">
        <v>2084288020</v>
      </c>
      <c r="B184" s="2" t="s">
        <v>18765</v>
      </c>
      <c r="C184" s="2" t="s">
        <v>18766</v>
      </c>
      <c r="D184" s="2" t="s">
        <v>18767</v>
      </c>
      <c r="E184" s="4" t="str">
        <f ca="1">IFERROR(__xludf.DUMMYFUNCTION("GOOGLETRANSLATE(B201,""ja"",""vi"")"),"giữ giấy")</f>
        <v>giữ giấy</v>
      </c>
      <c r="F184" s="4" t="str">
        <f ca="1">IFERROR(__xludf.DUMMYFUNCTION("GOOGLETRANSLATE(C201,""ja"",""vi"")"),"Đấu giá&gt; nhà, nội thất&gt; đồ gia dụng&gt; toilet&gt; giữ giấy")</f>
        <v>Đấu giá&gt; nhà, nội thất&gt; đồ gia dụng&gt; toilet&gt; giữ giấy</v>
      </c>
      <c r="G184" t="str">
        <f t="shared" ca="1" si="2"/>
        <v>"2084288020" : "giữ giấy",</v>
      </c>
    </row>
    <row r="185" spans="1:7" ht="14.25" customHeight="1">
      <c r="A185" s="2">
        <v>2084061447</v>
      </c>
      <c r="B185" s="2" t="s">
        <v>18772</v>
      </c>
      <c r="C185" s="2" t="s">
        <v>18773</v>
      </c>
      <c r="D185" s="2" t="s">
        <v>18775</v>
      </c>
      <c r="E185" s="4" t="str">
        <f ca="1">IFERROR(__xludf.DUMMYFUNCTION("GOOGLETRANSLATE(B202,""ja"",""vi"")"),"nơi để tiểu")</f>
        <v>nơi để tiểu</v>
      </c>
      <c r="F185" s="4" t="str">
        <f ca="1">IFERROR(__xludf.DUMMYFUNCTION("GOOGLETRANSLATE(C202,""ja"",""vi"")"),"Đấu giá&gt; nhà, nội thất&gt; đồ gia dụng&gt; toilet&gt; nhà vệ sinh")</f>
        <v>Đấu giá&gt; nhà, nội thất&gt; đồ gia dụng&gt; toilet&gt; nhà vệ sinh</v>
      </c>
      <c r="G185" t="str">
        <f t="shared" ca="1" si="2"/>
        <v>"2084061447" : "nơi để tiểu",</v>
      </c>
    </row>
    <row r="186" spans="1:7" ht="14.25" customHeight="1">
      <c r="A186" s="2">
        <v>2084061446</v>
      </c>
      <c r="B186" s="2" t="s">
        <v>18777</v>
      </c>
      <c r="C186" s="2" t="s">
        <v>18778</v>
      </c>
      <c r="D186" s="2" t="s">
        <v>18780</v>
      </c>
      <c r="E186" s="4" t="str">
        <f ca="1">IFERROR(__xludf.DUMMYFUNCTION("GOOGLETRANSLATE(B203,""ja"",""vi"")"),"ghế toilet")</f>
        <v>ghế toilet</v>
      </c>
      <c r="F186" s="4" t="str">
        <f ca="1">IFERROR(__xludf.DUMMYFUNCTION("GOOGLETRANSLATE(C203,""ja"",""vi"")"),"Đấu giá&gt; nhà, nội thất&gt; đồ gia dụng&gt; toilet&gt; ghế toilet")</f>
        <v>Đấu giá&gt; nhà, nội thất&gt; đồ gia dụng&gt; toilet&gt; ghế toilet</v>
      </c>
      <c r="G186" t="str">
        <f t="shared" ca="1" si="2"/>
        <v>"2084061446" : "ghế toilet",</v>
      </c>
    </row>
    <row r="187" spans="1:7" ht="14.25" customHeight="1">
      <c r="A187" s="2">
        <v>2084024453</v>
      </c>
      <c r="B187" s="2" t="s">
        <v>18784</v>
      </c>
      <c r="C187" s="2" t="s">
        <v>18785</v>
      </c>
      <c r="D187" s="2" t="s">
        <v>18787</v>
      </c>
      <c r="E187" s="4" t="str">
        <f ca="1">IFERROR(__xludf.DUMMYFUNCTION("GOOGLETRANSLATE(B204,""ja"",""vi"")"),"Xà phòng, xà phòng")</f>
        <v>Xà phòng, xà phòng</v>
      </c>
      <c r="F187" s="4" t="str">
        <f ca="1">IFERROR(__xludf.DUMMYFUNCTION("GOOGLETRANSLATE(C204,""ja"",""vi"")"),"Đấu giá&gt; nhà, nội thất&gt; đồ gia dụng&gt; toilet&gt; xà phòng, xà phòng")</f>
        <v>Đấu giá&gt; nhà, nội thất&gt; đồ gia dụng&gt; toilet&gt; xà phòng, xà phòng</v>
      </c>
      <c r="G187" t="str">
        <f t="shared" ca="1" si="2"/>
        <v>"2084024453" : "Xà phòng, xà phòng",</v>
      </c>
    </row>
    <row r="188" spans="1:7" ht="14.25" customHeight="1">
      <c r="A188" s="2">
        <v>2084220352</v>
      </c>
      <c r="B188" s="2" t="s">
        <v>18790</v>
      </c>
      <c r="C188" s="2" t="s">
        <v>18795</v>
      </c>
      <c r="D188" s="2" t="s">
        <v>18796</v>
      </c>
      <c r="E188" s="4" t="str">
        <f ca="1">IFERROR(__xludf.DUMMYFUNCTION("GOOGLETRANSLATE(B205,""ja"",""vi"")"),"di toilet")</f>
        <v>di toilet</v>
      </c>
      <c r="F188" s="4" t="str">
        <f ca="1">IFERROR(__xludf.DUMMYFUNCTION("GOOGLETRANSLATE(C205,""ja"",""vi"")"),"Đấu giá&gt; nhà, nội thất&gt; đồ gia dụng&gt; toilet&gt; nhà vệ sinh di động")</f>
        <v>Đấu giá&gt; nhà, nội thất&gt; đồ gia dụng&gt; toilet&gt; nhà vệ sinh di động</v>
      </c>
      <c r="G188" t="str">
        <f t="shared" ca="1" si="2"/>
        <v>"2084220352" : "di toilet",</v>
      </c>
    </row>
    <row r="189" spans="1:7" ht="14.25" customHeight="1">
      <c r="A189" s="2">
        <v>2084024427</v>
      </c>
      <c r="B189" s="2" t="s">
        <v>16953</v>
      </c>
      <c r="C189" s="2" t="s">
        <v>18804</v>
      </c>
      <c r="D189" s="2" t="s">
        <v>18805</v>
      </c>
      <c r="E189" s="4" t="str">
        <f ca="1">IFERROR(__xludf.DUMMYFUNCTION("GOOGLETRANSLATE(B206,""ja"",""vi"")"),"Hương Thơm")</f>
        <v>Hương Thơm</v>
      </c>
      <c r="F189" s="4" t="str">
        <f ca="1">IFERROR(__xludf.DUMMYFUNCTION("GOOGLETRANSLATE(C206,""ja"",""vi"")"),"Đấu giá&gt; nhà, nội thất&gt; đồ gia dụng&gt; toilet&gt; nước hoa")</f>
        <v>Đấu giá&gt; nhà, nội thất&gt; đồ gia dụng&gt; toilet&gt; nước hoa</v>
      </c>
      <c r="G189" t="str">
        <f t="shared" ca="1" si="2"/>
        <v>"2084024427" : "Hương Thơm",</v>
      </c>
    </row>
    <row r="190" spans="1:7" ht="14.25" customHeight="1">
      <c r="A190" s="2">
        <v>2084024463</v>
      </c>
      <c r="B190" s="2" t="s">
        <v>46</v>
      </c>
      <c r="C190" s="2" t="s">
        <v>18810</v>
      </c>
      <c r="D190" s="2" t="s">
        <v>18811</v>
      </c>
      <c r="E190" s="4" t="str">
        <f ca="1">IFERROR(__xludf.DUMMYFUNCTION("GOOGLETRANSLATE(B207,""ja"",""vi"")"),"nếu không thì")</f>
        <v>nếu không thì</v>
      </c>
      <c r="F190" s="4" t="str">
        <f ca="1">IFERROR(__xludf.DUMMYFUNCTION("GOOGLETRANSLATE(C207,""ja"",""vi"")"),"Đấu giá&gt; nhà, nội thất&gt; đồ gia dụng&gt; nhà vệ sinh&gt; Khác")</f>
        <v>Đấu giá&gt; nhà, nội thất&gt; đồ gia dụng&gt; nhà vệ sinh&gt; Khác</v>
      </c>
      <c r="G190" t="str">
        <f t="shared" ca="1" si="2"/>
        <v>"2084024463" : "nếu không thì",</v>
      </c>
    </row>
    <row r="191" spans="1:7" ht="14.25" customHeight="1">
      <c r="E191" s="4" t="str">
        <f ca="1">IFERROR(__xludf.DUMMYFUNCTION("GOOGLETRANSLATE(B208,""ja"",""vi"")"),"#VALUE!")</f>
        <v>#VALUE!</v>
      </c>
      <c r="F191" s="4" t="str">
        <f ca="1">IFERROR(__xludf.DUMMYFUNCTION("GOOGLETRANSLATE(C208,""ja"",""vi"")"),"#VALUE!")</f>
        <v>#VALUE!</v>
      </c>
      <c r="G191" t="str">
        <f t="shared" ca="1" si="2"/>
        <v>"" : "#VALUE!",</v>
      </c>
    </row>
    <row r="192" spans="1:7" ht="14.25" customHeight="1">
      <c r="A192" s="3">
        <v>2084061604</v>
      </c>
      <c r="B192" s="10"/>
      <c r="C192" s="10"/>
      <c r="D192" s="10"/>
      <c r="E192" s="4" t="str">
        <f ca="1">IFERROR(__xludf.DUMMYFUNCTION("GOOGLETRANSLATE(B209,""ja"",""vi"")"),"#VALUE!")</f>
        <v>#VALUE!</v>
      </c>
      <c r="F192" s="4" t="str">
        <f ca="1">IFERROR(__xludf.DUMMYFUNCTION("GOOGLETRANSLATE(C209,""ja"",""vi"")"),"#VALUE!")</f>
        <v>#VALUE!</v>
      </c>
      <c r="G192" t="str">
        <f t="shared" ca="1" si="2"/>
        <v>"2084061604" : "#VALUE!",</v>
      </c>
    </row>
    <row r="193" spans="1:7" ht="14.25" customHeight="1">
      <c r="A193" s="11">
        <v>2084061605</v>
      </c>
      <c r="B193" s="11" t="s">
        <v>2241</v>
      </c>
      <c r="C193" s="11" t="s">
        <v>18819</v>
      </c>
      <c r="D193" s="11" t="s">
        <v>18820</v>
      </c>
      <c r="E193" s="4" t="str">
        <f ca="1">IFERROR(__xludf.DUMMYFUNCTION("GOOGLETRANSLATE(B210,""ja"",""vi"")"),"chung")</f>
        <v>chung</v>
      </c>
      <c r="F193" s="4" t="str">
        <f ca="1">IFERROR(__xludf.DUMMYFUNCTION("GOOGLETRANSLATE(C210,""ja"",""vi"")"),"Đấu giá&gt; nhà, nội thất&gt; đồ gia dụng&gt; móc&gt; General")</f>
        <v>Đấu giá&gt; nhà, nội thất&gt; đồ gia dụng&gt; móc&gt; General</v>
      </c>
      <c r="G193" t="str">
        <f t="shared" ca="1" si="2"/>
        <v>"2084061605" : "chung",</v>
      </c>
    </row>
    <row r="194" spans="1:7" ht="14.25" customHeight="1">
      <c r="A194" s="2">
        <v>2084061606</v>
      </c>
      <c r="B194" s="2" t="s">
        <v>18826</v>
      </c>
      <c r="C194" s="2" t="s">
        <v>18827</v>
      </c>
      <c r="D194" s="2" t="s">
        <v>18828</v>
      </c>
      <c r="E194" s="4" t="str">
        <f ca="1">IFERROR(__xludf.DUMMYFUNCTION("GOOGLETRANSLATE(B211,""ja"",""vi"")"),"Váy, quần")</f>
        <v>Váy, quần</v>
      </c>
      <c r="F194" s="4" t="str">
        <f ca="1">IFERROR(__xludf.DUMMYFUNCTION("GOOGLETRANSLATE(C211,""ja"",""vi"")"),"Đấu giá&gt; nhà, nội thất&gt; đồ gia dụng&gt; móc&gt; váy, quần")</f>
        <v>Đấu giá&gt; nhà, nội thất&gt; đồ gia dụng&gt; móc&gt; váy, quần</v>
      </c>
      <c r="G194" t="str">
        <f t="shared" ca="1" si="2"/>
        <v>"2084061606" : "Váy, quần",</v>
      </c>
    </row>
    <row r="195" spans="1:7" ht="14.25" customHeight="1">
      <c r="A195" s="2">
        <v>2084048864</v>
      </c>
      <c r="B195" s="2" t="s">
        <v>18831</v>
      </c>
      <c r="C195" s="2" t="s">
        <v>18834</v>
      </c>
      <c r="D195" s="2" t="s">
        <v>18836</v>
      </c>
      <c r="E195" s="4" t="str">
        <f ca="1">IFERROR(__xludf.DUMMYFUNCTION("GOOGLETRANSLATE(B212,""ja"",""vi"")"),"Đối với kimono")</f>
        <v>Đối với kimono</v>
      </c>
      <c r="F195" s="4" t="str">
        <f ca="1">IFERROR(__xludf.DUMMYFUNCTION("GOOGLETRANSLATE(C212,""ja"",""vi"")"),"Đấu giá&gt; nhà, nội thất&gt; đồ gia dụng&gt; móc&gt; cho kimono")</f>
        <v>Đấu giá&gt; nhà, nội thất&gt; đồ gia dụng&gt; móc&gt; cho kimono</v>
      </c>
      <c r="G195" t="str">
        <f t="shared" ref="G195:G258" ca="1" si="3">CONCATENATE(CHAR(34)&amp;"",A195,""&amp;CHAR(34)," : ", CHAR(34)&amp;"",E195,""&amp;CHAR(34),",")</f>
        <v>"2084048864" : "Đối với kimono",</v>
      </c>
    </row>
    <row r="196" spans="1:7" ht="14.25" customHeight="1">
      <c r="A196" s="2">
        <v>2084024432</v>
      </c>
      <c r="B196" s="2" t="s">
        <v>18844</v>
      </c>
      <c r="C196" s="2" t="s">
        <v>18845</v>
      </c>
      <c r="D196" s="2" t="s">
        <v>18846</v>
      </c>
      <c r="E196" s="4" t="str">
        <f ca="1">IFERROR(__xludf.DUMMYFUNCTION("GOOGLETRANSLATE(B213,""ja"",""vi"")"),"Đối rửa")</f>
        <v>Đối rửa</v>
      </c>
      <c r="F196" s="4" t="str">
        <f ca="1">IFERROR(__xludf.DUMMYFUNCTION("GOOGLETRANSLATE(C213,""ja"",""vi"")"),"Đấu giá&gt; nhà, nội thất&gt; đồ gia dụng&gt; móc&gt; để rửa")</f>
        <v>Đấu giá&gt; nhà, nội thất&gt; đồ gia dụng&gt; móc&gt; để rửa</v>
      </c>
      <c r="G196" t="str">
        <f t="shared" ca="1" si="3"/>
        <v>"2084024432" : "Đối rửa",</v>
      </c>
    </row>
    <row r="197" spans="1:7" ht="14.25" customHeight="1">
      <c r="A197" s="2">
        <v>2084061609</v>
      </c>
      <c r="B197" s="2" t="s">
        <v>18851</v>
      </c>
      <c r="C197" s="2" t="s">
        <v>18852</v>
      </c>
      <c r="D197" s="2" t="s">
        <v>18853</v>
      </c>
      <c r="E197" s="4" t="str">
        <f ca="1">IFERROR(__xludf.DUMMYFUNCTION("GOOGLETRANSLATE(B214,""ja"",""vi"")"),"hanger giá")</f>
        <v>hanger giá</v>
      </c>
      <c r="F197" s="4" t="str">
        <f ca="1">IFERROR(__xludf.DUMMYFUNCTION("GOOGLETRANSLATE(C214,""ja"",""vi"")"),"Đấu giá&gt; nhà, nội thất&gt; đồ gia dụng&gt; móc&gt; treo giá đỡ")</f>
        <v>Đấu giá&gt; nhà, nội thất&gt; đồ gia dụng&gt; móc&gt; treo giá đỡ</v>
      </c>
      <c r="G197" t="str">
        <f t="shared" ca="1" si="3"/>
        <v>"2084061609" : "hanger giá",</v>
      </c>
    </row>
    <row r="198" spans="1:7" ht="14.25" customHeight="1">
      <c r="E198" s="4" t="str">
        <f ca="1">IFERROR(__xludf.DUMMYFUNCTION("GOOGLETRANSLATE(B215,""ja"",""vi"")"),"#VALUE!")</f>
        <v>#VALUE!</v>
      </c>
      <c r="F198" s="4" t="str">
        <f ca="1">IFERROR(__xludf.DUMMYFUNCTION("GOOGLETRANSLATE(C215,""ja"",""vi"")"),"#VALUE!")</f>
        <v>#VALUE!</v>
      </c>
      <c r="G198" t="str">
        <f t="shared" ca="1" si="3"/>
        <v>"" : "#VALUE!",</v>
      </c>
    </row>
    <row r="199" spans="1:7" ht="14.25" customHeight="1">
      <c r="A199" s="3">
        <v>2084024451</v>
      </c>
      <c r="B199" s="10"/>
      <c r="C199" s="10"/>
      <c r="D199" s="10"/>
      <c r="E199" s="4" t="str">
        <f ca="1">IFERROR(__xludf.DUMMYFUNCTION("GOOGLETRANSLATE(B216,""ja"",""vi"")"),"#VALUE!")</f>
        <v>#VALUE!</v>
      </c>
      <c r="F199" s="4" t="str">
        <f ca="1">IFERROR(__xludf.DUMMYFUNCTION("GOOGLETRANSLATE(C216,""ja"",""vi"")"),"#VALUE!")</f>
        <v>#VALUE!</v>
      </c>
      <c r="G199" t="str">
        <f t="shared" ca="1" si="3"/>
        <v>"2084024451" : "#VALUE!",</v>
      </c>
    </row>
    <row r="200" spans="1:7" ht="14.25" customHeight="1">
      <c r="A200" s="11">
        <v>2084024453</v>
      </c>
      <c r="B200" s="11" t="s">
        <v>18784</v>
      </c>
      <c r="C200" s="11" t="s">
        <v>18858</v>
      </c>
      <c r="D200" s="11" t="s">
        <v>18860</v>
      </c>
      <c r="E200" s="4" t="str">
        <f ca="1">IFERROR(__xludf.DUMMYFUNCTION("GOOGLETRANSLATE(B217,""ja"",""vi"")"),"Xà phòng, xà phòng")</f>
        <v>Xà phòng, xà phòng</v>
      </c>
      <c r="F200" s="4" t="str">
        <f ca="1">IFERROR(__xludf.DUMMYFUNCTION("GOOGLETRANSLATE(C217,""ja"",""vi"")"),"Đấu giá&gt; nhà, nội thất&gt; đồ gia dụng&gt; tắm&gt; xà phòng, xà phòng")</f>
        <v>Đấu giá&gt; nhà, nội thất&gt; đồ gia dụng&gt; tắm&gt; xà phòng, xà phòng</v>
      </c>
      <c r="G200" t="str">
        <f t="shared" ca="1" si="3"/>
        <v>"2084024453" : "Xà phòng, xà phòng",</v>
      </c>
    </row>
    <row r="201" spans="1:7" ht="14.25" customHeight="1">
      <c r="A201" s="2">
        <v>2084063534</v>
      </c>
      <c r="B201" s="2" t="s">
        <v>18862</v>
      </c>
      <c r="C201" s="2" t="s">
        <v>18864</v>
      </c>
      <c r="D201" s="2" t="s">
        <v>18866</v>
      </c>
      <c r="E201" s="4" t="str">
        <f ca="1">IFERROR(__xludf.DUMMYFUNCTION("GOOGLETRANSLATE(B218,""ja"",""vi"")"),"đầu vòi hoa sen")</f>
        <v>đầu vòi hoa sen</v>
      </c>
      <c r="F201" s="4" t="str">
        <f ca="1">IFERROR(__xludf.DUMMYFUNCTION("GOOGLETRANSLATE(C218,""ja"",""vi"")"),"Đấu giá&gt; nhà, nội thất&gt; hàng gia dụng&gt; xe buýt&gt; vòi sen đứng đầu")</f>
        <v>Đấu giá&gt; nhà, nội thất&gt; hàng gia dụng&gt; xe buýt&gt; vòi sen đứng đầu</v>
      </c>
      <c r="G201" t="str">
        <f t="shared" ca="1" si="3"/>
        <v>"2084063534" : "đầu vòi hoa sen",</v>
      </c>
    </row>
    <row r="202" spans="1:7" ht="14.25" customHeight="1">
      <c r="A202" s="2">
        <v>2084063535</v>
      </c>
      <c r="B202" s="2" t="s">
        <v>18869</v>
      </c>
      <c r="C202" s="2" t="s">
        <v>18872</v>
      </c>
      <c r="D202" s="2" t="s">
        <v>18873</v>
      </c>
      <c r="E202" s="4" t="str">
        <f ca="1">IFERROR(__xludf.DUMMYFUNCTION("GOOGLETRANSLATE(B219,""ja"",""vi"")"),"lọc nước vòi hoa sen")</f>
        <v>lọc nước vòi hoa sen</v>
      </c>
      <c r="F202" s="4" t="str">
        <f ca="1">IFERROR(__xludf.DUMMYFUNCTION("GOOGLETRANSLATE(C219,""ja"",""vi"")"),"Đấu giá&gt; nhà, nội thất&gt; hàng gia dụng&gt; xe buýt&gt; lọc nước tắm")</f>
        <v>Đấu giá&gt; nhà, nội thất&gt; hàng gia dụng&gt; xe buýt&gt; lọc nước tắm</v>
      </c>
      <c r="G202" t="str">
        <f t="shared" ca="1" si="3"/>
        <v>"2084063535" : "lọc nước vòi hoa sen",</v>
      </c>
    </row>
    <row r="203" spans="1:7" ht="14.25" customHeight="1">
      <c r="A203" s="2">
        <v>2084007432</v>
      </c>
      <c r="B203" s="2" t="s">
        <v>16159</v>
      </c>
      <c r="C203" s="2" t="s">
        <v>18874</v>
      </c>
      <c r="D203" s="2" t="s">
        <v>18875</v>
      </c>
      <c r="E203" s="4" t="str">
        <f ca="1">IFERROR(__xludf.DUMMYFUNCTION("GOOGLETRANSLATE(B220,""ja"",""vi"")"),"dầu gội đầu")</f>
        <v>dầu gội đầu</v>
      </c>
      <c r="F203" s="4" t="str">
        <f ca="1">IFERROR(__xludf.DUMMYFUNCTION("GOOGLETRANSLATE(C220,""ja"",""vi"")"),"Đấu giá&gt; nhà, nội thất&gt; hàng gia dụng&gt; xe buýt&gt; dầu gội đầu")</f>
        <v>Đấu giá&gt; nhà, nội thất&gt; hàng gia dụng&gt; xe buýt&gt; dầu gội đầu</v>
      </c>
      <c r="G203" t="str">
        <f t="shared" ca="1" si="3"/>
        <v>"2084007432" : "dầu gội đầu",</v>
      </c>
    </row>
    <row r="204" spans="1:7" ht="14.25" customHeight="1">
      <c r="A204" s="2">
        <v>2084288024</v>
      </c>
      <c r="B204" s="2" t="s">
        <v>18879</v>
      </c>
      <c r="C204" s="2" t="s">
        <v>18880</v>
      </c>
      <c r="D204" s="2" t="s">
        <v>18881</v>
      </c>
      <c r="E204" s="4" t="str">
        <f ca="1">IFERROR(__xludf.DUMMYFUNCTION("GOOGLETRANSLATE(B221,""ja"",""vi"")"),"Khăn hơn, khăn treo")</f>
        <v>Khăn hơn, khăn treo</v>
      </c>
      <c r="F204" s="4" t="str">
        <f ca="1">IFERROR(__xludf.DUMMYFUNCTION("GOOGLETRANSLATE(C221,""ja"",""vi"")"),"Đấu giá&gt; nhà, nội thất&gt; trong khoảng thời gian hàng gia dụng&gt; xe buýt&gt; khăn, khăn treo")</f>
        <v>Đấu giá&gt; nhà, nội thất&gt; trong khoảng thời gian hàng gia dụng&gt; xe buýt&gt; khăn, khăn treo</v>
      </c>
      <c r="G204" t="str">
        <f t="shared" ca="1" si="3"/>
        <v>"2084288024" : "Khăn hơn, khăn treo",</v>
      </c>
    </row>
    <row r="205" spans="1:7" ht="14.25" customHeight="1">
      <c r="A205" s="2">
        <v>2084007434</v>
      </c>
      <c r="B205" s="2" t="s">
        <v>18885</v>
      </c>
      <c r="C205" s="2" t="s">
        <v>18886</v>
      </c>
      <c r="D205" s="2" t="s">
        <v>18887</v>
      </c>
      <c r="E205" s="4" t="str">
        <f ca="1">IFERROR(__xludf.DUMMYFUNCTION("GOOGLETRANSLATE(B222,""ja"",""vi"")"),"điều trị")</f>
        <v>điều trị</v>
      </c>
      <c r="F205" s="4" t="str">
        <f ca="1">IFERROR(__xludf.DUMMYFUNCTION("GOOGLETRANSLATE(C222,""ja"",""vi"")"),"Đấu giá&gt; nhà, nội thất&gt; hàng gia dụng&gt; xe buýt&gt; Xử lý")</f>
        <v>Đấu giá&gt; nhà, nội thất&gt; hàng gia dụng&gt; xe buýt&gt; Xử lý</v>
      </c>
      <c r="G205" t="str">
        <f t="shared" ca="1" si="3"/>
        <v>"2084007434" : "điều trị",</v>
      </c>
    </row>
    <row r="206" spans="1:7" ht="14.25" customHeight="1">
      <c r="A206" s="2">
        <v>2084024454</v>
      </c>
      <c r="B206" s="2" t="s">
        <v>18892</v>
      </c>
      <c r="C206" s="2" t="s">
        <v>18893</v>
      </c>
      <c r="D206" s="2" t="s">
        <v>18895</v>
      </c>
      <c r="E206" s="4" t="str">
        <f ca="1">IFERROR(__xludf.DUMMYFUNCTION("GOOGLETRANSLATE(B223,""ja"",""vi"")"),"Bath mat")</f>
        <v>Bath mat</v>
      </c>
      <c r="F206" s="4" t="str">
        <f ca="1">IFERROR(__xludf.DUMMYFUNCTION("GOOGLETRANSLATE(C223,""ja"",""vi"")"),"Đấu giá&gt; nhà, nội thất&gt; đồ gia dụng&gt; tắm&gt; tắm mat")</f>
        <v>Đấu giá&gt; nhà, nội thất&gt; đồ gia dụng&gt; tắm&gt; tắm mat</v>
      </c>
      <c r="G206" t="str">
        <f t="shared" ca="1" si="3"/>
        <v>"2084024454" : "Bath mat",</v>
      </c>
    </row>
    <row r="207" spans="1:7" ht="14.25" customHeight="1">
      <c r="A207" s="2">
        <v>2084288025</v>
      </c>
      <c r="B207" s="2" t="s">
        <v>18899</v>
      </c>
      <c r="C207" s="2" t="s">
        <v>18901</v>
      </c>
      <c r="D207" s="2" t="s">
        <v>18902</v>
      </c>
      <c r="E207" s="4" t="str">
        <f ca="1">IFERROR(__xludf.DUMMYFUNCTION("GOOGLETRANSLATE(B224,""ja"",""vi"")"),"bus giá")</f>
        <v>bus giá</v>
      </c>
      <c r="F207" s="4" t="str">
        <f ca="1">IFERROR(__xludf.DUMMYFUNCTION("GOOGLETRANSLATE(C224,""ja"",""vi"")"),"Đấu giá&gt; nhà, nội thất&gt; hàng gia dụng&gt; xe buýt&gt; giá xe buýt")</f>
        <v>Đấu giá&gt; nhà, nội thất&gt; hàng gia dụng&gt; xe buýt&gt; giá xe buýt</v>
      </c>
      <c r="G207" t="str">
        <f t="shared" ca="1" si="3"/>
        <v>"2084288025" : "bus giá",</v>
      </c>
    </row>
    <row r="208" spans="1:7" ht="14.25" customHeight="1">
      <c r="A208" s="2">
        <v>2084047554</v>
      </c>
      <c r="B208" s="2" t="s">
        <v>18904</v>
      </c>
      <c r="C208" s="2" t="s">
        <v>18906</v>
      </c>
      <c r="D208" s="2" t="s">
        <v>18908</v>
      </c>
      <c r="E208" s="4" t="str">
        <f ca="1">IFERROR(__xludf.DUMMYFUNCTION("GOOGLETRANSLATE(B225,""ja"",""vi"")"),"áo choàng tắm")</f>
        <v>áo choàng tắm</v>
      </c>
      <c r="F208" s="4" t="str">
        <f ca="1">IFERROR(__xludf.DUMMYFUNCTION("GOOGLETRANSLATE(C225,""ja"",""vi"")"),"Đấu giá&gt; nhà, nội thất&gt; hàng gia dụng&gt; xe buýt&gt; áo choàng tắm")</f>
        <v>Đấu giá&gt; nhà, nội thất&gt; hàng gia dụng&gt; xe buýt&gt; áo choàng tắm</v>
      </c>
      <c r="G208" t="str">
        <f t="shared" ca="1" si="3"/>
        <v>"2084047554" : "áo choàng tắm",</v>
      </c>
    </row>
    <row r="209" spans="1:7" ht="14.25" customHeight="1">
      <c r="A209" s="2">
        <v>2084007433</v>
      </c>
      <c r="B209" s="2" t="s">
        <v>16164</v>
      </c>
      <c r="C209" s="2" t="s">
        <v>18912</v>
      </c>
      <c r="D209" s="2" t="s">
        <v>18914</v>
      </c>
      <c r="E209" s="4" t="str">
        <f ca="1">IFERROR(__xludf.DUMMYFUNCTION("GOOGLETRANSLATE(B226,""ja"",""vi"")"),"rửa")</f>
        <v>rửa</v>
      </c>
      <c r="F209" s="4" t="str">
        <f ca="1">IFERROR(__xludf.DUMMYFUNCTION("GOOGLETRANSLATE(C226,""ja"",""vi"")"),"Đấu giá&gt; nhà, nội thất&gt; hàng gia dụng&gt; xe buýt&gt; rửa")</f>
        <v>Đấu giá&gt; nhà, nội thất&gt; hàng gia dụng&gt; xe buýt&gt; rửa</v>
      </c>
      <c r="G209" t="str">
        <f t="shared" ca="1" si="3"/>
        <v>"2084007433" : "rửa",</v>
      </c>
    </row>
    <row r="210" spans="1:7" ht="14.25" customHeight="1">
      <c r="A210" s="2">
        <v>2084258414</v>
      </c>
      <c r="B210" s="2" t="s">
        <v>5603</v>
      </c>
      <c r="C210" s="2" t="s">
        <v>18918</v>
      </c>
      <c r="D210" s="2" t="s">
        <v>18920</v>
      </c>
      <c r="E210" s="4" t="str">
        <f ca="1">IFERROR(__xludf.DUMMYFUNCTION("GOOGLETRANSLATE(B227,""ja"",""vi"")"),"thiết bị cung cấp nước nóng")</f>
        <v>thiết bị cung cấp nước nóng</v>
      </c>
      <c r="F210" s="4" t="str">
        <f ca="1">IFERROR(__xludf.DUMMYFUNCTION("GOOGLETRANSLATE(C227,""ja"",""vi"")"),"Đấu giá&gt; nhà, nội thất&gt; hàng gia dụng&gt; xe buýt&gt; thiết bị cung cấp nước nóng")</f>
        <v>Đấu giá&gt; nhà, nội thất&gt; hàng gia dụng&gt; xe buýt&gt; thiết bị cung cấp nước nóng</v>
      </c>
      <c r="G210" t="str">
        <f t="shared" ca="1" si="3"/>
        <v>"2084258414" : "thiết bị cung cấp nước nóng",</v>
      </c>
    </row>
    <row r="211" spans="1:7" ht="14.25" customHeight="1">
      <c r="A211" s="2">
        <v>2084007454</v>
      </c>
      <c r="B211" s="2" t="s">
        <v>18923</v>
      </c>
      <c r="C211" s="2" t="s">
        <v>18924</v>
      </c>
      <c r="D211" s="2" t="s">
        <v>18926</v>
      </c>
      <c r="E211" s="4" t="str">
        <f ca="1">IFERROR(__xludf.DUMMYFUNCTION("GOOGLETRANSLATE(B228,""ja"",""vi"")"),"muối tắm")</f>
        <v>muối tắm</v>
      </c>
      <c r="F211" s="4" t="str">
        <f ca="1">IFERROR(__xludf.DUMMYFUNCTION("GOOGLETRANSLATE(C228,""ja"",""vi"")"),"Đấu giá&gt; nhà, nội thất&gt; đồ gia dụng&gt; tắm&gt; muối tắm")</f>
        <v>Đấu giá&gt; nhà, nội thất&gt; đồ gia dụng&gt; tắm&gt; muối tắm</v>
      </c>
      <c r="G211" t="str">
        <f t="shared" ca="1" si="3"/>
        <v>"2084007454" : "muối tắm",</v>
      </c>
    </row>
    <row r="212" spans="1:7" ht="14.25" customHeight="1">
      <c r="A212" s="2">
        <v>2084024452</v>
      </c>
      <c r="B212" s="2" t="s">
        <v>46</v>
      </c>
      <c r="C212" s="2" t="s">
        <v>18930</v>
      </c>
      <c r="D212" s="2" t="s">
        <v>18931</v>
      </c>
      <c r="E212" s="4" t="str">
        <f ca="1">IFERROR(__xludf.DUMMYFUNCTION("GOOGLETRANSLATE(B229,""ja"",""vi"")"),"nếu không thì")</f>
        <v>nếu không thì</v>
      </c>
      <c r="F212" s="4" t="str">
        <f ca="1">IFERROR(__xludf.DUMMYFUNCTION("GOOGLETRANSLATE(C229,""ja"",""vi"")"),"Đấu giá&gt; nhà, nội thất&gt; hàng gia dụng&gt; xe buýt&gt; Khác")</f>
        <v>Đấu giá&gt; nhà, nội thất&gt; hàng gia dụng&gt; xe buýt&gt; Khác</v>
      </c>
      <c r="G212" t="str">
        <f t="shared" ca="1" si="3"/>
        <v>"2084024452" : "nếu không thì",</v>
      </c>
    </row>
    <row r="213" spans="1:7" ht="14.25" customHeight="1">
      <c r="E213" s="4" t="str">
        <f ca="1">IFERROR(__xludf.DUMMYFUNCTION("GOOGLETRANSLATE(B230,""ja"",""vi"")"),"#VALUE!")</f>
        <v>#VALUE!</v>
      </c>
      <c r="F213" s="4" t="str">
        <f ca="1">IFERROR(__xludf.DUMMYFUNCTION("GOOGLETRANSLATE(C230,""ja"",""vi"")"),"#VALUE!")</f>
        <v>#VALUE!</v>
      </c>
      <c r="G213" t="str">
        <f t="shared" ca="1" si="3"/>
        <v>"" : "#VALUE!",</v>
      </c>
    </row>
    <row r="214" spans="1:7" ht="14.25" customHeight="1">
      <c r="A214" s="3">
        <v>2084048832</v>
      </c>
      <c r="B214" s="10"/>
      <c r="C214" s="10"/>
      <c r="D214" s="10"/>
      <c r="E214" s="4" t="str">
        <f ca="1">IFERROR(__xludf.DUMMYFUNCTION("GOOGLETRANSLATE(B231,""ja"",""vi"")"),"#VALUE!")</f>
        <v>#VALUE!</v>
      </c>
      <c r="F214" s="4" t="str">
        <f ca="1">IFERROR(__xludf.DUMMYFUNCTION("GOOGLETRANSLATE(C231,""ja"",""vi"")"),"#VALUE!")</f>
        <v>#VALUE!</v>
      </c>
      <c r="G214" t="str">
        <f t="shared" ca="1" si="3"/>
        <v>"2084048832" : "#VALUE!",</v>
      </c>
    </row>
    <row r="215" spans="1:7" ht="14.25" customHeight="1">
      <c r="A215" s="11">
        <v>2084062796</v>
      </c>
      <c r="B215" s="11" t="s">
        <v>18937</v>
      </c>
      <c r="C215" s="11" t="s">
        <v>18938</v>
      </c>
      <c r="D215" s="11" t="s">
        <v>18939</v>
      </c>
      <c r="E215" s="4" t="str">
        <f ca="1">IFERROR(__xludf.DUMMYFUNCTION("GOOGLETRANSLATE(B232,""ja"",""vi"")"),"Pest Control")</f>
        <v>Pest Control</v>
      </c>
      <c r="F215" s="4" t="str">
        <f ca="1">IFERROR(__xludf.DUMMYFUNCTION("GOOGLETRANSLATE(C232,""ja"",""vi"")"),"Đấu giá&gt; nhà, nội thất&gt; kiểm soát dịch hại, thuốc chống côn trùng&gt; dịch hại kiểm soát")</f>
        <v>Đấu giá&gt; nhà, nội thất&gt; kiểm soát dịch hại, thuốc chống côn trùng&gt; dịch hại kiểm soát</v>
      </c>
      <c r="G215" t="str">
        <f t="shared" ca="1" si="3"/>
        <v>"2084062796" : "Pest Control",</v>
      </c>
    </row>
    <row r="216" spans="1:7" ht="14.25" customHeight="1">
      <c r="A216" s="2">
        <v>2084062800</v>
      </c>
      <c r="B216" s="2" t="s">
        <v>18944</v>
      </c>
      <c r="C216" s="2" t="s">
        <v>18946</v>
      </c>
      <c r="D216" s="2" t="s">
        <v>18948</v>
      </c>
      <c r="E216" s="4" t="str">
        <f ca="1">IFERROR(__xludf.DUMMYFUNCTION("GOOGLETRANSLATE(B233,""ja"",""vi"")"),"thuốc chống côn trùng")</f>
        <v>thuốc chống côn trùng</v>
      </c>
      <c r="F216" s="4" t="str">
        <f ca="1">IFERROR(__xludf.DUMMYFUNCTION("GOOGLETRANSLATE(C233,""ja"",""vi"")"),"Đấu giá&gt; nhà, nội thất&gt; kiểm soát dịch hại, thuốc chống côn trùng&gt; thuốc chống côn trùng")</f>
        <v>Đấu giá&gt; nhà, nội thất&gt; kiểm soát dịch hại, thuốc chống côn trùng&gt; thuốc chống côn trùng</v>
      </c>
      <c r="G216" t="str">
        <f t="shared" ca="1" si="3"/>
        <v>"2084062800" : "thuốc chống côn trùng",</v>
      </c>
    </row>
    <row r="217" spans="1:7" ht="14.25" customHeight="1">
      <c r="E217" s="4" t="str">
        <f ca="1">IFERROR(__xludf.DUMMYFUNCTION("GOOGLETRANSLATE(B234,""ja"",""vi"")"),"#VALUE!")</f>
        <v>#VALUE!</v>
      </c>
      <c r="F217" s="4" t="str">
        <f ca="1">IFERROR(__xludf.DUMMYFUNCTION("GOOGLETRANSLATE(C234,""ja"",""vi"")"),"#VALUE!")</f>
        <v>#VALUE!</v>
      </c>
      <c r="G217" t="str">
        <f t="shared" ca="1" si="3"/>
        <v>"" : "#VALUE!",</v>
      </c>
    </row>
    <row r="218" spans="1:7" ht="14.25" customHeight="1">
      <c r="A218" s="3">
        <v>2084238534</v>
      </c>
      <c r="B218" s="10"/>
      <c r="C218" s="10"/>
      <c r="D218" s="10"/>
      <c r="E218" s="4" t="str">
        <f ca="1">IFERROR(__xludf.DUMMYFUNCTION("GOOGLETRANSLATE(B235,""ja"",""vi"")"),"#VALUE!")</f>
        <v>#VALUE!</v>
      </c>
      <c r="F218" s="4" t="str">
        <f ca="1">IFERROR(__xludf.DUMMYFUNCTION("GOOGLETRANSLATE(C235,""ja"",""vi"")"),"#VALUE!")</f>
        <v>#VALUE!</v>
      </c>
      <c r="G218" t="str">
        <f t="shared" ca="1" si="3"/>
        <v>"2084238534" : "#VALUE!",</v>
      </c>
    </row>
    <row r="219" spans="1:7" ht="14.25" customHeight="1">
      <c r="A219" s="11">
        <v>2084238535</v>
      </c>
      <c r="B219" s="11" t="s">
        <v>15734</v>
      </c>
      <c r="C219" s="11" t="s">
        <v>15736</v>
      </c>
      <c r="D219" s="11" t="s">
        <v>18954</v>
      </c>
      <c r="E219" s="4" t="str">
        <f ca="1">IFERROR(__xludf.DUMMYFUNCTION("GOOGLETRANSLATE(B236,""ja"",""vi"")"),"cây giày")</f>
        <v>cây giày</v>
      </c>
      <c r="F219" s="4" t="str">
        <f ca="1">IFERROR(__xludf.DUMMYFUNCTION("GOOGLETRANSLATE(C236,""ja"",""vi"")"),"Đấu giá&gt; nhà, nội thất&gt; hàng gia dụng&gt; giày nguồn cung cấp&gt; cây giày")</f>
        <v>Đấu giá&gt; nhà, nội thất&gt; hàng gia dụng&gt; giày nguồn cung cấp&gt; cây giày</v>
      </c>
      <c r="G219" t="str">
        <f t="shared" ca="1" si="3"/>
        <v>"2084238535" : "cây giày",</v>
      </c>
    </row>
    <row r="220" spans="1:7" ht="14.25" customHeight="1">
      <c r="A220" s="2">
        <v>2084238531</v>
      </c>
      <c r="B220" s="2" t="s">
        <v>15738</v>
      </c>
      <c r="C220" s="2" t="s">
        <v>15740</v>
      </c>
      <c r="D220" s="2" t="s">
        <v>18957</v>
      </c>
      <c r="E220" s="4" t="str">
        <f ca="1">IFERROR(__xludf.DUMMYFUNCTION("GOOGLETRANSLATE(B237,""ja"",""vi"")"),"Bảo thủ dầu, dầu")</f>
        <v>Bảo thủ dầu, dầu</v>
      </c>
      <c r="F220" s="4" t="str">
        <f ca="1">IFERROR(__xludf.DUMMYFUNCTION("GOOGLETRANSLATE(C237,""ja"",""vi"")"),"Đấu giá&gt; nhà, nội thất&gt; hàng gia dụng&gt; giày nguồn cung cấp&gt; bảo thủ dầu, dầu")</f>
        <v>Đấu giá&gt; nhà, nội thất&gt; hàng gia dụng&gt; giày nguồn cung cấp&gt; bảo thủ dầu, dầu</v>
      </c>
      <c r="G220" t="str">
        <f t="shared" ca="1" si="3"/>
        <v>"2084238531" : "Bảo thủ dầu, dầu",</v>
      </c>
    </row>
    <row r="221" spans="1:7" ht="14.25" customHeight="1">
      <c r="A221" s="2">
        <v>2084238530</v>
      </c>
      <c r="B221" s="2" t="s">
        <v>15741</v>
      </c>
      <c r="C221" s="2" t="s">
        <v>15743</v>
      </c>
      <c r="D221" s="2" t="s">
        <v>18962</v>
      </c>
      <c r="E221" s="4" t="str">
        <f ca="1">IFERROR(__xludf.DUMMYFUNCTION("GOOGLETRANSLATE(B238,""ja"",""vi"")"),"đại lý chống thấm")</f>
        <v>đại lý chống thấm</v>
      </c>
      <c r="F221" s="4" t="str">
        <f ca="1">IFERROR(__xludf.DUMMYFUNCTION("GOOGLETRANSLATE(C238,""ja"",""vi"")"),"Đấu giá&gt; nhà, nội thất&gt; hàng gia dụng&gt; giày nguồn cung cấp&gt; đại lý chống thấm")</f>
        <v>Đấu giá&gt; nhà, nội thất&gt; hàng gia dụng&gt; giày nguồn cung cấp&gt; đại lý chống thấm</v>
      </c>
      <c r="G221" t="str">
        <f t="shared" ca="1" si="3"/>
        <v>"2084238530" : "đại lý chống thấm",</v>
      </c>
    </row>
    <row r="222" spans="1:7" ht="14.25" customHeight="1">
      <c r="A222" s="2">
        <v>2084238538</v>
      </c>
      <c r="B222" s="2" t="s">
        <v>46</v>
      </c>
      <c r="C222" s="2" t="s">
        <v>15745</v>
      </c>
      <c r="D222" s="2" t="s">
        <v>18970</v>
      </c>
      <c r="E222" s="4" t="str">
        <f ca="1">IFERROR(__xludf.DUMMYFUNCTION("GOOGLETRANSLATE(B239,""ja"",""vi"")"),"nếu không thì")</f>
        <v>nếu không thì</v>
      </c>
      <c r="F222" s="4" t="str">
        <f ca="1">IFERROR(__xludf.DUMMYFUNCTION("GOOGLETRANSLATE(C239,""ja"",""vi"")"),"Đấu giá&gt; nhà, nội thất&gt; hàng gia dụng&gt; giày nguồn cung cấp&gt; Khác")</f>
        <v>Đấu giá&gt; nhà, nội thất&gt; hàng gia dụng&gt; giày nguồn cung cấp&gt; Khác</v>
      </c>
      <c r="G222" t="str">
        <f t="shared" ca="1" si="3"/>
        <v>"2084238538" : "nếu không thì",</v>
      </c>
    </row>
    <row r="223" spans="1:7" ht="14.25" customHeight="1">
      <c r="E223" s="4" t="str">
        <f ca="1">IFERROR(__xludf.DUMMYFUNCTION("GOOGLETRANSLATE(B240,""ja"",""vi"")"),"#VALUE!")</f>
        <v>#VALUE!</v>
      </c>
      <c r="F223" s="4" t="str">
        <f ca="1">IFERROR(__xludf.DUMMYFUNCTION("GOOGLETRANSLATE(C240,""ja"",""vi"")"),"#VALUE!")</f>
        <v>#VALUE!</v>
      </c>
      <c r="G223" t="str">
        <f t="shared" ca="1" si="3"/>
        <v>"" : "#VALUE!",</v>
      </c>
    </row>
    <row r="224" spans="1:7" ht="14.25" customHeight="1">
      <c r="A224" s="3">
        <v>2084238529</v>
      </c>
      <c r="B224" s="10"/>
      <c r="C224" s="10"/>
      <c r="D224" s="10"/>
      <c r="E224" s="4" t="str">
        <f ca="1">IFERROR(__xludf.DUMMYFUNCTION("GOOGLETRANSLATE(B241,""ja"",""vi"")"),"#VALUE!")</f>
        <v>#VALUE!</v>
      </c>
      <c r="F224" s="4" t="str">
        <f ca="1">IFERROR(__xludf.DUMMYFUNCTION("GOOGLETRANSLATE(C241,""ja"",""vi"")"),"#VALUE!")</f>
        <v>#VALUE!</v>
      </c>
      <c r="G224" t="str">
        <f t="shared" ca="1" si="3"/>
        <v>"2084238529" : "#VALUE!",</v>
      </c>
    </row>
    <row r="225" spans="1:7" ht="14.25" customHeight="1">
      <c r="A225" s="11">
        <v>2084238532</v>
      </c>
      <c r="B225" s="11" t="s">
        <v>18977</v>
      </c>
      <c r="C225" s="11" t="s">
        <v>18978</v>
      </c>
      <c r="D225" s="11" t="s">
        <v>18979</v>
      </c>
      <c r="E225" s="4" t="str">
        <f ca="1">IFERROR(__xludf.DUMMYFUNCTION("GOOGLETRANSLATE(B242,""ja"",""vi"")"),"Cleaner")</f>
        <v>Cleaner</v>
      </c>
      <c r="F225" s="4" t="str">
        <f ca="1">IFERROR(__xludf.DUMMYFUNCTION("GOOGLETRANSLATE(C242,""ja"",""vi"")"),"Đấu giá&gt; nhà, nội thất&gt; đồ gia dụng&gt; nguồn cung cấp da&gt; sạch")</f>
        <v>Đấu giá&gt; nhà, nội thất&gt; đồ gia dụng&gt; nguồn cung cấp da&gt; sạch</v>
      </c>
      <c r="G225" t="str">
        <f t="shared" ca="1" si="3"/>
        <v>"2084238532" : "Cleaner",</v>
      </c>
    </row>
    <row r="226" spans="1:7" ht="14.25" customHeight="1">
      <c r="A226" s="2">
        <v>2084238531</v>
      </c>
      <c r="B226" s="2" t="s">
        <v>15738</v>
      </c>
      <c r="C226" s="2" t="s">
        <v>18984</v>
      </c>
      <c r="D226" s="2" t="s">
        <v>18985</v>
      </c>
      <c r="E226" s="4" t="str">
        <f ca="1">IFERROR(__xludf.DUMMYFUNCTION("GOOGLETRANSLATE(B243,""ja"",""vi"")"),"Bảo thủ dầu, dầu")</f>
        <v>Bảo thủ dầu, dầu</v>
      </c>
      <c r="F226" s="4" t="str">
        <f ca="1">IFERROR(__xludf.DUMMYFUNCTION("GOOGLETRANSLATE(C243,""ja"",""vi"")"),"Đấu giá&gt; nhà, nội thất&gt; hàng gia dụng&gt; hàng da&gt; bảo thủ dầu, dầu")</f>
        <v>Đấu giá&gt; nhà, nội thất&gt; hàng gia dụng&gt; hàng da&gt; bảo thủ dầu, dầu</v>
      </c>
      <c r="G226" t="str">
        <f t="shared" ca="1" si="3"/>
        <v>"2084238531" : "Bảo thủ dầu, dầu",</v>
      </c>
    </row>
    <row r="227" spans="1:7" ht="14.25" customHeight="1">
      <c r="A227" s="2">
        <v>2084238530</v>
      </c>
      <c r="B227" s="2" t="s">
        <v>15741</v>
      </c>
      <c r="C227" s="2" t="s">
        <v>18991</v>
      </c>
      <c r="D227" s="2" t="s">
        <v>18993</v>
      </c>
      <c r="E227" s="4" t="str">
        <f ca="1">IFERROR(__xludf.DUMMYFUNCTION("GOOGLETRANSLATE(B244,""ja"",""vi"")"),"đại lý chống thấm")</f>
        <v>đại lý chống thấm</v>
      </c>
      <c r="F227" s="4" t="str">
        <f ca="1">IFERROR(__xludf.DUMMYFUNCTION("GOOGLETRANSLATE(C244,""ja"",""vi"")"),"Đấu giá&gt; nhà, nội thất&gt; hàng gia dụng&gt; hàng da&gt; đại lý chống thấm")</f>
        <v>Đấu giá&gt; nhà, nội thất&gt; hàng gia dụng&gt; hàng da&gt; đại lý chống thấm</v>
      </c>
      <c r="G227" t="str">
        <f t="shared" ca="1" si="3"/>
        <v>"2084238530" : "đại lý chống thấm",</v>
      </c>
    </row>
    <row r="228" spans="1:7" ht="14.25" customHeight="1">
      <c r="A228" s="2">
        <v>2084238533</v>
      </c>
      <c r="B228" s="2" t="s">
        <v>46</v>
      </c>
      <c r="C228" s="2" t="s">
        <v>18997</v>
      </c>
      <c r="D228" s="2" t="s">
        <v>18998</v>
      </c>
      <c r="E228" s="4" t="str">
        <f ca="1">IFERROR(__xludf.DUMMYFUNCTION("GOOGLETRANSLATE(B245,""ja"",""vi"")"),"nếu không thì")</f>
        <v>nếu không thì</v>
      </c>
      <c r="F228" s="4" t="str">
        <f ca="1">IFERROR(__xludf.DUMMYFUNCTION("GOOGLETRANSLATE(C245,""ja"",""vi"")"),"Đấu giá&gt; nhà, nội thất&gt; hàng gia dụng&gt; hàng da&gt; Khác")</f>
        <v>Đấu giá&gt; nhà, nội thất&gt; hàng gia dụng&gt; hàng da&gt; Khác</v>
      </c>
      <c r="G228" t="str">
        <f t="shared" ca="1" si="3"/>
        <v>"2084238533" : "nếu không thì",</v>
      </c>
    </row>
    <row r="229" spans="1:7" ht="14.25" customHeight="1">
      <c r="E229" s="4" t="str">
        <f ca="1">IFERROR(__xludf.DUMMYFUNCTION("GOOGLETRANSLATE(B246,""ja"",""vi"")"),"#VALUE!")</f>
        <v>#VALUE!</v>
      </c>
      <c r="F229" s="4" t="str">
        <f ca="1">IFERROR(__xludf.DUMMYFUNCTION("GOOGLETRANSLATE(C246,""ja"",""vi"")"),"#VALUE!")</f>
        <v>#VALUE!</v>
      </c>
      <c r="G229" t="str">
        <f t="shared" ca="1" si="3"/>
        <v>"" : "#VALUE!",</v>
      </c>
    </row>
    <row r="230" spans="1:7" ht="14.25" customHeight="1">
      <c r="A230" s="3">
        <v>2084006343</v>
      </c>
      <c r="B230" s="10"/>
      <c r="C230" s="10"/>
      <c r="D230" s="10"/>
      <c r="E230" s="4" t="str">
        <f ca="1">IFERROR(__xludf.DUMMYFUNCTION("GOOGLETRANSLATE(B247,""ja"",""vi"")"),"#VALUE!")</f>
        <v>#VALUE!</v>
      </c>
      <c r="F230" s="4" t="str">
        <f ca="1">IFERROR(__xludf.DUMMYFUNCTION("GOOGLETRANSLATE(C247,""ja"",""vi"")"),"#VALUE!")</f>
        <v>#VALUE!</v>
      </c>
      <c r="G230" t="str">
        <f t="shared" ca="1" si="3"/>
        <v>"2084006343" : "#VALUE!",</v>
      </c>
    </row>
    <row r="231" spans="1:7" ht="14.25" customHeight="1">
      <c r="A231" s="29">
        <v>2084006345</v>
      </c>
      <c r="B231" s="29" t="s">
        <v>19016</v>
      </c>
      <c r="C231" s="11" t="s">
        <v>19017</v>
      </c>
      <c r="D231" s="11" t="s">
        <v>19018</v>
      </c>
      <c r="E231" s="4" t="str">
        <f ca="1">IFERROR(__xludf.DUMMYFUNCTION("GOOGLETRANSLATE(B248,""ja"",""vi"")"),"futon")</f>
        <v>futon</v>
      </c>
      <c r="F231" s="4" t="str">
        <f ca="1">IFERROR(__xludf.DUMMYFUNCTION("GOOGLETRANSLATE(C248,""ja"",""vi"")"),"Đấu giá&gt; nhà, nội thất&gt; đồ gia dụng&gt; giường&gt; futon")</f>
        <v>Đấu giá&gt; nhà, nội thất&gt; đồ gia dụng&gt; giường&gt; futon</v>
      </c>
      <c r="G231" t="str">
        <f t="shared" ca="1" si="3"/>
        <v>"2084006345" : "futon",</v>
      </c>
    </row>
    <row r="232" spans="1:7" ht="14.25" customHeight="1">
      <c r="A232" s="12">
        <v>2084006351</v>
      </c>
      <c r="B232" s="12" t="s">
        <v>19023</v>
      </c>
      <c r="C232" s="2" t="s">
        <v>19024</v>
      </c>
      <c r="D232" s="2" t="s">
        <v>19025</v>
      </c>
      <c r="E232" s="4" t="str">
        <f ca="1">IFERROR(__xludf.DUMMYFUNCTION("GOOGLETRANSLATE(B249,""ja"",""vi"")"),"chăn")</f>
        <v>chăn</v>
      </c>
      <c r="F232" s="4" t="str">
        <f ca="1">IFERROR(__xludf.DUMMYFUNCTION("GOOGLETRANSLATE(C249,""ja"",""vi"")"),"Đấu giá&gt; nhà, nội thất&gt; đồ gia dụng&gt; giường&gt; chăn")</f>
        <v>Đấu giá&gt; nhà, nội thất&gt; đồ gia dụng&gt; giường&gt; chăn</v>
      </c>
      <c r="G232" t="str">
        <f t="shared" ca="1" si="3"/>
        <v>"2084006351" : "chăn",</v>
      </c>
    </row>
    <row r="233" spans="1:7" ht="14.25" customHeight="1">
      <c r="A233" s="12">
        <v>2084006352</v>
      </c>
      <c r="B233" s="12" t="s">
        <v>19028</v>
      </c>
      <c r="C233" s="2" t="s">
        <v>19030</v>
      </c>
      <c r="D233" s="2" t="s">
        <v>19031</v>
      </c>
      <c r="E233" s="4" t="str">
        <f ca="1">IFERROR(__xludf.DUMMYFUNCTION("GOOGLETRANSLATE(B250,""ja"",""vi"")"),"khăn tắm")</f>
        <v>khăn tắm</v>
      </c>
      <c r="F233" s="4" t="str">
        <f ca="1">IFERROR(__xludf.DUMMYFUNCTION("GOOGLETRANSLATE(C250,""ja"",""vi"")"),"Đấu giá&gt; nhà, nội thất&gt; đồ gia dụng&gt; giường&gt; khăn")</f>
        <v>Đấu giá&gt; nhà, nội thất&gt; đồ gia dụng&gt; giường&gt; khăn</v>
      </c>
      <c r="G233" t="str">
        <f t="shared" ca="1" si="3"/>
        <v>"2084006352" : "khăn tắm",</v>
      </c>
    </row>
    <row r="234" spans="1:7" ht="14.25" customHeight="1">
      <c r="A234" s="12">
        <v>2084006350</v>
      </c>
      <c r="B234" s="12" t="s">
        <v>19032</v>
      </c>
      <c r="C234" s="2" t="s">
        <v>19034</v>
      </c>
      <c r="D234" s="2" t="s">
        <v>19037</v>
      </c>
      <c r="E234" s="4" t="str">
        <f ca="1">IFERROR(__xludf.DUMMYFUNCTION("GOOGLETRANSLATE(B251,""ja"",""vi"")"),"Sheets, bìa")</f>
        <v>Sheets, bìa</v>
      </c>
      <c r="F234" s="4" t="str">
        <f ca="1">IFERROR(__xludf.DUMMYFUNCTION("GOOGLETRANSLATE(C251,""ja"",""vi"")"),"Đấu giá&gt; nhà, nội thất&gt; đồ gia dụng&gt; giường&gt; tấm, bìa")</f>
        <v>Đấu giá&gt; nhà, nội thất&gt; đồ gia dụng&gt; giường&gt; tấm, bìa</v>
      </c>
      <c r="G234" t="str">
        <f t="shared" ca="1" si="3"/>
        <v>"2084006350" : "Sheets, bìa",</v>
      </c>
    </row>
    <row r="235" spans="1:7" ht="14.25" customHeight="1">
      <c r="A235" s="12">
        <v>2084006355</v>
      </c>
      <c r="B235" s="12" t="s">
        <v>9298</v>
      </c>
      <c r="C235" s="2" t="s">
        <v>19038</v>
      </c>
      <c r="D235" s="2" t="s">
        <v>19041</v>
      </c>
      <c r="E235" s="4" t="str">
        <f ca="1">IFERROR(__xludf.DUMMYFUNCTION("GOOGLETRANSLATE(B252,""ja"",""vi"")"),"Đối với trẻ em")</f>
        <v>Đối với trẻ em</v>
      </c>
      <c r="F235" s="4" t="str">
        <f ca="1">IFERROR(__xludf.DUMMYFUNCTION("GOOGLETRANSLATE(C252,""ja"",""vi"")"),"Đấu giá&gt; nhà, nội thất&gt; đồ gia dụng&gt; giường&gt; cho trẻ em")</f>
        <v>Đấu giá&gt; nhà, nội thất&gt; đồ gia dụng&gt; giường&gt; cho trẻ em</v>
      </c>
      <c r="G235" t="str">
        <f t="shared" ca="1" si="3"/>
        <v>"2084006355" : "Đối với trẻ em",</v>
      </c>
    </row>
    <row r="236" spans="1:7" ht="14.25" customHeight="1">
      <c r="A236" s="12">
        <v>2084006356</v>
      </c>
      <c r="B236" s="12" t="s">
        <v>17010</v>
      </c>
      <c r="C236" s="2" t="s">
        <v>19044</v>
      </c>
      <c r="D236" s="2" t="s">
        <v>19045</v>
      </c>
      <c r="E236" s="4" t="str">
        <f ca="1">IFERROR(__xludf.DUMMYFUNCTION("GOOGLETRANSLATE(B253,""ja"",""vi"")"),"đứa bé")</f>
        <v>đứa bé</v>
      </c>
      <c r="F236" s="4" t="str">
        <f ca="1">IFERROR(__xludf.DUMMYFUNCTION("GOOGLETRANSLATE(C253,""ja"",""vi"")"),"Đấu giá&gt; nhà, nội thất&gt; đồ gia dụng&gt; giường&gt; cho bé")</f>
        <v>Đấu giá&gt; nhà, nội thất&gt; đồ gia dụng&gt; giường&gt; cho bé</v>
      </c>
      <c r="G236" t="str">
        <f t="shared" ca="1" si="3"/>
        <v>"2084006356" : "đứa bé",</v>
      </c>
    </row>
    <row r="237" spans="1:7" ht="14.25" customHeight="1">
      <c r="A237" s="12">
        <v>2084006353</v>
      </c>
      <c r="B237" s="12" t="s">
        <v>19049</v>
      </c>
      <c r="C237" s="2" t="s">
        <v>19050</v>
      </c>
      <c r="D237" s="2" t="s">
        <v>19051</v>
      </c>
      <c r="E237" s="4" t="str">
        <f ca="1">IFERROR(__xludf.DUMMYFUNCTION("GOOGLETRANSLATE(B254,""ja"",""vi"")"),"cái gối")</f>
        <v>cái gối</v>
      </c>
      <c r="F237" s="4" t="str">
        <f ca="1">IFERROR(__xludf.DUMMYFUNCTION("GOOGLETRANSLATE(C254,""ja"",""vi"")"),"Đấu giá&gt; nhà, nội thất&gt; đồ gia dụng&gt; giường&gt; gối")</f>
        <v>Đấu giá&gt; nhà, nội thất&gt; đồ gia dụng&gt; giường&gt; gối</v>
      </c>
      <c r="G237" t="str">
        <f t="shared" ca="1" si="3"/>
        <v>"2084006353" : "cái gối",</v>
      </c>
    </row>
    <row r="238" spans="1:7" ht="14.25" customHeight="1">
      <c r="A238" s="12">
        <v>2084245299</v>
      </c>
      <c r="B238" s="12" t="s">
        <v>19055</v>
      </c>
      <c r="C238" s="2" t="s">
        <v>19056</v>
      </c>
      <c r="D238" s="2" t="s">
        <v>19058</v>
      </c>
      <c r="E238" s="4" t="str">
        <f ca="1">IFERROR(__xludf.DUMMYFUNCTION("GOOGLETRANSLATE(B255,""ja"",""vi"")"),"Nệm pad, pad giường")</f>
        <v>Nệm pad, pad giường</v>
      </c>
      <c r="F238" s="4" t="str">
        <f ca="1">IFERROR(__xludf.DUMMYFUNCTION("GOOGLETRANSLATE(C255,""ja"",""vi"")"),"Đấu giá&gt; nhà, nội thất&gt; đồ gia dụng&gt; giường&gt; Nệm pad, giường pad")</f>
        <v>Đấu giá&gt; nhà, nội thất&gt; đồ gia dụng&gt; giường&gt; Nệm pad, giường pad</v>
      </c>
      <c r="G238" t="str">
        <f t="shared" ca="1" si="3"/>
        <v>"2084245299" : "Nệm pad, pad giường",</v>
      </c>
    </row>
    <row r="239" spans="1:7" ht="14.25" customHeight="1">
      <c r="A239" s="12">
        <v>2084244895</v>
      </c>
      <c r="B239" s="12" t="s">
        <v>19062</v>
      </c>
      <c r="C239" s="2" t="s">
        <v>19064</v>
      </c>
      <c r="D239" s="2" t="s">
        <v>19065</v>
      </c>
      <c r="E239" s="4" t="str">
        <f ca="1">IFERROR(__xludf.DUMMYFUNCTION("GOOGLETRANSLATE(B256,""ja"",""vi"")"),"nệm")</f>
        <v>nệm</v>
      </c>
      <c r="F239" s="4" t="str">
        <f ca="1">IFERROR(__xludf.DUMMYFUNCTION("GOOGLETRANSLATE(C256,""ja"",""vi"")"),"Đấu giá&gt; nhà, nội thất&gt; đồ gia dụng&gt; giường&gt; nệm")</f>
        <v>Đấu giá&gt; nhà, nội thất&gt; đồ gia dụng&gt; giường&gt; nệm</v>
      </c>
      <c r="G239" t="str">
        <f t="shared" ca="1" si="3"/>
        <v>"2084244895" : "nệm",</v>
      </c>
    </row>
    <row r="240" spans="1:7" ht="14.25" customHeight="1">
      <c r="A240" s="12">
        <v>2084245307</v>
      </c>
      <c r="B240" s="12" t="s">
        <v>4166</v>
      </c>
      <c r="C240" s="2" t="s">
        <v>19069</v>
      </c>
      <c r="D240" s="2" t="s">
        <v>19070</v>
      </c>
      <c r="E240" s="4" t="str">
        <f ca="1">IFERROR(__xludf.DUMMYFUNCTION("GOOGLETRANSLATE(B257,""ja"",""vi"")"),"kotatsu")</f>
        <v>kotatsu</v>
      </c>
      <c r="F240" s="4" t="str">
        <f ca="1">IFERROR(__xludf.DUMMYFUNCTION("GOOGLETRANSLATE(C257,""ja"",""vi"")"),"Đấu giá&gt; nhà, nội thất&gt; đồ gia dụng&gt; giường&gt; kotatsu")</f>
        <v>Đấu giá&gt; nhà, nội thất&gt; đồ gia dụng&gt; giường&gt; kotatsu</v>
      </c>
      <c r="G240" t="str">
        <f t="shared" ca="1" si="3"/>
        <v>"2084245307" : "kotatsu",</v>
      </c>
    </row>
    <row r="241" spans="1:7" ht="14.25" customHeight="1">
      <c r="A241" s="12">
        <v>2084061898</v>
      </c>
      <c r="B241" s="12" t="s">
        <v>19071</v>
      </c>
      <c r="C241" s="2" t="s">
        <v>19073</v>
      </c>
      <c r="D241" s="2" t="s">
        <v>19075</v>
      </c>
      <c r="E241" s="4" t="str">
        <f ca="1">IFERROR(__xludf.DUMMYFUNCTION("GOOGLETRANSLATE(B258,""ja"",""vi"")"),"túi nén futon")</f>
        <v>túi nén futon</v>
      </c>
      <c r="F241" s="4" t="str">
        <f ca="1">IFERROR(__xludf.DUMMYFUNCTION("GOOGLETRANSLATE(C258,""ja"",""vi"")"),"Đấu giá&gt; nhà, nội thất&gt; đồ gia dụng&gt; giường&gt; futon nén túi")</f>
        <v>Đấu giá&gt; nhà, nội thất&gt; đồ gia dụng&gt; giường&gt; futon nén túi</v>
      </c>
      <c r="G241" t="str">
        <f t="shared" ca="1" si="3"/>
        <v>"2084061898" : "túi nén futon",</v>
      </c>
    </row>
    <row r="242" spans="1:7" ht="14.25" customHeight="1">
      <c r="A242" s="12">
        <v>2084042679</v>
      </c>
      <c r="B242" s="12" t="s">
        <v>5822</v>
      </c>
      <c r="C242" s="2" t="s">
        <v>19077</v>
      </c>
      <c r="D242" s="2" t="s">
        <v>19078</v>
      </c>
      <c r="E242" s="4" t="str">
        <f ca="1">IFERROR(__xludf.DUMMYFUNCTION("GOOGLETRANSLATE(B259,""ja"",""vi"")"),"máy sấy futon")</f>
        <v>máy sấy futon</v>
      </c>
      <c r="F242" s="4" t="str">
        <f ca="1">IFERROR(__xludf.DUMMYFUNCTION("GOOGLETRANSLATE(C259,""ja"",""vi"")"),"Đấu giá&gt; nhà, nội thất&gt; đồ gia dụng&gt; giường&gt; futon máy sấy")</f>
        <v>Đấu giá&gt; nhà, nội thất&gt; đồ gia dụng&gt; giường&gt; futon máy sấy</v>
      </c>
      <c r="G242" t="str">
        <f t="shared" ca="1" si="3"/>
        <v>"2084042679" : "máy sấy futon",</v>
      </c>
    </row>
    <row r="243" spans="1:7" ht="14.25" customHeight="1">
      <c r="A243" s="12">
        <v>24970</v>
      </c>
      <c r="B243" s="12" t="s">
        <v>17896</v>
      </c>
      <c r="C243" s="2" t="s">
        <v>19082</v>
      </c>
      <c r="D243" s="2" t="s">
        <v>19083</v>
      </c>
      <c r="E243" s="4" t="str">
        <f ca="1">IFERROR(__xludf.DUMMYFUNCTION("GOOGLETRANSLATE(B260,""ja"",""vi"")"),"ngoài trời")</f>
        <v>ngoài trời</v>
      </c>
      <c r="F243" s="4" t="str">
        <f ca="1">IFERROR(__xludf.DUMMYFUNCTION("GOOGLETRANSLATE(C260,""ja"",""vi"")"),"Đấu giá&gt; nhà, nội thất&gt; đồ gia dụng&gt; giường&gt; Ngoài trời")</f>
        <v>Đấu giá&gt; nhà, nội thất&gt; đồ gia dụng&gt; giường&gt; Ngoài trời</v>
      </c>
      <c r="G243" t="str">
        <f t="shared" ca="1" si="3"/>
        <v>"24970" : "ngoài trời",</v>
      </c>
    </row>
    <row r="244" spans="1:7" ht="14.25" customHeight="1">
      <c r="A244" s="12">
        <v>2084024354</v>
      </c>
      <c r="B244" s="12" t="s">
        <v>19084</v>
      </c>
      <c r="C244" s="2" t="s">
        <v>19085</v>
      </c>
      <c r="D244" s="2" t="s">
        <v>19086</v>
      </c>
      <c r="E244" s="4" t="str">
        <f ca="1">IFERROR(__xludf.DUMMYFUNCTION("GOOGLETRANSLATE(B261,""ja"",""vi"")"),"gối")</f>
        <v>gối</v>
      </c>
      <c r="F244" s="4" t="str">
        <f ca="1">IFERROR(__xludf.DUMMYFUNCTION("GOOGLETRANSLATE(C261,""ja"",""vi"")"),"Đấu giá&gt; nhà, nội thất&gt; đồ gia dụng&gt; giường&gt; đệm")</f>
        <v>Đấu giá&gt; nhà, nội thất&gt; đồ gia dụng&gt; giường&gt; đệm</v>
      </c>
      <c r="G244" t="str">
        <f t="shared" ca="1" si="3"/>
        <v>"2084024354" : "gối",</v>
      </c>
    </row>
    <row r="245" spans="1:7" ht="14.25" customHeight="1">
      <c r="A245" s="12">
        <v>2084006354</v>
      </c>
      <c r="B245" s="12" t="s">
        <v>46</v>
      </c>
      <c r="C245" s="2" t="s">
        <v>19089</v>
      </c>
      <c r="D245" s="2" t="s">
        <v>19090</v>
      </c>
      <c r="E245" s="4" t="str">
        <f ca="1">IFERROR(__xludf.DUMMYFUNCTION("GOOGLETRANSLATE(B262,""ja"",""vi"")"),"nếu không thì")</f>
        <v>nếu không thì</v>
      </c>
      <c r="F245" s="4" t="str">
        <f ca="1">IFERROR(__xludf.DUMMYFUNCTION("GOOGLETRANSLATE(C262,""ja"",""vi"")"),"Đấu giá&gt; nhà, nội thất&gt; đồ gia dụng&gt; giường&gt; Khác")</f>
        <v>Đấu giá&gt; nhà, nội thất&gt; đồ gia dụng&gt; giường&gt; Khác</v>
      </c>
      <c r="G245" t="str">
        <f t="shared" ca="1" si="3"/>
        <v>"2084006354" : "nếu không thì",</v>
      </c>
    </row>
    <row r="246" spans="1:7" ht="14.25" customHeight="1">
      <c r="E246" s="4" t="str">
        <f ca="1">IFERROR(__xludf.DUMMYFUNCTION("GOOGLETRANSLATE(B263,""ja"",""vi"")"),"#VALUE!")</f>
        <v>#VALUE!</v>
      </c>
      <c r="F246" s="4" t="str">
        <f ca="1">IFERROR(__xludf.DUMMYFUNCTION("GOOGLETRANSLATE(C263,""ja"",""vi"")"),"#VALUE!")</f>
        <v>#VALUE!</v>
      </c>
      <c r="G246" t="str">
        <f t="shared" ca="1" si="3"/>
        <v>"" : "#VALUE!",</v>
      </c>
    </row>
    <row r="247" spans="1:7" ht="14.25" customHeight="1">
      <c r="A247" s="3">
        <v>2084024430</v>
      </c>
      <c r="B247" s="10"/>
      <c r="C247" s="10"/>
      <c r="D247" s="10"/>
      <c r="E247" s="4" t="str">
        <f ca="1">IFERROR(__xludf.DUMMYFUNCTION("GOOGLETRANSLATE(B264,""ja"",""vi"")"),"#VALUE!")</f>
        <v>#VALUE!</v>
      </c>
      <c r="F247" s="4" t="str">
        <f ca="1">IFERROR(__xludf.DUMMYFUNCTION("GOOGLETRANSLATE(C264,""ja"",""vi"")"),"#VALUE!")</f>
        <v>#VALUE!</v>
      </c>
      <c r="G247" t="str">
        <f t="shared" ca="1" si="3"/>
        <v>"2084024430" : "#VALUE!",</v>
      </c>
    </row>
    <row r="248" spans="1:7" ht="14.25" customHeight="1">
      <c r="E248" s="4" t="str">
        <f ca="1">IFERROR(__xludf.DUMMYFUNCTION("GOOGLETRANSLATE(B265,""ja"",""vi"")"),"#VALUE!")</f>
        <v>#VALUE!</v>
      </c>
      <c r="F248" s="4" t="str">
        <f ca="1">IFERROR(__xludf.DUMMYFUNCTION("GOOGLETRANSLATE(C265,""ja"",""vi"")"),"#VALUE!")</f>
        <v>#VALUE!</v>
      </c>
      <c r="G248" t="str">
        <f t="shared" ca="1" si="3"/>
        <v>"" : "#VALUE!",</v>
      </c>
    </row>
    <row r="249" spans="1:7" ht="14.25" customHeight="1">
      <c r="A249" s="12">
        <v>2084024431</v>
      </c>
      <c r="B249" s="12" t="s">
        <v>19095</v>
      </c>
      <c r="C249" s="12" t="s">
        <v>19097</v>
      </c>
      <c r="D249" s="12" t="s">
        <v>19099</v>
      </c>
      <c r="E249" s="4" t="str">
        <f ca="1">IFERROR(__xludf.DUMMYFUNCTION("GOOGLETRANSLATE(B266,""ja"",""vi"")"),"bột giặt")</f>
        <v>bột giặt</v>
      </c>
      <c r="F249" s="4" t="str">
        <f ca="1">IFERROR(__xludf.DUMMYFUNCTION("GOOGLETRANSLATE(C266,""ja"",""vi"")"),"Đấu giá&gt; nhà, nội thất&gt; đồ gia dụng&gt; nguồn cung cấp máy giặt&gt; bột giặt")</f>
        <v>Đấu giá&gt; nhà, nội thất&gt; đồ gia dụng&gt; nguồn cung cấp máy giặt&gt; bột giặt</v>
      </c>
      <c r="G249" t="str">
        <f t="shared" ca="1" si="3"/>
        <v>"2084024431" : "bột giặt",</v>
      </c>
    </row>
    <row r="250" spans="1:7" ht="14.25" customHeight="1">
      <c r="A250" s="12">
        <v>2084024432</v>
      </c>
      <c r="B250" s="12" t="s">
        <v>19100</v>
      </c>
      <c r="C250" s="12" t="s">
        <v>19101</v>
      </c>
      <c r="D250" s="12" t="s">
        <v>19103</v>
      </c>
      <c r="E250" s="4" t="str">
        <f ca="1">IFERROR(__xludf.DUMMYFUNCTION("GOOGLETRANSLATE(B267,""ja"",""vi"")"),"Móc áo, nhúm")</f>
        <v>Móc áo, nhúm</v>
      </c>
      <c r="F250" s="4" t="str">
        <f ca="1">IFERROR(__xludf.DUMMYFUNCTION("GOOGLETRANSLATE(C267,""ja"",""vi"")"),"Đấu giá&gt; nhà, nội thất&gt; đồ gia dụng&gt; nguồn cung cấp máy giặt&gt; móc áo, kẹp")</f>
        <v>Đấu giá&gt; nhà, nội thất&gt; đồ gia dụng&gt; nguồn cung cấp máy giặt&gt; móc áo, kẹp</v>
      </c>
      <c r="G250" t="str">
        <f t="shared" ca="1" si="3"/>
        <v>"2084024432" : "Móc áo, nhúm",</v>
      </c>
    </row>
    <row r="251" spans="1:7" ht="14.25" customHeight="1">
      <c r="A251" s="12">
        <v>2084024440</v>
      </c>
      <c r="B251" s="12" t="s">
        <v>19105</v>
      </c>
      <c r="C251" s="12" t="s">
        <v>19106</v>
      </c>
      <c r="D251" s="12" t="s">
        <v>19108</v>
      </c>
      <c r="E251" s="4" t="str">
        <f ca="1">IFERROR(__xludf.DUMMYFUNCTION("GOOGLETRANSLATE(B268,""ja"",""vi"")"),"giỏ đựng quần áo")</f>
        <v>giỏ đựng quần áo</v>
      </c>
      <c r="F251" s="4" t="str">
        <f ca="1">IFERROR(__xludf.DUMMYFUNCTION("GOOGLETRANSLATE(C268,""ja"",""vi"")"),"Đấu giá&gt; nhà, nội thất&gt; đồ gia dụng&gt; nguồn cung cấp máy giặt&gt; giỏ đựng quần áo")</f>
        <v>Đấu giá&gt; nhà, nội thất&gt; đồ gia dụng&gt; nguồn cung cấp máy giặt&gt; giỏ đựng quần áo</v>
      </c>
      <c r="G251" t="str">
        <f t="shared" ca="1" si="3"/>
        <v>"2084024440" : "giỏ đựng quần áo",</v>
      </c>
    </row>
    <row r="252" spans="1:7" ht="14.25" customHeight="1">
      <c r="A252" s="12">
        <v>2084288026</v>
      </c>
      <c r="B252" s="12" t="s">
        <v>19111</v>
      </c>
      <c r="C252" s="12" t="s">
        <v>19113</v>
      </c>
      <c r="D252" s="12" t="s">
        <v>19115</v>
      </c>
      <c r="E252" s="4" t="str">
        <f ca="1">IFERROR(__xludf.DUMMYFUNCTION("GOOGLETRANSLATE(B269,""ja"",""vi"")"),"máy giặt rack, giá giặt ủi")</f>
        <v>máy giặt rack, giá giặt ủi</v>
      </c>
      <c r="F252" s="4" t="str">
        <f ca="1">IFERROR(__xludf.DUMMYFUNCTION("GOOGLETRANSLATE(C269,""ja"",""vi"")"),"Đấu giá&gt; nhà, nội thất&gt; đồ gia dụng&gt; nguồn cung cấp máy giặt&gt; máy giặt rack, giá giặt ủi")</f>
        <v>Đấu giá&gt; nhà, nội thất&gt; đồ gia dụng&gt; nguồn cung cấp máy giặt&gt; máy giặt rack, giá giặt ủi</v>
      </c>
      <c r="G252" t="str">
        <f t="shared" ca="1" si="3"/>
        <v>"2084288026" : "máy giặt rack, giá giặt ủi",</v>
      </c>
    </row>
    <row r="253" spans="1:7" ht="14.25" customHeight="1">
      <c r="A253" s="12">
        <v>2084024441</v>
      </c>
      <c r="B253" s="12" t="s">
        <v>3954</v>
      </c>
      <c r="C253" s="12" t="s">
        <v>19117</v>
      </c>
      <c r="D253" s="12" t="s">
        <v>19118</v>
      </c>
      <c r="E253" s="4" t="str">
        <f ca="1">IFERROR(__xludf.DUMMYFUNCTION("GOOGLETRANSLATE(B270,""ja"",""vi"")"),"bàn ủi")</f>
        <v>bàn ủi</v>
      </c>
      <c r="F253" s="4" t="str">
        <f ca="1">IFERROR(__xludf.DUMMYFUNCTION("GOOGLETRANSLATE(C270,""ja"",""vi"")"),"Đấu giá&gt; nhà, nội thất&gt; đồ gia dụng&gt; nguồn cung cấp máy giặt&gt; bàn ủi")</f>
        <v>Đấu giá&gt; nhà, nội thất&gt; đồ gia dụng&gt; nguồn cung cấp máy giặt&gt; bàn ủi</v>
      </c>
      <c r="G253" t="str">
        <f t="shared" ca="1" si="3"/>
        <v>"2084024441" : "bàn ủi",</v>
      </c>
    </row>
    <row r="254" spans="1:7" ht="14.25" customHeight="1">
      <c r="A254" s="12">
        <v>2084008355</v>
      </c>
      <c r="B254" s="12" t="s">
        <v>19121</v>
      </c>
      <c r="C254" s="12" t="s">
        <v>19122</v>
      </c>
      <c r="D254" s="12" t="s">
        <v>19123</v>
      </c>
      <c r="E254" s="4" t="str">
        <f ca="1">IFERROR(__xludf.DUMMYFUNCTION("GOOGLETRANSLATE(B271,""ja"",""vi"")"),"ủi")</f>
        <v>ủi</v>
      </c>
      <c r="F254" s="4" t="str">
        <f ca="1">IFERROR(__xludf.DUMMYFUNCTION("GOOGLETRANSLATE(C271,""ja"",""vi"")"),"Đấu giá&gt; nhà, nội thất&gt; đồ gia dụng&gt; nguồn cung cấp máy giặt&gt; Sắt")</f>
        <v>Đấu giá&gt; nhà, nội thất&gt; đồ gia dụng&gt; nguồn cung cấp máy giặt&gt; Sắt</v>
      </c>
      <c r="G254" t="str">
        <f t="shared" ca="1" si="3"/>
        <v>"2084008355" : "ủi",</v>
      </c>
    </row>
    <row r="255" spans="1:7" ht="14.25" customHeight="1">
      <c r="A255" s="12">
        <v>2084288029</v>
      </c>
      <c r="B255" s="12" t="s">
        <v>19126</v>
      </c>
      <c r="C255" s="12" t="s">
        <v>19127</v>
      </c>
      <c r="D255" s="12" t="s">
        <v>19128</v>
      </c>
      <c r="E255" s="4" t="str">
        <f ca="1">IFERROR(__xludf.DUMMYFUNCTION("GOOGLETRANSLATE(B272,""ja"",""vi"")"),"Futon bảng khô")</f>
        <v>Futon bảng khô</v>
      </c>
      <c r="F255" s="4" t="str">
        <f ca="1">IFERROR(__xludf.DUMMYFUNCTION("GOOGLETRANSLATE(C272,""ja"",""vi"")"),"Đấu giá&gt; nhà, nội thất&gt; đồ gia dụng&gt; nguồn cung cấp máy giặt&gt; bảng futon khô")</f>
        <v>Đấu giá&gt; nhà, nội thất&gt; đồ gia dụng&gt; nguồn cung cấp máy giặt&gt; bảng futon khô</v>
      </c>
      <c r="G255" t="str">
        <f t="shared" ca="1" si="3"/>
        <v>"2084288029" : "Futon bảng khô",</v>
      </c>
    </row>
    <row r="256" spans="1:7" ht="14.25" customHeight="1">
      <c r="A256" s="12">
        <v>2084024439</v>
      </c>
      <c r="B256" s="12" t="s">
        <v>19131</v>
      </c>
      <c r="C256" s="12" t="s">
        <v>19132</v>
      </c>
      <c r="D256" s="12" t="s">
        <v>19133</v>
      </c>
      <c r="E256" s="4" t="str">
        <f ca="1">IFERROR(__xludf.DUMMYFUNCTION("GOOGLETRANSLATE(B273,""ja"",""vi"")"),"cực giặt, sợi dây thừng")</f>
        <v>cực giặt, sợi dây thừng</v>
      </c>
      <c r="F256" s="4" t="str">
        <f ca="1">IFERROR(__xludf.DUMMYFUNCTION("GOOGLETRANSLATE(C273,""ja"",""vi"")"),"Đấu giá&gt; nhà, nội thất&gt; đồ gia dụng&gt; nguồn cung cấp máy giặt&gt; cực giặt, sợi dây thừng")</f>
        <v>Đấu giá&gt; nhà, nội thất&gt; đồ gia dụng&gt; nguồn cung cấp máy giặt&gt; cực giặt, sợi dây thừng</v>
      </c>
      <c r="G256" t="str">
        <f t="shared" ca="1" si="3"/>
        <v>"2084024439" : "cực giặt, sợi dây thừng",</v>
      </c>
    </row>
    <row r="257" spans="1:7" ht="14.25" customHeight="1">
      <c r="A257" s="12">
        <v>2084288028</v>
      </c>
      <c r="B257" s="12" t="s">
        <v>19137</v>
      </c>
      <c r="C257" s="12" t="s">
        <v>19138</v>
      </c>
      <c r="D257" s="12" t="s">
        <v>19140</v>
      </c>
      <c r="E257" s="4" t="str">
        <f ca="1">IFERROR(__xludf.DUMMYFUNCTION("GOOGLETRANSLATE(B274,""ja"",""vi"")"),"Quần áo đồng quản trị (đối với ngoài trời)")</f>
        <v>Quần áo đồng quản trị (đối với ngoài trời)</v>
      </c>
      <c r="F257" s="4" t="str">
        <f ca="1">IFERROR(__xludf.DUMMYFUNCTION("GOOGLETRANSLATE(C274,""ja"",""vi"")"),"Đấu giá&gt; nhà, nội thất&gt; đồ gia dụng&gt; nguồn cung cấp máy giặt&gt; quần áo đứng (ngoài trời)")</f>
        <v>Đấu giá&gt; nhà, nội thất&gt; đồ gia dụng&gt; nguồn cung cấp máy giặt&gt; quần áo đứng (ngoài trời)</v>
      </c>
      <c r="G257" t="str">
        <f t="shared" ca="1" si="3"/>
        <v>"2084288028" : "Quần áo đồng quản trị (đối với ngoài trời)",</v>
      </c>
    </row>
    <row r="258" spans="1:7" ht="14.25" customHeight="1">
      <c r="A258" s="12">
        <v>2084288027</v>
      </c>
      <c r="B258" s="12" t="s">
        <v>19143</v>
      </c>
      <c r="C258" s="12" t="s">
        <v>19144</v>
      </c>
      <c r="D258" s="12" t="s">
        <v>19145</v>
      </c>
      <c r="E258" s="4" t="str">
        <f ca="1">IFERROR(__xludf.DUMMYFUNCTION("GOOGLETRANSLATE(B275,""ja"",""vi"")"),"Quần áo đồng quản trị (trong nhà)")</f>
        <v>Quần áo đồng quản trị (trong nhà)</v>
      </c>
      <c r="F258" s="4" t="str">
        <f ca="1">IFERROR(__xludf.DUMMYFUNCTION("GOOGLETRANSLATE(C275,""ja"",""vi"")"),"Đấu giá&gt; nhà, nội thất&gt; đồ gia dụng&gt; nguồn cung cấp máy giặt&gt; quần áo đồng quản trị (trong nhà)")</f>
        <v>Đấu giá&gt; nhà, nội thất&gt; đồ gia dụng&gt; nguồn cung cấp máy giặt&gt; quần áo đồng quản trị (trong nhà)</v>
      </c>
      <c r="G258" t="str">
        <f t="shared" ca="1" si="3"/>
        <v>"2084288027" : "Quần áo đồng quản trị (trong nhà)",</v>
      </c>
    </row>
    <row r="259" spans="1:7" ht="14.25" customHeight="1">
      <c r="A259" s="12">
        <v>2084042682</v>
      </c>
      <c r="B259" s="12" t="s">
        <v>5830</v>
      </c>
      <c r="C259" s="12" t="s">
        <v>19147</v>
      </c>
      <c r="D259" s="12" t="s">
        <v>19149</v>
      </c>
      <c r="E259" s="4" t="str">
        <f ca="1">IFERROR(__xludf.DUMMYFUNCTION("GOOGLETRANSLATE(B276,""ja"",""vi"")"),"máy sấy quần áo")</f>
        <v>máy sấy quần áo</v>
      </c>
      <c r="F259" s="4" t="str">
        <f ca="1">IFERROR(__xludf.DUMMYFUNCTION("GOOGLETRANSLATE(C276,""ja"",""vi"")"),"Đấu giá&gt; nhà, nội thất&gt; đồ gia dụng&gt; nguồn cung cấp máy giặt&gt; máy sấy quần áo")</f>
        <v>Đấu giá&gt; nhà, nội thất&gt; đồ gia dụng&gt; nguồn cung cấp máy giặt&gt; máy sấy quần áo</v>
      </c>
      <c r="G259" t="str">
        <f t="shared" ref="G259:G322" ca="1" si="4">CONCATENATE(CHAR(34)&amp;"",A259,""&amp;CHAR(34)," : ", CHAR(34)&amp;"",E259,""&amp;CHAR(34),",")</f>
        <v>"2084042682" : "máy sấy quần áo",</v>
      </c>
    </row>
    <row r="260" spans="1:7" ht="14.25" customHeight="1">
      <c r="A260" s="12">
        <v>24454</v>
      </c>
      <c r="B260" s="12" t="s">
        <v>19150</v>
      </c>
      <c r="C260" s="12" t="s">
        <v>19152</v>
      </c>
      <c r="D260" s="12" t="s">
        <v>19153</v>
      </c>
      <c r="E260" s="4" t="str">
        <f ca="1">IFERROR(__xludf.DUMMYFUNCTION("GOOGLETRANSLATE(B277,""ja"",""vi"")"),"máy giặt")</f>
        <v>máy giặt</v>
      </c>
      <c r="F260" s="4" t="str">
        <f ca="1">IFERROR(__xludf.DUMMYFUNCTION("GOOGLETRANSLATE(C277,""ja"",""vi"")"),"Đấu giá&gt; nhà, nội thất&gt; đồ gia dụng&gt; nguồn cung cấp máy giặt&gt; máy giặt")</f>
        <v>Đấu giá&gt; nhà, nội thất&gt; đồ gia dụng&gt; nguồn cung cấp máy giặt&gt; máy giặt</v>
      </c>
      <c r="G260" t="str">
        <f t="shared" ca="1" si="4"/>
        <v>"24454" : "máy giặt",</v>
      </c>
    </row>
    <row r="261" spans="1:7" ht="14.25" customHeight="1">
      <c r="A261" s="12">
        <v>2084303433</v>
      </c>
      <c r="B261" s="12" t="s">
        <v>19155</v>
      </c>
      <c r="C261" s="12" t="s">
        <v>19156</v>
      </c>
      <c r="D261" s="12" t="s">
        <v>19157</v>
      </c>
      <c r="E261" s="4" t="str">
        <f ca="1">IFERROR(__xludf.DUMMYFUNCTION("GOOGLETRANSLATE(B278,""ja"",""vi"")"),"bánh máy giặt")</f>
        <v>bánh máy giặt</v>
      </c>
      <c r="F261" s="4" t="str">
        <f ca="1">IFERROR(__xludf.DUMMYFUNCTION("GOOGLETRANSLATE(C278,""ja"",""vi"")"),"Đấu giá&gt; nhà, nội thất&gt; đồ gia dụng&gt; nguồn cung cấp máy giặt&gt; máy giặt bánh mì")</f>
        <v>Đấu giá&gt; nhà, nội thất&gt; đồ gia dụng&gt; nguồn cung cấp máy giặt&gt; máy giặt bánh mì</v>
      </c>
      <c r="G261" t="str">
        <f t="shared" ca="1" si="4"/>
        <v>"2084303433" : "bánh máy giặt",</v>
      </c>
    </row>
    <row r="262" spans="1:7" ht="14.25" customHeight="1">
      <c r="A262" s="12">
        <v>2084303434</v>
      </c>
      <c r="B262" s="12" t="s">
        <v>19158</v>
      </c>
      <c r="C262" s="12" t="s">
        <v>19159</v>
      </c>
      <c r="D262" s="12" t="s">
        <v>19160</v>
      </c>
      <c r="E262" s="4" t="str">
        <f ca="1">IFERROR(__xludf.DUMMYFUNCTION("GOOGLETRANSLATE(B279,""ja"",""vi"")"),"Rửa bẫy máy cống")</f>
        <v>Rửa bẫy máy cống</v>
      </c>
      <c r="F262" s="4" t="str">
        <f ca="1">IFERROR(__xludf.DUMMYFUNCTION("GOOGLETRANSLATE(C279,""ja"",""vi"")"),"Đấu giá&gt; nhà, nội thất&gt; đồ gia dụng&gt; nguồn cung cấp máy giặt&gt; máy giặt bẫy cống")</f>
        <v>Đấu giá&gt; nhà, nội thất&gt; đồ gia dụng&gt; nguồn cung cấp máy giặt&gt; máy giặt bẫy cống</v>
      </c>
      <c r="G262" t="str">
        <f t="shared" ca="1" si="4"/>
        <v>"2084303434" : "Rửa bẫy máy cống",</v>
      </c>
    </row>
    <row r="263" spans="1:7" ht="14.25" customHeight="1">
      <c r="A263" s="12">
        <v>2084024442</v>
      </c>
      <c r="B263" s="12" t="s">
        <v>46</v>
      </c>
      <c r="C263" s="12" t="s">
        <v>19161</v>
      </c>
      <c r="D263" s="12" t="s">
        <v>19163</v>
      </c>
      <c r="E263" s="4" t="str">
        <f ca="1">IFERROR(__xludf.DUMMYFUNCTION("GOOGLETRANSLATE(B280,""ja"",""vi"")"),"nếu không thì")</f>
        <v>nếu không thì</v>
      </c>
      <c r="F263" s="4" t="str">
        <f ca="1">IFERROR(__xludf.DUMMYFUNCTION("GOOGLETRANSLATE(C280,""ja"",""vi"")"),"Đấu giá&gt; nhà, nội thất&gt; đồ gia dụng&gt; nguồn cung cấp máy giặt&gt; Khác")</f>
        <v>Đấu giá&gt; nhà, nội thất&gt; đồ gia dụng&gt; nguồn cung cấp máy giặt&gt; Khác</v>
      </c>
      <c r="G263" t="str">
        <f t="shared" ca="1" si="4"/>
        <v>"2084024442" : "nếu không thì",</v>
      </c>
    </row>
    <row r="264" spans="1:7" ht="14.25" customHeight="1">
      <c r="E264" s="4" t="str">
        <f ca="1">IFERROR(__xludf.DUMMYFUNCTION("GOOGLETRANSLATE(B281,""ja"",""vi"")"),"#VALUE!")</f>
        <v>#VALUE!</v>
      </c>
      <c r="F264" s="4" t="str">
        <f ca="1">IFERROR(__xludf.DUMMYFUNCTION("GOOGLETRANSLATE(C281,""ja"",""vi"")"),"#VALUE!")</f>
        <v>#VALUE!</v>
      </c>
      <c r="G264" t="str">
        <f t="shared" ca="1" si="4"/>
        <v>"" : "#VALUE!",</v>
      </c>
    </row>
    <row r="265" spans="1:7" ht="26.25" customHeight="1">
      <c r="A265" s="3">
        <v>2084024446</v>
      </c>
      <c r="B265" s="10"/>
      <c r="C265" s="10"/>
      <c r="D265" s="10"/>
      <c r="E265" s="4" t="str">
        <f ca="1">IFERROR(__xludf.DUMMYFUNCTION("GOOGLETRANSLATE(B282,""ja"",""vi"")"),"#VALUE!")</f>
        <v>#VALUE!</v>
      </c>
      <c r="F265" s="4" t="str">
        <f ca="1">IFERROR(__xludf.DUMMYFUNCTION("GOOGLETRANSLATE(C282,""ja"",""vi"")"),"#VALUE!")</f>
        <v>#VALUE!</v>
      </c>
      <c r="G265" t="str">
        <f t="shared" ca="1" si="4"/>
        <v>"2084024446" : "#VALUE!",</v>
      </c>
    </row>
    <row r="266" spans="1:7" ht="14.25" customHeight="1">
      <c r="A266" s="29">
        <v>2084024449</v>
      </c>
      <c r="B266" s="29" t="s">
        <v>19167</v>
      </c>
      <c r="C266" s="29" t="s">
        <v>19168</v>
      </c>
      <c r="D266" s="29" t="s">
        <v>19169</v>
      </c>
      <c r="E266" s="4" t="str">
        <f ca="1">IFERROR(__xludf.DUMMYFUNCTION("GOOGLETRANSLATE(B283,""ja"",""vi"")"),"Chất tẩy rửa, chất tẩy rửa")</f>
        <v>Chất tẩy rửa, chất tẩy rửa</v>
      </c>
      <c r="F266" s="4" t="str">
        <f ca="1">IFERROR(__xludf.DUMMYFUNCTION("GOOGLETRANSLATE(C283,""ja"",""vi"")"),"Đấu giá&gt; nhà, nội thất&gt; đồ gia dụng&gt; làm sạch nguồn cung cấp&gt; chất tẩy rửa, làm sạch")</f>
        <v>Đấu giá&gt; nhà, nội thất&gt; đồ gia dụng&gt; làm sạch nguồn cung cấp&gt; chất tẩy rửa, làm sạch</v>
      </c>
      <c r="G266" t="str">
        <f t="shared" ca="1" si="4"/>
        <v>"2084024449" : "Chất tẩy rửa, chất tẩy rửa",</v>
      </c>
    </row>
    <row r="267" spans="1:7" ht="14.25" customHeight="1">
      <c r="A267" s="12">
        <v>2084024447</v>
      </c>
      <c r="B267" s="12" t="s">
        <v>19172</v>
      </c>
      <c r="C267" s="12" t="s">
        <v>19173</v>
      </c>
      <c r="D267" s="12" t="s">
        <v>19174</v>
      </c>
      <c r="E267" s="4" t="str">
        <f ca="1">IFERROR(__xludf.DUMMYFUNCTION("GOOGLETRANSLATE(B284,""ja"",""vi"")"),"nói chung làm sạch")</f>
        <v>nói chung làm sạch</v>
      </c>
      <c r="F267" s="4" t="str">
        <f ca="1">IFERROR(__xludf.DUMMYFUNCTION("GOOGLETRANSLATE(C284,""ja"",""vi"")"),"Đấu giá&gt; nhà, nội thất&gt; đồ gia dụng&gt; làm sạch nguồn cung cấp&gt; vệ sinh chung")</f>
        <v>Đấu giá&gt; nhà, nội thất&gt; đồ gia dụng&gt; làm sạch nguồn cung cấp&gt; vệ sinh chung</v>
      </c>
      <c r="G267" t="str">
        <f t="shared" ca="1" si="4"/>
        <v>"2084024447" : "nói chung làm sạch",</v>
      </c>
    </row>
    <row r="268" spans="1:7" ht="14.25" customHeight="1">
      <c r="A268" s="12">
        <v>2084024448</v>
      </c>
      <c r="B268" s="12" t="s">
        <v>46</v>
      </c>
      <c r="C268" s="12" t="s">
        <v>19177</v>
      </c>
      <c r="D268" s="12" t="s">
        <v>19178</v>
      </c>
      <c r="E268" s="4" t="str">
        <f ca="1">IFERROR(__xludf.DUMMYFUNCTION("GOOGLETRANSLATE(B285,""ja"",""vi"")"),"nếu không thì")</f>
        <v>nếu không thì</v>
      </c>
      <c r="F268" s="4" t="str">
        <f ca="1">IFERROR(__xludf.DUMMYFUNCTION("GOOGLETRANSLATE(C285,""ja"",""vi"")"),"Đấu giá&gt; nhà, nội thất&gt; đồ gia dụng&gt; Sản phẩm làm sạch&gt; Khác")</f>
        <v>Đấu giá&gt; nhà, nội thất&gt; đồ gia dụng&gt; Sản phẩm làm sạch&gt; Khác</v>
      </c>
      <c r="G268" t="str">
        <f t="shared" ca="1" si="4"/>
        <v>"2084024448" : "nếu không thì",</v>
      </c>
    </row>
    <row r="269" spans="1:7" ht="14.25" customHeight="1">
      <c r="E269" s="4" t="str">
        <f ca="1">IFERROR(__xludf.DUMMYFUNCTION("GOOGLETRANSLATE(B286,""ja"",""vi"")"),"#VALUE!")</f>
        <v>#VALUE!</v>
      </c>
      <c r="F269" s="4" t="str">
        <f ca="1">IFERROR(__xludf.DUMMYFUNCTION("GOOGLETRANSLATE(C286,""ja"",""vi"")"),"#VALUE!")</f>
        <v>#VALUE!</v>
      </c>
      <c r="G269" t="str">
        <f t="shared" ca="1" si="4"/>
        <v>"" : "#VALUE!",</v>
      </c>
    </row>
    <row r="270" spans="1:7" ht="14.25" customHeight="1">
      <c r="A270" s="31">
        <v>2084024425</v>
      </c>
      <c r="B270" s="32"/>
      <c r="C270" s="32"/>
      <c r="D270" s="32"/>
      <c r="E270" s="4" t="str">
        <f ca="1">IFERROR(__xludf.DUMMYFUNCTION("GOOGLETRANSLATE(B287,""ja"",""vi"")"),"#VALUE!")</f>
        <v>#VALUE!</v>
      </c>
      <c r="F270" s="4" t="str">
        <f ca="1">IFERROR(__xludf.DUMMYFUNCTION("GOOGLETRANSLATE(C287,""ja"",""vi"")"),"#VALUE!")</f>
        <v>#VALUE!</v>
      </c>
      <c r="G270" t="str">
        <f t="shared" ca="1" si="4"/>
        <v>"2084024425" : "#VALUE!",</v>
      </c>
    </row>
    <row r="271" spans="1:7" ht="14.25" customHeight="1">
      <c r="A271" s="12">
        <v>2084024427</v>
      </c>
      <c r="B271" s="12" t="s">
        <v>19188</v>
      </c>
      <c r="C271" s="12" t="s">
        <v>19190</v>
      </c>
      <c r="D271" s="12" t="s">
        <v>19192</v>
      </c>
      <c r="E271" s="4" t="str">
        <f ca="1">IFERROR(__xludf.DUMMYFUNCTION("GOOGLETRANSLATE(B288,""ja"",""vi"")"),"Đối với nhà vệ sinh")</f>
        <v>Đối với nhà vệ sinh</v>
      </c>
      <c r="F271" s="4" t="str">
        <f ca="1">IFERROR(__xludf.DUMMYFUNCTION("GOOGLETRANSLATE(C288,""ja"",""vi"")"),"Đấu giá&gt; nhà, nội thất&gt; hàng gia dụng&gt; hương thơm, chất khử mùi&gt; cho nhà vệ sinh")</f>
        <v>Đấu giá&gt; nhà, nội thất&gt; hàng gia dụng&gt; hương thơm, chất khử mùi&gt; cho nhà vệ sinh</v>
      </c>
      <c r="G271" t="str">
        <f t="shared" ca="1" si="4"/>
        <v>"2084024427" : "Đối với nhà vệ sinh",</v>
      </c>
    </row>
    <row r="272" spans="1:7" ht="14.25" customHeight="1">
      <c r="A272" s="12">
        <v>2084047755</v>
      </c>
      <c r="B272" s="12" t="s">
        <v>13301</v>
      </c>
      <c r="C272" s="12" t="s">
        <v>19196</v>
      </c>
      <c r="D272" s="12" t="s">
        <v>19197</v>
      </c>
      <c r="E272" s="4" t="str">
        <f ca="1">IFERROR(__xludf.DUMMYFUNCTION("GOOGLETRANSLATE(B289,""ja"",""vi"")"),"potpourri")</f>
        <v>potpourri</v>
      </c>
      <c r="F272" s="4" t="str">
        <f ca="1">IFERROR(__xludf.DUMMYFUNCTION("GOOGLETRANSLATE(C289,""ja"",""vi"")"),"Đấu giá&gt; nhà, nội thất&gt; hàng gia dụng&gt; hương thơm, chất khử mùi&gt; Potpourri")</f>
        <v>Đấu giá&gt; nhà, nội thất&gt; hàng gia dụng&gt; hương thơm, chất khử mùi&gt; Potpourri</v>
      </c>
      <c r="G272" t="str">
        <f t="shared" ca="1" si="4"/>
        <v>"2084047755" : "potpourri",</v>
      </c>
    </row>
    <row r="273" spans="1:7" ht="14.25" customHeight="1">
      <c r="A273" s="12">
        <v>2084024426</v>
      </c>
      <c r="B273" s="12" t="s">
        <v>19201</v>
      </c>
      <c r="C273" s="12" t="s">
        <v>19202</v>
      </c>
      <c r="D273" s="12" t="s">
        <v>19204</v>
      </c>
      <c r="E273" s="4" t="str">
        <f ca="1">IFERROR(__xludf.DUMMYFUNCTION("GOOGLETRANSLATE(B290,""ja"",""vi"")"),"cho xe ô tô")</f>
        <v>cho xe ô tô</v>
      </c>
      <c r="F273" s="4" t="str">
        <f ca="1">IFERROR(__xludf.DUMMYFUNCTION("GOOGLETRANSLATE(C290,""ja"",""vi"")"),"Đấu giá&gt; nhà, nội thất&gt; hàng gia dụng&gt; hương thơm, chất khử mùi&gt; cho xe ô tô")</f>
        <v>Đấu giá&gt; nhà, nội thất&gt; hàng gia dụng&gt; hương thơm, chất khử mùi&gt; cho xe ô tô</v>
      </c>
      <c r="G273" t="str">
        <f t="shared" ca="1" si="4"/>
        <v>"2084024426" : "cho xe ô tô",</v>
      </c>
    </row>
    <row r="274" spans="1:7" ht="14.25" customHeight="1">
      <c r="A274" s="12">
        <v>2084024428</v>
      </c>
      <c r="B274" s="12" t="s">
        <v>19207</v>
      </c>
      <c r="C274" s="12" t="s">
        <v>19208</v>
      </c>
      <c r="D274" s="12" t="s">
        <v>19209</v>
      </c>
      <c r="E274" s="4" t="str">
        <f ca="1">IFERROR(__xludf.DUMMYFUNCTION("GOOGLETRANSLATE(B291,""ja"",""vi"")"),"cho phòng")</f>
        <v>cho phòng</v>
      </c>
      <c r="F274" s="4" t="str">
        <f ca="1">IFERROR(__xludf.DUMMYFUNCTION("GOOGLETRANSLATE(C291,""ja"",""vi"")"),"Đấu giá&gt; nhà, nội thất&gt; hàng gia dụng&gt; hương thơm, chất khử mùi&gt; cho phòng")</f>
        <v>Đấu giá&gt; nhà, nội thất&gt; hàng gia dụng&gt; hương thơm, chất khử mùi&gt; cho phòng</v>
      </c>
      <c r="G274" t="str">
        <f t="shared" ca="1" si="4"/>
        <v>"2084024428" : "cho phòng",</v>
      </c>
    </row>
    <row r="275" spans="1:7" ht="14.25" customHeight="1">
      <c r="A275" s="12">
        <v>2084049742</v>
      </c>
      <c r="B275" s="12" t="s">
        <v>19213</v>
      </c>
      <c r="C275" s="12" t="s">
        <v>19214</v>
      </c>
      <c r="D275" s="12" t="s">
        <v>19215</v>
      </c>
      <c r="E275" s="4" t="str">
        <f ca="1">IFERROR(__xludf.DUMMYFUNCTION("GOOGLETRANSLATE(B292,""ja"",""vi"")"),"Chất chống mồ hôi, khử mùi")</f>
        <v>Chất chống mồ hôi, khử mùi</v>
      </c>
      <c r="F275" s="4" t="str">
        <f ca="1">IFERROR(__xludf.DUMMYFUNCTION("GOOGLETRANSLATE(C292,""ja"",""vi"")"),"Đấu giá&gt; nhà, nội thất&gt; hàng gia dụng&gt; hương thơm, chất khử mùi&gt; chất chống mồ hôi, khử mùi")</f>
        <v>Đấu giá&gt; nhà, nội thất&gt; hàng gia dụng&gt; hương thơm, chất khử mùi&gt; chất chống mồ hôi, khử mùi</v>
      </c>
      <c r="G275" t="str">
        <f t="shared" ca="1" si="4"/>
        <v>"2084049742" : "Chất chống mồ hôi, khử mùi",</v>
      </c>
    </row>
    <row r="276" spans="1:7" ht="14.25" customHeight="1">
      <c r="A276" s="12">
        <v>2084063418</v>
      </c>
      <c r="B276" s="12" t="s">
        <v>19219</v>
      </c>
      <c r="C276" s="12" t="s">
        <v>19220</v>
      </c>
      <c r="D276" s="12" t="s">
        <v>19223</v>
      </c>
      <c r="E276" s="4" t="str">
        <f ca="1">IFERROR(__xludf.DUMMYFUNCTION("GOOGLETRANSLATE(B293,""ja"",""vi"")"),"nguồn cung cấp chất khử mùi chân")</f>
        <v>nguồn cung cấp chất khử mùi chân</v>
      </c>
      <c r="F276" s="4" t="str">
        <f ca="1">IFERROR(__xludf.DUMMYFUNCTION("GOOGLETRANSLATE(C293,""ja"",""vi"")"),"Đấu giá&gt; nhà, nội thất&gt; hàng gia dụng&gt; hương thơm, chất khử mùi&gt; nguồn cung cấp chất khử mùi chân")</f>
        <v>Đấu giá&gt; nhà, nội thất&gt; hàng gia dụng&gt; hương thơm, chất khử mùi&gt; nguồn cung cấp chất khử mùi chân</v>
      </c>
      <c r="G276" t="str">
        <f t="shared" ca="1" si="4"/>
        <v>"2084063418" : "nguồn cung cấp chất khử mùi chân",</v>
      </c>
    </row>
    <row r="277" spans="1:7" ht="14.25" customHeight="1">
      <c r="A277" s="12">
        <v>2084024429</v>
      </c>
      <c r="B277" s="12" t="s">
        <v>46</v>
      </c>
      <c r="C277" s="12" t="s">
        <v>19225</v>
      </c>
      <c r="D277" s="12" t="s">
        <v>19227</v>
      </c>
      <c r="E277" s="4" t="str">
        <f ca="1">IFERROR(__xludf.DUMMYFUNCTION("GOOGLETRANSLATE(B294,""ja"",""vi"")"),"nếu không thì")</f>
        <v>nếu không thì</v>
      </c>
      <c r="F277" s="4" t="str">
        <f ca="1">IFERROR(__xludf.DUMMYFUNCTION("GOOGLETRANSLATE(C294,""ja"",""vi"")"),"Đấu giá&gt; nhà, nội thất&gt; hàng gia dụng&gt; hương thơm, chất khử mùi&gt; Khác")</f>
        <v>Đấu giá&gt; nhà, nội thất&gt; hàng gia dụng&gt; hương thơm, chất khử mùi&gt; Khác</v>
      </c>
      <c r="G277" t="str">
        <f t="shared" ca="1" si="4"/>
        <v>"2084024429" : "nếu không thì",</v>
      </c>
    </row>
    <row r="278" spans="1:7" ht="14.25" customHeight="1">
      <c r="E278" s="4" t="str">
        <f ca="1">IFERROR(__xludf.DUMMYFUNCTION("GOOGLETRANSLATE(B295,""ja"",""vi"")"),"#VALUE!")</f>
        <v>#VALUE!</v>
      </c>
      <c r="F278" s="4" t="str">
        <f ca="1">IFERROR(__xludf.DUMMYFUNCTION("GOOGLETRANSLATE(C295,""ja"",""vi"")"),"#VALUE!")</f>
        <v>#VALUE!</v>
      </c>
      <c r="G278" t="str">
        <f t="shared" ca="1" si="4"/>
        <v>"" : "#VALUE!",</v>
      </c>
    </row>
    <row r="279" spans="1:7" ht="14.25" customHeight="1">
      <c r="A279" s="3">
        <v>20924</v>
      </c>
      <c r="B279" s="10"/>
      <c r="C279" s="10"/>
      <c r="D279" s="10"/>
      <c r="E279" s="4" t="str">
        <f ca="1">IFERROR(__xludf.DUMMYFUNCTION("GOOGLETRANSLATE(B296,""ja"",""vi"")"),"#VALUE!")</f>
        <v>#VALUE!</v>
      </c>
      <c r="F279" s="4" t="str">
        <f ca="1">IFERROR(__xludf.DUMMYFUNCTION("GOOGLETRANSLATE(C296,""ja"",""vi"")"),"#VALUE!")</f>
        <v>#VALUE!</v>
      </c>
      <c r="G279" t="str">
        <f t="shared" ca="1" si="4"/>
        <v>"20924" : "#VALUE!",</v>
      </c>
    </row>
    <row r="280" spans="1:7" ht="14.25" customHeight="1">
      <c r="A280" s="29">
        <v>24414</v>
      </c>
      <c r="B280" s="29" t="s">
        <v>7397</v>
      </c>
      <c r="C280" s="29" t="s">
        <v>18123</v>
      </c>
      <c r="D280" s="29" t="s">
        <v>19232</v>
      </c>
      <c r="E280" s="4" t="str">
        <f ca="1">IFERROR(__xludf.DUMMYFUNCTION("GOOGLETRANSLATE(B297,""ja"",""vi"")"),"May, thêu ren")</f>
        <v>May, thêu ren</v>
      </c>
      <c r="F280" s="4" t="str">
        <f ca="1">IFERROR(__xludf.DUMMYFUNCTION("GOOGLETRANSLATE(C297,""ja"",""vi"")"),"Đấu giá&gt; Sở thích, văn hóa&gt; thủ công, thủ công mỹ nghệ&gt; may, thêu ren")</f>
        <v>Đấu giá&gt; Sở thích, văn hóa&gt; thủ công, thủ công mỹ nghệ&gt; may, thêu ren</v>
      </c>
      <c r="G280" t="str">
        <f t="shared" ca="1" si="4"/>
        <v>"24414" : "May, thêu ren",</v>
      </c>
    </row>
    <row r="281" spans="1:7" ht="14.25" customHeight="1">
      <c r="A281" s="12">
        <v>2084008354</v>
      </c>
      <c r="B281" s="12" t="s">
        <v>6956</v>
      </c>
      <c r="C281" s="12" t="s">
        <v>18128</v>
      </c>
      <c r="D281" s="12" t="s">
        <v>19236</v>
      </c>
      <c r="E281" s="4" t="str">
        <f ca="1">IFERROR(__xludf.DUMMYFUNCTION("GOOGLETRANSLATE(B298,""ja"",""vi"")"),"máy may")</f>
        <v>máy may</v>
      </c>
      <c r="F281" s="4" t="str">
        <f ca="1">IFERROR(__xludf.DUMMYFUNCTION("GOOGLETRANSLATE(C298,""ja"",""vi"")"),"Đấu giá&gt; Sở thích, văn hóa&gt; thủ công, thủ công mỹ nghệ&gt; máy may")</f>
        <v>Đấu giá&gt; Sở thích, văn hóa&gt; thủ công, thủ công mỹ nghệ&gt; máy may</v>
      </c>
      <c r="G281" t="str">
        <f t="shared" ca="1" si="4"/>
        <v>"2084008354" : "máy may",</v>
      </c>
    </row>
    <row r="282" spans="1:7" ht="14.25" customHeight="1">
      <c r="A282" s="12">
        <v>2084042445</v>
      </c>
      <c r="B282" s="12" t="s">
        <v>7390</v>
      </c>
      <c r="C282" s="12" t="s">
        <v>18131</v>
      </c>
      <c r="D282" s="12" t="s">
        <v>19240</v>
      </c>
      <c r="E282" s="4" t="str">
        <f ca="1">IFERROR(__xludf.DUMMYFUNCTION("GOOGLETRANSLATE(B299,""ja"",""vi"")"),"Chế tác hạt")</f>
        <v>Chế tác hạt</v>
      </c>
      <c r="F282" s="4" t="str">
        <f ca="1">IFERROR(__xludf.DUMMYFUNCTION("GOOGLETRANSLATE(C299,""ja"",""vi"")"),"Đấu giá&gt; Sở thích, văn hóa&gt; thủ công, thủ công mỹ nghệ&gt; nghệ thuật kết cườm")</f>
        <v>Đấu giá&gt; Sở thích, văn hóa&gt; thủ công, thủ công mỹ nghệ&gt; nghệ thuật kết cườm</v>
      </c>
      <c r="G282" t="str">
        <f t="shared" ca="1" si="4"/>
        <v>"2084042445" : "Chế tác hạt",</v>
      </c>
    </row>
    <row r="283" spans="1:7" ht="14.25" customHeight="1">
      <c r="A283" s="12">
        <v>2084045848</v>
      </c>
      <c r="B283" s="12" t="s">
        <v>7407</v>
      </c>
      <c r="C283" s="12" t="s">
        <v>18133</v>
      </c>
      <c r="D283" s="12" t="s">
        <v>19243</v>
      </c>
      <c r="E283" s="4" t="str">
        <f ca="1">IFERROR(__xludf.DUMMYFUNCTION("GOOGLETRANSLATE(B300,""ja"",""vi"")"),"đan")</f>
        <v>đan</v>
      </c>
      <c r="F283" s="4" t="str">
        <f ca="1">IFERROR(__xludf.DUMMYFUNCTION("GOOGLETRANSLATE(C300,""ja"",""vi"")"),"Đấu giá&gt; Sở thích, văn hóa&gt; thủ công, thủ công mỹ nghệ&gt; đan")</f>
        <v>Đấu giá&gt; Sở thích, văn hóa&gt; thủ công, thủ công mỹ nghệ&gt; đan</v>
      </c>
      <c r="G283" t="str">
        <f t="shared" ca="1" si="4"/>
        <v>"2084045848" : "đan",</v>
      </c>
    </row>
    <row r="284" spans="1:7" ht="14.25" customHeight="1">
      <c r="A284" s="12">
        <v>2084042444</v>
      </c>
      <c r="B284" s="12" t="s">
        <v>18136</v>
      </c>
      <c r="C284" s="12" t="s">
        <v>18138</v>
      </c>
      <c r="D284" s="12" t="s">
        <v>19247</v>
      </c>
      <c r="E284" s="4" t="str">
        <f ca="1">IFERROR(__xludf.DUMMYFUNCTION("GOOGLETRANSLATE(B301,""ja"",""vi"")"),"hàng thủ công đất sét")</f>
        <v>hàng thủ công đất sét</v>
      </c>
      <c r="F284" s="4" t="str">
        <f ca="1">IFERROR(__xludf.DUMMYFUNCTION("GOOGLETRANSLATE(C301,""ja"",""vi"")"),"Đấu giá&gt; Sở thích, văn hóa&gt; thủ công, thủ công mỹ nghệ&gt; nghề sét")</f>
        <v>Đấu giá&gt; Sở thích, văn hóa&gt; thủ công, thủ công mỹ nghệ&gt; nghề sét</v>
      </c>
      <c r="G284" t="str">
        <f t="shared" ca="1" si="4"/>
        <v>"2084042444" : "hàng thủ công đất sét",</v>
      </c>
    </row>
    <row r="285" spans="1:7" ht="14.25" customHeight="1">
      <c r="A285" s="12">
        <v>2084063304</v>
      </c>
      <c r="B285" s="12" t="s">
        <v>7394</v>
      </c>
      <c r="C285" s="12" t="s">
        <v>18139</v>
      </c>
      <c r="D285" s="12" t="s">
        <v>19251</v>
      </c>
      <c r="E285" s="4" t="str">
        <f ca="1">IFERROR(__xludf.DUMMYFUNCTION("GOOGLETRANSLATE(B302,""ja"",""vi"")"),"da nghề")</f>
        <v>da nghề</v>
      </c>
      <c r="F285" s="4" t="str">
        <f ca="1">IFERROR(__xludf.DUMMYFUNCTION("GOOGLETRANSLATE(C302,""ja"",""vi"")"),"Đấu giá&gt; Sở thích, văn hóa&gt; thủ công, thủ công mỹ nghệ&gt; da nghề")</f>
        <v>Đấu giá&gt; Sở thích, văn hóa&gt; thủ công, thủ công mỹ nghệ&gt; da nghề</v>
      </c>
      <c r="G285" t="str">
        <f t="shared" ca="1" si="4"/>
        <v>"2084063304" : "da nghề",</v>
      </c>
    </row>
    <row r="286" spans="1:7" ht="14.25" customHeight="1">
      <c r="A286" s="12">
        <v>2084063305</v>
      </c>
      <c r="B286" s="12" t="s">
        <v>18141</v>
      </c>
      <c r="C286" s="12" t="s">
        <v>18143</v>
      </c>
      <c r="D286" s="12" t="s">
        <v>19255</v>
      </c>
      <c r="E286" s="4" t="str">
        <f ca="1">IFERROR(__xludf.DUMMYFUNCTION("GOOGLETRANSLATE(B303,""ja"",""vi"")"),"Craft giấy")</f>
        <v>Craft giấy</v>
      </c>
      <c r="F286" s="4" t="str">
        <f ca="1">IFERROR(__xludf.DUMMYFUNCTION("GOOGLETRANSLATE(C303,""ja"",""vi"")"),"Đấu giá&gt; Sở thích, văn hóa&gt; thủ công, thủ công mỹ nghệ&gt; nghề giấy")</f>
        <v>Đấu giá&gt; Sở thích, văn hóa&gt; thủ công, thủ công mỹ nghệ&gt; nghề giấy</v>
      </c>
      <c r="G286" t="str">
        <f t="shared" ca="1" si="4"/>
        <v>"2084063305" : "Craft giấy",</v>
      </c>
    </row>
    <row r="287" spans="1:7" ht="14.25" customHeight="1">
      <c r="A287" s="12">
        <v>2084006705</v>
      </c>
      <c r="B287" s="12" t="s">
        <v>18144</v>
      </c>
      <c r="C287" s="12" t="s">
        <v>18145</v>
      </c>
      <c r="D287" s="12" t="s">
        <v>19259</v>
      </c>
      <c r="E287" s="4" t="str">
        <f ca="1">IFERROR(__xludf.DUMMYFUNCTION("GOOGLETRANSLATE(B304,""ja"",""vi"")"),"Nghệ thuật hoa, hoa ép")</f>
        <v>Nghệ thuật hoa, hoa ép</v>
      </c>
      <c r="F287" s="4" t="str">
        <f ca="1">IFERROR(__xludf.DUMMYFUNCTION("GOOGLETRANSLATE(C304,""ja"",""vi"")"),"Đấu giá&gt; Sở thích, văn hóa&gt; thủ công, thủ công mỹ nghệ&gt; Nghệ thuật hoa, hoa ép")</f>
        <v>Đấu giá&gt; Sở thích, văn hóa&gt; thủ công, thủ công mỹ nghệ&gt; Nghệ thuật hoa, hoa ép</v>
      </c>
      <c r="G287" t="str">
        <f t="shared" ca="1" si="4"/>
        <v>"2084006705" : "Nghệ thuật hoa, hoa ép",</v>
      </c>
    </row>
    <row r="288" spans="1:7" ht="14.25" customHeight="1">
      <c r="A288" s="12">
        <v>2084042440</v>
      </c>
      <c r="B288" s="12" t="s">
        <v>18147</v>
      </c>
      <c r="C288" s="12" t="s">
        <v>18148</v>
      </c>
      <c r="D288" s="12" t="s">
        <v>19265</v>
      </c>
      <c r="E288" s="4" t="str">
        <f ca="1">IFERROR(__xludf.DUMMYFUNCTION("GOOGLETRANSLATE(B305,""ja"",""vi"")"),"Máy làm đồ gỗ, sơn")</f>
        <v>Máy làm đồ gỗ, sơn</v>
      </c>
      <c r="F288" s="4" t="str">
        <f ca="1">IFERROR(__xludf.DUMMYFUNCTION("GOOGLETRANSLATE(C305,""ja"",""vi"")"),"Đấu giá&gt; Sở thích, văn hóa&gt; thủ công, thủ công mỹ nghệ&gt; chế biến gỗ, sơn")</f>
        <v>Đấu giá&gt; Sở thích, văn hóa&gt; thủ công, thủ công mỹ nghệ&gt; chế biến gỗ, sơn</v>
      </c>
      <c r="G288" t="str">
        <f t="shared" ca="1" si="4"/>
        <v>"2084042440" : "Máy làm đồ gỗ, sơn",</v>
      </c>
    </row>
    <row r="289" spans="1:7" ht="14.25" customHeight="1">
      <c r="A289" s="12">
        <v>2084042442</v>
      </c>
      <c r="B289" s="12" t="s">
        <v>18151</v>
      </c>
      <c r="C289" s="12" t="s">
        <v>18152</v>
      </c>
      <c r="D289" s="12" t="s">
        <v>19269</v>
      </c>
      <c r="E289" s="4" t="str">
        <f ca="1">IFERROR(__xludf.DUMMYFUNCTION("GOOGLETRANSLATE(B306,""ja"",""vi"")"),"hàng thủ công kính")</f>
        <v>hàng thủ công kính</v>
      </c>
      <c r="F289" s="4" t="str">
        <f ca="1">IFERROR(__xludf.DUMMYFUNCTION("GOOGLETRANSLATE(C306,""ja"",""vi"")"),"Đấu giá&gt; Sở thích, văn hóa&gt; thủ công, thủ công mỹ nghệ&gt; thủ công kính")</f>
        <v>Đấu giá&gt; Sở thích, văn hóa&gt; thủ công, thủ công mỹ nghệ&gt; thủ công kính</v>
      </c>
      <c r="G289" t="str">
        <f t="shared" ca="1" si="4"/>
        <v>"2084042442" : "hàng thủ công kính",</v>
      </c>
    </row>
    <row r="290" spans="1:7" ht="14.25" customHeight="1">
      <c r="A290" s="12">
        <v>2084305345</v>
      </c>
      <c r="B290" s="12" t="s">
        <v>18158</v>
      </c>
      <c r="C290" s="12" t="s">
        <v>18159</v>
      </c>
      <c r="D290" s="12" t="s">
        <v>19273</v>
      </c>
      <c r="E290" s="4" t="str">
        <f ca="1">IFERROR(__xludf.DUMMYFUNCTION("GOOGLETRANSLATE(B307,""ja"",""vi"")"),"bạc Clay")</f>
        <v>bạc Clay</v>
      </c>
      <c r="F290" s="4" t="str">
        <f ca="1">IFERROR(__xludf.DUMMYFUNCTION("GOOGLETRANSLATE(C307,""ja"",""vi"")"),"Đấu giá&gt; Sở thích, văn hóa&gt; thủ công, thủ công mỹ nghệ&gt; Bạc Clay")</f>
        <v>Đấu giá&gt; Sở thích, văn hóa&gt; thủ công, thủ công mỹ nghệ&gt; Bạc Clay</v>
      </c>
      <c r="G290" t="str">
        <f t="shared" ca="1" si="4"/>
        <v>"2084305345" : "bạc Clay",</v>
      </c>
    </row>
    <row r="291" spans="1:7" ht="14.25" customHeight="1">
      <c r="A291" s="12">
        <v>2084042443</v>
      </c>
      <c r="B291" s="12" t="s">
        <v>18165</v>
      </c>
      <c r="C291" s="12" t="s">
        <v>18166</v>
      </c>
      <c r="D291" s="12" t="s">
        <v>19277</v>
      </c>
      <c r="E291" s="4" t="str">
        <f ca="1">IFERROR(__xludf.DUMMYFUNCTION("GOOGLETRANSLATE(B308,""ja"",""vi"")"),"chế biến kim loại, khắc")</f>
        <v>chế biến kim loại, khắc</v>
      </c>
      <c r="F291" s="4" t="str">
        <f ca="1">IFERROR(__xludf.DUMMYFUNCTION("GOOGLETRANSLATE(C308,""ja"",""vi"")"),"Đấu giá&gt; Sở thích, văn hóa&gt; thủ công, thủ công mỹ nghệ&gt; gia công kim loại, khắc")</f>
        <v>Đấu giá&gt; Sở thích, văn hóa&gt; thủ công, thủ công mỹ nghệ&gt; gia công kim loại, khắc</v>
      </c>
      <c r="G291" t="str">
        <f t="shared" ca="1" si="4"/>
        <v>"2084042443" : "chế biến kim loại, khắc",</v>
      </c>
    </row>
    <row r="292" spans="1:7" ht="14.25" customHeight="1">
      <c r="A292" s="12">
        <v>2084305332</v>
      </c>
      <c r="B292" s="12" t="s">
        <v>18169</v>
      </c>
      <c r="C292" s="12" t="s">
        <v>18170</v>
      </c>
      <c r="D292" s="12" t="s">
        <v>19281</v>
      </c>
      <c r="E292" s="4" t="str">
        <f ca="1">IFERROR(__xludf.DUMMYFUNCTION("GOOGLETRANSLATE(B309,""ja"",""vi"")"),"nến")</f>
        <v>nến</v>
      </c>
      <c r="F292" s="4" t="str">
        <f ca="1">IFERROR(__xludf.DUMMYFUNCTION("GOOGLETRANSLATE(C309,""ja"",""vi"")"),"Đấu giá&gt; Sở thích, văn hóa&gt; thủ công, thủ công mỹ nghệ&gt; nến")</f>
        <v>Đấu giá&gt; Sở thích, văn hóa&gt; thủ công, thủ công mỹ nghệ&gt; nến</v>
      </c>
      <c r="G292" t="str">
        <f t="shared" ca="1" si="4"/>
        <v>"2084305332" : "nến",</v>
      </c>
    </row>
    <row r="293" spans="1:7" ht="14.25" customHeight="1">
      <c r="A293" s="12">
        <v>2084063367</v>
      </c>
      <c r="B293" s="12" t="s">
        <v>18173</v>
      </c>
      <c r="C293" s="12" t="s">
        <v>18174</v>
      </c>
      <c r="D293" s="12" t="s">
        <v>19284</v>
      </c>
      <c r="E293" s="4" t="str">
        <f ca="1">IFERROR(__xludf.DUMMYFUNCTION("GOOGLETRANSLATE(B310,""ja"",""vi"")"),"Dekopatsu")</f>
        <v>Dekopatsu</v>
      </c>
      <c r="F293" s="4" t="str">
        <f ca="1">IFERROR(__xludf.DUMMYFUNCTION("GOOGLETRANSLATE(C310,""ja"",""vi"")"),"Đấu giá&gt; Sở thích, văn hóa&gt; thủ công, thủ công mỹ nghệ&gt; Dekopatsu")</f>
        <v>Đấu giá&gt; Sở thích, văn hóa&gt; thủ công, thủ công mỹ nghệ&gt; Dekopatsu</v>
      </c>
      <c r="G293" t="str">
        <f t="shared" ca="1" si="4"/>
        <v>"2084063367" : "Dekopatsu",</v>
      </c>
    </row>
    <row r="294" spans="1:7" ht="14.25" customHeight="1">
      <c r="A294" s="12">
        <v>25864</v>
      </c>
      <c r="B294" s="12" t="s">
        <v>7305</v>
      </c>
      <c r="C294" s="12" t="s">
        <v>18178</v>
      </c>
      <c r="D294" s="12" t="s">
        <v>19288</v>
      </c>
      <c r="E294" s="4" t="str">
        <f ca="1">IFERROR(__xludf.DUMMYFUNCTION("GOOGLETRANSLATE(B311,""ja"",""vi"")"),"tùy chỉnh búp bê")</f>
        <v>tùy chỉnh búp bê</v>
      </c>
      <c r="F294" s="4" t="str">
        <f ca="1">IFERROR(__xludf.DUMMYFUNCTION("GOOGLETRANSLATE(C311,""ja"",""vi"")"),"Đấu giá&gt; Sở thích, văn hóa&gt; thủ công, thủ công mỹ nghệ&gt; búp bê tùy chỉnh")</f>
        <v>Đấu giá&gt; Sở thích, văn hóa&gt; thủ công, thủ công mỹ nghệ&gt; búp bê tùy chỉnh</v>
      </c>
      <c r="G294" t="str">
        <f t="shared" ca="1" si="4"/>
        <v>"25864" : "tùy chỉnh búp bê",</v>
      </c>
    </row>
    <row r="295" spans="1:7" ht="14.25" customHeight="1">
      <c r="A295" s="12">
        <v>2084008951</v>
      </c>
      <c r="B295" s="12" t="s">
        <v>18182</v>
      </c>
      <c r="C295" s="12" t="s">
        <v>18184</v>
      </c>
      <c r="D295" s="12" t="s">
        <v>19291</v>
      </c>
      <c r="E295" s="4" t="str">
        <f ca="1">IFERROR(__xludf.DUMMYFUNCTION("GOOGLETRANSLATE(B312,""ja"",""vi"")"),"Thủ công mỹ nghệ Sách")</f>
        <v>Thủ công mỹ nghệ Sách</v>
      </c>
      <c r="F295" s="4" t="str">
        <f ca="1">IFERROR(__xludf.DUMMYFUNCTION("GOOGLETRANSLATE(C312,""ja"",""vi"")"),"Đấu giá&gt; Sở thích, văn hóa&gt; thủ công, thủ công mỹ nghệ&gt; Thủ công mỹ nghệ này")</f>
        <v>Đấu giá&gt; Sở thích, văn hóa&gt; thủ công, thủ công mỹ nghệ&gt; Thủ công mỹ nghệ này</v>
      </c>
      <c r="G295" t="str">
        <f t="shared" ca="1" si="4"/>
        <v>"2084008951" : "Thủ công mỹ nghệ Sách",</v>
      </c>
    </row>
    <row r="296" spans="1:7" ht="14.25" customHeight="1">
      <c r="A296" s="12">
        <v>20124</v>
      </c>
      <c r="B296" s="12" t="s">
        <v>18187</v>
      </c>
      <c r="C296" s="12" t="s">
        <v>18191</v>
      </c>
      <c r="D296" s="12" t="s">
        <v>19295</v>
      </c>
      <c r="E296" s="4" t="str">
        <f ca="1">IFERROR(__xludf.DUMMYFUNCTION("GOOGLETRANSLATE(B313,""ja"",""vi"")"),"Art Supplies")</f>
        <v>Art Supplies</v>
      </c>
      <c r="F296" s="4" t="str">
        <f ca="1">IFERROR(__xludf.DUMMYFUNCTION("GOOGLETRANSLATE(C313,""ja"",""vi"")"),"Đấu giá&gt; Sở thích, văn hóa&gt; thủ công, thủ công mỹ nghệ&gt; Art Supplies")</f>
        <v>Đấu giá&gt; Sở thích, văn hóa&gt; thủ công, thủ công mỹ nghệ&gt; Art Supplies</v>
      </c>
      <c r="G296" t="str">
        <f t="shared" ca="1" si="4"/>
        <v>"20124" : "Art Supplies",</v>
      </c>
    </row>
    <row r="297" spans="1:7" ht="14.25" customHeight="1">
      <c r="A297" s="12">
        <v>2084045790</v>
      </c>
      <c r="B297" s="12" t="s">
        <v>7383</v>
      </c>
      <c r="C297" s="12" t="s">
        <v>18195</v>
      </c>
      <c r="D297" s="12" t="s">
        <v>19299</v>
      </c>
      <c r="E297" s="4" t="str">
        <f ca="1">IFERROR(__xludf.DUMMYFUNCTION("GOOGLETRANSLATE(B314,""ja"",""vi"")"),"giống như người mẫu")</f>
        <v>giống như người mẫu</v>
      </c>
      <c r="F297" s="4" t="str">
        <f ca="1">IFERROR(__xludf.DUMMYFUNCTION("GOOGLETRANSLATE(C314,""ja"",""vi"")"),"Đấu giá&gt; Sở thích, văn hóa&gt; thủ công, thủ công mỹ nghệ&gt; nộm")</f>
        <v>Đấu giá&gt; Sở thích, văn hóa&gt; thủ công, thủ công mỹ nghệ&gt; nộm</v>
      </c>
      <c r="G297" t="str">
        <f t="shared" ca="1" si="4"/>
        <v>"2084045790" : "giống như người mẫu",</v>
      </c>
    </row>
    <row r="298" spans="1:7" ht="14.25" customHeight="1">
      <c r="A298" s="12">
        <v>2084220297</v>
      </c>
      <c r="B298" s="12" t="s">
        <v>3665</v>
      </c>
      <c r="C298" s="12" t="s">
        <v>18200</v>
      </c>
      <c r="D298" s="12" t="s">
        <v>19302</v>
      </c>
      <c r="E298" s="4" t="str">
        <f ca="1">IFERROR(__xludf.DUMMYFUNCTION("GOOGLETRANSLATE(B315,""ja"",""vi"")"),"thành phẩm")</f>
        <v>thành phẩm</v>
      </c>
      <c r="F298" s="4" t="str">
        <f ca="1">IFERROR(__xludf.DUMMYFUNCTION("GOOGLETRANSLATE(C315,""ja"",""vi"")"),"Đấu giá&gt; Sở thích, văn hóa&gt; thủ công, thủ công mỹ nghệ&gt; thành phẩm")</f>
        <v>Đấu giá&gt; Sở thích, văn hóa&gt; thủ công, thủ công mỹ nghệ&gt; thành phẩm</v>
      </c>
      <c r="G298" t="str">
        <f t="shared" ca="1" si="4"/>
        <v>"2084220297" : "thành phẩm",</v>
      </c>
    </row>
    <row r="299" spans="1:7" ht="14.25" customHeight="1">
      <c r="A299" s="12">
        <v>2084042439</v>
      </c>
      <c r="B299" s="12" t="s">
        <v>46</v>
      </c>
      <c r="C299" s="12" t="s">
        <v>18204</v>
      </c>
      <c r="D299" s="12" t="s">
        <v>19306</v>
      </c>
      <c r="E299" s="4" t="str">
        <f ca="1">IFERROR(__xludf.DUMMYFUNCTION("GOOGLETRANSLATE(B316,""ja"",""vi"")"),"nếu không thì")</f>
        <v>nếu không thì</v>
      </c>
      <c r="F299" s="4" t="str">
        <f ca="1">IFERROR(__xludf.DUMMYFUNCTION("GOOGLETRANSLATE(C316,""ja"",""vi"")"),"Đấu giá&gt; Sở thích, văn hóa&gt; thủ công, thủ công mỹ nghệ&gt; Khác")</f>
        <v>Đấu giá&gt; Sở thích, văn hóa&gt; thủ công, thủ công mỹ nghệ&gt; Khác</v>
      </c>
      <c r="G299" t="str">
        <f t="shared" ca="1" si="4"/>
        <v>"2084042439" : "nếu không thì",</v>
      </c>
    </row>
    <row r="300" spans="1:7" ht="14.25" customHeight="1">
      <c r="E300" s="4" t="str">
        <f ca="1">IFERROR(__xludf.DUMMYFUNCTION("GOOGLETRANSLATE(B317,""ja"",""vi"")"),"#VALUE!")</f>
        <v>#VALUE!</v>
      </c>
      <c r="F300" s="4" t="str">
        <f ca="1">IFERROR(__xludf.DUMMYFUNCTION("GOOGLETRANSLATE(C317,""ja"",""vi"")"),"#VALUE!")</f>
        <v>#VALUE!</v>
      </c>
      <c r="G300" t="str">
        <f t="shared" ca="1" si="4"/>
        <v>"" : "#VALUE!",</v>
      </c>
    </row>
    <row r="301" spans="1:7" ht="14.25" customHeight="1">
      <c r="A301" s="3">
        <v>2084288100</v>
      </c>
      <c r="B301" s="10"/>
      <c r="C301" s="10"/>
      <c r="D301" s="10"/>
      <c r="E301" s="4" t="str">
        <f ca="1">IFERROR(__xludf.DUMMYFUNCTION("GOOGLETRANSLATE(B318,""ja"",""vi"")"),"#VALUE!")</f>
        <v>#VALUE!</v>
      </c>
      <c r="F301" s="4" t="str">
        <f ca="1">IFERROR(__xludf.DUMMYFUNCTION("GOOGLETRANSLATE(C318,""ja"",""vi"")"),"#VALUE!")</f>
        <v>#VALUE!</v>
      </c>
      <c r="G301" t="str">
        <f t="shared" ca="1" si="4"/>
        <v>"2084288100" : "#VALUE!",</v>
      </c>
    </row>
    <row r="302" spans="1:7" ht="14.25" customHeight="1">
      <c r="A302" s="29">
        <v>2084283581</v>
      </c>
      <c r="B302" s="29" t="s">
        <v>19312</v>
      </c>
      <c r="C302" s="29" t="s">
        <v>19313</v>
      </c>
      <c r="D302" s="29" t="s">
        <v>19314</v>
      </c>
      <c r="E302" s="4" t="str">
        <f ca="1">IFERROR(__xludf.DUMMYFUNCTION("GOOGLETRANSLATE(B319,""ja"",""vi"")"),"Nhãn hiệu / thiết kế bởi")</f>
        <v>Nhãn hiệu / thiết kế bởi</v>
      </c>
      <c r="F302" s="4" t="str">
        <f ca="1">IFERROR(__xludf.DUMMYFUNCTION("GOOGLETRANSLATE(C319,""ja"",""vi"")"),"Đấu giá&gt; nhà, nội thất&gt; lưu trữ&gt; lưu trữ Sống&gt; Nhãn hiệu / thiết kế bởi")</f>
        <v>Đấu giá&gt; nhà, nội thất&gt; lưu trữ&gt; lưu trữ Sống&gt; Nhãn hiệu / thiết kế bởi</v>
      </c>
      <c r="G302" t="str">
        <f t="shared" ca="1" si="4"/>
        <v>"2084283581" : "Nhãn hiệu / thiết kế bởi",</v>
      </c>
    </row>
    <row r="303" spans="1:7" ht="14.25" customHeight="1">
      <c r="A303" s="12">
        <v>2084024335</v>
      </c>
      <c r="B303" s="12" t="s">
        <v>19316</v>
      </c>
      <c r="C303" s="12" t="s">
        <v>19318</v>
      </c>
      <c r="D303" s="12" t="s">
        <v>19320</v>
      </c>
      <c r="E303" s="4" t="str">
        <f ca="1">IFERROR(__xludf.DUMMYFUNCTION("GOOGLETRANSLATE(B320,""ja"",""vi"")"),"thùng rác")</f>
        <v>thùng rác</v>
      </c>
      <c r="F303" s="4" t="str">
        <f ca="1">IFERROR(__xludf.DUMMYFUNCTION("GOOGLETRANSLATE(C320,""ja"",""vi"")"),"Đấu giá&gt; nhà, nội thất&gt; lưu trữ&gt; lưu trữ Sống&gt; Thùng rác")</f>
        <v>Đấu giá&gt; nhà, nội thất&gt; lưu trữ&gt; lưu trữ Sống&gt; Thùng rác</v>
      </c>
      <c r="G303" t="str">
        <f t="shared" ca="1" si="4"/>
        <v>"2084024335" : "thùng rác",</v>
      </c>
    </row>
    <row r="304" spans="1:7" ht="14.25" customHeight="1">
      <c r="A304" s="12">
        <v>2084048445</v>
      </c>
      <c r="B304" s="12" t="s">
        <v>19322</v>
      </c>
      <c r="C304" s="12" t="s">
        <v>19324</v>
      </c>
      <c r="D304" s="12" t="s">
        <v>19326</v>
      </c>
      <c r="E304" s="4" t="str">
        <f ca="1">IFERROR(__xludf.DUMMYFUNCTION("GOOGLETRANSLATE(B321,""ja"",""vi"")"),"tủ để chén dĩa")</f>
        <v>tủ để chén dĩa</v>
      </c>
      <c r="F304" s="4" t="str">
        <f ca="1">IFERROR(__xludf.DUMMYFUNCTION("GOOGLETRANSLATE(C321,""ja"",""vi"")"),"Đấu giá&gt; nhà, nội thất&gt; lưu trữ&gt; lưu trữ Sống&gt; tủ búp phê")</f>
        <v>Đấu giá&gt; nhà, nội thất&gt; lưu trữ&gt; lưu trữ Sống&gt; tủ búp phê</v>
      </c>
      <c r="G304" t="str">
        <f t="shared" ca="1" si="4"/>
        <v>"2084048445" : "tủ để chén dĩa",</v>
      </c>
    </row>
    <row r="305" spans="1:7" ht="14.25" customHeight="1">
      <c r="A305" s="12">
        <v>2084005508</v>
      </c>
      <c r="B305" s="12" t="s">
        <v>19329</v>
      </c>
      <c r="C305" s="12" t="s">
        <v>19331</v>
      </c>
      <c r="D305" s="12" t="s">
        <v>19332</v>
      </c>
      <c r="E305" s="4" t="str">
        <f ca="1">IFERROR(__xludf.DUMMYFUNCTION("GOOGLETRANSLATE(B322,""ja"",""vi"")"),"Ngực của ngăn kéo, ngực")</f>
        <v>Ngực của ngăn kéo, ngực</v>
      </c>
      <c r="F305" s="4" t="str">
        <f ca="1">IFERROR(__xludf.DUMMYFUNCTION("GOOGLETRANSLATE(C322,""ja"",""vi"")"),"Đấu giá&gt; nhà, nội thất&gt; lưu trữ&gt; lưu trữ Sống&gt; ngực, ngực")</f>
        <v>Đấu giá&gt; nhà, nội thất&gt; lưu trữ&gt; lưu trữ Sống&gt; ngực, ngực</v>
      </c>
      <c r="G305" t="str">
        <f t="shared" ca="1" si="4"/>
        <v>"2084005508" : "Ngực của ngăn kéo, ngực",</v>
      </c>
    </row>
    <row r="306" spans="1:7" ht="14.25" customHeight="1">
      <c r="A306" s="12">
        <v>2084015554</v>
      </c>
      <c r="B306" s="12" t="s">
        <v>2188</v>
      </c>
      <c r="C306" s="12" t="s">
        <v>19338</v>
      </c>
      <c r="D306" s="12" t="s">
        <v>19340</v>
      </c>
      <c r="E306" s="4" t="str">
        <f ca="1">IFERROR(__xludf.DUMMYFUNCTION("GOOGLETRANSLATE(B323,""ja"",""vi"")"),"Kệ TV gỗ, bảng AV")</f>
        <v>Kệ TV gỗ, bảng AV</v>
      </c>
      <c r="F306" s="4" t="str">
        <f ca="1">IFERROR(__xludf.DUMMYFUNCTION("GOOGLETRANSLATE(C323,""ja"",""vi"")"),"Đấu giá&gt; nhà, nội thất&gt; lưu trữ&gt; lưu trữ Sống&gt; kệ TV gỗ, bảng AV")</f>
        <v>Đấu giá&gt; nhà, nội thất&gt; lưu trữ&gt; lưu trữ Sống&gt; kệ TV gỗ, bảng AV</v>
      </c>
      <c r="G306" t="str">
        <f t="shared" ca="1" si="4"/>
        <v>"2084015554" : "Kệ TV gỗ, bảng AV",</v>
      </c>
    </row>
    <row r="307" spans="1:7" ht="14.25" customHeight="1">
      <c r="A307" s="12">
        <v>2084061433</v>
      </c>
      <c r="B307" s="12" t="s">
        <v>19342</v>
      </c>
      <c r="C307" s="12" t="s">
        <v>19344</v>
      </c>
      <c r="D307" s="12" t="s">
        <v>19346</v>
      </c>
      <c r="E307" s="4" t="str">
        <f ca="1">IFERROR(__xludf.DUMMYFUNCTION("GOOGLETRANSLATE(B324,""ja"",""vi"")"),"Giỏ, giỏ")</f>
        <v>Giỏ, giỏ</v>
      </c>
      <c r="F307" s="4" t="str">
        <f ca="1">IFERROR(__xludf.DUMMYFUNCTION("GOOGLETRANSLATE(C324,""ja"",""vi"")"),"Đấu giá&gt; nhà, nội thất&gt; lưu trữ&gt; lưu trữ Sống&gt; giỏ, giỏ")</f>
        <v>Đấu giá&gt; nhà, nội thất&gt; lưu trữ&gt; lưu trữ Sống&gt; giỏ, giỏ</v>
      </c>
      <c r="G307" t="str">
        <f t="shared" ca="1" si="4"/>
        <v>"2084061433" : "Giỏ, giỏ",</v>
      </c>
    </row>
    <row r="308" spans="1:7" ht="14.25" customHeight="1">
      <c r="A308" s="12">
        <v>2084024351</v>
      </c>
      <c r="B308" s="12" t="s">
        <v>19347</v>
      </c>
      <c r="C308" s="12" t="s">
        <v>19349</v>
      </c>
      <c r="D308" s="12" t="s">
        <v>19350</v>
      </c>
      <c r="E308" s="4" t="str">
        <f ca="1">IFERROR(__xludf.DUMMYFUNCTION("GOOGLETRANSLATE(B325,""ja"",""vi"")"),"Magazine Rack")</f>
        <v>Magazine Rack</v>
      </c>
      <c r="F308" s="4" t="str">
        <f ca="1">IFERROR(__xludf.DUMMYFUNCTION("GOOGLETRANSLATE(C325,""ja"",""vi"")"),"Đấu giá&gt; nhà, nội thất&gt; lưu trữ&gt; lưu trữ Sống&gt; tạp chí giá")</f>
        <v>Đấu giá&gt; nhà, nội thất&gt; lưu trữ&gt; lưu trữ Sống&gt; tạp chí giá</v>
      </c>
      <c r="G308" t="str">
        <f t="shared" ca="1" si="4"/>
        <v>"2084024351" : "Magazine Rack",</v>
      </c>
    </row>
    <row r="309" spans="1:7" ht="14.25" customHeight="1">
      <c r="A309" s="12">
        <v>2084047648</v>
      </c>
      <c r="B309" s="12" t="s">
        <v>19353</v>
      </c>
      <c r="C309" s="12" t="s">
        <v>19354</v>
      </c>
      <c r="D309" s="12" t="s">
        <v>19356</v>
      </c>
      <c r="E309" s="4" t="str">
        <f ca="1">IFERROR(__xludf.DUMMYFUNCTION("GOOGLETRANSLATE(B326,""ja"",""vi"")"),"trường hợp phụ kiện")</f>
        <v>trường hợp phụ kiện</v>
      </c>
      <c r="F309" s="4" t="str">
        <f ca="1">IFERROR(__xludf.DUMMYFUNCTION("GOOGLETRANSLATE(C326,""ja"",""vi"")"),"Đấu giá&gt; nhà, nội thất&gt; lưu trữ&gt; lưu trữ Sống&gt; Caddy")</f>
        <v>Đấu giá&gt; nhà, nội thất&gt; lưu trữ&gt; lưu trữ Sống&gt; Caddy</v>
      </c>
      <c r="G309" t="str">
        <f t="shared" ca="1" si="4"/>
        <v>"2084047648" : "trường hợp phụ kiện",</v>
      </c>
    </row>
    <row r="310" spans="1:7" ht="14.25" customHeight="1">
      <c r="A310" s="12">
        <v>2084015555</v>
      </c>
      <c r="B310" s="12" t="s">
        <v>19359</v>
      </c>
      <c r="C310" s="12" t="s">
        <v>19360</v>
      </c>
      <c r="D310" s="12" t="s">
        <v>19361</v>
      </c>
      <c r="E310" s="4" t="str">
        <f ca="1">IFERROR(__xludf.DUMMYFUNCTION("GOOGLETRANSLATE(B327,""ja"",""vi"")"),"buồng")</f>
        <v>buồng</v>
      </c>
      <c r="F310" s="4" t="str">
        <f ca="1">IFERROR(__xludf.DUMMYFUNCTION("GOOGLETRANSLATE(C327,""ja"",""vi"")"),"Đấu giá&gt; nhà, nội thất&gt; lưu trữ&gt; lưu trữ Sống&gt; tủ")</f>
        <v>Đấu giá&gt; nhà, nội thất&gt; lưu trữ&gt; lưu trữ Sống&gt; tủ</v>
      </c>
      <c r="G310" t="str">
        <f t="shared" ca="1" si="4"/>
        <v>"2084015555" : "buồng",</v>
      </c>
    </row>
    <row r="311" spans="1:7" ht="14.25" customHeight="1">
      <c r="A311" s="12">
        <v>2084048868</v>
      </c>
      <c r="B311" s="12" t="s">
        <v>19365</v>
      </c>
      <c r="C311" s="12" t="s">
        <v>19366</v>
      </c>
      <c r="D311" s="12" t="s">
        <v>19367</v>
      </c>
      <c r="E311" s="4" t="str">
        <f ca="1">IFERROR(__xludf.DUMMYFUNCTION("GOOGLETRANSLATE(B328,""ja"",""vi"")"),"đứng điện thoại")</f>
        <v>đứng điện thoại</v>
      </c>
      <c r="F311" s="4" t="str">
        <f ca="1">IFERROR(__xludf.DUMMYFUNCTION("GOOGLETRANSLATE(C328,""ja"",""vi"")"),"Đấu giá&gt; nhà, nội thất&gt; lưu trữ&gt; lưu trữ Sống&gt; đứng điện thoại")</f>
        <v>Đấu giá&gt; nhà, nội thất&gt; lưu trữ&gt; lưu trữ Sống&gt; đứng điện thoại</v>
      </c>
      <c r="G311" t="str">
        <f t="shared" ca="1" si="4"/>
        <v>"2084048868" : "đứng điện thoại",</v>
      </c>
    </row>
    <row r="312" spans="1:7" ht="14.25" customHeight="1">
      <c r="A312" s="12">
        <v>2084015557</v>
      </c>
      <c r="B312" s="12" t="s">
        <v>19370</v>
      </c>
      <c r="C312" s="12" t="s">
        <v>19371</v>
      </c>
      <c r="D312" s="12" t="s">
        <v>19372</v>
      </c>
      <c r="E312" s="4" t="str">
        <f ca="1">IFERROR(__xludf.DUMMYFUNCTION("GOOGLETRANSLATE(B329,""ja"",""vi"")"),"kệ sách")</f>
        <v>kệ sách</v>
      </c>
      <c r="F312" s="4" t="str">
        <f ca="1">IFERROR(__xludf.DUMMYFUNCTION("GOOGLETRANSLATE(C329,""ja"",""vi"")"),"Đấu giá&gt; nhà, nội thất&gt; lưu trữ&gt; lưu trữ Sống&gt; kệ sách")</f>
        <v>Đấu giá&gt; nhà, nội thất&gt; lưu trữ&gt; lưu trữ Sống&gt; kệ sách</v>
      </c>
      <c r="G312" t="str">
        <f t="shared" ca="1" si="4"/>
        <v>"2084015557" : "kệ sách",</v>
      </c>
    </row>
    <row r="313" spans="1:7" ht="14.25" customHeight="1">
      <c r="A313" s="12">
        <v>2084288112</v>
      </c>
      <c r="B313" s="12" t="s">
        <v>46</v>
      </c>
      <c r="C313" s="12" t="s">
        <v>19375</v>
      </c>
      <c r="D313" s="12" t="s">
        <v>19376</v>
      </c>
      <c r="E313" s="4" t="str">
        <f ca="1">IFERROR(__xludf.DUMMYFUNCTION("GOOGLETRANSLATE(B330,""ja"",""vi"")"),"nếu không thì")</f>
        <v>nếu không thì</v>
      </c>
      <c r="F313" s="4" t="str">
        <f ca="1">IFERROR(__xludf.DUMMYFUNCTION("GOOGLETRANSLATE(C330,""ja"",""vi"")"),"Đấu giá&gt; nhà, nội thất&gt; lưu trữ&gt; Sống lưu trữ&gt; Khác")</f>
        <v>Đấu giá&gt; nhà, nội thất&gt; lưu trữ&gt; Sống lưu trữ&gt; Khác</v>
      </c>
      <c r="G313" t="str">
        <f t="shared" ca="1" si="4"/>
        <v>"2084288112" : "nếu không thì",</v>
      </c>
    </row>
    <row r="314" spans="1:7" ht="14.25" customHeight="1">
      <c r="E314" s="4" t="str">
        <f ca="1">IFERROR(__xludf.DUMMYFUNCTION("GOOGLETRANSLATE(B331,""ja"",""vi"")"),"#VALUE!")</f>
        <v>#VALUE!</v>
      </c>
      <c r="F314" s="4" t="str">
        <f ca="1">IFERROR(__xludf.DUMMYFUNCTION("GOOGLETRANSLATE(C331,""ja"",""vi"")"),"#VALUE!")</f>
        <v>#VALUE!</v>
      </c>
      <c r="G314" t="str">
        <f t="shared" ca="1" si="4"/>
        <v>"" : "#VALUE!",</v>
      </c>
    </row>
    <row r="315" spans="1:7" ht="14.25" customHeight="1">
      <c r="A315" s="3">
        <v>2084288113</v>
      </c>
      <c r="B315" s="10"/>
      <c r="C315" s="10"/>
      <c r="D315" s="10"/>
      <c r="E315" s="4" t="str">
        <f ca="1">IFERROR(__xludf.DUMMYFUNCTION("GOOGLETRANSLATE(B332,""ja"",""vi"")"),"#VALUE!")</f>
        <v>#VALUE!</v>
      </c>
      <c r="F315" s="4" t="str">
        <f ca="1">IFERROR(__xludf.DUMMYFUNCTION("GOOGLETRANSLATE(C332,""ja"",""vi"")"),"#VALUE!")</f>
        <v>#VALUE!</v>
      </c>
      <c r="G315" t="str">
        <f t="shared" ca="1" si="4"/>
        <v>"2084288113" : "#VALUE!",</v>
      </c>
    </row>
    <row r="316" spans="1:7" ht="14.25" customHeight="1">
      <c r="A316" s="29">
        <v>2084288030</v>
      </c>
      <c r="B316" s="29" t="s">
        <v>18058</v>
      </c>
      <c r="C316" s="29" t="s">
        <v>19382</v>
      </c>
      <c r="D316" s="29" t="s">
        <v>19383</v>
      </c>
      <c r="E316" s="4" t="str">
        <f ca="1">IFERROR(__xludf.DUMMYFUNCTION("GOOGLETRANSLATE(B333,""ja"",""vi"")"),"kệ trong nhà bếp")</f>
        <v>kệ trong nhà bếp</v>
      </c>
      <c r="F316" s="4" t="str">
        <f ca="1">IFERROR(__xludf.DUMMYFUNCTION("GOOGLETRANSLATE(C333,""ja"",""vi"")"),"Đấu giá&gt; nhà, nội thất&gt; lưu trữ&gt; Nhà bếp lưu trữ&gt; Nhà bếp truy cập")</f>
        <v>Đấu giá&gt; nhà, nội thất&gt; lưu trữ&gt; Nhà bếp lưu trữ&gt; Nhà bếp truy cập</v>
      </c>
      <c r="G316" t="str">
        <f t="shared" ca="1" si="4"/>
        <v>"2084288030" : "kệ trong nhà bếp",</v>
      </c>
    </row>
    <row r="317" spans="1:7" ht="14.25" customHeight="1">
      <c r="A317" s="12">
        <v>2084288032</v>
      </c>
      <c r="B317" s="12" t="s">
        <v>18077</v>
      </c>
      <c r="C317" s="12" t="s">
        <v>19386</v>
      </c>
      <c r="D317" s="12" t="s">
        <v>19387</v>
      </c>
      <c r="E317" s="4" t="str">
        <f ca="1">IFERROR(__xludf.DUMMYFUNCTION("GOOGLETRANSLATE(B334,""ja"",""vi"")"),"Nhà bếp Thùng rác")</f>
        <v>Nhà bếp Thùng rác</v>
      </c>
      <c r="F317" s="4" t="str">
        <f ca="1">IFERROR(__xludf.DUMMYFUNCTION("GOOGLETRANSLATE(C334,""ja"",""vi"")"),"Đấu giá&gt; nhà, nội thất&gt; lưu trữ&gt; lưu trữ nhà bếp&gt; thùng rác cho nhà bếp")</f>
        <v>Đấu giá&gt; nhà, nội thất&gt; lưu trữ&gt; lưu trữ nhà bếp&gt; thùng rác cho nhà bếp</v>
      </c>
      <c r="G317" t="str">
        <f t="shared" ca="1" si="4"/>
        <v>"2084288032" : "Nhà bếp Thùng rác",</v>
      </c>
    </row>
    <row r="318" spans="1:7" ht="14.25" customHeight="1">
      <c r="A318" s="12">
        <v>2084015552</v>
      </c>
      <c r="B318" s="12" t="s">
        <v>18291</v>
      </c>
      <c r="C318" s="12" t="s">
        <v>19392</v>
      </c>
      <c r="D318" s="12" t="s">
        <v>19394</v>
      </c>
      <c r="E318" s="4" t="str">
        <f ca="1">IFERROR(__xludf.DUMMYFUNCTION("GOOGLETRANSLATE(B335,""ja"",""vi"")"),"bảng phạm vi")</f>
        <v>bảng phạm vi</v>
      </c>
      <c r="F318" s="4" t="str">
        <f ca="1">IFERROR(__xludf.DUMMYFUNCTION("GOOGLETRANSLATE(C335,""ja"",""vi"")"),"Đấu giá&gt; nhà, nội thất&gt; lưu trữ&gt; Nhà bếp lưu trữ&gt; loạt đứng")</f>
        <v>Đấu giá&gt; nhà, nội thất&gt; lưu trữ&gt; Nhà bếp lưu trữ&gt; loạt đứng</v>
      </c>
      <c r="G318" t="str">
        <f t="shared" ca="1" si="4"/>
        <v>"2084015552" : "bảng phạm vi",</v>
      </c>
    </row>
    <row r="319" spans="1:7" ht="14.25" customHeight="1">
      <c r="A319" s="12">
        <v>2084015569</v>
      </c>
      <c r="B319" s="12" t="s">
        <v>18222</v>
      </c>
      <c r="C319" s="12" t="s">
        <v>19398</v>
      </c>
      <c r="D319" s="12" t="s">
        <v>19399</v>
      </c>
      <c r="E319" s="4" t="str">
        <f ca="1">IFERROR(__xludf.DUMMYFUNCTION("GOOGLETRANSLATE(B336,""ja"",""vi"")"),"rack rượu")</f>
        <v>rack rượu</v>
      </c>
      <c r="F319" s="4" t="str">
        <f ca="1">IFERROR(__xludf.DUMMYFUNCTION("GOOGLETRANSLATE(C336,""ja"",""vi"")"),"Đấu giá&gt; nhà, nội thất&gt; lưu trữ&gt; Nhà bếp lưu trữ&gt; rack rượu vang")</f>
        <v>Đấu giá&gt; nhà, nội thất&gt; lưu trữ&gt; Nhà bếp lưu trữ&gt; rack rượu vang</v>
      </c>
      <c r="G319" t="str">
        <f t="shared" ca="1" si="4"/>
        <v>"2084015569" : "rack rượu",</v>
      </c>
    </row>
    <row r="320" spans="1:7" ht="14.25" customHeight="1">
      <c r="A320" s="12">
        <v>2084015573</v>
      </c>
      <c r="B320" s="12" t="s">
        <v>18088</v>
      </c>
      <c r="C320" s="12" t="s">
        <v>19402</v>
      </c>
      <c r="D320" s="12" t="s">
        <v>19403</v>
      </c>
      <c r="E320" s="4" t="str">
        <f ca="1">IFERROR(__xludf.DUMMYFUNCTION("GOOGLETRANSLATE(B337,""ja"",""vi"")"),"wagon")</f>
        <v>wagon</v>
      </c>
      <c r="F320" s="4" t="str">
        <f ca="1">IFERROR(__xludf.DUMMYFUNCTION("GOOGLETRANSLATE(C337,""ja"",""vi"")"),"Đấu giá&gt; nhà, nội thất&gt; lưu trữ&gt; Nhà bếp lưu trữ&gt; toa xe")</f>
        <v>Đấu giá&gt; nhà, nội thất&gt; lưu trữ&gt; Nhà bếp lưu trữ&gt; toa xe</v>
      </c>
      <c r="G320" t="str">
        <f t="shared" ca="1" si="4"/>
        <v>"2084015573" : "wagon",</v>
      </c>
    </row>
    <row r="321" spans="1:7" ht="14.25" customHeight="1">
      <c r="A321" s="12">
        <v>2084015553</v>
      </c>
      <c r="B321" s="12" t="s">
        <v>18315</v>
      </c>
      <c r="C321" s="12" t="s">
        <v>19407</v>
      </c>
      <c r="D321" s="12" t="s">
        <v>19408</v>
      </c>
      <c r="E321" s="4" t="str">
        <f ca="1">IFERROR(__xludf.DUMMYFUNCTION("GOOGLETRANSLATE(B338,""ja"",""vi"")"),"tủ")</f>
        <v>tủ</v>
      </c>
      <c r="F321" s="4" t="str">
        <f ca="1">IFERROR(__xludf.DUMMYFUNCTION("GOOGLETRANSLATE(C338,""ja"",""vi"")"),"Đấu giá&gt; nhà, nội thất&gt; lưu trữ&gt; Nhà bếp lưu trữ&gt; tủ")</f>
        <v>Đấu giá&gt; nhà, nội thất&gt; lưu trữ&gt; Nhà bếp lưu trữ&gt; tủ</v>
      </c>
      <c r="G321" t="str">
        <f t="shared" ca="1" si="4"/>
        <v>"2084015553" : "tủ",</v>
      </c>
    </row>
    <row r="322" spans="1:7" ht="14.25" customHeight="1">
      <c r="A322" s="12">
        <v>2084015570</v>
      </c>
      <c r="B322" s="12" t="s">
        <v>18109</v>
      </c>
      <c r="C322" s="12" t="s">
        <v>19412</v>
      </c>
      <c r="D322" s="12" t="s">
        <v>19413</v>
      </c>
      <c r="E322" s="4" t="str">
        <f ca="1">IFERROR(__xludf.DUMMYFUNCTION("GOOGLETRANSLATE(B339,""ja"",""vi"")"),"nêm giá")</f>
        <v>nêm giá</v>
      </c>
      <c r="F322" s="4" t="str">
        <f ca="1">IFERROR(__xludf.DUMMYFUNCTION("GOOGLETRANSLATE(C339,""ja"",""vi"")"),"Đấu giá&gt; nhà, nội thất&gt; lưu trữ&gt; Nhà bếp lưu trữ&gt; nêm giá")</f>
        <v>Đấu giá&gt; nhà, nội thất&gt; lưu trữ&gt; Nhà bếp lưu trữ&gt; nêm giá</v>
      </c>
      <c r="G322" t="str">
        <f t="shared" ca="1" si="4"/>
        <v>"2084015570" : "nêm giá",</v>
      </c>
    </row>
    <row r="323" spans="1:7" ht="14.25" customHeight="1">
      <c r="A323" s="12">
        <v>2084015560</v>
      </c>
      <c r="B323" s="12" t="s">
        <v>18605</v>
      </c>
      <c r="C323" s="12" t="s">
        <v>19415</v>
      </c>
      <c r="D323" s="12" t="s">
        <v>19417</v>
      </c>
      <c r="E323" s="4" t="str">
        <f ca="1">IFERROR(__xludf.DUMMYFUNCTION("GOOGLETRANSLATE(B340,""ja"",""vi"")"),"bin gạo")</f>
        <v>bin gạo</v>
      </c>
      <c r="F323" s="4" t="str">
        <f ca="1">IFERROR(__xludf.DUMMYFUNCTION("GOOGLETRANSLATE(C340,""ja"",""vi"")"),"Đấu giá&gt; nhà, nội thất&gt; lưu trữ&gt; Nhà bếp lưu trữ&gt; bin gạo")</f>
        <v>Đấu giá&gt; nhà, nội thất&gt; lưu trữ&gt; Nhà bếp lưu trữ&gt; bin gạo</v>
      </c>
      <c r="G323" t="str">
        <f t="shared" ref="G323:G386" ca="1" si="5">CONCATENATE(CHAR(34)&amp;"",A323,""&amp;CHAR(34)," : ", CHAR(34)&amp;"",E323,""&amp;CHAR(34),",")</f>
        <v>"2084015560" : "bin gạo",</v>
      </c>
    </row>
    <row r="324" spans="1:7" ht="14.25" customHeight="1">
      <c r="A324" s="12">
        <v>2084288031</v>
      </c>
      <c r="B324" s="12" t="s">
        <v>18124</v>
      </c>
      <c r="C324" s="12" t="s">
        <v>19420</v>
      </c>
      <c r="D324" s="12" t="s">
        <v>19422</v>
      </c>
      <c r="E324" s="4" t="str">
        <f ca="1">IFERROR(__xludf.DUMMYFUNCTION("GOOGLETRANSLATE(B341,""ja"",""vi"")"),"rau Stocker")</f>
        <v>rau Stocker</v>
      </c>
      <c r="F324" s="4" t="str">
        <f ca="1">IFERROR(__xludf.DUMMYFUNCTION("GOOGLETRANSLATE(C341,""ja"",""vi"")"),"Đấu giá&gt; nhà, nội thất&gt; lưu trữ&gt; Nhà bếp lưu trữ&gt; rau Stocker")</f>
        <v>Đấu giá&gt; nhà, nội thất&gt; lưu trữ&gt; Nhà bếp lưu trữ&gt; rau Stocker</v>
      </c>
      <c r="G324" t="str">
        <f t="shared" ca="1" si="5"/>
        <v>"2084288031" : "rau Stocker",</v>
      </c>
    </row>
    <row r="325" spans="1:7" ht="14.25" customHeight="1">
      <c r="A325" s="12">
        <v>2084018482</v>
      </c>
      <c r="B325" s="12" t="s">
        <v>46</v>
      </c>
      <c r="C325" s="12" t="s">
        <v>19424</v>
      </c>
      <c r="D325" s="12" t="s">
        <v>19426</v>
      </c>
      <c r="E325" s="4" t="str">
        <f ca="1">IFERROR(__xludf.DUMMYFUNCTION("GOOGLETRANSLATE(B342,""ja"",""vi"")"),"nếu không thì")</f>
        <v>nếu không thì</v>
      </c>
      <c r="F325" s="4" t="str">
        <f ca="1">IFERROR(__xludf.DUMMYFUNCTION("GOOGLETRANSLATE(C342,""ja"",""vi"")"),"Đấu giá&gt; nhà, nội thất&gt; lưu trữ&gt; Nhà bếp lưu trữ&gt; Khác")</f>
        <v>Đấu giá&gt; nhà, nội thất&gt; lưu trữ&gt; Nhà bếp lưu trữ&gt; Khác</v>
      </c>
      <c r="G325" t="str">
        <f t="shared" ca="1" si="5"/>
        <v>"2084018482" : "nếu không thì",</v>
      </c>
    </row>
    <row r="326" spans="1:7" ht="14.25" customHeight="1">
      <c r="E326" s="4" t="str">
        <f ca="1">IFERROR(__xludf.DUMMYFUNCTION("GOOGLETRANSLATE(B343,""ja"",""vi"")"),"#VALUE!")</f>
        <v>#VALUE!</v>
      </c>
      <c r="F326" s="4" t="str">
        <f ca="1">IFERROR(__xludf.DUMMYFUNCTION("GOOGLETRANSLATE(C343,""ja"",""vi"")"),"#VALUE!")</f>
        <v>#VALUE!</v>
      </c>
      <c r="G326" t="str">
        <f t="shared" ca="1" si="5"/>
        <v>"" : "#VALUE!",</v>
      </c>
    </row>
    <row r="327" spans="1:7" ht="14.25" customHeight="1">
      <c r="A327" s="3">
        <v>2084288124</v>
      </c>
      <c r="B327" s="10"/>
      <c r="C327" s="10"/>
      <c r="D327" s="10"/>
      <c r="E327" s="4" t="str">
        <f ca="1">IFERROR(__xludf.DUMMYFUNCTION("GOOGLETRANSLATE(B344,""ja"",""vi"")"),"#VALUE!")</f>
        <v>#VALUE!</v>
      </c>
      <c r="F327" s="4" t="str">
        <f ca="1">IFERROR(__xludf.DUMMYFUNCTION("GOOGLETRANSLATE(C344,""ja"",""vi"")"),"#VALUE!")</f>
        <v>#VALUE!</v>
      </c>
      <c r="G327" t="str">
        <f t="shared" ca="1" si="5"/>
        <v>"2084288124" : "#VALUE!",</v>
      </c>
    </row>
    <row r="328" spans="1:7" ht="14.25" customHeight="1">
      <c r="A328" s="33">
        <v>2084288186</v>
      </c>
      <c r="B328" s="33" t="s">
        <v>19441</v>
      </c>
      <c r="C328" s="33" t="s">
        <v>19442</v>
      </c>
      <c r="D328" s="33" t="s">
        <v>19443</v>
      </c>
      <c r="E328" s="4" t="str">
        <f ca="1">IFERROR(__xludf.DUMMYFUNCTION("GOOGLETRANSLATE(B345,""ja"",""vi"")"),"Hộp đựng máy, hộp lưu trữ")</f>
        <v>Hộp đựng máy, hộp lưu trữ</v>
      </c>
      <c r="F328" s="4" t="str">
        <f ca="1">IFERROR(__xludf.DUMMYFUNCTION("GOOGLETRANSLATE(C345,""ja"",""vi"")"),"Đấu giá&gt; nhà, nội thất&gt; lưu trữ&gt; Sách / CD / DVD lưu trữ&gt; trường hợp lưu trữ, hộp lưu trữ")</f>
        <v>Đấu giá&gt; nhà, nội thất&gt; lưu trữ&gt; Sách / CD / DVD lưu trữ&gt; trường hợp lưu trữ, hộp lưu trữ</v>
      </c>
      <c r="G328" t="str">
        <f t="shared" ca="1" si="5"/>
        <v>"2084288186" : "Hộp đựng máy, hộp lưu trữ",</v>
      </c>
    </row>
    <row r="329" spans="1:7" ht="14.25" customHeight="1">
      <c r="A329" s="17">
        <v>22948</v>
      </c>
      <c r="B329" s="17" t="s">
        <v>19446</v>
      </c>
      <c r="C329" s="17" t="s">
        <v>19448</v>
      </c>
      <c r="D329" s="17" t="s">
        <v>19450</v>
      </c>
      <c r="E329" s="4" t="str">
        <f ca="1">IFERROR(__xludf.DUMMYFUNCTION("GOOGLETRANSLATE(B346,""ja"",""vi"")"),"Tủ (đối với văn phòng)")</f>
        <v>Tủ (đối với văn phòng)</v>
      </c>
      <c r="F329" s="4" t="str">
        <f ca="1">IFERROR(__xludf.DUMMYFUNCTION("GOOGLETRANSLATE(C346,""ja"",""vi"")"),"Đấu giá&gt; nhà, nội thất&gt; lưu trữ&gt; Sách / CD / DVD lưu trữ&gt; tủ (đối với văn phòng)")</f>
        <v>Đấu giá&gt; nhà, nội thất&gt; lưu trữ&gt; Sách / CD / DVD lưu trữ&gt; tủ (đối với văn phòng)</v>
      </c>
      <c r="G329" t="str">
        <f t="shared" ca="1" si="5"/>
        <v>"22948" : "Tủ (đối với văn phòng)",</v>
      </c>
    </row>
    <row r="330" spans="1:7" ht="14.25" customHeight="1">
      <c r="A330" s="17">
        <v>2084063577</v>
      </c>
      <c r="B330" s="17" t="s">
        <v>5410</v>
      </c>
      <c r="C330" s="17" t="s">
        <v>19453</v>
      </c>
      <c r="D330" s="17" t="s">
        <v>19455</v>
      </c>
      <c r="E330" s="4" t="str">
        <f ca="1">IFERROR(__xludf.DUMMYFUNCTION("GOOGLETRANSLATE(B347,""ja"",""vi"")"),"Tủ, bàn toa xe")</f>
        <v>Tủ, bàn toa xe</v>
      </c>
      <c r="F330" s="4" t="str">
        <f ca="1">IFERROR(__xludf.DUMMYFUNCTION("GOOGLETRANSLATE(C347,""ja"",""vi"")"),"Đấu giá&gt; nhà, nội thất&gt; lưu trữ&gt; Sách / CD / DVD lưu trữ&gt; tủ, bàn toa xe")</f>
        <v>Đấu giá&gt; nhà, nội thất&gt; lưu trữ&gt; Sách / CD / DVD lưu trữ&gt; tủ, bàn toa xe</v>
      </c>
      <c r="G330" t="str">
        <f t="shared" ca="1" si="5"/>
        <v>"2084063577" : "Tủ, bàn toa xe",</v>
      </c>
    </row>
    <row r="331" spans="1:7" ht="14.25" customHeight="1">
      <c r="A331" s="17">
        <v>2084048445</v>
      </c>
      <c r="B331" s="17" t="s">
        <v>19322</v>
      </c>
      <c r="C331" s="17" t="s">
        <v>19459</v>
      </c>
      <c r="D331" s="17" t="s">
        <v>19461</v>
      </c>
      <c r="E331" s="4" t="str">
        <f ca="1">IFERROR(__xludf.DUMMYFUNCTION("GOOGLETRANSLATE(B348,""ja"",""vi"")"),"tủ để chén dĩa")</f>
        <v>tủ để chén dĩa</v>
      </c>
      <c r="F331" s="4" t="str">
        <f ca="1">IFERROR(__xludf.DUMMYFUNCTION("GOOGLETRANSLATE(C348,""ja"",""vi"")"),"Đấu giá&gt; nhà, nội thất&gt; lưu trữ&gt; Sách / CD / DVD lưu trữ&gt; tủ búp phê")</f>
        <v>Đấu giá&gt; nhà, nội thất&gt; lưu trữ&gt; Sách / CD / DVD lưu trữ&gt; tủ búp phê</v>
      </c>
      <c r="G331" t="str">
        <f t="shared" ca="1" si="5"/>
        <v>"2084048445" : "tủ để chén dĩa",</v>
      </c>
    </row>
    <row r="332" spans="1:7" ht="14.25" customHeight="1">
      <c r="A332" s="17">
        <v>2084015554</v>
      </c>
      <c r="B332" s="17" t="s">
        <v>2188</v>
      </c>
      <c r="C332" s="17" t="s">
        <v>19465</v>
      </c>
      <c r="D332" s="17" t="s">
        <v>19467</v>
      </c>
      <c r="E332" s="4" t="str">
        <f ca="1">IFERROR(__xludf.DUMMYFUNCTION("GOOGLETRANSLATE(B349,""ja"",""vi"")"),"Kệ TV gỗ, bảng AV")</f>
        <v>Kệ TV gỗ, bảng AV</v>
      </c>
      <c r="F332" s="4" t="str">
        <f ca="1">IFERROR(__xludf.DUMMYFUNCTION("GOOGLETRANSLATE(C349,""ja"",""vi"")"),"Đấu giá&gt; nhà, nội thất&gt; lưu trữ&gt; Sách / CD / DVD lưu trữ&gt; kệ TV gỗ, bảng AV")</f>
        <v>Đấu giá&gt; nhà, nội thất&gt; lưu trữ&gt; Sách / CD / DVD lưu trữ&gt; kệ TV gỗ, bảng AV</v>
      </c>
      <c r="G332" t="str">
        <f t="shared" ca="1" si="5"/>
        <v>"2084015554" : "Kệ TV gỗ, bảng AV",</v>
      </c>
    </row>
    <row r="333" spans="1:7" ht="14.25" customHeight="1">
      <c r="A333" s="17">
        <v>2084015555</v>
      </c>
      <c r="B333" s="17" t="s">
        <v>19359</v>
      </c>
      <c r="C333" s="17" t="s">
        <v>19473</v>
      </c>
      <c r="D333" s="17" t="s">
        <v>19474</v>
      </c>
      <c r="E333" s="4" t="str">
        <f ca="1">IFERROR(__xludf.DUMMYFUNCTION("GOOGLETRANSLATE(B350,""ja"",""vi"")"),"buồng")</f>
        <v>buồng</v>
      </c>
      <c r="F333" s="4" t="str">
        <f ca="1">IFERROR(__xludf.DUMMYFUNCTION("GOOGLETRANSLATE(C350,""ja"",""vi"")"),"Đấu giá&gt; nhà, nội thất&gt; lưu trữ&gt; Sách / CD / DVD lưu trữ&gt; tủ")</f>
        <v>Đấu giá&gt; nhà, nội thất&gt; lưu trữ&gt; Sách / CD / DVD lưu trữ&gt; tủ</v>
      </c>
      <c r="G333" t="str">
        <f t="shared" ca="1" si="5"/>
        <v>"2084015555" : "buồng",</v>
      </c>
    </row>
    <row r="334" spans="1:7" ht="14.25" customHeight="1">
      <c r="A334" s="17">
        <v>2084015557</v>
      </c>
      <c r="B334" s="17" t="s">
        <v>19370</v>
      </c>
      <c r="C334" s="17" t="s">
        <v>19478</v>
      </c>
      <c r="D334" s="17" t="s">
        <v>19479</v>
      </c>
      <c r="E334" s="4" t="str">
        <f ca="1">IFERROR(__xludf.DUMMYFUNCTION("GOOGLETRANSLATE(B351,""ja"",""vi"")"),"kệ sách")</f>
        <v>kệ sách</v>
      </c>
      <c r="F334" s="4" t="str">
        <f ca="1">IFERROR(__xludf.DUMMYFUNCTION("GOOGLETRANSLATE(C351,""ja"",""vi"")"),"Đấu giá&gt; nhà, nội thất&gt; lưu trữ&gt; Sách / CD / DVD lưu trữ&gt; kệ sách")</f>
        <v>Đấu giá&gt; nhà, nội thất&gt; lưu trữ&gt; Sách / CD / DVD lưu trữ&gt; kệ sách</v>
      </c>
      <c r="G334" t="str">
        <f t="shared" ca="1" si="5"/>
        <v>"2084015557" : "kệ sách",</v>
      </c>
    </row>
    <row r="335" spans="1:7" ht="14.25" customHeight="1">
      <c r="A335" s="17">
        <v>22936</v>
      </c>
      <c r="B335" s="17" t="s">
        <v>19483</v>
      </c>
      <c r="C335" s="17" t="s">
        <v>19484</v>
      </c>
      <c r="D335" s="17" t="s">
        <v>19485</v>
      </c>
      <c r="E335" s="4" t="str">
        <f ca="1">IFERROR(__xludf.DUMMYFUNCTION("GOOGLETRANSLATE(B352,""ja"",""vi"")"),"Kệ sách (đối với văn phòng)")</f>
        <v>Kệ sách (đối với văn phòng)</v>
      </c>
      <c r="F335" s="4" t="str">
        <f ca="1">IFERROR(__xludf.DUMMYFUNCTION("GOOGLETRANSLATE(C352,""ja"",""vi"")"),"Đấu giá&gt; nhà, nội thất&gt; lưu trữ&gt; Sách / CD / DVD lưu trữ&gt; kệ sách (đối với văn phòng)")</f>
        <v>Đấu giá&gt; nhà, nội thất&gt; lưu trữ&gt; Sách / CD / DVD lưu trữ&gt; kệ sách (đối với văn phòng)</v>
      </c>
      <c r="G335" t="str">
        <f t="shared" ca="1" si="5"/>
        <v>"22936" : "Kệ sách (đối với văn phòng)",</v>
      </c>
    </row>
    <row r="336" spans="1:7" ht="14.25" customHeight="1">
      <c r="A336" s="17">
        <v>2084288132</v>
      </c>
      <c r="B336" s="17" t="s">
        <v>46</v>
      </c>
      <c r="C336" s="17" t="s">
        <v>19489</v>
      </c>
      <c r="D336" s="17" t="s">
        <v>19490</v>
      </c>
      <c r="E336" s="4" t="str">
        <f ca="1">IFERROR(__xludf.DUMMYFUNCTION("GOOGLETRANSLATE(B353,""ja"",""vi"")"),"nếu không thì")</f>
        <v>nếu không thì</v>
      </c>
      <c r="F336" s="4" t="str">
        <f ca="1">IFERROR(__xludf.DUMMYFUNCTION("GOOGLETRANSLATE(C353,""ja"",""vi"")"),"Đấu giá&gt; nhà, nội thất&gt; lưu trữ&gt; Sách / CD / DVD lưu trữ&gt; Khác")</f>
        <v>Đấu giá&gt; nhà, nội thất&gt; lưu trữ&gt; Sách / CD / DVD lưu trữ&gt; Khác</v>
      </c>
      <c r="G336" t="str">
        <f t="shared" ca="1" si="5"/>
        <v>"2084288132" : "nếu không thì",</v>
      </c>
    </row>
    <row r="337" spans="1:7" ht="14.25" customHeight="1">
      <c r="E337" s="4" t="str">
        <f ca="1">IFERROR(__xludf.DUMMYFUNCTION("GOOGLETRANSLATE(B354,""ja"",""vi"")"),"#VALUE!")</f>
        <v>#VALUE!</v>
      </c>
      <c r="F337" s="4" t="str">
        <f ca="1">IFERROR(__xludf.DUMMYFUNCTION("GOOGLETRANSLATE(C354,""ja"",""vi"")"),"#VALUE!")</f>
        <v>#VALUE!</v>
      </c>
      <c r="G337" t="str">
        <f t="shared" ca="1" si="5"/>
        <v>"" : "#VALUE!",</v>
      </c>
    </row>
    <row r="338" spans="1:7" ht="14.25" customHeight="1">
      <c r="A338" s="3">
        <v>2084288133</v>
      </c>
      <c r="B338" s="10"/>
      <c r="C338" s="10"/>
      <c r="D338" s="10"/>
      <c r="E338" s="4" t="str">
        <f ca="1">IFERROR(__xludf.DUMMYFUNCTION("GOOGLETRANSLATE(B355,""ja"",""vi"")"),"#VALUE!")</f>
        <v>#VALUE!</v>
      </c>
      <c r="F338" s="4" t="str">
        <f ca="1">IFERROR(__xludf.DUMMYFUNCTION("GOOGLETRANSLATE(C355,""ja"",""vi"")"),"#VALUE!")</f>
        <v>#VALUE!</v>
      </c>
      <c r="G338" t="str">
        <f t="shared" ca="1" si="5"/>
        <v>"2084288133" : "#VALUE!",</v>
      </c>
    </row>
    <row r="339" spans="1:7" ht="14.25" customHeight="1">
      <c r="A339" s="29">
        <v>22948</v>
      </c>
      <c r="B339" s="29" t="s">
        <v>19446</v>
      </c>
      <c r="C339" s="29" t="s">
        <v>19496</v>
      </c>
      <c r="D339" s="29" t="s">
        <v>19497</v>
      </c>
      <c r="E339" s="4" t="str">
        <f ca="1">IFERROR(__xludf.DUMMYFUNCTION("GOOGLETRANSLATE(B356,""ja"",""vi"")"),"Tủ (đối với văn phòng)")</f>
        <v>Tủ (đối với văn phòng)</v>
      </c>
      <c r="F339" s="4" t="str">
        <f ca="1">IFERROR(__xludf.DUMMYFUNCTION("GOOGLETRANSLATE(C356,""ja"",""vi"")"),"Đấu giá&gt; nhà, nội thất&gt; lưu trữ&gt; nghiên cứu / văn phòng / kinh doanh cho việc lưu trữ&gt; tủ (đối với văn phòng)")</f>
        <v>Đấu giá&gt; nhà, nội thất&gt; lưu trữ&gt; nghiên cứu / văn phòng / kinh doanh cho việc lưu trữ&gt; tủ (đối với văn phòng)</v>
      </c>
      <c r="G339" t="str">
        <f t="shared" ca="1" si="5"/>
        <v>"22948" : "Tủ (đối với văn phòng)",</v>
      </c>
    </row>
    <row r="340" spans="1:7" ht="14.25" customHeight="1">
      <c r="A340" s="12">
        <v>2084063577</v>
      </c>
      <c r="B340" s="12" t="s">
        <v>5410</v>
      </c>
      <c r="C340" s="12" t="s">
        <v>19500</v>
      </c>
      <c r="D340" s="12" t="s">
        <v>19502</v>
      </c>
      <c r="E340" s="4" t="str">
        <f ca="1">IFERROR(__xludf.DUMMYFUNCTION("GOOGLETRANSLATE(B357,""ja"",""vi"")"),"Tủ, bàn toa xe")</f>
        <v>Tủ, bàn toa xe</v>
      </c>
      <c r="F340" s="4" t="str">
        <f ca="1">IFERROR(__xludf.DUMMYFUNCTION("GOOGLETRANSLATE(C357,""ja"",""vi"")"),"Đấu giá&gt; nhà, nội thất&gt; lưu trữ&gt; nghiên cứu / văn phòng / kinh doanh cho việc lưu trữ&gt; tủ, bàn toa xe")</f>
        <v>Đấu giá&gt; nhà, nội thất&gt; lưu trữ&gt; nghiên cứu / văn phòng / kinh doanh cho việc lưu trữ&gt; tủ, bàn toa xe</v>
      </c>
      <c r="G340" t="str">
        <f t="shared" ca="1" si="5"/>
        <v>"2084063577" : "Tủ, bàn toa xe",</v>
      </c>
    </row>
    <row r="341" spans="1:7" ht="14.25" customHeight="1">
      <c r="A341" s="12">
        <v>2084063850</v>
      </c>
      <c r="B341" s="12" t="s">
        <v>19504</v>
      </c>
      <c r="C341" s="12" t="s">
        <v>19505</v>
      </c>
      <c r="D341" s="12" t="s">
        <v>19507</v>
      </c>
      <c r="E341" s="4" t="str">
        <f ca="1">IFERROR(__xludf.DUMMYFUNCTION("GOOGLETRANSLATE(B358,""ja"",""vi"")"),"showcase")</f>
        <v>showcase</v>
      </c>
      <c r="F341" s="4" t="str">
        <f ca="1">IFERROR(__xludf.DUMMYFUNCTION("GOOGLETRANSLATE(C358,""ja"",""vi"")"),"Đấu giá&gt; nhà, nội thất&gt; lưu trữ&gt; nghiên cứu / văn phòng / kinh doanh cho việc lưu trữ&gt; Showcase")</f>
        <v>Đấu giá&gt; nhà, nội thất&gt; lưu trữ&gt; nghiên cứu / văn phòng / kinh doanh cho việc lưu trữ&gt; Showcase</v>
      </c>
      <c r="G341" t="str">
        <f t="shared" ca="1" si="5"/>
        <v>"2084063850" : "showcase",</v>
      </c>
    </row>
    <row r="342" spans="1:7" ht="14.25" customHeight="1">
      <c r="A342" s="12">
        <v>2084048037</v>
      </c>
      <c r="B342" s="12" t="s">
        <v>19509</v>
      </c>
      <c r="C342" s="12" t="s">
        <v>19510</v>
      </c>
      <c r="D342" s="12" t="s">
        <v>19512</v>
      </c>
      <c r="E342" s="4" t="str">
        <f ca="1">IFERROR(__xludf.DUMMYFUNCTION("GOOGLETRANSLATE(B359,""ja"",""vi"")"),"bàn")</f>
        <v>bàn</v>
      </c>
      <c r="F342" s="4" t="str">
        <f ca="1">IFERROR(__xludf.DUMMYFUNCTION("GOOGLETRANSLATE(C359,""ja"",""vi"")"),"Đấu giá&gt; nhà, nội thất&gt; lưu trữ&gt; nghiên cứu / văn phòng / kinh doanh cho việc lưu trữ&gt; bàn")</f>
        <v>Đấu giá&gt; nhà, nội thất&gt; lưu trữ&gt; nghiên cứu / văn phòng / kinh doanh cho việc lưu trữ&gt; bàn</v>
      </c>
      <c r="G342" t="str">
        <f t="shared" ca="1" si="5"/>
        <v>"2084048037" : "bàn",</v>
      </c>
    </row>
    <row r="343" spans="1:7" ht="14.25" customHeight="1">
      <c r="A343" s="12">
        <v>22944</v>
      </c>
      <c r="B343" s="12" t="s">
        <v>19514</v>
      </c>
      <c r="C343" s="12" t="s">
        <v>19515</v>
      </c>
      <c r="D343" s="12" t="s">
        <v>19517</v>
      </c>
      <c r="E343" s="4" t="str">
        <f ca="1">IFERROR(__xludf.DUMMYFUNCTION("GOOGLETRANSLATE(B360,""ja"",""vi"")"),"Bàn (đối với văn phòng)")</f>
        <v>Bàn (đối với văn phòng)</v>
      </c>
      <c r="F343" s="4" t="str">
        <f ca="1">IFERROR(__xludf.DUMMYFUNCTION("GOOGLETRANSLATE(C360,""ja"",""vi"")"),"Đấu giá&gt; nhà, nội thất&gt; lưu trữ&gt; nghiên cứu / văn phòng / kinh doanh cho việc lưu trữ&gt; bàn (đối với văn phòng)")</f>
        <v>Đấu giá&gt; nhà, nội thất&gt; lưu trữ&gt; nghiên cứu / văn phòng / kinh doanh cho việc lưu trữ&gt; bàn (đối với văn phòng)</v>
      </c>
      <c r="G343" t="str">
        <f t="shared" ca="1" si="5"/>
        <v>"22944" : "Bàn (đối với văn phòng)",</v>
      </c>
    </row>
    <row r="344" spans="1:7" ht="14.25" customHeight="1">
      <c r="A344" s="12">
        <v>2084061609</v>
      </c>
      <c r="B344" s="12" t="s">
        <v>18851</v>
      </c>
      <c r="C344" s="12" t="s">
        <v>19519</v>
      </c>
      <c r="D344" s="12" t="s">
        <v>19520</v>
      </c>
      <c r="E344" s="4" t="str">
        <f ca="1">IFERROR(__xludf.DUMMYFUNCTION("GOOGLETRANSLATE(B361,""ja"",""vi"")"),"hanger giá")</f>
        <v>hanger giá</v>
      </c>
      <c r="F344" s="4" t="str">
        <f ca="1">IFERROR(__xludf.DUMMYFUNCTION("GOOGLETRANSLATE(C361,""ja"",""vi"")"),"Đấu giá&gt; nhà, nội thất&gt; lưu trữ&gt; nghiên cứu / văn phòng / kinh doanh cho việc lưu trữ&gt; treo giá đỡ")</f>
        <v>Đấu giá&gt; nhà, nội thất&gt; lưu trữ&gt; nghiên cứu / văn phòng / kinh doanh cho việc lưu trữ&gt; treo giá đỡ</v>
      </c>
      <c r="G344" t="str">
        <f t="shared" ca="1" si="5"/>
        <v>"2084061609" : "hanger giá",</v>
      </c>
    </row>
    <row r="345" spans="1:7" ht="14.25" customHeight="1">
      <c r="A345" s="12">
        <v>2084263147</v>
      </c>
      <c r="B345" s="12" t="s">
        <v>19523</v>
      </c>
      <c r="C345" s="12" t="s">
        <v>19525</v>
      </c>
      <c r="D345" s="12" t="s">
        <v>19527</v>
      </c>
      <c r="E345" s="4" t="str">
        <f ca="1">IFERROR(__xludf.DUMMYFUNCTION("GOOGLETRANSLATE(B362,""ja"",""vi"")"),"Hanger rack (cho doanh nghiệp)")</f>
        <v>Hanger rack (cho doanh nghiệp)</v>
      </c>
      <c r="F345" s="4" t="str">
        <f ca="1">IFERROR(__xludf.DUMMYFUNCTION("GOOGLETRANSLATE(C362,""ja"",""vi"")"),"Đấu giá&gt; nhà, nội thất&gt; lưu trữ&gt; nghiên cứu / văn phòng / kinh doanh cho việc lưu trữ&gt; móc răng (cho doanh nghiệp)")</f>
        <v>Đấu giá&gt; nhà, nội thất&gt; lưu trữ&gt; nghiên cứu / văn phòng / kinh doanh cho việc lưu trữ&gt; móc răng (cho doanh nghiệp)</v>
      </c>
      <c r="G345" t="str">
        <f t="shared" ca="1" si="5"/>
        <v>"2084263147" : "Hanger rack (cho doanh nghiệp)",</v>
      </c>
    </row>
    <row r="346" spans="1:7" ht="14.25" customHeight="1">
      <c r="A346" s="12">
        <v>2084063844</v>
      </c>
      <c r="B346" s="12" t="s">
        <v>19530</v>
      </c>
      <c r="C346" s="12" t="s">
        <v>19532</v>
      </c>
      <c r="D346" s="12" t="s">
        <v>19533</v>
      </c>
      <c r="E346" s="4" t="str">
        <f ca="1">IFERROR(__xludf.DUMMYFUNCTION("GOOGLETRANSLATE(B363,""ja"",""vi"")"),"tủ nhỏ")</f>
        <v>tủ nhỏ</v>
      </c>
      <c r="F346" s="4" t="str">
        <f ca="1">IFERROR(__xludf.DUMMYFUNCTION("GOOGLETRANSLATE(C363,""ja"",""vi"")"),"Đấu giá&gt; nhà, nội thất&gt; lưu trữ&gt; nghiên cứu / văn phòng / kinh doanh cho việc lưu trữ&gt; thay đồ")</f>
        <v>Đấu giá&gt; nhà, nội thất&gt; lưu trữ&gt; nghiên cứu / văn phòng / kinh doanh cho việc lưu trữ&gt; thay đồ</v>
      </c>
      <c r="G346" t="str">
        <f t="shared" ca="1" si="5"/>
        <v>"2084063844" : "tủ nhỏ",</v>
      </c>
    </row>
    <row r="347" spans="1:7" ht="14.25" customHeight="1">
      <c r="A347" s="12">
        <v>2084055706</v>
      </c>
      <c r="B347" s="12" t="s">
        <v>19535</v>
      </c>
      <c r="C347" s="12" t="s">
        <v>19537</v>
      </c>
      <c r="D347" s="12" t="s">
        <v>19539</v>
      </c>
      <c r="E347" s="4" t="str">
        <f ca="1">IFERROR(__xludf.DUMMYFUNCTION("GOOGLETRANSLATE(B364,""ja"",""vi"")"),"an toàn")</f>
        <v>an toàn</v>
      </c>
      <c r="F347" s="4" t="str">
        <f ca="1">IFERROR(__xludf.DUMMYFUNCTION("GOOGLETRANSLATE(C364,""ja"",""vi"")"),"Đấu giá&gt; nhà, nội thất&gt; lưu trữ&gt; nghiên cứu / văn phòng / kinh doanh cho việc lưu trữ&gt; an toàn")</f>
        <v>Đấu giá&gt; nhà, nội thất&gt; lưu trữ&gt; nghiên cứu / văn phòng / kinh doanh cho việc lưu trữ&gt; an toàn</v>
      </c>
      <c r="G347" t="str">
        <f t="shared" ca="1" si="5"/>
        <v>"2084055706" : "an toàn",</v>
      </c>
    </row>
    <row r="348" spans="1:7" ht="14.25" customHeight="1">
      <c r="A348" s="12">
        <v>2084024333</v>
      </c>
      <c r="B348" s="12" t="s">
        <v>19542</v>
      </c>
      <c r="C348" s="12" t="s">
        <v>19544</v>
      </c>
      <c r="D348" s="12" t="s">
        <v>19546</v>
      </c>
      <c r="E348" s="4" t="str">
        <f ca="1">IFERROR(__xludf.DUMMYFUNCTION("GOOGLETRANSLATE(B365,""ja"",""vi"")"),"Umbrella đứng")</f>
        <v>Umbrella đứng</v>
      </c>
      <c r="F348" s="4" t="str">
        <f ca="1">IFERROR(__xludf.DUMMYFUNCTION("GOOGLETRANSLATE(C365,""ja"",""vi"")"),"Đấu giá&gt; nhà, nội thất&gt; lưu trữ&gt; nghiên cứu / văn phòng / kinh doanh cho việc lưu trữ&gt; ô đứng")</f>
        <v>Đấu giá&gt; nhà, nội thất&gt; lưu trữ&gt; nghiên cứu / văn phòng / kinh doanh cho việc lưu trữ&gt; ô đứng</v>
      </c>
      <c r="G348" t="str">
        <f t="shared" ca="1" si="5"/>
        <v>"2084024333" : "Umbrella đứng",</v>
      </c>
    </row>
    <row r="349" spans="1:7" ht="14.25" customHeight="1">
      <c r="A349" s="12">
        <v>2084015557</v>
      </c>
      <c r="B349" s="12" t="s">
        <v>19370</v>
      </c>
      <c r="C349" s="12" t="s">
        <v>19547</v>
      </c>
      <c r="D349" s="12" t="s">
        <v>19549</v>
      </c>
      <c r="E349" s="4" t="str">
        <f ca="1">IFERROR(__xludf.DUMMYFUNCTION("GOOGLETRANSLATE(B366,""ja"",""vi"")"),"kệ sách")</f>
        <v>kệ sách</v>
      </c>
      <c r="F349" s="4" t="str">
        <f ca="1">IFERROR(__xludf.DUMMYFUNCTION("GOOGLETRANSLATE(C366,""ja"",""vi"")"),"Đấu giá&gt; nhà, nội thất&gt; lưu trữ&gt; nghiên cứu / văn phòng / kinh doanh cho việc lưu trữ&gt; kệ sách")</f>
        <v>Đấu giá&gt; nhà, nội thất&gt; lưu trữ&gt; nghiên cứu / văn phòng / kinh doanh cho việc lưu trữ&gt; kệ sách</v>
      </c>
      <c r="G349" t="str">
        <f t="shared" ca="1" si="5"/>
        <v>"2084015557" : "kệ sách",</v>
      </c>
    </row>
    <row r="350" spans="1:7" ht="14.25" customHeight="1">
      <c r="A350" s="12">
        <v>22936</v>
      </c>
      <c r="B350" s="12" t="s">
        <v>19483</v>
      </c>
      <c r="C350" s="12" t="s">
        <v>19551</v>
      </c>
      <c r="D350" s="12" t="s">
        <v>19553</v>
      </c>
      <c r="E350" s="4" t="str">
        <f ca="1">IFERROR(__xludf.DUMMYFUNCTION("GOOGLETRANSLATE(B367,""ja"",""vi"")"),"Kệ sách (đối với văn phòng)")</f>
        <v>Kệ sách (đối với văn phòng)</v>
      </c>
      <c r="F350" s="4" t="str">
        <f ca="1">IFERROR(__xludf.DUMMYFUNCTION("GOOGLETRANSLATE(C367,""ja"",""vi"")"),"Đấu giá&gt; nhà, nội thất&gt; lưu trữ&gt; nghiên cứu / văn phòng / kinh doanh cho việc lưu trữ&gt; kệ sách (đối với văn phòng)")</f>
        <v>Đấu giá&gt; nhà, nội thất&gt; lưu trữ&gt; nghiên cứu / văn phòng / kinh doanh cho việc lưu trữ&gt; kệ sách (đối với văn phòng)</v>
      </c>
      <c r="G350" t="str">
        <f t="shared" ca="1" si="5"/>
        <v>"22936" : "Kệ sách (đối với văn phòng)",</v>
      </c>
    </row>
    <row r="351" spans="1:7" ht="14.25" customHeight="1">
      <c r="A351" s="12">
        <v>2084288146</v>
      </c>
      <c r="B351" s="12" t="s">
        <v>46</v>
      </c>
      <c r="C351" s="12" t="s">
        <v>19557</v>
      </c>
      <c r="D351" s="12" t="s">
        <v>19559</v>
      </c>
      <c r="E351" s="4" t="str">
        <f ca="1">IFERROR(__xludf.DUMMYFUNCTION("GOOGLETRANSLATE(B368,""ja"",""vi"")"),"nếu không thì")</f>
        <v>nếu không thì</v>
      </c>
      <c r="F351" s="4" t="str">
        <f ca="1">IFERROR(__xludf.DUMMYFUNCTION("GOOGLETRANSLATE(C368,""ja"",""vi"")"),"Đấu giá&gt; nhà, nội thất&gt; lưu trữ&gt; nghiên cứu / văn phòng / kinh doanh cho việc lưu trữ&gt; Khác")</f>
        <v>Đấu giá&gt; nhà, nội thất&gt; lưu trữ&gt; nghiên cứu / văn phòng / kinh doanh cho việc lưu trữ&gt; Khác</v>
      </c>
      <c r="G351" t="str">
        <f t="shared" ca="1" si="5"/>
        <v>"2084288146" : "nếu không thì",</v>
      </c>
    </row>
    <row r="352" spans="1:7" ht="14.25" customHeight="1">
      <c r="E352" s="4" t="str">
        <f ca="1">IFERROR(__xludf.DUMMYFUNCTION("GOOGLETRANSLATE(B369,""ja"",""vi"")"),"#VALUE!")</f>
        <v>#VALUE!</v>
      </c>
      <c r="F352" s="4" t="str">
        <f ca="1">IFERROR(__xludf.DUMMYFUNCTION("GOOGLETRANSLATE(C369,""ja"",""vi"")"),"#VALUE!")</f>
        <v>#VALUE!</v>
      </c>
      <c r="G352" t="str">
        <f t="shared" ca="1" si="5"/>
        <v>"" : "#VALUE!",</v>
      </c>
    </row>
    <row r="353" spans="1:7" ht="14.25" customHeight="1">
      <c r="A353" s="3">
        <v>2084288147</v>
      </c>
      <c r="B353" s="10"/>
      <c r="C353" s="10"/>
      <c r="D353" s="10"/>
      <c r="E353" s="4" t="str">
        <f ca="1">IFERROR(__xludf.DUMMYFUNCTION("GOOGLETRANSLATE(B370,""ja"",""vi"")"),"#VALUE!")</f>
        <v>#VALUE!</v>
      </c>
      <c r="F353" s="4" t="str">
        <f ca="1">IFERROR(__xludf.DUMMYFUNCTION("GOOGLETRANSLATE(C370,""ja"",""vi"")"),"#VALUE!")</f>
        <v>#VALUE!</v>
      </c>
      <c r="G353" t="str">
        <f t="shared" ca="1" si="5"/>
        <v>"2084288147" : "#VALUE!",</v>
      </c>
    </row>
    <row r="354" spans="1:7" ht="14.25" customHeight="1">
      <c r="A354" s="29">
        <v>2084057212</v>
      </c>
      <c r="B354" s="29" t="s">
        <v>19564</v>
      </c>
      <c r="C354" s="29" t="s">
        <v>19565</v>
      </c>
      <c r="D354" s="29" t="s">
        <v>19567</v>
      </c>
      <c r="E354" s="4" t="str">
        <f ca="1">IFERROR(__xludf.DUMMYFUNCTION("GOOGLETRANSLATE(B371,""ja"",""vi"")"),"Tủ quần áo, tủ quần áo")</f>
        <v>Tủ quần áo, tủ quần áo</v>
      </c>
      <c r="F354" s="4" t="str">
        <f ca="1">IFERROR(__xludf.DUMMYFUNCTION("GOOGLETRANSLATE(C371,""ja"",""vi"")"),"Đấu giá&gt; nhà, nội thất&gt; lưu trữ&gt; quần áo / tủ quần áo / tủ lưu trữ&gt; tủ quần áo, tủ quần áo")</f>
        <v>Đấu giá&gt; nhà, nội thất&gt; lưu trữ&gt; quần áo / tủ quần áo / tủ lưu trữ&gt; tủ quần áo, tủ quần áo</v>
      </c>
      <c r="G354" t="str">
        <f t="shared" ca="1" si="5"/>
        <v>"2084057212" : "Tủ quần áo, tủ quần áo",</v>
      </c>
    </row>
    <row r="355" spans="1:7" ht="14.25" customHeight="1">
      <c r="A355" s="12">
        <v>2084061512</v>
      </c>
      <c r="B355" s="12" t="s">
        <v>19570</v>
      </c>
      <c r="C355" s="12" t="s">
        <v>19571</v>
      </c>
      <c r="D355" s="12" t="s">
        <v>19573</v>
      </c>
      <c r="E355" s="4" t="str">
        <f ca="1">IFERROR(__xludf.DUMMYFUNCTION("GOOGLETRANSLATE(B372,""ja"",""vi"")"),"Trang phục trường hợp")</f>
        <v>Trang phục trường hợp</v>
      </c>
      <c r="F355" s="4" t="str">
        <f ca="1">IFERROR(__xludf.DUMMYFUNCTION("GOOGLETRANSLATE(C372,""ja"",""vi"")"),"Đấu giá&gt; nhà, nội thất&gt; lưu trữ&gt; quần áo / tủ quần áo / tủ lưu trữ&gt; tủ quần áo")</f>
        <v>Đấu giá&gt; nhà, nội thất&gt; lưu trữ&gt; quần áo / tủ quần áo / tủ lưu trữ&gt; tủ quần áo</v>
      </c>
      <c r="G355" t="str">
        <f t="shared" ca="1" si="5"/>
        <v>"2084061512" : "Trang phục trường hợp",</v>
      </c>
    </row>
    <row r="356" spans="1:7" ht="14.25" customHeight="1">
      <c r="A356" s="12">
        <v>2084062751</v>
      </c>
      <c r="B356" s="12" t="s">
        <v>19576</v>
      </c>
      <c r="C356" s="12" t="s">
        <v>19577</v>
      </c>
      <c r="D356" s="12" t="s">
        <v>19579</v>
      </c>
      <c r="E356" s="4" t="str">
        <f ca="1">IFERROR(__xludf.DUMMYFUNCTION("GOOGLETRANSLATE(B373,""ja"",""vi"")"),"ngực Hiroshi ngăn kéo, ngực")</f>
        <v>ngực Hiroshi ngăn kéo, ngực</v>
      </c>
      <c r="F356" s="4" t="str">
        <f ca="1">IFERROR(__xludf.DUMMYFUNCTION("GOOGLETRANSLATE(C373,""ja"",""vi"")"),"Đấu giá&gt; nhà, nội thất&gt; lưu trữ&gt; quần áo / tủ quần áo / tủ lưu trữ&gt; Hiroshi ngực, ngực")</f>
        <v>Đấu giá&gt; nhà, nội thất&gt; lưu trữ&gt; quần áo / tủ quần áo / tủ lưu trữ&gt; Hiroshi ngực, ngực</v>
      </c>
      <c r="G356" t="str">
        <f t="shared" ca="1" si="5"/>
        <v>"2084062751" : "ngực Hiroshi ngăn kéo, ngực",</v>
      </c>
    </row>
    <row r="357" spans="1:7" ht="14.25" customHeight="1">
      <c r="A357" s="12">
        <v>2084062750</v>
      </c>
      <c r="B357" s="12" t="s">
        <v>19584</v>
      </c>
      <c r="C357" s="12" t="s">
        <v>19586</v>
      </c>
      <c r="D357" s="12" t="s">
        <v>19587</v>
      </c>
      <c r="E357" s="4" t="str">
        <f ca="1">IFERROR(__xludf.DUMMYFUNCTION("GOOGLETRANSLATE(B374,""ja"",""vi"")"),"Ngực của ngăn kéo tiền")</f>
        <v>Ngực của ngăn kéo tiền</v>
      </c>
      <c r="F357" s="4" t="str">
        <f ca="1">IFERROR(__xludf.DUMMYFUNCTION("GOOGLETRANSLATE(C374,""ja"",""vi"")"),"Đấu giá&gt; nhà, nội thất&gt; lưu trữ&gt; quần áo / tủ quần áo / tủ lưu trữ&gt; sum ngực")</f>
        <v>Đấu giá&gt; nhà, nội thất&gt; lưu trữ&gt; quần áo / tủ quần áo / tủ lưu trữ&gt; sum ngực</v>
      </c>
      <c r="G357" t="str">
        <f t="shared" ca="1" si="5"/>
        <v>"2084062750" : "Ngực của ngăn kéo tiền",</v>
      </c>
    </row>
    <row r="358" spans="1:7" ht="14.25" customHeight="1">
      <c r="A358" s="12">
        <v>2084061609</v>
      </c>
      <c r="B358" s="12" t="s">
        <v>18851</v>
      </c>
      <c r="C358" s="12" t="s">
        <v>19591</v>
      </c>
      <c r="D358" s="12" t="s">
        <v>19592</v>
      </c>
      <c r="E358" s="4" t="str">
        <f ca="1">IFERROR(__xludf.DUMMYFUNCTION("GOOGLETRANSLATE(B375,""ja"",""vi"")"),"hanger giá")</f>
        <v>hanger giá</v>
      </c>
      <c r="F358" s="4" t="str">
        <f ca="1">IFERROR(__xludf.DUMMYFUNCTION("GOOGLETRANSLATE(C375,""ja"",""vi"")"),"Đấu giá&gt; nhà, nội thất&gt; lưu trữ&gt; quần áo / tủ quần áo / tủ lưu trữ&gt; treo giá đỡ")</f>
        <v>Đấu giá&gt; nhà, nội thất&gt; lưu trữ&gt; quần áo / tủ quần áo / tủ lưu trữ&gt; treo giá đỡ</v>
      </c>
      <c r="G358" t="str">
        <f t="shared" ca="1" si="5"/>
        <v>"2084061609" : "hanger giá",</v>
      </c>
    </row>
    <row r="359" spans="1:7" ht="14.25" customHeight="1">
      <c r="A359" s="12">
        <v>2084263147</v>
      </c>
      <c r="B359" s="12" t="s">
        <v>19523</v>
      </c>
      <c r="C359" s="12" t="s">
        <v>19595</v>
      </c>
      <c r="D359" s="12" t="s">
        <v>19596</v>
      </c>
      <c r="E359" s="4" t="str">
        <f ca="1">IFERROR(__xludf.DUMMYFUNCTION("GOOGLETRANSLATE(B376,""ja"",""vi"")"),"Hanger rack (cho doanh nghiệp)")</f>
        <v>Hanger rack (cho doanh nghiệp)</v>
      </c>
      <c r="F359" s="4" t="str">
        <f ca="1">IFERROR(__xludf.DUMMYFUNCTION("GOOGLETRANSLATE(C376,""ja"",""vi"")"),"Đấu giá&gt; nhà, nội thất&gt; lưu trữ&gt; quần áo / tủ quần áo / tủ lưu trữ&gt; móc răng (cho doanh nghiệp)")</f>
        <v>Đấu giá&gt; nhà, nội thất&gt; lưu trữ&gt; quần áo / tủ quần áo / tủ lưu trữ&gt; móc răng (cho doanh nghiệp)</v>
      </c>
      <c r="G359" t="str">
        <f t="shared" ca="1" si="5"/>
        <v>"2084263147" : "Hanger rack (cho doanh nghiệp)",</v>
      </c>
    </row>
    <row r="360" spans="1:7" ht="14.25" customHeight="1">
      <c r="A360" s="12">
        <v>2084061898</v>
      </c>
      <c r="B360" s="12" t="s">
        <v>19071</v>
      </c>
      <c r="C360" s="12" t="s">
        <v>19599</v>
      </c>
      <c r="D360" s="12" t="s">
        <v>19601</v>
      </c>
      <c r="E360" s="4" t="str">
        <f ca="1">IFERROR(__xludf.DUMMYFUNCTION("GOOGLETRANSLATE(B377,""ja"",""vi"")"),"túi nén futon")</f>
        <v>túi nén futon</v>
      </c>
      <c r="F360" s="4" t="str">
        <f ca="1">IFERROR(__xludf.DUMMYFUNCTION("GOOGLETRANSLATE(C377,""ja"",""vi"")"),"Đấu giá&gt; nhà, nội thất&gt; lưu trữ&gt; quần áo / tủ quần áo / tủ lưu trữ&gt; túi nén futon")</f>
        <v>Đấu giá&gt; nhà, nội thất&gt; lưu trữ&gt; quần áo / tủ quần áo / tủ lưu trữ&gt; túi nén futon</v>
      </c>
      <c r="G360" t="str">
        <f t="shared" ca="1" si="5"/>
        <v>"2084061898" : "túi nén futon",</v>
      </c>
    </row>
    <row r="361" spans="1:7" ht="14.25" customHeight="1">
      <c r="A361" s="12">
        <v>2084288155</v>
      </c>
      <c r="B361" s="12" t="s">
        <v>46</v>
      </c>
      <c r="C361" s="12" t="s">
        <v>19604</v>
      </c>
      <c r="D361" s="12" t="s">
        <v>19605</v>
      </c>
      <c r="E361" s="4" t="str">
        <f ca="1">IFERROR(__xludf.DUMMYFUNCTION("GOOGLETRANSLATE(B378,""ja"",""vi"")"),"nếu không thì")</f>
        <v>nếu không thì</v>
      </c>
      <c r="F361" s="4" t="str">
        <f ca="1">IFERROR(__xludf.DUMMYFUNCTION("GOOGLETRANSLATE(C378,""ja"",""vi"")"),"Đấu giá&gt; nhà, nội thất&gt; lưu trữ&gt; quần áo / tủ quần áo / tủ lưu trữ&gt; Khác")</f>
        <v>Đấu giá&gt; nhà, nội thất&gt; lưu trữ&gt; quần áo / tủ quần áo / tủ lưu trữ&gt; Khác</v>
      </c>
      <c r="G361" t="str">
        <f t="shared" ca="1" si="5"/>
        <v>"2084288155" : "nếu không thì",</v>
      </c>
    </row>
    <row r="362" spans="1:7" ht="14.25" customHeight="1">
      <c r="E362" s="4" t="str">
        <f ca="1">IFERROR(__xludf.DUMMYFUNCTION("GOOGLETRANSLATE(B379,""ja"",""vi"")"),"#VALUE!")</f>
        <v>#VALUE!</v>
      </c>
      <c r="F362" s="4" t="str">
        <f ca="1">IFERROR(__xludf.DUMMYFUNCTION("GOOGLETRANSLATE(C379,""ja"",""vi"")"),"#VALUE!")</f>
        <v>#VALUE!</v>
      </c>
      <c r="G362" t="str">
        <f t="shared" ca="1" si="5"/>
        <v>"" : "#VALUE!",</v>
      </c>
    </row>
    <row r="363" spans="1:7" ht="14.25" customHeight="1">
      <c r="A363" s="3">
        <v>2084288156</v>
      </c>
      <c r="B363" s="10"/>
      <c r="C363" s="10"/>
      <c r="D363" s="10"/>
      <c r="E363" s="4" t="str">
        <f ca="1">IFERROR(__xludf.DUMMYFUNCTION("GOOGLETRANSLATE(B380,""ja"",""vi"")"),"#VALUE!")</f>
        <v>#VALUE!</v>
      </c>
      <c r="F363" s="4" t="str">
        <f ca="1">IFERROR(__xludf.DUMMYFUNCTION("GOOGLETRANSLATE(C380,""ja"",""vi"")"),"#VALUE!")</f>
        <v>#VALUE!</v>
      </c>
      <c r="G363" t="str">
        <f t="shared" ca="1" si="5"/>
        <v>"2084288156" : "#VALUE!",</v>
      </c>
    </row>
    <row r="364" spans="1:7" ht="14.25" customHeight="1">
      <c r="A364" s="33">
        <v>2084288024</v>
      </c>
      <c r="B364" s="33" t="s">
        <v>18879</v>
      </c>
      <c r="C364" s="33" t="s">
        <v>19609</v>
      </c>
      <c r="D364" s="33" t="s">
        <v>19610</v>
      </c>
      <c r="E364" s="4" t="str">
        <f ca="1">IFERROR(__xludf.DUMMYFUNCTION("GOOGLETRANSLATE(B381,""ja"",""vi"")"),"Khăn hơn, khăn treo")</f>
        <v>Khăn hơn, khăn treo</v>
      </c>
      <c r="F364" s="4" t="str">
        <f ca="1">IFERROR(__xludf.DUMMYFUNCTION("GOOGLETRANSLATE(C381,""ja"",""vi"")"),"Đấu giá&gt; nhà, nội thất&gt; lưu trữ&gt; tắm / nhà vệ sinh lưu trữ&gt; khăn hơn, khăn treo")</f>
        <v>Đấu giá&gt; nhà, nội thất&gt; lưu trữ&gt; tắm / nhà vệ sinh lưu trữ&gt; khăn hơn, khăn treo</v>
      </c>
      <c r="G364" t="str">
        <f t="shared" ca="1" si="5"/>
        <v>"2084288024" : "Khăn hơn, khăn treo",</v>
      </c>
    </row>
    <row r="365" spans="1:7" ht="14.25" customHeight="1">
      <c r="A365" s="17">
        <v>2084288021</v>
      </c>
      <c r="B365" s="17" t="s">
        <v>18758</v>
      </c>
      <c r="C365" s="17" t="s">
        <v>19612</v>
      </c>
      <c r="D365" s="17" t="s">
        <v>19614</v>
      </c>
      <c r="E365" s="4" t="str">
        <f ca="1">IFERROR(__xludf.DUMMYFUNCTION("GOOGLETRANSLATE(B382,""ja"",""vi"")"),"giá nhà vệ sinh")</f>
        <v>giá nhà vệ sinh</v>
      </c>
      <c r="F365" s="4" t="str">
        <f ca="1">IFERROR(__xludf.DUMMYFUNCTION("GOOGLETRANSLATE(C382,""ja"",""vi"")"),"Đấu giá&gt; nhà, nội thất&gt; lưu trữ&gt; tắm / lưu trữ nhà vệ sinh&gt; giá nhà vệ sinh")</f>
        <v>Đấu giá&gt; nhà, nội thất&gt; lưu trữ&gt; tắm / lưu trữ nhà vệ sinh&gt; giá nhà vệ sinh</v>
      </c>
      <c r="G365" t="str">
        <f t="shared" ca="1" si="5"/>
        <v>"2084288021" : "giá nhà vệ sinh",</v>
      </c>
    </row>
    <row r="366" spans="1:7" ht="14.25" customHeight="1">
      <c r="A366" s="17">
        <v>2084061604</v>
      </c>
      <c r="B366" s="17" t="s">
        <v>19617</v>
      </c>
      <c r="C366" s="17" t="s">
        <v>19618</v>
      </c>
      <c r="D366" s="17" t="s">
        <v>19620</v>
      </c>
      <c r="E366" s="4" t="str">
        <f ca="1">IFERROR(__xludf.DUMMYFUNCTION("GOOGLETRANSLATE(B383,""ja"",""vi"")"),"móc")</f>
        <v>móc</v>
      </c>
      <c r="F366" s="4" t="str">
        <f ca="1">IFERROR(__xludf.DUMMYFUNCTION("GOOGLETRANSLATE(C383,""ja"",""vi"")"),"Đấu giá&gt; nhà, nội thất&gt; lưu trữ&gt; tắm / lưu trữ nhà vệ sinh&gt; móc")</f>
        <v>Đấu giá&gt; nhà, nội thất&gt; lưu trữ&gt; tắm / lưu trữ nhà vệ sinh&gt; móc</v>
      </c>
      <c r="G366" t="str">
        <f t="shared" ca="1" si="5"/>
        <v>"2084061604" : "móc",</v>
      </c>
    </row>
    <row r="367" spans="1:7" ht="14.25" customHeight="1">
      <c r="A367" s="17">
        <v>2084288025</v>
      </c>
      <c r="B367" s="17" t="s">
        <v>18899</v>
      </c>
      <c r="C367" s="17" t="s">
        <v>19624</v>
      </c>
      <c r="D367" s="17" t="s">
        <v>19626</v>
      </c>
      <c r="E367" s="4" t="str">
        <f ca="1">IFERROR(__xludf.DUMMYFUNCTION("GOOGLETRANSLATE(B384,""ja"",""vi"")"),"bus giá")</f>
        <v>bus giá</v>
      </c>
      <c r="F367" s="4" t="str">
        <f ca="1">IFERROR(__xludf.DUMMYFUNCTION("GOOGLETRANSLATE(C384,""ja"",""vi"")"),"Đấu giá&gt; nhà, nội thất&gt; lưu trữ&gt; tắm / lưu trữ nhà vệ sinh&gt; giá xe buýt")</f>
        <v>Đấu giá&gt; nhà, nội thất&gt; lưu trữ&gt; tắm / lưu trữ nhà vệ sinh&gt; giá xe buýt</v>
      </c>
      <c r="G367" t="str">
        <f t="shared" ca="1" si="5"/>
        <v>"2084288025" : "bus giá",</v>
      </c>
    </row>
    <row r="368" spans="1:7" ht="14.25" customHeight="1">
      <c r="A368" s="17">
        <v>2084288020</v>
      </c>
      <c r="B368" s="17" t="s">
        <v>18765</v>
      </c>
      <c r="C368" s="17" t="s">
        <v>19630</v>
      </c>
      <c r="D368" s="17" t="s">
        <v>19631</v>
      </c>
      <c r="E368" s="4" t="str">
        <f ca="1">IFERROR(__xludf.DUMMYFUNCTION("GOOGLETRANSLATE(B385,""ja"",""vi"")"),"giữ giấy")</f>
        <v>giữ giấy</v>
      </c>
      <c r="F368" s="4" t="str">
        <f ca="1">IFERROR(__xludf.DUMMYFUNCTION("GOOGLETRANSLATE(C385,""ja"",""vi"")"),"Đấu giá&gt; nhà, nội thất&gt; lưu trữ&gt; tắm / nhà vệ sinh đặt&gt; giữ giấy")</f>
        <v>Đấu giá&gt; nhà, nội thất&gt; lưu trữ&gt; tắm / nhà vệ sinh đặt&gt; giữ giấy</v>
      </c>
      <c r="G368" t="str">
        <f t="shared" ca="1" si="5"/>
        <v>"2084288020" : "giữ giấy",</v>
      </c>
    </row>
    <row r="369" spans="1:7" ht="14.25" customHeight="1">
      <c r="A369" s="17">
        <v>2084062822</v>
      </c>
      <c r="B369" s="17" t="s">
        <v>19634</v>
      </c>
      <c r="C369" s="17" t="s">
        <v>19636</v>
      </c>
      <c r="D369" s="17" t="s">
        <v>19637</v>
      </c>
      <c r="E369" s="4" t="str">
        <f ca="1">IFERROR(__xludf.DUMMYFUNCTION("GOOGLETRANSLATE(B386,""ja"",""vi"")"),"rửa")</f>
        <v>rửa</v>
      </c>
      <c r="F369" s="4" t="str">
        <f ca="1">IFERROR(__xludf.DUMMYFUNCTION("GOOGLETRANSLATE(C386,""ja"",""vi"")"),"Đấu giá&gt; nhà, nội thất&gt; lưu trữ&gt; tắm / lưu trữ nhà vệ sinh&gt; lưu vực")</f>
        <v>Đấu giá&gt; nhà, nội thất&gt; lưu trữ&gt; tắm / lưu trữ nhà vệ sinh&gt; lưu vực</v>
      </c>
      <c r="G369" t="str">
        <f t="shared" ca="1" si="5"/>
        <v>"2084062822" : "rửa",</v>
      </c>
    </row>
    <row r="370" spans="1:7" ht="14.25" customHeight="1">
      <c r="A370" s="17">
        <v>2084288163</v>
      </c>
      <c r="B370" s="17" t="s">
        <v>46</v>
      </c>
      <c r="C370" s="17" t="s">
        <v>19641</v>
      </c>
      <c r="D370" s="17" t="s">
        <v>19642</v>
      </c>
      <c r="E370" s="4" t="str">
        <f ca="1">IFERROR(__xludf.DUMMYFUNCTION("GOOGLETRANSLATE(B387,""ja"",""vi"")"),"nếu không thì")</f>
        <v>nếu không thì</v>
      </c>
      <c r="F370" s="4" t="str">
        <f ca="1">IFERROR(__xludf.DUMMYFUNCTION("GOOGLETRANSLATE(C387,""ja"",""vi"")"),"Đấu giá&gt; nhà, nội thất&gt; lưu trữ&gt; tắm / lưu trữ nhà vệ sinh&gt; Khác")</f>
        <v>Đấu giá&gt; nhà, nội thất&gt; lưu trữ&gt; tắm / lưu trữ nhà vệ sinh&gt; Khác</v>
      </c>
      <c r="G370" t="str">
        <f t="shared" ca="1" si="5"/>
        <v>"2084288163" : "nếu không thì",</v>
      </c>
    </row>
    <row r="371" spans="1:7" ht="14.25" customHeight="1">
      <c r="E371" s="4" t="str">
        <f ca="1">IFERROR(__xludf.DUMMYFUNCTION("GOOGLETRANSLATE(B388,""ja"",""vi"")"),"#VALUE!")</f>
        <v>#VALUE!</v>
      </c>
      <c r="F371" s="4" t="str">
        <f ca="1">IFERROR(__xludf.DUMMYFUNCTION("GOOGLETRANSLATE(C388,""ja"",""vi"")"),"#VALUE!")</f>
        <v>#VALUE!</v>
      </c>
      <c r="G371" t="str">
        <f t="shared" ca="1" si="5"/>
        <v>"" : "#VALUE!",</v>
      </c>
    </row>
    <row r="372" spans="1:7" ht="14.25" customHeight="1">
      <c r="A372" s="3">
        <v>2084288164</v>
      </c>
      <c r="B372" s="10"/>
      <c r="C372" s="10"/>
      <c r="D372" s="10"/>
      <c r="E372" s="4" t="str">
        <f ca="1">IFERROR(__xludf.DUMMYFUNCTION("GOOGLETRANSLATE(B389,""ja"",""vi"")"),"#VALUE!")</f>
        <v>#VALUE!</v>
      </c>
      <c r="F372" s="4" t="str">
        <f ca="1">IFERROR(__xludf.DUMMYFUNCTION("GOOGLETRANSLATE(C389,""ja"",""vi"")"),"#VALUE!")</f>
        <v>#VALUE!</v>
      </c>
      <c r="G372" t="str">
        <f t="shared" ca="1" si="5"/>
        <v>"2084288164" : "#VALUE!",</v>
      </c>
    </row>
    <row r="373" spans="1:7" ht="14.25" customHeight="1">
      <c r="A373" s="29">
        <v>2084024440</v>
      </c>
      <c r="B373" s="29" t="s">
        <v>19105</v>
      </c>
      <c r="C373" s="29" t="s">
        <v>19646</v>
      </c>
      <c r="D373" s="29" t="s">
        <v>19647</v>
      </c>
      <c r="E373" s="4" t="str">
        <f ca="1">IFERROR(__xludf.DUMMYFUNCTION("GOOGLETRANSLATE(B390,""ja"",""vi"")"),"giỏ đựng quần áo")</f>
        <v>giỏ đựng quần áo</v>
      </c>
      <c r="F373" s="4" t="str">
        <f ca="1">IFERROR(__xludf.DUMMYFUNCTION("GOOGLETRANSLATE(C390,""ja"",""vi"")"),"Đấu giá&gt; nhà, nội thất&gt; lưu trữ&gt; lưu trữ Giặt ủi&gt; giỏ giặt")</f>
        <v>Đấu giá&gt; nhà, nội thất&gt; lưu trữ&gt; lưu trữ Giặt ủi&gt; giỏ giặt</v>
      </c>
      <c r="G373" t="str">
        <f t="shared" ca="1" si="5"/>
        <v>"2084024440" : "giỏ đựng quần áo",</v>
      </c>
    </row>
    <row r="374" spans="1:7" ht="14.25" customHeight="1">
      <c r="A374" s="12">
        <v>2084288026</v>
      </c>
      <c r="B374" s="12" t="s">
        <v>19111</v>
      </c>
      <c r="C374" s="12" t="s">
        <v>19652</v>
      </c>
      <c r="D374" s="12" t="s">
        <v>19654</v>
      </c>
      <c r="E374" s="4" t="str">
        <f ca="1">IFERROR(__xludf.DUMMYFUNCTION("GOOGLETRANSLATE(B391,""ja"",""vi"")"),"máy giặt rack, giá giặt ủi")</f>
        <v>máy giặt rack, giá giặt ủi</v>
      </c>
      <c r="F374" s="4" t="str">
        <f ca="1">IFERROR(__xludf.DUMMYFUNCTION("GOOGLETRANSLATE(C391,""ja"",""vi"")"),"Đấu giá&gt; nhà, nội thất&gt; lưu trữ&gt; lưu trữ giặt&gt; máy giặt rack, giá giặt ủi")</f>
        <v>Đấu giá&gt; nhà, nội thất&gt; lưu trữ&gt; lưu trữ giặt&gt; máy giặt rack, giá giặt ủi</v>
      </c>
      <c r="G374" t="str">
        <f t="shared" ca="1" si="5"/>
        <v>"2084288026" : "máy giặt rack, giá giặt ủi",</v>
      </c>
    </row>
    <row r="375" spans="1:7" ht="14.25" customHeight="1">
      <c r="A375" s="12">
        <v>2084288029</v>
      </c>
      <c r="B375" s="12" t="s">
        <v>19126</v>
      </c>
      <c r="C375" s="12" t="s">
        <v>19659</v>
      </c>
      <c r="D375" s="12" t="s">
        <v>19660</v>
      </c>
      <c r="E375" s="4" t="str">
        <f ca="1">IFERROR(__xludf.DUMMYFUNCTION("GOOGLETRANSLATE(B392,""ja"",""vi"")"),"Futon bảng khô")</f>
        <v>Futon bảng khô</v>
      </c>
      <c r="F375" s="4" t="str">
        <f ca="1">IFERROR(__xludf.DUMMYFUNCTION("GOOGLETRANSLATE(C392,""ja"",""vi"")"),"Đấu giá&gt; nhà, nội thất&gt; lưu trữ&gt; lưu trữ Giặt ủi&gt; bảng futon khô")</f>
        <v>Đấu giá&gt; nhà, nội thất&gt; lưu trữ&gt; lưu trữ Giặt ủi&gt; bảng futon khô</v>
      </c>
      <c r="G375" t="str">
        <f t="shared" ca="1" si="5"/>
        <v>"2084288029" : "Futon bảng khô",</v>
      </c>
    </row>
    <row r="376" spans="1:7" ht="14.25" customHeight="1">
      <c r="A376" s="12">
        <v>2084288028</v>
      </c>
      <c r="B376" s="12" t="s">
        <v>19137</v>
      </c>
      <c r="C376" s="12" t="s">
        <v>19665</v>
      </c>
      <c r="D376" s="12" t="s">
        <v>19667</v>
      </c>
      <c r="E376" s="4" t="str">
        <f ca="1">IFERROR(__xludf.DUMMYFUNCTION("GOOGLETRANSLATE(B393,""ja"",""vi"")"),"Quần áo đồng quản trị (đối với ngoài trời)")</f>
        <v>Quần áo đồng quản trị (đối với ngoài trời)</v>
      </c>
      <c r="F376" s="4" t="str">
        <f ca="1">IFERROR(__xludf.DUMMYFUNCTION("GOOGLETRANSLATE(C393,""ja"",""vi"")"),"Đấu giá&gt; nhà, nội thất&gt; lưu trữ&gt; lưu trữ Giặt ủi&gt; Quần áo đồng quản trị (đối với ngoài trời)")</f>
        <v>Đấu giá&gt; nhà, nội thất&gt; lưu trữ&gt; lưu trữ Giặt ủi&gt; Quần áo đồng quản trị (đối với ngoài trời)</v>
      </c>
      <c r="G376" t="str">
        <f t="shared" ca="1" si="5"/>
        <v>"2084288028" : "Quần áo đồng quản trị (đối với ngoài trời)",</v>
      </c>
    </row>
    <row r="377" spans="1:7" ht="14.25" customHeight="1">
      <c r="A377" s="12">
        <v>2084288027</v>
      </c>
      <c r="B377" s="12" t="s">
        <v>19143</v>
      </c>
      <c r="C377" s="12" t="s">
        <v>19672</v>
      </c>
      <c r="D377" s="12" t="s">
        <v>19673</v>
      </c>
      <c r="E377" s="4" t="str">
        <f ca="1">IFERROR(__xludf.DUMMYFUNCTION("GOOGLETRANSLATE(B394,""ja"",""vi"")"),"Quần áo đồng quản trị (trong nhà)")</f>
        <v>Quần áo đồng quản trị (trong nhà)</v>
      </c>
      <c r="F377" s="4" t="str">
        <f ca="1">IFERROR(__xludf.DUMMYFUNCTION("GOOGLETRANSLATE(C394,""ja"",""vi"")"),"Đấu giá&gt; nhà, nội thất&gt; lưu trữ&gt; lưu trữ Giặt ủi&gt; Quần áo đồng quản trị (trong nhà)")</f>
        <v>Đấu giá&gt; nhà, nội thất&gt; lưu trữ&gt; lưu trữ Giặt ủi&gt; Quần áo đồng quản trị (trong nhà)</v>
      </c>
      <c r="G377" t="str">
        <f t="shared" ca="1" si="5"/>
        <v>"2084288027" : "Quần áo đồng quản trị (trong nhà)",</v>
      </c>
    </row>
    <row r="378" spans="1:7" ht="14.25" customHeight="1">
      <c r="A378" s="12">
        <v>2084288165</v>
      </c>
      <c r="B378" s="12" t="s">
        <v>46</v>
      </c>
      <c r="C378" s="12" t="s">
        <v>19677</v>
      </c>
      <c r="D378" s="12" t="s">
        <v>19678</v>
      </c>
      <c r="E378" s="4" t="str">
        <f ca="1">IFERROR(__xludf.DUMMYFUNCTION("GOOGLETRANSLATE(B395,""ja"",""vi"")"),"nếu không thì")</f>
        <v>nếu không thì</v>
      </c>
      <c r="F378" s="4" t="str">
        <f ca="1">IFERROR(__xludf.DUMMYFUNCTION("GOOGLETRANSLATE(C395,""ja"",""vi"")"),"Đấu giá&gt; nhà, nội thất&gt; lưu trữ&gt; lưu trữ Giặt ủi&gt; Khác")</f>
        <v>Đấu giá&gt; nhà, nội thất&gt; lưu trữ&gt; lưu trữ Giặt ủi&gt; Khác</v>
      </c>
      <c r="G378" t="str">
        <f t="shared" ca="1" si="5"/>
        <v>"2084288165" : "nếu không thì",</v>
      </c>
    </row>
    <row r="379" spans="1:7" ht="14.25" customHeight="1">
      <c r="E379" s="4" t="str">
        <f ca="1">IFERROR(__xludf.DUMMYFUNCTION("GOOGLETRANSLATE(B396,""ja"",""vi"")"),"#VALUE!")</f>
        <v>#VALUE!</v>
      </c>
      <c r="F379" s="4" t="str">
        <f ca="1">IFERROR(__xludf.DUMMYFUNCTION("GOOGLETRANSLATE(C396,""ja"",""vi"")"),"#VALUE!")</f>
        <v>#VALUE!</v>
      </c>
      <c r="G379" t="str">
        <f t="shared" ca="1" si="5"/>
        <v>"" : "#VALUE!",</v>
      </c>
    </row>
    <row r="380" spans="1:7" ht="21.75" customHeight="1">
      <c r="A380" s="34">
        <v>2084288171</v>
      </c>
      <c r="B380" s="9"/>
      <c r="C380" s="9"/>
      <c r="D380" s="9"/>
      <c r="E380" s="4" t="str">
        <f ca="1">IFERROR(__xludf.DUMMYFUNCTION("GOOGLETRANSLATE(B397,""ja"",""vi"")"),"#VALUE!")</f>
        <v>#VALUE!</v>
      </c>
      <c r="F380" s="4" t="str">
        <f ca="1">IFERROR(__xludf.DUMMYFUNCTION("GOOGLETRANSLATE(C397,""ja"",""vi"")"),"#VALUE!")</f>
        <v>#VALUE!</v>
      </c>
      <c r="G380" t="str">
        <f t="shared" ca="1" si="5"/>
        <v>"2084288171" : "#VALUE!",</v>
      </c>
    </row>
    <row r="381" spans="1:7" ht="14.25" customHeight="1">
      <c r="A381" s="12">
        <v>2084061611</v>
      </c>
      <c r="B381" s="12" t="s">
        <v>16303</v>
      </c>
      <c r="C381" s="12" t="s">
        <v>19690</v>
      </c>
      <c r="D381" s="12" t="s">
        <v>19691</v>
      </c>
      <c r="E381" s="4" t="str">
        <f ca="1">IFERROR(__xludf.DUMMYFUNCTION("GOOGLETRANSLATE(B398,""ja"",""vi"")"),"áo móc")</f>
        <v>áo móc</v>
      </c>
      <c r="F381" s="4" t="str">
        <f ca="1">IFERROR(__xludf.DUMMYFUNCTION("GOOGLETRANSLATE(C398,""ja"",""vi"")"),"Đấu giá&gt; nhà, nội thất&gt; lưu trữ&gt; lối vào / lưu trữ ngoài trời&gt; móc áo")</f>
        <v>Đấu giá&gt; nhà, nội thất&gt; lưu trữ&gt; lối vào / lưu trữ ngoài trời&gt; móc áo</v>
      </c>
      <c r="G381" t="str">
        <f t="shared" ca="1" si="5"/>
        <v>"2084061611" : "áo móc",</v>
      </c>
    </row>
    <row r="382" spans="1:7" ht="14.25" customHeight="1">
      <c r="A382" s="12">
        <v>2084048349</v>
      </c>
      <c r="B382" s="12" t="s">
        <v>19697</v>
      </c>
      <c r="C382" s="12" t="s">
        <v>19698</v>
      </c>
      <c r="D382" s="12" t="s">
        <v>19699</v>
      </c>
      <c r="E382" s="4" t="str">
        <f ca="1">IFERROR(__xludf.DUMMYFUNCTION("GOOGLETRANSLATE(B399,""ja"",""vi"")"),"dép đi trong giá đỡ")</f>
        <v>dép đi trong giá đỡ</v>
      </c>
      <c r="F382" s="4" t="str">
        <f ca="1">IFERROR(__xludf.DUMMYFUNCTION("GOOGLETRANSLATE(C399,""ja"",""vi"")"),"Đấu giá&gt; nhà, nội thất&gt; lưu trữ&gt; lưu trữ lối vào / ngoài trời&gt; dép giá đỡ")</f>
        <v>Đấu giá&gt; nhà, nội thất&gt; lưu trữ&gt; lưu trữ lối vào / ngoài trời&gt; dép giá đỡ</v>
      </c>
      <c r="G382" t="str">
        <f t="shared" ca="1" si="5"/>
        <v>"2084048349" : "dép đi trong giá đỡ",</v>
      </c>
    </row>
    <row r="383" spans="1:7" ht="14.25" customHeight="1">
      <c r="A383" s="12">
        <v>2084232106</v>
      </c>
      <c r="B383" s="12" t="s">
        <v>19702</v>
      </c>
      <c r="C383" s="12" t="s">
        <v>19703</v>
      </c>
      <c r="D383" s="12" t="s">
        <v>19705</v>
      </c>
      <c r="E383" s="4" t="str">
        <f ca="1">IFERROR(__xludf.DUMMYFUNCTION("GOOGLETRANSLATE(B400,""ja"",""vi"")"),"tủ đựng chén")</f>
        <v>tủ đựng chén</v>
      </c>
      <c r="F383" s="4" t="str">
        <f ca="1">IFERROR(__xludf.DUMMYFUNCTION("GOOGLETRANSLATE(C400,""ja"",""vi"")"),"Đấu giá&gt; nhà, nội thất&gt; lưu trữ&gt; lối vào / lưu trữ ngoài trời&gt; tủ")</f>
        <v>Đấu giá&gt; nhà, nội thất&gt; lưu trữ&gt; lối vào / lưu trữ ngoài trời&gt; tủ</v>
      </c>
      <c r="G383" t="str">
        <f t="shared" ca="1" si="5"/>
        <v>"2084232106" : "tủ đựng chén",</v>
      </c>
    </row>
    <row r="384" spans="1:7" ht="14.25" customHeight="1">
      <c r="A384" s="12">
        <v>2084024333</v>
      </c>
      <c r="B384" s="12" t="s">
        <v>19542</v>
      </c>
      <c r="C384" s="12" t="s">
        <v>19709</v>
      </c>
      <c r="D384" s="12" t="s">
        <v>19711</v>
      </c>
      <c r="E384" s="4" t="str">
        <f ca="1">IFERROR(__xludf.DUMMYFUNCTION("GOOGLETRANSLATE(B401,""ja"",""vi"")"),"Umbrella đứng")</f>
        <v>Umbrella đứng</v>
      </c>
      <c r="F384" s="4" t="str">
        <f ca="1">IFERROR(__xludf.DUMMYFUNCTION("GOOGLETRANSLATE(C401,""ja"",""vi"")"),"Đấu giá&gt; nhà, nội thất&gt; lưu trữ&gt; lối vào / lưu trữ ngoài trời&gt; ô đứng")</f>
        <v>Đấu giá&gt; nhà, nội thất&gt; lưu trữ&gt; lối vào / lưu trữ ngoài trời&gt; ô đứng</v>
      </c>
      <c r="G384" t="str">
        <f t="shared" ca="1" si="5"/>
        <v>"2084024333" : "Umbrella đứng",</v>
      </c>
    </row>
    <row r="385" spans="1:7" ht="14.25" customHeight="1">
      <c r="A385" s="12">
        <v>2084042065</v>
      </c>
      <c r="B385" s="12" t="s">
        <v>19715</v>
      </c>
      <c r="C385" s="12" t="s">
        <v>19716</v>
      </c>
      <c r="D385" s="12" t="s">
        <v>19717</v>
      </c>
      <c r="E385" s="4" t="str">
        <f ca="1">IFERROR(__xludf.DUMMYFUNCTION("GOOGLETRANSLATE(B402,""ja"",""vi"")"),"phòng lưu trữ")</f>
        <v>phòng lưu trữ</v>
      </c>
      <c r="F385" s="4" t="str">
        <f ca="1">IFERROR(__xludf.DUMMYFUNCTION("GOOGLETRANSLATE(C402,""ja"",""vi"")"),"Đấu giá&gt; nhà, nội thất&gt; lưu trữ&gt; lối vào / lưu trữ ngoài trời&gt; Barn")</f>
        <v>Đấu giá&gt; nhà, nội thất&gt; lưu trữ&gt; lối vào / lưu trữ ngoài trời&gt; Barn</v>
      </c>
      <c r="G385" t="str">
        <f t="shared" ca="1" si="5"/>
        <v>"2084042065" : "phòng lưu trữ",</v>
      </c>
    </row>
    <row r="386" spans="1:7" ht="14.25" customHeight="1">
      <c r="A386" s="12">
        <v>2084288177</v>
      </c>
      <c r="B386" s="12" t="s">
        <v>46</v>
      </c>
      <c r="C386" s="12" t="s">
        <v>19722</v>
      </c>
      <c r="D386" s="12" t="s">
        <v>19724</v>
      </c>
      <c r="E386" s="4" t="str">
        <f ca="1">IFERROR(__xludf.DUMMYFUNCTION("GOOGLETRANSLATE(B403,""ja"",""vi"")"),"nếu không thì")</f>
        <v>nếu không thì</v>
      </c>
      <c r="F386" s="4" t="str">
        <f ca="1">IFERROR(__xludf.DUMMYFUNCTION("GOOGLETRANSLATE(C403,""ja"",""vi"")"),"Đấu giá&gt; nhà, nội thất&gt; lưu trữ&gt; lối vào / lưu trữ ngoài trời&gt; Khác")</f>
        <v>Đấu giá&gt; nhà, nội thất&gt; lưu trữ&gt; lối vào / lưu trữ ngoài trời&gt; Khác</v>
      </c>
      <c r="G386" t="str">
        <f t="shared" ca="1" si="5"/>
        <v>"2084288177" : "nếu không thì",</v>
      </c>
    </row>
    <row r="387" spans="1:7" ht="14.25" customHeight="1">
      <c r="E387" s="4" t="str">
        <f ca="1">IFERROR(__xludf.DUMMYFUNCTION("GOOGLETRANSLATE(B404,""ja"",""vi"")"),"#VALUE!")</f>
        <v>#VALUE!</v>
      </c>
      <c r="F387" s="4" t="str">
        <f ca="1">IFERROR(__xludf.DUMMYFUNCTION("GOOGLETRANSLATE(C404,""ja"",""vi"")"),"#VALUE!")</f>
        <v>#VALUE!</v>
      </c>
      <c r="G387" t="str">
        <f t="shared" ref="G387:G450" ca="1" si="6">CONCATENATE(CHAR(34)&amp;"",A387,""&amp;CHAR(34)," : ", CHAR(34)&amp;"",E387,""&amp;CHAR(34),",")</f>
        <v>"" : "#VALUE!",</v>
      </c>
    </row>
    <row r="388" spans="1:7" ht="14.25" customHeight="1">
      <c r="A388" s="3">
        <v>2084288178</v>
      </c>
      <c r="B388" s="10"/>
      <c r="C388" s="10"/>
      <c r="D388" s="10"/>
      <c r="E388" s="4" t="str">
        <f ca="1">IFERROR(__xludf.DUMMYFUNCTION("GOOGLETRANSLATE(B405,""ja"",""vi"")"),"#VALUE!")</f>
        <v>#VALUE!</v>
      </c>
      <c r="F388" s="4" t="str">
        <f ca="1">IFERROR(__xludf.DUMMYFUNCTION("GOOGLETRANSLATE(C405,""ja"",""vi"")"),"#VALUE!")</f>
        <v>#VALUE!</v>
      </c>
      <c r="G388" t="str">
        <f t="shared" ca="1" si="6"/>
        <v>"2084288178" : "#VALUE!",</v>
      </c>
    </row>
    <row r="389" spans="1:7" ht="14.25" customHeight="1">
      <c r="A389" s="29">
        <v>2084217931</v>
      </c>
      <c r="B389" s="29" t="s">
        <v>19729</v>
      </c>
      <c r="C389" s="29" t="s">
        <v>19730</v>
      </c>
      <c r="D389" s="29" t="s">
        <v>19732</v>
      </c>
      <c r="E389" s="4" t="str">
        <f ca="1">IFERROR(__xludf.DUMMYFUNCTION("GOOGLETRANSLATE(B406,""ja"",""vi"")"),"tã thùng rác")</f>
        <v>tã thùng rác</v>
      </c>
      <c r="F389" s="4" t="str">
        <f ca="1">IFERROR(__xludf.DUMMYFUNCTION("GOOGLETRANSLATE(C406,""ja"",""vi"")"),"Đấu giá&gt; nhà, nội thất&gt; lưu trữ&gt; Sản phẩm cho trẻ em lưu trữ&gt; tã Thùng rác")</f>
        <v>Đấu giá&gt; nhà, nội thất&gt; lưu trữ&gt; Sản phẩm cho trẻ em lưu trữ&gt; tã Thùng rác</v>
      </c>
      <c r="G389" t="str">
        <f t="shared" ca="1" si="6"/>
        <v>"2084217931" : "tã thùng rác",</v>
      </c>
    </row>
    <row r="390" spans="1:7" ht="14.25" customHeight="1">
      <c r="A390" s="12">
        <v>2084061433</v>
      </c>
      <c r="B390" s="12" t="s">
        <v>19342</v>
      </c>
      <c r="C390" s="12" t="s">
        <v>19737</v>
      </c>
      <c r="D390" s="12" t="s">
        <v>19738</v>
      </c>
      <c r="E390" s="4" t="str">
        <f ca="1">IFERROR(__xludf.DUMMYFUNCTION("GOOGLETRANSLATE(B407,""ja"",""vi"")"),"Giỏ, giỏ")</f>
        <v>Giỏ, giỏ</v>
      </c>
      <c r="F390" s="4" t="str">
        <f ca="1">IFERROR(__xludf.DUMMYFUNCTION("GOOGLETRANSLATE(C407,""ja"",""vi"")"),"Đấu giá&gt; nhà, nội thất&gt; lưu trữ&gt; trẻ em sản phẩm lưu trữ&gt; giỏ, giỏ")</f>
        <v>Đấu giá&gt; nhà, nội thất&gt; lưu trữ&gt; trẻ em sản phẩm lưu trữ&gt; giỏ, giỏ</v>
      </c>
      <c r="G390" t="str">
        <f t="shared" ca="1" si="6"/>
        <v>"2084061433" : "Giỏ, giỏ",</v>
      </c>
    </row>
    <row r="391" spans="1:7" ht="14.25" customHeight="1">
      <c r="A391" s="12">
        <v>2084008393</v>
      </c>
      <c r="B391" s="12" t="s">
        <v>13902</v>
      </c>
      <c r="C391" s="12" t="s">
        <v>19743</v>
      </c>
      <c r="D391" s="12" t="s">
        <v>19744</v>
      </c>
      <c r="E391" s="4" t="str">
        <f ca="1">IFERROR(__xludf.DUMMYFUNCTION("GOOGLETRANSLATE(B408,""ja"",""vi"")"),"nội thất cho trẻ")</f>
        <v>nội thất cho trẻ</v>
      </c>
      <c r="F391" s="4" t="str">
        <f ca="1">IFERROR(__xludf.DUMMYFUNCTION("GOOGLETRANSLATE(C408,""ja"",""vi"")"),"Đấu giá&gt; nhà, nội thất&gt; lưu trữ&gt; Sản phẩm cho trẻ em lưu trữ&gt; đồ nội thất trẻ em")</f>
        <v>Đấu giá&gt; nhà, nội thất&gt; lưu trữ&gt; Sản phẩm cho trẻ em lưu trữ&gt; đồ nội thất trẻ em</v>
      </c>
      <c r="G391" t="str">
        <f t="shared" ca="1" si="6"/>
        <v>"2084008393" : "nội thất cho trẻ",</v>
      </c>
    </row>
    <row r="392" spans="1:7" ht="14.25" customHeight="1">
      <c r="A392" s="12">
        <v>2084063580</v>
      </c>
      <c r="B392" s="12" t="s">
        <v>19750</v>
      </c>
      <c r="C392" s="12" t="s">
        <v>19751</v>
      </c>
      <c r="D392" s="12" t="s">
        <v>19752</v>
      </c>
      <c r="E392" s="4" t="str">
        <f ca="1">IFERROR(__xludf.DUMMYFUNCTION("GOOGLETRANSLATE(B409,""ja"",""vi"")"),"bàn làm việc")</f>
        <v>bàn làm việc</v>
      </c>
      <c r="F392" s="4" t="str">
        <f ca="1">IFERROR(__xludf.DUMMYFUNCTION("GOOGLETRANSLATE(C409,""ja"",""vi"")"),"Đấu giá&gt; nhà, nội thất&gt; lưu trữ&gt; Sản phẩm cho trẻ em lưu trữ&gt; bàn nghiên cứu")</f>
        <v>Đấu giá&gt; nhà, nội thất&gt; lưu trữ&gt; Sản phẩm cho trẻ em lưu trữ&gt; bàn nghiên cứu</v>
      </c>
      <c r="G392" t="str">
        <f t="shared" ca="1" si="6"/>
        <v>"2084063580" : "bàn làm việc",</v>
      </c>
    </row>
    <row r="393" spans="1:7" ht="14.25" customHeight="1">
      <c r="A393" s="12">
        <v>2084015557</v>
      </c>
      <c r="B393" s="12" t="s">
        <v>19370</v>
      </c>
      <c r="C393" s="12" t="s">
        <v>19755</v>
      </c>
      <c r="D393" s="12" t="s">
        <v>19757</v>
      </c>
      <c r="E393" s="4" t="str">
        <f ca="1">IFERROR(__xludf.DUMMYFUNCTION("GOOGLETRANSLATE(B410,""ja"",""vi"")"),"kệ sách")</f>
        <v>kệ sách</v>
      </c>
      <c r="F393" s="4" t="str">
        <f ca="1">IFERROR(__xludf.DUMMYFUNCTION("GOOGLETRANSLATE(C410,""ja"",""vi"")"),"Đấu giá&gt; nhà, nội thất&gt; lưu trữ&gt; trẻ em sản phẩm lưu trữ&gt; kệ sách")</f>
        <v>Đấu giá&gt; nhà, nội thất&gt; lưu trữ&gt; trẻ em sản phẩm lưu trữ&gt; kệ sách</v>
      </c>
      <c r="G393" t="str">
        <f t="shared" ca="1" si="6"/>
        <v>"2084015557" : "kệ sách",</v>
      </c>
    </row>
    <row r="394" spans="1:7" ht="14.25" customHeight="1">
      <c r="A394" s="12">
        <v>2084288184</v>
      </c>
      <c r="B394" s="12" t="s">
        <v>46</v>
      </c>
      <c r="C394" s="12" t="s">
        <v>19761</v>
      </c>
      <c r="D394" s="12" t="s">
        <v>19762</v>
      </c>
      <c r="E394" s="4" t="str">
        <f ca="1">IFERROR(__xludf.DUMMYFUNCTION("GOOGLETRANSLATE(B411,""ja"",""vi"")"),"nếu không thì")</f>
        <v>nếu không thì</v>
      </c>
      <c r="F394" s="4" t="str">
        <f ca="1">IFERROR(__xludf.DUMMYFUNCTION("GOOGLETRANSLATE(C411,""ja"",""vi"")"),"Đấu giá&gt; nhà, nội thất&gt; lưu trữ&gt; trẻ em sản phẩm lưu trữ&gt; Khác")</f>
        <v>Đấu giá&gt; nhà, nội thất&gt; lưu trữ&gt; trẻ em sản phẩm lưu trữ&gt; Khác</v>
      </c>
      <c r="G394" t="str">
        <f t="shared" ca="1" si="6"/>
        <v>"2084288184" : "nếu không thì",</v>
      </c>
    </row>
    <row r="395" spans="1:7" ht="14.25" customHeight="1">
      <c r="E395" s="4" t="str">
        <f ca="1">IFERROR(__xludf.DUMMYFUNCTION("GOOGLETRANSLATE(B412,""ja"",""vi"")"),"#VALUE!")</f>
        <v>#VALUE!</v>
      </c>
      <c r="F395" s="4" t="str">
        <f ca="1">IFERROR(__xludf.DUMMYFUNCTION("GOOGLETRANSLATE(C412,""ja"",""vi"")"),"#VALUE!")</f>
        <v>#VALUE!</v>
      </c>
      <c r="G395" t="str">
        <f t="shared" ca="1" si="6"/>
        <v>"" : "#VALUE!",</v>
      </c>
    </row>
    <row r="396" spans="1:7" ht="14.25" customHeight="1">
      <c r="A396" s="3">
        <v>2084283581</v>
      </c>
      <c r="B396" s="10"/>
      <c r="C396" s="10"/>
      <c r="D396" s="10"/>
      <c r="E396" s="4" t="str">
        <f ca="1">IFERROR(__xludf.DUMMYFUNCTION("GOOGLETRANSLATE(B413,""ja"",""vi"")"),"#VALUE!")</f>
        <v>#VALUE!</v>
      </c>
      <c r="F396" s="4" t="str">
        <f ca="1">IFERROR(__xludf.DUMMYFUNCTION("GOOGLETRANSLATE(C413,""ja"",""vi"")"),"#VALUE!")</f>
        <v>#VALUE!</v>
      </c>
      <c r="G396" t="str">
        <f t="shared" ca="1" si="6"/>
        <v>"2084283581" : "#VALUE!",</v>
      </c>
    </row>
    <row r="397" spans="1:7" ht="14.25" customHeight="1">
      <c r="A397" s="29">
        <v>2084283587</v>
      </c>
      <c r="B397" s="29" t="s">
        <v>19768</v>
      </c>
      <c r="C397" s="29" t="s">
        <v>19769</v>
      </c>
      <c r="D397" s="29" t="s">
        <v>19770</v>
      </c>
      <c r="E397" s="4" t="str">
        <f ca="1">IFERROR(__xludf.DUMMYFUNCTION("GOOGLETRANSLATE(B414,""ja"",""vi"")"),"IDEE (Idee)")</f>
        <v>IDEE (Idee)</v>
      </c>
      <c r="F397" s="4" t="str">
        <f ca="1">IFERROR(__xludf.DUMMYFUNCTION("GOOGLETRANSLATE(C414,""ja"",""vi"")"),"Đấu giá&gt; nhà, nội thất&gt; nội thất, nội thất&gt; Nhãn hiệu / thiết kế bởi&gt; IDEE (Idee)")</f>
        <v>Đấu giá&gt; nhà, nội thất&gt; nội thất, nội thất&gt; Nhãn hiệu / thiết kế bởi&gt; IDEE (Idee)</v>
      </c>
      <c r="G397" t="str">
        <f t="shared" ca="1" si="6"/>
        <v>"2084283587" : "IDEE (Idee)",</v>
      </c>
    </row>
    <row r="398" spans="1:7" ht="14.25" customHeight="1">
      <c r="A398" s="12">
        <v>2084283585</v>
      </c>
      <c r="B398" s="12" t="s">
        <v>19771</v>
      </c>
      <c r="C398" s="12" t="s">
        <v>19773</v>
      </c>
      <c r="D398" s="12" t="s">
        <v>19775</v>
      </c>
      <c r="E398" s="4" t="str">
        <f ca="1">IFERROR(__xludf.DUMMYFUNCTION("GOOGLETRANSLATE(B415,""ja"",""vi"")"),"IKEA (IKEA)")</f>
        <v>IKEA (IKEA)</v>
      </c>
      <c r="F398" s="4" t="str">
        <f ca="1">IFERROR(__xludf.DUMMYFUNCTION("GOOGLETRANSLATE(C415,""ja"",""vi"")"),"Đấu giá&gt; nhà, nội thất&gt; nội thất, nội thất&gt; Nhãn hiệu / thiết kế bởi&gt; IKEA (IKEA)")</f>
        <v>Đấu giá&gt; nhà, nội thất&gt; nội thất, nội thất&gt; Nhãn hiệu / thiết kế bởi&gt; IKEA (IKEA)</v>
      </c>
      <c r="G398" t="str">
        <f t="shared" ca="1" si="6"/>
        <v>"2084283585" : "IKEA (IKEA)",</v>
      </c>
    </row>
    <row r="399" spans="1:7" ht="14.25" customHeight="1">
      <c r="A399" s="12">
        <v>2084283582</v>
      </c>
      <c r="B399" s="12" t="s">
        <v>19780</v>
      </c>
      <c r="C399" s="12" t="s">
        <v>19781</v>
      </c>
      <c r="D399" s="12" t="s">
        <v>19782</v>
      </c>
      <c r="E399" s="4" t="str">
        <f ca="1">IFERROR(__xludf.DUMMYFUNCTION("GOOGLETRANSLATE(B416,""ja"",""vi"")"),"Eileen Gray")</f>
        <v>Eileen Gray</v>
      </c>
      <c r="F399" s="4" t="str">
        <f ca="1">IFERROR(__xludf.DUMMYFUNCTION("GOOGLETRANSLATE(C416,""ja"",""vi"")"),"Đấu giá&gt; nhà, nội thất&gt; nội thất, nội thất&gt; Nhãn hiệu / thiết kế bởi&gt; Eileen Gray")</f>
        <v>Đấu giá&gt; nhà, nội thất&gt; nội thất, nội thất&gt; Nhãn hiệu / thiết kế bởi&gt; Eileen Gray</v>
      </c>
      <c r="G399" t="str">
        <f t="shared" ca="1" si="6"/>
        <v>"2084283582" : "Eileen Gray",</v>
      </c>
    </row>
    <row r="400" spans="1:7" ht="14.25" customHeight="1">
      <c r="A400" s="12">
        <v>2084283583</v>
      </c>
      <c r="B400" s="12" t="s">
        <v>19786</v>
      </c>
      <c r="C400" s="12" t="s">
        <v>19787</v>
      </c>
      <c r="D400" s="12" t="s">
        <v>19789</v>
      </c>
      <c r="E400" s="4" t="str">
        <f ca="1">IFERROR(__xludf.DUMMYFUNCTION("GOOGLETRANSLATE(B417,""ja"",""vi"")"),"Arufurekkusu")</f>
        <v>Arufurekkusu</v>
      </c>
      <c r="F400" s="4" t="str">
        <f ca="1">IFERROR(__xludf.DUMMYFUNCTION("GOOGLETRANSLATE(C417,""ja"",""vi"")"),"Đấu giá&gt; nhà, nội thất&gt; nội thất, nội thất&gt; Nhãn hiệu / thiết kế bởi&gt; Arufurekkusu")</f>
        <v>Đấu giá&gt; nhà, nội thất&gt; nội thất, nội thất&gt; Nhãn hiệu / thiết kế bởi&gt; Arufurekkusu</v>
      </c>
      <c r="G400" t="str">
        <f t="shared" ca="1" si="6"/>
        <v>"2084283583" : "Arufurekkusu",</v>
      </c>
    </row>
    <row r="401" spans="1:7" ht="14.25" customHeight="1">
      <c r="A401" s="12">
        <v>2084283584</v>
      </c>
      <c r="B401" s="12" t="s">
        <v>19793</v>
      </c>
      <c r="C401" s="12" t="s">
        <v>19794</v>
      </c>
      <c r="D401" s="12" t="s">
        <v>19795</v>
      </c>
      <c r="E401" s="4" t="str">
        <f ca="1">IFERROR(__xludf.DUMMYFUNCTION("GOOGLETRANSLATE(B418,""ja"",""vi"")"),"Eames")</f>
        <v>Eames</v>
      </c>
      <c r="F401" s="4" t="str">
        <f ca="1">IFERROR(__xludf.DUMMYFUNCTION("GOOGLETRANSLATE(C418,""ja"",""vi"")"),"Đấu giá&gt; nhà, nội thất&gt; nội thất, nội thất&gt; Nhãn hiệu / thiết kế bởi&gt; Eames")</f>
        <v>Đấu giá&gt; nhà, nội thất&gt; nội thất, nội thất&gt; Nhãn hiệu / thiết kế bởi&gt; Eames</v>
      </c>
      <c r="G401" t="str">
        <f t="shared" ca="1" si="6"/>
        <v>"2084283584" : "Eames",</v>
      </c>
    </row>
    <row r="402" spans="1:7" ht="14.25" customHeight="1">
      <c r="A402" s="12">
        <v>2084283586</v>
      </c>
      <c r="B402" s="12" t="s">
        <v>19800</v>
      </c>
      <c r="C402" s="12" t="s">
        <v>19801</v>
      </c>
      <c r="D402" s="12" t="s">
        <v>19802</v>
      </c>
      <c r="E402" s="4" t="str">
        <f ca="1">IFERROR(__xludf.DUMMYFUNCTION("GOOGLETRANSLATE(B419,""ja"",""vi"")"),"Isamu Noguchi")</f>
        <v>Isamu Noguchi</v>
      </c>
      <c r="F402" s="4" t="str">
        <f ca="1">IFERROR(__xludf.DUMMYFUNCTION("GOOGLETRANSLATE(C419,""ja"",""vi"")"),"Đấu giá&gt; nhà, nội thất&gt; nội thất, nội thất&gt; Nhãn hiệu / thiết kế bởi&gt; Isamu Noguchi")</f>
        <v>Đấu giá&gt; nhà, nội thất&gt; nội thất, nội thất&gt; Nhãn hiệu / thiết kế bởi&gt; Isamu Noguchi</v>
      </c>
      <c r="G402" t="str">
        <f t="shared" ca="1" si="6"/>
        <v>"2084283586" : "Isamu Noguchi",</v>
      </c>
    </row>
    <row r="403" spans="1:7" ht="14.25" customHeight="1">
      <c r="A403" s="12">
        <v>2084283588</v>
      </c>
      <c r="B403" s="12" t="s">
        <v>19804</v>
      </c>
      <c r="C403" s="12" t="s">
        <v>19807</v>
      </c>
      <c r="D403" s="12" t="s">
        <v>19809</v>
      </c>
      <c r="E403" s="4" t="str">
        <f ca="1">IFERROR(__xludf.DUMMYFUNCTION("GOOGLETRANSLATE(B420,""ja"",""vi"")"),"Wegner")</f>
        <v>Wegner</v>
      </c>
      <c r="F403" s="4" t="str">
        <f ca="1">IFERROR(__xludf.DUMMYFUNCTION("GOOGLETRANSLATE(C420,""ja"",""vi"")"),"Đấu giá&gt; nhà, nội thất&gt; nội thất, nội thất&gt; Nhãn hiệu / thiết kế bởi&gt; Wegner")</f>
        <v>Đấu giá&gt; nhà, nội thất&gt; nội thất, nội thất&gt; Nhãn hiệu / thiết kế bởi&gt; Wegner</v>
      </c>
      <c r="G403" t="str">
        <f t="shared" ca="1" si="6"/>
        <v>"2084283588" : "Wegner",</v>
      </c>
    </row>
    <row r="404" spans="1:7" ht="14.25" customHeight="1">
      <c r="A404" s="12">
        <v>2084283589</v>
      </c>
      <c r="B404" s="12" t="s">
        <v>19811</v>
      </c>
      <c r="C404" s="12" t="s">
        <v>19812</v>
      </c>
      <c r="D404" s="12" t="s">
        <v>19814</v>
      </c>
      <c r="E404" s="4" t="str">
        <f ca="1">IFERROR(__xludf.DUMMYFUNCTION("GOOGLETRANSLATE(B421,""ja"",""vi"")"),"Cassina IXC")</f>
        <v>Cassina IXC</v>
      </c>
      <c r="F404" s="4" t="str">
        <f ca="1">IFERROR(__xludf.DUMMYFUNCTION("GOOGLETRANSLATE(C421,""ja"",""vi"")"),"Đấu giá&gt; nhà, nội thất&gt; nội thất, nội thất&gt; Nhãn hiệu / thiết kế bởi&gt; Cassina IXC")</f>
        <v>Đấu giá&gt; nhà, nội thất&gt; nội thất, nội thất&gt; Nhãn hiệu / thiết kế bởi&gt; Cassina IXC</v>
      </c>
      <c r="G404" t="str">
        <f t="shared" ca="1" si="6"/>
        <v>"2084283589" : "Cassina IXC",</v>
      </c>
    </row>
    <row r="405" spans="1:7" ht="14.25" customHeight="1">
      <c r="A405" s="12">
        <v>2084283590</v>
      </c>
      <c r="B405" s="12" t="s">
        <v>19819</v>
      </c>
      <c r="C405" s="12" t="s">
        <v>19820</v>
      </c>
      <c r="D405" s="12" t="s">
        <v>19821</v>
      </c>
      <c r="E405" s="4" t="str">
        <f ca="1">IFERROR(__xludf.DUMMYFUNCTION("GOOGLETRANSLATE(B422,""ja"",""vi"")"),"đồ nội thất Karimoku")</f>
        <v>đồ nội thất Karimoku</v>
      </c>
      <c r="F405" s="4" t="str">
        <f ca="1">IFERROR(__xludf.DUMMYFUNCTION("GOOGLETRANSLATE(C422,""ja"",""vi"")"),"Đấu giá&gt; nhà, nội thất&gt; nội thất, nội thất&gt; Nhãn hiệu / thiết kế bởi&gt; karimoku đồ nội thất")</f>
        <v>Đấu giá&gt; nhà, nội thất&gt; nội thất, nội thất&gt; Nhãn hiệu / thiết kế bởi&gt; karimoku đồ nội thất</v>
      </c>
      <c r="G405" t="str">
        <f t="shared" ca="1" si="6"/>
        <v>"2084283590" : "đồ nội thất Karimoku",</v>
      </c>
    </row>
    <row r="406" spans="1:7" ht="14.25" customHeight="1">
      <c r="A406" s="12">
        <v>2084283591</v>
      </c>
      <c r="B406" s="12" t="s">
        <v>19825</v>
      </c>
      <c r="C406" s="12" t="s">
        <v>19828</v>
      </c>
      <c r="D406" s="12" t="s">
        <v>19831</v>
      </c>
      <c r="E406" s="4" t="str">
        <f ca="1">IFERROR(__xludf.DUMMYFUNCTION("GOOGLETRANSLATE(B423,""ja"",""vi"")"),"cartel")</f>
        <v>cartel</v>
      </c>
      <c r="F406" s="4" t="str">
        <f ca="1">IFERROR(__xludf.DUMMYFUNCTION("GOOGLETRANSLATE(C423,""ja"",""vi"")"),"Đấu giá&gt; nhà, nội thất&gt; nội thất, nội thất&gt; Nhãn hiệu / thiết kế bởi&gt; cartel")</f>
        <v>Đấu giá&gt; nhà, nội thất&gt; nội thất, nội thất&gt; Nhãn hiệu / thiết kế bởi&gt; cartel</v>
      </c>
      <c r="G406" t="str">
        <f t="shared" ca="1" si="6"/>
        <v>"2084283591" : "cartel",</v>
      </c>
    </row>
    <row r="407" spans="1:7" ht="14.25" customHeight="1">
      <c r="A407" s="12">
        <v>2084283592</v>
      </c>
      <c r="B407" s="12" t="s">
        <v>19832</v>
      </c>
      <c r="C407" s="12" t="s">
        <v>19834</v>
      </c>
      <c r="D407" s="12" t="s">
        <v>19835</v>
      </c>
      <c r="E407" s="4" t="str">
        <f ca="1">IFERROR(__xludf.DUMMYFUNCTION("GOOGLETRANSLATE(B424,""ja"",""vi"")"),"Conran Cửa hàng")</f>
        <v>Conran Cửa hàng</v>
      </c>
      <c r="F407" s="4" t="str">
        <f ca="1">IFERROR(__xludf.DUMMYFUNCTION("GOOGLETRANSLATE(C424,""ja"",""vi"")"),"Đấu giá&gt; nhà, nội thất&gt; nội thất, nội thất&gt; Nhãn hiệu / thiết kế bởi&gt; Conran Cửa hàng")</f>
        <v>Đấu giá&gt; nhà, nội thất&gt; nội thất, nội thất&gt; Nhãn hiệu / thiết kế bởi&gt; Conran Cửa hàng</v>
      </c>
      <c r="G407" t="str">
        <f t="shared" ca="1" si="6"/>
        <v>"2084283592" : "Conran Cửa hàng",</v>
      </c>
    </row>
    <row r="408" spans="1:7" ht="14.25" customHeight="1">
      <c r="A408" s="12">
        <v>2084283593</v>
      </c>
      <c r="B408" s="12" t="s">
        <v>19840</v>
      </c>
      <c r="C408" s="12" t="s">
        <v>19841</v>
      </c>
      <c r="D408" s="12" t="s">
        <v>19842</v>
      </c>
      <c r="E408" s="4" t="str">
        <f ca="1">IFERROR(__xludf.DUMMYFUNCTION("GOOGLETRANSLATE(B425,""ja"",""vi"")"),"Simmons")</f>
        <v>Simmons</v>
      </c>
      <c r="F408" s="4" t="str">
        <f ca="1">IFERROR(__xludf.DUMMYFUNCTION("GOOGLETRANSLATE(C425,""ja"",""vi"")"),"Đấu giá&gt; nhà, nội thất&gt; nội thất, nội thất&gt; Nhãn hiệu / thiết kế bởi&gt; Simmons")</f>
        <v>Đấu giá&gt; nhà, nội thất&gt; nội thất, nội thất&gt; Nhãn hiệu / thiết kế bởi&gt; Simmons</v>
      </c>
      <c r="G408" t="str">
        <f t="shared" ca="1" si="6"/>
        <v>"2084283593" : "Simmons",</v>
      </c>
    </row>
    <row r="409" spans="1:7" ht="14.25" customHeight="1">
      <c r="A409" s="12">
        <v>2084283594</v>
      </c>
      <c r="B409" s="12" t="s">
        <v>19847</v>
      </c>
      <c r="C409" s="12" t="s">
        <v>19848</v>
      </c>
      <c r="D409" s="12" t="s">
        <v>19851</v>
      </c>
      <c r="E409" s="4" t="str">
        <f ca="1">IFERROR(__xludf.DUMMYFUNCTION("GOOGLETRANSLATE(B426,""ja"",""vi"")"),"George Nelson")</f>
        <v>George Nelson</v>
      </c>
      <c r="F409" s="4" t="str">
        <f ca="1">IFERROR(__xludf.DUMMYFUNCTION("GOOGLETRANSLATE(C426,""ja"",""vi"")"),"Đấu giá&gt; nhà, nội thất&gt; nội thất, nội thất&gt; Nhãn hiệu / thiết kế bởi&gt; George Nelson")</f>
        <v>Đấu giá&gt; nhà, nội thất&gt; nội thất, nội thất&gt; Nhãn hiệu / thiết kế bởi&gt; George Nelson</v>
      </c>
      <c r="G409" t="str">
        <f t="shared" ca="1" si="6"/>
        <v>"2084283594" : "George Nelson",</v>
      </c>
    </row>
    <row r="410" spans="1:7" ht="14.25" customHeight="1">
      <c r="A410" s="12">
        <v>2084283595</v>
      </c>
      <c r="B410" s="12" t="s">
        <v>16549</v>
      </c>
      <c r="C410" s="12" t="s">
        <v>19852</v>
      </c>
      <c r="D410" s="12" t="s">
        <v>19853</v>
      </c>
      <c r="E410" s="4" t="str">
        <f ca="1">IFERROR(__xludf.DUMMYFUNCTION("GOOGLETRANSLATE(B427,""ja"",""vi"")"),"Jirofurekkusu")</f>
        <v>Jirofurekkusu</v>
      </c>
      <c r="F410" s="4" t="str">
        <f ca="1">IFERROR(__xludf.DUMMYFUNCTION("GOOGLETRANSLATE(C427,""ja"",""vi"")"),"Đấu giá&gt; nhà, nội thất&gt; nội thất, nội thất&gt; Nhãn hiệu / thiết kế bởi&gt; Jirofurekkusu")</f>
        <v>Đấu giá&gt; nhà, nội thất&gt; nội thất, nội thất&gt; Nhãn hiệu / thiết kế bởi&gt; Jirofurekkusu</v>
      </c>
      <c r="G410" t="str">
        <f t="shared" ca="1" si="6"/>
        <v>"2084283595" : "Jirofurekkusu",</v>
      </c>
    </row>
    <row r="411" spans="1:7" ht="14.25" customHeight="1">
      <c r="A411" s="12">
        <v>2084283596</v>
      </c>
      <c r="B411" s="12" t="s">
        <v>19859</v>
      </c>
      <c r="C411" s="12" t="s">
        <v>19860</v>
      </c>
      <c r="D411" s="12" t="s">
        <v>19862</v>
      </c>
      <c r="E411" s="4" t="str">
        <f ca="1">IFERROR(__xludf.DUMMYFUNCTION("GOOGLETRANSLATE(B428,""ja"",""vi"")"),"Dalton")</f>
        <v>Dalton</v>
      </c>
      <c r="F411" s="4" t="str">
        <f ca="1">IFERROR(__xludf.DUMMYFUNCTION("GOOGLETRANSLATE(C428,""ja"",""vi"")"),"Đấu giá&gt; nhà, nội thất&gt; nội thất, nội thất&gt; Nhãn hiệu / thiết kế bởi&gt; Dalton")</f>
        <v>Đấu giá&gt; nhà, nội thất&gt; nội thất, nội thất&gt; Nhãn hiệu / thiết kế bởi&gt; Dalton</v>
      </c>
      <c r="G411" t="str">
        <f t="shared" ca="1" si="6"/>
        <v>"2084283596" : "Dalton",</v>
      </c>
    </row>
    <row r="412" spans="1:7" ht="14.25" customHeight="1">
      <c r="A412" s="12">
        <v>2084283597</v>
      </c>
      <c r="B412" s="12" t="s">
        <v>19865</v>
      </c>
      <c r="C412" s="12" t="s">
        <v>19866</v>
      </c>
      <c r="D412" s="12" t="s">
        <v>19868</v>
      </c>
      <c r="E412" s="4" t="str">
        <f ca="1">IFERROR(__xludf.DUMMYFUNCTION("GOOGLETRANSLATE(B429,""ja"",""vi"")"),"Tendo")</f>
        <v>Tendo</v>
      </c>
      <c r="F412" s="4" t="str">
        <f ca="1">IFERROR(__xludf.DUMMYFUNCTION("GOOGLETRANSLATE(C429,""ja"",""vi"")"),"Đấu giá&gt; nhà, nội thất&gt; nội thất, nội thất&gt; Nhãn hiệu / thiết kế bởi&gt; Tendo")</f>
        <v>Đấu giá&gt; nhà, nội thất&gt; nội thất, nội thất&gt; Nhãn hiệu / thiết kế bởi&gt; Tendo</v>
      </c>
      <c r="G412" t="str">
        <f t="shared" ca="1" si="6"/>
        <v>"2084283597" : "Tendo",</v>
      </c>
    </row>
    <row r="413" spans="1:7" ht="14.25" customHeight="1">
      <c r="A413" s="12">
        <v>2084283598</v>
      </c>
      <c r="B413" s="12" t="s">
        <v>19870</v>
      </c>
      <c r="C413" s="12" t="s">
        <v>19871</v>
      </c>
      <c r="D413" s="12" t="s">
        <v>19872</v>
      </c>
      <c r="E413" s="4" t="str">
        <f ca="1">IFERROR(__xludf.DUMMYFUNCTION("GOOGLETRANSLATE(B430,""ja"",""vi"")"),"Knoll (Nord)")</f>
        <v>Knoll (Nord)</v>
      </c>
      <c r="F413" s="4" t="str">
        <f ca="1">IFERROR(__xludf.DUMMYFUNCTION("GOOGLETRANSLATE(C430,""ja"",""vi"")"),"Đấu giá&gt; nhà, nội thất&gt; nội thất, nội thất&gt; Nhãn hiệu / thiết kế bởi&gt; Knoll (Nord)")</f>
        <v>Đấu giá&gt; nhà, nội thất&gt; nội thất, nội thất&gt; Nhãn hiệu / thiết kế bởi&gt; Knoll (Nord)</v>
      </c>
      <c r="G413" t="str">
        <f t="shared" ca="1" si="6"/>
        <v>"2084283598" : "Knoll (Nord)",</v>
      </c>
    </row>
    <row r="414" spans="1:7" ht="14.25" customHeight="1">
      <c r="A414" s="12">
        <v>2084283600</v>
      </c>
      <c r="B414" s="12" t="s">
        <v>19876</v>
      </c>
      <c r="C414" s="12" t="s">
        <v>19877</v>
      </c>
      <c r="D414" s="12" t="s">
        <v>19878</v>
      </c>
      <c r="E414" s="4" t="str">
        <f ca="1">IFERROR(__xludf.DUMMYFUNCTION("GOOGLETRANSLATE(B431,""ja"",""vi"")"),"Francfranc (franc franc)")</f>
        <v>Francfranc (franc franc)</v>
      </c>
      <c r="F414" s="4" t="str">
        <f ca="1">IFERROR(__xludf.DUMMYFUNCTION("GOOGLETRANSLATE(C431,""ja"",""vi"")"),"Đấu giá&gt; nhà, nội thất&gt; nội thất, nội thất&gt; Nhãn hiệu / thiết kế bởi&gt; Francfranc (Franc franc)")</f>
        <v>Đấu giá&gt; nhà, nội thất&gt; nội thất, nội thất&gt; Nhãn hiệu / thiết kế bởi&gt; Francfranc (Franc franc)</v>
      </c>
      <c r="G414" t="str">
        <f t="shared" ca="1" si="6"/>
        <v>"2084283600" : "Francfranc (franc franc)",</v>
      </c>
    </row>
    <row r="415" spans="1:7" ht="14.25" customHeight="1">
      <c r="A415" s="12">
        <v>2084283599</v>
      </c>
      <c r="B415" s="12" t="s">
        <v>19883</v>
      </c>
      <c r="C415" s="12" t="s">
        <v>19884</v>
      </c>
      <c r="D415" s="12" t="s">
        <v>19886</v>
      </c>
      <c r="E415" s="4" t="str">
        <f ca="1">IFERROR(__xludf.DUMMYFUNCTION("GOOGLETRANSLATE(B432,""ja"",""vi"")"),"Herman Miller")</f>
        <v>Herman Miller</v>
      </c>
      <c r="F415" s="4" t="str">
        <f ca="1">IFERROR(__xludf.DUMMYFUNCTION("GOOGLETRANSLATE(C432,""ja"",""vi"")"),"Đấu giá&gt; nhà, nội thất&gt; nội thất, nội thất&gt; Nhãn hiệu / thiết kế bởi&gt; Herman Miller")</f>
        <v>Đấu giá&gt; nhà, nội thất&gt; nội thất, nội thất&gt; Nhãn hiệu / thiết kế bởi&gt; Herman Miller</v>
      </c>
      <c r="G415" t="str">
        <f t="shared" ca="1" si="6"/>
        <v>"2084283599" : "Herman Miller",</v>
      </c>
    </row>
    <row r="416" spans="1:7" ht="14.25" customHeight="1">
      <c r="A416" s="12">
        <v>2084283601</v>
      </c>
      <c r="B416" s="12" t="s">
        <v>19891</v>
      </c>
      <c r="C416" s="12" t="s">
        <v>19892</v>
      </c>
      <c r="D416" s="12" t="s">
        <v>19893</v>
      </c>
      <c r="E416" s="4" t="str">
        <f ca="1">IFERROR(__xludf.DUMMYFUNCTION("GOOGLETRANSLATE(B433,""ja"",""vi"")"),"giường Pháp")</f>
        <v>giường Pháp</v>
      </c>
      <c r="F416" s="4" t="str">
        <f ca="1">IFERROR(__xludf.DUMMYFUNCTION("GOOGLETRANSLATE(C433,""ja"",""vi"")"),"Đấu giá&gt; nhà, nội thất&gt; nội thất, nội thất&gt; Nhãn hiệu / thiết kế bởi&gt; giường Pháp")</f>
        <v>Đấu giá&gt; nhà, nội thất&gt; nội thất, nội thất&gt; Nhãn hiệu / thiết kế bởi&gt; giường Pháp</v>
      </c>
      <c r="G416" t="str">
        <f t="shared" ca="1" si="6"/>
        <v>"2084283601" : "giường Pháp",</v>
      </c>
    </row>
    <row r="417" spans="1:7" ht="14.25" customHeight="1">
      <c r="A417" s="12">
        <v>2084283602</v>
      </c>
      <c r="B417" s="12" t="s">
        <v>19895</v>
      </c>
      <c r="C417" s="12" t="s">
        <v>19896</v>
      </c>
      <c r="D417" s="12" t="s">
        <v>19897</v>
      </c>
      <c r="E417" s="4" t="str">
        <f ca="1">IFERROR(__xludf.DUMMYFUNCTION("GOOGLETRANSLATE(B434,""ja"",""vi"")"),"Fritz Hansen")</f>
        <v>Fritz Hansen</v>
      </c>
      <c r="F417" s="4" t="str">
        <f ca="1">IFERROR(__xludf.DUMMYFUNCTION("GOOGLETRANSLATE(C434,""ja"",""vi"")"),"Đấu giá&gt; nhà, nội thất&gt; nội thất, nội thất&gt; Nhãn hiệu / thiết kế bởi&gt; Fritz Hansen")</f>
        <v>Đấu giá&gt; nhà, nội thất&gt; nội thất, nội thất&gt; Nhãn hiệu / thiết kế bởi&gt; Fritz Hansen</v>
      </c>
      <c r="G417" t="str">
        <f t="shared" ca="1" si="6"/>
        <v>"2084283602" : "Fritz Hansen",</v>
      </c>
    </row>
    <row r="418" spans="1:7" ht="14.25" customHeight="1">
      <c r="A418" s="12">
        <v>2084283603</v>
      </c>
      <c r="B418" s="12" t="s">
        <v>19900</v>
      </c>
      <c r="C418" s="12" t="s">
        <v>19902</v>
      </c>
      <c r="D418" s="12" t="s">
        <v>19904</v>
      </c>
      <c r="E418" s="4" t="str">
        <f ca="1">IFERROR(__xludf.DUMMYFUNCTION("GOOGLETRANSLATE(B435,""ja"",""vi"")"),"Werner Panton")</f>
        <v>Werner Panton</v>
      </c>
      <c r="F418" s="4" t="str">
        <f ca="1">IFERROR(__xludf.DUMMYFUNCTION("GOOGLETRANSLATE(C435,""ja"",""vi"")"),"Đấu giá&gt; nhà, nội thất&gt; nội thất, nội thất&gt; Nhãn hiệu / thiết kế bởi&gt; Werner Panton")</f>
        <v>Đấu giá&gt; nhà, nội thất&gt; nội thất, nội thất&gt; Nhãn hiệu / thiết kế bởi&gt; Werner Panton</v>
      </c>
      <c r="G418" t="str">
        <f t="shared" ca="1" si="6"/>
        <v>"2084283603" : "Werner Panton",</v>
      </c>
    </row>
    <row r="419" spans="1:7" ht="14.25" customHeight="1">
      <c r="A419" s="12">
        <v>2084283605</v>
      </c>
      <c r="B419" s="12" t="s">
        <v>19908</v>
      </c>
      <c r="C419" s="12" t="s">
        <v>19909</v>
      </c>
      <c r="D419" s="12" t="s">
        <v>19910</v>
      </c>
      <c r="E419" s="4" t="str">
        <f ca="1">IFERROR(__xludf.DUMMYFUNCTION("GOOGLETRANSLATE(B436,""ja"",""vi"")"),"Maruni (Marni)")</f>
        <v>Maruni (Marni)</v>
      </c>
      <c r="F419" s="4" t="str">
        <f ca="1">IFERROR(__xludf.DUMMYFUNCTION("GOOGLETRANSLATE(C436,""ja"",""vi"")"),"Đấu giá&gt; nhà, nội thất&gt; nội thất, nội thất&gt; Nhãn hiệu / thiết kế bởi&gt; Maruni (Marni)")</f>
        <v>Đấu giá&gt; nhà, nội thất&gt; nội thất, nội thất&gt; Nhãn hiệu / thiết kế bởi&gt; Maruni (Marni)</v>
      </c>
      <c r="G419" t="str">
        <f t="shared" ca="1" si="6"/>
        <v>"2084283605" : "Maruni (Marni)",</v>
      </c>
    </row>
    <row r="420" spans="1:7" ht="14.25" customHeight="1">
      <c r="A420" s="12">
        <v>2084283604</v>
      </c>
      <c r="B420" s="12" t="s">
        <v>12413</v>
      </c>
      <c r="C420" s="12" t="s">
        <v>19917</v>
      </c>
      <c r="D420" s="12" t="s">
        <v>19919</v>
      </c>
      <c r="E420" s="4" t="str">
        <f ca="1">IFERROR(__xludf.DUMMYFUNCTION("GOOGLETRANSLATE(B437,""ja"",""vi"")"),"Marimekko")</f>
        <v>Marimekko</v>
      </c>
      <c r="F420" s="4" t="str">
        <f ca="1">IFERROR(__xludf.DUMMYFUNCTION("GOOGLETRANSLATE(C437,""ja"",""vi"")"),"Đấu giá&gt; nhà, nội thất&gt; nội thất, nội thất&gt; Nhãn hiệu / thiết kế bởi&gt; Marimekko")</f>
        <v>Đấu giá&gt; nhà, nội thất&gt; nội thất, nội thất&gt; Nhãn hiệu / thiết kế bởi&gt; Marimekko</v>
      </c>
      <c r="G420" t="str">
        <f t="shared" ca="1" si="6"/>
        <v>"2084283604" : "Marimekko",</v>
      </c>
    </row>
    <row r="421" spans="1:7" ht="14.25" customHeight="1">
      <c r="A421" s="12">
        <v>2084283606</v>
      </c>
      <c r="B421" s="12" t="s">
        <v>12541</v>
      </c>
      <c r="C421" s="12" t="s">
        <v>19924</v>
      </c>
      <c r="D421" s="12" t="s">
        <v>19925</v>
      </c>
      <c r="E421" s="4" t="str">
        <f ca="1">IFERROR(__xludf.DUMMYFUNCTION("GOOGLETRANSLATE(B438,""ja"",""vi"")"),"Muji")</f>
        <v>Muji</v>
      </c>
      <c r="F421" s="4" t="str">
        <f ca="1">IFERROR(__xludf.DUMMYFUNCTION("GOOGLETRANSLATE(C438,""ja"",""vi"")"),"Đấu giá&gt; nhà, nội thất&gt; nội thất, nội thất&gt; Nhãn hiệu / thiết kế bởi&gt; Muji")</f>
        <v>Đấu giá&gt; nhà, nội thất&gt; nội thất, nội thất&gt; Nhãn hiệu / thiết kế bởi&gt; Muji</v>
      </c>
      <c r="G421" t="str">
        <f t="shared" ca="1" si="6"/>
        <v>"2084283606" : "Muji",</v>
      </c>
    </row>
    <row r="422" spans="1:7" ht="14.25" customHeight="1">
      <c r="A422" s="12">
        <v>2084283608</v>
      </c>
      <c r="B422" s="12" t="s">
        <v>19927</v>
      </c>
      <c r="C422" s="12" t="s">
        <v>19929</v>
      </c>
      <c r="D422" s="12" t="s">
        <v>19931</v>
      </c>
      <c r="E422" s="4" t="str">
        <f ca="1">IFERROR(__xludf.DUMMYFUNCTION("GOOGLETRANSLATE(B439,""ja"",""vi"")"),"Jacobsen")</f>
        <v>Jacobsen</v>
      </c>
      <c r="F422" s="4" t="str">
        <f ca="1">IFERROR(__xludf.DUMMYFUNCTION("GOOGLETRANSLATE(C439,""ja"",""vi"")"),"Đấu giá&gt; nhà, nội thất&gt; nội thất, nội thất&gt; Nhãn hiệu / thiết kế bởi&gt; Jacobsen")</f>
        <v>Đấu giá&gt; nhà, nội thất&gt; nội thất, nội thất&gt; Nhãn hiệu / thiết kế bởi&gt; Jacobsen</v>
      </c>
      <c r="G422" t="str">
        <f t="shared" ca="1" si="6"/>
        <v>"2084283608" : "Jacobsen",</v>
      </c>
    </row>
    <row r="423" spans="1:7" ht="14.25" customHeight="1">
      <c r="A423" s="12">
        <v>2084283609</v>
      </c>
      <c r="B423" s="12" t="s">
        <v>19934</v>
      </c>
      <c r="C423" s="12" t="s">
        <v>19935</v>
      </c>
      <c r="D423" s="12" t="s">
        <v>19936</v>
      </c>
      <c r="E423" s="4" t="str">
        <f ca="1">IFERROR(__xludf.DUMMYFUNCTION("GOOGLETRANSLATE(B440,""ja"",""vi"")"),"Josef Hoffmann")</f>
        <v>Josef Hoffmann</v>
      </c>
      <c r="F423" s="4" t="str">
        <f ca="1">IFERROR(__xludf.DUMMYFUNCTION("GOOGLETRANSLATE(C440,""ja"",""vi"")"),"Đấu giá&gt; nhà, nội thất&gt; nội thất, nội thất&gt; Nhãn hiệu / thiết kế bởi&gt; Josef Hoffmann")</f>
        <v>Đấu giá&gt; nhà, nội thất&gt; nội thất, nội thất&gt; Nhãn hiệu / thiết kế bởi&gt; Josef Hoffmann</v>
      </c>
      <c r="G423" t="str">
        <f t="shared" ca="1" si="6"/>
        <v>"2084283609" : "Josef Hoffmann",</v>
      </c>
    </row>
    <row r="424" spans="1:7" ht="14.25" customHeight="1">
      <c r="A424" s="12">
        <v>2084283607</v>
      </c>
      <c r="B424" s="12" t="s">
        <v>19940</v>
      </c>
      <c r="C424" s="12" t="s">
        <v>19941</v>
      </c>
      <c r="D424" s="12" t="s">
        <v>19943</v>
      </c>
      <c r="E424" s="4" t="str">
        <f ca="1">IFERROR(__xludf.DUMMYFUNCTION("GOOGLETRANSLATE(B441,""ja"",""vi"")"),"Sori Yanagi")</f>
        <v>Sori Yanagi</v>
      </c>
      <c r="F424" s="4" t="str">
        <f ca="1">IFERROR(__xludf.DUMMYFUNCTION("GOOGLETRANSLATE(C441,""ja"",""vi"")"),"Đấu giá&gt; nhà, nội thất&gt; nội thất, nội thất&gt; Nhãn hiệu / thiết kế bởi&gt; Sori Yanagi")</f>
        <v>Đấu giá&gt; nhà, nội thất&gt; nội thất, nội thất&gt; Nhãn hiệu / thiết kế bởi&gt; Sori Yanagi</v>
      </c>
      <c r="G424" t="str">
        <f t="shared" ca="1" si="6"/>
        <v>"2084283607" : "Sori Yanagi",</v>
      </c>
    </row>
    <row r="425" spans="1:7" ht="14.25" customHeight="1">
      <c r="A425" s="12">
        <v>2084283610</v>
      </c>
      <c r="B425" s="12" t="s">
        <v>19948</v>
      </c>
      <c r="C425" s="12" t="s">
        <v>19950</v>
      </c>
      <c r="D425" s="12" t="s">
        <v>19951</v>
      </c>
      <c r="E425" s="4" t="str">
        <f ca="1">IFERROR(__xludf.DUMMYFUNCTION("GOOGLETRANSLATE(B442,""ja"",""vi"")"),"Le Corbusier")</f>
        <v>Le Corbusier</v>
      </c>
      <c r="F425" s="4" t="str">
        <f ca="1">IFERROR(__xludf.DUMMYFUNCTION("GOOGLETRANSLATE(C442,""ja"",""vi"")"),"Đấu giá&gt; nhà, nội thất&gt; nội thất, nội thất&gt; Nhãn hiệu / thiết kế bởi&gt; Le Corbusier")</f>
        <v>Đấu giá&gt; nhà, nội thất&gt; nội thất, nội thất&gt; Nhãn hiệu / thiết kế bởi&gt; Le Corbusier</v>
      </c>
      <c r="G425" t="str">
        <f t="shared" ca="1" si="6"/>
        <v>"2084283610" : "Le Corbusier",</v>
      </c>
    </row>
    <row r="426" spans="1:7" ht="14.25" customHeight="1">
      <c r="A426" s="12">
        <v>2084283611</v>
      </c>
      <c r="B426" s="12" t="s">
        <v>46</v>
      </c>
      <c r="C426" s="12" t="s">
        <v>19954</v>
      </c>
      <c r="D426" s="12" t="s">
        <v>19956</v>
      </c>
      <c r="E426" s="4" t="str">
        <f ca="1">IFERROR(__xludf.DUMMYFUNCTION("GOOGLETRANSLATE(B443,""ja"",""vi"")"),"nếu không thì")</f>
        <v>nếu không thì</v>
      </c>
      <c r="F426" s="4" t="str">
        <f ca="1">IFERROR(__xludf.DUMMYFUNCTION("GOOGLETRANSLATE(C443,""ja"",""vi"")"),"Đấu giá&gt; nhà, nội thất&gt; nội thất, nội thất&gt; Nhãn hiệu / thiết kế bởi&gt; Khác")</f>
        <v>Đấu giá&gt; nhà, nội thất&gt; nội thất, nội thất&gt; Nhãn hiệu / thiết kế bởi&gt; Khác</v>
      </c>
      <c r="G426" t="str">
        <f t="shared" ca="1" si="6"/>
        <v>"2084283611" : "nếu không thì",</v>
      </c>
    </row>
    <row r="427" spans="1:7" ht="14.25" customHeight="1">
      <c r="E427" s="4" t="str">
        <f ca="1">IFERROR(__xludf.DUMMYFUNCTION("GOOGLETRANSLATE(B444,""ja"",""vi"")"),"#VALUE!")</f>
        <v>#VALUE!</v>
      </c>
      <c r="F427" s="4" t="str">
        <f ca="1">IFERROR(__xludf.DUMMYFUNCTION("GOOGLETRANSLATE(C444,""ja"",""vi"")"),"#VALUE!")</f>
        <v>#VALUE!</v>
      </c>
      <c r="G427" t="str">
        <f t="shared" ca="1" si="6"/>
        <v>"" : "#VALUE!",</v>
      </c>
    </row>
    <row r="428" spans="1:7" ht="14.25" customHeight="1">
      <c r="A428" s="3">
        <v>2084007908</v>
      </c>
      <c r="B428" s="10"/>
      <c r="C428" s="10"/>
      <c r="D428" s="10"/>
      <c r="E428" s="4" t="str">
        <f ca="1">IFERROR(__xludf.DUMMYFUNCTION("GOOGLETRANSLATE(B445,""ja"",""vi"")"),"#VALUE!")</f>
        <v>#VALUE!</v>
      </c>
      <c r="F428" s="4" t="str">
        <f ca="1">IFERROR(__xludf.DUMMYFUNCTION("GOOGLETRANSLATE(C445,""ja"",""vi"")"),"#VALUE!")</f>
        <v>#VALUE!</v>
      </c>
      <c r="G428" t="str">
        <f t="shared" ca="1" si="6"/>
        <v>"2084007908" : "#VALUE!",</v>
      </c>
    </row>
    <row r="429" spans="1:7" ht="14.25" customHeight="1">
      <c r="A429" s="33">
        <v>2084283581</v>
      </c>
      <c r="B429" s="33" t="s">
        <v>19312</v>
      </c>
      <c r="C429" s="33" t="s">
        <v>19961</v>
      </c>
      <c r="D429" s="33" t="s">
        <v>19963</v>
      </c>
      <c r="E429" s="4" t="str">
        <f ca="1">IFERROR(__xludf.DUMMYFUNCTION("GOOGLETRANSLATE(B446,""ja"",""vi"")"),"Nhãn hiệu / thiết kế bởi")</f>
        <v>Nhãn hiệu / thiết kế bởi</v>
      </c>
      <c r="F429" s="4" t="str">
        <f ca="1">IFERROR(__xludf.DUMMYFUNCTION("GOOGLETRANSLATE(C446,""ja"",""vi"")"),"Đấu giá&gt; nhà, nội thất&gt; nội thất, nội thất&gt; sofa, giường sofa&gt; Nhãn hiệu / thiết kế bởi")</f>
        <v>Đấu giá&gt; nhà, nội thất&gt; nội thất, nội thất&gt; sofa, giường sofa&gt; Nhãn hiệu / thiết kế bởi</v>
      </c>
      <c r="G429" t="str">
        <f t="shared" ca="1" si="6"/>
        <v>"2084283581" : "Nhãn hiệu / thiết kế bởi",</v>
      </c>
    </row>
    <row r="430" spans="1:7" ht="14.25" customHeight="1">
      <c r="A430" s="17">
        <v>2084061513</v>
      </c>
      <c r="B430" s="17" t="s">
        <v>3138</v>
      </c>
      <c r="C430" s="17" t="s">
        <v>19966</v>
      </c>
      <c r="D430" s="17" t="s">
        <v>19968</v>
      </c>
      <c r="E430" s="4" t="str">
        <f ca="1">IFERROR(__xludf.DUMMYFUNCTION("GOOGLETRANSLATE(B447,""ja"",""vi"")"),"bộ")</f>
        <v>bộ</v>
      </c>
      <c r="F430" s="4" t="str">
        <f ca="1">IFERROR(__xludf.DUMMYFUNCTION("GOOGLETRANSLATE(C447,""ja"",""vi"")"),"Đấu giá&gt; nhà, nội thất&gt; nội thất, nội thất&gt; sofa, giường sofa&gt; bộ")</f>
        <v>Đấu giá&gt; nhà, nội thất&gt; nội thất, nội thất&gt; sofa, giường sofa&gt; bộ</v>
      </c>
      <c r="G430" t="str">
        <f t="shared" ca="1" si="6"/>
        <v>"2084061513" : "bộ",</v>
      </c>
    </row>
    <row r="431" spans="1:7" ht="14.25" customHeight="1">
      <c r="A431" s="17">
        <v>2084046804</v>
      </c>
      <c r="B431" s="17" t="s">
        <v>19973</v>
      </c>
      <c r="C431" s="17" t="s">
        <v>19974</v>
      </c>
      <c r="D431" s="17" t="s">
        <v>19975</v>
      </c>
      <c r="E431" s="4" t="str">
        <f ca="1">IFERROR(__xludf.DUMMYFUNCTION("GOOGLETRANSLATE(B448,""ja"",""vi"")"),"sofa đơn")</f>
        <v>sofa đơn</v>
      </c>
      <c r="F431" s="4" t="str">
        <f ca="1">IFERROR(__xludf.DUMMYFUNCTION("GOOGLETRANSLATE(C448,""ja"",""vi"")"),"Đấu giá&gt; nhà, nội thất&gt; nội thất, nội thất&gt; sofa, giường sofa&gt; sofa đơn")</f>
        <v>Đấu giá&gt; nhà, nội thất&gt; nội thất, nội thất&gt; sofa, giường sofa&gt; sofa đơn</v>
      </c>
      <c r="G431" t="str">
        <f t="shared" ca="1" si="6"/>
        <v>"2084046804" : "sofa đơn",</v>
      </c>
    </row>
    <row r="432" spans="1:7" ht="14.25" customHeight="1">
      <c r="A432" s="17">
        <v>2084046805</v>
      </c>
      <c r="B432" s="17" t="s">
        <v>19979</v>
      </c>
      <c r="C432" s="17" t="s">
        <v>19980</v>
      </c>
      <c r="D432" s="17" t="s">
        <v>19981</v>
      </c>
      <c r="E432" s="4" t="str">
        <f ca="1">IFERROR(__xludf.DUMMYFUNCTION("GOOGLETRANSLATE(B449,""ja"",""vi"")"),"Rabusofa")</f>
        <v>Rabusofa</v>
      </c>
      <c r="F432" s="4" t="str">
        <f ca="1">IFERROR(__xludf.DUMMYFUNCTION("GOOGLETRANSLATE(C449,""ja"",""vi"")"),"Đấu giá&gt; nhà, nội thất&gt; nội thất, nội thất&gt; sofa, giường sofa&gt; Rabusofa")</f>
        <v>Đấu giá&gt; nhà, nội thất&gt; nội thất, nội thất&gt; sofa, giường sofa&gt; Rabusofa</v>
      </c>
      <c r="G432" t="str">
        <f t="shared" ca="1" si="6"/>
        <v>"2084046805" : "Rabusofa",</v>
      </c>
    </row>
    <row r="433" spans="1:7" ht="14.25" customHeight="1">
      <c r="A433" s="17">
        <v>2084046806</v>
      </c>
      <c r="B433" s="17" t="s">
        <v>19986</v>
      </c>
      <c r="C433" s="17" t="s">
        <v>19988</v>
      </c>
      <c r="D433" s="17" t="s">
        <v>19989</v>
      </c>
      <c r="E433" s="4" t="str">
        <f ca="1">IFERROR(__xludf.DUMMYFUNCTION("GOOGLETRANSLATE(B450,""ja"",""vi"")"),"Ghế sofa ba")</f>
        <v>Ghế sofa ba</v>
      </c>
      <c r="F433" s="4" t="str">
        <f ca="1">IFERROR(__xludf.DUMMYFUNCTION("GOOGLETRANSLATE(C450,""ja"",""vi"")"),"Đấu giá&gt; nhà, nội thất&gt; nội thất, nội thất&gt; sofa, giường sofa&gt; sofa Ba")</f>
        <v>Đấu giá&gt; nhà, nội thất&gt; nội thất, nội thất&gt; sofa, giường sofa&gt; sofa Ba</v>
      </c>
      <c r="G433" t="str">
        <f t="shared" ca="1" si="6"/>
        <v>"2084046806" : "Ghế sofa ba",</v>
      </c>
    </row>
    <row r="434" spans="1:7" ht="14.25" customHeight="1">
      <c r="A434" s="17">
        <v>2084046807</v>
      </c>
      <c r="B434" s="17" t="s">
        <v>19993</v>
      </c>
      <c r="C434" s="17" t="s">
        <v>19994</v>
      </c>
      <c r="D434" s="17" t="s">
        <v>19996</v>
      </c>
      <c r="E434" s="4" t="str">
        <f ca="1">IFERROR(__xludf.DUMMYFUNCTION("GOOGLETRANSLATE(B451,""ja"",""vi"")"),"ghế trường kỷ")</f>
        <v>ghế trường kỷ</v>
      </c>
      <c r="F434" s="4" t="str">
        <f ca="1">IFERROR(__xludf.DUMMYFUNCTION("GOOGLETRANSLATE(C451,""ja"",""vi"")"),"Đấu giá&gt; nhà, nội thất&gt; nội thất, nội thất&gt; sofa, giường sofa&gt; ottoman")</f>
        <v>Đấu giá&gt; nhà, nội thất&gt; nội thất, nội thất&gt; sofa, giường sofa&gt; ottoman</v>
      </c>
      <c r="G434" t="str">
        <f t="shared" ca="1" si="6"/>
        <v>"2084046807" : "ghế trường kỷ",</v>
      </c>
    </row>
    <row r="435" spans="1:7" ht="14.25" customHeight="1">
      <c r="A435" s="17">
        <v>2084239358</v>
      </c>
      <c r="B435" s="17" t="s">
        <v>19999</v>
      </c>
      <c r="C435" s="17" t="s">
        <v>20001</v>
      </c>
      <c r="D435" s="17" t="s">
        <v>20002</v>
      </c>
      <c r="E435" s="4" t="str">
        <f ca="1">IFERROR(__xludf.DUMMYFUNCTION("GOOGLETRANSLATE(B452,""ja"",""vi"")"),"sofa góc")</f>
        <v>sofa góc</v>
      </c>
      <c r="F435" s="4" t="str">
        <f ca="1">IFERROR(__xludf.DUMMYFUNCTION("GOOGLETRANSLATE(C452,""ja"",""vi"")"),"Đấu giá&gt; nhà, nội thất&gt; nội thất, nội thất&gt; sofa, giường sofa&gt; sofa góc")</f>
        <v>Đấu giá&gt; nhà, nội thất&gt; nội thất, nội thất&gt; sofa, giường sofa&gt; sofa góc</v>
      </c>
      <c r="G435" t="str">
        <f t="shared" ca="1" si="6"/>
        <v>"2084239358" : "sofa góc",</v>
      </c>
    </row>
    <row r="436" spans="1:7" ht="14.25" customHeight="1">
      <c r="A436" s="17">
        <v>2084303642</v>
      </c>
      <c r="B436" s="17" t="s">
        <v>20004</v>
      </c>
      <c r="C436" s="17" t="s">
        <v>20005</v>
      </c>
      <c r="D436" s="17" t="s">
        <v>20006</v>
      </c>
      <c r="E436" s="4" t="str">
        <f ca="1">IFERROR(__xludf.DUMMYFUNCTION("GOOGLETRANSLATE(B453,""ja"",""vi"")"),"Beads sofa, ghế sofa đệm")</f>
        <v>Beads sofa, ghế sofa đệm</v>
      </c>
      <c r="F436" s="4" t="str">
        <f ca="1">IFERROR(__xludf.DUMMYFUNCTION("GOOGLETRANSLATE(C453,""ja"",""vi"")"),"Đấu giá&gt; nhà, nội thất&gt; nội thất, nội thất&gt; sofa, giường sofa&gt; sofa hạt, ghế sofa đệm")</f>
        <v>Đấu giá&gt; nhà, nội thất&gt; nội thất, nội thất&gt; sofa, giường sofa&gt; sofa hạt, ghế sofa đệm</v>
      </c>
      <c r="G436" t="str">
        <f t="shared" ca="1" si="6"/>
        <v>"2084303642" : "Beads sofa, ghế sofa đệm",</v>
      </c>
    </row>
    <row r="437" spans="1:7" ht="14.25" customHeight="1">
      <c r="A437" s="17">
        <v>2084303643</v>
      </c>
      <c r="B437" s="17" t="s">
        <v>20010</v>
      </c>
      <c r="C437" s="17" t="s">
        <v>20011</v>
      </c>
      <c r="D437" s="17" t="s">
        <v>20012</v>
      </c>
      <c r="E437" s="4" t="str">
        <f ca="1">IFERROR(__xludf.DUMMYFUNCTION("GOOGLETRANSLATE(B454,""ja"",""vi"")"),"Rosofa, ghế sofa sàn")</f>
        <v>Rosofa, ghế sofa sàn</v>
      </c>
      <c r="F437" s="4" t="str">
        <f ca="1">IFERROR(__xludf.DUMMYFUNCTION("GOOGLETRANSLATE(C454,""ja"",""vi"")"),"Đấu giá&gt; nhà, nội thất&gt; nội thất, nội thất&gt; sofa, giường sofa&gt; Rosofa, ghế sofa sàn")</f>
        <v>Đấu giá&gt; nhà, nội thất&gt; nội thất, nội thất&gt; sofa, giường sofa&gt; Rosofa, ghế sofa sàn</v>
      </c>
      <c r="G437" t="str">
        <f t="shared" ca="1" si="6"/>
        <v>"2084303643" : "Rosofa, ghế sofa sàn",</v>
      </c>
    </row>
    <row r="438" spans="1:7" ht="14.25" customHeight="1">
      <c r="A438" s="17">
        <v>2084044973</v>
      </c>
      <c r="B438" s="17" t="s">
        <v>4275</v>
      </c>
      <c r="C438" s="17" t="s">
        <v>20016</v>
      </c>
      <c r="D438" s="17" t="s">
        <v>20017</v>
      </c>
      <c r="E438" s="4" t="str">
        <f ca="1">IFERROR(__xludf.DUMMYFUNCTION("GOOGLETRANSLATE(B455,""ja"",""vi"")"),"ghế massage")</f>
        <v>ghế massage</v>
      </c>
      <c r="F438" s="4" t="str">
        <f ca="1">IFERROR(__xludf.DUMMYFUNCTION("GOOGLETRANSLATE(C455,""ja"",""vi"")"),"Đấu giá&gt; nhà, nội thất&gt; nội thất, nội thất&gt; sofa, giường sofa&gt; Ghế massage")</f>
        <v>Đấu giá&gt; nhà, nội thất&gt; nội thất, nội thất&gt; sofa, giường sofa&gt; Ghế massage</v>
      </c>
      <c r="G438" t="str">
        <f t="shared" ca="1" si="6"/>
        <v>"2084044973" : "ghế massage",</v>
      </c>
    </row>
    <row r="439" spans="1:7" ht="14.25" customHeight="1">
      <c r="A439" s="17">
        <v>2084007911</v>
      </c>
      <c r="B439" s="17" t="s">
        <v>20021</v>
      </c>
      <c r="C439" s="17" t="s">
        <v>20022</v>
      </c>
      <c r="D439" s="17" t="s">
        <v>20024</v>
      </c>
      <c r="E439" s="4" t="str">
        <f ca="1">IFERROR(__xludf.DUMMYFUNCTION("GOOGLETRANSLATE(B456,""ja"",""vi"")"),"giường sofa")</f>
        <v>giường sofa</v>
      </c>
      <c r="F439" s="4" t="str">
        <f ca="1">IFERROR(__xludf.DUMMYFUNCTION("GOOGLETRANSLATE(C456,""ja"",""vi"")"),"Đấu giá&gt; nhà, nội thất&gt; nội thất, nội thất&gt; sofa, giường sofa&gt; sofa giường")</f>
        <v>Đấu giá&gt; nhà, nội thất&gt; nội thất, nội thất&gt; sofa, giường sofa&gt; sofa giường</v>
      </c>
      <c r="G439" t="str">
        <f t="shared" ca="1" si="6"/>
        <v>"2084007911" : "giường sofa",</v>
      </c>
    </row>
    <row r="440" spans="1:7" ht="14.25" customHeight="1">
      <c r="A440" s="17">
        <v>2084062758</v>
      </c>
      <c r="B440" s="17" t="s">
        <v>20025</v>
      </c>
      <c r="C440" s="17" t="s">
        <v>20028</v>
      </c>
      <c r="D440" s="17" t="s">
        <v>20030</v>
      </c>
      <c r="E440" s="4" t="str">
        <f ca="1">IFERROR(__xludf.DUMMYFUNCTION("GOOGLETRANSLATE(B457,""ja"",""vi"")"),"bộ tiếp nhận")</f>
        <v>bộ tiếp nhận</v>
      </c>
      <c r="F440" s="4" t="str">
        <f ca="1">IFERROR(__xludf.DUMMYFUNCTION("GOOGLETRANSLATE(C457,""ja"",""vi"")"),"Đấu giá&gt; nhà, nội thất&gt; nội thất, nội thất&gt; sofa, giường sofa&gt; thiết lập bản vẽ")</f>
        <v>Đấu giá&gt; nhà, nội thất&gt; nội thất, nội thất&gt; sofa, giường sofa&gt; thiết lập bản vẽ</v>
      </c>
      <c r="G440" t="str">
        <f t="shared" ca="1" si="6"/>
        <v>"2084062758" : "bộ tiếp nhận",</v>
      </c>
    </row>
    <row r="441" spans="1:7" ht="14.25" customHeight="1">
      <c r="A441" s="17">
        <v>2084061514</v>
      </c>
      <c r="B441" s="17" t="s">
        <v>20033</v>
      </c>
      <c r="C441" s="17" t="s">
        <v>20035</v>
      </c>
      <c r="D441" s="17" t="s">
        <v>20037</v>
      </c>
      <c r="E441" s="4" t="str">
        <f ca="1">IFERROR(__xludf.DUMMYFUNCTION("GOOGLETRANSLATE(B458,""ja"",""vi"")"),"sofa bìa")</f>
        <v>sofa bìa</v>
      </c>
      <c r="F441" s="4" t="str">
        <f ca="1">IFERROR(__xludf.DUMMYFUNCTION("GOOGLETRANSLATE(C458,""ja"",""vi"")"),"Đấu giá&gt; nhà, nội thất&gt; nội thất, nội thất&gt; sofa, giường sofa&gt; sofa bìa")</f>
        <v>Đấu giá&gt; nhà, nội thất&gt; nội thất, nội thất&gt; sofa, giường sofa&gt; sofa bìa</v>
      </c>
      <c r="G441" t="str">
        <f t="shared" ca="1" si="6"/>
        <v>"2084061514" : "sofa bìa",</v>
      </c>
    </row>
    <row r="442" spans="1:7" ht="14.25" customHeight="1">
      <c r="A442" s="17">
        <v>2084244961</v>
      </c>
      <c r="B442" s="17" t="s">
        <v>20040</v>
      </c>
      <c r="C442" s="17" t="s">
        <v>20041</v>
      </c>
      <c r="D442" s="17" t="s">
        <v>20043</v>
      </c>
      <c r="E442" s="4" t="str">
        <f ca="1">IFERROR(__xludf.DUMMYFUNCTION("GOOGLETRANSLATE(B459,""ja"",""vi"")"),"ngả ghế sofa")</f>
        <v>ngả ghế sofa</v>
      </c>
      <c r="F442" s="4" t="str">
        <f ca="1">IFERROR(__xludf.DUMMYFUNCTION("GOOGLETRANSLATE(C459,""ja"",""vi"")"),"Đấu giá&gt; nhà, nội thất&gt; nội thất, nội thất&gt; sofa, giường sofa&gt; sofa ngả")</f>
        <v>Đấu giá&gt; nhà, nội thất&gt; nội thất, nội thất&gt; sofa, giường sofa&gt; sofa ngả</v>
      </c>
      <c r="G442" t="str">
        <f t="shared" ca="1" si="6"/>
        <v>"2084244961" : "ngả ghế sofa",</v>
      </c>
    </row>
    <row r="443" spans="1:7" ht="14.25" customHeight="1">
      <c r="A443" s="17">
        <v>2084046808</v>
      </c>
      <c r="B443" s="17" t="s">
        <v>46</v>
      </c>
      <c r="C443" s="17" t="s">
        <v>20047</v>
      </c>
      <c r="D443" s="17" t="s">
        <v>20049</v>
      </c>
      <c r="E443" s="4" t="str">
        <f ca="1">IFERROR(__xludf.DUMMYFUNCTION("GOOGLETRANSLATE(B460,""ja"",""vi"")"),"nếu không thì")</f>
        <v>nếu không thì</v>
      </c>
      <c r="F443" s="4" t="str">
        <f ca="1">IFERROR(__xludf.DUMMYFUNCTION("GOOGLETRANSLATE(C460,""ja"",""vi"")"),"Đấu giá&gt; nhà, nội thất&gt; nội thất, nội thất&gt; sofa, giường sofa&gt; Khác")</f>
        <v>Đấu giá&gt; nhà, nội thất&gt; nội thất, nội thất&gt; sofa, giường sofa&gt; Khác</v>
      </c>
      <c r="G443" t="str">
        <f t="shared" ca="1" si="6"/>
        <v>"2084046808" : "nếu không thì",</v>
      </c>
    </row>
    <row r="444" spans="1:7" ht="14.25" customHeight="1">
      <c r="E444" s="4" t="str">
        <f ca="1">IFERROR(__xludf.DUMMYFUNCTION("GOOGLETRANSLATE(B461,""ja"",""vi"")"),"#VALUE!")</f>
        <v>#VALUE!</v>
      </c>
      <c r="F444" s="4" t="str">
        <f ca="1">IFERROR(__xludf.DUMMYFUNCTION("GOOGLETRANSLATE(C461,""ja"",""vi"")"),"#VALUE!")</f>
        <v>#VALUE!</v>
      </c>
      <c r="G444" t="str">
        <f t="shared" ca="1" si="6"/>
        <v>"" : "#VALUE!",</v>
      </c>
    </row>
    <row r="445" spans="1:7" ht="14.25" customHeight="1">
      <c r="A445" s="3">
        <v>2084007909</v>
      </c>
      <c r="B445" s="10"/>
      <c r="C445" s="10"/>
      <c r="D445" s="10"/>
      <c r="E445" s="4" t="str">
        <f ca="1">IFERROR(__xludf.DUMMYFUNCTION("GOOGLETRANSLATE(B462,""ja"",""vi"")"),"#VALUE!")</f>
        <v>#VALUE!</v>
      </c>
      <c r="F445" s="4" t="str">
        <f ca="1">IFERROR(__xludf.DUMMYFUNCTION("GOOGLETRANSLATE(C462,""ja"",""vi"")"),"#VALUE!")</f>
        <v>#VALUE!</v>
      </c>
      <c r="G445" t="str">
        <f t="shared" ca="1" si="6"/>
        <v>"2084007909" : "#VALUE!",</v>
      </c>
    </row>
    <row r="446" spans="1:7" ht="14.25" customHeight="1">
      <c r="A446" s="29">
        <v>2084283581</v>
      </c>
      <c r="B446" s="29" t="s">
        <v>19312</v>
      </c>
      <c r="C446" s="29" t="s">
        <v>20056</v>
      </c>
      <c r="D446" s="29" t="s">
        <v>20057</v>
      </c>
      <c r="E446" s="4" t="str">
        <f ca="1">IFERROR(__xludf.DUMMYFUNCTION("GOOGLETRANSLATE(B463,""ja"",""vi"")"),"Nhãn hiệu / thiết kế bởi")</f>
        <v>Nhãn hiệu / thiết kế bởi</v>
      </c>
      <c r="F446" s="4" t="str">
        <f ca="1">IFERROR(__xludf.DUMMYFUNCTION("GOOGLETRANSLATE(C463,""ja"",""vi"")"),"Đấu giá&gt; nhà, nội thất&gt; nội thất, nội thất&gt; Ghế&gt; Nhãn hiệu / thiết kế bởi")</f>
        <v>Đấu giá&gt; nhà, nội thất&gt; nội thất, nội thất&gt; Ghế&gt; Nhãn hiệu / thiết kế bởi</v>
      </c>
      <c r="G446" t="str">
        <f t="shared" ca="1" si="6"/>
        <v>"2084283581" : "Nhãn hiệu / thiết kế bởi",</v>
      </c>
    </row>
    <row r="447" spans="1:7" ht="14.25" customHeight="1">
      <c r="A447" s="12">
        <v>2084007912</v>
      </c>
      <c r="B447" s="12" t="s">
        <v>2241</v>
      </c>
      <c r="C447" s="12" t="s">
        <v>20060</v>
      </c>
      <c r="D447" s="12" t="s">
        <v>20062</v>
      </c>
      <c r="E447" s="4" t="str">
        <f ca="1">IFERROR(__xludf.DUMMYFUNCTION("GOOGLETRANSLATE(B464,""ja"",""vi"")"),"chung")</f>
        <v>chung</v>
      </c>
      <c r="F447" s="4" t="str">
        <f ca="1">IFERROR(__xludf.DUMMYFUNCTION("GOOGLETRANSLATE(C464,""ja"",""vi"")"),"Đấu giá&gt; nhà, nội thất&gt; nội thất, nội thất&gt; Ghế&gt; chung")</f>
        <v>Đấu giá&gt; nhà, nội thất&gt; nội thất, nội thất&gt; Ghế&gt; chung</v>
      </c>
      <c r="G447" t="str">
        <f t="shared" ca="1" si="6"/>
        <v>"2084007912" : "chung",</v>
      </c>
    </row>
    <row r="448" spans="1:7" ht="14.25" customHeight="1">
      <c r="A448" s="12">
        <v>2084007913</v>
      </c>
      <c r="B448" s="12" t="s">
        <v>20064</v>
      </c>
      <c r="C448" s="12" t="s">
        <v>20067</v>
      </c>
      <c r="D448" s="12" t="s">
        <v>20069</v>
      </c>
      <c r="E448" s="4" t="str">
        <f ca="1">IFERROR(__xludf.DUMMYFUNCTION("GOOGLETRANSLATE(B465,""ja"",""vi"")"),"ghế đẩu")</f>
        <v>ghế đẩu</v>
      </c>
      <c r="F448" s="4" t="str">
        <f ca="1">IFERROR(__xludf.DUMMYFUNCTION("GOOGLETRANSLATE(C465,""ja"",""vi"")"),"Đấu giá&gt; nhà, nội thất&gt; nội thất, nội thất&gt; Ghế&gt; phân")</f>
        <v>Đấu giá&gt; nhà, nội thất&gt; nội thất, nội thất&gt; Ghế&gt; phân</v>
      </c>
      <c r="G448" t="str">
        <f t="shared" ca="1" si="6"/>
        <v>"2084007913" : "ghế đẩu",</v>
      </c>
    </row>
    <row r="449" spans="1:7" ht="14.25" customHeight="1">
      <c r="A449" s="12">
        <v>2084007908</v>
      </c>
      <c r="B449" s="12" t="s">
        <v>16526</v>
      </c>
      <c r="C449" s="12" t="s">
        <v>20073</v>
      </c>
      <c r="D449" s="12" t="s">
        <v>20075</v>
      </c>
      <c r="E449" s="4" t="str">
        <f ca="1">IFERROR(__xludf.DUMMYFUNCTION("GOOGLETRANSLATE(B466,""ja"",""vi"")"),"sofa")</f>
        <v>sofa</v>
      </c>
      <c r="F449" s="4" t="str">
        <f ca="1">IFERROR(__xludf.DUMMYFUNCTION("GOOGLETRANSLATE(C466,""ja"",""vi"")"),"Đấu giá&gt; nhà, nội thất&gt; nội thất, nội thất&gt; Ghế&gt; sofa")</f>
        <v>Đấu giá&gt; nhà, nội thất&gt; nội thất, nội thất&gt; Ghế&gt; sofa</v>
      </c>
      <c r="G449" t="str">
        <f t="shared" ca="1" si="6"/>
        <v>"2084007908" : "sofa",</v>
      </c>
    </row>
    <row r="450" spans="1:7" ht="14.25" customHeight="1">
      <c r="A450" s="12">
        <v>2084057261</v>
      </c>
      <c r="B450" s="12" t="s">
        <v>20079</v>
      </c>
      <c r="C450" s="12" t="s">
        <v>20081</v>
      </c>
      <c r="D450" s="12" t="s">
        <v>20083</v>
      </c>
      <c r="E450" s="4" t="str">
        <f ca="1">IFERROR(__xludf.DUMMYFUNCTION("GOOGLETRANSLATE(B467,""ja"",""vi"")"),"ghế ăn")</f>
        <v>ghế ăn</v>
      </c>
      <c r="F450" s="4" t="str">
        <f ca="1">IFERROR(__xludf.DUMMYFUNCTION("GOOGLETRANSLATE(C467,""ja"",""vi"")"),"Đấu giá&gt; nhà, nội thất&gt; nội thất, nội thất&gt; Ghế&gt; Ghế ăn uống")</f>
        <v>Đấu giá&gt; nhà, nội thất&gt; nội thất, nội thất&gt; Ghế&gt; Ghế ăn uống</v>
      </c>
      <c r="G450" t="str">
        <f t="shared" ca="1" si="6"/>
        <v>"2084057261" : "ghế ăn",</v>
      </c>
    </row>
    <row r="451" spans="1:7" ht="14.25" customHeight="1">
      <c r="A451" s="12">
        <v>2084057262</v>
      </c>
      <c r="B451" s="12" t="s">
        <v>20085</v>
      </c>
      <c r="C451" s="12" t="s">
        <v>20087</v>
      </c>
      <c r="D451" s="12" t="s">
        <v>20090</v>
      </c>
      <c r="E451" s="4" t="str">
        <f ca="1">IFERROR(__xludf.DUMMYFUNCTION("GOOGLETRANSLATE(B468,""ja"",""vi"")"),"ghế cao trở lại")</f>
        <v>ghế cao trở lại</v>
      </c>
      <c r="F451" s="4" t="str">
        <f ca="1">IFERROR(__xludf.DUMMYFUNCTION("GOOGLETRANSLATE(C468,""ja"",""vi"")"),"Đấu giá&gt; nhà, nội thất&gt; nội thất, nội thất&gt; Ghế&gt; Ghế cao trở lại")</f>
        <v>Đấu giá&gt; nhà, nội thất&gt; nội thất, nội thất&gt; Ghế&gt; Ghế cao trở lại</v>
      </c>
      <c r="G451" t="str">
        <f t="shared" ref="G451:G455" ca="1" si="7">CONCATENATE(CHAR(34)&amp;"",A451,""&amp;CHAR(34)," : ", CHAR(34)&amp;"",E451,""&amp;CHAR(34),",")</f>
        <v>"2084057262" : "ghế cao trở lại",</v>
      </c>
    </row>
    <row r="452" spans="1:7" ht="14.25" customHeight="1">
      <c r="A452" s="12">
        <v>2084044973</v>
      </c>
      <c r="B452" s="12" t="s">
        <v>4275</v>
      </c>
      <c r="C452" s="12" t="s">
        <v>20093</v>
      </c>
      <c r="D452" s="12" t="s">
        <v>20094</v>
      </c>
      <c r="E452" s="4" t="str">
        <f ca="1">IFERROR(__xludf.DUMMYFUNCTION("GOOGLETRANSLATE(B469,""ja"",""vi"")"),"ghế massage")</f>
        <v>ghế massage</v>
      </c>
      <c r="F452" s="4" t="str">
        <f ca="1">IFERROR(__xludf.DUMMYFUNCTION("GOOGLETRANSLATE(C469,""ja"",""vi"")"),"Đấu giá&gt; nhà, nội thất&gt; nội thất, nội thất&gt; Ghế&gt; Massage Chair")</f>
        <v>Đấu giá&gt; nhà, nội thất&gt; nội thất, nội thất&gt; Ghế&gt; Massage Chair</v>
      </c>
      <c r="G452" t="str">
        <f t="shared" ca="1" si="7"/>
        <v>"2084044973" : "ghế massage",</v>
      </c>
    </row>
    <row r="453" spans="1:7" ht="14.25" customHeight="1">
      <c r="A453" s="12">
        <v>2084007918</v>
      </c>
      <c r="B453" s="12" t="s">
        <v>20099</v>
      </c>
      <c r="C453" s="12" t="s">
        <v>20100</v>
      </c>
      <c r="D453" s="12" t="s">
        <v>20101</v>
      </c>
      <c r="E453" s="4" t="str">
        <f ca="1">IFERROR(__xludf.DUMMYFUNCTION("GOOGLETRANSLATE(B470,""ja"",""vi"")"),"ghế xích đu")</f>
        <v>ghế xích đu</v>
      </c>
      <c r="F453" s="4" t="str">
        <f ca="1">IFERROR(__xludf.DUMMYFUNCTION("GOOGLETRANSLATE(C470,""ja"",""vi"")"),"Đấu giá&gt; nhà, nội thất&gt; nội thất, nội thất&gt; Ghế&gt; Ghế bập bênh")</f>
        <v>Đấu giá&gt; nhà, nội thất&gt; nội thất, nội thất&gt; Ghế&gt; Ghế bập bênh</v>
      </c>
      <c r="G453" t="str">
        <f t="shared" ca="1" si="7"/>
        <v>"2084007918" : "ghế xích đu",</v>
      </c>
    </row>
    <row r="454" spans="1:7" ht="14.25" customHeight="1">
      <c r="A454" s="12">
        <v>2084007914</v>
      </c>
      <c r="B454" s="12" t="s">
        <v>20103</v>
      </c>
      <c r="C454" s="12" t="s">
        <v>20105</v>
      </c>
      <c r="D454" s="12" t="s">
        <v>20107</v>
      </c>
      <c r="E454" s="4" t="str">
        <f ca="1">IFERROR(__xludf.DUMMYFUNCTION("GOOGLETRANSLATE(B471,""ja"",""vi"")"),"ghế ngồi")</f>
        <v>ghế ngồi</v>
      </c>
      <c r="F454" s="4" t="str">
        <f ca="1">IFERROR(__xludf.DUMMYFUNCTION("GOOGLETRANSLATE(C471,""ja"",""vi"")"),"Đấu giá&gt; nhà, nội thất&gt; nội thất, nội thất&gt; Ghế&gt; Ghế ngồi")</f>
        <v>Đấu giá&gt; nhà, nội thất&gt; nội thất, nội thất&gt; Ghế&gt; Ghế ngồi</v>
      </c>
      <c r="G454" t="str">
        <f t="shared" ca="1" si="7"/>
        <v>"2084007914" : "ghế ngồi",</v>
      </c>
    </row>
    <row r="455" spans="1:7" ht="14.25" customHeight="1">
      <c r="A455" s="12">
        <v>2084046775</v>
      </c>
      <c r="B455" s="12" t="s">
        <v>20110</v>
      </c>
      <c r="C455" s="12" t="s">
        <v>20111</v>
      </c>
      <c r="D455" s="12" t="s">
        <v>20112</v>
      </c>
      <c r="E455" s="4" t="str">
        <f ca="1">IFERROR(__xludf.DUMMYFUNCTION("GOOGLETRANSLATE(B472,""ja"",""vi"")"),"ghế xếp")</f>
        <v>ghế xếp</v>
      </c>
      <c r="F455" s="4" t="str">
        <f ca="1">IFERROR(__xludf.DUMMYFUNCTION("GOOGLETRANSLATE(C472,""ja"",""vi"")"),"Đấu giá&gt; nhà, nội thất&gt; nội thất, nội thất&gt; Ghế&gt; Ghế xếp")</f>
        <v>Đấu giá&gt; nhà, nội thất&gt; nội thất, nội thất&gt; Ghế&gt; Ghế xếp</v>
      </c>
      <c r="G455" t="str">
        <f t="shared" ca="1" si="7"/>
        <v>"2084046775" : "ghế xếp",</v>
      </c>
    </row>
    <row r="456" spans="1:7" ht="14.25" customHeight="1"/>
    <row r="457" spans="1:7" ht="14.25" customHeight="1"/>
    <row r="458" spans="1:7" ht="14.25" customHeight="1"/>
    <row r="459" spans="1:7" ht="14.25" customHeight="1"/>
    <row r="460" spans="1:7" ht="14.25" customHeight="1"/>
    <row r="461" spans="1:7" ht="14.25" customHeight="1"/>
    <row r="462" spans="1:7" ht="14.25" customHeight="1"/>
    <row r="463" spans="1:7" ht="14.25" customHeight="1"/>
    <row r="464" spans="1:7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</sheetData>
  <pageMargins left="0.7" right="0.7" top="0.75" bottom="0.75" header="0" footer="0"/>
  <pageSetup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3"/>
  <sheetViews>
    <sheetView workbookViewId="0">
      <pane ySplit="1" topLeftCell="A289" activePane="bottomLeft" state="frozen"/>
      <selection pane="bottomLeft" activeCell="G311" sqref="G311"/>
    </sheetView>
  </sheetViews>
  <sheetFormatPr defaultColWidth="12.59765625" defaultRowHeight="15" customHeight="1"/>
  <cols>
    <col min="1" max="1" width="13.19921875" customWidth="1"/>
    <col min="2" max="2" width="22.3984375" customWidth="1"/>
    <col min="3" max="3" width="37.5" customWidth="1"/>
    <col min="4" max="4" width="35" customWidth="1"/>
    <col min="5" max="5" width="7.59765625" customWidth="1"/>
    <col min="6" max="6" width="46.5" customWidth="1"/>
    <col min="7" max="26" width="7.59765625" customWidth="1"/>
  </cols>
  <sheetData>
    <row r="1" spans="1:7" ht="13.8">
      <c r="A1" s="1" t="s">
        <v>0</v>
      </c>
      <c r="B1" s="1" t="s">
        <v>1</v>
      </c>
      <c r="C1" s="1" t="s">
        <v>2</v>
      </c>
      <c r="D1" s="1" t="s">
        <v>3</v>
      </c>
    </row>
    <row r="2" spans="1:7" ht="21">
      <c r="A2" s="12">
        <v>2084050438</v>
      </c>
      <c r="B2" s="12" t="s">
        <v>18671</v>
      </c>
      <c r="C2" s="12" t="s">
        <v>18672</v>
      </c>
      <c r="D2" s="12" t="s">
        <v>18673</v>
      </c>
      <c r="E2" s="4" t="str">
        <f ca="1">IFERROR(__xludf.DUMMYFUNCTION("GOOGLETRANSLATE(B2,""ja"",""vi"")"),"cua tuyết")</f>
        <v>cua tuyết</v>
      </c>
      <c r="F2" s="4" t="str">
        <f ca="1">IFERROR(__xludf.DUMMYFUNCTION("GOOGLETRANSLATE(C2,""ja"",""vi"")"),"Đấu giá&gt; thực phẩm, đồ uống&gt; hải sản&gt; Cua&gt; cua tuyết")</f>
        <v>Đấu giá&gt; thực phẩm, đồ uống&gt; hải sản&gt; Cua&gt; cua tuyết</v>
      </c>
      <c r="G2" t="str">
        <f t="shared" ref="G2:G65" ca="1" si="0">CONCATENATE(CHAR(34)&amp;"",A2,""&amp;CHAR(34)," : ", CHAR(34)&amp;"",E2,""&amp;CHAR(34),",")</f>
        <v>"2084050438" : "cua tuyết",</v>
      </c>
    </row>
    <row r="3" spans="1:7" ht="21">
      <c r="A3" s="12">
        <v>2084050440</v>
      </c>
      <c r="B3" s="12" t="s">
        <v>18676</v>
      </c>
      <c r="C3" s="12" t="s">
        <v>18677</v>
      </c>
      <c r="D3" s="12" t="s">
        <v>18679</v>
      </c>
      <c r="E3" s="4" t="str">
        <f ca="1">IFERROR(__xludf.DUMMYFUNCTION("GOOGLETRANSLATE(B3,""ja"",""vi"")"),"cua loại lớn")</f>
        <v>cua loại lớn</v>
      </c>
      <c r="F3" s="4" t="str">
        <f ca="1">IFERROR(__xludf.DUMMYFUNCTION("GOOGLETRANSLATE(C3,""ja"",""vi"")"),"Đấu giá&gt; thực phẩm, đồ uống&gt; hải sản&gt; Cua&gt; Vua cua")</f>
        <v>Đấu giá&gt; thực phẩm, đồ uống&gt; hải sản&gt; Cua&gt; Vua cua</v>
      </c>
      <c r="G3" t="str">
        <f t="shared" ca="1" si="0"/>
        <v>"2084050440" : "cua loại lớn",</v>
      </c>
    </row>
    <row r="4" spans="1:7" ht="21">
      <c r="A4" s="12">
        <v>2084050439</v>
      </c>
      <c r="B4" s="12" t="s">
        <v>18682</v>
      </c>
      <c r="C4" s="12" t="s">
        <v>18683</v>
      </c>
      <c r="D4" s="12" t="s">
        <v>18684</v>
      </c>
      <c r="E4" s="4" t="str">
        <f ca="1">IFERROR(__xludf.DUMMYFUNCTION("GOOGLETRANSLATE(B4,""ja"",""vi"")"),"cua Hairy")</f>
        <v>cua Hairy</v>
      </c>
      <c r="F4" s="4" t="str">
        <f ca="1">IFERROR(__xludf.DUMMYFUNCTION("GOOGLETRANSLATE(C4,""ja"",""vi"")"),"Đấu giá&gt; thực phẩm, đồ uống&gt; hải sản&gt; Cua&gt; cua")</f>
        <v>Đấu giá&gt; thực phẩm, đồ uống&gt; hải sản&gt; Cua&gt; cua</v>
      </c>
      <c r="G4" t="str">
        <f t="shared" ca="1" si="0"/>
        <v>"2084050439" : "cua Hairy",</v>
      </c>
    </row>
    <row r="5" spans="1:7" ht="13.8">
      <c r="A5" s="12">
        <v>2084050441</v>
      </c>
      <c r="B5" s="12" t="s">
        <v>46</v>
      </c>
      <c r="C5" s="27" t="s">
        <v>46</v>
      </c>
      <c r="D5" s="12" t="s">
        <v>18693</v>
      </c>
      <c r="E5" s="4" t="str">
        <f ca="1">IFERROR(__xludf.DUMMYFUNCTION("GOOGLETRANSLATE(B5,""ja"",""vi"")"),"nếu không thì")</f>
        <v>nếu không thì</v>
      </c>
      <c r="F5" s="4" t="str">
        <f ca="1">IFERROR(__xludf.DUMMYFUNCTION("GOOGLETRANSLATE(C5,""ja"",""vi"")"),"nếu không thì")</f>
        <v>nếu không thì</v>
      </c>
      <c r="G5" t="str">
        <f t="shared" ca="1" si="0"/>
        <v>"2084050441" : "nếu không thì",</v>
      </c>
    </row>
    <row r="6" spans="1:7" ht="21">
      <c r="A6" s="12">
        <v>2084217617</v>
      </c>
      <c r="B6" s="12" t="s">
        <v>18696</v>
      </c>
      <c r="C6" s="12" t="s">
        <v>18698</v>
      </c>
      <c r="D6" s="12" t="s">
        <v>18699</v>
      </c>
      <c r="E6" s="4" t="str">
        <f ca="1">IFERROR(__xludf.DUMMYFUNCTION("GOOGLETRANSLATE(B6,""ja"",""vi"")"),"tôm Omar")</f>
        <v>tôm Omar</v>
      </c>
      <c r="F6" s="4" t="str">
        <f ca="1">IFERROR(__xludf.DUMMYFUNCTION("GOOGLETRANSLATE(C6,""ja"",""vi"")"),"Đấu giá&gt; thực phẩm, đồ uống&gt; hải sản&gt; Tôm&gt; tôm hùm")</f>
        <v>Đấu giá&gt; thực phẩm, đồ uống&gt; hải sản&gt; Tôm&gt; tôm hùm</v>
      </c>
      <c r="G6" t="str">
        <f t="shared" ca="1" si="0"/>
        <v>"2084217617" : "tôm Omar",</v>
      </c>
    </row>
    <row r="7" spans="1:7" ht="21">
      <c r="A7" s="12">
        <v>2084217613</v>
      </c>
      <c r="B7" s="12" t="s">
        <v>18700</v>
      </c>
      <c r="C7" s="12" t="s">
        <v>18701</v>
      </c>
      <c r="D7" s="12" t="s">
        <v>18703</v>
      </c>
      <c r="E7" s="4" t="str">
        <f ca="1">IFERROR(__xludf.DUMMYFUNCTION("GOOGLETRANSLATE(B7,""ja"",""vi"")"),"đen Tiger")</f>
        <v>đen Tiger</v>
      </c>
      <c r="F7" s="4" t="str">
        <f ca="1">IFERROR(__xludf.DUMMYFUNCTION("GOOGLETRANSLATE(C7,""ja"",""vi"")"),"Đấu giá&gt; thực phẩm, đồ uống&gt; hải sản&gt; Tôm&gt; sú")</f>
        <v>Đấu giá&gt; thực phẩm, đồ uống&gt; hải sản&gt; Tôm&gt; sú</v>
      </c>
      <c r="G7" t="str">
        <f t="shared" ca="1" si="0"/>
        <v>"2084217613" : "đen Tiger",</v>
      </c>
    </row>
    <row r="8" spans="1:7" ht="21">
      <c r="A8" s="12">
        <v>2084217615</v>
      </c>
      <c r="B8" s="12" t="s">
        <v>18705</v>
      </c>
      <c r="C8" s="12" t="s">
        <v>18706</v>
      </c>
      <c r="D8" s="12" t="s">
        <v>18707</v>
      </c>
      <c r="E8" s="4" t="str">
        <f ca="1">IFERROR(__xludf.DUMMYFUNCTION("GOOGLETRANSLATE(B8,""ja"",""vi"")"),"nút tôm")</f>
        <v>nút tôm</v>
      </c>
      <c r="F8" s="4" t="str">
        <f ca="1">IFERROR(__xludf.DUMMYFUNCTION("GOOGLETRANSLATE(C8,""ja"",""vi"")"),"Đấu giá&gt; thực phẩm, đồ uống&gt; hải sản&gt; Tôm&gt; nút Tôm")</f>
        <v>Đấu giá&gt; thực phẩm, đồ uống&gt; hải sản&gt; Tôm&gt; nút Tôm</v>
      </c>
      <c r="G8" t="str">
        <f t="shared" ca="1" si="0"/>
        <v>"2084217615" : "nút tôm",</v>
      </c>
    </row>
    <row r="9" spans="1:7" ht="21">
      <c r="A9" s="12">
        <v>2084217616</v>
      </c>
      <c r="B9" s="12" t="s">
        <v>18710</v>
      </c>
      <c r="C9" s="12" t="s">
        <v>18711</v>
      </c>
      <c r="D9" s="12" t="s">
        <v>18712</v>
      </c>
      <c r="E9" s="4" t="str">
        <f ca="1">IFERROR(__xludf.DUMMYFUNCTION("GOOGLETRANSLATE(B9,""ja"",""vi"")"),"rock Lobster")</f>
        <v>rock Lobster</v>
      </c>
      <c r="F9" s="4" t="str">
        <f ca="1">IFERROR(__xludf.DUMMYFUNCTION("GOOGLETRANSLATE(C9,""ja"",""vi"")"),"Đấu giá&gt; thực phẩm, đồ uống&gt; hải sản&gt; Tôm&gt; tôm hùm")</f>
        <v>Đấu giá&gt; thực phẩm, đồ uống&gt; hải sản&gt; Tôm&gt; tôm hùm</v>
      </c>
      <c r="G9" t="str">
        <f t="shared" ca="1" si="0"/>
        <v>"2084217616" : "rock Lobster",</v>
      </c>
    </row>
    <row r="10" spans="1:7" ht="21">
      <c r="A10" s="12">
        <v>2084217614</v>
      </c>
      <c r="B10" s="12" t="s">
        <v>18715</v>
      </c>
      <c r="C10" s="12" t="s">
        <v>18716</v>
      </c>
      <c r="D10" s="12" t="s">
        <v>18717</v>
      </c>
      <c r="E10" s="4" t="str">
        <f ca="1">IFERROR(__xludf.DUMMYFUNCTION("GOOGLETRANSLATE(B10,""ja"",""vi"")"),"tôm ngọt")</f>
        <v>tôm ngọt</v>
      </c>
      <c r="F10" s="4" t="str">
        <f ca="1">IFERROR(__xludf.DUMMYFUNCTION("GOOGLETRANSLATE(C10,""ja"",""vi"")"),"Đấu giá&gt; thực phẩm, đồ uống&gt; hải sản&gt; Tôm&gt; tôm")</f>
        <v>Đấu giá&gt; thực phẩm, đồ uống&gt; hải sản&gt; Tôm&gt; tôm</v>
      </c>
      <c r="G10" t="str">
        <f t="shared" ca="1" si="0"/>
        <v>"2084217614" : "tôm ngọt",</v>
      </c>
    </row>
    <row r="11" spans="1:7" ht="21">
      <c r="A11" s="12">
        <v>2084254094</v>
      </c>
      <c r="B11" s="12" t="s">
        <v>18721</v>
      </c>
      <c r="C11" s="12" t="s">
        <v>18722</v>
      </c>
      <c r="D11" s="12" t="s">
        <v>18723</v>
      </c>
      <c r="E11" s="4" t="str">
        <f ca="1">IFERROR(__xludf.DUMMYFUNCTION("GOOGLETRANSLATE(B11,""ja"",""vi"")"),"tôm Sakura")</f>
        <v>tôm Sakura</v>
      </c>
      <c r="F11" s="4" t="str">
        <f ca="1">IFERROR(__xludf.DUMMYFUNCTION("GOOGLETRANSLATE(C11,""ja"",""vi"")"),"Đấu giá&gt; thực phẩm, đồ uống&gt; hải sản&gt; Tôm&gt; Sakura Tôm")</f>
        <v>Đấu giá&gt; thực phẩm, đồ uống&gt; hải sản&gt; Tôm&gt; Sakura Tôm</v>
      </c>
      <c r="G11" t="str">
        <f t="shared" ca="1" si="0"/>
        <v>"2084254094" : "tôm Sakura",</v>
      </c>
    </row>
    <row r="12" spans="1:7" ht="21">
      <c r="A12" s="12">
        <v>2084217612</v>
      </c>
      <c r="B12" s="12" t="s">
        <v>18726</v>
      </c>
      <c r="C12" s="12" t="s">
        <v>18727</v>
      </c>
      <c r="D12" s="12" t="s">
        <v>18728</v>
      </c>
      <c r="E12" s="4" t="str">
        <f ca="1">IFERROR(__xludf.DUMMYFUNCTION("GOOGLETRANSLATE(B12,""ja"",""vi"")"),"tôm")</f>
        <v>tôm</v>
      </c>
      <c r="F12" s="4" t="str">
        <f ca="1">IFERROR(__xludf.DUMMYFUNCTION("GOOGLETRANSLATE(C12,""ja"",""vi"")"),"Đấu giá&gt; thực phẩm, đồ uống&gt; hải sản&gt; Tôm&gt; tôm")</f>
        <v>Đấu giá&gt; thực phẩm, đồ uống&gt; hải sản&gt; Tôm&gt; tôm</v>
      </c>
      <c r="G12" t="str">
        <f t="shared" ca="1" si="0"/>
        <v>"2084217612" : "tôm",</v>
      </c>
    </row>
    <row r="13" spans="1:7" ht="21">
      <c r="A13" s="12">
        <v>2084217575</v>
      </c>
      <c r="B13" s="12" t="s">
        <v>18731</v>
      </c>
      <c r="C13" s="12" t="s">
        <v>18732</v>
      </c>
      <c r="D13" s="12" t="s">
        <v>18735</v>
      </c>
      <c r="E13" s="4" t="str">
        <f ca="1">IFERROR(__xludf.DUMMYFUNCTION("GOOGLETRANSLATE(B13,""ja"",""vi"")"),"hàng gia công")</f>
        <v>hàng gia công</v>
      </c>
      <c r="F13" s="4" t="str">
        <f ca="1">IFERROR(__xludf.DUMMYFUNCTION("GOOGLETRANSLATE(C13,""ja"",""vi"")"),"Đấu giá&gt; thực phẩm, đồ uống&gt; hải sản&gt; Tôm&gt; hàng gia công")</f>
        <v>Đấu giá&gt; thực phẩm, đồ uống&gt; hải sản&gt; Tôm&gt; hàng gia công</v>
      </c>
      <c r="G13" t="str">
        <f t="shared" ca="1" si="0"/>
        <v>"2084217575" : "hàng gia công",</v>
      </c>
    </row>
    <row r="14" spans="1:7" ht="21">
      <c r="A14" s="12">
        <v>2084217579</v>
      </c>
      <c r="B14" s="12" t="s">
        <v>18738</v>
      </c>
      <c r="C14" s="12" t="s">
        <v>18739</v>
      </c>
      <c r="D14" s="12" t="s">
        <v>18740</v>
      </c>
      <c r="E14" s="4" t="str">
        <f ca="1">IFERROR(__xludf.DUMMYFUNCTION("GOOGLETRANSLATE(B14,""ja"",""vi"")"),"cá khô, hun khói")</f>
        <v>cá khô, hun khói</v>
      </c>
      <c r="F14" s="4" t="str">
        <f ca="1">IFERROR(__xludf.DUMMYFUNCTION("GOOGLETRANSLATE(C14,""ja"",""vi"")"),"Đấu giá&gt; thực phẩm, đồ uống&gt; hải sản&gt; Tôm&gt; cá khô, hun khói")</f>
        <v>Đấu giá&gt; thực phẩm, đồ uống&gt; hải sản&gt; Tôm&gt; cá khô, hun khói</v>
      </c>
      <c r="G14" t="str">
        <f t="shared" ca="1" si="0"/>
        <v>"2084217579" : "cá khô, hun khói",</v>
      </c>
    </row>
    <row r="15" spans="1:7" ht="21">
      <c r="A15" s="12">
        <v>2084217618</v>
      </c>
      <c r="B15" s="12" t="s">
        <v>46</v>
      </c>
      <c r="C15" s="12" t="s">
        <v>18745</v>
      </c>
      <c r="D15" s="12" t="s">
        <v>18747</v>
      </c>
      <c r="E15" s="4" t="str">
        <f ca="1">IFERROR(__xludf.DUMMYFUNCTION("GOOGLETRANSLATE(B15,""ja"",""vi"")"),"nếu không thì")</f>
        <v>nếu không thì</v>
      </c>
      <c r="F15" s="4" t="str">
        <f ca="1">IFERROR(__xludf.DUMMYFUNCTION("GOOGLETRANSLATE(C15,""ja"",""vi"")"),"Đấu giá&gt; thực phẩm, đồ uống&gt; hải sản&gt; Tôm&gt; Khác")</f>
        <v>Đấu giá&gt; thực phẩm, đồ uống&gt; hải sản&gt; Tôm&gt; Khác</v>
      </c>
      <c r="G15" t="str">
        <f t="shared" ca="1" si="0"/>
        <v>"2084217618" : "nếu không thì",</v>
      </c>
    </row>
    <row r="16" spans="1:7" ht="15.75" customHeight="1">
      <c r="A16" s="28">
        <v>2084217586</v>
      </c>
      <c r="B16" s="28" t="s">
        <v>18768</v>
      </c>
      <c r="C16" s="28" t="s">
        <v>18770</v>
      </c>
      <c r="D16" s="28" t="s">
        <v>18771</v>
      </c>
      <c r="E16" s="4" t="str">
        <f ca="1">IFERROR(__xludf.DUMMYFUNCTION("GOOGLETRANSLATE(B16,""ja"",""vi"")"),"Asari")</f>
        <v>Asari</v>
      </c>
      <c r="F16" s="4" t="str">
        <f ca="1">IFERROR(__xludf.DUMMYFUNCTION("GOOGLETRANSLATE(C16,""ja"",""vi"")"),"Đấu giá&gt; thực phẩm, đồ uống&gt; hải sản&gt; động vật có vỏ&gt; ngao")</f>
        <v>Đấu giá&gt; thực phẩm, đồ uống&gt; hải sản&gt; động vật có vỏ&gt; ngao</v>
      </c>
      <c r="G16" t="str">
        <f t="shared" ca="1" si="0"/>
        <v>"2084217586" : "Asari",</v>
      </c>
    </row>
    <row r="17" spans="1:7" ht="15.75" customHeight="1">
      <c r="A17" s="28">
        <v>2084217584</v>
      </c>
      <c r="B17" s="28" t="s">
        <v>18781</v>
      </c>
      <c r="C17" s="28" t="s">
        <v>18782</v>
      </c>
      <c r="D17" s="28" t="s">
        <v>18783</v>
      </c>
      <c r="E17" s="4" t="str">
        <f ca="1">IFERROR(__xludf.DUMMYFUNCTION("GOOGLETRANSLATE(B17,""ja"",""vi"")"),"bào ngư")</f>
        <v>bào ngư</v>
      </c>
      <c r="F17" s="4" t="str">
        <f ca="1">IFERROR(__xludf.DUMMYFUNCTION("GOOGLETRANSLATE(C17,""ja"",""vi"")"),"Đấu giá&gt; thực phẩm, đồ uống&gt; hải sản&gt; động vật có vỏ&gt; bào ngư")</f>
        <v>Đấu giá&gt; thực phẩm, đồ uống&gt; hải sản&gt; động vật có vỏ&gt; bào ngư</v>
      </c>
      <c r="G17" t="str">
        <f t="shared" ca="1" si="0"/>
        <v>"2084217584" : "bào ngư",</v>
      </c>
    </row>
    <row r="18" spans="1:7" ht="15.75" customHeight="1">
      <c r="A18" s="28">
        <v>2084217582</v>
      </c>
      <c r="B18" s="28" t="s">
        <v>18789</v>
      </c>
      <c r="C18" s="28" t="s">
        <v>18791</v>
      </c>
      <c r="D18" s="28" t="s">
        <v>18794</v>
      </c>
      <c r="E18" s="4" t="str">
        <f ca="1">IFERROR(__xludf.DUMMYFUNCTION("GOOGLETRANSLATE(B18,""ja"",""vi"")"),"hàu")</f>
        <v>hàu</v>
      </c>
      <c r="F18" s="4" t="str">
        <f ca="1">IFERROR(__xludf.DUMMYFUNCTION("GOOGLETRANSLATE(C18,""ja"",""vi"")"),"Đấu giá&gt; thực phẩm, đồ uống&gt; hải sản&gt; động vật có vỏ&gt; hàu")</f>
        <v>Đấu giá&gt; thực phẩm, đồ uống&gt; hải sản&gt; động vật có vỏ&gt; hàu</v>
      </c>
      <c r="G18" t="str">
        <f t="shared" ca="1" si="0"/>
        <v>"2084217582" : "hàu",</v>
      </c>
    </row>
    <row r="19" spans="1:7" ht="15.75" customHeight="1">
      <c r="A19" s="28">
        <v>2084217585</v>
      </c>
      <c r="B19" s="28" t="s">
        <v>18799</v>
      </c>
      <c r="C19" s="28" t="s">
        <v>18800</v>
      </c>
      <c r="D19" s="28" t="s">
        <v>18802</v>
      </c>
      <c r="E19" s="4" t="str">
        <f ca="1">IFERROR(__xludf.DUMMYFUNCTION("GOOGLETRANSLATE(B19,""ja"",""vi"")"),"vỏ Turban")</f>
        <v>vỏ Turban</v>
      </c>
      <c r="F19" s="4" t="str">
        <f ca="1">IFERROR(__xludf.DUMMYFUNCTION("GOOGLETRANSLATE(C19,""ja"",""vi"")"),"Đấu giá&gt; thực phẩm, đồ uống&gt; hải sản&gt; động vật có vỏ&gt; turban")</f>
        <v>Đấu giá&gt; thực phẩm, đồ uống&gt; hải sản&gt; động vật có vỏ&gt; turban</v>
      </c>
      <c r="G19" t="str">
        <f t="shared" ca="1" si="0"/>
        <v>"2084217585" : "vỏ Turban",</v>
      </c>
    </row>
    <row r="20" spans="1:7" ht="15.75" customHeight="1">
      <c r="A20" s="28">
        <v>2084217587</v>
      </c>
      <c r="B20" s="28" t="s">
        <v>18806</v>
      </c>
      <c r="C20" s="28" t="s">
        <v>18807</v>
      </c>
      <c r="D20" s="28" t="s">
        <v>18809</v>
      </c>
      <c r="E20" s="4" t="str">
        <f ca="1">IFERROR(__xludf.DUMMYFUNCTION("GOOGLETRANSLATE(B20,""ja"",""vi"")"),"sò")</f>
        <v>sò</v>
      </c>
      <c r="F20" s="4" t="str">
        <f ca="1">IFERROR(__xludf.DUMMYFUNCTION("GOOGLETRANSLATE(C20,""ja"",""vi"")"),"Đấu giá&gt; thực phẩm, đồ uống&gt; hải sản&gt; động vật có vỏ&gt; ngao")</f>
        <v>Đấu giá&gt; thực phẩm, đồ uống&gt; hải sản&gt; động vật có vỏ&gt; ngao</v>
      </c>
      <c r="G20" t="str">
        <f t="shared" ca="1" si="0"/>
        <v>"2084217587" : "sò",</v>
      </c>
    </row>
    <row r="21" spans="1:7" ht="15.75" customHeight="1">
      <c r="A21" s="28">
        <v>2084217583</v>
      </c>
      <c r="B21" s="28" t="s">
        <v>18812</v>
      </c>
      <c r="C21" s="28" t="s">
        <v>18814</v>
      </c>
      <c r="D21" s="28" t="s">
        <v>18815</v>
      </c>
      <c r="E21" s="4" t="str">
        <f ca="1">IFERROR(__xludf.DUMMYFUNCTION("GOOGLETRANSLATE(B21,""ja"",""vi"")"),"con sò")</f>
        <v>con sò</v>
      </c>
      <c r="F21" s="4" t="str">
        <f ca="1">IFERROR(__xludf.DUMMYFUNCTION("GOOGLETRANSLATE(C21,""ja"",""vi"")"),"Đấu giá&gt; thực phẩm, đồ uống&gt; hải sản&gt; động vật có vỏ&gt; sò điệp")</f>
        <v>Đấu giá&gt; thực phẩm, đồ uống&gt; hải sản&gt; động vật có vỏ&gt; sò điệp</v>
      </c>
      <c r="G21" t="str">
        <f t="shared" ca="1" si="0"/>
        <v>"2084217583" : "con sò",</v>
      </c>
    </row>
    <row r="22" spans="1:7" ht="15.75" customHeight="1">
      <c r="A22" s="28">
        <v>2084217572</v>
      </c>
      <c r="B22" s="28" t="s">
        <v>18731</v>
      </c>
      <c r="C22" s="28" t="s">
        <v>18817</v>
      </c>
      <c r="D22" s="28" t="s">
        <v>18818</v>
      </c>
      <c r="E22" s="4" t="str">
        <f ca="1">IFERROR(__xludf.DUMMYFUNCTION("GOOGLETRANSLATE(B22,""ja"",""vi"")"),"hàng gia công")</f>
        <v>hàng gia công</v>
      </c>
      <c r="F22" s="4" t="str">
        <f ca="1">IFERROR(__xludf.DUMMYFUNCTION("GOOGLETRANSLATE(C22,""ja"",""vi"")"),"Đấu giá&gt; thực phẩm, đồ uống&gt; hải sản&gt; động vật có vỏ&gt; hàng gia công")</f>
        <v>Đấu giá&gt; thực phẩm, đồ uống&gt; hải sản&gt; động vật có vỏ&gt; hàng gia công</v>
      </c>
      <c r="G22" t="str">
        <f t="shared" ca="1" si="0"/>
        <v>"2084217572" : "hàng gia công",</v>
      </c>
    </row>
    <row r="23" spans="1:7" ht="15.75" customHeight="1">
      <c r="A23" s="28">
        <v>2084217588</v>
      </c>
      <c r="B23" s="28" t="s">
        <v>46</v>
      </c>
      <c r="C23" s="28" t="s">
        <v>18823</v>
      </c>
      <c r="D23" s="28" t="s">
        <v>18825</v>
      </c>
      <c r="E23" s="4" t="str">
        <f ca="1">IFERROR(__xludf.DUMMYFUNCTION("GOOGLETRANSLATE(B23,""ja"",""vi"")"),"nếu không thì")</f>
        <v>nếu không thì</v>
      </c>
      <c r="F23" s="4" t="str">
        <f ca="1">IFERROR(__xludf.DUMMYFUNCTION("GOOGLETRANSLATE(C23,""ja"",""vi"")"),"Đấu giá&gt; thực phẩm, đồ uống&gt; hải sản&gt; động vật có vỏ&gt; Khác")</f>
        <v>Đấu giá&gt; thực phẩm, đồ uống&gt; hải sản&gt; động vật có vỏ&gt; Khác</v>
      </c>
      <c r="G23" t="str">
        <f t="shared" ca="1" si="0"/>
        <v>"2084217588" : "nếu không thì",</v>
      </c>
    </row>
    <row r="24" spans="1:7" ht="15.75" customHeight="1">
      <c r="A24" s="28">
        <v>2084059760</v>
      </c>
      <c r="B24" s="28" t="s">
        <v>18832</v>
      </c>
      <c r="C24" s="28" t="s">
        <v>18835</v>
      </c>
      <c r="D24" s="28" t="s">
        <v>18837</v>
      </c>
      <c r="E24" s="4" t="str">
        <f ca="1">IFERROR(__xludf.DUMMYFUNCTION("GOOGLETRANSLATE(B24,""ja"",""vi"")"),"Monkfish")</f>
        <v>Monkfish</v>
      </c>
      <c r="F24" s="4" t="str">
        <f ca="1">IFERROR(__xludf.DUMMYFUNCTION("GOOGLETRANSLATE(C24,""ja"",""vi"")"),"Đấu giá&gt; thực phẩm, đồ uống&gt; hải sản&gt; Cá&gt; monkfish")</f>
        <v>Đấu giá&gt; thực phẩm, đồ uống&gt; hải sản&gt; Cá&gt; monkfish</v>
      </c>
      <c r="G24" t="str">
        <f t="shared" ca="1" si="0"/>
        <v>"2084059760" : "Monkfish",</v>
      </c>
    </row>
    <row r="25" spans="1:7" ht="15.75" customHeight="1">
      <c r="A25" s="28">
        <v>2084254255</v>
      </c>
      <c r="B25" s="28" t="s">
        <v>18839</v>
      </c>
      <c r="C25" s="28" t="s">
        <v>18841</v>
      </c>
      <c r="D25" s="28" t="s">
        <v>18843</v>
      </c>
      <c r="E25" s="4" t="str">
        <f ca="1">IFERROR(__xludf.DUMMYFUNCTION("GOOGLETRANSLATE(B25,""ja"",""vi"")"),"Marlin")</f>
        <v>Marlin</v>
      </c>
      <c r="F25" s="4" t="str">
        <f ca="1">IFERROR(__xludf.DUMMYFUNCTION("GOOGLETRANSLATE(C25,""ja"",""vi"")"),"Đấu giá&gt; thực phẩm, đồ uống&gt; hải sản&gt; Cá&gt; marlin")</f>
        <v>Đấu giá&gt; thực phẩm, đồ uống&gt; hải sản&gt; Cá&gt; marlin</v>
      </c>
      <c r="G25" t="str">
        <f t="shared" ca="1" si="0"/>
        <v>"2084254255" : "Marlin",</v>
      </c>
    </row>
    <row r="26" spans="1:7" ht="15.75" customHeight="1">
      <c r="A26" s="28">
        <v>2084228411</v>
      </c>
      <c r="B26" s="28" t="s">
        <v>18848</v>
      </c>
      <c r="C26" s="28" t="s">
        <v>18849</v>
      </c>
      <c r="D26" s="28" t="s">
        <v>18850</v>
      </c>
      <c r="E26" s="4" t="str">
        <f ca="1">IFERROR(__xludf.DUMMYFUNCTION("GOOGLETRANSLATE(B26,""ja"",""vi"")"),"Bonito")</f>
        <v>Bonito</v>
      </c>
      <c r="F26" s="4" t="str">
        <f ca="1">IFERROR(__xludf.DUMMYFUNCTION("GOOGLETRANSLATE(C26,""ja"",""vi"")"),"Đấu giá&gt; thực phẩm, đồ uống&gt; hải sản&gt; Cá&gt; bonito")</f>
        <v>Đấu giá&gt; thực phẩm, đồ uống&gt; hải sản&gt; Cá&gt; bonito</v>
      </c>
      <c r="G26" t="str">
        <f t="shared" ca="1" si="0"/>
        <v>"2084228411" : "Bonito",</v>
      </c>
    </row>
    <row r="27" spans="1:7" ht="15.75" customHeight="1">
      <c r="A27" s="28">
        <v>2084254103</v>
      </c>
      <c r="B27" s="28" t="s">
        <v>18854</v>
      </c>
      <c r="C27" s="28" t="s">
        <v>18855</v>
      </c>
      <c r="D27" s="28" t="s">
        <v>18856</v>
      </c>
      <c r="E27" s="4" t="str">
        <f ca="1">IFERROR(__xludf.DUMMYFUNCTION("GOOGLETRANSLATE(B27,""ja"",""vi"")"),"cá bơn")</f>
        <v>cá bơn</v>
      </c>
      <c r="F27" s="4" t="str">
        <f ca="1">IFERROR(__xludf.DUMMYFUNCTION("GOOGLETRANSLATE(C27,""ja"",""vi"")"),"Đấu giá&gt; thực phẩm, đồ uống&gt; hải sản&gt; Cá&gt; cá bẹt")</f>
        <v>Đấu giá&gt; thực phẩm, đồ uống&gt; hải sản&gt; Cá&gt; cá bẹt</v>
      </c>
      <c r="G27" t="str">
        <f t="shared" ca="1" si="0"/>
        <v>"2084254103" : "cá bơn",</v>
      </c>
    </row>
    <row r="28" spans="1:7" ht="15.75" customHeight="1">
      <c r="A28" s="28">
        <v>2084059758</v>
      </c>
      <c r="B28" s="28" t="s">
        <v>18857</v>
      </c>
      <c r="C28" s="28" t="s">
        <v>18859</v>
      </c>
      <c r="D28" s="28" t="s">
        <v>18861</v>
      </c>
      <c r="E28" s="4" t="str">
        <f ca="1">IFERROR(__xludf.DUMMYFUNCTION("GOOGLETRANSLATE(B28,""ja"",""vi"")"),"cá hồi")</f>
        <v>cá hồi</v>
      </c>
      <c r="F28" s="4" t="str">
        <f ca="1">IFERROR(__xludf.DUMMYFUNCTION("GOOGLETRANSLATE(C28,""ja"",""vi"")"),"Đấu giá&gt; thực phẩm, đồ uống&gt; hải sản&gt; Cá&gt; Salmon")</f>
        <v>Đấu giá&gt; thực phẩm, đồ uống&gt; hải sản&gt; Cá&gt; Salmon</v>
      </c>
      <c r="G28" t="str">
        <f t="shared" ca="1" si="0"/>
        <v>"2084059758" : "cá hồi",</v>
      </c>
    </row>
    <row r="29" spans="1:7" ht="15.75" customHeight="1">
      <c r="A29" s="28">
        <v>2084254253</v>
      </c>
      <c r="B29" s="28" t="s">
        <v>18863</v>
      </c>
      <c r="C29" s="28" t="s">
        <v>18865</v>
      </c>
      <c r="D29" s="28" t="s">
        <v>18867</v>
      </c>
      <c r="E29" s="4" t="str">
        <f ca="1">IFERROR(__xludf.DUMMYFUNCTION("GOOGLETRANSLATE(B29,""ja"",""vi"")"),"Saba")</f>
        <v>Saba</v>
      </c>
      <c r="F29" s="4" t="str">
        <f ca="1">IFERROR(__xludf.DUMMYFUNCTION("GOOGLETRANSLATE(C29,""ja"",""vi"")"),"Đấu giá&gt; thực phẩm, đồ uống&gt; hải sản&gt; Cá&gt; cá thu")</f>
        <v>Đấu giá&gt; thực phẩm, đồ uống&gt; hải sản&gt; Cá&gt; cá thu</v>
      </c>
      <c r="G29" t="str">
        <f t="shared" ca="1" si="0"/>
        <v>"2084254253" : "Saba",</v>
      </c>
    </row>
    <row r="30" spans="1:7" ht="15.75" customHeight="1">
      <c r="A30" s="28">
        <v>2084254254</v>
      </c>
      <c r="B30" s="28" t="s">
        <v>18868</v>
      </c>
      <c r="C30" s="28" t="s">
        <v>18870</v>
      </c>
      <c r="D30" s="28" t="s">
        <v>18871</v>
      </c>
      <c r="E30" s="4" t="str">
        <f ca="1">IFERROR(__xludf.DUMMYFUNCTION("GOOGLETRANSLATE(B30,""ja"",""vi"")"),"cá thu vạch")</f>
        <v>cá thu vạch</v>
      </c>
      <c r="F30" s="4" t="str">
        <f ca="1">IFERROR(__xludf.DUMMYFUNCTION("GOOGLETRANSLATE(C30,""ja"",""vi"")"),"Đấu giá&gt; thực phẩm, đồ uống&gt; hải sản&gt; Cá&gt; cá thu vạch")</f>
        <v>Đấu giá&gt; thực phẩm, đồ uống&gt; hải sản&gt; Cá&gt; cá thu vạch</v>
      </c>
      <c r="G30" t="str">
        <f t="shared" ca="1" si="0"/>
        <v>"2084254254" : "cá thu vạch",</v>
      </c>
    </row>
    <row r="31" spans="1:7" ht="15.75" customHeight="1">
      <c r="A31" s="28">
        <v>2084254100</v>
      </c>
      <c r="B31" s="28" t="s">
        <v>18876</v>
      </c>
      <c r="C31" s="28" t="s">
        <v>18877</v>
      </c>
      <c r="D31" s="28" t="s">
        <v>18878</v>
      </c>
      <c r="E31" s="4" t="str">
        <f ca="1">IFERROR(__xludf.DUMMYFUNCTION("GOOGLETRANSLATE(B31,""ja"",""vi"")"),"cá thu đao")</f>
        <v>cá thu đao</v>
      </c>
      <c r="F31" s="4" t="str">
        <f ca="1">IFERROR(__xludf.DUMMYFUNCTION("GOOGLETRANSLATE(C31,""ja"",""vi"")"),"Đấu giá&gt; thực phẩm, đồ uống&gt; hải sản&gt; Cá&gt; cá thu đao")</f>
        <v>Đấu giá&gt; thực phẩm, đồ uống&gt; hải sản&gt; Cá&gt; cá thu đao</v>
      </c>
      <c r="G31" t="str">
        <f t="shared" ca="1" si="0"/>
        <v>"2084254100" : "cá thu đao",</v>
      </c>
    </row>
    <row r="32" spans="1:7" ht="15.75" customHeight="1">
      <c r="A32" s="28">
        <v>2084254099</v>
      </c>
      <c r="B32" s="28" t="s">
        <v>18882</v>
      </c>
      <c r="C32" s="28" t="s">
        <v>18883</v>
      </c>
      <c r="D32" s="28" t="s">
        <v>18884</v>
      </c>
      <c r="E32" s="4" t="str">
        <f ca="1">IFERROR(__xludf.DUMMYFUNCTION("GOOGLETRANSLATE(B32,""ja"",""vi"")"),"Thái Lan")</f>
        <v>Thái Lan</v>
      </c>
      <c r="F32" s="4" t="str">
        <f ca="1">IFERROR(__xludf.DUMMYFUNCTION("GOOGLETRANSLATE(C32,""ja"",""vi"")"),"Đấu giá&gt; thực phẩm, đồ uống&gt; hải sản&gt; Cá&gt; Thái Lan")</f>
        <v>Đấu giá&gt; thực phẩm, đồ uống&gt; hải sản&gt; Cá&gt; Thái Lan</v>
      </c>
      <c r="G32" t="str">
        <f t="shared" ca="1" si="0"/>
        <v>"2084254099" : "Thái Lan",</v>
      </c>
    </row>
    <row r="33" spans="1:7" ht="15.75" customHeight="1">
      <c r="A33" s="28">
        <v>2084254102</v>
      </c>
      <c r="B33" s="28" t="s">
        <v>18889</v>
      </c>
      <c r="C33" s="28" t="s">
        <v>18890</v>
      </c>
      <c r="D33" s="28" t="s">
        <v>18891</v>
      </c>
      <c r="E33" s="4" t="str">
        <f ca="1">IFERROR(__xludf.DUMMYFUNCTION("GOOGLETRANSLATE(B33,""ja"",""vi"")"),"Tara")</f>
        <v>Tara</v>
      </c>
      <c r="F33" s="4" t="str">
        <f ca="1">IFERROR(__xludf.DUMMYFUNCTION("GOOGLETRANSLATE(C33,""ja"",""vi"")"),"Đấu giá&gt; thực phẩm, đồ uống&gt; hải sản&gt; Cá&gt; Cod")</f>
        <v>Đấu giá&gt; thực phẩm, đồ uống&gt; hải sản&gt; Cá&gt; Cod</v>
      </c>
      <c r="G33" t="str">
        <f t="shared" ca="1" si="0"/>
        <v>"2084254102" : "Tara",</v>
      </c>
    </row>
    <row r="34" spans="1:7" ht="15.75" customHeight="1">
      <c r="A34" s="28">
        <v>2084254237</v>
      </c>
      <c r="B34" s="28" t="s">
        <v>18896</v>
      </c>
      <c r="C34" s="28" t="s">
        <v>18897</v>
      </c>
      <c r="D34" s="28" t="s">
        <v>18898</v>
      </c>
      <c r="E34" s="4" t="str">
        <f ca="1">IFERROR(__xludf.DUMMYFUNCTION("GOOGLETRANSLATE(B34,""ja"",""vi"")"),"cá bơn")</f>
        <v>cá bơn</v>
      </c>
      <c r="F34" s="4" t="str">
        <f ca="1">IFERROR(__xludf.DUMMYFUNCTION("GOOGLETRANSLATE(C34,""ja"",""vi"")"),"Đấu giá&gt; thực phẩm, đồ uống&gt; hải sản&gt; Cá&gt; cá bẹt")</f>
        <v>Đấu giá&gt; thực phẩm, đồ uống&gt; hải sản&gt; Cá&gt; cá bẹt</v>
      </c>
      <c r="G34" t="str">
        <f t="shared" ca="1" si="0"/>
        <v>"2084254237" : "cá bơn",</v>
      </c>
    </row>
    <row r="35" spans="1:7" ht="15.75" customHeight="1">
      <c r="A35" s="28">
        <v>2084059759</v>
      </c>
      <c r="B35" s="28" t="s">
        <v>18905</v>
      </c>
      <c r="C35" s="28" t="s">
        <v>18907</v>
      </c>
      <c r="D35" s="28" t="s">
        <v>18909</v>
      </c>
      <c r="E35" s="4" t="str">
        <f ca="1">IFERROR(__xludf.DUMMYFUNCTION("GOOGLETRANSLATE(B35,""ja"",""vi"")"),"Blowfish")</f>
        <v>Blowfish</v>
      </c>
      <c r="F35" s="4" t="str">
        <f ca="1">IFERROR(__xludf.DUMMYFUNCTION("GOOGLETRANSLATE(C35,""ja"",""vi"")"),"Đấu giá&gt; thực phẩm, đồ uống&gt; hải sản&gt; Cá&gt; Blowfish")</f>
        <v>Đấu giá&gt; thực phẩm, đồ uống&gt; hải sản&gt; Cá&gt; Blowfish</v>
      </c>
      <c r="G35" t="str">
        <f t="shared" ca="1" si="0"/>
        <v>"2084059759" : "Blowfish",</v>
      </c>
    </row>
    <row r="36" spans="1:7" ht="15.75" customHeight="1">
      <c r="A36" s="28">
        <v>2084228410</v>
      </c>
      <c r="B36" s="28" t="s">
        <v>18911</v>
      </c>
      <c r="C36" s="28" t="s">
        <v>18913</v>
      </c>
      <c r="D36" s="28" t="s">
        <v>18915</v>
      </c>
      <c r="E36" s="4" t="str">
        <f ca="1">IFERROR(__xludf.DUMMYFUNCTION("GOOGLETRANSLATE(B36,""ja"",""vi"")"),"Yellowtail")</f>
        <v>Yellowtail</v>
      </c>
      <c r="F36" s="4" t="str">
        <f ca="1">IFERROR(__xludf.DUMMYFUNCTION("GOOGLETRANSLATE(C36,""ja"",""vi"")"),"Đấu giá&gt; thực phẩm, đồ uống&gt; hải sản&gt; Cá&gt; Yellowtail")</f>
        <v>Đấu giá&gt; thực phẩm, đồ uống&gt; hải sản&gt; Cá&gt; Yellowtail</v>
      </c>
      <c r="G36" t="str">
        <f t="shared" ca="1" si="0"/>
        <v>"2084228410" : "Yellowtail",</v>
      </c>
    </row>
    <row r="37" spans="1:7" ht="15.75" customHeight="1">
      <c r="A37" s="28">
        <v>2084059757</v>
      </c>
      <c r="B37" s="28" t="s">
        <v>18917</v>
      </c>
      <c r="C37" s="28" t="s">
        <v>18919</v>
      </c>
      <c r="D37" s="28" t="s">
        <v>18921</v>
      </c>
      <c r="E37" s="4" t="str">
        <f ca="1">IFERROR(__xludf.DUMMYFUNCTION("GOOGLETRANSLATE(B37,""ja"",""vi"")"),"cá ngừ")</f>
        <v>cá ngừ</v>
      </c>
      <c r="F37" s="4" t="str">
        <f ca="1">IFERROR(__xludf.DUMMYFUNCTION("GOOGLETRANSLATE(C37,""ja"",""vi"")"),"Đấu giá&gt; thực phẩm, đồ uống&gt; hải sản&gt; Cá&gt; cá ngừ")</f>
        <v>Đấu giá&gt; thực phẩm, đồ uống&gt; hải sản&gt; Cá&gt; cá ngừ</v>
      </c>
      <c r="G37" t="str">
        <f t="shared" ca="1" si="0"/>
        <v>"2084059757" : "cá ngừ",</v>
      </c>
    </row>
    <row r="38" spans="1:7" ht="15.75" customHeight="1">
      <c r="A38" s="28">
        <v>2084217594</v>
      </c>
      <c r="B38" s="28" t="s">
        <v>18925</v>
      </c>
      <c r="C38" s="28" t="s">
        <v>18927</v>
      </c>
      <c r="D38" s="28" t="s">
        <v>18928</v>
      </c>
      <c r="E38" s="4" t="str">
        <f ca="1">IFERROR(__xludf.DUMMYFUNCTION("GOOGLETRANSLATE(B38,""ja"",""vi"")"),"thực phẩm khô")</f>
        <v>thực phẩm khô</v>
      </c>
      <c r="F38" s="4" t="str">
        <f ca="1">IFERROR(__xludf.DUMMYFUNCTION("GOOGLETRANSLATE(C38,""ja"",""vi"")"),"Đấu giá&gt; thực phẩm, đồ uống&gt; hải sản&gt; Cá&gt; cá khô")</f>
        <v>Đấu giá&gt; thực phẩm, đồ uống&gt; hải sản&gt; Cá&gt; cá khô</v>
      </c>
      <c r="G38" t="str">
        <f t="shared" ca="1" si="0"/>
        <v>"2084217594" : "thực phẩm khô",</v>
      </c>
    </row>
    <row r="39" spans="1:7" ht="15.75" customHeight="1">
      <c r="A39" s="28">
        <v>2084217608</v>
      </c>
      <c r="B39" s="28" t="s">
        <v>18932</v>
      </c>
      <c r="C39" s="28" t="s">
        <v>18934</v>
      </c>
      <c r="D39" s="28" t="s">
        <v>18935</v>
      </c>
      <c r="E39" s="4" t="str">
        <f ca="1">IFERROR(__xludf.DUMMYFUNCTION("GOOGLETRANSLATE(B39,""ja"",""vi"")"),"hun khói")</f>
        <v>hun khói</v>
      </c>
      <c r="F39" s="4" t="str">
        <f ca="1">IFERROR(__xludf.DUMMYFUNCTION("GOOGLETRANSLATE(C39,""ja"",""vi"")"),"Đấu giá&gt; thực phẩm, đồ uống&gt; hải sản&gt; Cá&gt; hun khói")</f>
        <v>Đấu giá&gt; thực phẩm, đồ uống&gt; hải sản&gt; Cá&gt; hun khói</v>
      </c>
      <c r="G39" t="str">
        <f t="shared" ca="1" si="0"/>
        <v>"2084217608" : "hun khói",</v>
      </c>
    </row>
    <row r="40" spans="1:7" ht="15.75" customHeight="1">
      <c r="A40" s="28">
        <v>2084059761</v>
      </c>
      <c r="B40" s="28" t="s">
        <v>46</v>
      </c>
      <c r="C40" s="28" t="s">
        <v>18940</v>
      </c>
      <c r="D40" s="28" t="s">
        <v>18941</v>
      </c>
      <c r="E40" s="4" t="str">
        <f ca="1">IFERROR(__xludf.DUMMYFUNCTION("GOOGLETRANSLATE(B40,""ja"",""vi"")"),"nếu không thì")</f>
        <v>nếu không thì</v>
      </c>
      <c r="F40" s="4" t="str">
        <f ca="1">IFERROR(__xludf.DUMMYFUNCTION("GOOGLETRANSLATE(C40,""ja"",""vi"")"),"Đấu giá&gt; thực phẩm, đồ uống&gt; hải sản&gt; Cá&gt; Khác")</f>
        <v>Đấu giá&gt; thực phẩm, đồ uống&gt; hải sản&gt; Cá&gt; Khác</v>
      </c>
      <c r="G40" t="str">
        <f t="shared" ca="1" si="0"/>
        <v>"2084059761" : "nếu không thì",</v>
      </c>
    </row>
    <row r="41" spans="1:7" ht="15.75" customHeight="1">
      <c r="A41" s="28">
        <v>2084217591</v>
      </c>
      <c r="B41" s="28" t="s">
        <v>18943</v>
      </c>
      <c r="C41" s="28" t="s">
        <v>18945</v>
      </c>
      <c r="D41" s="28" t="s">
        <v>18947</v>
      </c>
      <c r="E41" s="4" t="str">
        <f ca="1">IFERROR(__xludf.DUMMYFUNCTION("GOOGLETRANSLATE(B41,""ja"",""vi"")"),"mực")</f>
        <v>mực</v>
      </c>
      <c r="F41" s="4" t="str">
        <f ca="1">IFERROR(__xludf.DUMMYFUNCTION("GOOGLETRANSLATE(C41,""ja"",""vi"")"),"Đấu giá&gt; thực phẩm, đồ uống&gt; hải sản&gt; Bạch tuộc, mực&gt; Mực")</f>
        <v>Đấu giá&gt; thực phẩm, đồ uống&gt; hải sản&gt; Bạch tuộc, mực&gt; Mực</v>
      </c>
      <c r="G41" t="str">
        <f t="shared" ca="1" si="0"/>
        <v>"2084217591" : "mực",</v>
      </c>
    </row>
    <row r="42" spans="1:7" ht="15.75" customHeight="1">
      <c r="A42" s="28">
        <v>2084217590</v>
      </c>
      <c r="B42" s="28" t="s">
        <v>18950</v>
      </c>
      <c r="C42" s="28" t="s">
        <v>18951</v>
      </c>
      <c r="D42" s="28" t="s">
        <v>18953</v>
      </c>
      <c r="E42" s="4" t="str">
        <f ca="1">IFERROR(__xludf.DUMMYFUNCTION("GOOGLETRANSLATE(B42,""ja"",""vi"")"),"một con bạch tuộc")</f>
        <v>một con bạch tuộc</v>
      </c>
      <c r="F42" s="4" t="str">
        <f ca="1">IFERROR(__xludf.DUMMYFUNCTION("GOOGLETRANSLATE(C42,""ja"",""vi"")"),"Đấu giá&gt; thực phẩm, đồ uống&gt; hải sản&gt; bạch tuộc, mực&gt; bạch tuộc")</f>
        <v>Đấu giá&gt; thực phẩm, đồ uống&gt; hải sản&gt; bạch tuộc, mực&gt; bạch tuộc</v>
      </c>
      <c r="G42" t="str">
        <f t="shared" ca="1" si="0"/>
        <v>"2084217590" : "một con bạch tuộc",</v>
      </c>
    </row>
    <row r="43" spans="1:7" ht="15.75" customHeight="1">
      <c r="A43" s="28">
        <v>2084217573</v>
      </c>
      <c r="B43" s="28" t="s">
        <v>18731</v>
      </c>
      <c r="C43" s="28" t="s">
        <v>18955</v>
      </c>
      <c r="D43" s="28" t="s">
        <v>18956</v>
      </c>
      <c r="E43" s="4" t="str">
        <f ca="1">IFERROR(__xludf.DUMMYFUNCTION("GOOGLETRANSLATE(B43,""ja"",""vi"")"),"hàng gia công")</f>
        <v>hàng gia công</v>
      </c>
      <c r="F43" s="4" t="str">
        <f ca="1">IFERROR(__xludf.DUMMYFUNCTION("GOOGLETRANSLATE(C43,""ja"",""vi"")"),"Đấu giá&gt; thực phẩm, đồ uống&gt; hải sản&gt; bạch tuộc, mực&gt; hàng gia công")</f>
        <v>Đấu giá&gt; thực phẩm, đồ uống&gt; hải sản&gt; bạch tuộc, mực&gt; hàng gia công</v>
      </c>
      <c r="G43" t="str">
        <f t="shared" ca="1" si="0"/>
        <v>"2084217573" : "hàng gia công",</v>
      </c>
    </row>
    <row r="44" spans="1:7" ht="15.75" customHeight="1">
      <c r="A44" s="28">
        <v>2084217578</v>
      </c>
      <c r="B44" s="28" t="s">
        <v>18738</v>
      </c>
      <c r="C44" s="28" t="s">
        <v>18959</v>
      </c>
      <c r="D44" s="28" t="s">
        <v>18960</v>
      </c>
      <c r="E44" s="4" t="str">
        <f ca="1">IFERROR(__xludf.DUMMYFUNCTION("GOOGLETRANSLATE(B44,""ja"",""vi"")"),"cá khô, hun khói")</f>
        <v>cá khô, hun khói</v>
      </c>
      <c r="F44" s="4" t="str">
        <f ca="1">IFERROR(__xludf.DUMMYFUNCTION("GOOGLETRANSLATE(C44,""ja"",""vi"")"),"Đấu giá&gt; thực phẩm, đồ uống&gt; hải sản&gt; bạch tuộc, mực&gt; cá khô, hun khói")</f>
        <v>Đấu giá&gt; thực phẩm, đồ uống&gt; hải sản&gt; bạch tuộc, mực&gt; cá khô, hun khói</v>
      </c>
      <c r="G44" t="str">
        <f t="shared" ca="1" si="0"/>
        <v>"2084217578" : "cá khô, hun khói",</v>
      </c>
    </row>
    <row r="45" spans="1:7" ht="15.75" customHeight="1">
      <c r="A45" s="28">
        <v>2084217574</v>
      </c>
      <c r="B45" s="28" t="s">
        <v>18963</v>
      </c>
      <c r="C45" s="28" t="s">
        <v>18964</v>
      </c>
      <c r="D45" s="28" t="s">
        <v>18965</v>
      </c>
      <c r="E45" s="4" t="str">
        <f ca="1">IFERROR(__xludf.DUMMYFUNCTION("GOOGLETRANSLATE(B45,""ja"",""vi"")"),"Set, Assortment")</f>
        <v>Set, Assortment</v>
      </c>
      <c r="F45" s="4" t="str">
        <f ca="1">IFERROR(__xludf.DUMMYFUNCTION("GOOGLETRANSLATE(C45,""ja"",""vi"")"),"Đấu giá&gt; thực phẩm, đồ uống&gt; hải sản&gt; hàng gia công&gt; thiết lập, loại")</f>
        <v>Đấu giá&gt; thực phẩm, đồ uống&gt; hải sản&gt; hàng gia công&gt; thiết lập, loại</v>
      </c>
      <c r="G45" t="str">
        <f t="shared" ca="1" si="0"/>
        <v>"2084217574" : "Set, Assortment",</v>
      </c>
    </row>
    <row r="46" spans="1:7" ht="15.75" customHeight="1">
      <c r="A46" s="28">
        <v>2084217572</v>
      </c>
      <c r="B46" s="28" t="s">
        <v>18968</v>
      </c>
      <c r="C46" s="28" t="s">
        <v>18969</v>
      </c>
      <c r="D46" s="28" t="s">
        <v>18971</v>
      </c>
      <c r="E46" s="4" t="str">
        <f ca="1">IFERROR(__xludf.DUMMYFUNCTION("GOOGLETRANSLATE(B46,""ja"",""vi"")"),"Động vật có vỏ")</f>
        <v>Động vật có vỏ</v>
      </c>
      <c r="F46" s="4" t="str">
        <f ca="1">IFERROR(__xludf.DUMMYFUNCTION("GOOGLETRANSLATE(C46,""ja"",""vi"")"),"Đấu giá&gt; thực phẩm, đồ uống&gt; hải sản&gt; hàng gia công&gt; động vật có vỏ")</f>
        <v>Đấu giá&gt; thực phẩm, đồ uống&gt; hải sản&gt; hàng gia công&gt; động vật có vỏ</v>
      </c>
      <c r="G46" t="str">
        <f t="shared" ca="1" si="0"/>
        <v>"2084217572" : "Động vật có vỏ",</v>
      </c>
    </row>
    <row r="47" spans="1:7" ht="15.75" customHeight="1">
      <c r="A47" s="28">
        <v>2084217573</v>
      </c>
      <c r="B47" s="28" t="s">
        <v>18973</v>
      </c>
      <c r="C47" s="28" t="s">
        <v>18974</v>
      </c>
      <c r="D47" s="28" t="s">
        <v>18975</v>
      </c>
      <c r="E47" s="4" t="str">
        <f ca="1">IFERROR(__xludf.DUMMYFUNCTION("GOOGLETRANSLATE(B47,""ja"",""vi"")"),"Bạch tuộc, mực")</f>
        <v>Bạch tuộc, mực</v>
      </c>
      <c r="F47" s="4" t="str">
        <f ca="1">IFERROR(__xludf.DUMMYFUNCTION("GOOGLETRANSLATE(C47,""ja"",""vi"")"),"Đấu giá&gt; thực phẩm, đồ uống&gt; hải sản&gt; hàng gia công&gt; bạch tuộc, mực")</f>
        <v>Đấu giá&gt; thực phẩm, đồ uống&gt; hải sản&gt; hàng gia công&gt; bạch tuộc, mực</v>
      </c>
      <c r="G47" t="str">
        <f t="shared" ca="1" si="0"/>
        <v>"2084217573" : "Bạch tuộc, mực",</v>
      </c>
    </row>
    <row r="48" spans="1:7" ht="15.75" customHeight="1">
      <c r="A48" s="28">
        <v>2084217575</v>
      </c>
      <c r="B48" s="28" t="s">
        <v>18980</v>
      </c>
      <c r="C48" s="28" t="s">
        <v>18982</v>
      </c>
      <c r="D48" s="28" t="s">
        <v>18983</v>
      </c>
      <c r="E48" s="4" t="str">
        <f ca="1">IFERROR(__xludf.DUMMYFUNCTION("GOOGLETRANSLATE(B48,""ja"",""vi"")"),"tôm")</f>
        <v>tôm</v>
      </c>
      <c r="F48" s="4" t="str">
        <f ca="1">IFERROR(__xludf.DUMMYFUNCTION("GOOGLETRANSLATE(C48,""ja"",""vi"")"),"Đấu giá&gt; thực phẩm, đồ uống&gt; hải sản&gt; hàng gia công&gt; Tôm")</f>
        <v>Đấu giá&gt; thực phẩm, đồ uống&gt; hải sản&gt; hàng gia công&gt; Tôm</v>
      </c>
      <c r="G48" t="str">
        <f t="shared" ca="1" si="0"/>
        <v>"2084217575" : "tôm",</v>
      </c>
    </row>
    <row r="49" spans="1:7" ht="15.75" customHeight="1">
      <c r="A49" s="28">
        <v>2084254098</v>
      </c>
      <c r="B49" s="28" t="s">
        <v>18987</v>
      </c>
      <c r="C49" s="28" t="s">
        <v>18988</v>
      </c>
      <c r="D49" s="28" t="s">
        <v>18989</v>
      </c>
      <c r="E49" s="4" t="str">
        <f ca="1">IFERROR(__xludf.DUMMYFUNCTION("GOOGLETRANSLATE(B49,""ja"",""vi"")"),"con lịch")</f>
        <v>con lịch</v>
      </c>
      <c r="F49" s="4" t="str">
        <f ca="1">IFERROR(__xludf.DUMMYFUNCTION("GOOGLETRANSLATE(C49,""ja"",""vi"")"),"Đấu giá&gt; thực phẩm, đồ uống&gt; hải sản&gt; hàng gia công&gt; conger")</f>
        <v>Đấu giá&gt; thực phẩm, đồ uống&gt; hải sản&gt; hàng gia công&gt; conger</v>
      </c>
      <c r="G49" t="str">
        <f t="shared" ca="1" si="0"/>
        <v>"2084254098" : "con lịch",</v>
      </c>
    </row>
    <row r="50" spans="1:7" ht="15.75" customHeight="1">
      <c r="A50" s="28">
        <v>2084050434</v>
      </c>
      <c r="B50" s="28" t="s">
        <v>18992</v>
      </c>
      <c r="C50" s="28" t="s">
        <v>18994</v>
      </c>
      <c r="D50" s="28" t="s">
        <v>18995</v>
      </c>
      <c r="E50" s="4" t="str">
        <f ca="1">IFERROR(__xludf.DUMMYFUNCTION("GOOGLETRANSLATE(B50,""ja"",""vi"")"),"Salmon trứng, trứng")</f>
        <v>Salmon trứng, trứng</v>
      </c>
      <c r="F50" s="4" t="str">
        <f ca="1">IFERROR(__xludf.DUMMYFUNCTION("GOOGLETRANSLATE(C50,""ja"",""vi"")"),"Đấu giá&gt; thực phẩm, đồ uống&gt; hải sản&gt; hàng gia công&gt; cá hồi trứng, trứng")</f>
        <v>Đấu giá&gt; thực phẩm, đồ uống&gt; hải sản&gt; hàng gia công&gt; cá hồi trứng, trứng</v>
      </c>
      <c r="G50" t="str">
        <f t="shared" ca="1" si="0"/>
        <v>"2084050434" : "Salmon trứng, trứng",</v>
      </c>
    </row>
    <row r="51" spans="1:7" ht="15.75" customHeight="1">
      <c r="A51" s="28">
        <v>2084254097</v>
      </c>
      <c r="B51" s="28" t="s">
        <v>18999</v>
      </c>
      <c r="C51" s="28" t="s">
        <v>19000</v>
      </c>
      <c r="D51" s="28" t="s">
        <v>19002</v>
      </c>
      <c r="E51" s="4" t="str">
        <f ca="1">IFERROR(__xludf.DUMMYFUNCTION("GOOGLETRANSLATE(B51,""ja"",""vi"")"),"con lươn")</f>
        <v>con lươn</v>
      </c>
      <c r="F51" s="4" t="str">
        <f ca="1">IFERROR(__xludf.DUMMYFUNCTION("GOOGLETRANSLATE(C51,""ja"",""vi"")"),"Đấu giá&gt; thực phẩm, đồ uống&gt; hải sản&gt; hàng gia công&gt; lươn")</f>
        <v>Đấu giá&gt; thực phẩm, đồ uống&gt; hải sản&gt; hàng gia công&gt; lươn</v>
      </c>
      <c r="G51" t="str">
        <f t="shared" ca="1" si="0"/>
        <v>"2084254097" : "con lươn",</v>
      </c>
    </row>
    <row r="52" spans="1:7" ht="15.75" customHeight="1">
      <c r="A52" s="28">
        <v>2084254096</v>
      </c>
      <c r="B52" s="28" t="s">
        <v>19003</v>
      </c>
      <c r="C52" s="28" t="s">
        <v>19005</v>
      </c>
      <c r="D52" s="28" t="s">
        <v>19006</v>
      </c>
      <c r="E52" s="4" t="str">
        <f ca="1">IFERROR(__xludf.DUMMYFUNCTION("GOOGLETRANSLATE(B52,""ja"",""vi"")"),"trứng cá muối")</f>
        <v>trứng cá muối</v>
      </c>
      <c r="F52" s="4" t="str">
        <f ca="1">IFERROR(__xludf.DUMMYFUNCTION("GOOGLETRANSLATE(C52,""ja"",""vi"")"),"Đấu giá&gt; thực phẩm, đồ uống&gt; hải sản&gt; hàng gia công&gt; trứng cá muối")</f>
        <v>Đấu giá&gt; thực phẩm, đồ uống&gt; hải sản&gt; hàng gia công&gt; trứng cá muối</v>
      </c>
      <c r="G52" t="str">
        <f t="shared" ca="1" si="0"/>
        <v>"2084254096" : "trứng cá muối",</v>
      </c>
    </row>
    <row r="53" spans="1:7" ht="15.75" customHeight="1">
      <c r="A53" s="28">
        <v>2084050435</v>
      </c>
      <c r="B53" s="28" t="s">
        <v>19008</v>
      </c>
      <c r="C53" s="28" t="s">
        <v>19009</v>
      </c>
      <c r="D53" s="28" t="s">
        <v>19010</v>
      </c>
      <c r="E53" s="4" t="str">
        <f ca="1">IFERROR(__xludf.DUMMYFUNCTION("GOOGLETRANSLATE(B53,""ja"",""vi"")"),"Cod trứng, trứng cá tuyết")</f>
        <v>Cod trứng, trứng cá tuyết</v>
      </c>
      <c r="F53" s="4" t="str">
        <f ca="1">IFERROR(__xludf.DUMMYFUNCTION("GOOGLETRANSLATE(C53,""ja"",""vi"")"),"Đấu giá&gt; thực phẩm, đồ uống&gt; hải sản&gt; hàng gia công&gt; cod trứng, cá tuyết trứng")</f>
        <v>Đấu giá&gt; thực phẩm, đồ uống&gt; hải sản&gt; hàng gia công&gt; cod trứng, cá tuyết trứng</v>
      </c>
      <c r="G53" t="str">
        <f t="shared" ca="1" si="0"/>
        <v>"2084050435" : "Cod trứng, trứng cá tuyết",</v>
      </c>
    </row>
    <row r="54" spans="1:7" ht="15.75" customHeight="1">
      <c r="A54" s="28">
        <v>2084244869</v>
      </c>
      <c r="B54" s="28" t="s">
        <v>19012</v>
      </c>
      <c r="C54" s="28" t="s">
        <v>19013</v>
      </c>
      <c r="D54" s="28" t="s">
        <v>19014</v>
      </c>
      <c r="E54" s="4" t="str">
        <f ca="1">IFERROR(__xludf.DUMMYFUNCTION("GOOGLETRANSLATE(B54,""ja"",""vi"")"),"cá trích trứng")</f>
        <v>cá trích trứng</v>
      </c>
      <c r="F54" s="4" t="str">
        <f ca="1">IFERROR(__xludf.DUMMYFUNCTION("GOOGLETRANSLATE(C54,""ja"",""vi"")"),"Đấu giá&gt; thực phẩm, đồ uống&gt; hải sản&gt; hàng gia công&gt; cá trích trứng")</f>
        <v>Đấu giá&gt; thực phẩm, đồ uống&gt; hải sản&gt; hàng gia công&gt; cá trích trứng</v>
      </c>
      <c r="G54" t="str">
        <f t="shared" ca="1" si="0"/>
        <v>"2084244869" : "cá trích trứng",</v>
      </c>
    </row>
    <row r="55" spans="1:7" ht="15.75" customHeight="1">
      <c r="A55" s="28">
        <v>2084254095</v>
      </c>
      <c r="B55" s="28" t="s">
        <v>19019</v>
      </c>
      <c r="C55" s="28" t="s">
        <v>19020</v>
      </c>
      <c r="D55" s="28" t="s">
        <v>19021</v>
      </c>
      <c r="E55" s="4" t="str">
        <f ca="1">IFERROR(__xludf.DUMMYFUNCTION("GOOGLETRANSLATE(B55,""ja"",""vi"")"),"trứng mềm")</f>
        <v>trứng mềm</v>
      </c>
      <c r="F55" s="4" t="str">
        <f ca="1">IFERROR(__xludf.DUMMYFUNCTION("GOOGLETRANSLATE(C55,""ja"",""vi"")"),"Đấu giá&gt; thực phẩm, đồ uống&gt; hải sản&gt; hàng gia công&gt; tinh dịch")</f>
        <v>Đấu giá&gt; thực phẩm, đồ uống&gt; hải sản&gt; hàng gia công&gt; tinh dịch</v>
      </c>
      <c r="G55" t="str">
        <f t="shared" ca="1" si="0"/>
        <v>"2084254095" : "trứng mềm",</v>
      </c>
    </row>
    <row r="56" spans="1:7" ht="15.75" customHeight="1">
      <c r="A56" s="28">
        <v>2084217576</v>
      </c>
      <c r="B56" s="28" t="s">
        <v>18738</v>
      </c>
      <c r="C56" s="28" t="s">
        <v>19026</v>
      </c>
      <c r="D56" s="28" t="s">
        <v>19027</v>
      </c>
      <c r="E56" s="4" t="str">
        <f ca="1">IFERROR(__xludf.DUMMYFUNCTION("GOOGLETRANSLATE(B56,""ja"",""vi"")"),"cá khô, hun khói")</f>
        <v>cá khô, hun khói</v>
      </c>
      <c r="F56" s="4" t="str">
        <f ca="1">IFERROR(__xludf.DUMMYFUNCTION("GOOGLETRANSLATE(C56,""ja"",""vi"")"),"Đấu giá&gt; thực phẩm, đồ uống&gt; hải sản&gt; hàng gia công&gt; cá khô, hun khói")</f>
        <v>Đấu giá&gt; thực phẩm, đồ uống&gt; hải sản&gt; hàng gia công&gt; cá khô, hun khói</v>
      </c>
      <c r="G56" t="str">
        <f t="shared" ca="1" si="0"/>
        <v>"2084217576" : "cá khô, hun khói",</v>
      </c>
    </row>
    <row r="57" spans="1:7" ht="15.75" customHeight="1">
      <c r="A57" s="28">
        <v>2084050436</v>
      </c>
      <c r="B57" s="28" t="s">
        <v>46</v>
      </c>
      <c r="C57" s="28" t="s">
        <v>19033</v>
      </c>
      <c r="D57" s="28" t="s">
        <v>19035</v>
      </c>
      <c r="E57" s="4" t="str">
        <f ca="1">IFERROR(__xludf.DUMMYFUNCTION("GOOGLETRANSLATE(B57,""ja"",""vi"")"),"nếu không thì")</f>
        <v>nếu không thì</v>
      </c>
      <c r="F57" s="4" t="str">
        <f ca="1">IFERROR(__xludf.DUMMYFUNCTION("GOOGLETRANSLATE(C57,""ja"",""vi"")"),"Đấu giá&gt; thực phẩm, đồ uống&gt; hải sản&gt; hàng gia công&gt; Khác")</f>
        <v>Đấu giá&gt; thực phẩm, đồ uống&gt; hải sản&gt; hàng gia công&gt; Khác</v>
      </c>
      <c r="G57" t="str">
        <f t="shared" ca="1" si="0"/>
        <v>"2084050436" : "nếu không thì",</v>
      </c>
    </row>
    <row r="58" spans="1:7" ht="15.75" customHeight="1">
      <c r="A58" s="28">
        <v>2084217578</v>
      </c>
      <c r="B58" s="28" t="s">
        <v>19040</v>
      </c>
      <c r="C58" s="28" t="s">
        <v>19042</v>
      </c>
      <c r="D58" s="28" t="s">
        <v>19043</v>
      </c>
      <c r="E58" s="4" t="str">
        <f ca="1">IFERROR(__xludf.DUMMYFUNCTION("GOOGLETRANSLATE(B58,""ja"",""vi"")"),"Mực, mực nang")</f>
        <v>Mực, mực nang</v>
      </c>
      <c r="F58" s="4" t="str">
        <f ca="1">IFERROR(__xludf.DUMMYFUNCTION("GOOGLETRANSLATE(C58,""ja"",""vi"")"),"Đấu giá&gt; thực phẩm, đồ uống&gt; hải sản&gt; cá khô, hun khói&gt; mực, mực khô")</f>
        <v>Đấu giá&gt; thực phẩm, đồ uống&gt; hải sản&gt; cá khô, hun khói&gt; mực, mực khô</v>
      </c>
      <c r="G58" t="str">
        <f t="shared" ca="1" si="0"/>
        <v>"2084217578" : "Mực, mực nang",</v>
      </c>
    </row>
    <row r="59" spans="1:7" ht="15.75" customHeight="1">
      <c r="A59" s="28">
        <v>2084217579</v>
      </c>
      <c r="B59" s="28" t="s">
        <v>18980</v>
      </c>
      <c r="C59" s="28" t="s">
        <v>19046</v>
      </c>
      <c r="D59" s="28" t="s">
        <v>19047</v>
      </c>
      <c r="E59" s="4" t="str">
        <f ca="1">IFERROR(__xludf.DUMMYFUNCTION("GOOGLETRANSLATE(B59,""ja"",""vi"")"),"tôm")</f>
        <v>tôm</v>
      </c>
      <c r="F59" s="4" t="str">
        <f ca="1">IFERROR(__xludf.DUMMYFUNCTION("GOOGLETRANSLATE(C59,""ja"",""vi"")"),"Đấu giá&gt; thực phẩm, đồ uống&gt; hải sản&gt; cá khô, hun khói&gt; Tôm")</f>
        <v>Đấu giá&gt; thực phẩm, đồ uống&gt; hải sản&gt; cá khô, hun khói&gt; Tôm</v>
      </c>
      <c r="G59" t="str">
        <f t="shared" ca="1" si="0"/>
        <v>"2084217579" : "tôm",</v>
      </c>
    </row>
    <row r="60" spans="1:7" ht="15.75" customHeight="1">
      <c r="A60" s="28">
        <v>2084217580</v>
      </c>
      <c r="B60" s="28" t="s">
        <v>46</v>
      </c>
      <c r="C60" s="28" t="s">
        <v>19053</v>
      </c>
      <c r="D60" s="28" t="s">
        <v>19054</v>
      </c>
      <c r="E60" s="4" t="str">
        <f ca="1">IFERROR(__xludf.DUMMYFUNCTION("GOOGLETRANSLATE(B60,""ja"",""vi"")"),"nếu không thì")</f>
        <v>nếu không thì</v>
      </c>
      <c r="F60" s="4" t="str">
        <f ca="1">IFERROR(__xludf.DUMMYFUNCTION("GOOGLETRANSLATE(C60,""ja"",""vi"")"),"Đấu giá&gt; thực phẩm, đồ uống&gt; hải sản&gt; cá khô, hun khói&gt; Khác")</f>
        <v>Đấu giá&gt; thực phẩm, đồ uống&gt; hải sản&gt; cá khô, hun khói&gt; Khác</v>
      </c>
      <c r="G60" t="str">
        <f t="shared" ca="1" si="0"/>
        <v>"2084217580" : "nếu không thì",</v>
      </c>
    </row>
    <row r="61" spans="1:7" ht="15.75" customHeight="1">
      <c r="A61" s="28">
        <v>2084064293</v>
      </c>
      <c r="B61" s="28" t="s">
        <v>18963</v>
      </c>
      <c r="C61" s="28" t="s">
        <v>19060</v>
      </c>
      <c r="D61" s="28" t="s">
        <v>19061</v>
      </c>
      <c r="E61" s="4" t="str">
        <f ca="1">IFERROR(__xludf.DUMMYFUNCTION("GOOGLETRANSLATE(B61,""ja"",""vi"")"),"Set, Assortment")</f>
        <v>Set, Assortment</v>
      </c>
      <c r="F61" s="4" t="str">
        <f ca="1">IFERROR(__xludf.DUMMYFUNCTION("GOOGLETRANSLATE(C61,""ja"",""vi"")"),"Đấu giá&gt; thực phẩm, đồ uống&gt; thịt&gt; Thịt bò&gt; thiết lập, loại")</f>
        <v>Đấu giá&gt; thực phẩm, đồ uống&gt; thịt&gt; Thịt bò&gt; thiết lập, loại</v>
      </c>
      <c r="G61" t="str">
        <f t="shared" ca="1" si="0"/>
        <v>"2084064293" : "Set, Assortment",</v>
      </c>
    </row>
    <row r="62" spans="1:7" ht="15.75" customHeight="1">
      <c r="A62" s="28">
        <v>2084064297</v>
      </c>
      <c r="B62" s="28" t="s">
        <v>19066</v>
      </c>
      <c r="C62" s="28" t="s">
        <v>19067</v>
      </c>
      <c r="D62" s="28" t="s">
        <v>19068</v>
      </c>
      <c r="E62" s="4" t="str">
        <f ca="1">IFERROR(__xludf.DUMMYFUNCTION("GOOGLETRANSLATE(B62,""ja"",""vi"")"),"thịt lưng của bò")</f>
        <v>thịt lưng của bò</v>
      </c>
      <c r="F62" s="4" t="str">
        <f ca="1">IFERROR(__xludf.DUMMYFUNCTION("GOOGLETRANSLATE(C62,""ja"",""vi"")"),"Đấu giá&gt; thực phẩm, đồ uống&gt; thịt&gt; Thịt bò&gt; thăn")</f>
        <v>Đấu giá&gt; thực phẩm, đồ uống&gt; thịt&gt; Thịt bò&gt; thăn</v>
      </c>
      <c r="G62" t="str">
        <f t="shared" ca="1" si="0"/>
        <v>"2084064297" : "thịt lưng của bò",</v>
      </c>
    </row>
    <row r="63" spans="1:7" ht="15.75" customHeight="1">
      <c r="A63" s="28">
        <v>2084064298</v>
      </c>
      <c r="B63" s="28" t="s">
        <v>19072</v>
      </c>
      <c r="C63" s="28" t="s">
        <v>19074</v>
      </c>
      <c r="D63" s="28" t="s">
        <v>19076</v>
      </c>
      <c r="E63" s="4" t="str">
        <f ca="1">IFERROR(__xludf.DUMMYFUNCTION("GOOGLETRANSLATE(B63,""ja"",""vi"")"),"Shin")</f>
        <v>Shin</v>
      </c>
      <c r="F63" s="4" t="str">
        <f ca="1">IFERROR(__xludf.DUMMYFUNCTION("GOOGLETRANSLATE(C63,""ja"",""vi"")"),"Đấu giá&gt; thực phẩm, đồ uống&gt; thịt&gt; Thịt bò&gt; ống chân")</f>
        <v>Đấu giá&gt; thực phẩm, đồ uống&gt; thịt&gt; Thịt bò&gt; ống chân</v>
      </c>
      <c r="G63" t="str">
        <f t="shared" ca="1" si="0"/>
        <v>"2084064298" : "Shin",</v>
      </c>
    </row>
    <row r="64" spans="1:7" ht="15.75" customHeight="1">
      <c r="A64" s="28">
        <v>2084064299</v>
      </c>
      <c r="B64" s="28" t="s">
        <v>19079</v>
      </c>
      <c r="C64" s="28" t="s">
        <v>19080</v>
      </c>
      <c r="D64" s="28" t="s">
        <v>19081</v>
      </c>
      <c r="E64" s="4" t="str">
        <f ca="1">IFERROR(__xludf.DUMMYFUNCTION("GOOGLETRANSLATE(B64,""ja"",""vi"")"),"lưỡi")</f>
        <v>lưỡi</v>
      </c>
      <c r="F64" s="4" t="str">
        <f ca="1">IFERROR(__xludf.DUMMYFUNCTION("GOOGLETRANSLATE(C64,""ja"",""vi"")"),"Đấu giá&gt; thực phẩm, đồ uống&gt; thịt&gt; Thịt bò&gt; Tân")</f>
        <v>Đấu giá&gt; thực phẩm, đồ uống&gt; thịt&gt; Thịt bò&gt; Tân</v>
      </c>
      <c r="G64" t="str">
        <f t="shared" ca="1" si="0"/>
        <v>"2084064299" : "lưỡi",</v>
      </c>
    </row>
    <row r="65" spans="1:7" ht="15.75" customHeight="1">
      <c r="A65" s="28">
        <v>2084064301</v>
      </c>
      <c r="B65" s="28" t="s">
        <v>15318</v>
      </c>
      <c r="C65" s="28" t="s">
        <v>19087</v>
      </c>
      <c r="D65" s="28" t="s">
        <v>19088</v>
      </c>
      <c r="E65" s="4" t="str">
        <f ca="1">IFERROR(__xludf.DUMMYFUNCTION("GOOGLETRANSLATE(B65,""ja"",""vi"")"),"hoa hồng")</f>
        <v>hoa hồng</v>
      </c>
      <c r="F65" s="4" t="str">
        <f ca="1">IFERROR(__xludf.DUMMYFUNCTION("GOOGLETRANSLATE(C65,""ja"",""vi"")"),"Đấu giá&gt; thực phẩm, đồ uống&gt; thịt&gt; Thịt bò&gt; Roses")</f>
        <v>Đấu giá&gt; thực phẩm, đồ uống&gt; thịt&gt; Thịt bò&gt; Roses</v>
      </c>
      <c r="G65" t="str">
        <f t="shared" ca="1" si="0"/>
        <v>"2084064301" : "hoa hồng",</v>
      </c>
    </row>
    <row r="66" spans="1:7" ht="15.75" customHeight="1">
      <c r="A66" s="28">
        <v>2084064300</v>
      </c>
      <c r="B66" s="28" t="s">
        <v>19091</v>
      </c>
      <c r="C66" s="28" t="s">
        <v>19092</v>
      </c>
      <c r="D66" s="28" t="s">
        <v>19093</v>
      </c>
      <c r="E66" s="4" t="str">
        <f ca="1">IFERROR(__xludf.DUMMYFUNCTION("GOOGLETRANSLATE(B66,""ja"",""vi"")"),"thịt thăn")</f>
        <v>thịt thăn</v>
      </c>
      <c r="F66" s="4" t="str">
        <f ca="1">IFERROR(__xludf.DUMMYFUNCTION("GOOGLETRANSLATE(C66,""ja"",""vi"")"),"Đấu giá&gt; thực phẩm, đồ uống&gt; thịt&gt; Thịt bò&gt; vây")</f>
        <v>Đấu giá&gt; thực phẩm, đồ uống&gt; thịt&gt; Thịt bò&gt; vây</v>
      </c>
      <c r="G66" t="str">
        <f t="shared" ref="G66:G129" ca="1" si="1">CONCATENATE(CHAR(34)&amp;"",A66,""&amp;CHAR(34)," : ", CHAR(34)&amp;"",E66,""&amp;CHAR(34),",")</f>
        <v>"2084064300" : "thịt thăn",</v>
      </c>
    </row>
    <row r="67" spans="1:7" ht="15.75" customHeight="1">
      <c r="A67" s="28">
        <v>2084064302</v>
      </c>
      <c r="B67" s="28" t="s">
        <v>19094</v>
      </c>
      <c r="C67" s="28" t="s">
        <v>19096</v>
      </c>
      <c r="D67" s="28" t="s">
        <v>19098</v>
      </c>
      <c r="E67" s="4" t="str">
        <f ca="1">IFERROR(__xludf.DUMMYFUNCTION("GOOGLETRANSLATE(B67,""ja"",""vi"")"),"Hormone, nội tạng")</f>
        <v>Hormone, nội tạng</v>
      </c>
      <c r="F67" s="4" t="str">
        <f ca="1">IFERROR(__xludf.DUMMYFUNCTION("GOOGLETRANSLATE(C67,""ja"",""vi"")"),"Đấu giá&gt; thực phẩm, đồ uống&gt; thịt&gt; Thịt bò&gt; hormone, nội tạng")</f>
        <v>Đấu giá&gt; thực phẩm, đồ uống&gt; thịt&gt; Thịt bò&gt; hormone, nội tạng</v>
      </c>
      <c r="G67" t="str">
        <f t="shared" ca="1" si="1"/>
        <v>"2084064302" : "Hormone, nội tạng",</v>
      </c>
    </row>
    <row r="68" spans="1:7" ht="15.75" customHeight="1">
      <c r="A68" s="28">
        <v>2084064294</v>
      </c>
      <c r="B68" s="28" t="s">
        <v>15094</v>
      </c>
      <c r="C68" s="28" t="s">
        <v>19102</v>
      </c>
      <c r="D68" s="28" t="s">
        <v>19104</v>
      </c>
      <c r="E68" s="4" t="str">
        <f ca="1">IFERROR(__xludf.DUMMYFUNCTION("GOOGLETRANSLATE(B68,""ja"",""vi"")"),"đào")</f>
        <v>đào</v>
      </c>
      <c r="F68" s="4" t="str">
        <f ca="1">IFERROR(__xludf.DUMMYFUNCTION("GOOGLETRANSLATE(C68,""ja"",""vi"")"),"Đấu giá&gt; thực phẩm, đồ uống&gt; thịt&gt; Thịt bò&gt; đào")</f>
        <v>Đấu giá&gt; thực phẩm, đồ uống&gt; thịt&gt; Thịt bò&gt; đào</v>
      </c>
      <c r="G68" t="str">
        <f t="shared" ca="1" si="1"/>
        <v>"2084064294" : "đào",</v>
      </c>
    </row>
    <row r="69" spans="1:7" ht="15.75" customHeight="1">
      <c r="A69" s="28">
        <v>2084064296</v>
      </c>
      <c r="B69" s="28" t="s">
        <v>19107</v>
      </c>
      <c r="C69" s="28" t="s">
        <v>19109</v>
      </c>
      <c r="D69" s="28" t="s">
        <v>19110</v>
      </c>
      <c r="E69" s="4" t="str">
        <f ca="1">IFERROR(__xludf.DUMMYFUNCTION("GOOGLETRANSLATE(B69,""ja"",""vi"")"),"chổ dưới lưng")</f>
        <v>chổ dưới lưng</v>
      </c>
      <c r="F69" s="4" t="str">
        <f ca="1">IFERROR(__xludf.DUMMYFUNCTION("GOOGLETRANSLATE(C69,""ja"",""vi"")"),"Đấu giá&gt; thực phẩm, đồ uống&gt; thịt&gt; Thịt bò&gt; thăn")</f>
        <v>Đấu giá&gt; thực phẩm, đồ uống&gt; thịt&gt; Thịt bò&gt; thăn</v>
      </c>
      <c r="G69" t="str">
        <f t="shared" ca="1" si="1"/>
        <v>"2084064296" : "chổ dưới lưng",</v>
      </c>
    </row>
    <row r="70" spans="1:7" ht="15.75" customHeight="1">
      <c r="A70" s="28">
        <v>2084064295</v>
      </c>
      <c r="B70" s="28" t="s">
        <v>19112</v>
      </c>
      <c r="C70" s="28" t="s">
        <v>19114</v>
      </c>
      <c r="D70" s="28" t="s">
        <v>19116</v>
      </c>
      <c r="E70" s="4" t="str">
        <f ca="1">IFERROR(__xludf.DUMMYFUNCTION("GOOGLETRANSLATE(B70,""ja"",""vi"")"),"vai")</f>
        <v>vai</v>
      </c>
      <c r="F70" s="4" t="str">
        <f ca="1">IFERROR(__xludf.DUMMYFUNCTION("GOOGLETRANSLATE(C70,""ja"",""vi"")"),"Đấu giá&gt; thực phẩm, đồ uống&gt; thịt&gt; Thịt bò&gt; vai")</f>
        <v>Đấu giá&gt; thực phẩm, đồ uống&gt; thịt&gt; Thịt bò&gt; vai</v>
      </c>
      <c r="G70" t="str">
        <f t="shared" ca="1" si="1"/>
        <v>"2084064295" : "vai",</v>
      </c>
    </row>
    <row r="71" spans="1:7" ht="15.75" customHeight="1">
      <c r="A71" s="28">
        <v>2084217295</v>
      </c>
      <c r="B71" s="28" t="s">
        <v>18731</v>
      </c>
      <c r="C71" s="28" t="s">
        <v>19119</v>
      </c>
      <c r="D71" s="28" t="s">
        <v>19120</v>
      </c>
      <c r="E71" s="4" t="str">
        <f ca="1">IFERROR(__xludf.DUMMYFUNCTION("GOOGLETRANSLATE(B71,""ja"",""vi"")"),"hàng gia công")</f>
        <v>hàng gia công</v>
      </c>
      <c r="F71" s="4" t="str">
        <f ca="1">IFERROR(__xludf.DUMMYFUNCTION("GOOGLETRANSLATE(C71,""ja"",""vi"")"),"Đấu giá&gt; thực phẩm, đồ uống&gt; thịt&gt; Thịt bò&gt; hàng gia công")</f>
        <v>Đấu giá&gt; thực phẩm, đồ uống&gt; thịt&gt; Thịt bò&gt; hàng gia công</v>
      </c>
      <c r="G71" t="str">
        <f t="shared" ca="1" si="1"/>
        <v>"2084217295" : "hàng gia công",</v>
      </c>
    </row>
    <row r="72" spans="1:7" ht="15.75" customHeight="1">
      <c r="A72" s="28">
        <v>2084064303</v>
      </c>
      <c r="B72" s="28" t="s">
        <v>46</v>
      </c>
      <c r="C72" s="28" t="s">
        <v>19124</v>
      </c>
      <c r="D72" s="28" t="s">
        <v>19125</v>
      </c>
      <c r="E72" s="4" t="str">
        <f ca="1">IFERROR(__xludf.DUMMYFUNCTION("GOOGLETRANSLATE(B72,""ja"",""vi"")"),"nếu không thì")</f>
        <v>nếu không thì</v>
      </c>
      <c r="F72" s="4" t="str">
        <f ca="1">IFERROR(__xludf.DUMMYFUNCTION("GOOGLETRANSLATE(C72,""ja"",""vi"")"),"Đấu giá&gt; thực phẩm, đồ uống&gt; thịt&gt; Thịt bò&gt; Khác")</f>
        <v>Đấu giá&gt; thực phẩm, đồ uống&gt; thịt&gt; Thịt bò&gt; Khác</v>
      </c>
      <c r="G72" t="str">
        <f t="shared" ca="1" si="1"/>
        <v>"2084064303" : "nếu không thì",</v>
      </c>
    </row>
    <row r="73" spans="1:7" ht="15.75" customHeight="1">
      <c r="A73" s="28">
        <v>2084217294</v>
      </c>
      <c r="B73" s="28" t="s">
        <v>18963</v>
      </c>
      <c r="C73" s="28" t="s">
        <v>19129</v>
      </c>
      <c r="D73" s="28" t="s">
        <v>19130</v>
      </c>
      <c r="E73" s="4" t="str">
        <f ca="1">IFERROR(__xludf.DUMMYFUNCTION("GOOGLETRANSLATE(B73,""ja"",""vi"")"),"Set, Assortment")</f>
        <v>Set, Assortment</v>
      </c>
      <c r="F73" s="4" t="str">
        <f ca="1">IFERROR(__xludf.DUMMYFUNCTION("GOOGLETRANSLATE(C73,""ja"",""vi"")"),"Đấu giá&gt; thực phẩm, đồ uống&gt; thịt&gt; gà&gt; thiết lập, loại")</f>
        <v>Đấu giá&gt; thực phẩm, đồ uống&gt; thịt&gt; gà&gt; thiết lập, loại</v>
      </c>
      <c r="G73" t="str">
        <f t="shared" ca="1" si="1"/>
        <v>"2084217294" : "Set, Assortment",</v>
      </c>
    </row>
    <row r="74" spans="1:7" ht="15.75" customHeight="1">
      <c r="A74" s="28">
        <v>2084217287</v>
      </c>
      <c r="B74" s="28" t="s">
        <v>19134</v>
      </c>
      <c r="C74" s="28" t="s">
        <v>19135</v>
      </c>
      <c r="D74" s="28" t="s">
        <v>19136</v>
      </c>
      <c r="E74" s="4" t="str">
        <f ca="1">IFERROR(__xludf.DUMMYFUNCTION("GOOGLETRANSLATE(B74,""ja"",""vi"")"),"Xương trong thịt")</f>
        <v>Xương trong thịt</v>
      </c>
      <c r="F74" s="4" t="str">
        <f ca="1">IFERROR(__xludf.DUMMYFUNCTION("GOOGLETRANSLATE(C74,""ja"",""vi"")"),"Đấu giá&gt; thực phẩm, đồ uống&gt; thịt&gt; gà&gt; xương trong thịt")</f>
        <v>Đấu giá&gt; thực phẩm, đồ uống&gt; thịt&gt; gà&gt; xương trong thịt</v>
      </c>
      <c r="G74" t="str">
        <f t="shared" ca="1" si="1"/>
        <v>"2084217287" : "Xương trong thịt",</v>
      </c>
    </row>
    <row r="75" spans="1:7" ht="15.75" customHeight="1">
      <c r="A75" s="28">
        <v>2084217288</v>
      </c>
      <c r="B75" s="28" t="s">
        <v>19139</v>
      </c>
      <c r="C75" s="28" t="s">
        <v>19141</v>
      </c>
      <c r="D75" s="28" t="s">
        <v>19142</v>
      </c>
      <c r="E75" s="4" t="str">
        <f ca="1">IFERROR(__xludf.DUMMYFUNCTION("GOOGLETRANSLATE(B75,""ja"",""vi"")"),"thịt tích cực")</f>
        <v>thịt tích cực</v>
      </c>
      <c r="F75" s="4" t="str">
        <f ca="1">IFERROR(__xludf.DUMMYFUNCTION("GOOGLETRANSLATE(C75,""ja"",""vi"")"),"Đấu giá&gt; thực phẩm, đồ uống&gt; thịt&gt; gà&gt; thịt tích cực")</f>
        <v>Đấu giá&gt; thực phẩm, đồ uống&gt; thịt&gt; gà&gt; thịt tích cực</v>
      </c>
      <c r="G75" t="str">
        <f t="shared" ca="1" si="1"/>
        <v>"2084217288" : "thịt tích cực",</v>
      </c>
    </row>
    <row r="76" spans="1:7" ht="15.75" customHeight="1">
      <c r="A76" s="28">
        <v>2084217286</v>
      </c>
      <c r="B76" s="28" t="s">
        <v>18731</v>
      </c>
      <c r="C76" s="28" t="s">
        <v>19146</v>
      </c>
      <c r="D76" s="28" t="s">
        <v>19148</v>
      </c>
      <c r="E76" s="4" t="str">
        <f ca="1">IFERROR(__xludf.DUMMYFUNCTION("GOOGLETRANSLATE(B76,""ja"",""vi"")"),"hàng gia công")</f>
        <v>hàng gia công</v>
      </c>
      <c r="F76" s="4" t="str">
        <f ca="1">IFERROR(__xludf.DUMMYFUNCTION("GOOGLETRANSLATE(C76,""ja"",""vi"")"),"Đấu giá&gt; thực phẩm, đồ uống&gt; thịt&gt; gà&gt; hàng gia công")</f>
        <v>Đấu giá&gt; thực phẩm, đồ uống&gt; thịt&gt; gà&gt; hàng gia công</v>
      </c>
      <c r="G76" t="str">
        <f t="shared" ca="1" si="1"/>
        <v>"2084217286" : "hàng gia công",</v>
      </c>
    </row>
    <row r="77" spans="1:7" ht="15.75" customHeight="1">
      <c r="A77" s="28">
        <v>2084217293</v>
      </c>
      <c r="B77" s="28" t="s">
        <v>46</v>
      </c>
      <c r="C77" s="28" t="s">
        <v>19151</v>
      </c>
      <c r="D77" s="28" t="s">
        <v>19154</v>
      </c>
      <c r="E77" s="4" t="str">
        <f ca="1">IFERROR(__xludf.DUMMYFUNCTION("GOOGLETRANSLATE(B77,""ja"",""vi"")"),"nếu không thì")</f>
        <v>nếu không thì</v>
      </c>
      <c r="F77" s="4" t="str">
        <f ca="1">IFERROR(__xludf.DUMMYFUNCTION("GOOGLETRANSLATE(C77,""ja"",""vi"")"),"Đấu giá&gt; thực phẩm, đồ uống&gt; thịt&gt; gà&gt; Khác")</f>
        <v>Đấu giá&gt; thực phẩm, đồ uống&gt; thịt&gt; gà&gt; Khác</v>
      </c>
      <c r="G77" t="str">
        <f t="shared" ca="1" si="1"/>
        <v>"2084217293" : "nếu không thì",</v>
      </c>
    </row>
    <row r="78" spans="1:7" ht="15.75" customHeight="1">
      <c r="A78" s="30">
        <v>2084211041</v>
      </c>
      <c r="B78" s="30" t="s">
        <v>18963</v>
      </c>
      <c r="C78" s="30" t="s">
        <v>19162</v>
      </c>
      <c r="D78" s="30" t="s">
        <v>19164</v>
      </c>
      <c r="E78" s="4" t="str">
        <f ca="1">IFERROR(__xludf.DUMMYFUNCTION("GOOGLETRANSLATE(B78,""ja"",""vi"")"),"Set, Assortment")</f>
        <v>Set, Assortment</v>
      </c>
      <c r="F78" s="4" t="str">
        <f ca="1">IFERROR(__xludf.DUMMYFUNCTION("GOOGLETRANSLATE(C78,""ja"",""vi"")"),"Đấu giá&gt; thực phẩm, đồ uống&gt; thịt&gt; thịt lợn&gt; thiết lập, loại")</f>
        <v>Đấu giá&gt; thực phẩm, đồ uống&gt; thịt&gt; thịt lợn&gt; thiết lập, loại</v>
      </c>
      <c r="G78" t="str">
        <f t="shared" ca="1" si="1"/>
        <v>"2084211041" : "Set, Assortment",</v>
      </c>
    </row>
    <row r="79" spans="1:7" ht="15.75" customHeight="1">
      <c r="A79" s="30">
        <v>2084209989</v>
      </c>
      <c r="B79" s="30" t="s">
        <v>19072</v>
      </c>
      <c r="C79" s="30" t="s">
        <v>19165</v>
      </c>
      <c r="D79" s="30" t="s">
        <v>19166</v>
      </c>
      <c r="E79" s="4" t="str">
        <f ca="1">IFERROR(__xludf.DUMMYFUNCTION("GOOGLETRANSLATE(B79,""ja"",""vi"")"),"Shin")</f>
        <v>Shin</v>
      </c>
      <c r="F79" s="4" t="str">
        <f ca="1">IFERROR(__xludf.DUMMYFUNCTION("GOOGLETRANSLATE(C79,""ja"",""vi"")"),"Đấu giá&gt; thực phẩm, đồ uống&gt; thịt&gt; thịt lợn&gt; ống chân")</f>
        <v>Đấu giá&gt; thực phẩm, đồ uống&gt; thịt&gt; thịt lợn&gt; ống chân</v>
      </c>
      <c r="G79" t="str">
        <f t="shared" ca="1" si="1"/>
        <v>"2084209989" : "Shin",</v>
      </c>
    </row>
    <row r="80" spans="1:7" ht="15.75" customHeight="1">
      <c r="A80" s="30">
        <v>2084209990</v>
      </c>
      <c r="B80" s="30" t="s">
        <v>15318</v>
      </c>
      <c r="C80" s="30" t="s">
        <v>19170</v>
      </c>
      <c r="D80" s="30" t="s">
        <v>19171</v>
      </c>
      <c r="E80" s="4" t="str">
        <f ca="1">IFERROR(__xludf.DUMMYFUNCTION("GOOGLETRANSLATE(B80,""ja"",""vi"")"),"hoa hồng")</f>
        <v>hoa hồng</v>
      </c>
      <c r="F80" s="4" t="str">
        <f ca="1">IFERROR(__xludf.DUMMYFUNCTION("GOOGLETRANSLATE(C80,""ja"",""vi"")"),"Đấu giá&gt; thực phẩm, đồ uống&gt; thịt&gt; thịt lợn&gt; hoa hồng")</f>
        <v>Đấu giá&gt; thực phẩm, đồ uống&gt; thịt&gt; thịt lợn&gt; hoa hồng</v>
      </c>
      <c r="G80" t="str">
        <f t="shared" ca="1" si="1"/>
        <v>"2084209990" : "hoa hồng",</v>
      </c>
    </row>
    <row r="81" spans="1:7" ht="15.75" customHeight="1">
      <c r="A81" s="30">
        <v>2084209991</v>
      </c>
      <c r="B81" s="30" t="s">
        <v>19091</v>
      </c>
      <c r="C81" s="30" t="s">
        <v>19175</v>
      </c>
      <c r="D81" s="30" t="s">
        <v>19176</v>
      </c>
      <c r="E81" s="4" t="str">
        <f ca="1">IFERROR(__xludf.DUMMYFUNCTION("GOOGLETRANSLATE(B81,""ja"",""vi"")"),"thịt thăn")</f>
        <v>thịt thăn</v>
      </c>
      <c r="F81" s="4" t="str">
        <f ca="1">IFERROR(__xludf.DUMMYFUNCTION("GOOGLETRANSLATE(C81,""ja"",""vi"")"),"Đấu giá&gt; thực phẩm, đồ uống&gt; thịt&gt; thịt lợn&gt; vây")</f>
        <v>Đấu giá&gt; thực phẩm, đồ uống&gt; thịt&gt; thịt lợn&gt; vây</v>
      </c>
      <c r="G81" t="str">
        <f t="shared" ca="1" si="1"/>
        <v>"2084209991" : "thịt thăn",</v>
      </c>
    </row>
    <row r="82" spans="1:7" ht="15.75" customHeight="1">
      <c r="A82" s="30">
        <v>2084209992</v>
      </c>
      <c r="B82" s="30" t="s">
        <v>15094</v>
      </c>
      <c r="C82" s="30" t="s">
        <v>19179</v>
      </c>
      <c r="D82" s="30" t="s">
        <v>19180</v>
      </c>
      <c r="E82" s="4" t="str">
        <f ca="1">IFERROR(__xludf.DUMMYFUNCTION("GOOGLETRANSLATE(B82,""ja"",""vi"")"),"đào")</f>
        <v>đào</v>
      </c>
      <c r="F82" s="4" t="str">
        <f ca="1">IFERROR(__xludf.DUMMYFUNCTION("GOOGLETRANSLATE(C82,""ja"",""vi"")"),"Đấu giá&gt; thực phẩm, đồ uống&gt; thịt&gt; thịt lợn&gt; đào")</f>
        <v>Đấu giá&gt; thực phẩm, đồ uống&gt; thịt&gt; thịt lợn&gt; đào</v>
      </c>
      <c r="G82" t="str">
        <f t="shared" ca="1" si="1"/>
        <v>"2084209992" : "đào",</v>
      </c>
    </row>
    <row r="83" spans="1:7" ht="15.75" customHeight="1">
      <c r="A83" s="30">
        <v>2084209993</v>
      </c>
      <c r="B83" s="30" t="s">
        <v>19107</v>
      </c>
      <c r="C83" s="30" t="s">
        <v>19181</v>
      </c>
      <c r="D83" s="30" t="s">
        <v>19182</v>
      </c>
      <c r="E83" s="4" t="str">
        <f ca="1">IFERROR(__xludf.DUMMYFUNCTION("GOOGLETRANSLATE(B83,""ja"",""vi"")"),"chổ dưới lưng")</f>
        <v>chổ dưới lưng</v>
      </c>
      <c r="F83" s="4" t="str">
        <f ca="1">IFERROR(__xludf.DUMMYFUNCTION("GOOGLETRANSLATE(C83,""ja"",""vi"")"),"Đấu giá&gt; thực phẩm, đồ uống&gt; thịt&gt; thịt lợn&gt; thăn")</f>
        <v>Đấu giá&gt; thực phẩm, đồ uống&gt; thịt&gt; thịt lợn&gt; thăn</v>
      </c>
      <c r="G83" t="str">
        <f t="shared" ca="1" si="1"/>
        <v>"2084209993" : "chổ dưới lưng",</v>
      </c>
    </row>
    <row r="84" spans="1:7" ht="15.75" customHeight="1">
      <c r="A84" s="30">
        <v>2084209988</v>
      </c>
      <c r="B84" s="30" t="s">
        <v>19183</v>
      </c>
      <c r="C84" s="30" t="s">
        <v>19184</v>
      </c>
      <c r="D84" s="30" t="s">
        <v>19185</v>
      </c>
      <c r="E84" s="4" t="str">
        <f ca="1">IFERROR(__xludf.DUMMYFUNCTION("GOOGLETRANSLATE(B84,""ja"",""vi"")"),"vai nướng")</f>
        <v>vai nướng</v>
      </c>
      <c r="F84" s="4" t="str">
        <f ca="1">IFERROR(__xludf.DUMMYFUNCTION("GOOGLETRANSLATE(C84,""ja"",""vi"")"),"Đấu giá&gt; thực phẩm, đồ uống&gt; thịt&gt; thịt lợn&gt; vai nướng")</f>
        <v>Đấu giá&gt; thực phẩm, đồ uống&gt; thịt&gt; thịt lợn&gt; vai nướng</v>
      </c>
      <c r="G84" t="str">
        <f t="shared" ca="1" si="1"/>
        <v>"2084209988" : "vai nướng",</v>
      </c>
    </row>
    <row r="85" spans="1:7" ht="15.75" customHeight="1">
      <c r="A85" s="30">
        <v>2084217296</v>
      </c>
      <c r="B85" s="30" t="s">
        <v>18731</v>
      </c>
      <c r="C85" s="30" t="s">
        <v>19186</v>
      </c>
      <c r="D85" s="30" t="s">
        <v>19187</v>
      </c>
      <c r="E85" s="4" t="str">
        <f ca="1">IFERROR(__xludf.DUMMYFUNCTION("GOOGLETRANSLATE(B85,""ja"",""vi"")"),"hàng gia công")</f>
        <v>hàng gia công</v>
      </c>
      <c r="F85" s="4" t="str">
        <f ca="1">IFERROR(__xludf.DUMMYFUNCTION("GOOGLETRANSLATE(C85,""ja"",""vi"")"),"Đấu giá&gt; thực phẩm, đồ uống&gt; thịt&gt; thịt lợn&gt; hàng gia công")</f>
        <v>Đấu giá&gt; thực phẩm, đồ uống&gt; thịt&gt; thịt lợn&gt; hàng gia công</v>
      </c>
      <c r="G85" t="str">
        <f t="shared" ca="1" si="1"/>
        <v>"2084217296" : "hàng gia công",</v>
      </c>
    </row>
    <row r="86" spans="1:7" ht="15.75" customHeight="1">
      <c r="A86" s="30">
        <v>2084209994</v>
      </c>
      <c r="B86" s="30" t="s">
        <v>46</v>
      </c>
      <c r="C86" s="30" t="s">
        <v>19189</v>
      </c>
      <c r="D86" s="30" t="s">
        <v>19191</v>
      </c>
      <c r="E86" s="4" t="str">
        <f ca="1">IFERROR(__xludf.DUMMYFUNCTION("GOOGLETRANSLATE(B86,""ja"",""vi"")"),"nếu không thì")</f>
        <v>nếu không thì</v>
      </c>
      <c r="F86" s="4" t="str">
        <f ca="1">IFERROR(__xludf.DUMMYFUNCTION("GOOGLETRANSLATE(C86,""ja"",""vi"")"),"Đấu giá&gt; thực phẩm, đồ uống&gt; thịt&gt; thịt lợn&gt; Khác")</f>
        <v>Đấu giá&gt; thực phẩm, đồ uống&gt; thịt&gt; thịt lợn&gt; Khác</v>
      </c>
      <c r="G86" t="str">
        <f t="shared" ca="1" si="1"/>
        <v>"2084209994" : "nếu không thì",</v>
      </c>
    </row>
    <row r="87" spans="1:7" ht="15.75" customHeight="1">
      <c r="A87" s="28">
        <v>2084217295</v>
      </c>
      <c r="B87" s="28" t="s">
        <v>19193</v>
      </c>
      <c r="C87" s="28" t="s">
        <v>19194</v>
      </c>
      <c r="D87" s="28" t="s">
        <v>19195</v>
      </c>
      <c r="E87" s="4" t="str">
        <f ca="1">IFERROR(__xludf.DUMMYFUNCTION("GOOGLETRANSLATE(B87,""ja"",""vi"")"),"thịt bò")</f>
        <v>thịt bò</v>
      </c>
      <c r="F87" s="4" t="str">
        <f ca="1">IFERROR(__xludf.DUMMYFUNCTION("GOOGLETRANSLATE(C87,""ja"",""vi"")"),"Đấu giá&gt; thực phẩm, đồ uống&gt; thịt&gt; hàng gia công&gt; thịt bò")</f>
        <v>Đấu giá&gt; thực phẩm, đồ uống&gt; thịt&gt; hàng gia công&gt; thịt bò</v>
      </c>
      <c r="G87" t="str">
        <f t="shared" ca="1" si="1"/>
        <v>"2084217295" : "thịt bò",</v>
      </c>
    </row>
    <row r="88" spans="1:7" ht="15.75" customHeight="1">
      <c r="A88" s="28">
        <v>2084217286</v>
      </c>
      <c r="B88" s="28" t="s">
        <v>19198</v>
      </c>
      <c r="C88" s="28" t="s">
        <v>19199</v>
      </c>
      <c r="D88" s="28" t="s">
        <v>19200</v>
      </c>
      <c r="E88" s="4" t="str">
        <f ca="1">IFERROR(__xludf.DUMMYFUNCTION("GOOGLETRANSLATE(B88,""ja"",""vi"")"),"gà")</f>
        <v>gà</v>
      </c>
      <c r="F88" s="4" t="str">
        <f ca="1">IFERROR(__xludf.DUMMYFUNCTION("GOOGLETRANSLATE(C88,""ja"",""vi"")"),"Đấu giá&gt; thực phẩm, đồ uống&gt; thịt&gt; hàng gia công&gt; gà")</f>
        <v>Đấu giá&gt; thực phẩm, đồ uống&gt; thịt&gt; hàng gia công&gt; gà</v>
      </c>
      <c r="G88" t="str">
        <f t="shared" ca="1" si="1"/>
        <v>"2084217286" : "gà",</v>
      </c>
    </row>
    <row r="89" spans="1:7" ht="15.75" customHeight="1">
      <c r="A89" s="28">
        <v>2084217296</v>
      </c>
      <c r="B89" s="28" t="s">
        <v>19203</v>
      </c>
      <c r="C89" s="28" t="s">
        <v>19205</v>
      </c>
      <c r="D89" s="28" t="s">
        <v>19206</v>
      </c>
      <c r="E89" s="4" t="str">
        <f ca="1">IFERROR(__xludf.DUMMYFUNCTION("GOOGLETRANSLATE(B89,""ja"",""vi"")"),"thịt heo")</f>
        <v>thịt heo</v>
      </c>
      <c r="F89" s="4" t="str">
        <f ca="1">IFERROR(__xludf.DUMMYFUNCTION("GOOGLETRANSLATE(C89,""ja"",""vi"")"),"Đấu giá&gt; thực phẩm, đồ uống&gt; thịt&gt; hàng gia công&gt; thịt lợn")</f>
        <v>Đấu giá&gt; thực phẩm, đồ uống&gt; thịt&gt; hàng gia công&gt; thịt lợn</v>
      </c>
      <c r="G89" t="str">
        <f t="shared" ca="1" si="1"/>
        <v>"2084217296" : "thịt heo",</v>
      </c>
    </row>
    <row r="90" spans="1:7" ht="15.75" customHeight="1">
      <c r="A90" s="28">
        <v>2084217298</v>
      </c>
      <c r="B90" s="28" t="s">
        <v>19210</v>
      </c>
      <c r="C90" s="28" t="s">
        <v>19211</v>
      </c>
      <c r="D90" s="28" t="s">
        <v>19212</v>
      </c>
      <c r="E90" s="4" t="str">
        <f ca="1">IFERROR(__xludf.DUMMYFUNCTION("GOOGLETRANSLATE(B90,""ja"",""vi"")"),"thịt ba rọi")</f>
        <v>thịt ba rọi</v>
      </c>
      <c r="F90" s="4" t="str">
        <f ca="1">IFERROR(__xludf.DUMMYFUNCTION("GOOGLETRANSLATE(C90,""ja"",""vi"")"),"Đấu giá&gt; thực phẩm, đồ uống&gt; thịt&gt; hàng gia công&gt; thịt xông khói")</f>
        <v>Đấu giá&gt; thực phẩm, đồ uống&gt; thịt&gt; hàng gia công&gt; thịt xông khói</v>
      </c>
      <c r="G90" t="str">
        <f t="shared" ca="1" si="1"/>
        <v>"2084217298" : "thịt ba rọi",</v>
      </c>
    </row>
    <row r="91" spans="1:7" ht="15.75" customHeight="1">
      <c r="A91" s="28">
        <v>2084045148</v>
      </c>
      <c r="B91" s="28" t="s">
        <v>19216</v>
      </c>
      <c r="C91" s="28" t="s">
        <v>19217</v>
      </c>
      <c r="D91" s="28" t="s">
        <v>19218</v>
      </c>
      <c r="E91" s="4" t="str">
        <f ca="1">IFERROR(__xludf.DUMMYFUNCTION("GOOGLETRANSLATE(B91,""ja"",""vi"")"),"Ham, xúc xích")</f>
        <v>Ham, xúc xích</v>
      </c>
      <c r="F91" s="4" t="str">
        <f ca="1">IFERROR(__xludf.DUMMYFUNCTION("GOOGLETRANSLATE(C91,""ja"",""vi"")"),"Đấu giá&gt; thực phẩm, đồ uống&gt; thịt&gt; hàng gia công&gt; giăm bông, xúc xích")</f>
        <v>Đấu giá&gt; thực phẩm, đồ uống&gt; thịt&gt; hàng gia công&gt; giăm bông, xúc xích</v>
      </c>
      <c r="G91" t="str">
        <f t="shared" ca="1" si="1"/>
        <v>"2084045148" : "Ham, xúc xích",</v>
      </c>
    </row>
    <row r="92" spans="1:7" ht="15.75" customHeight="1">
      <c r="A92" s="28">
        <v>2084217307</v>
      </c>
      <c r="B92" s="28" t="s">
        <v>46</v>
      </c>
      <c r="C92" s="28" t="s">
        <v>19221</v>
      </c>
      <c r="D92" s="28" t="s">
        <v>19222</v>
      </c>
      <c r="E92" s="4" t="str">
        <f ca="1">IFERROR(__xludf.DUMMYFUNCTION("GOOGLETRANSLATE(B92,""ja"",""vi"")"),"nếu không thì")</f>
        <v>nếu không thì</v>
      </c>
      <c r="F92" s="4" t="str">
        <f ca="1">IFERROR(__xludf.DUMMYFUNCTION("GOOGLETRANSLATE(C92,""ja"",""vi"")"),"Đấu giá&gt; thực phẩm, đồ uống&gt; thịt&gt; hàng gia công&gt; Khác")</f>
        <v>Đấu giá&gt; thực phẩm, đồ uống&gt; thịt&gt; hàng gia công&gt; Khác</v>
      </c>
      <c r="G92" t="str">
        <f t="shared" ca="1" si="1"/>
        <v>"2084217307" : "nếu không thì",</v>
      </c>
    </row>
    <row r="93" spans="1:7" ht="15.75" customHeight="1">
      <c r="A93" s="28">
        <v>2084312158</v>
      </c>
      <c r="B93" s="28" t="s">
        <v>19224</v>
      </c>
      <c r="C93" s="28" t="s">
        <v>19226</v>
      </c>
      <c r="D93" s="28" t="s">
        <v>19228</v>
      </c>
      <c r="E93" s="4" t="str">
        <f ca="1">IFERROR(__xludf.DUMMYFUNCTION("GOOGLETRANSLATE(B93,""ja"",""vi"")"),"gạo rửa miễn phí")</f>
        <v>gạo rửa miễn phí</v>
      </c>
      <c r="F93" s="4" t="str">
        <f ca="1">IFERROR(__xludf.DUMMYFUNCTION("GOOGLETRANSLATE(C93,""ja"",""vi"")"),"Đấu giá&gt; thực phẩm, đồ uống&gt; gạo, ngũ cốc, sê-ri&gt; Mỹ&gt; gạo rửa miễn phí")</f>
        <v>Đấu giá&gt; thực phẩm, đồ uống&gt; gạo, ngũ cốc, sê-ri&gt; Mỹ&gt; gạo rửa miễn phí</v>
      </c>
      <c r="G93" t="str">
        <f t="shared" ca="1" si="1"/>
        <v>"2084312158" : "gạo rửa miễn phí",</v>
      </c>
    </row>
    <row r="94" spans="1:7" ht="15.75" customHeight="1">
      <c r="A94" s="28">
        <v>2084062645</v>
      </c>
      <c r="B94" s="28" t="s">
        <v>19229</v>
      </c>
      <c r="C94" s="28" t="s">
        <v>19230</v>
      </c>
      <c r="D94" s="28" t="s">
        <v>19231</v>
      </c>
      <c r="E94" s="4" t="str">
        <f ca="1">IFERROR(__xludf.DUMMYFUNCTION("GOOGLETRANSLATE(B94,""ja"",""vi"")"),"cơm")</f>
        <v>cơm</v>
      </c>
      <c r="F94" s="4" t="str">
        <f ca="1">IFERROR(__xludf.DUMMYFUNCTION("GOOGLETRANSLATE(C94,""ja"",""vi"")"),"Đấu giá&gt; thực phẩm, đồ uống&gt; gạo, ngũ cốc, ngũ cốc&gt; Gạo&gt; gạo trắng")</f>
        <v>Đấu giá&gt; thực phẩm, đồ uống&gt; gạo, ngũ cốc, ngũ cốc&gt; Gạo&gt; gạo trắng</v>
      </c>
      <c r="G94" t="str">
        <f t="shared" ca="1" si="1"/>
        <v>"2084062645" : "cơm",</v>
      </c>
    </row>
    <row r="95" spans="1:7" ht="15.75" customHeight="1">
      <c r="A95" s="28">
        <v>2084062646</v>
      </c>
      <c r="B95" s="28" t="s">
        <v>19233</v>
      </c>
      <c r="C95" s="28" t="s">
        <v>19234</v>
      </c>
      <c r="D95" s="28" t="s">
        <v>19235</v>
      </c>
      <c r="E95" s="4" t="str">
        <f ca="1">IFERROR(__xludf.DUMMYFUNCTION("GOOGLETRANSLATE(B95,""ja"",""vi"")"),"gạo lứt")</f>
        <v>gạo lứt</v>
      </c>
      <c r="F95" s="4" t="str">
        <f ca="1">IFERROR(__xludf.DUMMYFUNCTION("GOOGLETRANSLATE(C95,""ja"",""vi"")"),"Đấu giá&gt; thực phẩm, đồ uống&gt; gạo, ngũ cốc, ngũ cốc&gt; Gạo&gt; gạo lức")</f>
        <v>Đấu giá&gt; thực phẩm, đồ uống&gt; gạo, ngũ cốc, ngũ cốc&gt; Gạo&gt; gạo lức</v>
      </c>
      <c r="G95" t="str">
        <f t="shared" ca="1" si="1"/>
        <v>"2084062646" : "gạo lứt",</v>
      </c>
    </row>
    <row r="96" spans="1:7" ht="15.75" customHeight="1">
      <c r="A96" s="28">
        <v>2084226963</v>
      </c>
      <c r="B96" s="28" t="s">
        <v>19237</v>
      </c>
      <c r="C96" s="28" t="s">
        <v>19238</v>
      </c>
      <c r="D96" s="28" t="s">
        <v>19239</v>
      </c>
      <c r="E96" s="4" t="str">
        <f ca="1">IFERROR(__xludf.DUMMYFUNCTION("GOOGLETRANSLATE(B96,""ja"",""vi"")"),"gạo nếp")</f>
        <v>gạo nếp</v>
      </c>
      <c r="F96" s="4" t="str">
        <f ca="1">IFERROR(__xludf.DUMMYFUNCTION("GOOGLETRANSLATE(C96,""ja"",""vi"")"),"Đấu giá&gt; thực phẩm, đồ uống&gt; gạo, ngũ cốc, ngũ cốc&gt; Gạo&gt; gạo nếp")</f>
        <v>Đấu giá&gt; thực phẩm, đồ uống&gt; gạo, ngũ cốc, ngũ cốc&gt; Gạo&gt; gạo nếp</v>
      </c>
      <c r="G96" t="str">
        <f t="shared" ca="1" si="1"/>
        <v>"2084226963" : "gạo nếp",</v>
      </c>
    </row>
    <row r="97" spans="1:7" ht="15.75" customHeight="1">
      <c r="A97" s="28">
        <v>2084210017</v>
      </c>
      <c r="B97" s="28" t="s">
        <v>18963</v>
      </c>
      <c r="C97" s="28" t="s">
        <v>19241</v>
      </c>
      <c r="D97" s="28" t="s">
        <v>19242</v>
      </c>
      <c r="E97" s="4" t="str">
        <f ca="1">IFERROR(__xludf.DUMMYFUNCTION("GOOGLETRANSLATE(B97,""ja"",""vi"")"),"Set, Assortment")</f>
        <v>Set, Assortment</v>
      </c>
      <c r="F97" s="4" t="str">
        <f ca="1">IFERROR(__xludf.DUMMYFUNCTION("GOOGLETRANSLATE(C97,""ja"",""vi"")"),"Đấu giá&gt; thực phẩm, đồ uống&gt; rau, trái cây&gt; rau&gt; thiết lập, loại")</f>
        <v>Đấu giá&gt; thực phẩm, đồ uống&gt; rau, trái cây&gt; rau&gt; thiết lập, loại</v>
      </c>
      <c r="G97" t="str">
        <f t="shared" ca="1" si="1"/>
        <v>"2084210017" : "Set, Assortment",</v>
      </c>
    </row>
    <row r="98" spans="1:7" ht="15.75" customHeight="1">
      <c r="A98" s="28">
        <v>2084210027</v>
      </c>
      <c r="B98" s="28" t="s">
        <v>19244</v>
      </c>
      <c r="C98" s="28" t="s">
        <v>19245</v>
      </c>
      <c r="D98" s="28" t="s">
        <v>19246</v>
      </c>
      <c r="E98" s="4" t="str">
        <f ca="1">IFERROR(__xludf.DUMMYFUNCTION("GOOGLETRANSLATE(B98,""ja"",""vi"")"),"măng tây")</f>
        <v>măng tây</v>
      </c>
      <c r="F98" s="4" t="str">
        <f ca="1">IFERROR(__xludf.DUMMYFUNCTION("GOOGLETRANSLATE(C98,""ja"",""vi"")"),"Đấu giá&gt; thực phẩm, đồ uống&gt; rau, trái cây&gt; rau&gt; măng tây")</f>
        <v>Đấu giá&gt; thực phẩm, đồ uống&gt; rau, trái cây&gt; rau&gt; măng tây</v>
      </c>
      <c r="G98" t="str">
        <f t="shared" ca="1" si="1"/>
        <v>"2084210027" : "măng tây",</v>
      </c>
    </row>
    <row r="99" spans="1:7" ht="15.75" customHeight="1">
      <c r="A99" s="28">
        <v>2084214361</v>
      </c>
      <c r="B99" s="28" t="s">
        <v>19248</v>
      </c>
      <c r="C99" s="28" t="s">
        <v>19249</v>
      </c>
      <c r="D99" s="28" t="s">
        <v>19250</v>
      </c>
      <c r="E99" s="4" t="str">
        <f ca="1">IFERROR(__xludf.DUMMYFUNCTION("GOOGLETRANSLATE(B99,""ja"",""vi"")"),"bí đỏ")</f>
        <v>bí đỏ</v>
      </c>
      <c r="F99" s="4" t="str">
        <f ca="1">IFERROR(__xludf.DUMMYFUNCTION("GOOGLETRANSLATE(C99,""ja"",""vi"")"),"Đấu giá&gt; thực phẩm, đồ uống&gt; rau, trái cây&gt; rau&gt; bí ngô")</f>
        <v>Đấu giá&gt; thực phẩm, đồ uống&gt; rau, trái cây&gt; rau&gt; bí ngô</v>
      </c>
      <c r="G99" t="str">
        <f t="shared" ca="1" si="1"/>
        <v>"2084214361" : "bí đỏ",</v>
      </c>
    </row>
    <row r="100" spans="1:7" ht="15.75" customHeight="1">
      <c r="A100" s="28">
        <v>2084289194</v>
      </c>
      <c r="B100" s="28" t="s">
        <v>19252</v>
      </c>
      <c r="C100" s="28" t="s">
        <v>19253</v>
      </c>
      <c r="D100" s="28" t="s">
        <v>19254</v>
      </c>
      <c r="E100" s="4" t="str">
        <f ca="1">IFERROR(__xludf.DUMMYFUNCTION("GOOGLETRANSLATE(B100,""ja"",""vi"")"),"cây ngưu bàng")</f>
        <v>cây ngưu bàng</v>
      </c>
      <c r="F100" s="4" t="str">
        <f ca="1">IFERROR(__xludf.DUMMYFUNCTION("GOOGLETRANSLATE(C100,""ja"",""vi"")"),"Đấu giá&gt; thực phẩm, đồ uống&gt; rau, trái cây&gt; rau&gt; cây ngưu bàng")</f>
        <v>Đấu giá&gt; thực phẩm, đồ uống&gt; rau, trái cây&gt; rau&gt; cây ngưu bàng</v>
      </c>
      <c r="G100" t="str">
        <f t="shared" ca="1" si="1"/>
        <v>"2084289194" : "cây ngưu bàng",</v>
      </c>
    </row>
    <row r="101" spans="1:7" ht="15.75" customHeight="1">
      <c r="A101" s="28">
        <v>2084215043</v>
      </c>
      <c r="B101" s="28" t="s">
        <v>19256</v>
      </c>
      <c r="C101" s="28" t="s">
        <v>19257</v>
      </c>
      <c r="D101" s="28" t="s">
        <v>19258</v>
      </c>
      <c r="E101" s="4" t="str">
        <f ca="1">IFERROR(__xludf.DUMMYFUNCTION("GOOGLETRANSLATE(B101,""ja"",""vi"")"),"nấm")</f>
        <v>nấm</v>
      </c>
      <c r="F101" s="4" t="str">
        <f ca="1">IFERROR(__xludf.DUMMYFUNCTION("GOOGLETRANSLATE(C101,""ja"",""vi"")"),"Đấu giá&gt; thực phẩm, đồ uống&gt; rau, trái cây&gt; rau&gt; nấm")</f>
        <v>Đấu giá&gt; thực phẩm, đồ uống&gt; rau, trái cây&gt; rau&gt; nấm</v>
      </c>
      <c r="G101" t="str">
        <f t="shared" ca="1" si="1"/>
        <v>"2084215043" : "nấm",</v>
      </c>
    </row>
    <row r="102" spans="1:7" ht="15.75" customHeight="1">
      <c r="A102" s="28">
        <v>2084210024</v>
      </c>
      <c r="B102" s="28" t="s">
        <v>19260</v>
      </c>
      <c r="C102" s="28" t="s">
        <v>19261</v>
      </c>
      <c r="D102" s="28" t="s">
        <v>19262</v>
      </c>
      <c r="E102" s="4" t="str">
        <f ca="1">IFERROR(__xludf.DUMMYFUNCTION("GOOGLETRANSLATE(B102,""ja"",""vi"")"),"bắp cải")</f>
        <v>bắp cải</v>
      </c>
      <c r="F102" s="4" t="str">
        <f ca="1">IFERROR(__xludf.DUMMYFUNCTION("GOOGLETRANSLATE(C102,""ja"",""vi"")"),"Đấu giá&gt; thực phẩm, đồ uống&gt; rau, trái cây&gt; rau&gt; bắp cải")</f>
        <v>Đấu giá&gt; thực phẩm, đồ uống&gt; rau, trái cây&gt; rau&gt; bắp cải</v>
      </c>
      <c r="G102" t="str">
        <f t="shared" ca="1" si="1"/>
        <v>"2084210024" : "bắp cải",</v>
      </c>
    </row>
    <row r="103" spans="1:7" ht="15.75" customHeight="1">
      <c r="A103" s="28">
        <v>2084289699</v>
      </c>
      <c r="B103" s="28" t="s">
        <v>19264</v>
      </c>
      <c r="C103" s="28" t="s">
        <v>19266</v>
      </c>
      <c r="D103" s="28" t="s">
        <v>19267</v>
      </c>
      <c r="E103" s="4" t="str">
        <f ca="1">IFERROR(__xludf.DUMMYFUNCTION("GOOGLETRANSLATE(B103,""ja"",""vi"")"),"khoai lang")</f>
        <v>khoai lang</v>
      </c>
      <c r="F103" s="4" t="str">
        <f ca="1">IFERROR(__xludf.DUMMYFUNCTION("GOOGLETRANSLATE(C103,""ja"",""vi"")"),"Đấu giá&gt; thực phẩm, đồ uống&gt; rau, trái cây&gt; rau&gt; khoai lang")</f>
        <v>Đấu giá&gt; thực phẩm, đồ uống&gt; rau, trái cây&gt; rau&gt; khoai lang</v>
      </c>
      <c r="G103" t="str">
        <f t="shared" ca="1" si="1"/>
        <v>"2084289699" : "khoai lang",</v>
      </c>
    </row>
    <row r="104" spans="1:7" ht="15.75" customHeight="1">
      <c r="A104" s="28">
        <v>2084289195</v>
      </c>
      <c r="B104" s="28" t="s">
        <v>19268</v>
      </c>
      <c r="C104" s="28" t="s">
        <v>19270</v>
      </c>
      <c r="D104" s="28" t="s">
        <v>19271</v>
      </c>
      <c r="E104" s="4" t="str">
        <f ca="1">IFERROR(__xludf.DUMMYFUNCTION("GOOGLETRANSLATE(B104,""ja"",""vi"")"),"gừng")</f>
        <v>gừng</v>
      </c>
      <c r="F104" s="4" t="str">
        <f ca="1">IFERROR(__xludf.DUMMYFUNCTION("GOOGLETRANSLATE(C104,""ja"",""vi"")"),"Đấu giá&gt; thực phẩm, đồ uống&gt; rau, trái cây&gt; rau&gt; gừng")</f>
        <v>Đấu giá&gt; thực phẩm, đồ uống&gt; rau, trái cây&gt; rau&gt; gừng</v>
      </c>
      <c r="G104" t="str">
        <f t="shared" ca="1" si="1"/>
        <v>"2084289195" : "gừng",</v>
      </c>
    </row>
    <row r="105" spans="1:7" ht="15.75" customHeight="1">
      <c r="A105" s="28">
        <v>2084289700</v>
      </c>
      <c r="B105" s="28" t="s">
        <v>19272</v>
      </c>
      <c r="C105" s="28" t="s">
        <v>19274</v>
      </c>
      <c r="D105" s="28" t="s">
        <v>19275</v>
      </c>
      <c r="E105" s="4" t="str">
        <f ca="1">IFERROR(__xludf.DUMMYFUNCTION("GOOGLETRANSLATE(B105,""ja"",""vi"")"),"Một củ khoai tây")</f>
        <v>Một củ khoai tây</v>
      </c>
      <c r="F105" s="4" t="str">
        <f ca="1">IFERROR(__xludf.DUMMYFUNCTION("GOOGLETRANSLATE(C105,""ja"",""vi"")"),"Đấu giá&gt; thực phẩm, đồ uống&gt; rau, trái cây&gt; rau&gt; khoai tây")</f>
        <v>Đấu giá&gt; thực phẩm, đồ uống&gt; rau, trái cây&gt; rau&gt; khoai tây</v>
      </c>
      <c r="G105" t="str">
        <f t="shared" ca="1" si="1"/>
        <v>"2084289700" : "Một củ khoai tây",</v>
      </c>
    </row>
    <row r="106" spans="1:7" ht="15.75" customHeight="1">
      <c r="A106" s="28">
        <v>2084211039</v>
      </c>
      <c r="B106" s="28" t="s">
        <v>19276</v>
      </c>
      <c r="C106" s="28" t="s">
        <v>19278</v>
      </c>
      <c r="D106" s="28" t="s">
        <v>19279</v>
      </c>
      <c r="E106" s="4" t="str">
        <f ca="1">IFERROR(__xludf.DUMMYFUNCTION("GOOGLETRANSLATE(B106,""ja"",""vi"")"),"dưa hấu")</f>
        <v>dưa hấu</v>
      </c>
      <c r="F106" s="4" t="str">
        <f ca="1">IFERROR(__xludf.DUMMYFUNCTION("GOOGLETRANSLATE(C106,""ja"",""vi"")"),"Đấu giá&gt; thực phẩm, đồ uống&gt; rau, trái cây&gt; rau&gt; Dưa hấu")</f>
        <v>Đấu giá&gt; thực phẩm, đồ uống&gt; rau, trái cây&gt; rau&gt; Dưa hấu</v>
      </c>
      <c r="G106" t="str">
        <f t="shared" ca="1" si="1"/>
        <v>"2084211039" : "dưa hấu",</v>
      </c>
    </row>
    <row r="107" spans="1:7" ht="15.75" customHeight="1">
      <c r="A107" s="28">
        <v>2084215042</v>
      </c>
      <c r="B107" s="28" t="s">
        <v>19280</v>
      </c>
      <c r="C107" s="28" t="s">
        <v>19282</v>
      </c>
      <c r="D107" s="28" t="s">
        <v>19283</v>
      </c>
      <c r="E107" s="4" t="str">
        <f ca="1">IFERROR(__xludf.DUMMYFUNCTION("GOOGLETRANSLATE(B107,""ja"",""vi"")"),"thảo mộc núi")</f>
        <v>thảo mộc núi</v>
      </c>
      <c r="F107" s="4" t="str">
        <f ca="1">IFERROR(__xludf.DUMMYFUNCTION("GOOGLETRANSLATE(C107,""ja"",""vi"")"),"Đấu giá&gt; thực phẩm, đồ uống&gt; rau, trái cây&gt; rau&gt; thực vật hoang dã ăn được")</f>
        <v>Đấu giá&gt; thực phẩm, đồ uống&gt; rau, trái cây&gt; rau&gt; thực vật hoang dã ăn được</v>
      </c>
      <c r="G107" t="str">
        <f t="shared" ca="1" si="1"/>
        <v>"2084215042" : "thảo mộc núi",</v>
      </c>
    </row>
    <row r="108" spans="1:7" ht="15.75" customHeight="1">
      <c r="A108" s="28">
        <v>2084210028</v>
      </c>
      <c r="B108" s="28" t="s">
        <v>19285</v>
      </c>
      <c r="C108" s="28" t="s">
        <v>19286</v>
      </c>
      <c r="D108" s="28" t="s">
        <v>19287</v>
      </c>
      <c r="E108" s="4" t="str">
        <f ca="1">IFERROR(__xludf.DUMMYFUNCTION("GOOGLETRANSLATE(B108,""ja"",""vi"")"),"măng")</f>
        <v>măng</v>
      </c>
      <c r="F108" s="4" t="str">
        <f ca="1">IFERROR(__xludf.DUMMYFUNCTION("GOOGLETRANSLATE(C108,""ja"",""vi"")"),"Đấu giá&gt; thực phẩm, đồ uống&gt; rau, trái cây&gt; rau&gt; măng")</f>
        <v>Đấu giá&gt; thực phẩm, đồ uống&gt; rau, trái cây&gt; rau&gt; măng</v>
      </c>
      <c r="G108" t="str">
        <f t="shared" ca="1" si="1"/>
        <v>"2084210028" : "măng",</v>
      </c>
    </row>
    <row r="109" spans="1:7" ht="15.75" customHeight="1">
      <c r="A109" s="28">
        <v>2084289181</v>
      </c>
      <c r="B109" s="28" t="s">
        <v>19289</v>
      </c>
      <c r="C109" s="28" t="s">
        <v>19290</v>
      </c>
      <c r="D109" s="28" t="s">
        <v>19292</v>
      </c>
      <c r="E109" s="4" t="str">
        <f ca="1">IFERROR(__xludf.DUMMYFUNCTION("GOOGLETRANSLATE(B109,""ja"",""vi"")"),"hành")</f>
        <v>hành</v>
      </c>
      <c r="F109" s="4" t="str">
        <f ca="1">IFERROR(__xludf.DUMMYFUNCTION("GOOGLETRANSLATE(C109,""ja"",""vi"")"),"Đấu giá&gt; thực phẩm, đồ uống&gt; rau, trái cây&gt; rau&gt; hành tây")</f>
        <v>Đấu giá&gt; thực phẩm, đồ uống&gt; rau, trái cây&gt; rau&gt; hành tây</v>
      </c>
      <c r="G109" t="str">
        <f t="shared" ca="1" si="1"/>
        <v>"2084289181" : "hành",</v>
      </c>
    </row>
    <row r="110" spans="1:7" ht="15.75" customHeight="1">
      <c r="A110" s="28">
        <v>2084210019</v>
      </c>
      <c r="B110" s="28" t="s">
        <v>19293</v>
      </c>
      <c r="C110" s="28" t="s">
        <v>19294</v>
      </c>
      <c r="D110" s="28" t="s">
        <v>19296</v>
      </c>
      <c r="E110" s="4" t="str">
        <f ca="1">IFERROR(__xludf.DUMMYFUNCTION("GOOGLETRANSLATE(B110,""ja"",""vi"")"),"củ cải")</f>
        <v>củ cải</v>
      </c>
      <c r="F110" s="4" t="str">
        <f ca="1">IFERROR(__xludf.DUMMYFUNCTION("GOOGLETRANSLATE(C110,""ja"",""vi"")"),"Đấu giá&gt; thực phẩm, đồ uống&gt; rau, trái cây&gt; rau&gt; củ cải")</f>
        <v>Đấu giá&gt; thực phẩm, đồ uống&gt; rau, trái cây&gt; rau&gt; củ cải</v>
      </c>
      <c r="G110" t="str">
        <f t="shared" ca="1" si="1"/>
        <v>"2084210019" : "củ cải",</v>
      </c>
    </row>
    <row r="111" spans="1:7" ht="15.75" customHeight="1">
      <c r="A111" s="28">
        <v>2084212764</v>
      </c>
      <c r="B111" s="28" t="s">
        <v>19297</v>
      </c>
      <c r="C111" s="28" t="s">
        <v>19298</v>
      </c>
      <c r="D111" s="28" t="s">
        <v>19300</v>
      </c>
      <c r="E111" s="4" t="str">
        <f ca="1">IFERROR(__xludf.DUMMYFUNCTION("GOOGLETRANSLATE(B111,""ja"",""vi"")"),"ngô")</f>
        <v>ngô</v>
      </c>
      <c r="F111" s="4" t="str">
        <f ca="1">IFERROR(__xludf.DUMMYFUNCTION("GOOGLETRANSLATE(C111,""ja"",""vi"")"),"Đấu giá&gt; thực phẩm, đồ uống&gt; rau, trái cây&gt; rau&gt; ngô")</f>
        <v>Đấu giá&gt; thực phẩm, đồ uống&gt; rau, trái cây&gt; rau&gt; ngô</v>
      </c>
      <c r="G111" t="str">
        <f t="shared" ca="1" si="1"/>
        <v>"2084212764" : "ngô",</v>
      </c>
    </row>
    <row r="112" spans="1:7" ht="15.75" customHeight="1">
      <c r="A112" s="28">
        <v>2084210032</v>
      </c>
      <c r="B112" s="28" t="s">
        <v>19301</v>
      </c>
      <c r="C112" s="28" t="s">
        <v>19303</v>
      </c>
      <c r="D112" s="28" t="s">
        <v>19304</v>
      </c>
      <c r="E112" s="4" t="str">
        <f ca="1">IFERROR(__xludf.DUMMYFUNCTION("GOOGLETRANSLATE(B112,""ja"",""vi"")"),"cà chua")</f>
        <v>cà chua</v>
      </c>
      <c r="F112" s="4" t="str">
        <f ca="1">IFERROR(__xludf.DUMMYFUNCTION("GOOGLETRANSLATE(C112,""ja"",""vi"")"),"Đấu giá&gt; thực phẩm, đồ uống&gt; rau, trái cây&gt; rau&gt; cà chua")</f>
        <v>Đấu giá&gt; thực phẩm, đồ uống&gt; rau, trái cây&gt; rau&gt; cà chua</v>
      </c>
      <c r="G112" t="str">
        <f t="shared" ca="1" si="1"/>
        <v>"2084210032" : "cà chua",</v>
      </c>
    </row>
    <row r="113" spans="1:7" ht="15.75" customHeight="1">
      <c r="A113" s="28">
        <v>2084210034</v>
      </c>
      <c r="B113" s="28" t="s">
        <v>19305</v>
      </c>
      <c r="C113" s="28" t="s">
        <v>19307</v>
      </c>
      <c r="D113" s="28" t="s">
        <v>19308</v>
      </c>
      <c r="E113" s="4" t="str">
        <f ca="1">IFERROR(__xludf.DUMMYFUNCTION("GOOGLETRANSLATE(B113,""ja"",""vi"")"),"cà tím")</f>
        <v>cà tím</v>
      </c>
      <c r="F113" s="4" t="str">
        <f ca="1">IFERROR(__xludf.DUMMYFUNCTION("GOOGLETRANSLATE(C113,""ja"",""vi"")"),"Đấu giá&gt; thực phẩm, đồ uống&gt; rau, trái cây&gt; rau&gt; cà tím")</f>
        <v>Đấu giá&gt; thực phẩm, đồ uống&gt; rau, trái cây&gt; rau&gt; cà tím</v>
      </c>
      <c r="G113" t="str">
        <f t="shared" ca="1" si="1"/>
        <v>"2084210034" : "cà tím",</v>
      </c>
    </row>
    <row r="114" spans="1:7" ht="15.75" customHeight="1">
      <c r="A114" s="28">
        <v>2084210020</v>
      </c>
      <c r="B114" s="28" t="s">
        <v>19309</v>
      </c>
      <c r="C114" s="28" t="s">
        <v>19310</v>
      </c>
      <c r="D114" s="28" t="s">
        <v>19311</v>
      </c>
      <c r="E114" s="4" t="str">
        <f ca="1">IFERROR(__xludf.DUMMYFUNCTION("GOOGLETRANSLATE(B114,""ja"",""vi"")"),"cà rốt")</f>
        <v>cà rốt</v>
      </c>
      <c r="F114" s="4" t="str">
        <f ca="1">IFERROR(__xludf.DUMMYFUNCTION("GOOGLETRANSLATE(C114,""ja"",""vi"")"),"Đấu giá&gt; thực phẩm, đồ uống&gt; rau, trái cây&gt; rau&gt; cà rốt")</f>
        <v>Đấu giá&gt; thực phẩm, đồ uống&gt; rau, trái cây&gt; rau&gt; cà rốt</v>
      </c>
      <c r="G114" t="str">
        <f t="shared" ca="1" si="1"/>
        <v>"2084210020" : "cà rốt",</v>
      </c>
    </row>
    <row r="115" spans="1:7" ht="15.75" customHeight="1">
      <c r="A115" s="28">
        <v>2084289182</v>
      </c>
      <c r="B115" s="28" t="s">
        <v>19315</v>
      </c>
      <c r="C115" s="28" t="s">
        <v>19317</v>
      </c>
      <c r="D115" s="28" t="s">
        <v>19319</v>
      </c>
      <c r="E115" s="4" t="str">
        <f ca="1">IFERROR(__xludf.DUMMYFUNCTION("GOOGLETRANSLATE(B115,""ja"",""vi"")"),"tỏi")</f>
        <v>tỏi</v>
      </c>
      <c r="F115" s="4" t="str">
        <f ca="1">IFERROR(__xludf.DUMMYFUNCTION("GOOGLETRANSLATE(C115,""ja"",""vi"")"),"Đấu giá&gt; thực phẩm, đồ uống&gt; rau, trái cây&gt; rau&gt; tỏi")</f>
        <v>Đấu giá&gt; thực phẩm, đồ uống&gt; rau, trái cây&gt; rau&gt; tỏi</v>
      </c>
      <c r="G115" t="str">
        <f t="shared" ca="1" si="1"/>
        <v>"2084289182" : "tỏi",</v>
      </c>
    </row>
    <row r="116" spans="1:7" ht="15.75" customHeight="1">
      <c r="A116" s="28">
        <v>2084289186</v>
      </c>
      <c r="B116" s="28" t="s">
        <v>19321</v>
      </c>
      <c r="C116" s="28" t="s">
        <v>19323</v>
      </c>
      <c r="D116" s="28" t="s">
        <v>19325</v>
      </c>
      <c r="E116" s="4" t="str">
        <f ca="1">IFERROR(__xludf.DUMMYFUNCTION("GOOGLETRANSLATE(B116,""ja"",""vi"")"),"hành lá")</f>
        <v>hành lá</v>
      </c>
      <c r="F116" s="4" t="str">
        <f ca="1">IFERROR(__xludf.DUMMYFUNCTION("GOOGLETRANSLATE(C116,""ja"",""vi"")"),"Đấu giá&gt; thực phẩm, đồ uống&gt; rau, trái cây&gt; rau&gt; hành lá")</f>
        <v>Đấu giá&gt; thực phẩm, đồ uống&gt; rau, trái cây&gt; rau&gt; hành lá</v>
      </c>
      <c r="G116" t="str">
        <f t="shared" ca="1" si="1"/>
        <v>"2084289186" : "hành lá",</v>
      </c>
    </row>
    <row r="117" spans="1:7" ht="15.75" customHeight="1">
      <c r="A117" s="28">
        <v>2084210033</v>
      </c>
      <c r="B117" s="28" t="s">
        <v>19327</v>
      </c>
      <c r="C117" s="28" t="s">
        <v>19328</v>
      </c>
      <c r="D117" s="28" t="s">
        <v>19330</v>
      </c>
      <c r="E117" s="4" t="str">
        <f ca="1">IFERROR(__xludf.DUMMYFUNCTION("GOOGLETRANSLATE(B117,""ja"",""vi"")"),"ớt xanh")</f>
        <v>ớt xanh</v>
      </c>
      <c r="F117" s="4" t="str">
        <f ca="1">IFERROR(__xludf.DUMMYFUNCTION("GOOGLETRANSLATE(C117,""ja"",""vi"")"),"Đấu giá&gt; thực phẩm, đồ uống&gt; rau, trái cây&gt; rau&gt; ớt xanh")</f>
        <v>Đấu giá&gt; thực phẩm, đồ uống&gt; rau, trái cây&gt; rau&gt; ớt xanh</v>
      </c>
      <c r="G117" t="str">
        <f t="shared" ca="1" si="1"/>
        <v>"2084210033" : "ớt xanh",</v>
      </c>
    </row>
    <row r="118" spans="1:7" ht="15.75" customHeight="1">
      <c r="A118" s="28">
        <v>2084210037</v>
      </c>
      <c r="B118" s="28" t="s">
        <v>19333</v>
      </c>
      <c r="C118" s="28" t="s">
        <v>19334</v>
      </c>
      <c r="D118" s="28" t="s">
        <v>19335</v>
      </c>
      <c r="E118" s="4" t="str">
        <f ca="1">IFERROR(__xludf.DUMMYFUNCTION("GOOGLETRANSLATE(B118,""ja"",""vi"")"),"bông cải xanh")</f>
        <v>bông cải xanh</v>
      </c>
      <c r="F118" s="4" t="str">
        <f ca="1">IFERROR(__xludf.DUMMYFUNCTION("GOOGLETRANSLATE(C118,""ja"",""vi"")"),"Đấu giá&gt; thực phẩm, đồ uống&gt; rau, trái cây&gt; rau&gt; bông cải xanh")</f>
        <v>Đấu giá&gt; thực phẩm, đồ uống&gt; rau, trái cây&gt; rau&gt; bông cải xanh</v>
      </c>
      <c r="G118" t="str">
        <f t="shared" ca="1" si="1"/>
        <v>"2084210037" : "bông cải xanh",</v>
      </c>
    </row>
    <row r="119" spans="1:7" ht="15.75" customHeight="1">
      <c r="A119" s="28">
        <v>2084289185</v>
      </c>
      <c r="B119" s="28" t="s">
        <v>19336</v>
      </c>
      <c r="C119" s="28" t="s">
        <v>19337</v>
      </c>
      <c r="D119" s="28" t="s">
        <v>19339</v>
      </c>
      <c r="E119" s="4" t="str">
        <f ca="1">IFERROR(__xludf.DUMMYFUNCTION("GOOGLETRANSLATE(B119,""ja"",""vi"")"),"bắp cải Trung Quốc")</f>
        <v>bắp cải Trung Quốc</v>
      </c>
      <c r="F119" s="4" t="str">
        <f ca="1">IFERROR(__xludf.DUMMYFUNCTION("GOOGLETRANSLATE(C119,""ja"",""vi"")"),"Đấu giá&gt; thực phẩm, đồ uống&gt; rau, trái cây&gt; rau&gt; bắp cải Trung Quốc")</f>
        <v>Đấu giá&gt; thực phẩm, đồ uống&gt; rau, trái cây&gt; rau&gt; bắp cải Trung Quốc</v>
      </c>
      <c r="G119" t="str">
        <f t="shared" ca="1" si="1"/>
        <v>"2084289185" : "bắp cải Trung Quốc",</v>
      </c>
    </row>
    <row r="120" spans="1:7" ht="15.75" customHeight="1">
      <c r="A120" s="28">
        <v>2084210039</v>
      </c>
      <c r="B120" s="28" t="s">
        <v>19341</v>
      </c>
      <c r="C120" s="28" t="s">
        <v>19343</v>
      </c>
      <c r="D120" s="28" t="s">
        <v>19345</v>
      </c>
      <c r="E120" s="4" t="str">
        <f ca="1">IFERROR(__xludf.DUMMYFUNCTION("GOOGLETRANSLATE(B120,""ja"",""vi"")"),"đậu")</f>
        <v>đậu</v>
      </c>
      <c r="F120" s="4" t="str">
        <f ca="1">IFERROR(__xludf.DUMMYFUNCTION("GOOGLETRANSLATE(C120,""ja"",""vi"")"),"Đấu giá&gt; thực phẩm, đồ uống&gt; rau, trái cây&gt; rau&gt; đậu")</f>
        <v>Đấu giá&gt; thực phẩm, đồ uống&gt; rau, trái cây&gt; rau&gt; đậu</v>
      </c>
      <c r="G120" t="str">
        <f t="shared" ca="1" si="1"/>
        <v>"2084210039" : "đậu",</v>
      </c>
    </row>
    <row r="121" spans="1:7" ht="15.75" customHeight="1">
      <c r="A121" s="28">
        <v>2084289183</v>
      </c>
      <c r="B121" s="28" t="s">
        <v>19348</v>
      </c>
      <c r="C121" s="28" t="s">
        <v>19351</v>
      </c>
      <c r="D121" s="28" t="s">
        <v>19352</v>
      </c>
      <c r="E121" s="4" t="str">
        <f ca="1">IFERROR(__xludf.DUMMYFUNCTION("GOOGLETRANSLATE(B121,""ja"",""vi"")"),"hẹ")</f>
        <v>hẹ</v>
      </c>
      <c r="F121" s="4" t="str">
        <f ca="1">IFERROR(__xludf.DUMMYFUNCTION("GOOGLETRANSLATE(C121,""ja"",""vi"")"),"Đấu giá&gt; thực phẩm, đồ uống&gt; rau, trái cây&gt; rau&gt; hẹ")</f>
        <v>Đấu giá&gt; thực phẩm, đồ uống&gt; rau, trái cây&gt; rau&gt; hẹ</v>
      </c>
      <c r="G121" t="str">
        <f t="shared" ca="1" si="1"/>
        <v>"2084289183" : "hẹ",</v>
      </c>
    </row>
    <row r="122" spans="1:7" ht="15.75" customHeight="1">
      <c r="A122" s="28">
        <v>2084289193</v>
      </c>
      <c r="B122" s="28" t="s">
        <v>19355</v>
      </c>
      <c r="C122" s="28" t="s">
        <v>19357</v>
      </c>
      <c r="D122" s="28" t="s">
        <v>19358</v>
      </c>
      <c r="E122" s="4" t="str">
        <f ca="1">IFERROR(__xludf.DUMMYFUNCTION("GOOGLETRANSLATE(B122,""ja"",""vi"")"),"Lotus gốc")</f>
        <v>Lotus gốc</v>
      </c>
      <c r="F122" s="4" t="str">
        <f ca="1">IFERROR(__xludf.DUMMYFUNCTION("GOOGLETRANSLATE(C122,""ja"",""vi"")"),"Đấu giá&gt; thực phẩm, đồ uống&gt; rau, trái cây&gt; rau&gt; củ sen")</f>
        <v>Đấu giá&gt; thực phẩm, đồ uống&gt; rau, trái cây&gt; rau&gt; củ sen</v>
      </c>
      <c r="G122" t="str">
        <f t="shared" ca="1" si="1"/>
        <v>"2084289193" : "Lotus gốc",</v>
      </c>
    </row>
    <row r="123" spans="1:7" ht="15.75" customHeight="1">
      <c r="A123" s="28">
        <v>2084289184</v>
      </c>
      <c r="B123" s="28" t="s">
        <v>19362</v>
      </c>
      <c r="C123" s="28" t="s">
        <v>19363</v>
      </c>
      <c r="D123" s="28" t="s">
        <v>19364</v>
      </c>
      <c r="E123" s="4" t="str">
        <f ca="1">IFERROR(__xludf.DUMMYFUNCTION("GOOGLETRANSLATE(B123,""ja"",""vi"")"),"rau diếp")</f>
        <v>rau diếp</v>
      </c>
      <c r="F123" s="4" t="str">
        <f ca="1">IFERROR(__xludf.DUMMYFUNCTION("GOOGLETRANSLATE(C123,""ja"",""vi"")"),"Đấu giá&gt; thực phẩm, đồ uống&gt; rau, trái cây&gt; rau&gt; rau diếp")</f>
        <v>Đấu giá&gt; thực phẩm, đồ uống&gt; rau, trái cây&gt; rau&gt; rau diếp</v>
      </c>
      <c r="G123" t="str">
        <f t="shared" ca="1" si="1"/>
        <v>"2084289184" : "rau diếp",</v>
      </c>
    </row>
    <row r="124" spans="1:7" ht="15.75" customHeight="1">
      <c r="A124" s="28">
        <v>2084210040</v>
      </c>
      <c r="B124" s="28" t="s">
        <v>46</v>
      </c>
      <c r="C124" s="28" t="s">
        <v>19368</v>
      </c>
      <c r="D124" s="28" t="s">
        <v>19369</v>
      </c>
      <c r="E124" s="4" t="str">
        <f ca="1">IFERROR(__xludf.DUMMYFUNCTION("GOOGLETRANSLATE(B124,""ja"",""vi"")"),"nếu không thì")</f>
        <v>nếu không thì</v>
      </c>
      <c r="F124" s="4" t="str">
        <f ca="1">IFERROR(__xludf.DUMMYFUNCTION("GOOGLETRANSLATE(C124,""ja"",""vi"")"),"Đấu giá&gt; thực phẩm, đồ uống&gt; rau, trái cây&gt; rau&gt; Khác")</f>
        <v>Đấu giá&gt; thực phẩm, đồ uống&gt; rau, trái cây&gt; rau&gt; Khác</v>
      </c>
      <c r="G124" t="str">
        <f t="shared" ca="1" si="1"/>
        <v>"2084210040" : "nếu không thì",</v>
      </c>
    </row>
    <row r="125" spans="1:7" ht="15.75" customHeight="1">
      <c r="A125" s="28">
        <v>2084064325</v>
      </c>
      <c r="B125" s="28" t="s">
        <v>18963</v>
      </c>
      <c r="C125" s="28" t="s">
        <v>19373</v>
      </c>
      <c r="D125" s="28" t="s">
        <v>19374</v>
      </c>
      <c r="E125" s="4" t="str">
        <f ca="1">IFERROR(__xludf.DUMMYFUNCTION("GOOGLETRANSLATE(B125,""ja"",""vi"")"),"Set, Assortment")</f>
        <v>Set, Assortment</v>
      </c>
      <c r="F125" s="4" t="str">
        <f ca="1">IFERROR(__xludf.DUMMYFUNCTION("GOOGLETRANSLATE(C125,""ja"",""vi"")"),"Đấu giá&gt; thực phẩm, đồ uống&gt; rau, trái cây&gt; quả&gt; thiết lập, loại")</f>
        <v>Đấu giá&gt; thực phẩm, đồ uống&gt; rau, trái cây&gt; quả&gt; thiết lập, loại</v>
      </c>
      <c r="G125" t="str">
        <f t="shared" ca="1" si="1"/>
        <v>"2084064325" : "Set, Assortment",</v>
      </c>
    </row>
    <row r="126" spans="1:7" ht="15.75" customHeight="1">
      <c r="A126" s="28">
        <v>2084064327</v>
      </c>
      <c r="B126" s="28" t="s">
        <v>19377</v>
      </c>
      <c r="C126" s="28" t="s">
        <v>19378</v>
      </c>
      <c r="D126" s="28" t="s">
        <v>19379</v>
      </c>
      <c r="E126" s="4" t="str">
        <f ca="1">IFERROR(__xludf.DUMMYFUNCTION("GOOGLETRANSLATE(B126,""ja"",""vi"")"),"dâu tây")</f>
        <v>dâu tây</v>
      </c>
      <c r="F126" s="4" t="str">
        <f ca="1">IFERROR(__xludf.DUMMYFUNCTION("GOOGLETRANSLATE(C126,""ja"",""vi"")"),"Đấu giá&gt; thực phẩm, đồ uống&gt; rau, trái cây&gt; quả&gt; dâu tây")</f>
        <v>Đấu giá&gt; thực phẩm, đồ uống&gt; rau, trái cây&gt; quả&gt; dâu tây</v>
      </c>
      <c r="G126" t="str">
        <f t="shared" ca="1" si="1"/>
        <v>"2084064327" : "dâu tây",</v>
      </c>
    </row>
    <row r="127" spans="1:7" ht="15.75" customHeight="1">
      <c r="A127" s="28">
        <v>2084064329</v>
      </c>
      <c r="B127" s="28" t="s">
        <v>19380</v>
      </c>
      <c r="C127" s="28" t="s">
        <v>19381</v>
      </c>
      <c r="D127" s="28" t="s">
        <v>19384</v>
      </c>
      <c r="E127" s="4" t="str">
        <f ca="1">IFERROR(__xludf.DUMMYFUNCTION("GOOGLETRANSLATE(B127,""ja"",""vi"")"),"Citrus")</f>
        <v>Citrus</v>
      </c>
      <c r="F127" s="4" t="str">
        <f ca="1">IFERROR(__xludf.DUMMYFUNCTION("GOOGLETRANSLATE(C127,""ja"",""vi"")"),"Đấu giá&gt; thực phẩm, đồ uống&gt; rau, trái cây&gt; quả&gt; cam quýt")</f>
        <v>Đấu giá&gt; thực phẩm, đồ uống&gt; rau, trái cây&gt; quả&gt; cam quýt</v>
      </c>
      <c r="G127" t="str">
        <f t="shared" ca="1" si="1"/>
        <v>"2084064329" : "Citrus",</v>
      </c>
    </row>
    <row r="128" spans="1:7" ht="15.75" customHeight="1">
      <c r="A128" s="28">
        <v>2084064328</v>
      </c>
      <c r="B128" s="28" t="s">
        <v>19385</v>
      </c>
      <c r="C128" s="28" t="s">
        <v>19388</v>
      </c>
      <c r="D128" s="28" t="s">
        <v>19389</v>
      </c>
      <c r="E128" s="4" t="str">
        <f ca="1">IFERROR(__xludf.DUMMYFUNCTION("GOOGLETRANSLATE(B128,""ja"",""vi"")"),"cây hồng")</f>
        <v>cây hồng</v>
      </c>
      <c r="F128" s="4" t="str">
        <f ca="1">IFERROR(__xludf.DUMMYFUNCTION("GOOGLETRANSLATE(C128,""ja"",""vi"")"),"Đấu giá&gt; thực phẩm, đồ uống&gt; rau, trái cây&gt; quả&gt; hồng")</f>
        <v>Đấu giá&gt; thực phẩm, đồ uống&gt; rau, trái cây&gt; quả&gt; hồng</v>
      </c>
      <c r="G128" t="str">
        <f t="shared" ca="1" si="1"/>
        <v>"2084064328" : "cây hồng",</v>
      </c>
    </row>
    <row r="129" spans="1:7" ht="15.75" customHeight="1">
      <c r="A129" s="28">
        <v>2084214362</v>
      </c>
      <c r="B129" s="28" t="s">
        <v>19390</v>
      </c>
      <c r="C129" s="28" t="s">
        <v>19391</v>
      </c>
      <c r="D129" s="28" t="s">
        <v>19393</v>
      </c>
      <c r="E129" s="4" t="str">
        <f ca="1">IFERROR(__xludf.DUMMYFUNCTION("GOOGLETRANSLATE(B129,""ja"",""vi"")"),"hạt dẻ")</f>
        <v>hạt dẻ</v>
      </c>
      <c r="F129" s="4" t="str">
        <f ca="1">IFERROR(__xludf.DUMMYFUNCTION("GOOGLETRANSLATE(C129,""ja"",""vi"")"),"Đấu giá&gt; thực phẩm, đồ uống&gt; rau, trái cây&gt; quả&gt; hạt dẻ")</f>
        <v>Đấu giá&gt; thực phẩm, đồ uống&gt; rau, trái cây&gt; quả&gt; hạt dẻ</v>
      </c>
      <c r="G129" t="str">
        <f t="shared" ca="1" si="1"/>
        <v>"2084214362" : "hạt dẻ",</v>
      </c>
    </row>
    <row r="130" spans="1:7" ht="15.75" customHeight="1">
      <c r="A130" s="28">
        <v>2084226962</v>
      </c>
      <c r="B130" s="28" t="s">
        <v>19395</v>
      </c>
      <c r="C130" s="28" t="s">
        <v>19396</v>
      </c>
      <c r="D130" s="28" t="s">
        <v>19397</v>
      </c>
      <c r="E130" s="4" t="str">
        <f ca="1">IFERROR(__xludf.DUMMYFUNCTION("GOOGLETRANSLATE(B130,""ja"",""vi"")"),"anh đào")</f>
        <v>anh đào</v>
      </c>
      <c r="F130" s="4" t="str">
        <f ca="1">IFERROR(__xludf.DUMMYFUNCTION("GOOGLETRANSLATE(C130,""ja"",""vi"")"),"Đấu giá&gt; thực phẩm, đồ uống&gt; rau, trái cây&gt; quả&gt; cherry")</f>
        <v>Đấu giá&gt; thực phẩm, đồ uống&gt; rau, trái cây&gt; quả&gt; cherry</v>
      </c>
      <c r="G130" t="str">
        <f t="shared" ref="G130:G193" ca="1" si="2">CONCATENATE(CHAR(34)&amp;"",A130,""&amp;CHAR(34)," : ", CHAR(34)&amp;"",E130,""&amp;CHAR(34),",")</f>
        <v>"2084226962" : "anh đào",</v>
      </c>
    </row>
    <row r="131" spans="1:7" ht="15.75" customHeight="1">
      <c r="A131" s="28">
        <v>2084211039</v>
      </c>
      <c r="B131" s="28" t="s">
        <v>19276</v>
      </c>
      <c r="C131" s="28" t="s">
        <v>19400</v>
      </c>
      <c r="D131" s="28" t="s">
        <v>19401</v>
      </c>
      <c r="E131" s="4" t="str">
        <f ca="1">IFERROR(__xludf.DUMMYFUNCTION("GOOGLETRANSLATE(B131,""ja"",""vi"")"),"dưa hấu")</f>
        <v>dưa hấu</v>
      </c>
      <c r="F131" s="4" t="str">
        <f ca="1">IFERROR(__xludf.DUMMYFUNCTION("GOOGLETRANSLATE(C131,""ja"",""vi"")"),"Đấu giá&gt; thực phẩm, đồ uống&gt; rau, trái cây&gt; quả&gt; dưa hấu")</f>
        <v>Đấu giá&gt; thực phẩm, đồ uống&gt; rau, trái cây&gt; quả&gt; dưa hấu</v>
      </c>
      <c r="G131" t="str">
        <f t="shared" ca="1" si="2"/>
        <v>"2084211039" : "dưa hấu",</v>
      </c>
    </row>
    <row r="132" spans="1:7" ht="15.75" customHeight="1">
      <c r="A132" s="28">
        <v>2084064330</v>
      </c>
      <c r="B132" s="28" t="s">
        <v>19404</v>
      </c>
      <c r="C132" s="28" t="s">
        <v>19405</v>
      </c>
      <c r="D132" s="28" t="s">
        <v>19406</v>
      </c>
      <c r="E132" s="4" t="str">
        <f ca="1">IFERROR(__xludf.DUMMYFUNCTION("GOOGLETRANSLATE(B132,""ja"",""vi"")"),"lê")</f>
        <v>lê</v>
      </c>
      <c r="F132" s="4" t="str">
        <f ca="1">IFERROR(__xludf.DUMMYFUNCTION("GOOGLETRANSLATE(C132,""ja"",""vi"")"),"Đấu giá&gt; thực phẩm, đồ uống&gt; rau, trái cây&gt; quả&gt; lê")</f>
        <v>Đấu giá&gt; thực phẩm, đồ uống&gt; rau, trái cây&gt; quả&gt; lê</v>
      </c>
      <c r="G132" t="str">
        <f t="shared" ca="1" si="2"/>
        <v>"2084064330" : "lê",</v>
      </c>
    </row>
    <row r="133" spans="1:7" ht="15.75" customHeight="1">
      <c r="A133" s="28">
        <v>2084064332</v>
      </c>
      <c r="B133" s="28" t="s">
        <v>19409</v>
      </c>
      <c r="C133" s="28" t="s">
        <v>19410</v>
      </c>
      <c r="D133" s="28" t="s">
        <v>19411</v>
      </c>
      <c r="E133" s="4" t="str">
        <f ca="1">IFERROR(__xludf.DUMMYFUNCTION("GOOGLETRANSLATE(B133,""ja"",""vi"")"),"chuối")</f>
        <v>chuối</v>
      </c>
      <c r="F133" s="4" t="str">
        <f ca="1">IFERROR(__xludf.DUMMYFUNCTION("GOOGLETRANSLATE(C133,""ja"",""vi"")"),"Đấu giá&gt; thực phẩm, đồ uống&gt; rau, trái cây&gt; quả&gt; chuối")</f>
        <v>Đấu giá&gt; thực phẩm, đồ uống&gt; rau, trái cây&gt; quả&gt; chuối</v>
      </c>
      <c r="G133" t="str">
        <f t="shared" ca="1" si="2"/>
        <v>"2084064332" : "chuối",</v>
      </c>
    </row>
    <row r="134" spans="1:7" ht="15.75" customHeight="1">
      <c r="A134" s="28">
        <v>2084212763</v>
      </c>
      <c r="B134" s="28" t="s">
        <v>19414</v>
      </c>
      <c r="C134" s="28" t="s">
        <v>19416</v>
      </c>
      <c r="D134" s="28" t="s">
        <v>19418</v>
      </c>
      <c r="E134" s="4" t="str">
        <f ca="1">IFERROR(__xludf.DUMMYFUNCTION("GOOGLETRANSLATE(B134,""ja"",""vi"")"),"trái thơm")</f>
        <v>trái thơm</v>
      </c>
      <c r="F134" s="4" t="str">
        <f ca="1">IFERROR(__xludf.DUMMYFUNCTION("GOOGLETRANSLATE(C134,""ja"",""vi"")"),"Đấu giá&gt; thực phẩm, đồ uống&gt; rau, trái cây&gt; quả&gt; dứa")</f>
        <v>Đấu giá&gt; thực phẩm, đồ uống&gt; rau, trái cây&gt; quả&gt; dứa</v>
      </c>
      <c r="G134" t="str">
        <f t="shared" ca="1" si="2"/>
        <v>"2084212763" : "trái thơm",</v>
      </c>
    </row>
    <row r="135" spans="1:7" ht="15.75" customHeight="1">
      <c r="A135" s="28">
        <v>2084064333</v>
      </c>
      <c r="B135" s="28" t="s">
        <v>19419</v>
      </c>
      <c r="C135" s="28" t="s">
        <v>19421</v>
      </c>
      <c r="D135" s="28" t="s">
        <v>19423</v>
      </c>
      <c r="E135" s="4" t="str">
        <f ca="1">IFERROR(__xludf.DUMMYFUNCTION("GOOGLETRANSLATE(B135,""ja"",""vi"")"),"nho")</f>
        <v>nho</v>
      </c>
      <c r="F135" s="4" t="str">
        <f ca="1">IFERROR(__xludf.DUMMYFUNCTION("GOOGLETRANSLATE(C135,""ja"",""vi"")"),"Đấu giá&gt; thực phẩm, đồ uống&gt; rau, trái cây&gt; quả&gt; nho")</f>
        <v>Đấu giá&gt; thực phẩm, đồ uống&gt; rau, trái cây&gt; quả&gt; nho</v>
      </c>
      <c r="G135" t="str">
        <f t="shared" ca="1" si="2"/>
        <v>"2084064333" : "nho",</v>
      </c>
    </row>
    <row r="136" spans="1:7" ht="15.75" customHeight="1">
      <c r="A136" s="28">
        <v>2084211395</v>
      </c>
      <c r="B136" s="28" t="s">
        <v>19425</v>
      </c>
      <c r="C136" s="28" t="s">
        <v>19427</v>
      </c>
      <c r="D136" s="28" t="s">
        <v>19428</v>
      </c>
      <c r="E136" s="4" t="str">
        <f ca="1">IFERROR(__xludf.DUMMYFUNCTION("GOOGLETRANSLATE(B136,""ja"",""vi"")"),"xoài")</f>
        <v>xoài</v>
      </c>
      <c r="F136" s="4" t="str">
        <f ca="1">IFERROR(__xludf.DUMMYFUNCTION("GOOGLETRANSLATE(C136,""ja"",""vi"")"),"Đấu giá&gt; thực phẩm, đồ uống&gt; rau, trái cây&gt; quả&gt; xoài")</f>
        <v>Đấu giá&gt; thực phẩm, đồ uống&gt; rau, trái cây&gt; quả&gt; xoài</v>
      </c>
      <c r="G136" t="str">
        <f t="shared" ca="1" si="2"/>
        <v>"2084211395" : "xoài",</v>
      </c>
    </row>
    <row r="137" spans="1:7" ht="15.75" customHeight="1">
      <c r="A137" s="28">
        <v>2084064334</v>
      </c>
      <c r="B137" s="28" t="s">
        <v>19429</v>
      </c>
      <c r="C137" s="28" t="s">
        <v>19430</v>
      </c>
      <c r="D137" s="28" t="s">
        <v>19431</v>
      </c>
      <c r="E137" s="4" t="str">
        <f ca="1">IFERROR(__xludf.DUMMYFUNCTION("GOOGLETRANSLATE(B137,""ja"",""vi"")"),"dưa gang")</f>
        <v>dưa gang</v>
      </c>
      <c r="F137" s="4" t="str">
        <f ca="1">IFERROR(__xludf.DUMMYFUNCTION("GOOGLETRANSLATE(C137,""ja"",""vi"")"),"Đấu giá&gt; thực phẩm, đồ uống&gt; rau, trái cây&gt; quả&gt; Melon")</f>
        <v>Đấu giá&gt; thực phẩm, đồ uống&gt; rau, trái cây&gt; quả&gt; Melon</v>
      </c>
      <c r="G137" t="str">
        <f t="shared" ca="1" si="2"/>
        <v>"2084064334" : "dưa gang",</v>
      </c>
    </row>
    <row r="138" spans="1:7" ht="15.75" customHeight="1">
      <c r="A138" s="28">
        <v>2084064335</v>
      </c>
      <c r="B138" s="28" t="s">
        <v>19432</v>
      </c>
      <c r="C138" s="28" t="s">
        <v>19433</v>
      </c>
      <c r="D138" s="28" t="s">
        <v>19434</v>
      </c>
      <c r="E138" s="4" t="str">
        <f ca="1">IFERROR(__xludf.DUMMYFUNCTION("GOOGLETRANSLATE(B138,""ja"",""vi"")"),"đào")</f>
        <v>đào</v>
      </c>
      <c r="F138" s="4" t="str">
        <f ca="1">IFERROR(__xludf.DUMMYFUNCTION("GOOGLETRANSLATE(C138,""ja"",""vi"")"),"Đấu giá&gt; thực phẩm, đồ uống&gt; rau, trái cây&gt; quả&gt; đào")</f>
        <v>Đấu giá&gt; thực phẩm, đồ uống&gt; rau, trái cây&gt; quả&gt; đào</v>
      </c>
      <c r="G138" t="str">
        <f t="shared" ca="1" si="2"/>
        <v>"2084064335" : "đào",</v>
      </c>
    </row>
    <row r="139" spans="1:7" ht="15.75" customHeight="1">
      <c r="A139" s="28">
        <v>2084064337</v>
      </c>
      <c r="B139" s="28" t="s">
        <v>19435</v>
      </c>
      <c r="C139" s="28" t="s">
        <v>19436</v>
      </c>
      <c r="D139" s="28" t="s">
        <v>19437</v>
      </c>
      <c r="E139" s="4" t="str">
        <f ca="1">IFERROR(__xludf.DUMMYFUNCTION("GOOGLETRANSLATE(B139,""ja"",""vi"")"),"táo")</f>
        <v>táo</v>
      </c>
      <c r="F139" s="4" t="str">
        <f ca="1">IFERROR(__xludf.DUMMYFUNCTION("GOOGLETRANSLATE(C139,""ja"",""vi"")"),"Đấu giá&gt; thực phẩm, đồ uống&gt; rau, trái cây&gt; quả&gt; táo")</f>
        <v>Đấu giá&gt; thực phẩm, đồ uống&gt; rau, trái cây&gt; quả&gt; táo</v>
      </c>
      <c r="G139" t="str">
        <f t="shared" ca="1" si="2"/>
        <v>"2084064337" : "táo",</v>
      </c>
    </row>
    <row r="140" spans="1:7" ht="15.75" customHeight="1">
      <c r="A140" s="28">
        <v>2084064338</v>
      </c>
      <c r="B140" s="28" t="s">
        <v>46</v>
      </c>
      <c r="C140" s="28" t="s">
        <v>19438</v>
      </c>
      <c r="D140" s="28" t="s">
        <v>19439</v>
      </c>
      <c r="E140" s="4" t="str">
        <f ca="1">IFERROR(__xludf.DUMMYFUNCTION("GOOGLETRANSLATE(B140,""ja"",""vi"")"),"nếu không thì")</f>
        <v>nếu không thì</v>
      </c>
      <c r="F140" s="4" t="str">
        <f ca="1">IFERROR(__xludf.DUMMYFUNCTION("GOOGLETRANSLATE(C140,""ja"",""vi"")"),"Đấu giá&gt; thực phẩm, đồ uống&gt; rau, trái cây&gt; quả&gt; Khác")</f>
        <v>Đấu giá&gt; thực phẩm, đồ uống&gt; rau, trái cây&gt; quả&gt; Khác</v>
      </c>
      <c r="G140" t="str">
        <f t="shared" ca="1" si="2"/>
        <v>"2084064338" : "nếu không thì",</v>
      </c>
    </row>
    <row r="141" spans="1:7" ht="15.75" customHeight="1">
      <c r="A141" s="28">
        <v>24106</v>
      </c>
      <c r="B141" s="28" t="s">
        <v>19440</v>
      </c>
      <c r="C141" s="28" t="s">
        <v>19444</v>
      </c>
      <c r="D141" s="28" t="s">
        <v>19445</v>
      </c>
      <c r="E141" s="4" t="str">
        <f ca="1">IFERROR(__xludf.DUMMYFUNCTION("GOOGLETRANSLATE(B141,""ja"",""vi"")"),"rượu")</f>
        <v>rượu</v>
      </c>
      <c r="F141" s="4" t="str">
        <f ca="1">IFERROR(__xludf.DUMMYFUNCTION("GOOGLETRANSLATE(C141,""ja"",""vi"")"),"Đấu giá&gt; thực phẩm, đồ uống&gt; uống&gt; cồn&gt; rượu")</f>
        <v>Đấu giá&gt; thực phẩm, đồ uống&gt; uống&gt; cồn&gt; rượu</v>
      </c>
      <c r="G141" t="str">
        <f t="shared" ca="1" si="2"/>
        <v>"24106" : "rượu",</v>
      </c>
    </row>
    <row r="142" spans="1:7" ht="15.75" customHeight="1">
      <c r="A142" s="28">
        <v>2084041716</v>
      </c>
      <c r="B142" s="28" t="s">
        <v>19447</v>
      </c>
      <c r="C142" s="28" t="s">
        <v>19449</v>
      </c>
      <c r="D142" s="28" t="s">
        <v>19451</v>
      </c>
      <c r="E142" s="4" t="str">
        <f ca="1">IFERROR(__xludf.DUMMYFUNCTION("GOOGLETRANSLATE(B142,""ja"",""vi"")"),"rượu chưng cất")</f>
        <v>rượu chưng cất</v>
      </c>
      <c r="F142" s="4" t="str">
        <f ca="1">IFERROR(__xludf.DUMMYFUNCTION("GOOGLETRANSLATE(C142,""ja"",""vi"")"),"Đấu giá&gt; thực phẩm, đồ uống&gt; uống&gt; cồn&gt; shochu")</f>
        <v>Đấu giá&gt; thực phẩm, đồ uống&gt; uống&gt; cồn&gt; shochu</v>
      </c>
      <c r="G142" t="str">
        <f t="shared" ca="1" si="2"/>
        <v>"2084041716" : "rượu chưng cất",</v>
      </c>
    </row>
    <row r="143" spans="1:7" ht="15.75" customHeight="1">
      <c r="A143" s="28">
        <v>2084006722</v>
      </c>
      <c r="B143" s="28" t="s">
        <v>19452</v>
      </c>
      <c r="C143" s="28" t="s">
        <v>19454</v>
      </c>
      <c r="D143" s="28" t="s">
        <v>19456</v>
      </c>
      <c r="E143" s="4" t="str">
        <f ca="1">IFERROR(__xludf.DUMMYFUNCTION("GOOGLETRANSLATE(B143,""ja"",""vi"")"),"Sake")</f>
        <v>Sake</v>
      </c>
      <c r="F143" s="4" t="str">
        <f ca="1">IFERROR(__xludf.DUMMYFUNCTION("GOOGLETRANSLATE(C143,""ja"",""vi"")"),"Đấu giá&gt; thực phẩm, đồ uống&gt; uống&gt; cồn&gt; rượu sake")</f>
        <v>Đấu giá&gt; thực phẩm, đồ uống&gt; uống&gt; cồn&gt; rượu sake</v>
      </c>
      <c r="G143" t="str">
        <f t="shared" ca="1" si="2"/>
        <v>"2084006722" : "Sake",</v>
      </c>
    </row>
    <row r="144" spans="1:7" ht="15.75" customHeight="1">
      <c r="A144" s="28">
        <v>2084006721</v>
      </c>
      <c r="B144" s="28" t="s">
        <v>19457</v>
      </c>
      <c r="C144" s="28" t="s">
        <v>19458</v>
      </c>
      <c r="D144" s="28" t="s">
        <v>19460</v>
      </c>
      <c r="E144" s="4" t="str">
        <f ca="1">IFERROR(__xludf.DUMMYFUNCTION("GOOGLETRANSLATE(B144,""ja"",""vi"")"),"whisky")</f>
        <v>whisky</v>
      </c>
      <c r="F144" s="4" t="str">
        <f ca="1">IFERROR(__xludf.DUMMYFUNCTION("GOOGLETRANSLATE(C144,""ja"",""vi"")"),"Đấu giá&gt; thực phẩm, đồ uống&gt; uống&gt; cồn&gt; whisky")</f>
        <v>Đấu giá&gt; thực phẩm, đồ uống&gt; uống&gt; cồn&gt; whisky</v>
      </c>
      <c r="G144" t="str">
        <f t="shared" ca="1" si="2"/>
        <v>"2084006721" : "whisky",</v>
      </c>
    </row>
    <row r="145" spans="1:7" ht="15.75" customHeight="1">
      <c r="A145" s="28">
        <v>2084006724</v>
      </c>
      <c r="B145" s="28" t="s">
        <v>19462</v>
      </c>
      <c r="C145" s="28" t="s">
        <v>19463</v>
      </c>
      <c r="D145" s="28" t="s">
        <v>19464</v>
      </c>
      <c r="E145" s="4" t="str">
        <f ca="1">IFERROR(__xludf.DUMMYFUNCTION("GOOGLETRANSLATE(B145,""ja"",""vi"")"),"rượu mạnh")</f>
        <v>rượu mạnh</v>
      </c>
      <c r="F145" s="4" t="str">
        <f ca="1">IFERROR(__xludf.DUMMYFUNCTION("GOOGLETRANSLATE(C145,""ja"",""vi"")"),"Đấu giá&gt; thực phẩm, đồ uống&gt; uống&gt; cồn&gt; rượu")</f>
        <v>Đấu giá&gt; thực phẩm, đồ uống&gt; uống&gt; cồn&gt; rượu</v>
      </c>
      <c r="G145" t="str">
        <f t="shared" ca="1" si="2"/>
        <v>"2084006724" : "rượu mạnh",</v>
      </c>
    </row>
    <row r="146" spans="1:7" ht="15.75" customHeight="1">
      <c r="A146" s="28">
        <v>2084006723</v>
      </c>
      <c r="B146" s="28" t="s">
        <v>19466</v>
      </c>
      <c r="C146" s="28" t="s">
        <v>19468</v>
      </c>
      <c r="D146" s="28" t="s">
        <v>19469</v>
      </c>
      <c r="E146" s="4" t="str">
        <f ca="1">IFERROR(__xludf.DUMMYFUNCTION("GOOGLETRANSLATE(B146,""ja"",""vi"")"),"Bia, bia thấp mạch nha")</f>
        <v>Bia, bia thấp mạch nha</v>
      </c>
      <c r="F146" s="4" t="str">
        <f ca="1">IFERROR(__xludf.DUMMYFUNCTION("GOOGLETRANSLATE(C146,""ja"",""vi"")"),"Đấu giá&gt; thực phẩm, đồ uống&gt; uống&gt; cồn&gt; bia, mạch nha-thấp bia")</f>
        <v>Đấu giá&gt; thực phẩm, đồ uống&gt; uống&gt; cồn&gt; bia, mạch nha-thấp bia</v>
      </c>
      <c r="G146" t="str">
        <f t="shared" ca="1" si="2"/>
        <v>"2084006723" : "Bia, bia thấp mạch nha",</v>
      </c>
    </row>
    <row r="147" spans="1:7" ht="15.75" customHeight="1">
      <c r="A147" s="28">
        <v>2084063996</v>
      </c>
      <c r="B147" s="28" t="s">
        <v>19470</v>
      </c>
      <c r="C147" s="28" t="s">
        <v>19471</v>
      </c>
      <c r="D147" s="28" t="s">
        <v>19472</v>
      </c>
      <c r="E147" s="4" t="str">
        <f ca="1">IFERROR(__xludf.DUMMYFUNCTION("GOOGLETRANSLATE(B147,""ja"",""vi"")"),"rượu mận")</f>
        <v>rượu mận</v>
      </c>
      <c r="F147" s="4" t="str">
        <f ca="1">IFERROR(__xludf.DUMMYFUNCTION("GOOGLETRANSLATE(C147,""ja"",""vi"")"),"Đấu giá&gt; thực phẩm, đồ uống&gt; uống&gt; cồn&gt; mận rượu")</f>
        <v>Đấu giá&gt; thực phẩm, đồ uống&gt; uống&gt; cồn&gt; mận rượu</v>
      </c>
      <c r="G147" t="str">
        <f t="shared" ca="1" si="2"/>
        <v>"2084063996" : "rượu mận",</v>
      </c>
    </row>
    <row r="148" spans="1:7" ht="15.75" customHeight="1">
      <c r="A148" s="28">
        <v>2084050409</v>
      </c>
      <c r="B148" s="28" t="s">
        <v>19475</v>
      </c>
      <c r="C148" s="28" t="s">
        <v>19476</v>
      </c>
      <c r="D148" s="28" t="s">
        <v>19477</v>
      </c>
      <c r="E148" s="4" t="str">
        <f ca="1">IFERROR(__xludf.DUMMYFUNCTION("GOOGLETRANSLATE(B148,""ja"",""vi"")"),"rượu mùi")</f>
        <v>rượu mùi</v>
      </c>
      <c r="F148" s="4" t="str">
        <f ca="1">IFERROR(__xludf.DUMMYFUNCTION("GOOGLETRANSLATE(C148,""ja"",""vi"")"),"Đấu giá&gt; thực phẩm, đồ uống&gt; uống&gt; cồn&gt; rượu mùi")</f>
        <v>Đấu giá&gt; thực phẩm, đồ uống&gt; uống&gt; cồn&gt; rượu mùi</v>
      </c>
      <c r="G148" t="str">
        <f t="shared" ca="1" si="2"/>
        <v>"2084050409" : "rượu mùi",</v>
      </c>
    </row>
    <row r="149" spans="1:7" ht="15.75" customHeight="1">
      <c r="A149" s="28">
        <v>2084050431</v>
      </c>
      <c r="B149" s="28" t="s">
        <v>19480</v>
      </c>
      <c r="C149" s="28" t="s">
        <v>19481</v>
      </c>
      <c r="D149" s="28" t="s">
        <v>19482</v>
      </c>
      <c r="E149" s="4" t="str">
        <f ca="1">IFERROR(__xludf.DUMMYFUNCTION("GOOGLETRANSLATE(B149,""ja"",""vi"")"),"Rum")</f>
        <v>Rum</v>
      </c>
      <c r="F149" s="4" t="str">
        <f ca="1">IFERROR(__xludf.DUMMYFUNCTION("GOOGLETRANSLATE(C149,""ja"",""vi"")"),"Đấu giá&gt; thực phẩm, đồ uống&gt; uống&gt; cồn&gt; rum")</f>
        <v>Đấu giá&gt; thực phẩm, đồ uống&gt; uống&gt; cồn&gt; rum</v>
      </c>
      <c r="G149" t="str">
        <f t="shared" ca="1" si="2"/>
        <v>"2084050431" : "Rum",</v>
      </c>
    </row>
    <row r="150" spans="1:7" ht="15.75" customHeight="1">
      <c r="A150" s="28">
        <v>2084050407</v>
      </c>
      <c r="B150" s="28" t="s">
        <v>19486</v>
      </c>
      <c r="C150" s="28" t="s">
        <v>19487</v>
      </c>
      <c r="D150" s="28" t="s">
        <v>19488</v>
      </c>
      <c r="E150" s="4" t="str">
        <f ca="1">IFERROR(__xludf.DUMMYFUNCTION("GOOGLETRANSLATE(B150,""ja"",""vi"")"),"rượu vodka")</f>
        <v>rượu vodka</v>
      </c>
      <c r="F150" s="4" t="str">
        <f ca="1">IFERROR(__xludf.DUMMYFUNCTION("GOOGLETRANSLATE(C150,""ja"",""vi"")"),"Đấu giá&gt; thực phẩm, đồ uống&gt; uống&gt; cồn&gt; vodka")</f>
        <v>Đấu giá&gt; thực phẩm, đồ uống&gt; uống&gt; cồn&gt; vodka</v>
      </c>
      <c r="G150" t="str">
        <f t="shared" ca="1" si="2"/>
        <v>"2084050407" : "rượu vodka",</v>
      </c>
    </row>
    <row r="151" spans="1:7" ht="15.75" customHeight="1">
      <c r="A151" s="28">
        <v>2084050408</v>
      </c>
      <c r="B151" s="28" t="s">
        <v>19491</v>
      </c>
      <c r="C151" s="28" t="s">
        <v>19492</v>
      </c>
      <c r="D151" s="28" t="s">
        <v>19493</v>
      </c>
      <c r="E151" s="4" t="str">
        <f ca="1">IFERROR(__xludf.DUMMYFUNCTION("GOOGLETRANSLATE(B151,""ja"",""vi"")"),"gin")</f>
        <v>gin</v>
      </c>
      <c r="F151" s="4" t="str">
        <f ca="1">IFERROR(__xludf.DUMMYFUNCTION("GOOGLETRANSLATE(C151,""ja"",""vi"")"),"Đấu giá&gt; thực phẩm, đồ uống&gt; uống&gt; cồn&gt; Jin")</f>
        <v>Đấu giá&gt; thực phẩm, đồ uống&gt; uống&gt; cồn&gt; Jin</v>
      </c>
      <c r="G151" t="str">
        <f t="shared" ca="1" si="2"/>
        <v>"2084050408" : "gin",</v>
      </c>
    </row>
    <row r="152" spans="1:7" ht="15.75" customHeight="1">
      <c r="A152" s="28">
        <v>2084050430</v>
      </c>
      <c r="B152" s="28" t="s">
        <v>19494</v>
      </c>
      <c r="C152" s="28" t="s">
        <v>19495</v>
      </c>
      <c r="D152" s="28" t="s">
        <v>19498</v>
      </c>
      <c r="E152" s="4" t="str">
        <f ca="1">IFERROR(__xludf.DUMMYFUNCTION("GOOGLETRANSLATE(B152,""ja"",""vi"")"),"rượu tequila")</f>
        <v>rượu tequila</v>
      </c>
      <c r="F152" s="4" t="str">
        <f ca="1">IFERROR(__xludf.DUMMYFUNCTION("GOOGLETRANSLATE(C152,""ja"",""vi"")"),"Đấu giá&gt; thực phẩm, đồ uống&gt; uống&gt; cồn&gt; tequila")</f>
        <v>Đấu giá&gt; thực phẩm, đồ uống&gt; uống&gt; cồn&gt; tequila</v>
      </c>
      <c r="G152" t="str">
        <f t="shared" ca="1" si="2"/>
        <v>"2084050430" : "rượu tequila",</v>
      </c>
    </row>
    <row r="153" spans="1:7" ht="15.75" customHeight="1">
      <c r="A153" s="28">
        <v>2084213016</v>
      </c>
      <c r="B153" s="28" t="s">
        <v>19499</v>
      </c>
      <c r="C153" s="28" t="s">
        <v>19501</v>
      </c>
      <c r="D153" s="28" t="s">
        <v>19503</v>
      </c>
      <c r="E153" s="4" t="str">
        <f ca="1">IFERROR(__xludf.DUMMYFUNCTION("GOOGLETRANSLATE(B153,""ja"",""vi"")"),"Thiệu Hưng rượu gạo, Roshu")</f>
        <v>Thiệu Hưng rượu gạo, Roshu</v>
      </c>
      <c r="F153" s="4" t="str">
        <f ca="1">IFERROR(__xludf.DUMMYFUNCTION("GOOGLETRANSLATE(C153,""ja"",""vi"")"),"Đấu giá&gt; thực phẩm, đồ uống&gt; uống&gt; cồn&gt; Thiệu Hưng rượu gạo, Roshu")</f>
        <v>Đấu giá&gt; thực phẩm, đồ uống&gt; uống&gt; cồn&gt; Thiệu Hưng rượu gạo, Roshu</v>
      </c>
      <c r="G153" t="str">
        <f t="shared" ca="1" si="2"/>
        <v>"2084213016" : "Thiệu Hưng rượu gạo, Roshu",</v>
      </c>
    </row>
    <row r="154" spans="1:7" ht="15.75" customHeight="1">
      <c r="A154" s="28">
        <v>2084050406</v>
      </c>
      <c r="B154" s="28" t="s">
        <v>18963</v>
      </c>
      <c r="C154" s="28" t="s">
        <v>19506</v>
      </c>
      <c r="D154" s="28" t="s">
        <v>19508</v>
      </c>
      <c r="E154" s="4" t="str">
        <f ca="1">IFERROR(__xludf.DUMMYFUNCTION("GOOGLETRANSLATE(B154,""ja"",""vi"")"),"Set, Assortment")</f>
        <v>Set, Assortment</v>
      </c>
      <c r="F154" s="4" t="str">
        <f ca="1">IFERROR(__xludf.DUMMYFUNCTION("GOOGLETRANSLATE(C154,""ja"",""vi"")"),"Đấu giá&gt; thực phẩm, đồ uống&gt; uống&gt; cồn&gt; thiết lập, loại")</f>
        <v>Đấu giá&gt; thực phẩm, đồ uống&gt; uống&gt; cồn&gt; thiết lập, loại</v>
      </c>
      <c r="G154" t="str">
        <f t="shared" ca="1" si="2"/>
        <v>"2084050406" : "Set, Assortment",</v>
      </c>
    </row>
    <row r="155" spans="1:7" ht="15.75" customHeight="1">
      <c r="A155" s="28">
        <v>2084005667</v>
      </c>
      <c r="B155" s="28" t="s">
        <v>17886</v>
      </c>
      <c r="C155" s="28" t="s">
        <v>19511</v>
      </c>
      <c r="D155" s="28" t="s">
        <v>19513</v>
      </c>
      <c r="E155" s="4" t="str">
        <f ca="1">IFERROR(__xludf.DUMMYFUNCTION("GOOGLETRANSLATE(B155,""ja"",""vi"")"),"Thủy tinh, chai")</f>
        <v>Thủy tinh, chai</v>
      </c>
      <c r="F155" s="4" t="str">
        <f ca="1">IFERROR(__xludf.DUMMYFUNCTION("GOOGLETRANSLATE(C155,""ja"",""vi"")"),"Đấu giá&gt; thực phẩm, đồ uống&gt; uống&gt; cồn&gt; thủy tinh, chai")</f>
        <v>Đấu giá&gt; thực phẩm, đồ uống&gt; uống&gt; cồn&gt; thủy tinh, chai</v>
      </c>
      <c r="G155" t="str">
        <f t="shared" ca="1" si="2"/>
        <v>"2084005667" : "Thủy tinh, chai",</v>
      </c>
    </row>
    <row r="156" spans="1:7" ht="15.75" customHeight="1">
      <c r="A156" s="28">
        <v>2084006725</v>
      </c>
      <c r="B156" s="28" t="s">
        <v>46</v>
      </c>
      <c r="C156" s="28" t="s">
        <v>19516</v>
      </c>
      <c r="D156" s="28" t="s">
        <v>19518</v>
      </c>
      <c r="E156" s="4" t="str">
        <f ca="1">IFERROR(__xludf.DUMMYFUNCTION("GOOGLETRANSLATE(B156,""ja"",""vi"")"),"nếu không thì")</f>
        <v>nếu không thì</v>
      </c>
      <c r="F156" s="4" t="str">
        <f ca="1">IFERROR(__xludf.DUMMYFUNCTION("GOOGLETRANSLATE(C156,""ja"",""vi"")"),"Đấu giá&gt; thực phẩm, đồ uống&gt; uống&gt; cồn&gt; Khác")</f>
        <v>Đấu giá&gt; thực phẩm, đồ uống&gt; uống&gt; cồn&gt; Khác</v>
      </c>
      <c r="G156" t="str">
        <f t="shared" ca="1" si="2"/>
        <v>"2084006725" : "nếu không thì",</v>
      </c>
    </row>
    <row r="157" spans="1:7" ht="15.75" customHeight="1">
      <c r="A157" s="28">
        <v>24010</v>
      </c>
      <c r="B157" s="28" t="s">
        <v>18963</v>
      </c>
      <c r="C157" s="28" t="s">
        <v>19521</v>
      </c>
      <c r="D157" s="28" t="s">
        <v>19522</v>
      </c>
      <c r="E157" s="4" t="str">
        <f ca="1">IFERROR(__xludf.DUMMYFUNCTION("GOOGLETRANSLATE(B157,""ja"",""vi"")"),"Set, Assortment")</f>
        <v>Set, Assortment</v>
      </c>
      <c r="F157" s="4" t="str">
        <f ca="1">IFERROR(__xludf.DUMMYFUNCTION("GOOGLETRANSLATE(C157,""ja"",""vi"")"),"Đấu giá&gt; thực phẩm, đồ uống&gt; uống&gt; cà phê&gt; thiết lập, loại")</f>
        <v>Đấu giá&gt; thực phẩm, đồ uống&gt; uống&gt; cà phê&gt; thiết lập, loại</v>
      </c>
      <c r="G157" t="str">
        <f t="shared" ca="1" si="2"/>
        <v>"24010" : "Set, Assortment",</v>
      </c>
    </row>
    <row r="158" spans="1:7" ht="15.75" customHeight="1">
      <c r="A158" s="28">
        <v>24014</v>
      </c>
      <c r="B158" s="28" t="s">
        <v>19524</v>
      </c>
      <c r="C158" s="28" t="s">
        <v>19526</v>
      </c>
      <c r="D158" s="28" t="s">
        <v>19528</v>
      </c>
      <c r="E158" s="4" t="str">
        <f ca="1">IFERROR(__xludf.DUMMYFUNCTION("GOOGLETRANSLATE(B158,""ja"",""vi"")"),"lập tức")</f>
        <v>lập tức</v>
      </c>
      <c r="F158" s="4" t="str">
        <f ca="1">IFERROR(__xludf.DUMMYFUNCTION("GOOGLETRANSLATE(C158,""ja"",""vi"")"),"Đấu giá&gt; thực phẩm, đồ uống&gt; uống&gt; cà phê&gt; ngay lập tức")</f>
        <v>Đấu giá&gt; thực phẩm, đồ uống&gt; uống&gt; cà phê&gt; ngay lập tức</v>
      </c>
      <c r="G158" t="str">
        <f t="shared" ca="1" si="2"/>
        <v>"24014" : "lập tức",</v>
      </c>
    </row>
    <row r="159" spans="1:7" ht="15.75" customHeight="1">
      <c r="A159" s="28">
        <v>2084050410</v>
      </c>
      <c r="B159" s="28" t="s">
        <v>19529</v>
      </c>
      <c r="C159" s="28" t="s">
        <v>19531</v>
      </c>
      <c r="D159" s="28" t="s">
        <v>19534</v>
      </c>
      <c r="E159" s="4" t="str">
        <f ca="1">IFERROR(__xludf.DUMMYFUNCTION("GOOGLETRANSLATE(B159,""ja"",""vi"")"),"đồ uống cà phê")</f>
        <v>đồ uống cà phê</v>
      </c>
      <c r="F159" s="4" t="str">
        <f ca="1">IFERROR(__xludf.DUMMYFUNCTION("GOOGLETRANSLATE(C159,""ja"",""vi"")"),"Đấu giá&gt; thực phẩm, đồ uống&gt; uống&gt; cà phê&gt; đồ uống cà phê")</f>
        <v>Đấu giá&gt; thực phẩm, đồ uống&gt; uống&gt; cà phê&gt; đồ uống cà phê</v>
      </c>
      <c r="G159" t="str">
        <f t="shared" ca="1" si="2"/>
        <v>"2084050410" : "đồ uống cà phê",</v>
      </c>
    </row>
    <row r="160" spans="1:7" ht="15.75" customHeight="1">
      <c r="A160" s="28">
        <v>24018</v>
      </c>
      <c r="B160" s="28" t="s">
        <v>19536</v>
      </c>
      <c r="C160" s="28" t="s">
        <v>19538</v>
      </c>
      <c r="D160" s="28" t="s">
        <v>19540</v>
      </c>
      <c r="E160" s="4" t="str">
        <f ca="1">IFERROR(__xludf.DUMMYFUNCTION("GOOGLETRANSLATE(B160,""ja"",""vi"")"),"hột cà phê")</f>
        <v>hột cà phê</v>
      </c>
      <c r="F160" s="4" t="str">
        <f ca="1">IFERROR(__xludf.DUMMYFUNCTION("GOOGLETRANSLATE(C160,""ja"",""vi"")"),"Đấu giá&gt; thực phẩm, đồ uống&gt; uống&gt; cà phê&gt; hạt cà phê")</f>
        <v>Đấu giá&gt; thực phẩm, đồ uống&gt; uống&gt; cà phê&gt; hạt cà phê</v>
      </c>
      <c r="G160" t="str">
        <f t="shared" ca="1" si="2"/>
        <v>"24018" : "hột cà phê",</v>
      </c>
    </row>
    <row r="161" spans="1:7" ht="15.75" customHeight="1">
      <c r="A161" s="28" t="s">
        <v>19541</v>
      </c>
      <c r="B161" s="28" t="s">
        <v>18963</v>
      </c>
      <c r="C161" s="28" t="s">
        <v>19543</v>
      </c>
      <c r="D161" s="28" t="s">
        <v>19545</v>
      </c>
      <c r="E161" s="4" t="str">
        <f ca="1">IFERROR(__xludf.DUMMYFUNCTION("GOOGLETRANSLATE(B161,""ja"",""vi"")"),"Set, Assortment")</f>
        <v>Set, Assortment</v>
      </c>
      <c r="F161" s="4" t="str">
        <f ca="1">IFERROR(__xludf.DUMMYFUNCTION("GOOGLETRANSLATE(C161,""ja"",""vi"")"),"Đấu giá&gt; thực phẩm, đồ uống&gt; uống&gt; nước giải khát&gt; thiết lập, loại")</f>
        <v>Đấu giá&gt; thực phẩm, đồ uống&gt; uống&gt; nước giải khát&gt; thiết lập, loại</v>
      </c>
      <c r="G161" t="str">
        <f t="shared" ca="1" si="2"/>
        <v>" " : "Set, Assortment",</v>
      </c>
    </row>
    <row r="162" spans="1:7" ht="15.75" customHeight="1">
      <c r="A162" s="28">
        <v>2084050410</v>
      </c>
      <c r="B162" s="28" t="s">
        <v>19529</v>
      </c>
      <c r="C162" s="28" t="s">
        <v>19548</v>
      </c>
      <c r="D162" s="28" t="s">
        <v>19550</v>
      </c>
      <c r="E162" s="4" t="str">
        <f ca="1">IFERROR(__xludf.DUMMYFUNCTION("GOOGLETRANSLATE(B162,""ja"",""vi"")"),"đồ uống cà phê")</f>
        <v>đồ uống cà phê</v>
      </c>
      <c r="F162" s="4" t="str">
        <f ca="1">IFERROR(__xludf.DUMMYFUNCTION("GOOGLETRANSLATE(C162,""ja"",""vi"")"),"Đấu giá&gt; thực phẩm, đồ uống&gt; uống&gt; nước giải khát&gt; đồ uống cà phê")</f>
        <v>Đấu giá&gt; thực phẩm, đồ uống&gt; uống&gt; nước giải khát&gt; đồ uống cà phê</v>
      </c>
      <c r="G162" t="str">
        <f t="shared" ca="1" si="2"/>
        <v>"2084050410" : "đồ uống cà phê",</v>
      </c>
    </row>
    <row r="163" spans="1:7" ht="15.75" customHeight="1">
      <c r="A163" s="28">
        <v>2084050411</v>
      </c>
      <c r="B163" s="28" t="s">
        <v>19552</v>
      </c>
      <c r="C163" s="28" t="s">
        <v>19554</v>
      </c>
      <c r="D163" s="28" t="s">
        <v>19555</v>
      </c>
      <c r="E163" s="4" t="str">
        <f ca="1">IFERROR(__xludf.DUMMYFUNCTION("GOOGLETRANSLATE(B163,""ja"",""vi"")"),"đồ uống thể thao")</f>
        <v>đồ uống thể thao</v>
      </c>
      <c r="F163" s="4" t="str">
        <f ca="1">IFERROR(__xludf.DUMMYFUNCTION("GOOGLETRANSLATE(C163,""ja"",""vi"")"),"Đấu giá&gt; thực phẩm, đồ uống&gt; uống&gt; nước giải khát&gt; đồ uống thể thao")</f>
        <v>Đấu giá&gt; thực phẩm, đồ uống&gt; uống&gt; nước giải khát&gt; đồ uống thể thao</v>
      </c>
      <c r="G163" t="str">
        <f t="shared" ca="1" si="2"/>
        <v>"2084050411" : "đồ uống thể thao",</v>
      </c>
    </row>
    <row r="164" spans="1:7" ht="15.75" customHeight="1">
      <c r="A164" s="28">
        <v>2084048480</v>
      </c>
      <c r="B164" s="28" t="s">
        <v>19556</v>
      </c>
      <c r="C164" s="28" t="s">
        <v>19558</v>
      </c>
      <c r="D164" s="28" t="s">
        <v>19560</v>
      </c>
      <c r="E164" s="4" t="str">
        <f ca="1">IFERROR(__xludf.DUMMYFUNCTION("GOOGLETRANSLATE(B164,""ja"",""vi"")"),"nước khoáng")</f>
        <v>nước khoáng</v>
      </c>
      <c r="F164" s="4" t="str">
        <f ca="1">IFERROR(__xludf.DUMMYFUNCTION("GOOGLETRANSLATE(C164,""ja"",""vi"")"),"Đấu giá&gt; thực phẩm, đồ uống&gt; uống&gt; nước giải khát&gt; nước khoáng")</f>
        <v>Đấu giá&gt; thực phẩm, đồ uống&gt; uống&gt; nước giải khát&gt; nước khoáng</v>
      </c>
      <c r="G164" t="str">
        <f t="shared" ca="1" si="2"/>
        <v>"2084048480" : "nước khoáng",</v>
      </c>
    </row>
    <row r="165" spans="1:7" ht="15.75" customHeight="1">
      <c r="A165" s="28">
        <v>24022</v>
      </c>
      <c r="B165" s="28" t="s">
        <v>19561</v>
      </c>
      <c r="C165" s="28" t="s">
        <v>19562</v>
      </c>
      <c r="D165" s="28" t="s">
        <v>19563</v>
      </c>
      <c r="E165" s="4" t="str">
        <f ca="1">IFERROR(__xludf.DUMMYFUNCTION("GOOGLETRANSLATE(B165,""ja"",""vi"")"),"nước trái cây")</f>
        <v>nước trái cây</v>
      </c>
      <c r="F165" s="4" t="str">
        <f ca="1">IFERROR(__xludf.DUMMYFUNCTION("GOOGLETRANSLATE(C165,""ja"",""vi"")"),"Đấu giá&gt; thực phẩm, đồ uống&gt; uống&gt; nước giải khát&gt; nước trái cây uống")</f>
        <v>Đấu giá&gt; thực phẩm, đồ uống&gt; uống&gt; nước giải khát&gt; nước trái cây uống</v>
      </c>
      <c r="G165" t="str">
        <f t="shared" ca="1" si="2"/>
        <v>"24022" : "nước trái cây",</v>
      </c>
    </row>
    <row r="166" spans="1:7" ht="15.75" customHeight="1">
      <c r="A166" s="28">
        <v>2084050375</v>
      </c>
      <c r="B166" s="28" t="s">
        <v>19566</v>
      </c>
      <c r="C166" s="28" t="s">
        <v>19568</v>
      </c>
      <c r="D166" s="28" t="s">
        <v>19569</v>
      </c>
      <c r="E166" s="4" t="str">
        <f ca="1">IFERROR(__xludf.DUMMYFUNCTION("GOOGLETRANSLATE(B166,""ja"",""vi"")"),"sữa")</f>
        <v>sữa</v>
      </c>
      <c r="F166" s="4" t="str">
        <f ca="1">IFERROR(__xludf.DUMMYFUNCTION("GOOGLETRANSLATE(C166,""ja"",""vi"")"),"Đấu giá&gt; thực phẩm, đồ uống&gt; uống&gt; nước giải khát&gt; Sữa")</f>
        <v>Đấu giá&gt; thực phẩm, đồ uống&gt; uống&gt; nước giải khát&gt; Sữa</v>
      </c>
      <c r="G166" t="str">
        <f t="shared" ca="1" si="2"/>
        <v>"2084050375" : "sữa",</v>
      </c>
    </row>
    <row r="167" spans="1:7" ht="15.75" customHeight="1">
      <c r="A167" s="28">
        <v>2084050412</v>
      </c>
      <c r="B167" s="28" t="s">
        <v>19572</v>
      </c>
      <c r="C167" s="28" t="s">
        <v>19574</v>
      </c>
      <c r="D167" s="28" t="s">
        <v>19575</v>
      </c>
      <c r="E167" s="4" t="str">
        <f ca="1">IFERROR(__xludf.DUMMYFUNCTION("GOOGLETRANSLATE(B167,""ja"",""vi"")"),"đồ uống có ga")</f>
        <v>đồ uống có ga</v>
      </c>
      <c r="F167" s="4" t="str">
        <f ca="1">IFERROR(__xludf.DUMMYFUNCTION("GOOGLETRANSLATE(C167,""ja"",""vi"")"),"Đấu giá&gt; thực phẩm, đồ uống&gt; uống&gt; nước giải khát&gt; đồ uống có ga")</f>
        <v>Đấu giá&gt; thực phẩm, đồ uống&gt; uống&gt; nước giải khát&gt; đồ uống có ga</v>
      </c>
      <c r="G167" t="str">
        <f t="shared" ca="1" si="2"/>
        <v>"2084050412" : "đồ uống có ga",</v>
      </c>
    </row>
    <row r="168" spans="1:7" ht="15.75" customHeight="1">
      <c r="A168" s="28">
        <v>2084050413</v>
      </c>
      <c r="B168" s="28" t="s">
        <v>19578</v>
      </c>
      <c r="C168" s="28" t="s">
        <v>19580</v>
      </c>
      <c r="D168" s="28" t="s">
        <v>19581</v>
      </c>
      <c r="E168" s="4" t="str">
        <f ca="1">IFERROR(__xludf.DUMMYFUNCTION("GOOGLETRANSLATE(B168,""ja"",""vi"")"),"đồ uống trà")</f>
        <v>đồ uống trà</v>
      </c>
      <c r="F168" s="4" t="str">
        <f ca="1">IFERROR(__xludf.DUMMYFUNCTION("GOOGLETRANSLATE(C168,""ja"",""vi"")"),"Đấu giá&gt; thực phẩm, đồ uống&gt; uống&gt; nước giải khát&gt; đồ uống trà")</f>
        <v>Đấu giá&gt; thực phẩm, đồ uống&gt; uống&gt; nước giải khát&gt; đồ uống trà</v>
      </c>
      <c r="G168" t="str">
        <f t="shared" ca="1" si="2"/>
        <v>"2084050413" : "đồ uống trà",</v>
      </c>
    </row>
    <row r="169" spans="1:7" ht="15.75" customHeight="1">
      <c r="A169" s="28">
        <v>2084050414</v>
      </c>
      <c r="B169" s="28" t="s">
        <v>19582</v>
      </c>
      <c r="C169" s="28" t="s">
        <v>19583</v>
      </c>
      <c r="D169" s="28" t="s">
        <v>19585</v>
      </c>
      <c r="E169" s="4" t="str">
        <f ca="1">IFERROR(__xludf.DUMMYFUNCTION("GOOGLETRANSLATE(B169,""ja"",""vi"")"),"đồ uống rau")</f>
        <v>đồ uống rau</v>
      </c>
      <c r="F169" s="4" t="str">
        <f ca="1">IFERROR(__xludf.DUMMYFUNCTION("GOOGLETRANSLATE(C169,""ja"",""vi"")"),"Đấu giá&gt; thực phẩm, đồ uống&gt; uống&gt; nước giải khát&gt; đồ uống rau")</f>
        <v>Đấu giá&gt; thực phẩm, đồ uống&gt; uống&gt; nước giải khát&gt; đồ uống rau</v>
      </c>
      <c r="G169" t="str">
        <f t="shared" ca="1" si="2"/>
        <v>"2084050414" : "đồ uống rau",</v>
      </c>
    </row>
    <row r="170" spans="1:7" ht="15.75" customHeight="1">
      <c r="A170" s="28">
        <v>2084311110</v>
      </c>
      <c r="B170" s="28" t="s">
        <v>19588</v>
      </c>
      <c r="C170" s="28" t="s">
        <v>19589</v>
      </c>
      <c r="D170" s="28" t="s">
        <v>19590</v>
      </c>
      <c r="E170" s="4" t="str">
        <f ca="1">IFERROR(__xludf.DUMMYFUNCTION("GOOGLETRANSLATE(B170,""ja"",""vi"")"),"bia không alcohole")</f>
        <v>bia không alcohole</v>
      </c>
      <c r="F170" s="4" t="str">
        <f ca="1">IFERROR(__xludf.DUMMYFUNCTION("GOOGLETRANSLATE(C170,""ja"",""vi"")"),"Đấu giá&gt; thực phẩm, đồ uống&gt; uống&gt; nước giải khát&gt; bia không cồn")</f>
        <v>Đấu giá&gt; thực phẩm, đồ uống&gt; uống&gt; nước giải khát&gt; bia không cồn</v>
      </c>
      <c r="G170" t="str">
        <f t="shared" ca="1" si="2"/>
        <v>"2084311110" : "bia không alcohole",</v>
      </c>
    </row>
    <row r="171" spans="1:7" ht="15.75" customHeight="1">
      <c r="A171" s="28">
        <v>2084050415</v>
      </c>
      <c r="B171" s="28" t="s">
        <v>46</v>
      </c>
      <c r="C171" s="28" t="s">
        <v>19593</v>
      </c>
      <c r="D171" s="28" t="s">
        <v>19594</v>
      </c>
      <c r="E171" s="4" t="str">
        <f ca="1">IFERROR(__xludf.DUMMYFUNCTION("GOOGLETRANSLATE(B171,""ja"",""vi"")"),"nếu không thì")</f>
        <v>nếu không thì</v>
      </c>
      <c r="F171" s="4" t="str">
        <f ca="1">IFERROR(__xludf.DUMMYFUNCTION("GOOGLETRANSLATE(C171,""ja"",""vi"")"),"Đấu giá&gt; thực phẩm, đồ uống&gt; uống&gt; nước giải khát&gt; Khác")</f>
        <v>Đấu giá&gt; thực phẩm, đồ uống&gt; uống&gt; nước giải khát&gt; Khác</v>
      </c>
      <c r="G171" t="str">
        <f t="shared" ca="1" si="2"/>
        <v>"2084050415" : "nếu không thì",</v>
      </c>
    </row>
    <row r="172" spans="1:7" ht="15.75" customHeight="1">
      <c r="A172" s="28">
        <v>2084227194</v>
      </c>
      <c r="B172" s="28" t="s">
        <v>18963</v>
      </c>
      <c r="C172" s="28" t="s">
        <v>19597</v>
      </c>
      <c r="D172" s="28" t="s">
        <v>19598</v>
      </c>
      <c r="E172" s="4" t="str">
        <f ca="1">IFERROR(__xludf.DUMMYFUNCTION("GOOGLETRANSLATE(B172,""ja"",""vi"")"),"Set, Assortment")</f>
        <v>Set, Assortment</v>
      </c>
      <c r="F172" s="4" t="str">
        <f ca="1">IFERROR(__xludf.DUMMYFUNCTION("GOOGLETRANSLATE(C172,""ja"",""vi"")"),"Đấu giá&gt; thực phẩm, đồ uống&gt; uống&gt; Nước khoáng&gt; thiết lập, loại")</f>
        <v>Đấu giá&gt; thực phẩm, đồ uống&gt; uống&gt; Nước khoáng&gt; thiết lập, loại</v>
      </c>
      <c r="G172" t="str">
        <f t="shared" ca="1" si="2"/>
        <v>"2084227194" : "Set, Assortment",</v>
      </c>
    </row>
    <row r="173" spans="1:7" ht="15.75" customHeight="1">
      <c r="A173" s="28">
        <v>2084227193</v>
      </c>
      <c r="B173" s="28" t="s">
        <v>19600</v>
      </c>
      <c r="C173" s="28" t="s">
        <v>19602</v>
      </c>
      <c r="D173" s="28" t="s">
        <v>19603</v>
      </c>
      <c r="E173" s="4" t="str">
        <f ca="1">IFERROR(__xludf.DUMMYFUNCTION("GOOGLETRANSLATE(B173,""ja"",""vi"")"),"Ngoài nước")</f>
        <v>Ngoài nước</v>
      </c>
      <c r="F173" s="4" t="str">
        <f ca="1">IFERROR(__xludf.DUMMYFUNCTION("GOOGLETRANSLATE(C173,""ja"",""vi"")"),"Đấu giá&gt; thực phẩm, đồ uống&gt; uống&gt; Nước khoáng&gt; ở nước ngoài")</f>
        <v>Đấu giá&gt; thực phẩm, đồ uống&gt; uống&gt; Nước khoáng&gt; ở nước ngoài</v>
      </c>
      <c r="G173" t="str">
        <f t="shared" ca="1" si="2"/>
        <v>"2084227193" : "Ngoài nước",</v>
      </c>
    </row>
    <row r="174" spans="1:7" ht="15.75" customHeight="1">
      <c r="A174" s="28">
        <v>2084227192</v>
      </c>
      <c r="B174" s="28" t="s">
        <v>8527</v>
      </c>
      <c r="C174" s="28" t="s">
        <v>19606</v>
      </c>
      <c r="D174" s="28" t="s">
        <v>19607</v>
      </c>
      <c r="E174" s="4" t="str">
        <f ca="1">IFERROR(__xludf.DUMMYFUNCTION("GOOGLETRANSLATE(B174,""ja"",""vi"")"),"nội bộ")</f>
        <v>nội bộ</v>
      </c>
      <c r="F174" s="4" t="str">
        <f ca="1">IFERROR(__xludf.DUMMYFUNCTION("GOOGLETRANSLATE(C174,""ja"",""vi"")"),"Đấu giá&gt; thực phẩm, đồ uống&gt; uống&gt; Nước khoáng&gt; trong nước")</f>
        <v>Đấu giá&gt; thực phẩm, đồ uống&gt; uống&gt; Nước khoáng&gt; trong nước</v>
      </c>
      <c r="G174" t="str">
        <f t="shared" ca="1" si="2"/>
        <v>"2084227192" : "nội bộ",</v>
      </c>
    </row>
    <row r="175" spans="1:7" ht="15.75" customHeight="1">
      <c r="A175" s="28">
        <v>2084227195</v>
      </c>
      <c r="B175" s="28" t="s">
        <v>46</v>
      </c>
      <c r="C175" s="28" t="s">
        <v>19608</v>
      </c>
      <c r="D175" s="28" t="s">
        <v>19611</v>
      </c>
      <c r="E175" s="4" t="str">
        <f ca="1">IFERROR(__xludf.DUMMYFUNCTION("GOOGLETRANSLATE(B175,""ja"",""vi"")"),"nếu không thì")</f>
        <v>nếu không thì</v>
      </c>
      <c r="F175" s="4" t="str">
        <f ca="1">IFERROR(__xludf.DUMMYFUNCTION("GOOGLETRANSLATE(C175,""ja"",""vi"")"),"Đấu giá&gt; thực phẩm, đồ uống&gt; uống&gt; Nước khoáng&gt; Khác")</f>
        <v>Đấu giá&gt; thực phẩm, đồ uống&gt; uống&gt; Nước khoáng&gt; Khác</v>
      </c>
      <c r="G175" t="str">
        <f t="shared" ca="1" si="2"/>
        <v>"2084227195" : "nếu không thì",</v>
      </c>
    </row>
    <row r="176" spans="1:7" ht="15.75" customHeight="1">
      <c r="A176" s="28">
        <v>2084050432</v>
      </c>
      <c r="B176" s="28" t="s">
        <v>18963</v>
      </c>
      <c r="C176" s="28" t="s">
        <v>19613</v>
      </c>
      <c r="D176" s="28" t="s">
        <v>19615</v>
      </c>
      <c r="E176" s="4" t="str">
        <f ca="1">IFERROR(__xludf.DUMMYFUNCTION("GOOGLETRANSLATE(B176,""ja"",""vi"")"),"Set, Assortment")</f>
        <v>Set, Assortment</v>
      </c>
      <c r="F176" s="4" t="str">
        <f ca="1">IFERROR(__xludf.DUMMYFUNCTION("GOOGLETRANSLATE(C176,""ja"",""vi"")"),"Đấu giá&gt; thực phẩm, đồ uống&gt; uống&gt; trà&gt; thiết lập, loại")</f>
        <v>Đấu giá&gt; thực phẩm, đồ uống&gt; uống&gt; trà&gt; thiết lập, loại</v>
      </c>
      <c r="G176" t="str">
        <f t="shared" ca="1" si="2"/>
        <v>"2084050432" : "Set, Assortment",</v>
      </c>
    </row>
    <row r="177" spans="1:7" ht="15.75" customHeight="1">
      <c r="A177" s="28">
        <v>2084006742</v>
      </c>
      <c r="B177" s="28" t="s">
        <v>19616</v>
      </c>
      <c r="C177" s="28" t="s">
        <v>19619</v>
      </c>
      <c r="D177" s="28" t="s">
        <v>19621</v>
      </c>
      <c r="E177" s="4" t="str">
        <f ca="1">IFERROR(__xludf.DUMMYFUNCTION("GOOGLETRANSLATE(B177,""ja"",""vi"")"),"trà thảo mộc")</f>
        <v>trà thảo mộc</v>
      </c>
      <c r="F177" s="4" t="str">
        <f ca="1">IFERROR(__xludf.DUMMYFUNCTION("GOOGLETRANSLATE(C177,""ja"",""vi"")"),"Đấu giá&gt; thực phẩm, đồ uống&gt; uống&gt; trà&gt; trà thảo mộc")</f>
        <v>Đấu giá&gt; thực phẩm, đồ uống&gt; uống&gt; trà&gt; trà thảo mộc</v>
      </c>
      <c r="G177" t="str">
        <f t="shared" ca="1" si="2"/>
        <v>"2084006742" : "trà thảo mộc",</v>
      </c>
    </row>
    <row r="178" spans="1:7" ht="15.75" customHeight="1">
      <c r="A178" s="28">
        <v>2084006740</v>
      </c>
      <c r="B178" s="28" t="s">
        <v>19622</v>
      </c>
      <c r="C178" s="28" t="s">
        <v>19623</v>
      </c>
      <c r="D178" s="28" t="s">
        <v>19625</v>
      </c>
      <c r="E178" s="4" t="str">
        <f ca="1">IFERROR(__xludf.DUMMYFUNCTION("GOOGLETRANSLATE(B178,""ja"",""vi"")"),"trà đen")</f>
        <v>trà đen</v>
      </c>
      <c r="F178" s="4" t="str">
        <f ca="1">IFERROR(__xludf.DUMMYFUNCTION("GOOGLETRANSLATE(C178,""ja"",""vi"")"),"Đấu giá&gt; thực phẩm, đồ uống&gt; uống&gt; trà&gt; chè")</f>
        <v>Đấu giá&gt; thực phẩm, đồ uống&gt; uống&gt; trà&gt; chè</v>
      </c>
      <c r="G178" t="str">
        <f t="shared" ca="1" si="2"/>
        <v>"2084006740" : "trà đen",</v>
      </c>
    </row>
    <row r="179" spans="1:7" ht="15.75" customHeight="1">
      <c r="A179" s="28">
        <v>2084006739</v>
      </c>
      <c r="B179" s="28" t="s">
        <v>19627</v>
      </c>
      <c r="C179" s="28" t="s">
        <v>19628</v>
      </c>
      <c r="D179" s="28" t="s">
        <v>19629</v>
      </c>
      <c r="E179" s="4" t="str">
        <f ca="1">IFERROR(__xludf.DUMMYFUNCTION("GOOGLETRANSLATE(B179,""ja"",""vi"")"),"trà Trung Quốc")</f>
        <v>trà Trung Quốc</v>
      </c>
      <c r="F179" s="4" t="str">
        <f ca="1">IFERROR(__xludf.DUMMYFUNCTION("GOOGLETRANSLATE(C179,""ja"",""vi"")"),"Đấu giá&gt; thực phẩm, đồ uống&gt; uống&gt; trà&gt; chè Trung Quốc")</f>
        <v>Đấu giá&gt; thực phẩm, đồ uống&gt; uống&gt; trà&gt; chè Trung Quốc</v>
      </c>
      <c r="G179" t="str">
        <f t="shared" ca="1" si="2"/>
        <v>"2084006739" : "trà Trung Quốc",</v>
      </c>
    </row>
    <row r="180" spans="1:7" ht="15.75" customHeight="1">
      <c r="A180" s="28">
        <v>2084006738</v>
      </c>
      <c r="B180" s="28" t="s">
        <v>19632</v>
      </c>
      <c r="C180" s="28" t="s">
        <v>19633</v>
      </c>
      <c r="D180" s="28" t="s">
        <v>19635</v>
      </c>
      <c r="E180" s="4" t="str">
        <f ca="1">IFERROR(__xludf.DUMMYFUNCTION("GOOGLETRANSLATE(B180,""ja"",""vi"")"),"trà đạo Nhật Bản")</f>
        <v>trà đạo Nhật Bản</v>
      </c>
      <c r="F180" s="4" t="str">
        <f ca="1">IFERROR(__xludf.DUMMYFUNCTION("GOOGLETRANSLATE(C180,""ja"",""vi"")"),"Đấu giá&gt; thực phẩm, đồ uống&gt; uống&gt; trà&gt; trà đạo Nhật Bản")</f>
        <v>Đấu giá&gt; thực phẩm, đồ uống&gt; uống&gt; trà&gt; trà đạo Nhật Bản</v>
      </c>
      <c r="G180" t="str">
        <f t="shared" ca="1" si="2"/>
        <v>"2084006738" : "trà đạo Nhật Bản",</v>
      </c>
    </row>
    <row r="181" spans="1:7" ht="15.75" customHeight="1">
      <c r="A181" s="28">
        <v>2084213823</v>
      </c>
      <c r="B181" s="28" t="s">
        <v>19638</v>
      </c>
      <c r="C181" s="28" t="s">
        <v>19639</v>
      </c>
      <c r="D181" s="28" t="s">
        <v>19640</v>
      </c>
      <c r="E181" s="4" t="str">
        <f ca="1">IFERROR(__xludf.DUMMYFUNCTION("GOOGLETRANSLATE(B181,""ja"",""vi"")"),"Du zhong trà")</f>
        <v>Du zhong trà</v>
      </c>
      <c r="F181" s="4" t="str">
        <f ca="1">IFERROR(__xludf.DUMMYFUNCTION("GOOGLETRANSLATE(C181,""ja"",""vi"")"),"Đấu giá&gt; thực phẩm, đồ uống&gt; uống&gt; trà&gt; du zhong trà")</f>
        <v>Đấu giá&gt; thực phẩm, đồ uống&gt; uống&gt; trà&gt; du zhong trà</v>
      </c>
      <c r="G181" t="str">
        <f t="shared" ca="1" si="2"/>
        <v>"2084213823" : "Du zhong trà",</v>
      </c>
    </row>
    <row r="182" spans="1:7" ht="15.75" customHeight="1">
      <c r="A182" s="28">
        <v>2084006741</v>
      </c>
      <c r="B182" s="28" t="s">
        <v>46</v>
      </c>
      <c r="C182" s="28" t="s">
        <v>19643</v>
      </c>
      <c r="D182" s="28" t="s">
        <v>19645</v>
      </c>
      <c r="E182" s="4" t="str">
        <f ca="1">IFERROR(__xludf.DUMMYFUNCTION("GOOGLETRANSLATE(B182,""ja"",""vi"")"),"nếu không thì")</f>
        <v>nếu không thì</v>
      </c>
      <c r="F182" s="4" t="str">
        <f ca="1">IFERROR(__xludf.DUMMYFUNCTION("GOOGLETRANSLATE(C182,""ja"",""vi"")"),"Đấu giá&gt; thực phẩm, đồ uống&gt; uống&gt; trà&gt; Khác")</f>
        <v>Đấu giá&gt; thực phẩm, đồ uống&gt; uống&gt; trà&gt; Khác</v>
      </c>
      <c r="G182" t="str">
        <f t="shared" ca="1" si="2"/>
        <v>"2084006741" : "nếu không thì",</v>
      </c>
    </row>
    <row r="183" spans="1:7" ht="15.75" customHeight="1">
      <c r="A183" s="28">
        <v>2084289551</v>
      </c>
      <c r="B183" s="28" t="s">
        <v>19649</v>
      </c>
      <c r="C183" s="28" t="s">
        <v>19650</v>
      </c>
      <c r="D183" s="28" t="s">
        <v>19651</v>
      </c>
      <c r="E183" s="4" t="str">
        <f ca="1">IFERROR(__xludf.DUMMYFUNCTION("GOOGLETRANSLATE(B183,""ja"",""vi"")"),"Hạt, bột Loại")</f>
        <v>Hạt, bột Loại</v>
      </c>
      <c r="F183" s="4" t="str">
        <f ca="1">IFERROR(__xludf.DUMMYFUNCTION("GOOGLETRANSLATE(C183,""ja"",""vi"")"),"Đấu giá&gt; thực phẩm, đồ uống&gt; thực phẩm sức khỏe&gt; ​​amino axit&gt; hạt, loại bột")</f>
        <v>Đấu giá&gt; thực phẩm, đồ uống&gt; thực phẩm sức khỏe&gt; ​​amino axit&gt; hạt, loại bột</v>
      </c>
      <c r="G183" t="str">
        <f t="shared" ca="1" si="2"/>
        <v>"2084289551" : "Hạt, bột Loại",</v>
      </c>
    </row>
    <row r="184" spans="1:7" ht="15.75" customHeight="1">
      <c r="A184" s="28">
        <v>2084289552</v>
      </c>
      <c r="B184" s="28" t="s">
        <v>19656</v>
      </c>
      <c r="C184" s="28" t="s">
        <v>19657</v>
      </c>
      <c r="D184" s="28" t="s">
        <v>19658</v>
      </c>
      <c r="E184" s="4" t="str">
        <f ca="1">IFERROR(__xludf.DUMMYFUNCTION("GOOGLETRANSLATE(B184,""ja"",""vi"")"),"Tablet, loại viên nang")</f>
        <v>Tablet, loại viên nang</v>
      </c>
      <c r="F184" s="4" t="str">
        <f ca="1">IFERROR(__xludf.DUMMYFUNCTION("GOOGLETRANSLATE(C184,""ja"",""vi"")"),"Đấu giá&gt; thực phẩm, đồ uống&gt; thực phẩm sức khỏe&gt; ​​amino axit&gt; tablet, loại viên nang")</f>
        <v>Đấu giá&gt; thực phẩm, đồ uống&gt; thực phẩm sức khỏe&gt; ​​amino axit&gt; tablet, loại viên nang</v>
      </c>
      <c r="G184" t="str">
        <f t="shared" ca="1" si="2"/>
        <v>"2084289552" : "Tablet, loại viên nang",</v>
      </c>
    </row>
    <row r="185" spans="1:7" ht="15.75" customHeight="1">
      <c r="A185" s="28">
        <v>2084289553</v>
      </c>
      <c r="B185" s="28" t="s">
        <v>46</v>
      </c>
      <c r="C185" s="28" t="s">
        <v>19662</v>
      </c>
      <c r="D185" s="28" t="s">
        <v>19663</v>
      </c>
      <c r="E185" s="4" t="str">
        <f ca="1">IFERROR(__xludf.DUMMYFUNCTION("GOOGLETRANSLATE(B185,""ja"",""vi"")"),"nếu không thì")</f>
        <v>nếu không thì</v>
      </c>
      <c r="F185" s="4" t="str">
        <f ca="1">IFERROR(__xludf.DUMMYFUNCTION("GOOGLETRANSLATE(C185,""ja"",""vi"")"),"Đấu giá&gt; thực phẩm, đồ uống&gt; thực phẩm sức khỏe&gt; ​​amino axit&gt; Khác")</f>
        <v>Đấu giá&gt; thực phẩm, đồ uống&gt; thực phẩm sức khỏe&gt; ​​amino axit&gt; Khác</v>
      </c>
      <c r="G185" t="str">
        <f t="shared" ca="1" si="2"/>
        <v>"2084289553" : "nếu không thì",</v>
      </c>
    </row>
    <row r="186" spans="1:7" ht="15.75" customHeight="1">
      <c r="A186" s="28">
        <v>2084289554</v>
      </c>
      <c r="B186" s="28" t="s">
        <v>19649</v>
      </c>
      <c r="C186" s="28" t="s">
        <v>19668</v>
      </c>
      <c r="D186" s="28" t="s">
        <v>19669</v>
      </c>
      <c r="E186" s="4" t="str">
        <f ca="1">IFERROR(__xludf.DUMMYFUNCTION("GOOGLETRANSLATE(B186,""ja"",""vi"")"),"Hạt, bột Loại")</f>
        <v>Hạt, bột Loại</v>
      </c>
      <c r="F186" s="4" t="str">
        <f ca="1">IFERROR(__xludf.DUMMYFUNCTION("GOOGLETRANSLATE(C186,""ja"",""vi"")"),"Đấu giá&gt; thực phẩm, đồ uống&gt; thực phẩm sức khỏe&gt; ​​collagen&gt; hạt, loại bột")</f>
        <v>Đấu giá&gt; thực phẩm, đồ uống&gt; thực phẩm sức khỏe&gt; ​​collagen&gt; hạt, loại bột</v>
      </c>
      <c r="G186" t="str">
        <f t="shared" ca="1" si="2"/>
        <v>"2084289554" : "Hạt, bột Loại",</v>
      </c>
    </row>
    <row r="187" spans="1:7" ht="15.75" customHeight="1">
      <c r="A187" s="28">
        <v>2084289555</v>
      </c>
      <c r="B187" s="28" t="s">
        <v>19656</v>
      </c>
      <c r="C187" s="28" t="s">
        <v>19674</v>
      </c>
      <c r="D187" s="28" t="s">
        <v>19676</v>
      </c>
      <c r="E187" s="4" t="str">
        <f ca="1">IFERROR(__xludf.DUMMYFUNCTION("GOOGLETRANSLATE(B187,""ja"",""vi"")"),"Tablet, loại viên nang")</f>
        <v>Tablet, loại viên nang</v>
      </c>
      <c r="F187" s="4" t="str">
        <f ca="1">IFERROR(__xludf.DUMMYFUNCTION("GOOGLETRANSLATE(C187,""ja"",""vi"")"),"Đấu giá&gt; thực phẩm, đồ uống&gt; thực phẩm sức khỏe&gt; ​​collagen&gt; tablet, loại viên nang")</f>
        <v>Đấu giá&gt; thực phẩm, đồ uống&gt; thực phẩm sức khỏe&gt; ​​collagen&gt; tablet, loại viên nang</v>
      </c>
      <c r="G187" t="str">
        <f t="shared" ca="1" si="2"/>
        <v>"2084289555" : "Tablet, loại viên nang",</v>
      </c>
    </row>
    <row r="188" spans="1:7" ht="15.75" customHeight="1">
      <c r="A188" s="28">
        <v>2084289556</v>
      </c>
      <c r="B188" s="28" t="s">
        <v>19680</v>
      </c>
      <c r="C188" s="28" t="s">
        <v>19682</v>
      </c>
      <c r="D188" s="28" t="s">
        <v>19683</v>
      </c>
      <c r="E188" s="4" t="str">
        <f ca="1">IFERROR(__xludf.DUMMYFUNCTION("GOOGLETRANSLATE(B188,""ja"",""vi"")"),"loại thức uống")</f>
        <v>loại thức uống</v>
      </c>
      <c r="F188" s="4" t="str">
        <f ca="1">IFERROR(__xludf.DUMMYFUNCTION("GOOGLETRANSLATE(C188,""ja"",""vi"")"),"Đấu giá&gt; thực phẩm, đồ uống&gt; thực phẩm sức khỏe&gt; ​​collagen&gt; loại thức uống")</f>
        <v>Đấu giá&gt; thực phẩm, đồ uống&gt; thực phẩm sức khỏe&gt; ​​collagen&gt; loại thức uống</v>
      </c>
      <c r="G188" t="str">
        <f t="shared" ca="1" si="2"/>
        <v>"2084289556" : "loại thức uống",</v>
      </c>
    </row>
    <row r="189" spans="1:7" ht="15.75" customHeight="1">
      <c r="A189" s="28">
        <v>2084289557</v>
      </c>
      <c r="B189" s="28" t="s">
        <v>46</v>
      </c>
      <c r="C189" s="28" t="s">
        <v>19686</v>
      </c>
      <c r="D189" s="28" t="s">
        <v>19688</v>
      </c>
      <c r="E189" s="4" t="str">
        <f ca="1">IFERROR(__xludf.DUMMYFUNCTION("GOOGLETRANSLATE(B189,""ja"",""vi"")"),"nếu không thì")</f>
        <v>nếu không thì</v>
      </c>
      <c r="F189" s="4" t="str">
        <f ca="1">IFERROR(__xludf.DUMMYFUNCTION("GOOGLETRANSLATE(C189,""ja"",""vi"")"),"Đấu giá&gt; thực phẩm, đồ uống&gt; thực phẩm sức khỏe&gt; ​​collagen&gt; Khác")</f>
        <v>Đấu giá&gt; thực phẩm, đồ uống&gt; thực phẩm sức khỏe&gt; ​​collagen&gt; Khác</v>
      </c>
      <c r="G189" t="str">
        <f t="shared" ca="1" si="2"/>
        <v>"2084289557" : "nếu không thì",</v>
      </c>
    </row>
    <row r="190" spans="1:7" ht="15.75" customHeight="1">
      <c r="A190" s="28">
        <v>2084062739</v>
      </c>
      <c r="B190" s="28" t="s">
        <v>19692</v>
      </c>
      <c r="C190" s="28" t="s">
        <v>19693</v>
      </c>
      <c r="D190" s="28" t="s">
        <v>19695</v>
      </c>
      <c r="E190" s="4" t="str">
        <f ca="1">IFERROR(__xludf.DUMMYFUNCTION("GOOGLETRANSLATE(B190,""ja"",""vi"")"),"sức chịu đựng")</f>
        <v>sức chịu đựng</v>
      </c>
      <c r="F190" s="4" t="str">
        <f ca="1">IFERROR(__xludf.DUMMYFUNCTION("GOOGLETRANSLATE(C190,""ja"",""vi"")"),"Đấu giá&gt; thể thao, giải trí&gt; bổ sung&gt; sức chịu đựng")</f>
        <v>Đấu giá&gt; thể thao, giải trí&gt; bổ sung&gt; sức chịu đựng</v>
      </c>
      <c r="G190" t="str">
        <f t="shared" ca="1" si="2"/>
        <v>"2084062739" : "sức chịu đựng",</v>
      </c>
    </row>
    <row r="191" spans="1:7" ht="15.75" customHeight="1">
      <c r="A191" s="28">
        <v>2084062738</v>
      </c>
      <c r="B191" s="28" t="s">
        <v>19704</v>
      </c>
      <c r="C191" s="28" t="s">
        <v>19706</v>
      </c>
      <c r="D191" s="28" t="s">
        <v>19707</v>
      </c>
      <c r="E191" s="4" t="str">
        <f ca="1">IFERROR(__xludf.DUMMYFUNCTION("GOOGLETRANSLATE(B191,""ja"",""vi"")"),"hệ thống tức thời")</f>
        <v>hệ thống tức thời</v>
      </c>
      <c r="F191" s="4" t="str">
        <f ca="1">IFERROR(__xludf.DUMMYFUNCTION("GOOGLETRANSLATE(C191,""ja"",""vi"")"),"Đấu giá&gt; thể thao, giải trí&gt; bổ sung&gt; hệ thống tức thời")</f>
        <v>Đấu giá&gt; thể thao, giải trí&gt; bổ sung&gt; hệ thống tức thời</v>
      </c>
      <c r="G191" t="str">
        <f t="shared" ca="1" si="2"/>
        <v>"2084062738" : "hệ thống tức thời",</v>
      </c>
    </row>
    <row r="192" spans="1:7" ht="15.75" customHeight="1">
      <c r="A192" s="28">
        <v>2084289558</v>
      </c>
      <c r="B192" s="28" t="s">
        <v>19710</v>
      </c>
      <c r="C192" s="28" t="s">
        <v>19712</v>
      </c>
      <c r="D192" s="28" t="s">
        <v>19713</v>
      </c>
      <c r="E192" s="4" t="str">
        <f ca="1">IFERROR(__xludf.DUMMYFUNCTION("GOOGLETRANSLATE(B192,""ja"",""vi"")"),"Multivitamin")</f>
        <v>Multivitamin</v>
      </c>
      <c r="F192" s="4" t="str">
        <f ca="1">IFERROR(__xludf.DUMMYFUNCTION("GOOGLETRANSLATE(C192,""ja"",""vi"")"),"Đấu giá&gt; thực phẩm, đồ uống&gt; thực phẩm sức khỏe&gt; ​​Vitamin&gt; Multi-Vitamin")</f>
        <v>Đấu giá&gt; thực phẩm, đồ uống&gt; thực phẩm sức khỏe&gt; ​​Vitamin&gt; Multi-Vitamin</v>
      </c>
      <c r="G192" t="str">
        <f t="shared" ca="1" si="2"/>
        <v>"2084289558" : "Multivitamin",</v>
      </c>
    </row>
    <row r="193" spans="1:7" ht="15.75" customHeight="1">
      <c r="A193" s="28">
        <v>2084289559</v>
      </c>
      <c r="B193" s="28" t="s">
        <v>19718</v>
      </c>
      <c r="C193" s="28" t="s">
        <v>19719</v>
      </c>
      <c r="D193" s="28" t="s">
        <v>19721</v>
      </c>
      <c r="E193" s="4" t="str">
        <f ca="1">IFERROR(__xludf.DUMMYFUNCTION("GOOGLETRANSLATE(B193,""ja"",""vi"")"),"vitamin A")</f>
        <v>vitamin A</v>
      </c>
      <c r="F193" s="4" t="str">
        <f ca="1">IFERROR(__xludf.DUMMYFUNCTION("GOOGLETRANSLATE(C193,""ja"",""vi"")"),"Đấu giá&gt; thực phẩm, đồ uống&gt; thực phẩm sức khỏe&gt; ​​vitamin&gt; Vitamin A")</f>
        <v>Đấu giá&gt; thực phẩm, đồ uống&gt; thực phẩm sức khỏe&gt; ​​vitamin&gt; Vitamin A</v>
      </c>
      <c r="G193" t="str">
        <f t="shared" ca="1" si="2"/>
        <v>"2084289559" : "vitamin A",</v>
      </c>
    </row>
    <row r="194" spans="1:7" ht="15.75" customHeight="1">
      <c r="A194" s="28">
        <v>2084289560</v>
      </c>
      <c r="B194" s="28" t="s">
        <v>19726</v>
      </c>
      <c r="C194" s="28" t="s">
        <v>19727</v>
      </c>
      <c r="D194" s="28" t="s">
        <v>19728</v>
      </c>
      <c r="E194" s="4" t="str">
        <f ca="1">IFERROR(__xludf.DUMMYFUNCTION("GOOGLETRANSLATE(B194,""ja"",""vi"")"),"vitamin B")</f>
        <v>vitamin B</v>
      </c>
      <c r="F194" s="4" t="str">
        <f ca="1">IFERROR(__xludf.DUMMYFUNCTION("GOOGLETRANSLATE(C194,""ja"",""vi"")"),"Đấu giá&gt; thực phẩm, đồ uống&gt; thực phẩm sức khỏe&gt; ​​Vitamin&gt; Vitamin B")</f>
        <v>Đấu giá&gt; thực phẩm, đồ uống&gt; thực phẩm sức khỏe&gt; ​​Vitamin&gt; Vitamin B</v>
      </c>
      <c r="G194" t="str">
        <f t="shared" ref="G194:G257" ca="1" si="3">CONCATENATE(CHAR(34)&amp;"",A194,""&amp;CHAR(34)," : ", CHAR(34)&amp;"",E194,""&amp;CHAR(34),",")</f>
        <v>"2084289560" : "vitamin B",</v>
      </c>
    </row>
    <row r="195" spans="1:7" ht="15.75" customHeight="1">
      <c r="A195" s="28">
        <v>2084289561</v>
      </c>
      <c r="B195" s="28" t="s">
        <v>19733</v>
      </c>
      <c r="C195" s="28" t="s">
        <v>19734</v>
      </c>
      <c r="D195" s="28" t="s">
        <v>19735</v>
      </c>
      <c r="E195" s="4" t="str">
        <f ca="1">IFERROR(__xludf.DUMMYFUNCTION("GOOGLETRANSLATE(B195,""ja"",""vi"")"),"vitamin C")</f>
        <v>vitamin C</v>
      </c>
      <c r="F195" s="4" t="str">
        <f ca="1">IFERROR(__xludf.DUMMYFUNCTION("GOOGLETRANSLATE(C195,""ja"",""vi"")"),"Đấu giá&gt; thực phẩm, đồ uống&gt; thực phẩm sức khỏe&gt; ​​vitamin&gt; Vitamin C")</f>
        <v>Đấu giá&gt; thực phẩm, đồ uống&gt; thực phẩm sức khỏe&gt; ​​vitamin&gt; Vitamin C</v>
      </c>
      <c r="G195" t="str">
        <f t="shared" ca="1" si="3"/>
        <v>"2084289561" : "vitamin C",</v>
      </c>
    </row>
    <row r="196" spans="1:7" ht="15.75" customHeight="1">
      <c r="A196" s="28">
        <v>2084289562</v>
      </c>
      <c r="B196" s="28" t="s">
        <v>19739</v>
      </c>
      <c r="C196" s="28" t="s">
        <v>19740</v>
      </c>
      <c r="D196" s="28" t="s">
        <v>19741</v>
      </c>
      <c r="E196" s="4" t="str">
        <f ca="1">IFERROR(__xludf.DUMMYFUNCTION("GOOGLETRANSLATE(B196,""ja"",""vi"")"),"vitamin D")</f>
        <v>vitamin D</v>
      </c>
      <c r="F196" s="4" t="str">
        <f ca="1">IFERROR(__xludf.DUMMYFUNCTION("GOOGLETRANSLATE(C196,""ja"",""vi"")"),"Đấu giá&gt; thực phẩm, đồ uống&gt; thực phẩm sức khỏe&gt; ​​vitamin&gt; Vitamin D")</f>
        <v>Đấu giá&gt; thực phẩm, đồ uống&gt; thực phẩm sức khỏe&gt; ​​vitamin&gt; Vitamin D</v>
      </c>
      <c r="G196" t="str">
        <f t="shared" ca="1" si="3"/>
        <v>"2084289562" : "vitamin D",</v>
      </c>
    </row>
    <row r="197" spans="1:7" ht="15.75" customHeight="1">
      <c r="A197" s="28">
        <v>2084289563</v>
      </c>
      <c r="B197" s="28" t="s">
        <v>19745</v>
      </c>
      <c r="C197" s="28" t="s">
        <v>19747</v>
      </c>
      <c r="D197" s="28" t="s">
        <v>19749</v>
      </c>
      <c r="E197" s="4" t="str">
        <f ca="1">IFERROR(__xludf.DUMMYFUNCTION("GOOGLETRANSLATE(B197,""ja"",""vi"")"),"vitamin E")</f>
        <v>vitamin E</v>
      </c>
      <c r="F197" s="4" t="str">
        <f ca="1">IFERROR(__xludf.DUMMYFUNCTION("GOOGLETRANSLATE(C197,""ja"",""vi"")"),"Đấu giá&gt; thực phẩm, đồ uống&gt; thực phẩm sức khỏe&gt; ​​vitamin&gt; Vitamin E")</f>
        <v>Đấu giá&gt; thực phẩm, đồ uống&gt; thực phẩm sức khỏe&gt; ​​vitamin&gt; Vitamin E</v>
      </c>
      <c r="G197" t="str">
        <f t="shared" ca="1" si="3"/>
        <v>"2084289563" : "vitamin E",</v>
      </c>
    </row>
    <row r="198" spans="1:7" ht="15.75" customHeight="1">
      <c r="A198" s="28">
        <v>2084289564</v>
      </c>
      <c r="B198" s="28" t="s">
        <v>46</v>
      </c>
      <c r="C198" s="28" t="s">
        <v>19758</v>
      </c>
      <c r="D198" s="28" t="s">
        <v>19759</v>
      </c>
      <c r="E198" s="4" t="str">
        <f ca="1">IFERROR(__xludf.DUMMYFUNCTION("GOOGLETRANSLATE(B198,""ja"",""vi"")"),"nếu không thì")</f>
        <v>nếu không thì</v>
      </c>
      <c r="F198" s="4" t="str">
        <f ca="1">IFERROR(__xludf.DUMMYFUNCTION("GOOGLETRANSLATE(C198,""ja"",""vi"")"),"Đấu giá&gt; thực phẩm, đồ uống&gt; thực phẩm sức khỏe&gt; ​​vitamin&gt; Khác")</f>
        <v>Đấu giá&gt; thực phẩm, đồ uống&gt; thực phẩm sức khỏe&gt; ​​vitamin&gt; Khác</v>
      </c>
      <c r="G198" t="str">
        <f t="shared" ca="1" si="3"/>
        <v>"2084289564" : "nếu không thì",</v>
      </c>
    </row>
    <row r="199" spans="1:7" ht="15.75" customHeight="1">
      <c r="A199" s="28">
        <v>2084289565</v>
      </c>
      <c r="B199" s="28" t="s">
        <v>19764</v>
      </c>
      <c r="C199" s="28" t="s">
        <v>19765</v>
      </c>
      <c r="D199" s="28" t="s">
        <v>19766</v>
      </c>
      <c r="E199" s="4" t="str">
        <f ca="1">IFERROR(__xludf.DUMMYFUNCTION("GOOGLETRANSLATE(B199,""ja"",""vi"")"),"Ít hơn 500g")</f>
        <v>Ít hơn 500g</v>
      </c>
      <c r="F199" s="4" t="str">
        <f ca="1">IFERROR(__xludf.DUMMYFUNCTION("GOOGLETRANSLATE(C199,""ja"",""vi"")"),"Đấu giá&gt; thực phẩm, đồ uống&gt; thực phẩm sức khỏe&gt; ​​protein&gt; ít hơn 500g")</f>
        <v>Đấu giá&gt; thực phẩm, đồ uống&gt; thực phẩm sức khỏe&gt; ​​protein&gt; ít hơn 500g</v>
      </c>
      <c r="G199" t="str">
        <f t="shared" ca="1" si="3"/>
        <v>"2084289565" : "Ít hơn 500g",</v>
      </c>
    </row>
    <row r="200" spans="1:7" ht="15.75" customHeight="1">
      <c r="A200" s="28">
        <v>2084289566</v>
      </c>
      <c r="B200" s="28" t="s">
        <v>19774</v>
      </c>
      <c r="C200" s="28" t="s">
        <v>19776</v>
      </c>
      <c r="D200" s="28" t="s">
        <v>19777</v>
      </c>
      <c r="E200" s="4" t="str">
        <f ca="1">IFERROR(__xludf.DUMMYFUNCTION("GOOGLETRANSLATE(B200,""ja"",""vi"")"),"500g ~")</f>
        <v>500g ~</v>
      </c>
      <c r="F200" s="4" t="str">
        <f ca="1">IFERROR(__xludf.DUMMYFUNCTION("GOOGLETRANSLATE(C200,""ja"",""vi"")"),"Đấu giá&gt; thực phẩm, đồ uống&gt; thực phẩm sức khỏe&gt; ​​protein&gt; 500g ~")</f>
        <v>Đấu giá&gt; thực phẩm, đồ uống&gt; thực phẩm sức khỏe&gt; ​​protein&gt; 500g ~</v>
      </c>
      <c r="G200" t="str">
        <f t="shared" ca="1" si="3"/>
        <v>"2084289566" : "500g ~",</v>
      </c>
    </row>
    <row r="201" spans="1:7" ht="15.75" customHeight="1">
      <c r="A201" s="28">
        <v>2084289567</v>
      </c>
      <c r="B201" s="28" t="s">
        <v>19785</v>
      </c>
      <c r="C201" s="28" t="s">
        <v>19788</v>
      </c>
      <c r="D201" s="28" t="s">
        <v>19790</v>
      </c>
      <c r="E201" s="4" t="str">
        <f ca="1">IFERROR(__xludf.DUMMYFUNCTION("GOOGLETRANSLATE(B201,""ja"",""vi"")"),"1.0kg ~")</f>
        <v>1.0kg ~</v>
      </c>
      <c r="F201" s="4" t="str">
        <f ca="1">IFERROR(__xludf.DUMMYFUNCTION("GOOGLETRANSLATE(C201,""ja"",""vi"")"),"Đấu giá&gt; thực phẩm, đồ uống&gt; thực phẩm sức khỏe&gt; ​​protein&gt; 1.0kg ~")</f>
        <v>Đấu giá&gt; thực phẩm, đồ uống&gt; thực phẩm sức khỏe&gt; ​​protein&gt; 1.0kg ~</v>
      </c>
      <c r="G201" t="str">
        <f t="shared" ca="1" si="3"/>
        <v>"2084289567" : "1.0kg ~",</v>
      </c>
    </row>
    <row r="202" spans="1:7" ht="15.75" customHeight="1">
      <c r="A202" s="28">
        <v>2084289568</v>
      </c>
      <c r="B202" s="28" t="s">
        <v>19796</v>
      </c>
      <c r="C202" s="28" t="s">
        <v>19797</v>
      </c>
      <c r="D202" s="28" t="s">
        <v>19799</v>
      </c>
      <c r="E202" s="4" t="str">
        <f ca="1">IFERROR(__xludf.DUMMYFUNCTION("GOOGLETRANSLATE(B202,""ja"",""vi"")"),"2.0kg ~")</f>
        <v>2.0kg ~</v>
      </c>
      <c r="F202" s="4" t="str">
        <f ca="1">IFERROR(__xludf.DUMMYFUNCTION("GOOGLETRANSLATE(C202,""ja"",""vi"")"),"Đấu giá&gt; thực phẩm, đồ uống&gt; thực phẩm sức khỏe&gt; ​​protein&gt; 2.0kg ~")</f>
        <v>Đấu giá&gt; thực phẩm, đồ uống&gt; thực phẩm sức khỏe&gt; ​​protein&gt; 2.0kg ~</v>
      </c>
      <c r="G202" t="str">
        <f t="shared" ca="1" si="3"/>
        <v>"2084289568" : "2.0kg ~",</v>
      </c>
    </row>
    <row r="203" spans="1:7" ht="15.75" customHeight="1">
      <c r="A203" s="28">
        <v>2084289569</v>
      </c>
      <c r="B203" s="28" t="s">
        <v>19803</v>
      </c>
      <c r="C203" s="28" t="s">
        <v>19806</v>
      </c>
      <c r="D203" s="28" t="s">
        <v>19808</v>
      </c>
      <c r="E203" s="4" t="str">
        <f ca="1">IFERROR(__xludf.DUMMYFUNCTION("GOOGLETRANSLATE(B203,""ja"",""vi"")"),"3.0kg ~")</f>
        <v>3.0kg ~</v>
      </c>
      <c r="F203" s="4" t="str">
        <f ca="1">IFERROR(__xludf.DUMMYFUNCTION("GOOGLETRANSLATE(C203,""ja"",""vi"")"),"Đấu giá&gt; thực phẩm, đồ uống&gt; thực phẩm sức khỏe&gt; ​​protein&gt; 3.0kg ~")</f>
        <v>Đấu giá&gt; thực phẩm, đồ uống&gt; thực phẩm sức khỏe&gt; ​​protein&gt; 3.0kg ~</v>
      </c>
      <c r="G203" t="str">
        <f t="shared" ca="1" si="3"/>
        <v>"2084289569" : "3.0kg ~",</v>
      </c>
    </row>
    <row r="204" spans="1:7" ht="15.75" customHeight="1">
      <c r="A204" s="28">
        <v>2084006893</v>
      </c>
      <c r="B204" s="28" t="s">
        <v>19813</v>
      </c>
      <c r="C204" s="28" t="s">
        <v>19815</v>
      </c>
      <c r="D204" s="28" t="s">
        <v>19817</v>
      </c>
      <c r="E204" s="4" t="str">
        <f ca="1">IFERROR(__xludf.DUMMYFUNCTION("GOOGLETRANSLATE(B204,""ja"",""vi"")"),"Cookies, bánh quy")</f>
        <v>Cookies, bánh quy</v>
      </c>
      <c r="F204" s="4" t="str">
        <f ca="1">IFERROR(__xludf.DUMMYFUNCTION("GOOGLETRANSLATE(C204,""ja"",""vi"")"),"Đấu giá&gt; thực phẩm, đồ uống&gt; thực phẩm chế độ ăn uống&gt; cookies, bánh quy")</f>
        <v>Đấu giá&gt; thực phẩm, đồ uống&gt; thực phẩm chế độ ăn uống&gt; cookies, bánh quy</v>
      </c>
      <c r="G204" t="str">
        <f t="shared" ca="1" si="3"/>
        <v>"2084006893" : "Cookies, bánh quy",</v>
      </c>
    </row>
    <row r="205" spans="1:7" ht="15.75" customHeight="1">
      <c r="A205" s="28">
        <v>2084006892</v>
      </c>
      <c r="B205" s="28" t="s">
        <v>19824</v>
      </c>
      <c r="C205" s="28" t="s">
        <v>19826</v>
      </c>
      <c r="D205" s="28" t="s">
        <v>19829</v>
      </c>
      <c r="E205" s="4" t="str">
        <f ca="1">IFERROR(__xludf.DUMMYFUNCTION("GOOGLETRANSLATE(B205,""ja"",""vi"")"),"canh")</f>
        <v>canh</v>
      </c>
      <c r="F205" s="4" t="str">
        <f ca="1">IFERROR(__xludf.DUMMYFUNCTION("GOOGLETRANSLATE(C205,""ja"",""vi"")"),"Đấu giá&gt; thực phẩm, đồ uống&gt; thực phẩm chế độ ăn uống&gt; súp")</f>
        <v>Đấu giá&gt; thực phẩm, đồ uống&gt; thực phẩm chế độ ăn uống&gt; súp</v>
      </c>
      <c r="G205" t="str">
        <f t="shared" ca="1" si="3"/>
        <v>"2084006892" : "canh",</v>
      </c>
    </row>
    <row r="206" spans="1:7" ht="15.75" customHeight="1">
      <c r="A206" s="28">
        <v>2084006891</v>
      </c>
      <c r="B206" s="28" t="s">
        <v>19836</v>
      </c>
      <c r="C206" s="28" t="s">
        <v>19837</v>
      </c>
      <c r="D206" s="28" t="s">
        <v>19839</v>
      </c>
      <c r="E206" s="4" t="str">
        <f ca="1">IFERROR(__xludf.DUMMYFUNCTION("GOOGLETRANSLATE(B206,""ja"",""vi"")"),"thạch")</f>
        <v>thạch</v>
      </c>
      <c r="F206" s="4" t="str">
        <f ca="1">IFERROR(__xludf.DUMMYFUNCTION("GOOGLETRANSLATE(C206,""ja"",""vi"")"),"Đấu giá&gt; thực phẩm, đồ uống&gt; chế độ ăn uống thực phẩm&gt; thạch")</f>
        <v>Đấu giá&gt; thực phẩm, đồ uống&gt; chế độ ăn uống thực phẩm&gt; thạch</v>
      </c>
      <c r="G206" t="str">
        <f t="shared" ca="1" si="3"/>
        <v>"2084006891" : "thạch",</v>
      </c>
    </row>
    <row r="207" spans="1:7" ht="15.75" customHeight="1">
      <c r="A207" s="28">
        <v>2084006889</v>
      </c>
      <c r="B207" s="28" t="s">
        <v>19845</v>
      </c>
      <c r="C207" s="28" t="s">
        <v>19846</v>
      </c>
      <c r="D207" s="28" t="s">
        <v>19849</v>
      </c>
      <c r="E207" s="4" t="str">
        <f ca="1">IFERROR(__xludf.DUMMYFUNCTION("GOOGLETRANSLATE(B207,""ja"",""vi"")"),"đồ uống")</f>
        <v>đồ uống</v>
      </c>
      <c r="F207" s="4" t="str">
        <f ca="1">IFERROR(__xludf.DUMMYFUNCTION("GOOGLETRANSLATE(C207,""ja"",""vi"")"),"Đấu giá&gt; thực phẩm, đồ uống&gt; thực phẩm chế độ ăn uống&gt; uống")</f>
        <v>Đấu giá&gt; thực phẩm, đồ uống&gt; thực phẩm chế độ ăn uống&gt; uống</v>
      </c>
      <c r="G207" t="str">
        <f t="shared" ca="1" si="3"/>
        <v>"2084006889" : "đồ uống",</v>
      </c>
    </row>
    <row r="208" spans="1:7" ht="15.75" customHeight="1">
      <c r="A208" s="28">
        <v>24054</v>
      </c>
      <c r="B208" s="28" t="s">
        <v>19854</v>
      </c>
      <c r="C208" s="28" t="s">
        <v>19857</v>
      </c>
      <c r="D208" s="28" t="s">
        <v>19858</v>
      </c>
      <c r="E208" s="4" t="str">
        <f ca="1">IFERROR(__xludf.DUMMYFUNCTION("GOOGLETRANSLATE(B208,""ja"",""vi"")"),"thực phẩm sức khỏe")</f>
        <v>thực phẩm sức khỏe</v>
      </c>
      <c r="F208" s="4" t="str">
        <f ca="1">IFERROR(__xludf.DUMMYFUNCTION("GOOGLETRANSLATE(C208,""ja"",""vi"")"),"Đấu giá&gt; thực phẩm, đồ uống&gt; thực phẩm chế độ ăn uống&gt; thực phẩm sức khỏe")</f>
        <v>Đấu giá&gt; thực phẩm, đồ uống&gt; thực phẩm chế độ ăn uống&gt; thực phẩm sức khỏe</v>
      </c>
      <c r="G208" t="str">
        <f t="shared" ca="1" si="3"/>
        <v>"24054" : "thực phẩm sức khỏe",</v>
      </c>
    </row>
    <row r="209" spans="1:7" ht="15.75" customHeight="1">
      <c r="A209" s="28">
        <v>2084006894</v>
      </c>
      <c r="B209" s="28" t="s">
        <v>19863</v>
      </c>
      <c r="C209" s="28" t="s">
        <v>19864</v>
      </c>
      <c r="D209" s="28" t="s">
        <v>19867</v>
      </c>
      <c r="E209" s="4" t="str">
        <f ca="1">IFERROR(__xludf.DUMMYFUNCTION("GOOGLETRANSLATE(B209,""ja"",""vi"")"),"mì sợi")</f>
        <v>mì sợi</v>
      </c>
      <c r="F209" s="4" t="str">
        <f ca="1">IFERROR(__xludf.DUMMYFUNCTION("GOOGLETRANSLATE(C209,""ja"",""vi"")"),"Đấu giá&gt; thực phẩm, đồ uống&gt; thực phẩm chế độ ăn uống&gt; mì")</f>
        <v>Đấu giá&gt; thực phẩm, đồ uống&gt; thực phẩm chế độ ăn uống&gt; mì</v>
      </c>
      <c r="G209" t="str">
        <f t="shared" ca="1" si="3"/>
        <v>"2084006894" : "mì sợi",</v>
      </c>
    </row>
    <row r="210" spans="1:7" ht="15.75" customHeight="1">
      <c r="A210" s="28">
        <v>2084006890</v>
      </c>
      <c r="B210" s="28" t="s">
        <v>46</v>
      </c>
      <c r="C210" s="28" t="s">
        <v>19873</v>
      </c>
      <c r="D210" s="28" t="s">
        <v>19875</v>
      </c>
      <c r="E210" s="4" t="str">
        <f ca="1">IFERROR(__xludf.DUMMYFUNCTION("GOOGLETRANSLATE(B210,""ja"",""vi"")"),"nếu không thì")</f>
        <v>nếu không thì</v>
      </c>
      <c r="F210" s="4" t="str">
        <f ca="1">IFERROR(__xludf.DUMMYFUNCTION("GOOGLETRANSLATE(C210,""ja"",""vi"")"),"Đấu giá&gt; thực phẩm, đồ uống&gt; thực phẩm chế độ ăn uống&gt; Khác")</f>
        <v>Đấu giá&gt; thực phẩm, đồ uống&gt; thực phẩm chế độ ăn uống&gt; Khác</v>
      </c>
      <c r="G210" t="str">
        <f t="shared" ca="1" si="3"/>
        <v>"2084006890" : "nếu không thì",</v>
      </c>
    </row>
    <row r="211" spans="1:7" ht="15.75" customHeight="1">
      <c r="A211" s="28">
        <v>2084228413</v>
      </c>
      <c r="B211" s="28" t="s">
        <v>19879</v>
      </c>
      <c r="C211" s="28" t="s">
        <v>19881</v>
      </c>
      <c r="D211" s="28" t="s">
        <v>19882</v>
      </c>
      <c r="E211" s="4" t="str">
        <f ca="1">IFERROR(__xludf.DUMMYFUNCTION("GOOGLETRANSLATE(B211,""ja"",""vi"")"),"cà phê")</f>
        <v>cà phê</v>
      </c>
      <c r="F211" s="4" t="str">
        <f ca="1">IFERROR(__xludf.DUMMYFUNCTION("GOOGLETRANSLATE(C211,""ja"",""vi"")"),"Đấu giá&gt; thực phẩm, đồ uống&gt; thực phẩm chế độ ăn uống&gt; uống&gt; cà phê")</f>
        <v>Đấu giá&gt; thực phẩm, đồ uống&gt; thực phẩm chế độ ăn uống&gt; uống&gt; cà phê</v>
      </c>
      <c r="G211" t="str">
        <f t="shared" ca="1" si="3"/>
        <v>"2084228413" : "cà phê",</v>
      </c>
    </row>
    <row r="212" spans="1:7" ht="15.75" customHeight="1">
      <c r="A212" s="28">
        <v>2084228412</v>
      </c>
      <c r="B212" s="28" t="s">
        <v>19887</v>
      </c>
      <c r="C212" s="28" t="s">
        <v>19889</v>
      </c>
      <c r="D212" s="28" t="s">
        <v>19890</v>
      </c>
      <c r="E212" s="4" t="str">
        <f ca="1">IFERROR(__xludf.DUMMYFUNCTION("GOOGLETRANSLATE(B212,""ja"",""vi"")"),"Cocoa")</f>
        <v>Cocoa</v>
      </c>
      <c r="F212" s="4" t="str">
        <f ca="1">IFERROR(__xludf.DUMMYFUNCTION("GOOGLETRANSLATE(C212,""ja"",""vi"")"),"Đấu giá&gt; thực phẩm, đồ uống&gt; thực phẩm chế độ ăn uống&gt; uống&gt; Cocoa")</f>
        <v>Đấu giá&gt; thực phẩm, đồ uống&gt; thực phẩm chế độ ăn uống&gt; uống&gt; Cocoa</v>
      </c>
      <c r="G212" t="str">
        <f t="shared" ca="1" si="3"/>
        <v>"2084228412" : "Cocoa",</v>
      </c>
    </row>
    <row r="213" spans="1:7" ht="15.75" customHeight="1">
      <c r="A213" s="28">
        <v>2084228418</v>
      </c>
      <c r="B213" s="28" t="s">
        <v>19901</v>
      </c>
      <c r="C213" s="28" t="s">
        <v>19903</v>
      </c>
      <c r="D213" s="28" t="s">
        <v>19905</v>
      </c>
      <c r="E213" s="4" t="str">
        <f ca="1">IFERROR(__xludf.DUMMYFUNCTION("GOOGLETRANSLATE(B213,""ja"",""vi"")"),"Shake")</f>
        <v>Shake</v>
      </c>
      <c r="F213" s="4" t="str">
        <f ca="1">IFERROR(__xludf.DUMMYFUNCTION("GOOGLETRANSLATE(C213,""ja"",""vi"")"),"Đấu giá&gt; thực phẩm, đồ uống&gt; thực phẩm chế độ ăn uống&gt; uống&gt; Shake")</f>
        <v>Đấu giá&gt; thực phẩm, đồ uống&gt; thực phẩm chế độ ăn uống&gt; uống&gt; Shake</v>
      </c>
      <c r="G213" t="str">
        <f t="shared" ca="1" si="3"/>
        <v>"2084228418" : "Shake",</v>
      </c>
    </row>
    <row r="214" spans="1:7" ht="15.75" customHeight="1">
      <c r="A214" s="28">
        <v>2084006895</v>
      </c>
      <c r="B214" s="28" t="s">
        <v>19912</v>
      </c>
      <c r="C214" s="28" t="s">
        <v>19913</v>
      </c>
      <c r="D214" s="28" t="s">
        <v>19914</v>
      </c>
      <c r="E214" s="4" t="str">
        <f ca="1">IFERROR(__xludf.DUMMYFUNCTION("GOOGLETRANSLATE(B214,""ja"",""vi"")"),"trà")</f>
        <v>trà</v>
      </c>
      <c r="F214" s="4" t="str">
        <f ca="1">IFERROR(__xludf.DUMMYFUNCTION("GOOGLETRANSLATE(C214,""ja"",""vi"")"),"Đấu giá&gt; thực phẩm, đồ uống&gt; thực phẩm chế độ ăn uống&gt; uống&gt; trà")</f>
        <v>Đấu giá&gt; thực phẩm, đồ uống&gt; thực phẩm chế độ ăn uống&gt; uống&gt; trà</v>
      </c>
      <c r="G214" t="str">
        <f t="shared" ca="1" si="3"/>
        <v>"2084006895" : "trà",</v>
      </c>
    </row>
    <row r="215" spans="1:7" ht="15.75" customHeight="1">
      <c r="A215" s="28">
        <v>2084006896</v>
      </c>
      <c r="B215" s="28" t="s">
        <v>46</v>
      </c>
      <c r="C215" s="28" t="s">
        <v>19921</v>
      </c>
      <c r="D215" s="28" t="s">
        <v>19922</v>
      </c>
      <c r="E215" s="4" t="str">
        <f ca="1">IFERROR(__xludf.DUMMYFUNCTION("GOOGLETRANSLATE(B215,""ja"",""vi"")"),"nếu không thì")</f>
        <v>nếu không thì</v>
      </c>
      <c r="F215" s="4" t="str">
        <f ca="1">IFERROR(__xludf.DUMMYFUNCTION("GOOGLETRANSLATE(C215,""ja"",""vi"")"),"Đấu giá&gt; thực phẩm, đồ uống&gt; thực phẩm chế độ ăn uống&gt; uống&gt; Khác")</f>
        <v>Đấu giá&gt; thực phẩm, đồ uống&gt; thực phẩm chế độ ăn uống&gt; uống&gt; Khác</v>
      </c>
      <c r="G215" t="str">
        <f t="shared" ca="1" si="3"/>
        <v>"2084006896" : "nếu không thì",</v>
      </c>
    </row>
    <row r="216" spans="1:7" ht="15.75" customHeight="1">
      <c r="A216" s="28">
        <v>2084226956</v>
      </c>
      <c r="B216" s="28" t="s">
        <v>19928</v>
      </c>
      <c r="C216" s="28" t="s">
        <v>19930</v>
      </c>
      <c r="D216" s="28" t="s">
        <v>19932</v>
      </c>
      <c r="E216" s="4" t="str">
        <f ca="1">IFERROR(__xludf.DUMMYFUNCTION("GOOGLETRANSLATE(B216,""ja"",""vi"")"),"Agaricus")</f>
        <v>Agaricus</v>
      </c>
      <c r="F216" s="4" t="str">
        <f ca="1">IFERROR(__xludf.DUMMYFUNCTION("GOOGLETRANSLATE(C216,""ja"",""vi"")"),"Đấu giá&gt; thực phẩm, đồ uống&gt; thực phẩm sức khỏe&gt; ​​Agaricus")</f>
        <v>Đấu giá&gt; thực phẩm, đồ uống&gt; thực phẩm sức khỏe&gt; ​​Agaricus</v>
      </c>
      <c r="G216" t="str">
        <f t="shared" ca="1" si="3"/>
        <v>"2084226956" : "Agaricus",</v>
      </c>
    </row>
    <row r="217" spans="1:7" ht="15.75" customHeight="1">
      <c r="A217" s="28">
        <v>2084289283</v>
      </c>
      <c r="B217" s="28" t="s">
        <v>19937</v>
      </c>
      <c r="C217" s="28" t="s">
        <v>19938</v>
      </c>
      <c r="D217" s="28" t="s">
        <v>19939</v>
      </c>
      <c r="E217" s="4" t="str">
        <f ca="1">IFERROR(__xludf.DUMMYFUNCTION("GOOGLETRANSLATE(B217,""ja"",""vi"")"),"astaxanthin")</f>
        <v>astaxanthin</v>
      </c>
      <c r="F217" s="4" t="str">
        <f ca="1">IFERROR(__xludf.DUMMYFUNCTION("GOOGLETRANSLATE(C217,""ja"",""vi"")"),"Đấu giá&gt; thực phẩm, đồ uống&gt; thực phẩm sức khỏe&gt; ​​astaxanthin")</f>
        <v>Đấu giá&gt; thực phẩm, đồ uống&gt; thực phẩm sức khỏe&gt; ​​astaxanthin</v>
      </c>
      <c r="G217" t="str">
        <f t="shared" ca="1" si="3"/>
        <v>"2084289283" : "astaxanthin",</v>
      </c>
    </row>
    <row r="218" spans="1:7" ht="15.75" customHeight="1">
      <c r="A218" s="28">
        <v>2084048887</v>
      </c>
      <c r="B218" s="28" t="s">
        <v>19944</v>
      </c>
      <c r="C218" s="28" t="s">
        <v>19945</v>
      </c>
      <c r="D218" s="28" t="s">
        <v>19946</v>
      </c>
      <c r="E218" s="4" t="str">
        <f ca="1">IFERROR(__xludf.DUMMYFUNCTION("GOOGLETRANSLATE(B218,""ja"",""vi"")"),"amino axit")</f>
        <v>amino axit</v>
      </c>
      <c r="F218" s="4" t="str">
        <f ca="1">IFERROR(__xludf.DUMMYFUNCTION("GOOGLETRANSLATE(C218,""ja"",""vi"")"),"Đấu giá&gt; thực phẩm, đồ uống&gt; thực phẩm sức khỏe&gt; ​​amino axit")</f>
        <v>Đấu giá&gt; thực phẩm, đồ uống&gt; thực phẩm sức khỏe&gt; ​​amino axit</v>
      </c>
      <c r="G218" t="str">
        <f t="shared" ca="1" si="3"/>
        <v>"2084048887" : "amino axit",</v>
      </c>
    </row>
    <row r="219" spans="1:7" ht="15.75" customHeight="1">
      <c r="A219" s="28">
        <v>2084226959</v>
      </c>
      <c r="B219" s="28" t="s">
        <v>19953</v>
      </c>
      <c r="C219" s="28" t="s">
        <v>19955</v>
      </c>
      <c r="D219" s="28" t="s">
        <v>19957</v>
      </c>
      <c r="E219" s="4" t="str">
        <f ca="1">IFERROR(__xludf.DUMMYFUNCTION("GOOGLETRANSLATE(B219,""ja"",""vi"")"),"alpha-lipoic acid")</f>
        <v>alpha-lipoic acid</v>
      </c>
      <c r="F219" s="4" t="str">
        <f ca="1">IFERROR(__xludf.DUMMYFUNCTION("GOOGLETRANSLATE(C219,""ja"",""vi"")"),"Đấu giá&gt; thực phẩm, đồ uống&gt; thực phẩm sức khỏe&gt; ​​alpha lipoic acid")</f>
        <v>Đấu giá&gt; thực phẩm, đồ uống&gt; thực phẩm sức khỏe&gt; ​​alpha lipoic acid</v>
      </c>
      <c r="G219" t="str">
        <f t="shared" ca="1" si="3"/>
        <v>"2084226959" : "alpha-lipoic acid",</v>
      </c>
    </row>
    <row r="220" spans="1:7" ht="15.75" customHeight="1">
      <c r="A220" s="28">
        <v>2084226947</v>
      </c>
      <c r="B220" s="28" t="s">
        <v>19959</v>
      </c>
      <c r="C220" s="28" t="s">
        <v>19960</v>
      </c>
      <c r="D220" s="28" t="s">
        <v>19964</v>
      </c>
      <c r="E220" s="4" t="str">
        <f ca="1">IFERROR(__xludf.DUMMYFUNCTION("GOOGLETRANSLATE(B220,""ja"",""vi"")"),"nghệ")</f>
        <v>nghệ</v>
      </c>
      <c r="F220" s="4" t="str">
        <f ca="1">IFERROR(__xludf.DUMMYFUNCTION("GOOGLETRANSLATE(C220,""ja"",""vi"")"),"Đấu giá&gt; thực phẩm, đồ uống&gt; thực phẩm sức khỏe&gt; ​​nghệ")</f>
        <v>Đấu giá&gt; thực phẩm, đồ uống&gt; thực phẩm sức khỏe&gt; ​​nghệ</v>
      </c>
      <c r="G220" t="str">
        <f t="shared" ca="1" si="3"/>
        <v>"2084226947" : "nghệ",</v>
      </c>
    </row>
    <row r="221" spans="1:7" ht="15.75" customHeight="1">
      <c r="A221" s="28">
        <v>2084289285</v>
      </c>
      <c r="B221" s="28" t="s">
        <v>19969</v>
      </c>
      <c r="C221" s="28" t="s">
        <v>19970</v>
      </c>
      <c r="D221" s="28" t="s">
        <v>19971</v>
      </c>
      <c r="E221" s="4" t="str">
        <f ca="1">IFERROR(__xludf.DUMMYFUNCTION("GOOGLETRANSLATE(B221,""ja"",""vi"")"),"oligosaccharides")</f>
        <v>oligosaccharides</v>
      </c>
      <c r="F221" s="4" t="str">
        <f ca="1">IFERROR(__xludf.DUMMYFUNCTION("GOOGLETRANSLATE(C221,""ja"",""vi"")"),"Đấu giá&gt; thực phẩm, đồ uống&gt; thực phẩm sức khỏe&gt; ​​oligosaccharides")</f>
        <v>Đấu giá&gt; thực phẩm, đồ uống&gt; thực phẩm sức khỏe&gt; ​​oligosaccharides</v>
      </c>
      <c r="G221" t="str">
        <f t="shared" ca="1" si="3"/>
        <v>"2084289285" : "oligosaccharides",</v>
      </c>
    </row>
    <row r="222" spans="1:7" ht="15.75" customHeight="1">
      <c r="A222" s="28">
        <v>2084226961</v>
      </c>
      <c r="B222" s="28" t="s">
        <v>19976</v>
      </c>
      <c r="C222" s="28" t="s">
        <v>19977</v>
      </c>
      <c r="D222" s="28" t="s">
        <v>19978</v>
      </c>
      <c r="E222" s="4" t="str">
        <f ca="1">IFERROR(__xludf.DUMMYFUNCTION("GOOGLETRANSLATE(B222,""ja"",""vi"")"),"Ornithine")</f>
        <v>Ornithine</v>
      </c>
      <c r="F222" s="4" t="str">
        <f ca="1">IFERROR(__xludf.DUMMYFUNCTION("GOOGLETRANSLATE(C222,""ja"",""vi"")"),"Đấu giá&gt; thực phẩm, đồ uống&gt; thực phẩm sức khỏe&gt; ​​ornithine")</f>
        <v>Đấu giá&gt; thực phẩm, đồ uống&gt; thực phẩm sức khỏe&gt; ​​ornithine</v>
      </c>
      <c r="G222" t="str">
        <f t="shared" ca="1" si="3"/>
        <v>"2084226961" : "Ornithine",</v>
      </c>
    </row>
    <row r="223" spans="1:7" ht="15.75" customHeight="1">
      <c r="A223" s="28">
        <v>2084289281</v>
      </c>
      <c r="B223" s="28" t="s">
        <v>19983</v>
      </c>
      <c r="C223" s="28" t="s">
        <v>19984</v>
      </c>
      <c r="D223" s="28" t="s">
        <v>19985</v>
      </c>
      <c r="E223" s="4" t="str">
        <f ca="1">IFERROR(__xludf.DUMMYFUNCTION("GOOGLETRANSLATE(B223,""ja"",""vi"")"),"kẽm")</f>
        <v>kẽm</v>
      </c>
      <c r="F223" s="4" t="str">
        <f ca="1">IFERROR(__xludf.DUMMYFUNCTION("GOOGLETRANSLATE(C223,""ja"",""vi"")"),"Đấu giá&gt; thực phẩm, đồ uống&gt; thực phẩm sức khỏe&gt; ​​kẽm")</f>
        <v>Đấu giá&gt; thực phẩm, đồ uống&gt; thực phẩm sức khỏe&gt; ​​kẽm</v>
      </c>
      <c r="G223" t="str">
        <f t="shared" ca="1" si="3"/>
        <v>"2084289281" : "kẽm",</v>
      </c>
    </row>
    <row r="224" spans="1:7" ht="15.75" customHeight="1">
      <c r="A224" s="28">
        <v>2084289282</v>
      </c>
      <c r="B224" s="28" t="s">
        <v>19990</v>
      </c>
      <c r="C224" s="28" t="s">
        <v>19991</v>
      </c>
      <c r="D224" s="28" t="s">
        <v>19992</v>
      </c>
      <c r="E224" s="4" t="str">
        <f ca="1">IFERROR(__xludf.DUMMYFUNCTION("GOOGLETRANSLATE(B224,""ja"",""vi"")"),"nước trái cây xanh, thực phẩm chế biến cải xoăn")</f>
        <v>nước trái cây xanh, thực phẩm chế biến cải xoăn</v>
      </c>
      <c r="F224" s="4" t="str">
        <f ca="1">IFERROR(__xludf.DUMMYFUNCTION("GOOGLETRANSLATE(C224,""ja"",""vi"")"),"Đấu giá&gt; thực phẩm, đồ uống&gt; thực phẩm sức khỏe&gt; ​​nước trái cây xanh, thực phẩm chế biến cải xoăn")</f>
        <v>Đấu giá&gt; thực phẩm, đồ uống&gt; thực phẩm sức khỏe&gt; ​​nước trái cây xanh, thực phẩm chế biến cải xoăn</v>
      </c>
      <c r="G224" t="str">
        <f t="shared" ca="1" si="3"/>
        <v>"2084289282" : "nước trái cây xanh, thực phẩm chế biến cải xoăn",</v>
      </c>
    </row>
    <row r="225" spans="1:7" ht="15.75" customHeight="1">
      <c r="A225" s="28">
        <v>2084289284</v>
      </c>
      <c r="B225" s="28" t="s">
        <v>19997</v>
      </c>
      <c r="C225" s="28" t="s">
        <v>19998</v>
      </c>
      <c r="D225" s="28" t="s">
        <v>20000</v>
      </c>
      <c r="E225" s="4" t="str">
        <f ca="1">IFERROR(__xludf.DUMMYFUNCTION("GOOGLETRANSLATE(B225,""ja"",""vi"")"),"thức uống dinh dưỡng")</f>
        <v>thức uống dinh dưỡng</v>
      </c>
      <c r="F225" s="4" t="str">
        <f ca="1">IFERROR(__xludf.DUMMYFUNCTION("GOOGLETRANSLATE(C225,""ja"",""vi"")"),"Đấu giá&gt; thực phẩm, đồ uống&gt; thực phẩm sức khỏe&gt; ​​đồ uống năng lượng")</f>
        <v>Đấu giá&gt; thực phẩm, đồ uống&gt; thực phẩm sức khỏe&gt; ​​đồ uống năng lượng</v>
      </c>
      <c r="G225" t="str">
        <f t="shared" ca="1" si="3"/>
        <v>"2084289284" : "thức uống dinh dưỡng",</v>
      </c>
    </row>
    <row r="226" spans="1:7" ht="15.75" customHeight="1">
      <c r="A226" s="28">
        <v>2084050411</v>
      </c>
      <c r="B226" s="28" t="s">
        <v>19552</v>
      </c>
      <c r="C226" s="28" t="s">
        <v>20007</v>
      </c>
      <c r="D226" s="28" t="s">
        <v>20008</v>
      </c>
      <c r="E226" s="4" t="str">
        <f ca="1">IFERROR(__xludf.DUMMYFUNCTION("GOOGLETRANSLATE(B226,""ja"",""vi"")"),"đồ uống thể thao")</f>
        <v>đồ uống thể thao</v>
      </c>
      <c r="F226" s="4" t="str">
        <f ca="1">IFERROR(__xludf.DUMMYFUNCTION("GOOGLETRANSLATE(C226,""ja"",""vi"")"),"Đấu giá&gt; thực phẩm, đồ uống&gt; thực phẩm sức khỏe&gt; ​​đồ uống thể thao")</f>
        <v>Đấu giá&gt; thực phẩm, đồ uống&gt; thực phẩm sức khỏe&gt; ​​đồ uống thể thao</v>
      </c>
      <c r="G226" t="str">
        <f t="shared" ca="1" si="3"/>
        <v>"2084050411" : "đồ uống thể thao",</v>
      </c>
    </row>
    <row r="227" spans="1:7" ht="15.75" customHeight="1">
      <c r="A227" s="28">
        <v>2084006881</v>
      </c>
      <c r="B227" s="28" t="s">
        <v>20013</v>
      </c>
      <c r="C227" s="28" t="s">
        <v>20014</v>
      </c>
      <c r="D227" s="28" t="s">
        <v>20015</v>
      </c>
      <c r="E227" s="4" t="str">
        <f ca="1">IFERROR(__xludf.DUMMYFUNCTION("GOOGLETRANSLATE(B227,""ja"",""vi"")"),"canxi")</f>
        <v>canxi</v>
      </c>
      <c r="F227" s="4" t="str">
        <f ca="1">IFERROR(__xludf.DUMMYFUNCTION("GOOGLETRANSLATE(C227,""ja"",""vi"")"),"Đấu giá&gt; thực phẩm, đồ uống&gt; thực phẩm sức khỏe&gt; ​​canxi")</f>
        <v>Đấu giá&gt; thực phẩm, đồ uống&gt; thực phẩm sức khỏe&gt; ​​canxi</v>
      </c>
      <c r="G227" t="str">
        <f t="shared" ca="1" si="3"/>
        <v>"2084006881" : "canxi",</v>
      </c>
    </row>
    <row r="228" spans="1:7" ht="15.75" customHeight="1">
      <c r="A228" s="28">
        <v>2084226960</v>
      </c>
      <c r="B228" s="28" t="s">
        <v>20018</v>
      </c>
      <c r="C228" s="28" t="s">
        <v>20020</v>
      </c>
      <c r="D228" s="28" t="s">
        <v>20023</v>
      </c>
      <c r="E228" s="4" t="str">
        <f ca="1">IFERROR(__xludf.DUMMYFUNCTION("GOOGLETRANSLATE(B228,""ja"",""vi"")"),"carnitine")</f>
        <v>carnitine</v>
      </c>
      <c r="F228" s="4" t="str">
        <f ca="1">IFERROR(__xludf.DUMMYFUNCTION("GOOGLETRANSLATE(C228,""ja"",""vi"")"),"Đấu giá&gt; thực phẩm, đồ uống&gt; thực phẩm sức khỏe&gt; ​​carnitine")</f>
        <v>Đấu giá&gt; thực phẩm, đồ uống&gt; thực phẩm sức khỏe&gt; ​​carnitine</v>
      </c>
      <c r="G228" t="str">
        <f t="shared" ca="1" si="3"/>
        <v>"2084226960" : "carnitine",</v>
      </c>
    </row>
    <row r="229" spans="1:7" ht="15.75" customHeight="1">
      <c r="A229" s="28">
        <v>2084006882</v>
      </c>
      <c r="B229" s="28" t="s">
        <v>20026</v>
      </c>
      <c r="C229" s="28" t="s">
        <v>20029</v>
      </c>
      <c r="D229" s="28" t="s">
        <v>20031</v>
      </c>
      <c r="E229" s="4" t="str">
        <f ca="1">IFERROR(__xludf.DUMMYFUNCTION("GOOGLETRANSLATE(B229,""ja"",""vi"")"),"chitosan")</f>
        <v>chitosan</v>
      </c>
      <c r="F229" s="4" t="str">
        <f ca="1">IFERROR(__xludf.DUMMYFUNCTION("GOOGLETRANSLATE(C229,""ja"",""vi"")"),"Đấu giá&gt; thực phẩm, đồ uống&gt; thực phẩm sức khỏe&gt; ​​chitosan")</f>
        <v>Đấu giá&gt; thực phẩm, đồ uống&gt; thực phẩm sức khỏe&gt; ​​chitosan</v>
      </c>
      <c r="G229" t="str">
        <f t="shared" ca="1" si="3"/>
        <v>"2084006882" : "chitosan",</v>
      </c>
    </row>
    <row r="230" spans="1:7" ht="15.75" customHeight="1">
      <c r="A230" s="28">
        <v>2084226953</v>
      </c>
      <c r="B230" s="28" t="s">
        <v>20034</v>
      </c>
      <c r="C230" s="28" t="s">
        <v>20036</v>
      </c>
      <c r="D230" s="28" t="s">
        <v>20038</v>
      </c>
      <c r="E230" s="4" t="str">
        <f ca="1">IFERROR(__xludf.DUMMYFUNCTION("GOOGLETRANSLATE(B230,""ja"",""vi"")"),"Loại gia vị Ấn Độ")</f>
        <v>Loại gia vị Ấn Độ</v>
      </c>
      <c r="F230" s="4" t="str">
        <f ca="1">IFERROR(__xludf.DUMMYFUNCTION("GOOGLETRANSLATE(C230,""ja"",""vi"")"),"Đấu giá&gt; thực phẩm, đồ uống&gt; thực phẩm sức khỏe&gt; ​​Gymnema")</f>
        <v>Đấu giá&gt; thực phẩm, đồ uống&gt; thực phẩm sức khỏe&gt; ​​Gymnema</v>
      </c>
      <c r="G230" t="str">
        <f t="shared" ca="1" si="3"/>
        <v>"2084226953" : "Loại gia vị Ấn Độ",</v>
      </c>
    </row>
    <row r="231" spans="1:7" ht="15.75" customHeight="1">
      <c r="A231" s="28">
        <v>2084289286</v>
      </c>
      <c r="B231" s="28" t="s">
        <v>20042</v>
      </c>
      <c r="C231" s="28" t="s">
        <v>20044</v>
      </c>
      <c r="D231" s="28" t="s">
        <v>20045</v>
      </c>
      <c r="E231" s="4" t="str">
        <f ca="1">IFERROR(__xludf.DUMMYFUNCTION("GOOGLETRANSLATE(B231,""ja"",""vi"")"),"GABA thức ăn hỗn hợp")</f>
        <v>GABA thức ăn hỗn hợp</v>
      </c>
      <c r="F231" s="4" t="str">
        <f ca="1">IFERROR(__xludf.DUMMYFUNCTION("GOOGLETRANSLATE(C231,""ja"",""vi"")"),"Đấu giá&gt; thực phẩm, đồ uống&gt; thực phẩm sức khỏe&gt; ​​GABA thức ăn hỗn hợp")</f>
        <v>Đấu giá&gt; thực phẩm, đồ uống&gt; thực phẩm sức khỏe&gt; ​​GABA thức ăn hỗn hợp</v>
      </c>
      <c r="G231" t="str">
        <f t="shared" ca="1" si="3"/>
        <v>"2084289286" : "GABA thức ăn hỗn hợp",</v>
      </c>
    </row>
    <row r="232" spans="1:7" ht="15.75" customHeight="1">
      <c r="A232" s="28">
        <v>2084289287</v>
      </c>
      <c r="B232" s="28" t="s">
        <v>20048</v>
      </c>
      <c r="C232" s="28" t="s">
        <v>20050</v>
      </c>
      <c r="D232" s="28" t="s">
        <v>20051</v>
      </c>
      <c r="E232" s="4" t="str">
        <f ca="1">IFERROR(__xludf.DUMMYFUNCTION("GOOGLETRANSLATE(B232,""ja"",""vi"")"),"axit citric")</f>
        <v>axit citric</v>
      </c>
      <c r="F232" s="4" t="str">
        <f ca="1">IFERROR(__xludf.DUMMYFUNCTION("GOOGLETRANSLATE(C232,""ja"",""vi"")"),"Đấu giá&gt; thực phẩm, đồ uống&gt; thực phẩm sức khỏe&gt; ​​axit citric")</f>
        <v>Đấu giá&gt; thực phẩm, đồ uống&gt; thực phẩm sức khỏe&gt; ​​axit citric</v>
      </c>
      <c r="G232" t="str">
        <f t="shared" ca="1" si="3"/>
        <v>"2084289287" : "axit citric",</v>
      </c>
    </row>
    <row r="233" spans="1:7" ht="15.75" customHeight="1">
      <c r="A233" s="28">
        <v>2084226952</v>
      </c>
      <c r="B233" s="28" t="s">
        <v>20053</v>
      </c>
      <c r="C233" s="28" t="s">
        <v>20054</v>
      </c>
      <c r="D233" s="28" t="s">
        <v>20055</v>
      </c>
      <c r="E233" s="4" t="str">
        <f ca="1">IFERROR(__xludf.DUMMYFUNCTION("GOOGLETRANSLATE(B233,""ja"",""vi"")"),"Chlorella")</f>
        <v>Chlorella</v>
      </c>
      <c r="F233" s="4" t="str">
        <f ca="1">IFERROR(__xludf.DUMMYFUNCTION("GOOGLETRANSLATE(C233,""ja"",""vi"")"),"Đấu giá&gt; thực phẩm, đồ uống&gt; thực phẩm sức khỏe&gt; ​​Chlorella")</f>
        <v>Đấu giá&gt; thực phẩm, đồ uống&gt; thực phẩm sức khỏe&gt; ​​Chlorella</v>
      </c>
      <c r="G233" t="str">
        <f t="shared" ca="1" si="3"/>
        <v>"2084226952" : "Chlorella",</v>
      </c>
    </row>
    <row r="234" spans="1:7" ht="15.75" customHeight="1">
      <c r="A234" s="28">
        <v>2084226957</v>
      </c>
      <c r="B234" s="28" t="s">
        <v>20059</v>
      </c>
      <c r="C234" s="28" t="s">
        <v>20061</v>
      </c>
      <c r="D234" s="28" t="s">
        <v>20063</v>
      </c>
      <c r="E234" s="4" t="str">
        <f ca="1">IFERROR(__xludf.DUMMYFUNCTION("GOOGLETRANSLATE(B234,""ja"",""vi"")"),"Glucosamine")</f>
        <v>Glucosamine</v>
      </c>
      <c r="F234" s="4" t="str">
        <f ca="1">IFERROR(__xludf.DUMMYFUNCTION("GOOGLETRANSLATE(C234,""ja"",""vi"")"),"Đấu giá&gt; thực phẩm, đồ uống&gt; thực phẩm sức khỏe&gt; ​​Glucosamine")</f>
        <v>Đấu giá&gt; thực phẩm, đồ uống&gt; thực phẩm sức khỏe&gt; ​​Glucosamine</v>
      </c>
      <c r="G234" t="str">
        <f t="shared" ca="1" si="3"/>
        <v>"2084226957" : "Glucosamine",</v>
      </c>
    </row>
    <row r="235" spans="1:7" ht="15.75" customHeight="1">
      <c r="A235" s="28">
        <v>2084226948</v>
      </c>
      <c r="B235" s="28" t="s">
        <v>20065</v>
      </c>
      <c r="C235" s="28" t="s">
        <v>20068</v>
      </c>
      <c r="D235" s="28" t="s">
        <v>20070</v>
      </c>
      <c r="E235" s="4" t="str">
        <f ca="1">IFERROR(__xludf.DUMMYFUNCTION("GOOGLETRANSLATE(B235,""ja"",""vi"")"),"coenzyme Q10")</f>
        <v>coenzyme Q10</v>
      </c>
      <c r="F235" s="4" t="str">
        <f ca="1">IFERROR(__xludf.DUMMYFUNCTION("GOOGLETRANSLATE(C235,""ja"",""vi"")"),"Đấu giá&gt; thực phẩm, đồ uống&gt; thực phẩm sức khỏe&gt; ​​Coenzyme Q10")</f>
        <v>Đấu giá&gt; thực phẩm, đồ uống&gt; thực phẩm sức khỏe&gt; ​​Coenzyme Q10</v>
      </c>
      <c r="G235" t="str">
        <f t="shared" ca="1" si="3"/>
        <v>"2084226948" : "coenzyme Q10",</v>
      </c>
    </row>
    <row r="236" spans="1:7" ht="15.75" customHeight="1">
      <c r="A236" s="28">
        <v>2084226950</v>
      </c>
      <c r="B236" s="28" t="s">
        <v>20071</v>
      </c>
      <c r="C236" s="28" t="s">
        <v>20074</v>
      </c>
      <c r="D236" s="28" t="s">
        <v>20076</v>
      </c>
      <c r="E236" s="4" t="str">
        <f ca="1">IFERROR(__xludf.DUMMYFUNCTION("GOOGLETRANSLATE(B236,""ja"",""vi"")"),"collagen")</f>
        <v>collagen</v>
      </c>
      <c r="F236" s="4" t="str">
        <f ca="1">IFERROR(__xludf.DUMMYFUNCTION("GOOGLETRANSLATE(C236,""ja"",""vi"")"),"Đấu giá&gt; thực phẩm, đồ uống&gt; thực phẩm sức khỏe&gt; ​​collagen")</f>
        <v>Đấu giá&gt; thực phẩm, đồ uống&gt; thực phẩm sức khỏe&gt; ​​collagen</v>
      </c>
      <c r="G236" t="str">
        <f t="shared" ca="1" si="3"/>
        <v>"2084226950" : "collagen",</v>
      </c>
    </row>
    <row r="237" spans="1:7" ht="15.75" customHeight="1">
      <c r="A237" s="28">
        <v>2084289290</v>
      </c>
      <c r="B237" s="28" t="s">
        <v>20078</v>
      </c>
      <c r="C237" s="28" t="s">
        <v>20080</v>
      </c>
      <c r="D237" s="28" t="s">
        <v>20082</v>
      </c>
      <c r="E237" s="4" t="str">
        <f ca="1">IFERROR(__xludf.DUMMYFUNCTION("GOOGLETRANSLATE(B237,""ja"",""vi"")"),"chondroitin")</f>
        <v>chondroitin</v>
      </c>
      <c r="F237" s="4" t="str">
        <f ca="1">IFERROR(__xludf.DUMMYFUNCTION("GOOGLETRANSLATE(C237,""ja"",""vi"")"),"Đấu giá&gt; thực phẩm, đồ uống&gt; thực phẩm sức khỏe&gt; ​​chondroitin")</f>
        <v>Đấu giá&gt; thực phẩm, đồ uống&gt; thực phẩm sức khỏe&gt; ​​chondroitin</v>
      </c>
      <c r="G237" t="str">
        <f t="shared" ca="1" si="3"/>
        <v>"2084289290" : "chondroitin",</v>
      </c>
    </row>
    <row r="238" spans="1:7" ht="15.75" customHeight="1">
      <c r="A238" s="28">
        <v>2084289289</v>
      </c>
      <c r="B238" s="28" t="s">
        <v>20086</v>
      </c>
      <c r="C238" s="28" t="s">
        <v>20088</v>
      </c>
      <c r="D238" s="28" t="s">
        <v>20091</v>
      </c>
      <c r="E238" s="4" t="str">
        <f ca="1">IFERROR(__xludf.DUMMYFUNCTION("GOOGLETRANSLATE(B238,""ja"",""vi"")"),"trà sức khỏe")</f>
        <v>trà sức khỏe</v>
      </c>
      <c r="F238" s="4" t="str">
        <f ca="1">IFERROR(__xludf.DUMMYFUNCTION("GOOGLETRANSLATE(C238,""ja"",""vi"")"),"Đấu giá&gt; thực phẩm, đồ uống&gt; thực phẩm sức khỏe&gt; ​​trà sức khỏe")</f>
        <v>Đấu giá&gt; thực phẩm, đồ uống&gt; thực phẩm sức khỏe&gt; ​​trà sức khỏe</v>
      </c>
      <c r="G238" t="str">
        <f t="shared" ca="1" si="3"/>
        <v>"2084289289" : "trà sức khỏe",</v>
      </c>
    </row>
    <row r="239" spans="1:7" ht="15.75" customHeight="1">
      <c r="A239" s="28">
        <v>2084289288</v>
      </c>
      <c r="B239" s="28" t="s">
        <v>20095</v>
      </c>
      <c r="C239" s="28" t="s">
        <v>20096</v>
      </c>
      <c r="D239" s="28" t="s">
        <v>20098</v>
      </c>
      <c r="E239" s="4" t="str">
        <f ca="1">IFERROR(__xludf.DUMMYFUNCTION("GOOGLETRANSLATE(B239,""ja"",""vi"")"),"Sức khỏe giấm, uống giấm")</f>
        <v>Sức khỏe giấm, uống giấm</v>
      </c>
      <c r="F239" s="4" t="str">
        <f ca="1">IFERROR(__xludf.DUMMYFUNCTION("GOOGLETRANSLATE(C239,""ja"",""vi"")"),"Đấu giá&gt; thực phẩm, đồ uống&gt; thực phẩm sức khỏe&gt; ​​giấm sức khỏe, đồ uống giấm")</f>
        <v>Đấu giá&gt; thực phẩm, đồ uống&gt; thực phẩm sức khỏe&gt; ​​giấm sức khỏe, đồ uống giấm</v>
      </c>
      <c r="G239" t="str">
        <f t="shared" ca="1" si="3"/>
        <v>"2084289288" : "Sức khỏe giấm, uống giấm",</v>
      </c>
    </row>
    <row r="240" spans="1:7" ht="15.75" customHeight="1">
      <c r="A240" s="28">
        <v>2084050386</v>
      </c>
      <c r="B240" s="28" t="s">
        <v>20104</v>
      </c>
      <c r="C240" s="28" t="s">
        <v>20106</v>
      </c>
      <c r="D240" s="28" t="s">
        <v>20109</v>
      </c>
      <c r="E240" s="4" t="str">
        <f ca="1">IFERROR(__xludf.DUMMYFUNCTION("GOOGLETRANSLATE(B240,""ja"",""vi"")"),"giấm")</f>
        <v>giấm</v>
      </c>
      <c r="F240" s="4" t="str">
        <f ca="1">IFERROR(__xludf.DUMMYFUNCTION("GOOGLETRANSLATE(C240,""ja"",""vi"")"),"Đấu giá&gt; thực phẩm, đồ uống&gt; thực phẩm sức khỏe&gt; ​​Giấm")</f>
        <v>Đấu giá&gt; thực phẩm, đồ uống&gt; thực phẩm sức khỏe&gt; ​​Giấm</v>
      </c>
      <c r="G240" t="str">
        <f t="shared" ca="1" si="3"/>
        <v>"2084050386" : "giấm",</v>
      </c>
    </row>
    <row r="241" spans="1:7" ht="15.75" customHeight="1">
      <c r="A241" s="28">
        <v>2084062737</v>
      </c>
      <c r="B241" s="28" t="s">
        <v>20113</v>
      </c>
      <c r="C241" s="28" t="s">
        <v>20115</v>
      </c>
      <c r="D241" s="28" t="s">
        <v>20116</v>
      </c>
      <c r="E241" s="4" t="str">
        <f ca="1">IFERROR(__xludf.DUMMYFUNCTION("GOOGLETRANSLATE(B241,""ja"",""vi"")"),"bổ sung thể thao")</f>
        <v>bổ sung thể thao</v>
      </c>
      <c r="F241" s="4" t="str">
        <f ca="1">IFERROR(__xludf.DUMMYFUNCTION("GOOGLETRANSLATE(C241,""ja"",""vi"")"),"Đấu giá&gt; thực phẩm, đồ uống&gt; thực phẩm sức khỏe&gt; ​​bổ sung thể thao")</f>
        <v>Đấu giá&gt; thực phẩm, đồ uống&gt; thực phẩm sức khỏe&gt; ​​bổ sung thể thao</v>
      </c>
      <c r="G241" t="str">
        <f t="shared" ca="1" si="3"/>
        <v>"2084062737" : "bổ sung thể thao",</v>
      </c>
    </row>
    <row r="242" spans="1:7" ht="15.75" customHeight="1">
      <c r="A242" s="28">
        <v>2084289291</v>
      </c>
      <c r="B242" s="28" t="s">
        <v>20117</v>
      </c>
      <c r="C242" s="28" t="s">
        <v>20118</v>
      </c>
      <c r="D242" s="28" t="s">
        <v>20119</v>
      </c>
      <c r="E242" s="4" t="str">
        <f ca="1">IFERROR(__xludf.DUMMYFUNCTION("GOOGLETRANSLATE(B242,""ja"",""vi"")"),"chất xơ")</f>
        <v>chất xơ</v>
      </c>
      <c r="F242" s="4" t="str">
        <f ca="1">IFERROR(__xludf.DUMMYFUNCTION("GOOGLETRANSLATE(C242,""ja"",""vi"")"),"Đấu giá&gt; thực phẩm, đồ uống&gt; thực phẩm sức khỏe&gt; ​​chất xơ")</f>
        <v>Đấu giá&gt; thực phẩm, đồ uống&gt; thực phẩm sức khỏe&gt; ​​chất xơ</v>
      </c>
      <c r="G242" t="str">
        <f t="shared" ca="1" si="3"/>
        <v>"2084289291" : "chất xơ",</v>
      </c>
    </row>
    <row r="243" spans="1:7" ht="15.75" customHeight="1">
      <c r="A243" s="28">
        <v>2084226955</v>
      </c>
      <c r="B243" s="28" t="s">
        <v>20121</v>
      </c>
      <c r="C243" s="28" t="s">
        <v>20122</v>
      </c>
      <c r="D243" s="28" t="s">
        <v>20123</v>
      </c>
      <c r="E243" s="4" t="str">
        <f ca="1">IFERROR(__xludf.DUMMYFUNCTION("GOOGLETRANSLATE(B243,""ja"",""vi"")"),"DHA")</f>
        <v>DHA</v>
      </c>
      <c r="F243" s="4" t="str">
        <f ca="1">IFERROR(__xludf.DUMMYFUNCTION("GOOGLETRANSLATE(C243,""ja"",""vi"")"),"Đấu giá&gt; thực phẩm, đồ uống&gt; thực phẩm sức khỏe&gt; ​​DHA")</f>
        <v>Đấu giá&gt; thực phẩm, đồ uống&gt; thực phẩm sức khỏe&gt; ​​DHA</v>
      </c>
      <c r="G243" t="str">
        <f t="shared" ca="1" si="3"/>
        <v>"2084226955" : "DHA",</v>
      </c>
    </row>
    <row r="244" spans="1:7" ht="15.75" customHeight="1">
      <c r="A244" s="28">
        <v>2084289296</v>
      </c>
      <c r="B244" s="28" t="s">
        <v>20125</v>
      </c>
      <c r="C244" s="28" t="s">
        <v>20126</v>
      </c>
      <c r="D244" s="28" t="s">
        <v>20127</v>
      </c>
      <c r="E244" s="4" t="str">
        <f ca="1">IFERROR(__xludf.DUMMYFUNCTION("GOOGLETRANSLATE(B244,""ja"",""vi"")"),"ủi")</f>
        <v>ủi</v>
      </c>
      <c r="F244" s="4" t="str">
        <f ca="1">IFERROR(__xludf.DUMMYFUNCTION("GOOGLETRANSLATE(C244,""ja"",""vi"")"),"Đấu giá&gt; thực phẩm, đồ uống&gt; thực phẩm sức khỏe&gt; ​​sắt")</f>
        <v>Đấu giá&gt; thực phẩm, đồ uống&gt; thực phẩm sức khỏe&gt; ​​sắt</v>
      </c>
      <c r="G244" t="str">
        <f t="shared" ca="1" si="3"/>
        <v>"2084289296" : "ủi",</v>
      </c>
    </row>
    <row r="245" spans="1:7" ht="15.75" customHeight="1">
      <c r="A245" s="28">
        <v>2084289293</v>
      </c>
      <c r="B245" s="28" t="s">
        <v>20129</v>
      </c>
      <c r="C245" s="28" t="s">
        <v>20130</v>
      </c>
      <c r="D245" s="28" t="s">
        <v>20131</v>
      </c>
      <c r="E245" s="4" t="str">
        <f ca="1">IFERROR(__xludf.DUMMYFUNCTION("GOOGLETRANSLATE(B245,""ja"",""vi"")"),"Tỏi chiết xuất thức ăn hỗn hợp")</f>
        <v>Tỏi chiết xuất thức ăn hỗn hợp</v>
      </c>
      <c r="F245" s="4" t="str">
        <f ca="1">IFERROR(__xludf.DUMMYFUNCTION("GOOGLETRANSLATE(C245,""ja"",""vi"")"),"Đấu giá&gt; thực phẩm, đồ uống&gt; thực phẩm sức khỏe&gt; ​​chiết xuất tỏi thức ăn hỗn hợp")</f>
        <v>Đấu giá&gt; thực phẩm, đồ uống&gt; thực phẩm sức khỏe&gt; ​​chiết xuất tỏi thức ăn hỗn hợp</v>
      </c>
      <c r="G245" t="str">
        <f t="shared" ca="1" si="3"/>
        <v>"2084289293" : "Tỏi chiết xuất thức ăn hỗn hợp",</v>
      </c>
    </row>
    <row r="246" spans="1:7" ht="15.75" customHeight="1">
      <c r="A246" s="28">
        <v>2084289292</v>
      </c>
      <c r="B246" s="28" t="s">
        <v>20132</v>
      </c>
      <c r="C246" s="28" t="s">
        <v>20134</v>
      </c>
      <c r="D246" s="28" t="s">
        <v>20135</v>
      </c>
      <c r="E246" s="4" t="str">
        <f ca="1">IFERROR(__xludf.DUMMYFUNCTION("GOOGLETRANSLATE(B246,""ja"",""vi"")"),"nattokinase")</f>
        <v>nattokinase</v>
      </c>
      <c r="F246" s="4" t="str">
        <f ca="1">IFERROR(__xludf.DUMMYFUNCTION("GOOGLETRANSLATE(C246,""ja"",""vi"")"),"Đấu giá&gt; thực phẩm, đồ uống&gt; thực phẩm sức khỏe&gt; ​​nattokinase")</f>
        <v>Đấu giá&gt; thực phẩm, đồ uống&gt; thực phẩm sức khỏe&gt; ​​nattokinase</v>
      </c>
      <c r="G246" t="str">
        <f t="shared" ca="1" si="3"/>
        <v>"2084289292" : "nattokinase",</v>
      </c>
    </row>
    <row r="247" spans="1:7" ht="15.75" customHeight="1">
      <c r="A247" s="28">
        <v>2084226949</v>
      </c>
      <c r="B247" s="28" t="s">
        <v>20136</v>
      </c>
      <c r="C247" s="28" t="s">
        <v>20138</v>
      </c>
      <c r="D247" s="28" t="s">
        <v>20139</v>
      </c>
      <c r="E247" s="4" t="str">
        <f ca="1">IFERROR(__xludf.DUMMYFUNCTION("GOOGLETRANSLATE(B247,""ja"",""vi"")"),"hyaluronic acid")</f>
        <v>hyaluronic acid</v>
      </c>
      <c r="F247" s="4" t="str">
        <f ca="1">IFERROR(__xludf.DUMMYFUNCTION("GOOGLETRANSLATE(C247,""ja"",""vi"")"),"Đấu giá&gt; thực phẩm, đồ uống&gt; thực phẩm sức khỏe&gt; ​​axit hyaluronic")</f>
        <v>Đấu giá&gt; thực phẩm, đồ uống&gt; thực phẩm sức khỏe&gt; ​​axit hyaluronic</v>
      </c>
      <c r="G247" t="str">
        <f t="shared" ca="1" si="3"/>
        <v>"2084226949" : "hyaluronic acid",</v>
      </c>
    </row>
    <row r="248" spans="1:7" ht="15.75" customHeight="1">
      <c r="A248" s="28">
        <v>2084289294</v>
      </c>
      <c r="B248" s="28" t="s">
        <v>20140</v>
      </c>
      <c r="C248" s="28" t="s">
        <v>20141</v>
      </c>
      <c r="D248" s="28" t="s">
        <v>20143</v>
      </c>
      <c r="E248" s="4" t="str">
        <f ca="1">IFERROR(__xludf.DUMMYFUNCTION("GOOGLETRANSLATE(B248,""ja"",""vi"")"),"Men bia")</f>
        <v>Men bia</v>
      </c>
      <c r="F248" s="4" t="str">
        <f ca="1">IFERROR(__xludf.DUMMYFUNCTION("GOOGLETRANSLATE(C248,""ja"",""vi"")"),"Đấu giá&gt; thực phẩm, đồ uống&gt; thực phẩm sức khỏe&gt; ​​men bia")</f>
        <v>Đấu giá&gt; thực phẩm, đồ uống&gt; thực phẩm sức khỏe&gt; ​​men bia</v>
      </c>
      <c r="G248" t="str">
        <f t="shared" ca="1" si="3"/>
        <v>"2084289294" : "Men bia",</v>
      </c>
    </row>
    <row r="249" spans="1:7" ht="15.75" customHeight="1">
      <c r="A249" s="28">
        <v>24066</v>
      </c>
      <c r="B249" s="28" t="s">
        <v>20144</v>
      </c>
      <c r="C249" s="28" t="s">
        <v>20145</v>
      </c>
      <c r="D249" s="28" t="s">
        <v>20147</v>
      </c>
      <c r="E249" s="4" t="str">
        <f ca="1">IFERROR(__xludf.DUMMYFUNCTION("GOOGLETRANSLATE(B249,""ja"",""vi"")"),"vitamin")</f>
        <v>vitamin</v>
      </c>
      <c r="F249" s="4" t="str">
        <f ca="1">IFERROR(__xludf.DUMMYFUNCTION("GOOGLETRANSLATE(C249,""ja"",""vi"")"),"Đấu giá&gt; thực phẩm, đồ uống&gt; thực phẩm sức khỏe&gt; ​​vitamin")</f>
        <v>Đấu giá&gt; thực phẩm, đồ uống&gt; thực phẩm sức khỏe&gt; ​​vitamin</v>
      </c>
      <c r="G249" t="str">
        <f t="shared" ca="1" si="3"/>
        <v>"24066" : "vitamin",</v>
      </c>
    </row>
    <row r="250" spans="1:7" ht="15.75" customHeight="1">
      <c r="A250" s="28">
        <v>2084289295</v>
      </c>
      <c r="B250" s="28" t="s">
        <v>20148</v>
      </c>
      <c r="C250" s="28" t="s">
        <v>20149</v>
      </c>
      <c r="D250" s="28" t="s">
        <v>20151</v>
      </c>
      <c r="E250" s="4" t="str">
        <f ca="1">IFERROR(__xludf.DUMMYFUNCTION("GOOGLETRANSLATE(B250,""ja"",""vi"")"),"thức ăn hỗn hợp Blueberry")</f>
        <v>thức ăn hỗn hợp Blueberry</v>
      </c>
      <c r="F250" s="4" t="str">
        <f ca="1">IFERROR(__xludf.DUMMYFUNCTION("GOOGLETRANSLATE(C250,""ja"",""vi"")"),"Đấu giá&gt; thực phẩm, đồ uống&gt; thực phẩm sức khỏe&gt; ​​quả việt quất thực phẩm pha trộn")</f>
        <v>Đấu giá&gt; thực phẩm, đồ uống&gt; thực phẩm sức khỏe&gt; ​​quả việt quất thực phẩm pha trộn</v>
      </c>
      <c r="G250" t="str">
        <f t="shared" ca="1" si="3"/>
        <v>"2084289295" : "thức ăn hỗn hợp Blueberry",</v>
      </c>
    </row>
    <row r="251" spans="1:7" ht="15.75" customHeight="1">
      <c r="A251" s="28">
        <v>2084226951</v>
      </c>
      <c r="B251" s="28" t="s">
        <v>20153</v>
      </c>
      <c r="C251" s="28" t="s">
        <v>20154</v>
      </c>
      <c r="D251" s="28" t="s">
        <v>20155</v>
      </c>
      <c r="E251" s="4" t="str">
        <f ca="1">IFERROR(__xludf.DUMMYFUNCTION("GOOGLETRANSLATE(B251,""ja"",""vi"")"),"Placenta")</f>
        <v>Placenta</v>
      </c>
      <c r="F251" s="4" t="str">
        <f ca="1">IFERROR(__xludf.DUMMYFUNCTION("GOOGLETRANSLATE(C251,""ja"",""vi"")"),"Đấu giá&gt; thực phẩm, đồ uống&gt; thực phẩm sức khỏe&gt; ​​Placenta")</f>
        <v>Đấu giá&gt; thực phẩm, đồ uống&gt; thực phẩm sức khỏe&gt; ​​Placenta</v>
      </c>
      <c r="G251" t="str">
        <f t="shared" ca="1" si="3"/>
        <v>"2084226951" : "Placenta",</v>
      </c>
    </row>
    <row r="252" spans="1:7" ht="15.75" customHeight="1">
      <c r="A252" s="28">
        <v>2084006884</v>
      </c>
      <c r="B252" s="28" t="s">
        <v>20158</v>
      </c>
      <c r="C252" s="28" t="s">
        <v>20159</v>
      </c>
      <c r="D252" s="28" t="s">
        <v>20160</v>
      </c>
      <c r="E252" s="4" t="str">
        <f ca="1">IFERROR(__xludf.DUMMYFUNCTION("GOOGLETRANSLATE(B252,""ja"",""vi"")"),"protein")</f>
        <v>protein</v>
      </c>
      <c r="F252" s="4" t="str">
        <f ca="1">IFERROR(__xludf.DUMMYFUNCTION("GOOGLETRANSLATE(C252,""ja"",""vi"")"),"Đấu giá&gt; thực phẩm, đồ uống&gt; thực phẩm sức khỏe&gt; ​​protein")</f>
        <v>Đấu giá&gt; thực phẩm, đồ uống&gt; thực phẩm sức khỏe&gt; ​​protein</v>
      </c>
      <c r="G252" t="str">
        <f t="shared" ca="1" si="3"/>
        <v>"2084006884" : "protein",</v>
      </c>
    </row>
    <row r="253" spans="1:7" ht="15.75" customHeight="1">
      <c r="A253" s="28">
        <v>2084006883</v>
      </c>
      <c r="B253" s="28" t="s">
        <v>20161</v>
      </c>
      <c r="C253" s="28" t="s">
        <v>20162</v>
      </c>
      <c r="D253" s="28" t="s">
        <v>20164</v>
      </c>
      <c r="E253" s="4" t="str">
        <f ca="1">IFERROR(__xludf.DUMMYFUNCTION("GOOGLETRANSLATE(B253,""ja"",""vi"")"),"sáp ong")</f>
        <v>sáp ong</v>
      </c>
      <c r="F253" s="4" t="str">
        <f ca="1">IFERROR(__xludf.DUMMYFUNCTION("GOOGLETRANSLATE(C253,""ja"",""vi"")"),"Đấu giá&gt; thực phẩm, đồ uống&gt; thực phẩm sức khỏe&gt; ​​keo ong")</f>
        <v>Đấu giá&gt; thực phẩm, đồ uống&gt; thực phẩm sức khỏe&gt; ​​keo ong</v>
      </c>
      <c r="G253" t="str">
        <f t="shared" ca="1" si="3"/>
        <v>"2084006883" : "sáp ong",</v>
      </c>
    </row>
    <row r="254" spans="1:7" ht="15.75" customHeight="1">
      <c r="A254" s="28">
        <v>2084226958</v>
      </c>
      <c r="B254" s="28" t="s">
        <v>20165</v>
      </c>
      <c r="C254" s="28" t="s">
        <v>20167</v>
      </c>
      <c r="D254" s="28" t="s">
        <v>20169</v>
      </c>
      <c r="E254" s="4" t="str">
        <f ca="1">IFERROR(__xludf.DUMMYFUNCTION("GOOGLETRANSLATE(B254,""ja"",""vi"")"),"Maca")</f>
        <v>Maca</v>
      </c>
      <c r="F254" s="4" t="str">
        <f ca="1">IFERROR(__xludf.DUMMYFUNCTION("GOOGLETRANSLATE(C254,""ja"",""vi"")"),"Đấu giá&gt; thực phẩm, đồ uống&gt; thực phẩm sức khỏe&gt; ​​Maca")</f>
        <v>Đấu giá&gt; thực phẩm, đồ uống&gt; thực phẩm sức khỏe&gt; ​​Maca</v>
      </c>
      <c r="G254" t="str">
        <f t="shared" ca="1" si="3"/>
        <v>"2084226958" : "Maca",</v>
      </c>
    </row>
    <row r="255" spans="1:7" ht="15.75" customHeight="1">
      <c r="A255" s="28">
        <v>2084006886</v>
      </c>
      <c r="B255" s="28" t="s">
        <v>20172</v>
      </c>
      <c r="C255" s="28" t="s">
        <v>20173</v>
      </c>
      <c r="D255" s="28" t="s">
        <v>20174</v>
      </c>
      <c r="E255" s="4" t="str">
        <f ca="1">IFERROR(__xludf.DUMMYFUNCTION("GOOGLETRANSLATE(B255,""ja"",""vi"")"),"Ganoderma lucidum, Ganoderma lucidum")</f>
        <v>Ganoderma lucidum, Ganoderma lucidum</v>
      </c>
      <c r="F255" s="4" t="str">
        <f ca="1">IFERROR(__xludf.DUMMYFUNCTION("GOOGLETRANSLATE(C255,""ja"",""vi"")"),"Đấu giá&gt; thực phẩm, đồ uống&gt; thực phẩm sức khỏe&gt; ​​Ganoderma lucidum, Ganoderma lucidum")</f>
        <v>Đấu giá&gt; thực phẩm, đồ uống&gt; thực phẩm sức khỏe&gt; ​​Ganoderma lucidum, Ganoderma lucidum</v>
      </c>
      <c r="G255" t="str">
        <f t="shared" ca="1" si="3"/>
        <v>"2084006886" : "Ganoderma lucidum, Ganoderma lucidum",</v>
      </c>
    </row>
    <row r="256" spans="1:7" ht="15.75" customHeight="1">
      <c r="A256" s="28">
        <v>2084226954</v>
      </c>
      <c r="B256" s="28" t="s">
        <v>20177</v>
      </c>
      <c r="C256" s="28" t="s">
        <v>20178</v>
      </c>
      <c r="D256" s="28" t="s">
        <v>20180</v>
      </c>
      <c r="E256" s="4" t="str">
        <f ca="1">IFERROR(__xludf.DUMMYFUNCTION("GOOGLETRANSLATE(B256,""ja"",""vi"")"),"khoáng vật")</f>
        <v>khoáng vật</v>
      </c>
      <c r="F256" s="4" t="str">
        <f ca="1">IFERROR(__xludf.DUMMYFUNCTION("GOOGLETRANSLATE(C256,""ja"",""vi"")"),"Đấu giá&gt; thực phẩm, đồ uống&gt; thực phẩm sức khỏe&gt; ​​khoáng sản")</f>
        <v>Đấu giá&gt; thực phẩm, đồ uống&gt; thực phẩm sức khỏe&gt; ​​khoáng sản</v>
      </c>
      <c r="G256" t="str">
        <f t="shared" ca="1" si="3"/>
        <v>"2084226954" : "khoáng vật",</v>
      </c>
    </row>
    <row r="257" spans="1:7" ht="15.75" customHeight="1">
      <c r="A257" s="28">
        <v>2084006885</v>
      </c>
      <c r="B257" s="28" t="s">
        <v>20183</v>
      </c>
      <c r="C257" s="28" t="s">
        <v>20185</v>
      </c>
      <c r="D257" s="28" t="s">
        <v>20187</v>
      </c>
      <c r="E257" s="4" t="str">
        <f ca="1">IFERROR(__xludf.DUMMYFUNCTION("GOOGLETRANSLATE(B257,""ja"",""vi"")"),"Sữa ong chúa")</f>
        <v>Sữa ong chúa</v>
      </c>
      <c r="F257" s="4" t="str">
        <f ca="1">IFERROR(__xludf.DUMMYFUNCTION("GOOGLETRANSLATE(C257,""ja"",""vi"")"),"Đấu giá&gt; thực phẩm, đồ uống&gt; thực phẩm sức khỏe&gt; ​​sữa ong chúa")</f>
        <v>Đấu giá&gt; thực phẩm, đồ uống&gt; thực phẩm sức khỏe&gt; ​​sữa ong chúa</v>
      </c>
      <c r="G257" t="str">
        <f t="shared" ca="1" si="3"/>
        <v>"2084006885" : "Sữa ong chúa",</v>
      </c>
    </row>
    <row r="258" spans="1:7" ht="15.75" customHeight="1">
      <c r="A258" s="28">
        <v>2084006888</v>
      </c>
      <c r="B258" s="28" t="s">
        <v>20190</v>
      </c>
      <c r="C258" s="28" t="s">
        <v>20192</v>
      </c>
      <c r="D258" s="28" t="s">
        <v>20194</v>
      </c>
      <c r="E258" s="4" t="str">
        <f ca="1">IFERROR(__xludf.DUMMYFUNCTION("GOOGLETRANSLATE(B258,""ja"",""vi"")"),"thực phẩm chế độ ăn uống")</f>
        <v>thực phẩm chế độ ăn uống</v>
      </c>
      <c r="F258" s="4" t="str">
        <f ca="1">IFERROR(__xludf.DUMMYFUNCTION("GOOGLETRANSLATE(C258,""ja"",""vi"")"),"Đấu giá&gt; thực phẩm, đồ uống&gt; thực phẩm sức khỏe&gt; ​​thực phẩm chế độ ăn uống")</f>
        <v>Đấu giá&gt; thực phẩm, đồ uống&gt; thực phẩm sức khỏe&gt; ​​thực phẩm chế độ ăn uống</v>
      </c>
      <c r="G258" t="str">
        <f t="shared" ref="G258:G311" ca="1" si="4">CONCATENATE(CHAR(34)&amp;"",A258,""&amp;CHAR(34)," : ", CHAR(34)&amp;"",E258,""&amp;CHAR(34),",")</f>
        <v>"2084006888" : "thực phẩm chế độ ăn uống",</v>
      </c>
    </row>
    <row r="259" spans="1:7" ht="15.75" customHeight="1">
      <c r="A259" s="28">
        <v>2084006887</v>
      </c>
      <c r="B259" s="28" t="s">
        <v>46</v>
      </c>
      <c r="C259" s="28" t="s">
        <v>20197</v>
      </c>
      <c r="D259" s="28" t="s">
        <v>20198</v>
      </c>
      <c r="E259" s="4" t="str">
        <f ca="1">IFERROR(__xludf.DUMMYFUNCTION("GOOGLETRANSLATE(B259,""ja"",""vi"")"),"nếu không thì")</f>
        <v>nếu không thì</v>
      </c>
      <c r="F259" s="4" t="str">
        <f ca="1">IFERROR(__xludf.DUMMYFUNCTION("GOOGLETRANSLATE(C259,""ja"",""vi"")"),"Đấu giá&gt; thực phẩm, đồ uống&gt; thực phẩm sức khỏe&gt; ​​Khác")</f>
        <v>Đấu giá&gt; thực phẩm, đồ uống&gt; thực phẩm sức khỏe&gt; ​​Khác</v>
      </c>
      <c r="G259" t="str">
        <f t="shared" ca="1" si="4"/>
        <v>"2084006887" : "nếu không thì",</v>
      </c>
    </row>
    <row r="260" spans="1:7" ht="15.75" customHeight="1">
      <c r="A260" s="28">
        <v>2084220403</v>
      </c>
      <c r="B260" s="28" t="s">
        <v>20203</v>
      </c>
      <c r="C260" s="28" t="s">
        <v>20204</v>
      </c>
      <c r="D260" s="28" t="s">
        <v>20206</v>
      </c>
      <c r="E260" s="4" t="str">
        <f ca="1">IFERROR(__xludf.DUMMYFUNCTION("GOOGLETRANSLATE(B260,""ja"",""vi"")"),"súp miso")</f>
        <v>súp miso</v>
      </c>
      <c r="F260" s="4" t="str">
        <f ca="1">IFERROR(__xludf.DUMMYFUNCTION("GOOGLETRANSLATE(C260,""ja"",""vi"")"),"Đấu giá&gt; thực phẩm, đồ uống&gt; thực phẩm chế biến&gt; tức thì Thực phẩm&gt; miso súp")</f>
        <v>Đấu giá&gt; thực phẩm, đồ uống&gt; thực phẩm chế biến&gt; tức thì Thực phẩm&gt; miso súp</v>
      </c>
      <c r="G260" t="str">
        <f t="shared" ca="1" si="4"/>
        <v>"2084220403" : "súp miso",</v>
      </c>
    </row>
    <row r="261" spans="1:7" ht="15.75" customHeight="1">
      <c r="A261" s="28">
        <v>2084220404</v>
      </c>
      <c r="B261" s="28" t="s">
        <v>19824</v>
      </c>
      <c r="C261" s="28" t="s">
        <v>20211</v>
      </c>
      <c r="D261" s="28" t="s">
        <v>20213</v>
      </c>
      <c r="E261" s="4" t="str">
        <f ca="1">IFERROR(__xludf.DUMMYFUNCTION("GOOGLETRANSLATE(B261,""ja"",""vi"")"),"canh")</f>
        <v>canh</v>
      </c>
      <c r="F261" s="4" t="str">
        <f ca="1">IFERROR(__xludf.DUMMYFUNCTION("GOOGLETRANSLATE(C261,""ja"",""vi"")"),"Đấu giá&gt; thực phẩm, đồ uống&gt; thực phẩm chế biến&gt; tức thì Thực phẩm&gt; súp")</f>
        <v>Đấu giá&gt; thực phẩm, đồ uống&gt; thực phẩm chế biến&gt; tức thì Thực phẩm&gt; súp</v>
      </c>
      <c r="G261" t="str">
        <f t="shared" ca="1" si="4"/>
        <v>"2084220404" : "canh",</v>
      </c>
    </row>
    <row r="262" spans="1:7" ht="15.75" customHeight="1">
      <c r="A262" s="28">
        <v>2084220401</v>
      </c>
      <c r="B262" s="28" t="s">
        <v>20216</v>
      </c>
      <c r="C262" s="28" t="s">
        <v>20217</v>
      </c>
      <c r="D262" s="28" t="s">
        <v>20218</v>
      </c>
      <c r="E262" s="4" t="str">
        <f ca="1">IFERROR(__xludf.DUMMYFUNCTION("GOOGLETRANSLATE(B262,""ja"",""vi"")"),"thực phẩm vặn lại")</f>
        <v>thực phẩm vặn lại</v>
      </c>
      <c r="F262" s="4" t="str">
        <f ca="1">IFERROR(__xludf.DUMMYFUNCTION("GOOGLETRANSLATE(C262,""ja"",""vi"")"),"Đấu giá&gt; thực phẩm, đồ uống&gt; thực phẩm chế biến&gt; tức thì Thực phẩm&gt; thực phẩm vặn lại")</f>
        <v>Đấu giá&gt; thực phẩm, đồ uống&gt; thực phẩm chế biến&gt; tức thì Thực phẩm&gt; thực phẩm vặn lại</v>
      </c>
      <c r="G262" t="str">
        <f t="shared" ca="1" si="4"/>
        <v>"2084220401" : "thực phẩm vặn lại",</v>
      </c>
    </row>
    <row r="263" spans="1:7" ht="15.75" customHeight="1">
      <c r="A263" s="28">
        <v>2084220402</v>
      </c>
      <c r="B263" s="28" t="s">
        <v>19863</v>
      </c>
      <c r="C263" s="28" t="s">
        <v>20223</v>
      </c>
      <c r="D263" s="28" t="s">
        <v>20224</v>
      </c>
      <c r="E263" s="4" t="str">
        <f ca="1">IFERROR(__xludf.DUMMYFUNCTION("GOOGLETRANSLATE(B263,""ja"",""vi"")"),"mì sợi")</f>
        <v>mì sợi</v>
      </c>
      <c r="F263" s="4" t="str">
        <f ca="1">IFERROR(__xludf.DUMMYFUNCTION("GOOGLETRANSLATE(C263,""ja"",""vi"")"),"Đấu giá&gt; thực phẩm, đồ uống&gt; thực phẩm chế biến&gt; tức thì thực phẩm&gt; Sản phẩm mì ống")</f>
        <v>Đấu giá&gt; thực phẩm, đồ uống&gt; thực phẩm chế biến&gt; tức thì thực phẩm&gt; Sản phẩm mì ống</v>
      </c>
      <c r="G263" t="str">
        <f t="shared" ca="1" si="4"/>
        <v>"2084220402" : "mì sợi",</v>
      </c>
    </row>
    <row r="264" spans="1:7" ht="15.75" customHeight="1">
      <c r="A264" s="28">
        <v>2084220434</v>
      </c>
      <c r="B264" s="28" t="s">
        <v>46</v>
      </c>
      <c r="C264" s="28" t="s">
        <v>20228</v>
      </c>
      <c r="D264" s="28" t="s">
        <v>20229</v>
      </c>
      <c r="E264" s="4" t="str">
        <f ca="1">IFERROR(__xludf.DUMMYFUNCTION("GOOGLETRANSLATE(B264,""ja"",""vi"")"),"nếu không thì")</f>
        <v>nếu không thì</v>
      </c>
      <c r="F264" s="4" t="str">
        <f ca="1">IFERROR(__xludf.DUMMYFUNCTION("GOOGLETRANSLATE(C264,""ja"",""vi"")"),"Đấu giá&gt; thực phẩm, đồ uống&gt; thực phẩm chế biến&gt; tức thì Thực phẩm&gt; Khác")</f>
        <v>Đấu giá&gt; thực phẩm, đồ uống&gt; thực phẩm chế biến&gt; tức thì Thực phẩm&gt; Khác</v>
      </c>
      <c r="G264" t="str">
        <f t="shared" ca="1" si="4"/>
        <v>"2084220434" : "nếu không thì",</v>
      </c>
    </row>
    <row r="265" spans="1:7" ht="15.75" customHeight="1">
      <c r="A265" s="28">
        <v>2084243565</v>
      </c>
      <c r="B265" s="28" t="s">
        <v>20233</v>
      </c>
      <c r="C265" s="28" t="s">
        <v>20234</v>
      </c>
      <c r="D265" s="28" t="s">
        <v>20235</v>
      </c>
      <c r="E265" s="4" t="str">
        <f ca="1">IFERROR(__xludf.DUMMYFUNCTION("GOOGLETRANSLATE(B265,""ja"",""vi"")"),"kimchi")</f>
        <v>kimchi</v>
      </c>
      <c r="F265" s="4" t="str">
        <f ca="1">IFERROR(__xludf.DUMMYFUNCTION("GOOGLETRANSLATE(C265,""ja"",""vi"")"),"Đấu giá&gt; thực phẩm, đồ uống&gt; thực phẩm chế biến&gt; Pickles&gt; Kimchi")</f>
        <v>Đấu giá&gt; thực phẩm, đồ uống&gt; thực phẩm chế biến&gt; Pickles&gt; Kimchi</v>
      </c>
      <c r="G265" t="str">
        <f t="shared" ca="1" si="4"/>
        <v>"2084243565" : "kimchi",</v>
      </c>
    </row>
    <row r="266" spans="1:7" ht="15.75" customHeight="1">
      <c r="A266" s="28">
        <v>2084243566</v>
      </c>
      <c r="B266" s="28" t="s">
        <v>20241</v>
      </c>
      <c r="C266" s="28" t="s">
        <v>20242</v>
      </c>
      <c r="D266" s="28" t="s">
        <v>20243</v>
      </c>
      <c r="E266" s="4" t="str">
        <f ca="1">IFERROR(__xludf.DUMMYFUNCTION("GOOGLETRANSLATE(B266,""ja"",""vi"")"),"mận")</f>
        <v>mận</v>
      </c>
      <c r="F266" s="4" t="str">
        <f ca="1">IFERROR(__xludf.DUMMYFUNCTION("GOOGLETRANSLATE(C266,""ja"",""vi"")"),"Đấu giá&gt; thực phẩm, đồ uống&gt; thực phẩm chế biến&gt; Pickles&gt; mận")</f>
        <v>Đấu giá&gt; thực phẩm, đồ uống&gt; thực phẩm chế biến&gt; Pickles&gt; mận</v>
      </c>
      <c r="G266" t="str">
        <f t="shared" ca="1" si="4"/>
        <v>"2084243566" : "mận",</v>
      </c>
    </row>
    <row r="267" spans="1:7" ht="15.75" customHeight="1">
      <c r="A267" s="28">
        <v>2084243567</v>
      </c>
      <c r="B267" s="28" t="s">
        <v>46</v>
      </c>
      <c r="C267" s="28" t="s">
        <v>20248</v>
      </c>
      <c r="D267" s="28" t="s">
        <v>20249</v>
      </c>
      <c r="E267" s="4" t="str">
        <f ca="1">IFERROR(__xludf.DUMMYFUNCTION("GOOGLETRANSLATE(B267,""ja"",""vi"")"),"nếu không thì")</f>
        <v>nếu không thì</v>
      </c>
      <c r="F267" s="4" t="str">
        <f ca="1">IFERROR(__xludf.DUMMYFUNCTION("GOOGLETRANSLATE(C267,""ja"",""vi"")"),"Đấu giá&gt; thực phẩm, đồ uống&gt; thực phẩm chế biến&gt; Pickles&gt; Khác")</f>
        <v>Đấu giá&gt; thực phẩm, đồ uống&gt; thực phẩm chế biến&gt; Pickles&gt; Khác</v>
      </c>
      <c r="G267" t="str">
        <f t="shared" ca="1" si="4"/>
        <v>"2084243567" : "nếu không thì",</v>
      </c>
    </row>
    <row r="268" spans="1:7" ht="15.75" customHeight="1">
      <c r="A268" s="28">
        <v>2084217295</v>
      </c>
      <c r="B268" s="28" t="s">
        <v>19193</v>
      </c>
      <c r="C268" s="28" t="s">
        <v>19194</v>
      </c>
      <c r="D268" s="28" t="s">
        <v>19195</v>
      </c>
      <c r="E268" s="4" t="str">
        <f ca="1">IFERROR(__xludf.DUMMYFUNCTION("GOOGLETRANSLATE(B268,""ja"",""vi"")"),"thịt bò")</f>
        <v>thịt bò</v>
      </c>
      <c r="F268" s="4" t="str">
        <f ca="1">IFERROR(__xludf.DUMMYFUNCTION("GOOGLETRANSLATE(C268,""ja"",""vi"")"),"Đấu giá&gt; thực phẩm, đồ uống&gt; thịt&gt; hàng gia công&gt; thịt bò")</f>
        <v>Đấu giá&gt; thực phẩm, đồ uống&gt; thịt&gt; hàng gia công&gt; thịt bò</v>
      </c>
      <c r="G268" t="str">
        <f t="shared" ca="1" si="4"/>
        <v>"2084217295" : "thịt bò",</v>
      </c>
    </row>
    <row r="269" spans="1:7" ht="15.75" customHeight="1">
      <c r="A269" s="28">
        <v>2084217286</v>
      </c>
      <c r="B269" s="28" t="s">
        <v>19198</v>
      </c>
      <c r="C269" s="28" t="s">
        <v>19199</v>
      </c>
      <c r="D269" s="28" t="s">
        <v>19200</v>
      </c>
      <c r="E269" s="4" t="str">
        <f ca="1">IFERROR(__xludf.DUMMYFUNCTION("GOOGLETRANSLATE(B269,""ja"",""vi"")"),"gà")</f>
        <v>gà</v>
      </c>
      <c r="F269" s="4" t="str">
        <f ca="1">IFERROR(__xludf.DUMMYFUNCTION("GOOGLETRANSLATE(C269,""ja"",""vi"")"),"Đấu giá&gt; thực phẩm, đồ uống&gt; thịt&gt; hàng gia công&gt; gà")</f>
        <v>Đấu giá&gt; thực phẩm, đồ uống&gt; thịt&gt; hàng gia công&gt; gà</v>
      </c>
      <c r="G269" t="str">
        <f t="shared" ca="1" si="4"/>
        <v>"2084217286" : "gà",</v>
      </c>
    </row>
    <row r="270" spans="1:7" ht="15.75" customHeight="1">
      <c r="A270" s="28">
        <v>2084217296</v>
      </c>
      <c r="B270" s="28" t="s">
        <v>19203</v>
      </c>
      <c r="C270" s="28" t="s">
        <v>19205</v>
      </c>
      <c r="D270" s="28" t="s">
        <v>19206</v>
      </c>
      <c r="E270" s="4" t="str">
        <f ca="1">IFERROR(__xludf.DUMMYFUNCTION("GOOGLETRANSLATE(B270,""ja"",""vi"")"),"thịt heo")</f>
        <v>thịt heo</v>
      </c>
      <c r="F270" s="4" t="str">
        <f ca="1">IFERROR(__xludf.DUMMYFUNCTION("GOOGLETRANSLATE(C270,""ja"",""vi"")"),"Đấu giá&gt; thực phẩm, đồ uống&gt; thịt&gt; hàng gia công&gt; thịt lợn")</f>
        <v>Đấu giá&gt; thực phẩm, đồ uống&gt; thịt&gt; hàng gia công&gt; thịt lợn</v>
      </c>
      <c r="G270" t="str">
        <f t="shared" ca="1" si="4"/>
        <v>"2084217296" : "thịt heo",</v>
      </c>
    </row>
    <row r="271" spans="1:7" ht="15.75" customHeight="1">
      <c r="A271" s="28">
        <v>2084217298</v>
      </c>
      <c r="B271" s="28" t="s">
        <v>19210</v>
      </c>
      <c r="C271" s="28" t="s">
        <v>19211</v>
      </c>
      <c r="D271" s="28" t="s">
        <v>19212</v>
      </c>
      <c r="E271" s="4" t="str">
        <f ca="1">IFERROR(__xludf.DUMMYFUNCTION("GOOGLETRANSLATE(B271,""ja"",""vi"")"),"thịt ba rọi")</f>
        <v>thịt ba rọi</v>
      </c>
      <c r="F271" s="4" t="str">
        <f ca="1">IFERROR(__xludf.DUMMYFUNCTION("GOOGLETRANSLATE(C271,""ja"",""vi"")"),"Đấu giá&gt; thực phẩm, đồ uống&gt; thịt&gt; hàng gia công&gt; thịt xông khói")</f>
        <v>Đấu giá&gt; thực phẩm, đồ uống&gt; thịt&gt; hàng gia công&gt; thịt xông khói</v>
      </c>
      <c r="G271" t="str">
        <f t="shared" ca="1" si="4"/>
        <v>"2084217298" : "thịt ba rọi",</v>
      </c>
    </row>
    <row r="272" spans="1:7" ht="15.75" customHeight="1">
      <c r="A272" s="28">
        <v>2084045148</v>
      </c>
      <c r="B272" s="28" t="s">
        <v>19216</v>
      </c>
      <c r="C272" s="28" t="s">
        <v>19217</v>
      </c>
      <c r="D272" s="28" t="s">
        <v>19218</v>
      </c>
      <c r="E272" s="4" t="str">
        <f ca="1">IFERROR(__xludf.DUMMYFUNCTION("GOOGLETRANSLATE(B272,""ja"",""vi"")"),"Ham, xúc xích")</f>
        <v>Ham, xúc xích</v>
      </c>
      <c r="F272" s="4" t="str">
        <f ca="1">IFERROR(__xludf.DUMMYFUNCTION("GOOGLETRANSLATE(C272,""ja"",""vi"")"),"Đấu giá&gt; thực phẩm, đồ uống&gt; thịt&gt; hàng gia công&gt; giăm bông, xúc xích")</f>
        <v>Đấu giá&gt; thực phẩm, đồ uống&gt; thịt&gt; hàng gia công&gt; giăm bông, xúc xích</v>
      </c>
      <c r="G272" t="str">
        <f t="shared" ca="1" si="4"/>
        <v>"2084045148" : "Ham, xúc xích",</v>
      </c>
    </row>
    <row r="273" spans="1:7" ht="15.75" customHeight="1">
      <c r="A273" s="28">
        <v>2084217307</v>
      </c>
      <c r="B273" s="28" t="s">
        <v>46</v>
      </c>
      <c r="C273" s="28" t="s">
        <v>19221</v>
      </c>
      <c r="D273" s="28" t="s">
        <v>19222</v>
      </c>
      <c r="E273" s="4" t="str">
        <f ca="1">IFERROR(__xludf.DUMMYFUNCTION("GOOGLETRANSLATE(B273,""ja"",""vi"")"),"nếu không thì")</f>
        <v>nếu không thì</v>
      </c>
      <c r="F273" s="4" t="str">
        <f ca="1">IFERROR(__xludf.DUMMYFUNCTION("GOOGLETRANSLATE(C273,""ja"",""vi"")"),"Đấu giá&gt; thực phẩm, đồ uống&gt; thịt&gt; hàng gia công&gt; Khác")</f>
        <v>Đấu giá&gt; thực phẩm, đồ uống&gt; thịt&gt; hàng gia công&gt; Khác</v>
      </c>
      <c r="G273" t="str">
        <f t="shared" ca="1" si="4"/>
        <v>"2084217307" : "nếu không thì",</v>
      </c>
    </row>
    <row r="274" spans="1:7" ht="15.75" customHeight="1">
      <c r="A274" s="35">
        <v>2084209995</v>
      </c>
      <c r="B274" s="35" t="s">
        <v>20295</v>
      </c>
      <c r="C274" s="35" t="s">
        <v>20296</v>
      </c>
      <c r="D274" s="35" t="s">
        <v>20297</v>
      </c>
      <c r="E274" s="4" t="str">
        <f ca="1">IFERROR(__xludf.DUMMYFUNCTION("GOOGLETRANSLATE(B274,""ja"",""vi"")"),"voan bánh")</f>
        <v>voan bánh</v>
      </c>
      <c r="F274" s="4" t="str">
        <f ca="1">IFERROR(__xludf.DUMMYFUNCTION("GOOGLETRANSLATE(C274,""ja"",""vi"")"),"Đấu giá&gt; thực phẩm, đồ uống&gt; bánh ngọt, món tráng miệng&gt; Bánh&gt; bánh chiffon")</f>
        <v>Đấu giá&gt; thực phẩm, đồ uống&gt; bánh ngọt, món tráng miệng&gt; Bánh&gt; bánh chiffon</v>
      </c>
      <c r="G274" t="str">
        <f t="shared" ca="1" si="4"/>
        <v>"2084209995" : "voan bánh",</v>
      </c>
    </row>
    <row r="275" spans="1:7" ht="15.75" customHeight="1">
      <c r="A275" s="35">
        <v>2084209996</v>
      </c>
      <c r="B275" s="35" t="s">
        <v>20304</v>
      </c>
      <c r="C275" s="35" t="s">
        <v>20305</v>
      </c>
      <c r="D275" s="35" t="s">
        <v>20306</v>
      </c>
      <c r="E275" s="4" t="str">
        <f ca="1">IFERROR(__xludf.DUMMYFUNCTION("GOOGLETRANSLATE(B275,""ja"",""vi"")"),"bánh Cheese")</f>
        <v>bánh Cheese</v>
      </c>
      <c r="F275" s="4" t="str">
        <f ca="1">IFERROR(__xludf.DUMMYFUNCTION("GOOGLETRANSLATE(C275,""ja"",""vi"")"),"Đấu giá&gt; thực phẩm, đồ uống&gt; bánh ngọt, món tráng miệng&gt; Bánh&gt; Cheesecake")</f>
        <v>Đấu giá&gt; thực phẩm, đồ uống&gt; bánh ngọt, món tráng miệng&gt; Bánh&gt; Cheesecake</v>
      </c>
      <c r="G275" t="str">
        <f t="shared" ca="1" si="4"/>
        <v>"2084209996" : "bánh Cheese",</v>
      </c>
    </row>
    <row r="276" spans="1:7" ht="15.75" customHeight="1">
      <c r="A276" s="35">
        <v>2084209997</v>
      </c>
      <c r="B276" s="35" t="s">
        <v>20310</v>
      </c>
      <c r="C276" s="35" t="s">
        <v>20311</v>
      </c>
      <c r="D276" s="35" t="s">
        <v>20312</v>
      </c>
      <c r="E276" s="4" t="str">
        <f ca="1">IFERROR(__xludf.DUMMYFUNCTION("GOOGLETRANSLATE(B276,""ja"",""vi"")"),"bánh ngọt sô-cô-la")</f>
        <v>bánh ngọt sô-cô-la</v>
      </c>
      <c r="F276" s="4" t="str">
        <f ca="1">IFERROR(__xludf.DUMMYFUNCTION("GOOGLETRANSLATE(C276,""ja"",""vi"")"),"Đấu giá&gt; thực phẩm, đồ uống&gt; bánh ngọt, món tráng miệng&gt; bánh&gt; bánh sô cô la")</f>
        <v>Đấu giá&gt; thực phẩm, đồ uống&gt; bánh ngọt, món tráng miệng&gt; bánh&gt; bánh sô cô la</v>
      </c>
      <c r="G276" t="str">
        <f t="shared" ca="1" si="4"/>
        <v>"2084209997" : "bánh ngọt sô-cô-la",</v>
      </c>
    </row>
    <row r="277" spans="1:7" ht="15.75" customHeight="1">
      <c r="A277" s="35">
        <v>2084209998</v>
      </c>
      <c r="B277" s="35" t="s">
        <v>20315</v>
      </c>
      <c r="C277" s="35" t="s">
        <v>20317</v>
      </c>
      <c r="D277" s="35" t="s">
        <v>20318</v>
      </c>
      <c r="E277" s="4" t="str">
        <f ca="1">IFERROR(__xludf.DUMMYFUNCTION("GOOGLETRANSLATE(B277,""ja"",""vi"")"),"trang trí bánh")</f>
        <v>trang trí bánh</v>
      </c>
      <c r="F277" s="4" t="str">
        <f ca="1">IFERROR(__xludf.DUMMYFUNCTION("GOOGLETRANSLATE(C277,""ja"",""vi"")"),"Đấu giá&gt; thực phẩm, đồ uống&gt; bánh ngọt, món tráng miệng&gt; Bánh&gt; Trang trí bánh")</f>
        <v>Đấu giá&gt; thực phẩm, đồ uống&gt; bánh ngọt, món tráng miệng&gt; Bánh&gt; Trang trí bánh</v>
      </c>
      <c r="G277" t="str">
        <f t="shared" ca="1" si="4"/>
        <v>"2084209998" : "trang trí bánh",</v>
      </c>
    </row>
    <row r="278" spans="1:7" ht="15.75" customHeight="1">
      <c r="A278" s="35">
        <v>2084209999</v>
      </c>
      <c r="B278" s="35" t="s">
        <v>20322</v>
      </c>
      <c r="C278" s="35" t="s">
        <v>20323</v>
      </c>
      <c r="D278" s="35" t="s">
        <v>20324</v>
      </c>
      <c r="E278" s="4" t="str">
        <f ca="1">IFERROR(__xludf.DUMMYFUNCTION("GOOGLETRANSLATE(B278,""ja"",""vi"")"),"bánh Pound")</f>
        <v>bánh Pound</v>
      </c>
      <c r="F278" s="4" t="str">
        <f ca="1">IFERROR(__xludf.DUMMYFUNCTION("GOOGLETRANSLATE(C278,""ja"",""vi"")"),"Đấu giá&gt; thực phẩm, đồ uống&gt; bánh ngọt, món tráng miệng&gt; Bánh&gt; bánh bảng Anh")</f>
        <v>Đấu giá&gt; thực phẩm, đồ uống&gt; bánh ngọt, món tráng miệng&gt; Bánh&gt; bánh bảng Anh</v>
      </c>
      <c r="G278" t="str">
        <f t="shared" ca="1" si="4"/>
        <v>"2084209999" : "bánh Pound",</v>
      </c>
    </row>
    <row r="279" spans="1:7" ht="15.75" customHeight="1">
      <c r="A279" s="35">
        <v>2084210000</v>
      </c>
      <c r="B279" s="35" t="s">
        <v>20327</v>
      </c>
      <c r="C279" s="35" t="s">
        <v>20329</v>
      </c>
      <c r="D279" s="35" t="s">
        <v>20330</v>
      </c>
      <c r="E279" s="4" t="str">
        <f ca="1">IFERROR(__xludf.DUMMYFUNCTION("GOOGLETRANSLATE(B279,""ja"",""vi"")"),"Madeleine")</f>
        <v>Madeleine</v>
      </c>
      <c r="F279" s="4" t="str">
        <f ca="1">IFERROR(__xludf.DUMMYFUNCTION("GOOGLETRANSLATE(C279,""ja"",""vi"")"),"Đấu giá&gt; thực phẩm, đồ uống&gt; bánh ngọt, món tráng miệng&gt; bánh&gt; Madeleine")</f>
        <v>Đấu giá&gt; thực phẩm, đồ uống&gt; bánh ngọt, món tráng miệng&gt; bánh&gt; Madeleine</v>
      </c>
      <c r="G279" t="str">
        <f t="shared" ca="1" si="4"/>
        <v>"2084210000" : "Madeleine",</v>
      </c>
    </row>
    <row r="280" spans="1:7" ht="15.75" customHeight="1">
      <c r="A280" s="35">
        <v>2084210001</v>
      </c>
      <c r="B280" s="35" t="s">
        <v>20332</v>
      </c>
      <c r="C280" s="35" t="s">
        <v>20334</v>
      </c>
      <c r="D280" s="35" t="s">
        <v>20336</v>
      </c>
      <c r="E280" s="4" t="str">
        <f ca="1">IFERROR(__xludf.DUMMYFUNCTION("GOOGLETRANSLATE(B280,""ja"",""vi"")"),"bánh cuộn")</f>
        <v>bánh cuộn</v>
      </c>
      <c r="F280" s="4" t="str">
        <f ca="1">IFERROR(__xludf.DUMMYFUNCTION("GOOGLETRANSLATE(C280,""ja"",""vi"")"),"Đấu giá&gt; thực phẩm, đồ uống&gt; bánh ngọt, món tráng miệng&gt; Bánh&gt; bánh cuộn")</f>
        <v>Đấu giá&gt; thực phẩm, đồ uống&gt; bánh ngọt, món tráng miệng&gt; Bánh&gt; bánh cuộn</v>
      </c>
      <c r="G280" t="str">
        <f t="shared" ca="1" si="4"/>
        <v>"2084210001" : "bánh cuộn",</v>
      </c>
    </row>
    <row r="281" spans="1:7" ht="15.75" customHeight="1">
      <c r="A281" s="35">
        <v>2084210002</v>
      </c>
      <c r="B281" s="35" t="s">
        <v>46</v>
      </c>
      <c r="C281" s="35" t="s">
        <v>20340</v>
      </c>
      <c r="D281" s="35" t="s">
        <v>20341</v>
      </c>
      <c r="E281" s="4" t="str">
        <f ca="1">IFERROR(__xludf.DUMMYFUNCTION("GOOGLETRANSLATE(B281,""ja"",""vi"")"),"nếu không thì")</f>
        <v>nếu không thì</v>
      </c>
      <c r="F281" s="4" t="str">
        <f ca="1">IFERROR(__xludf.DUMMYFUNCTION("GOOGLETRANSLATE(C281,""ja"",""vi"")"),"Đấu giá&gt; thực phẩm, đồ uống&gt; bánh ngọt, món tráng miệng&gt; Bánh&gt; Khác")</f>
        <v>Đấu giá&gt; thực phẩm, đồ uống&gt; bánh ngọt, món tráng miệng&gt; Bánh&gt; Khác</v>
      </c>
      <c r="G281" t="str">
        <f t="shared" ca="1" si="4"/>
        <v>"2084210002" : "nếu không thì",</v>
      </c>
    </row>
    <row r="282" spans="1:7" ht="15.75" customHeight="1">
      <c r="A282" s="28">
        <v>2084064325</v>
      </c>
      <c r="B282" s="28" t="s">
        <v>18963</v>
      </c>
      <c r="C282" s="28" t="s">
        <v>19373</v>
      </c>
      <c r="D282" s="28" t="s">
        <v>19374</v>
      </c>
      <c r="E282" s="4" t="str">
        <f ca="1">IFERROR(__xludf.DUMMYFUNCTION("GOOGLETRANSLATE(B282,""ja"",""vi"")"),"Set, Assortment")</f>
        <v>Set, Assortment</v>
      </c>
      <c r="F282" s="4" t="str">
        <f ca="1">IFERROR(__xludf.DUMMYFUNCTION("GOOGLETRANSLATE(C282,""ja"",""vi"")"),"Đấu giá&gt; thực phẩm, đồ uống&gt; rau, trái cây&gt; quả&gt; thiết lập, loại")</f>
        <v>Đấu giá&gt; thực phẩm, đồ uống&gt; rau, trái cây&gt; quả&gt; thiết lập, loại</v>
      </c>
      <c r="G282" t="str">
        <f t="shared" ca="1" si="4"/>
        <v>"2084064325" : "Set, Assortment",</v>
      </c>
    </row>
    <row r="283" spans="1:7" ht="15.75" customHeight="1">
      <c r="A283" s="28">
        <v>2084064327</v>
      </c>
      <c r="B283" s="28" t="s">
        <v>19377</v>
      </c>
      <c r="C283" s="28" t="s">
        <v>19378</v>
      </c>
      <c r="D283" s="28" t="s">
        <v>19379</v>
      </c>
      <c r="E283" s="4" t="str">
        <f ca="1">IFERROR(__xludf.DUMMYFUNCTION("GOOGLETRANSLATE(B283,""ja"",""vi"")"),"dâu tây")</f>
        <v>dâu tây</v>
      </c>
      <c r="F283" s="4" t="str">
        <f ca="1">IFERROR(__xludf.DUMMYFUNCTION("GOOGLETRANSLATE(C283,""ja"",""vi"")"),"Đấu giá&gt; thực phẩm, đồ uống&gt; rau, trái cây&gt; quả&gt; dâu tây")</f>
        <v>Đấu giá&gt; thực phẩm, đồ uống&gt; rau, trái cây&gt; quả&gt; dâu tây</v>
      </c>
      <c r="G283" t="str">
        <f t="shared" ca="1" si="4"/>
        <v>"2084064327" : "dâu tây",</v>
      </c>
    </row>
    <row r="284" spans="1:7" ht="15.75" customHeight="1">
      <c r="A284" s="28">
        <v>2084064329</v>
      </c>
      <c r="B284" s="28" t="s">
        <v>19380</v>
      </c>
      <c r="C284" s="28" t="s">
        <v>19381</v>
      </c>
      <c r="D284" s="28" t="s">
        <v>19384</v>
      </c>
      <c r="E284" s="4" t="str">
        <f ca="1">IFERROR(__xludf.DUMMYFUNCTION("GOOGLETRANSLATE(B284,""ja"",""vi"")"),"Citrus")</f>
        <v>Citrus</v>
      </c>
      <c r="F284" s="4" t="str">
        <f ca="1">IFERROR(__xludf.DUMMYFUNCTION("GOOGLETRANSLATE(C284,""ja"",""vi"")"),"Đấu giá&gt; thực phẩm, đồ uống&gt; rau, trái cây&gt; quả&gt; cam quýt")</f>
        <v>Đấu giá&gt; thực phẩm, đồ uống&gt; rau, trái cây&gt; quả&gt; cam quýt</v>
      </c>
      <c r="G284" t="str">
        <f t="shared" ca="1" si="4"/>
        <v>"2084064329" : "Citrus",</v>
      </c>
    </row>
    <row r="285" spans="1:7" ht="15.75" customHeight="1">
      <c r="A285" s="28">
        <v>2084064328</v>
      </c>
      <c r="B285" s="28" t="s">
        <v>19385</v>
      </c>
      <c r="C285" s="28" t="s">
        <v>19388</v>
      </c>
      <c r="D285" s="28" t="s">
        <v>19389</v>
      </c>
      <c r="E285" s="4" t="str">
        <f ca="1">IFERROR(__xludf.DUMMYFUNCTION("GOOGLETRANSLATE(B285,""ja"",""vi"")"),"cây hồng")</f>
        <v>cây hồng</v>
      </c>
      <c r="F285" s="4" t="str">
        <f ca="1">IFERROR(__xludf.DUMMYFUNCTION("GOOGLETRANSLATE(C285,""ja"",""vi"")"),"Đấu giá&gt; thực phẩm, đồ uống&gt; rau, trái cây&gt; quả&gt; hồng")</f>
        <v>Đấu giá&gt; thực phẩm, đồ uống&gt; rau, trái cây&gt; quả&gt; hồng</v>
      </c>
      <c r="G285" t="str">
        <f t="shared" ca="1" si="4"/>
        <v>"2084064328" : "cây hồng",</v>
      </c>
    </row>
    <row r="286" spans="1:7" ht="15.75" customHeight="1">
      <c r="A286" s="28">
        <v>2084214362</v>
      </c>
      <c r="B286" s="28" t="s">
        <v>19390</v>
      </c>
      <c r="C286" s="28" t="s">
        <v>19391</v>
      </c>
      <c r="D286" s="28" t="s">
        <v>19393</v>
      </c>
      <c r="E286" s="4" t="str">
        <f ca="1">IFERROR(__xludf.DUMMYFUNCTION("GOOGLETRANSLATE(B286,""ja"",""vi"")"),"hạt dẻ")</f>
        <v>hạt dẻ</v>
      </c>
      <c r="F286" s="4" t="str">
        <f ca="1">IFERROR(__xludf.DUMMYFUNCTION("GOOGLETRANSLATE(C286,""ja"",""vi"")"),"Đấu giá&gt; thực phẩm, đồ uống&gt; rau, trái cây&gt; quả&gt; hạt dẻ")</f>
        <v>Đấu giá&gt; thực phẩm, đồ uống&gt; rau, trái cây&gt; quả&gt; hạt dẻ</v>
      </c>
      <c r="G286" t="str">
        <f t="shared" ca="1" si="4"/>
        <v>"2084214362" : "hạt dẻ",</v>
      </c>
    </row>
    <row r="287" spans="1:7" ht="15.75" customHeight="1">
      <c r="A287" s="28">
        <v>2084226962</v>
      </c>
      <c r="B287" s="28" t="s">
        <v>19395</v>
      </c>
      <c r="C287" s="28" t="s">
        <v>19396</v>
      </c>
      <c r="D287" s="28" t="s">
        <v>19397</v>
      </c>
      <c r="E287" s="4" t="str">
        <f ca="1">IFERROR(__xludf.DUMMYFUNCTION("GOOGLETRANSLATE(B287,""ja"",""vi"")"),"anh đào")</f>
        <v>anh đào</v>
      </c>
      <c r="F287" s="4" t="str">
        <f ca="1">IFERROR(__xludf.DUMMYFUNCTION("GOOGLETRANSLATE(C287,""ja"",""vi"")"),"Đấu giá&gt; thực phẩm, đồ uống&gt; rau, trái cây&gt; quả&gt; cherry")</f>
        <v>Đấu giá&gt; thực phẩm, đồ uống&gt; rau, trái cây&gt; quả&gt; cherry</v>
      </c>
      <c r="G287" t="str">
        <f t="shared" ca="1" si="4"/>
        <v>"2084226962" : "anh đào",</v>
      </c>
    </row>
    <row r="288" spans="1:7" ht="15.75" customHeight="1">
      <c r="A288" s="28">
        <v>2084211039</v>
      </c>
      <c r="B288" s="28" t="s">
        <v>19276</v>
      </c>
      <c r="C288" s="28" t="s">
        <v>19400</v>
      </c>
      <c r="D288" s="28" t="s">
        <v>19401</v>
      </c>
      <c r="E288" s="4" t="str">
        <f ca="1">IFERROR(__xludf.DUMMYFUNCTION("GOOGLETRANSLATE(B288,""ja"",""vi"")"),"dưa hấu")</f>
        <v>dưa hấu</v>
      </c>
      <c r="F288" s="4" t="str">
        <f ca="1">IFERROR(__xludf.DUMMYFUNCTION("GOOGLETRANSLATE(C288,""ja"",""vi"")"),"Đấu giá&gt; thực phẩm, đồ uống&gt; rau, trái cây&gt; quả&gt; dưa hấu")</f>
        <v>Đấu giá&gt; thực phẩm, đồ uống&gt; rau, trái cây&gt; quả&gt; dưa hấu</v>
      </c>
      <c r="G288" t="str">
        <f t="shared" ca="1" si="4"/>
        <v>"2084211039" : "dưa hấu",</v>
      </c>
    </row>
    <row r="289" spans="1:7" ht="15.75" customHeight="1">
      <c r="A289" s="28">
        <v>2084064330</v>
      </c>
      <c r="B289" s="28" t="s">
        <v>19404</v>
      </c>
      <c r="C289" s="28" t="s">
        <v>19405</v>
      </c>
      <c r="D289" s="28" t="s">
        <v>19406</v>
      </c>
      <c r="E289" s="4" t="str">
        <f ca="1">IFERROR(__xludf.DUMMYFUNCTION("GOOGLETRANSLATE(B289,""ja"",""vi"")"),"lê")</f>
        <v>lê</v>
      </c>
      <c r="F289" s="4" t="str">
        <f ca="1">IFERROR(__xludf.DUMMYFUNCTION("GOOGLETRANSLATE(C289,""ja"",""vi"")"),"Đấu giá&gt; thực phẩm, đồ uống&gt; rau, trái cây&gt; quả&gt; lê")</f>
        <v>Đấu giá&gt; thực phẩm, đồ uống&gt; rau, trái cây&gt; quả&gt; lê</v>
      </c>
      <c r="G289" t="str">
        <f t="shared" ca="1" si="4"/>
        <v>"2084064330" : "lê",</v>
      </c>
    </row>
    <row r="290" spans="1:7" ht="15.75" customHeight="1">
      <c r="A290" s="28">
        <v>2084064332</v>
      </c>
      <c r="B290" s="28" t="s">
        <v>19409</v>
      </c>
      <c r="C290" s="28" t="s">
        <v>19410</v>
      </c>
      <c r="D290" s="28" t="s">
        <v>19411</v>
      </c>
      <c r="E290" s="4" t="str">
        <f ca="1">IFERROR(__xludf.DUMMYFUNCTION("GOOGLETRANSLATE(B290,""ja"",""vi"")"),"chuối")</f>
        <v>chuối</v>
      </c>
      <c r="F290" s="4" t="str">
        <f ca="1">IFERROR(__xludf.DUMMYFUNCTION("GOOGLETRANSLATE(C290,""ja"",""vi"")"),"Đấu giá&gt; thực phẩm, đồ uống&gt; rau, trái cây&gt; quả&gt; chuối")</f>
        <v>Đấu giá&gt; thực phẩm, đồ uống&gt; rau, trái cây&gt; quả&gt; chuối</v>
      </c>
      <c r="G290" t="str">
        <f t="shared" ca="1" si="4"/>
        <v>"2084064332" : "chuối",</v>
      </c>
    </row>
    <row r="291" spans="1:7" ht="15.75" customHeight="1">
      <c r="A291" s="28">
        <v>2084212763</v>
      </c>
      <c r="B291" s="28" t="s">
        <v>19414</v>
      </c>
      <c r="C291" s="28" t="s">
        <v>19416</v>
      </c>
      <c r="D291" s="28" t="s">
        <v>19418</v>
      </c>
      <c r="E291" s="4" t="str">
        <f ca="1">IFERROR(__xludf.DUMMYFUNCTION("GOOGLETRANSLATE(B291,""ja"",""vi"")"),"trái thơm")</f>
        <v>trái thơm</v>
      </c>
      <c r="F291" s="4" t="str">
        <f ca="1">IFERROR(__xludf.DUMMYFUNCTION("GOOGLETRANSLATE(C291,""ja"",""vi"")"),"Đấu giá&gt; thực phẩm, đồ uống&gt; rau, trái cây&gt; quả&gt; dứa")</f>
        <v>Đấu giá&gt; thực phẩm, đồ uống&gt; rau, trái cây&gt; quả&gt; dứa</v>
      </c>
      <c r="G291" t="str">
        <f t="shared" ca="1" si="4"/>
        <v>"2084212763" : "trái thơm",</v>
      </c>
    </row>
    <row r="292" spans="1:7" ht="15.75" customHeight="1">
      <c r="A292" s="28">
        <v>2084064333</v>
      </c>
      <c r="B292" s="28" t="s">
        <v>19419</v>
      </c>
      <c r="C292" s="28" t="s">
        <v>19421</v>
      </c>
      <c r="D292" s="28" t="s">
        <v>19423</v>
      </c>
      <c r="E292" s="4" t="str">
        <f ca="1">IFERROR(__xludf.DUMMYFUNCTION("GOOGLETRANSLATE(B292,""ja"",""vi"")"),"nho")</f>
        <v>nho</v>
      </c>
      <c r="F292" s="4" t="str">
        <f ca="1">IFERROR(__xludf.DUMMYFUNCTION("GOOGLETRANSLATE(C292,""ja"",""vi"")"),"Đấu giá&gt; thực phẩm, đồ uống&gt; rau, trái cây&gt; quả&gt; nho")</f>
        <v>Đấu giá&gt; thực phẩm, đồ uống&gt; rau, trái cây&gt; quả&gt; nho</v>
      </c>
      <c r="G292" t="str">
        <f t="shared" ca="1" si="4"/>
        <v>"2084064333" : "nho",</v>
      </c>
    </row>
    <row r="293" spans="1:7" ht="15.75" customHeight="1">
      <c r="A293" s="28">
        <v>2084211395</v>
      </c>
      <c r="B293" s="28" t="s">
        <v>19425</v>
      </c>
      <c r="C293" s="28" t="s">
        <v>19427</v>
      </c>
      <c r="D293" s="28" t="s">
        <v>19428</v>
      </c>
      <c r="E293" s="4" t="str">
        <f ca="1">IFERROR(__xludf.DUMMYFUNCTION("GOOGLETRANSLATE(B293,""ja"",""vi"")"),"xoài")</f>
        <v>xoài</v>
      </c>
      <c r="F293" s="4" t="str">
        <f ca="1">IFERROR(__xludf.DUMMYFUNCTION("GOOGLETRANSLATE(C293,""ja"",""vi"")"),"Đấu giá&gt; thực phẩm, đồ uống&gt; rau, trái cây&gt; quả&gt; xoài")</f>
        <v>Đấu giá&gt; thực phẩm, đồ uống&gt; rau, trái cây&gt; quả&gt; xoài</v>
      </c>
      <c r="G293" t="str">
        <f t="shared" ca="1" si="4"/>
        <v>"2084211395" : "xoài",</v>
      </c>
    </row>
    <row r="294" spans="1:7" ht="15.75" customHeight="1">
      <c r="A294" s="28">
        <v>2084064334</v>
      </c>
      <c r="B294" s="28" t="s">
        <v>19429</v>
      </c>
      <c r="C294" s="28" t="s">
        <v>19430</v>
      </c>
      <c r="D294" s="28" t="s">
        <v>19431</v>
      </c>
      <c r="E294" s="4" t="str">
        <f ca="1">IFERROR(__xludf.DUMMYFUNCTION("GOOGLETRANSLATE(B294,""ja"",""vi"")"),"dưa gang")</f>
        <v>dưa gang</v>
      </c>
      <c r="F294" s="4" t="str">
        <f ca="1">IFERROR(__xludf.DUMMYFUNCTION("GOOGLETRANSLATE(C294,""ja"",""vi"")"),"Đấu giá&gt; thực phẩm, đồ uống&gt; rau, trái cây&gt; quả&gt; Melon")</f>
        <v>Đấu giá&gt; thực phẩm, đồ uống&gt; rau, trái cây&gt; quả&gt; Melon</v>
      </c>
      <c r="G294" t="str">
        <f t="shared" ca="1" si="4"/>
        <v>"2084064334" : "dưa gang",</v>
      </c>
    </row>
    <row r="295" spans="1:7" ht="15.75" customHeight="1">
      <c r="A295" s="28">
        <v>2084064335</v>
      </c>
      <c r="B295" s="28" t="s">
        <v>19432</v>
      </c>
      <c r="C295" s="28" t="s">
        <v>19433</v>
      </c>
      <c r="D295" s="28" t="s">
        <v>19434</v>
      </c>
      <c r="E295" s="4" t="str">
        <f ca="1">IFERROR(__xludf.DUMMYFUNCTION("GOOGLETRANSLATE(B295,""ja"",""vi"")"),"đào")</f>
        <v>đào</v>
      </c>
      <c r="F295" s="4" t="str">
        <f ca="1">IFERROR(__xludf.DUMMYFUNCTION("GOOGLETRANSLATE(C295,""ja"",""vi"")"),"Đấu giá&gt; thực phẩm, đồ uống&gt; rau, trái cây&gt; quả&gt; đào")</f>
        <v>Đấu giá&gt; thực phẩm, đồ uống&gt; rau, trái cây&gt; quả&gt; đào</v>
      </c>
      <c r="G295" t="str">
        <f t="shared" ca="1" si="4"/>
        <v>"2084064335" : "đào",</v>
      </c>
    </row>
    <row r="296" spans="1:7" ht="15.75" customHeight="1">
      <c r="A296" s="28">
        <v>2084064337</v>
      </c>
      <c r="B296" s="28" t="s">
        <v>19435</v>
      </c>
      <c r="C296" s="28" t="s">
        <v>19436</v>
      </c>
      <c r="D296" s="28" t="s">
        <v>19437</v>
      </c>
      <c r="E296" s="4" t="str">
        <f ca="1">IFERROR(__xludf.DUMMYFUNCTION("GOOGLETRANSLATE(B296,""ja"",""vi"")"),"táo")</f>
        <v>táo</v>
      </c>
      <c r="F296" s="4" t="str">
        <f ca="1">IFERROR(__xludf.DUMMYFUNCTION("GOOGLETRANSLATE(C296,""ja"",""vi"")"),"Đấu giá&gt; thực phẩm, đồ uống&gt; rau, trái cây&gt; quả&gt; táo")</f>
        <v>Đấu giá&gt; thực phẩm, đồ uống&gt; rau, trái cây&gt; quả&gt; táo</v>
      </c>
      <c r="G296" t="str">
        <f t="shared" ca="1" si="4"/>
        <v>"2084064337" : "táo",</v>
      </c>
    </row>
    <row r="297" spans="1:7" ht="15.75" customHeight="1">
      <c r="A297" s="28">
        <v>2084064338</v>
      </c>
      <c r="B297" s="28" t="s">
        <v>46</v>
      </c>
      <c r="C297" s="28" t="s">
        <v>19438</v>
      </c>
      <c r="D297" s="28" t="s">
        <v>19439</v>
      </c>
      <c r="E297" s="4" t="str">
        <f ca="1">IFERROR(__xludf.DUMMYFUNCTION("GOOGLETRANSLATE(B297,""ja"",""vi"")"),"nếu không thì")</f>
        <v>nếu không thì</v>
      </c>
      <c r="F297" s="4" t="str">
        <f ca="1">IFERROR(__xludf.DUMMYFUNCTION("GOOGLETRANSLATE(C297,""ja"",""vi"")"),"Đấu giá&gt; thực phẩm, đồ uống&gt; rau, trái cây&gt; quả&gt; Khác")</f>
        <v>Đấu giá&gt; thực phẩm, đồ uống&gt; rau, trái cây&gt; quả&gt; Khác</v>
      </c>
      <c r="G297" t="str">
        <f t="shared" ca="1" si="4"/>
        <v>"2084064338" : "nếu không thì",</v>
      </c>
    </row>
    <row r="298" spans="1:7" ht="15.75" customHeight="1">
      <c r="A298" s="28">
        <v>2084227199</v>
      </c>
      <c r="B298" s="28" t="s">
        <v>20392</v>
      </c>
      <c r="C298" s="28" t="s">
        <v>20393</v>
      </c>
      <c r="D298" s="28" t="s">
        <v>20395</v>
      </c>
      <c r="E298" s="4" t="str">
        <f ca="1">IFERROR(__xludf.DUMMYFUNCTION("GOOGLETRANSLATE(B298,""ja"",""vi"")"),"Dorayaki")</f>
        <v>Dorayaki</v>
      </c>
      <c r="F298" s="4" t="str">
        <f ca="1">IFERROR(__xludf.DUMMYFUNCTION("GOOGLETRANSLATE(C298,""ja"",""vi"")"),"Đấu giá&gt; thực phẩm, đồ uống&gt; bánh ngọt, món tráng miệng&gt; kẹo&gt; Dorayaki")</f>
        <v>Đấu giá&gt; thực phẩm, đồ uống&gt; bánh ngọt, món tráng miệng&gt; kẹo&gt; Dorayaki</v>
      </c>
      <c r="G298" t="str">
        <f t="shared" ca="1" si="4"/>
        <v>"2084227199" : "Dorayaki",</v>
      </c>
    </row>
    <row r="299" spans="1:7" ht="15.75" customHeight="1">
      <c r="A299" s="28">
        <v>2084227198</v>
      </c>
      <c r="B299" s="28" t="s">
        <v>20399</v>
      </c>
      <c r="C299" s="28" t="s">
        <v>20400</v>
      </c>
      <c r="D299" s="28" t="s">
        <v>20402</v>
      </c>
      <c r="E299" s="4" t="str">
        <f ca="1">IFERROR(__xludf.DUMMYFUNCTION("GOOGLETRANSLATE(B299,""ja"",""vi"")"),"Manju")</f>
        <v>Manju</v>
      </c>
      <c r="F299" s="4" t="str">
        <f ca="1">IFERROR(__xludf.DUMMYFUNCTION("GOOGLETRANSLATE(C299,""ja"",""vi"")"),"Đấu giá&gt; thực phẩm, đồ uống&gt; bánh ngọt, món tráng miệng&gt; kẹo&gt; bun")</f>
        <v>Đấu giá&gt; thực phẩm, đồ uống&gt; bánh ngọt, món tráng miệng&gt; kẹo&gt; bun</v>
      </c>
      <c r="G299" t="str">
        <f t="shared" ca="1" si="4"/>
        <v>"2084227198" : "Manju",</v>
      </c>
    </row>
    <row r="300" spans="1:7" ht="15.75" customHeight="1">
      <c r="A300" s="28">
        <v>2084227196</v>
      </c>
      <c r="B300" s="28" t="s">
        <v>20405</v>
      </c>
      <c r="C300" s="28" t="s">
        <v>20407</v>
      </c>
      <c r="D300" s="28" t="s">
        <v>20409</v>
      </c>
      <c r="E300" s="4" t="str">
        <f ca="1">IFERROR(__xludf.DUMMYFUNCTION("GOOGLETRANSLATE(B300,""ja"",""vi"")"),"Ngọt Jelly Bean")</f>
        <v>Ngọt Jelly Bean</v>
      </c>
      <c r="F300" s="4" t="str">
        <f ca="1">IFERROR(__xludf.DUMMYFUNCTION("GOOGLETRANSLATE(C300,""ja"",""vi"")"),"Đấu giá&gt; thực phẩm, đồ uống&gt; bánh ngọt, món tráng miệng&gt; kẹo&gt; thạch")</f>
        <v>Đấu giá&gt; thực phẩm, đồ uống&gt; bánh ngọt, món tráng miệng&gt; kẹo&gt; thạch</v>
      </c>
      <c r="G300" t="str">
        <f t="shared" ca="1" si="4"/>
        <v>"2084227196" : "Ngọt Jelly Bean",</v>
      </c>
    </row>
    <row r="301" spans="1:7" ht="15.75" customHeight="1">
      <c r="A301" s="28">
        <v>2084227197</v>
      </c>
      <c r="B301" s="28" t="s">
        <v>20413</v>
      </c>
      <c r="C301" s="28" t="s">
        <v>20414</v>
      </c>
      <c r="D301" s="28" t="s">
        <v>20415</v>
      </c>
      <c r="E301" s="4" t="str">
        <f ca="1">IFERROR(__xludf.DUMMYFUNCTION("GOOGLETRANSLATE(B301,""ja"",""vi"")"),"giữa")</f>
        <v>giữa</v>
      </c>
      <c r="F301" s="4" t="str">
        <f ca="1">IFERROR(__xludf.DUMMYFUNCTION("GOOGLETRANSLATE(C301,""ja"",""vi"")"),"Đấu giá&gt; thực phẩm, đồ uống&gt; bánh ngọt, món tráng miệng&gt; kẹo&gt; giữa")</f>
        <v>Đấu giá&gt; thực phẩm, đồ uống&gt; bánh ngọt, món tráng miệng&gt; kẹo&gt; giữa</v>
      </c>
      <c r="G301" t="str">
        <f t="shared" ca="1" si="4"/>
        <v>"2084227197" : "giữa",</v>
      </c>
    </row>
    <row r="302" spans="1:7" ht="15.75" customHeight="1">
      <c r="A302" s="28">
        <v>2084227200</v>
      </c>
      <c r="B302" s="28" t="s">
        <v>46</v>
      </c>
      <c r="C302" s="28" t="s">
        <v>20419</v>
      </c>
      <c r="D302" s="28" t="s">
        <v>20421</v>
      </c>
      <c r="E302" s="4" t="str">
        <f ca="1">IFERROR(__xludf.DUMMYFUNCTION("GOOGLETRANSLATE(B302,""ja"",""vi"")"),"nếu không thì")</f>
        <v>nếu không thì</v>
      </c>
      <c r="F302" s="4" t="str">
        <f ca="1">IFERROR(__xludf.DUMMYFUNCTION("GOOGLETRANSLATE(C302,""ja"",""vi"")"),"Đấu giá&gt; thực phẩm, đồ uống&gt; bánh ngọt, món tráng miệng&gt; kẹo&gt; Khác")</f>
        <v>Đấu giá&gt; thực phẩm, đồ uống&gt; bánh ngọt, món tráng miệng&gt; kẹo&gt; Khác</v>
      </c>
      <c r="G302" t="str">
        <f t="shared" ca="1" si="4"/>
        <v>"2084227200" : "nếu không thì",</v>
      </c>
    </row>
    <row r="303" spans="1:7" ht="15.75" customHeight="1">
      <c r="A303" s="28">
        <v>2084217623</v>
      </c>
      <c r="B303" s="28" t="s">
        <v>20423</v>
      </c>
      <c r="C303" s="28" t="s">
        <v>20425</v>
      </c>
      <c r="D303" s="28" t="s">
        <v>20428</v>
      </c>
      <c r="E303" s="4" t="str">
        <f ca="1">IFERROR(__xludf.DUMMYFUNCTION("GOOGLETRANSLATE(B303,""ja"",""vi"")"),"gia vị")</f>
        <v>gia vị</v>
      </c>
      <c r="F303" s="4" t="str">
        <f ca="1">IFERROR(__xludf.DUMMYFUNCTION("GOOGLETRANSLATE(C303,""ja"",""vi"")"),"Đấu giá&gt; thực phẩm, đồ uống&gt; nêm, gia vị&gt; gia vị, gia vị&gt; gia vị")</f>
        <v>Đấu giá&gt; thực phẩm, đồ uống&gt; nêm, gia vị&gt; gia vị, gia vị&gt; gia vị</v>
      </c>
      <c r="G303" t="str">
        <f t="shared" ca="1" si="4"/>
        <v>"2084217623" : "gia vị",</v>
      </c>
    </row>
    <row r="304" spans="1:7" ht="15.75" customHeight="1">
      <c r="A304" s="28">
        <v>2084217622</v>
      </c>
      <c r="B304" s="28" t="s">
        <v>13197</v>
      </c>
      <c r="C304" s="28" t="s">
        <v>20430</v>
      </c>
      <c r="D304" s="28" t="s">
        <v>20431</v>
      </c>
      <c r="E304" s="4" t="str">
        <f ca="1">IFERROR(__xludf.DUMMYFUNCTION("GOOGLETRANSLATE(B304,""ja"",""vi"")"),"Herbs")</f>
        <v>Herbs</v>
      </c>
      <c r="F304" s="4" t="str">
        <f ca="1">IFERROR(__xludf.DUMMYFUNCTION("GOOGLETRANSLATE(C304,""ja"",""vi"")"),"Đấu giá&gt; thực phẩm, đồ uống&gt; nêm, gia vị&gt; gia vị, gia vị&gt; Herbs")</f>
        <v>Đấu giá&gt; thực phẩm, đồ uống&gt; nêm, gia vị&gt; gia vị, gia vị&gt; Herbs</v>
      </c>
      <c r="G304" t="str">
        <f t="shared" ca="1" si="4"/>
        <v>"2084217622" : "Herbs",</v>
      </c>
    </row>
    <row r="305" spans="1:7" ht="15.75" customHeight="1">
      <c r="A305" s="28">
        <v>2084217621</v>
      </c>
      <c r="B305" s="28" t="s">
        <v>20436</v>
      </c>
      <c r="C305" s="28" t="s">
        <v>20437</v>
      </c>
      <c r="D305" s="28" t="s">
        <v>20438</v>
      </c>
      <c r="E305" s="4" t="str">
        <f ca="1">IFERROR(__xludf.DUMMYFUNCTION("GOOGLETRANSLATE(B305,""ja"",""vi"")"),"hương liệu")</f>
        <v>hương liệu</v>
      </c>
      <c r="F305" s="4" t="str">
        <f ca="1">IFERROR(__xludf.DUMMYFUNCTION("GOOGLETRANSLATE(C305,""ja"",""vi"")"),"Đấu giá&gt; thực phẩm, đồ uống&gt; nêm, gia vị&gt; gia vị, gia vị&gt; gia vị")</f>
        <v>Đấu giá&gt; thực phẩm, đồ uống&gt; nêm, gia vị&gt; gia vị, gia vị&gt; gia vị</v>
      </c>
      <c r="G305" t="str">
        <f t="shared" ca="1" si="4"/>
        <v>"2084217621" : "hương liệu",</v>
      </c>
    </row>
    <row r="306" spans="1:7" ht="15.75" customHeight="1">
      <c r="A306" s="28">
        <v>2084202519</v>
      </c>
      <c r="B306" s="28" t="s">
        <v>20441</v>
      </c>
      <c r="C306" s="28" t="s">
        <v>20443</v>
      </c>
      <c r="D306" s="28" t="s">
        <v>20445</v>
      </c>
      <c r="E306" s="4" t="str">
        <f ca="1">IFERROR(__xludf.DUMMYFUNCTION("GOOGLETRANSLATE(B306,""ja"",""vi"")"),"đáp lại")</f>
        <v>đáp lại</v>
      </c>
      <c r="F306" s="4" t="str">
        <f ca="1">IFERROR(__xludf.DUMMYFUNCTION("GOOGLETRANSLATE(C306,""ja"",""vi"")"),"Đấu giá&gt; hàng bé&gt; dưỡng, nguồn cung cấp bữa ăn&gt; sữa, thức ăn trẻ em&gt; thức ăn trẻ em&gt; vặn lại")</f>
        <v>Đấu giá&gt; hàng bé&gt; dưỡng, nguồn cung cấp bữa ăn&gt; sữa, thức ăn trẻ em&gt; thức ăn trẻ em&gt; vặn lại</v>
      </c>
      <c r="G306" t="str">
        <f t="shared" ca="1" si="4"/>
        <v>"2084202519" : "đáp lại",</v>
      </c>
    </row>
    <row r="307" spans="1:7" ht="15.75" customHeight="1">
      <c r="A307" s="28">
        <v>2084202984</v>
      </c>
      <c r="B307" s="28" t="s">
        <v>20450</v>
      </c>
      <c r="C307" s="28" t="s">
        <v>20451</v>
      </c>
      <c r="D307" s="28" t="s">
        <v>20452</v>
      </c>
      <c r="E307" s="4" t="str">
        <f ca="1">IFERROR(__xludf.DUMMYFUNCTION("GOOGLETRANSLATE(B307,""ja"",""vi"")"),"chai")</f>
        <v>chai</v>
      </c>
      <c r="F307" s="4" t="str">
        <f ca="1">IFERROR(__xludf.DUMMYFUNCTION("GOOGLETRANSLATE(C307,""ja"",""vi"")"),"Đấu giá&gt; hàng bé&gt; dưỡng, nguồn cung cấp bữa ăn&gt; sữa, thức ăn trẻ em&gt; thức ăn trẻ em&gt; đóng chai")</f>
        <v>Đấu giá&gt; hàng bé&gt; dưỡng, nguồn cung cấp bữa ăn&gt; sữa, thức ăn trẻ em&gt; thức ăn trẻ em&gt; đóng chai</v>
      </c>
      <c r="G307" t="str">
        <f t="shared" ca="1" si="4"/>
        <v>"2084202984" : "chai",</v>
      </c>
    </row>
    <row r="308" spans="1:7" ht="15.75" customHeight="1">
      <c r="A308" s="28">
        <v>2084202985</v>
      </c>
      <c r="B308" s="28" t="s">
        <v>46</v>
      </c>
      <c r="C308" s="28" t="s">
        <v>20457</v>
      </c>
      <c r="D308" s="28" t="s">
        <v>20458</v>
      </c>
      <c r="E308" s="4" t="str">
        <f ca="1">IFERROR(__xludf.DUMMYFUNCTION("GOOGLETRANSLATE(B308,""ja"",""vi"")"),"nếu không thì")</f>
        <v>nếu không thì</v>
      </c>
      <c r="F308" s="4" t="str">
        <f ca="1">IFERROR(__xludf.DUMMYFUNCTION("GOOGLETRANSLATE(C308,""ja"",""vi"")"),"Đấu giá&gt; hàng bé&gt; dưỡng, nguồn cung cấp bữa ăn&gt; sữa, thức ăn trẻ em&gt; thức ăn trẻ em&gt; Khác")</f>
        <v>Đấu giá&gt; hàng bé&gt; dưỡng, nguồn cung cấp bữa ăn&gt; sữa, thức ăn trẻ em&gt; thức ăn trẻ em&gt; Khác</v>
      </c>
      <c r="G308" t="str">
        <f t="shared" ca="1" si="4"/>
        <v>"2084202985" : "nếu không thì",</v>
      </c>
    </row>
    <row r="309" spans="1:7" ht="15.75" customHeight="1">
      <c r="A309" s="28">
        <v>2084202518</v>
      </c>
      <c r="B309" s="28" t="s">
        <v>6161</v>
      </c>
      <c r="C309" s="28" t="s">
        <v>20463</v>
      </c>
      <c r="D309" s="28" t="s">
        <v>20464</v>
      </c>
      <c r="E309" s="4" t="str">
        <f ca="1">IFERROR(__xludf.DUMMYFUNCTION("GOOGLETRANSLATE(B309,""ja"",""vi"")"),"loại Stick")</f>
        <v>loại Stick</v>
      </c>
      <c r="F309" s="4" t="str">
        <f ca="1">IFERROR(__xludf.DUMMYFUNCTION("GOOGLETRANSLATE(C309,""ja"",""vi"")"),"Đấu giá&gt; hàng bé&gt; dưỡng, nguồn cung cấp bữa ăn&gt; sữa, thức ăn trẻ em&gt; sữa&gt; loại gậy")</f>
        <v>Đấu giá&gt; hàng bé&gt; dưỡng, nguồn cung cấp bữa ăn&gt; sữa, thức ăn trẻ em&gt; sữa&gt; loại gậy</v>
      </c>
      <c r="G309" t="str">
        <f t="shared" ca="1" si="4"/>
        <v>"2084202518" : "loại Stick",</v>
      </c>
    </row>
    <row r="310" spans="1:7" ht="15.75" customHeight="1">
      <c r="A310" s="28">
        <v>2084202517</v>
      </c>
      <c r="B310" s="28" t="s">
        <v>20469</v>
      </c>
      <c r="C310" s="28" t="s">
        <v>20471</v>
      </c>
      <c r="D310" s="28" t="s">
        <v>20472</v>
      </c>
      <c r="E310" s="4" t="str">
        <f ca="1">IFERROR(__xludf.DUMMYFUNCTION("GOOGLETRANSLATE(B310,""ja"",""vi"")"),"đóng hộp")</f>
        <v>đóng hộp</v>
      </c>
      <c r="F310" s="4" t="str">
        <f ca="1">IFERROR(__xludf.DUMMYFUNCTION("GOOGLETRANSLATE(C310,""ja"",""vi"")"),"Đấu giá&gt; hàng bé&gt; dưỡng, nguồn cung cấp bữa ăn&gt; sữa, thức ăn trẻ em&gt; sữa&gt; đóng hộp")</f>
        <v>Đấu giá&gt; hàng bé&gt; dưỡng, nguồn cung cấp bữa ăn&gt; sữa, thức ăn trẻ em&gt; sữa&gt; đóng hộp</v>
      </c>
      <c r="G310" t="str">
        <f t="shared" ca="1" si="4"/>
        <v>"2084202517" : "đóng hộp",</v>
      </c>
    </row>
    <row r="311" spans="1:7" ht="15.75" customHeight="1">
      <c r="A311" s="28">
        <v>2084202520</v>
      </c>
      <c r="B311" s="28" t="s">
        <v>46</v>
      </c>
      <c r="C311" s="28" t="s">
        <v>20477</v>
      </c>
      <c r="D311" s="28" t="s">
        <v>20478</v>
      </c>
      <c r="E311" s="4" t="str">
        <f ca="1">IFERROR(__xludf.DUMMYFUNCTION("GOOGLETRANSLATE(B311,""ja"",""vi"")"),"nếu không thì")</f>
        <v>nếu không thì</v>
      </c>
      <c r="F311" s="4" t="str">
        <f ca="1">IFERROR(__xludf.DUMMYFUNCTION("GOOGLETRANSLATE(C311,""ja"",""vi"")"),"Đấu giá&gt; hàng bé&gt; dưỡng, nguồn cung cấp bữa ăn&gt; sữa, thức ăn trẻ em&gt; sữa&gt; Khác")</f>
        <v>Đấu giá&gt; hàng bé&gt; dưỡng, nguồn cung cấp bữa ăn&gt; sữa, thức ăn trẻ em&gt; sữa&gt; Khác</v>
      </c>
      <c r="G311" t="str">
        <f t="shared" ca="1" si="4"/>
        <v>"2084202520" : "nếu không thì",</v>
      </c>
    </row>
    <row r="312" spans="1:7" ht="15.75" customHeight="1"/>
    <row r="313" spans="1:7" ht="15.75" customHeight="1"/>
    <row r="314" spans="1:7" ht="15.75" customHeight="1"/>
    <row r="315" spans="1:7" ht="15.75" customHeight="1"/>
    <row r="316" spans="1:7" ht="15.75" customHeight="1"/>
    <row r="317" spans="1:7" ht="15.75" customHeight="1"/>
    <row r="318" spans="1:7" ht="15.75" customHeight="1"/>
    <row r="319" spans="1:7" ht="15.75" customHeight="1"/>
    <row r="320" spans="1:7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</sheetData>
  <pageMargins left="0.7" right="0.7" top="0.75" bottom="0.75" header="0" footer="0"/>
  <pageSetup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8"/>
  <sheetViews>
    <sheetView workbookViewId="0">
      <pane ySplit="1" topLeftCell="A656" activePane="bottomLeft" state="frozen"/>
      <selection pane="bottomLeft" activeCell="G668" sqref="G668"/>
    </sheetView>
  </sheetViews>
  <sheetFormatPr defaultColWidth="12.59765625" defaultRowHeight="15" customHeight="1"/>
  <cols>
    <col min="1" max="1" width="7.09765625" customWidth="1"/>
    <col min="2" max="2" width="11.19921875" customWidth="1"/>
    <col min="3" max="3" width="23.5" customWidth="1"/>
    <col min="4" max="4" width="19.19921875" customWidth="1"/>
    <col min="5" max="5" width="7.59765625" customWidth="1"/>
    <col min="6" max="6" width="68.59765625" customWidth="1"/>
    <col min="7" max="26" width="7.59765625" customWidth="1"/>
  </cols>
  <sheetData>
    <row r="1" spans="1:7" ht="13.8">
      <c r="A1" s="1" t="s">
        <v>0</v>
      </c>
      <c r="B1" s="1" t="s">
        <v>1</v>
      </c>
      <c r="C1" s="1" t="s">
        <v>2</v>
      </c>
      <c r="D1" s="1" t="s">
        <v>3</v>
      </c>
    </row>
    <row r="2" spans="1:7" ht="41.4">
      <c r="A2" s="28">
        <v>2084060453</v>
      </c>
      <c r="B2" s="28" t="s">
        <v>20166</v>
      </c>
      <c r="C2" s="28" t="s">
        <v>20168</v>
      </c>
      <c r="D2" s="28" t="s">
        <v>20170</v>
      </c>
      <c r="E2" s="4" t="str">
        <f ca="1">IFERROR(__xludf.DUMMYFUNCTION("GOOGLETRANSLATE(B2,""ja"",""vi"")"),"RMK")</f>
        <v>RMK</v>
      </c>
      <c r="F2" s="4" t="str">
        <f ca="1">IFERROR(__xludf.DUMMYFUNCTION("GOOGLETRANSLATE(C2,""ja"",""vi"")"),"Đấu giá&gt; làm đẹp, chăm sóc sức khỏe&gt; ​​mỹ phẩm, chăm sóc da&gt; By Nhãn hiệu&gt; RMK")</f>
        <v>Đấu giá&gt; làm đẹp, chăm sóc sức khỏe&gt; ​​mỹ phẩm, chăm sóc da&gt; By Nhãn hiệu&gt; RMK</v>
      </c>
      <c r="G2" t="str">
        <f t="shared" ref="G2:G65" ca="1" si="0">CONCATENATE(CHAR(34)&amp;"",A2,""&amp;CHAR(34)," : ", CHAR(34)&amp;"",E2,""&amp;CHAR(34),",")</f>
        <v>"2084060453" : "RMK",</v>
      </c>
    </row>
    <row r="3" spans="1:7" ht="41.4">
      <c r="A3" s="28">
        <v>2084310835</v>
      </c>
      <c r="B3" s="28" t="s">
        <v>20176</v>
      </c>
      <c r="C3" s="28" t="s">
        <v>20179</v>
      </c>
      <c r="D3" s="28" t="s">
        <v>20181</v>
      </c>
      <c r="E3" s="4" t="str">
        <f ca="1">IFERROR(__xludf.DUMMYFUNCTION("GOOGLETRANSLATE(B3,""ja"",""vi"")"),"SK-II")</f>
        <v>SK-II</v>
      </c>
      <c r="F3" s="4" t="str">
        <f ca="1">IFERROR(__xludf.DUMMYFUNCTION("GOOGLETRANSLATE(C3,""ja"",""vi"")"),"Đấu giá&gt; làm đẹp, chăm sóc sức khỏe&gt; ​​mỹ phẩm, chăm sóc da&gt; By Nhãn hiệu&gt; SK-II")</f>
        <v>Đấu giá&gt; làm đẹp, chăm sóc sức khỏe&gt; ​​mỹ phẩm, chăm sóc da&gt; By Nhãn hiệu&gt; SK-II</v>
      </c>
      <c r="G3" t="str">
        <f t="shared" ca="1" si="0"/>
        <v>"2084310835" : "SK-II",</v>
      </c>
    </row>
    <row r="4" spans="1:7" ht="41.4">
      <c r="A4" s="28">
        <v>2084060439</v>
      </c>
      <c r="B4" s="28" t="s">
        <v>20184</v>
      </c>
      <c r="C4" s="28" t="s">
        <v>20186</v>
      </c>
      <c r="D4" s="28" t="s">
        <v>20188</v>
      </c>
      <c r="E4" s="4" t="str">
        <f ca="1">IFERROR(__xludf.DUMMYFUNCTION("GOOGLETRANSLATE(B4,""ja"",""vi"")"),"Azare")</f>
        <v>Azare</v>
      </c>
      <c r="F4" s="4" t="str">
        <f ca="1">IFERROR(__xludf.DUMMYFUNCTION("GOOGLETRANSLATE(C4,""ja"",""vi"")"),"Đấu giá&gt; làm đẹp, chăm sóc sức khỏe&gt; ​​mỹ phẩm, chăm sóc da&gt; bởi thương hiệu&gt; Azare")</f>
        <v>Đấu giá&gt; làm đẹp, chăm sóc sức khỏe&gt; ​​mỹ phẩm, chăm sóc da&gt; bởi thương hiệu&gt; Azare</v>
      </c>
      <c r="G4" t="str">
        <f t="shared" ca="1" si="0"/>
        <v>"2084060439" : "Azare",</v>
      </c>
    </row>
    <row r="5" spans="1:7" ht="41.4">
      <c r="A5" s="28">
        <v>2084228384</v>
      </c>
      <c r="B5" s="28" t="s">
        <v>20191</v>
      </c>
      <c r="C5" s="28" t="s">
        <v>20193</v>
      </c>
      <c r="D5" s="28" t="s">
        <v>20195</v>
      </c>
      <c r="E5" s="4" t="str">
        <f ca="1">IFERROR(__xludf.DUMMYFUNCTION("GOOGLETRANSLATE(B5,""ja"",""vi"")"),"Asuka")</f>
        <v>Asuka</v>
      </c>
      <c r="F5" s="4" t="str">
        <f ca="1">IFERROR(__xludf.DUMMYFUNCTION("GOOGLETRANSLATE(C5,""ja"",""vi"")"),"Đấu giá&gt; làm đẹp, chăm sóc sức khỏe&gt; ​​mỹ phẩm, chăm sóc da&gt; By Nhãn hiệu&gt; Asuka")</f>
        <v>Đấu giá&gt; làm đẹp, chăm sóc sức khỏe&gt; ​​mỹ phẩm, chăm sóc da&gt; By Nhãn hiệu&gt; Asuka</v>
      </c>
      <c r="G5" t="str">
        <f t="shared" ca="1" si="0"/>
        <v>"2084228384" : "Asuka",</v>
      </c>
    </row>
    <row r="6" spans="1:7" ht="41.4">
      <c r="A6" s="28">
        <v>2084310852</v>
      </c>
      <c r="B6" s="28" t="s">
        <v>20200</v>
      </c>
      <c r="C6" s="28" t="s">
        <v>20201</v>
      </c>
      <c r="D6" s="28" t="s">
        <v>20202</v>
      </c>
      <c r="E6" s="4" t="str">
        <f ca="1">IFERROR(__xludf.DUMMYFUNCTION("GOOGLETRANSLATE(B6,""ja"",""vi"")"),"ASTALIFT")</f>
        <v>ASTALIFT</v>
      </c>
      <c r="F6" s="4" t="str">
        <f ca="1">IFERROR(__xludf.DUMMYFUNCTION("GOOGLETRANSLATE(C6,""ja"",""vi"")"),"Đấu giá&gt; làm đẹp, chăm sóc sức khỏe&gt; ​​mỹ phẩm, chăm sóc da&gt; By Nhãn hiệu&gt; ASTALIFT")</f>
        <v>Đấu giá&gt; làm đẹp, chăm sóc sức khỏe&gt; ​​mỹ phẩm, chăm sóc da&gt; By Nhãn hiệu&gt; ASTALIFT</v>
      </c>
      <c r="G6" t="str">
        <f t="shared" ca="1" si="0"/>
        <v>"2084310852" : "ASTALIFT",</v>
      </c>
    </row>
    <row r="7" spans="1:7" ht="41.4">
      <c r="A7" s="28">
        <v>2084220386</v>
      </c>
      <c r="B7" s="28" t="s">
        <v>20208</v>
      </c>
      <c r="C7" s="28" t="s">
        <v>20210</v>
      </c>
      <c r="D7" s="28" t="s">
        <v>20212</v>
      </c>
      <c r="E7" s="4" t="str">
        <f ca="1">IFERROR(__xludf.DUMMYFUNCTION("GOOGLETRANSLATE(B7,""ja"",""vi"")"),"ATTENIR")</f>
        <v>ATTENIR</v>
      </c>
      <c r="F7" s="4" t="str">
        <f ca="1">IFERROR(__xludf.DUMMYFUNCTION("GOOGLETRANSLATE(C7,""ja"",""vi"")"),"Đấu giá&gt; làm đẹp, chăm sóc sức khỏe&gt; ​​mỹ phẩm, chăm sóc da&gt; By Nhãn hiệu&gt; ATTENIR")</f>
        <v>Đấu giá&gt; làm đẹp, chăm sóc sức khỏe&gt; ​​mỹ phẩm, chăm sóc da&gt; By Nhãn hiệu&gt; ATTENIR</v>
      </c>
      <c r="G7" t="str">
        <f t="shared" ca="1" si="0"/>
        <v>"2084220386" : "ATTENIR",</v>
      </c>
    </row>
    <row r="8" spans="1:7" ht="41.4">
      <c r="A8" s="28">
        <v>2084059214</v>
      </c>
      <c r="B8" s="28" t="s">
        <v>8795</v>
      </c>
      <c r="C8" s="28" t="s">
        <v>20219</v>
      </c>
      <c r="D8" s="28" t="s">
        <v>20220</v>
      </c>
      <c r="E8" s="4" t="str">
        <f ca="1">IFERROR(__xludf.DUMMYFUNCTION("GOOGLETRANSLATE(B8,""ja"",""vi"")"),"Anna Sui")</f>
        <v>Anna Sui</v>
      </c>
      <c r="F8" s="4" t="str">
        <f ca="1">IFERROR(__xludf.DUMMYFUNCTION("GOOGLETRANSLATE(C8,""ja"",""vi"")"),"Đấu giá&gt; làm đẹp, chăm sóc sức khỏe&gt; ​​mỹ phẩm, chăm sóc da&gt; bởi thương hiệu&gt; Anna Sui")</f>
        <v>Đấu giá&gt; làm đẹp, chăm sóc sức khỏe&gt; ​​mỹ phẩm, chăm sóc da&gt; bởi thương hiệu&gt; Anna Sui</v>
      </c>
      <c r="G8" t="str">
        <f t="shared" ca="1" si="0"/>
        <v>"2084059214" : "Anna Sui",</v>
      </c>
    </row>
    <row r="9" spans="1:7" ht="41.4">
      <c r="A9" s="28">
        <v>2084060358</v>
      </c>
      <c r="B9" s="28" t="s">
        <v>8809</v>
      </c>
      <c r="C9" s="28" t="s">
        <v>20225</v>
      </c>
      <c r="D9" s="28" t="s">
        <v>20226</v>
      </c>
      <c r="E9" s="4" t="str">
        <f ca="1">IFERROR(__xludf.DUMMYFUNCTION("GOOGLETRANSLATE(B9,""ja"",""vi"")"),"Aniesube")</f>
        <v>Aniesube</v>
      </c>
      <c r="F9" s="4" t="str">
        <f ca="1">IFERROR(__xludf.DUMMYFUNCTION("GOOGLETRANSLATE(C9,""ja"",""vi"")"),"Đấu giá&gt; làm đẹp, chăm sóc sức khỏe&gt; ​​mỹ phẩm, chăm sóc da&gt; By Nhãn hiệu&gt; Aniesube")</f>
        <v>Đấu giá&gt; làm đẹp, chăm sóc sức khỏe&gt; ​​mỹ phẩm, chăm sóc da&gt; By Nhãn hiệu&gt; Aniesube</v>
      </c>
      <c r="G9" t="str">
        <f t="shared" ca="1" si="0"/>
        <v>"2084060358" : "Aniesube",</v>
      </c>
    </row>
    <row r="10" spans="1:7" ht="41.4">
      <c r="A10" s="28">
        <v>2084220368</v>
      </c>
      <c r="B10" s="28" t="s">
        <v>20230</v>
      </c>
      <c r="C10" s="28" t="s">
        <v>20231</v>
      </c>
      <c r="D10" s="28" t="s">
        <v>20232</v>
      </c>
      <c r="E10" s="4" t="str">
        <f ca="1">IFERROR(__xludf.DUMMYFUNCTION("GOOGLETRANSLATE(B10,""ja"",""vi"")"),"Amway")</f>
        <v>Amway</v>
      </c>
      <c r="F10" s="4" t="str">
        <f ca="1">IFERROR(__xludf.DUMMYFUNCTION("GOOGLETRANSLATE(C10,""ja"",""vi"")"),"Đấu giá&gt; làm đẹp, chăm sóc sức khỏe&gt; ​​mỹ phẩm, chăm sóc da&gt; By Nhãn hiệu&gt; Amway")</f>
        <v>Đấu giá&gt; làm đẹp, chăm sóc sức khỏe&gt; ​​mỹ phẩm, chăm sóc da&gt; By Nhãn hiệu&gt; Amway</v>
      </c>
      <c r="G10" t="str">
        <f t="shared" ca="1" si="0"/>
        <v>"2084220368" : "Amway",</v>
      </c>
    </row>
    <row r="11" spans="1:7" ht="41.4">
      <c r="A11" s="28">
        <v>2084059217</v>
      </c>
      <c r="B11" s="28" t="s">
        <v>20236</v>
      </c>
      <c r="C11" s="28" t="s">
        <v>20238</v>
      </c>
      <c r="D11" s="28" t="s">
        <v>20240</v>
      </c>
      <c r="E11" s="4" t="str">
        <f ca="1">IFERROR(__xludf.DUMMYFUNCTION("GOOGLETRANSLATE(B11,""ja"",""vi"")"),"Ayura")</f>
        <v>Ayura</v>
      </c>
      <c r="F11" s="4" t="str">
        <f ca="1">IFERROR(__xludf.DUMMYFUNCTION("GOOGLETRANSLATE(C11,""ja"",""vi"")"),"Đấu giá&gt; làm đẹp, chăm sóc sức khỏe&gt; ​​mỹ phẩm, chăm sóc da&gt; By Nhãn hiệu&gt; Ayura")</f>
        <v>Đấu giá&gt; làm đẹp, chăm sóc sức khỏe&gt; ​​mỹ phẩm, chăm sóc da&gt; By Nhãn hiệu&gt; Ayura</v>
      </c>
      <c r="G11" t="str">
        <f t="shared" ca="1" si="0"/>
        <v>"2084059217" : "Ayura",</v>
      </c>
    </row>
    <row r="12" spans="1:7" ht="41.4">
      <c r="A12" s="28">
        <v>2084060365</v>
      </c>
      <c r="B12" s="28" t="s">
        <v>20245</v>
      </c>
      <c r="C12" s="28" t="s">
        <v>20246</v>
      </c>
      <c r="D12" s="28" t="s">
        <v>20247</v>
      </c>
      <c r="E12" s="4" t="str">
        <f ca="1">IFERROR(__xludf.DUMMYFUNCTION("GOOGLETRANSLATE(B12,""ja"",""vi"")"),"Arusoa")</f>
        <v>Arusoa</v>
      </c>
      <c r="F12" s="4" t="str">
        <f ca="1">IFERROR(__xludf.DUMMYFUNCTION("GOOGLETRANSLATE(C12,""ja"",""vi"")"),"Đấu giá&gt; làm đẹp, chăm sóc sức khỏe&gt; ​​mỹ phẩm, chăm sóc da&gt; By Nhãn hiệu&gt; Arusoa")</f>
        <v>Đấu giá&gt; làm đẹp, chăm sóc sức khỏe&gt; ​​mỹ phẩm, chăm sóc da&gt; By Nhãn hiệu&gt; Arusoa</v>
      </c>
      <c r="G12" t="str">
        <f t="shared" ca="1" si="0"/>
        <v>"2084060365" : "Arusoa",</v>
      </c>
    </row>
    <row r="13" spans="1:7" ht="41.4">
      <c r="A13" s="28">
        <v>2084059220</v>
      </c>
      <c r="B13" s="28" t="s">
        <v>20252</v>
      </c>
      <c r="C13" s="28" t="s">
        <v>20253</v>
      </c>
      <c r="D13" s="28" t="s">
        <v>20254</v>
      </c>
      <c r="E13" s="4" t="str">
        <f ca="1">IFERROR(__xludf.DUMMYFUNCTION("GOOGLETRANSLATE(B13,""ja"",""vi"")"),"Albion")</f>
        <v>Albion</v>
      </c>
      <c r="F13" s="4" t="str">
        <f ca="1">IFERROR(__xludf.DUMMYFUNCTION("GOOGLETRANSLATE(C13,""ja"",""vi"")"),"Đấu giá&gt; làm đẹp, chăm sóc sức khỏe&gt; ​​mỹ phẩm, chăm sóc da&gt; By Nhãn hiệu&gt; Albion")</f>
        <v>Đấu giá&gt; làm đẹp, chăm sóc sức khỏe&gt; ​​mỹ phẩm, chăm sóc da&gt; By Nhãn hiệu&gt; Albion</v>
      </c>
      <c r="G13" t="str">
        <f t="shared" ca="1" si="0"/>
        <v>"2084059220" : "Albion",</v>
      </c>
    </row>
    <row r="14" spans="1:7" ht="41.4">
      <c r="A14" s="28">
        <v>2084059226</v>
      </c>
      <c r="B14" s="28" t="s">
        <v>20257</v>
      </c>
      <c r="C14" s="28" t="s">
        <v>20258</v>
      </c>
      <c r="D14" s="28" t="s">
        <v>20260</v>
      </c>
      <c r="E14" s="4" t="str">
        <f ca="1">IFERROR(__xludf.DUMMYFUNCTION("GOOGLETRANSLATE(B14,""ja"",""vi"")"),"IPSA")</f>
        <v>IPSA</v>
      </c>
      <c r="F14" s="4" t="str">
        <f ca="1">IFERROR(__xludf.DUMMYFUNCTION("GOOGLETRANSLATE(C14,""ja"",""vi"")"),"Đấu giá&gt; làm đẹp, chăm sóc sức khỏe&gt; ​​mỹ phẩm, chăm sóc da&gt; By Nhãn hiệu&gt; IPSA")</f>
        <v>Đấu giá&gt; làm đẹp, chăm sóc sức khỏe&gt; ​​mỹ phẩm, chăm sóc da&gt; By Nhãn hiệu&gt; IPSA</v>
      </c>
      <c r="G14" t="str">
        <f t="shared" ca="1" si="0"/>
        <v>"2084059226" : "IPSA",</v>
      </c>
    </row>
    <row r="15" spans="1:7" ht="51.6">
      <c r="A15" s="28">
        <v>2084059223</v>
      </c>
      <c r="B15" s="28" t="s">
        <v>9050</v>
      </c>
      <c r="C15" s="28" t="s">
        <v>20263</v>
      </c>
      <c r="D15" s="28" t="s">
        <v>20265</v>
      </c>
      <c r="E15" s="4" t="str">
        <f ca="1">IFERROR(__xludf.DUMMYFUNCTION("GOOGLETRANSLATE(B15,""ja"",""vi"")"),"Yves Saint Laurent")</f>
        <v>Yves Saint Laurent</v>
      </c>
      <c r="F15" s="4" t="str">
        <f ca="1">IFERROR(__xludf.DUMMYFUNCTION("GOOGLETRANSLATE(C15,""ja"",""vi"")"),"Đấu giá&gt; làm đẹp, chăm sóc sức khỏe&gt; ​​mỹ phẩm, chăm sóc da&gt; bởi thương hiệu&gt; Yves Saint Laurent")</f>
        <v>Đấu giá&gt; làm đẹp, chăm sóc sức khỏe&gt; ​​mỹ phẩm, chăm sóc da&gt; bởi thương hiệu&gt; Yves Saint Laurent</v>
      </c>
      <c r="G15" t="str">
        <f t="shared" ca="1" si="0"/>
        <v>"2084059223" : "Yves Saint Laurent",</v>
      </c>
    </row>
    <row r="16" spans="1:7" ht="41.4">
      <c r="A16" s="28">
        <v>2084060368</v>
      </c>
      <c r="B16" s="28" t="s">
        <v>20266</v>
      </c>
      <c r="C16" s="28" t="s">
        <v>20268</v>
      </c>
      <c r="D16" s="28" t="s">
        <v>20269</v>
      </c>
      <c r="E16" s="4" t="str">
        <f ca="1">IFERROR(__xludf.DUMMYFUNCTION("GOOGLETRANSLATE(B16,""ja"",""vi"")"),"Avon")</f>
        <v>Avon</v>
      </c>
      <c r="F16" s="4" t="str">
        <f ca="1">IFERROR(__xludf.DUMMYFUNCTION("GOOGLETRANSLATE(C16,""ja"",""vi"")"),"Đấu giá&gt; làm đẹp, chăm sóc sức khỏe&gt; ​​mỹ phẩm, chăm sóc da&gt; By Nhãn hiệu&gt; Avon")</f>
        <v>Đấu giá&gt; làm đẹp, chăm sóc sức khỏe&gt; ​​mỹ phẩm, chăm sóc da&gt; By Nhãn hiệu&gt; Avon</v>
      </c>
      <c r="G16" t="str">
        <f t="shared" ca="1" si="0"/>
        <v>"2084060368" : "Avon",</v>
      </c>
    </row>
    <row r="17" spans="1:7" ht="41.4">
      <c r="A17" s="28">
        <v>2084060363</v>
      </c>
      <c r="B17" s="28" t="s">
        <v>20271</v>
      </c>
      <c r="C17" s="28" t="s">
        <v>20272</v>
      </c>
      <c r="D17" s="28" t="s">
        <v>20273</v>
      </c>
      <c r="E17" s="4" t="str">
        <f ca="1">IFERROR(__xludf.DUMMYFUNCTION("GOOGLETRANSLATE(B17,""ja"",""vi"")"),"Ekusubote")</f>
        <v>Ekusubote</v>
      </c>
      <c r="F17" s="4" t="str">
        <f ca="1">IFERROR(__xludf.DUMMYFUNCTION("GOOGLETRANSLATE(C17,""ja"",""vi"")"),"Đấu giá&gt; làm đẹp, chăm sóc sức khỏe&gt; ​​mỹ phẩm, chăm sóc da&gt; By Nhãn hiệu&gt; Ekusubote")</f>
        <v>Đấu giá&gt; làm đẹp, chăm sóc sức khỏe&gt; ​​mỹ phẩm, chăm sóc da&gt; By Nhãn hiệu&gt; Ekusubote</v>
      </c>
      <c r="G17" t="str">
        <f t="shared" ca="1" si="0"/>
        <v>"2084060363" : "Ekusubote",</v>
      </c>
    </row>
    <row r="18" spans="1:7" ht="41.4">
      <c r="A18" s="28">
        <v>2084059229</v>
      </c>
      <c r="B18" s="28" t="s">
        <v>19664</v>
      </c>
      <c r="C18" s="28" t="s">
        <v>20277</v>
      </c>
      <c r="D18" s="28" t="s">
        <v>20279</v>
      </c>
      <c r="E18" s="4" t="str">
        <f ca="1">IFERROR(__xludf.DUMMYFUNCTION("GOOGLETRANSLATE(B18,""ja"",""vi"")"),"Estee Lauder")</f>
        <v>Estee Lauder</v>
      </c>
      <c r="F18" s="4" t="str">
        <f ca="1">IFERROR(__xludf.DUMMYFUNCTION("GOOGLETRANSLATE(C18,""ja"",""vi"")"),"Đấu giá&gt; làm đẹp, chăm sóc sức khỏe&gt; ​​mỹ phẩm, chăm sóc da&gt; bởi thương hiệu&gt; Estee Lauder")</f>
        <v>Đấu giá&gt; làm đẹp, chăm sóc sức khỏe&gt; ​​mỹ phẩm, chăm sóc da&gt; bởi thương hiệu&gt; Estee Lauder</v>
      </c>
      <c r="G18" t="str">
        <f t="shared" ca="1" si="0"/>
        <v>"2084059229" : "Estee Lauder",</v>
      </c>
    </row>
    <row r="19" spans="1:7" ht="41.4">
      <c r="A19" s="28">
        <v>2084310853</v>
      </c>
      <c r="B19" s="28" t="s">
        <v>20280</v>
      </c>
      <c r="C19" s="28" t="s">
        <v>20281</v>
      </c>
      <c r="D19" s="28" t="s">
        <v>20283</v>
      </c>
      <c r="E19" s="4" t="str">
        <f ca="1">IFERROR(__xludf.DUMMYFUNCTION("GOOGLETRANSLATE(B19,""ja"",""vi"")"),"Etude House")</f>
        <v>Etude House</v>
      </c>
      <c r="F19" s="4" t="str">
        <f ca="1">IFERROR(__xludf.DUMMYFUNCTION("GOOGLETRANSLATE(C19,""ja"",""vi"")"),"Đấu giá&gt; làm đẹp, chăm sóc sức khỏe&gt; ​​mỹ phẩm, chăm sóc da&gt; By Nhãn hiệu&gt; Etude House")</f>
        <v>Đấu giá&gt; làm đẹp, chăm sóc sức khỏe&gt; ​​mỹ phẩm, chăm sóc da&gt; By Nhãn hiệu&gt; Etude House</v>
      </c>
      <c r="G19" t="str">
        <f t="shared" ca="1" si="0"/>
        <v>"2084310853" : "Etude House",</v>
      </c>
    </row>
    <row r="20" spans="1:7" ht="15.75" customHeight="1">
      <c r="A20" s="28">
        <v>2084220361</v>
      </c>
      <c r="B20" s="28" t="s">
        <v>20285</v>
      </c>
      <c r="C20" s="28" t="s">
        <v>20286</v>
      </c>
      <c r="D20" s="28" t="s">
        <v>20288</v>
      </c>
      <c r="E20" s="4" t="str">
        <f ca="1">IFERROR(__xludf.DUMMYFUNCTION("GOOGLETRANSLATE(B20,""ja"",""vi"")"),"Eteyuse")</f>
        <v>Eteyuse</v>
      </c>
      <c r="F20" s="4" t="str">
        <f ca="1">IFERROR(__xludf.DUMMYFUNCTION("GOOGLETRANSLATE(C20,""ja"",""vi"")"),"Đấu giá&gt; làm đẹp, chăm sóc sức khỏe&gt; ​​mỹ phẩm, chăm sóc da&gt; By Nhãn hiệu&gt; Eteyuse")</f>
        <v>Đấu giá&gt; làm đẹp, chăm sóc sức khỏe&gt; ​​mỹ phẩm, chăm sóc da&gt; By Nhãn hiệu&gt; Eteyuse</v>
      </c>
      <c r="G20" t="str">
        <f t="shared" ca="1" si="0"/>
        <v>"2084220361" : "Eteyuse",</v>
      </c>
    </row>
    <row r="21" spans="1:7" ht="15.75" customHeight="1">
      <c r="A21" s="28">
        <v>2084228404</v>
      </c>
      <c r="B21" s="28" t="s">
        <v>20290</v>
      </c>
      <c r="C21" s="28" t="s">
        <v>20291</v>
      </c>
      <c r="D21" s="28" t="s">
        <v>20293</v>
      </c>
      <c r="E21" s="4" t="str">
        <f ca="1">IFERROR(__xludf.DUMMYFUNCTION("GOOGLETRANSLATE(B21,""ja"",""vi"")"),"Ebameru")</f>
        <v>Ebameru</v>
      </c>
      <c r="F21" s="4" t="str">
        <f ca="1">IFERROR(__xludf.DUMMYFUNCTION("GOOGLETRANSLATE(C21,""ja"",""vi"")"),"Đấu giá&gt; làm đẹp, chăm sóc sức khỏe&gt; ​​mỹ phẩm, chăm sóc da&gt; By Nhãn hiệu&gt; Ebameru")</f>
        <v>Đấu giá&gt; làm đẹp, chăm sóc sức khỏe&gt; ​​mỹ phẩm, chăm sóc da&gt; By Nhãn hiệu&gt; Ebameru</v>
      </c>
      <c r="G21" t="str">
        <f t="shared" ca="1" si="0"/>
        <v>"2084228404" : "Ebameru",</v>
      </c>
    </row>
    <row r="22" spans="1:7" ht="15.75" customHeight="1">
      <c r="A22" s="28">
        <v>2084059232</v>
      </c>
      <c r="B22" s="28" t="s">
        <v>19670</v>
      </c>
      <c r="C22" s="28" t="s">
        <v>20298</v>
      </c>
      <c r="D22" s="28" t="s">
        <v>20299</v>
      </c>
      <c r="E22" s="4" t="str">
        <f ca="1">IFERROR(__xludf.DUMMYFUNCTION("GOOGLETRANSLATE(B22,""ja"",""vi"")"),"Elizabeth Arden")</f>
        <v>Elizabeth Arden</v>
      </c>
      <c r="F22" s="4" t="str">
        <f ca="1">IFERROR(__xludf.DUMMYFUNCTION("GOOGLETRANSLATE(C22,""ja"",""vi"")"),"Đấu giá&gt; làm đẹp, chăm sóc sức khỏe&gt; ​​mỹ phẩm, chăm sóc da&gt; Nhãn hiệu&gt; Elizabeth Arden")</f>
        <v>Đấu giá&gt; làm đẹp, chăm sóc sức khỏe&gt; ​​mỹ phẩm, chăm sóc da&gt; Nhãn hiệu&gt; Elizabeth Arden</v>
      </c>
      <c r="G22" t="str">
        <f t="shared" ca="1" si="0"/>
        <v>"2084059232" : "Elizabeth Arden",</v>
      </c>
    </row>
    <row r="23" spans="1:7" ht="15.75" customHeight="1">
      <c r="A23" s="28">
        <v>2084227029</v>
      </c>
      <c r="B23" s="28" t="s">
        <v>20301</v>
      </c>
      <c r="C23" s="28" t="s">
        <v>20302</v>
      </c>
      <c r="D23" s="28" t="s">
        <v>20303</v>
      </c>
      <c r="E23" s="4" t="str">
        <f ca="1">IFERROR(__xludf.DUMMYFUNCTION("GOOGLETRANSLATE(B23,""ja"",""vi"")"),"Nguồn gốc")</f>
        <v>Nguồn gốc</v>
      </c>
      <c r="F23" s="4" t="str">
        <f ca="1">IFERROR(__xludf.DUMMYFUNCTION("GOOGLETRANSLATE(C23,""ja"",""vi"")"),"Đấu giá&gt; làm đẹp, chăm sóc sức khỏe&gt; ​​mỹ phẩm, chăm sóc da&gt; By Nhãn hiệu&gt; Nguồn gốc")</f>
        <v>Đấu giá&gt; làm đẹp, chăm sóc sức khỏe&gt; ​​mỹ phẩm, chăm sóc da&gt; By Nhãn hiệu&gt; Nguồn gốc</v>
      </c>
      <c r="G23" t="str">
        <f t="shared" ca="1" si="0"/>
        <v>"2084227029" : "Nguồn gốc",</v>
      </c>
    </row>
    <row r="24" spans="1:7" ht="15.75" customHeight="1">
      <c r="A24" s="28">
        <v>2084220365</v>
      </c>
      <c r="B24" s="28" t="s">
        <v>20307</v>
      </c>
      <c r="C24" s="28" t="s">
        <v>20308</v>
      </c>
      <c r="D24" s="28" t="s">
        <v>20309</v>
      </c>
      <c r="E24" s="4" t="str">
        <f ca="1">IFERROR(__xludf.DUMMYFUNCTION("GOOGLETRANSLATE(B24,""ja"",""vi"")"),"Orbis")</f>
        <v>Orbis</v>
      </c>
      <c r="F24" s="4" t="str">
        <f ca="1">IFERROR(__xludf.DUMMYFUNCTION("GOOGLETRANSLATE(C24,""ja"",""vi"")"),"Đấu giá&gt; làm đẹp, chăm sóc sức khỏe&gt; ​​mỹ phẩm, chăm sóc da&gt; By Nhãn hiệu&gt; Orbis")</f>
        <v>Đấu giá&gt; làm đẹp, chăm sóc sức khỏe&gt; ​​mỹ phẩm, chăm sóc da&gt; By Nhãn hiệu&gt; Orbis</v>
      </c>
      <c r="G24" t="str">
        <f t="shared" ca="1" si="0"/>
        <v>"2084220365" : "Orbis",</v>
      </c>
    </row>
    <row r="25" spans="1:7" ht="15.75" customHeight="1">
      <c r="A25" s="28">
        <v>2084310863</v>
      </c>
      <c r="B25" s="28" t="s">
        <v>20313</v>
      </c>
      <c r="C25" s="28" t="s">
        <v>20314</v>
      </c>
      <c r="D25" s="28" t="s">
        <v>20316</v>
      </c>
      <c r="E25" s="4" t="str">
        <f ca="1">IFERROR(__xludf.DUMMYFUNCTION("GOOGLETRANSLATE(B25,""ja"",""vi"")"),"chỉ khoáng sản")</f>
        <v>chỉ khoáng sản</v>
      </c>
      <c r="F25" s="4" t="str">
        <f ca="1">IFERROR(__xludf.DUMMYFUNCTION("GOOGLETRANSLATE(C25,""ja"",""vi"")"),"Đấu giá&gt; làm đẹp, chăm sóc sức khỏe&gt; ​​mỹ phẩm, chăm sóc da&gt; By Nhãn hiệu&gt; chỉ khoáng sản")</f>
        <v>Đấu giá&gt; làm đẹp, chăm sóc sức khỏe&gt; ​​mỹ phẩm, chăm sóc da&gt; By Nhãn hiệu&gt; chỉ khoáng sản</v>
      </c>
      <c r="G25" t="str">
        <f t="shared" ca="1" si="0"/>
        <v>"2084310863" : "chỉ khoáng sản",</v>
      </c>
    </row>
    <row r="26" spans="1:7" ht="15.75" customHeight="1">
      <c r="A26" s="28">
        <v>2084059235</v>
      </c>
      <c r="B26" s="28" t="s">
        <v>20319</v>
      </c>
      <c r="C26" s="28" t="s">
        <v>20320</v>
      </c>
      <c r="D26" s="28" t="s">
        <v>20321</v>
      </c>
      <c r="E26" s="4" t="str">
        <f ca="1">IFERROR(__xludf.DUMMYFUNCTION("GOOGLETRANSLATE(B26,""ja"",""vi"")"),"Kanebo")</f>
        <v>Kanebo</v>
      </c>
      <c r="F26" s="4" t="str">
        <f ca="1">IFERROR(__xludf.DUMMYFUNCTION("GOOGLETRANSLATE(C26,""ja"",""vi"")"),"Đấu giá&gt; làm đẹp, chăm sóc sức khỏe&gt; ​​mỹ phẩm, chăm sóc da&gt; bởi thương hiệu&gt; Kanebo")</f>
        <v>Đấu giá&gt; làm đẹp, chăm sóc sức khỏe&gt; ​​mỹ phẩm, chăm sóc da&gt; bởi thương hiệu&gt; Kanebo</v>
      </c>
      <c r="G26" t="str">
        <f t="shared" ca="1" si="0"/>
        <v>"2084059235" : "Kanebo",</v>
      </c>
    </row>
    <row r="27" spans="1:7" ht="15.75" customHeight="1">
      <c r="A27" s="28">
        <v>2084213078</v>
      </c>
      <c r="B27" s="28" t="s">
        <v>20325</v>
      </c>
      <c r="C27" s="28" t="s">
        <v>20326</v>
      </c>
      <c r="D27" s="28" t="s">
        <v>20328</v>
      </c>
      <c r="E27" s="4" t="str">
        <f ca="1">IFERROR(__xludf.DUMMYFUNCTION("GOOGLETRANSLATE(B27,""ja"",""vi"")"),"Covermark")</f>
        <v>Covermark</v>
      </c>
      <c r="F27" s="4" t="str">
        <f ca="1">IFERROR(__xludf.DUMMYFUNCTION("GOOGLETRANSLATE(C27,""ja"",""vi"")"),"Đấu giá&gt; làm đẹp, chăm sóc sức khỏe&gt; ​​mỹ phẩm, chăm sóc da&gt; By Nhãn hiệu&gt; Covermark")</f>
        <v>Đấu giá&gt; làm đẹp, chăm sóc sức khỏe&gt; ​​mỹ phẩm, chăm sóc da&gt; By Nhãn hiệu&gt; Covermark</v>
      </c>
      <c r="G27" t="str">
        <f t="shared" ca="1" si="0"/>
        <v>"2084213078" : "Covermark",</v>
      </c>
    </row>
    <row r="28" spans="1:7" ht="15.75" customHeight="1">
      <c r="A28" s="28">
        <v>2084220374</v>
      </c>
      <c r="B28" s="28" t="s">
        <v>20331</v>
      </c>
      <c r="C28" s="28" t="s">
        <v>20333</v>
      </c>
      <c r="D28" s="28" t="s">
        <v>20335</v>
      </c>
      <c r="E28" s="4" t="str">
        <f ca="1">IFERROR(__xludf.DUMMYFUNCTION("GOOGLETRANSLATE(B28,""ja"",""vi"")"),"Carita")</f>
        <v>Carita</v>
      </c>
      <c r="F28" s="4" t="str">
        <f ca="1">IFERROR(__xludf.DUMMYFUNCTION("GOOGLETRANSLATE(C28,""ja"",""vi"")"),"Đấu giá&gt; làm đẹp, chăm sóc sức khỏe&gt; ​​mỹ phẩm, chăm sóc da&gt; By Nhãn hiệu&gt; Carita")</f>
        <v>Đấu giá&gt; làm đẹp, chăm sóc sức khỏe&gt; ​​mỹ phẩm, chăm sóc da&gt; By Nhãn hiệu&gt; Carita</v>
      </c>
      <c r="G28" t="str">
        <f t="shared" ca="1" si="0"/>
        <v>"2084220374" : "Carita",</v>
      </c>
    </row>
    <row r="29" spans="1:7" ht="15.75" customHeight="1">
      <c r="A29" s="28">
        <v>2084059238</v>
      </c>
      <c r="B29" s="28" t="s">
        <v>20337</v>
      </c>
      <c r="C29" s="28" t="s">
        <v>20338</v>
      </c>
      <c r="D29" s="28" t="s">
        <v>20339</v>
      </c>
      <c r="E29" s="4" t="str">
        <f ca="1">IFERROR(__xludf.DUMMYFUNCTION("GOOGLETRANSLATE(B29,""ja"",""vi"")"),"Clarins")</f>
        <v>Clarins</v>
      </c>
      <c r="F29" s="4" t="str">
        <f ca="1">IFERROR(__xludf.DUMMYFUNCTION("GOOGLETRANSLATE(C29,""ja"",""vi"")"),"Đấu giá&gt; làm đẹp, chăm sóc sức khỏe&gt; ​​mỹ phẩm, chăm sóc da&gt; By Nhãn hiệu&gt; Clarins")</f>
        <v>Đấu giá&gt; làm đẹp, chăm sóc sức khỏe&gt; ​​mỹ phẩm, chăm sóc da&gt; By Nhãn hiệu&gt; Clarins</v>
      </c>
      <c r="G29" t="str">
        <f t="shared" ca="1" si="0"/>
        <v>"2084059238" : "Clarins",</v>
      </c>
    </row>
    <row r="30" spans="1:7" ht="15.75" customHeight="1">
      <c r="A30" s="28">
        <v>2084059241</v>
      </c>
      <c r="B30" s="28" t="s">
        <v>9858</v>
      </c>
      <c r="C30" s="28" t="s">
        <v>20342</v>
      </c>
      <c r="D30" s="28" t="s">
        <v>20343</v>
      </c>
      <c r="E30" s="4" t="str">
        <f ca="1">IFERROR(__xludf.DUMMYFUNCTION("GOOGLETRANSLATE(B30,""ja"",""vi"")"),"Christian Dior")</f>
        <v>Christian Dior</v>
      </c>
      <c r="F30" s="4" t="str">
        <f ca="1">IFERROR(__xludf.DUMMYFUNCTION("GOOGLETRANSLATE(C30,""ja"",""vi"")"),"Đấu giá&gt; làm đẹp, chăm sóc sức khỏe&gt; ​​mỹ phẩm, chăm sóc da&gt; Nhãn hiệu&gt; Christian Dior")</f>
        <v>Đấu giá&gt; làm đẹp, chăm sóc sức khỏe&gt; ​​mỹ phẩm, chăm sóc da&gt; Nhãn hiệu&gt; Christian Dior</v>
      </c>
      <c r="G30" t="str">
        <f t="shared" ca="1" si="0"/>
        <v>"2084059241" : "Christian Dior",</v>
      </c>
    </row>
    <row r="31" spans="1:7" ht="15.75" customHeight="1">
      <c r="A31" s="28">
        <v>2084059244</v>
      </c>
      <c r="B31" s="28" t="s">
        <v>19700</v>
      </c>
      <c r="C31" s="28" t="s">
        <v>20344</v>
      </c>
      <c r="D31" s="28" t="s">
        <v>20345</v>
      </c>
      <c r="E31" s="4" t="str">
        <f ca="1">IFERROR(__xludf.DUMMYFUNCTION("GOOGLETRANSLATE(B31,""ja"",""vi"")"),"Clinique")</f>
        <v>Clinique</v>
      </c>
      <c r="F31" s="4" t="str">
        <f ca="1">IFERROR(__xludf.DUMMYFUNCTION("GOOGLETRANSLATE(C31,""ja"",""vi"")"),"Đấu giá&gt; làm đẹp, chăm sóc sức khỏe&gt; ​​mỹ phẩm, chăm sóc da&gt; By Nhãn hiệu&gt; Clinique")</f>
        <v>Đấu giá&gt; làm đẹp, chăm sóc sức khỏe&gt; ​​mỹ phẩm, chăm sóc da&gt; By Nhãn hiệu&gt; Clinique</v>
      </c>
      <c r="G31" t="str">
        <f t="shared" ca="1" si="0"/>
        <v>"2084059244" : "Clinique",</v>
      </c>
    </row>
    <row r="32" spans="1:7" ht="15.75" customHeight="1">
      <c r="A32" s="28">
        <v>2084059247</v>
      </c>
      <c r="B32" s="28" t="s">
        <v>20346</v>
      </c>
      <c r="C32" s="28" t="s">
        <v>20347</v>
      </c>
      <c r="D32" s="28" t="s">
        <v>20348</v>
      </c>
      <c r="E32" s="4" t="str">
        <f ca="1">IFERROR(__xludf.DUMMYFUNCTION("GOOGLETRANSLATE(B32,""ja"",""vi"")"),"Kesaran Pasaran")</f>
        <v>Kesaran Pasaran</v>
      </c>
      <c r="F32" s="4" t="str">
        <f ca="1">IFERROR(__xludf.DUMMYFUNCTION("GOOGLETRANSLATE(C32,""ja"",""vi"")"),"Đấu giá&gt; làm đẹp, chăm sóc sức khỏe&gt; ​​mỹ phẩm, chăm sóc da&gt; By Nhãn hiệu&gt; Kesaran Pasaran")</f>
        <v>Đấu giá&gt; làm đẹp, chăm sóc sức khỏe&gt; ​​mỹ phẩm, chăm sóc da&gt; By Nhãn hiệu&gt; Kesaran Pasaran</v>
      </c>
      <c r="G32" t="str">
        <f t="shared" ca="1" si="0"/>
        <v>"2084059247" : "Kesaran Pasaran",</v>
      </c>
    </row>
    <row r="33" spans="1:7" ht="15.75" customHeight="1">
      <c r="A33" s="28">
        <v>2084060360</v>
      </c>
      <c r="B33" s="28" t="s">
        <v>19723</v>
      </c>
      <c r="C33" s="28" t="s">
        <v>20349</v>
      </c>
      <c r="D33" s="28" t="s">
        <v>20350</v>
      </c>
      <c r="E33" s="4" t="str">
        <f ca="1">IFERROR(__xludf.DUMMYFUNCTION("GOOGLETRANSLATE(B33,""ja"",""vi"")"),"Guerlain")</f>
        <v>Guerlain</v>
      </c>
      <c r="F33" s="4" t="str">
        <f ca="1">IFERROR(__xludf.DUMMYFUNCTION("GOOGLETRANSLATE(C33,""ja"",""vi"")"),"Đấu giá&gt; làm đẹp, chăm sóc sức khỏe&gt; ​​mỹ phẩm, chăm sóc da&gt; By Nhãn hiệu&gt; Guerlain")</f>
        <v>Đấu giá&gt; làm đẹp, chăm sóc sức khỏe&gt; ​​mỹ phẩm, chăm sóc da&gt; By Nhãn hiệu&gt; Guerlain</v>
      </c>
      <c r="G33" t="str">
        <f t="shared" ca="1" si="0"/>
        <v>"2084060360" : "Guerlain",</v>
      </c>
    </row>
    <row r="34" spans="1:7" ht="15.75" customHeight="1">
      <c r="A34" s="28">
        <v>2084059250</v>
      </c>
      <c r="B34" s="28" t="s">
        <v>20351</v>
      </c>
      <c r="C34" s="28" t="s">
        <v>20352</v>
      </c>
      <c r="D34" s="28" t="s">
        <v>20353</v>
      </c>
      <c r="E34" s="4" t="str">
        <f ca="1">IFERROR(__xludf.DUMMYFUNCTION("GOOGLETRANSLATE(B34,""ja"",""vi"")"),"Kose")</f>
        <v>Kose</v>
      </c>
      <c r="F34" s="4" t="str">
        <f ca="1">IFERROR(__xludf.DUMMYFUNCTION("GOOGLETRANSLATE(C34,""ja"",""vi"")"),"Đấu giá&gt; làm đẹp, chăm sóc sức khỏe&gt; ​​mỹ phẩm, chăm sóc da&gt; bởi thương hiệu&gt; Kose")</f>
        <v>Đấu giá&gt; làm đẹp, chăm sóc sức khỏe&gt; ​​mỹ phẩm, chăm sóc da&gt; bởi thương hiệu&gt; Kose</v>
      </c>
      <c r="G34" t="str">
        <f t="shared" ca="1" si="0"/>
        <v>"2084059250" : "Kose",</v>
      </c>
    </row>
    <row r="35" spans="1:7" ht="15.75" customHeight="1">
      <c r="A35" s="28">
        <v>2084228401</v>
      </c>
      <c r="B35" s="28" t="s">
        <v>20354</v>
      </c>
      <c r="C35" s="28" t="s">
        <v>20355</v>
      </c>
      <c r="D35" s="28" t="s">
        <v>20356</v>
      </c>
      <c r="E35" s="4" t="str">
        <f ca="1">IFERROR(__xludf.DUMMYFUNCTION("GOOGLETRANSLATE(B35,""ja"",""vi"")"),"Coleco")</f>
        <v>Coleco</v>
      </c>
      <c r="F35" s="4" t="str">
        <f ca="1">IFERROR(__xludf.DUMMYFUNCTION("GOOGLETRANSLATE(C35,""ja"",""vi"")"),"Đấu giá&gt; làm đẹp, chăm sóc sức khỏe&gt; ​​mỹ phẩm, chăm sóc da&gt; By Nhãn hiệu&gt; Coleco")</f>
        <v>Đấu giá&gt; làm đẹp, chăm sóc sức khỏe&gt; ​​mỹ phẩm, chăm sóc da&gt; By Nhãn hiệu&gt; Coleco</v>
      </c>
      <c r="G35" t="str">
        <f t="shared" ca="1" si="0"/>
        <v>"2084228401" : "Coleco",</v>
      </c>
    </row>
    <row r="36" spans="1:7" ht="15.75" customHeight="1">
      <c r="A36" s="28">
        <v>2084059280</v>
      </c>
      <c r="B36" s="28" t="s">
        <v>20357</v>
      </c>
      <c r="C36" s="28" t="s">
        <v>20358</v>
      </c>
      <c r="D36" s="28" t="s">
        <v>20359</v>
      </c>
      <c r="E36" s="4" t="str">
        <f ca="1">IFERROR(__xludf.DUMMYFUNCTION("GOOGLETRANSLATE(B36,""ja"",""vi"")"),"Kao")</f>
        <v>Kao</v>
      </c>
      <c r="F36" s="4" t="str">
        <f ca="1">IFERROR(__xludf.DUMMYFUNCTION("GOOGLETRANSLATE(C36,""ja"",""vi"")"),"Đấu giá&gt; làm đẹp, chăm sóc sức khỏe&gt; ​​mỹ phẩm, chăm sóc da&gt; bởi thương hiệu&gt; Kao")</f>
        <v>Đấu giá&gt; làm đẹp, chăm sóc sức khỏe&gt; ​​mỹ phẩm, chăm sóc da&gt; bởi thương hiệu&gt; Kao</v>
      </c>
      <c r="G36" t="str">
        <f t="shared" ca="1" si="0"/>
        <v>"2084059280" : "Kao",</v>
      </c>
    </row>
    <row r="37" spans="1:7" ht="15.75" customHeight="1">
      <c r="A37" s="28">
        <v>2084227031</v>
      </c>
      <c r="B37" s="28" t="s">
        <v>20360</v>
      </c>
      <c r="C37" s="28" t="s">
        <v>20361</v>
      </c>
      <c r="D37" s="28" t="s">
        <v>20362</v>
      </c>
      <c r="E37" s="4" t="str">
        <f ca="1">IFERROR(__xludf.DUMMYFUNCTION("GOOGLETRANSLATE(B37,""ja"",""vi"")"),"SUQQU")</f>
        <v>SUQQU</v>
      </c>
      <c r="F37" s="4" t="str">
        <f ca="1">IFERROR(__xludf.DUMMYFUNCTION("GOOGLETRANSLATE(C37,""ja"",""vi"")"),"Đấu giá&gt; làm đẹp, chăm sóc sức khỏe&gt; ​​mỹ phẩm, chăm sóc da&gt; By Nhãn hiệu&gt; SUQQU")</f>
        <v>Đấu giá&gt; làm đẹp, chăm sóc sức khỏe&gt; ​​mỹ phẩm, chăm sóc da&gt; By Nhãn hiệu&gt; SUQQU</v>
      </c>
      <c r="G37" t="str">
        <f t="shared" ca="1" si="0"/>
        <v>"2084227031" : "SUQQU",</v>
      </c>
    </row>
    <row r="38" spans="1:7" ht="15.75" customHeight="1">
      <c r="A38" s="28">
        <v>2084059253</v>
      </c>
      <c r="B38" s="28" t="s">
        <v>20363</v>
      </c>
      <c r="C38" s="28" t="s">
        <v>20364</v>
      </c>
      <c r="D38" s="28" t="s">
        <v>20365</v>
      </c>
      <c r="E38" s="4" t="str">
        <f ca="1">IFERROR(__xludf.DUMMYFUNCTION("GOOGLETRANSLATE(B38,""ja"",""vi"")"),"The Body Shop")</f>
        <v>The Body Shop</v>
      </c>
      <c r="F38" s="4" t="str">
        <f ca="1">IFERROR(__xludf.DUMMYFUNCTION("GOOGLETRANSLATE(C38,""ja"",""vi"")"),"Đấu giá&gt; làm đẹp, chăm sóc sức khỏe&gt; ​​mỹ phẩm, chăm sóc da&gt; Nhãn hiệu&gt; The Body Shop")</f>
        <v>Đấu giá&gt; làm đẹp, chăm sóc sức khỏe&gt; ​​mỹ phẩm, chăm sóc da&gt; Nhãn hiệu&gt; The Body Shop</v>
      </c>
      <c r="G38" t="str">
        <f t="shared" ca="1" si="0"/>
        <v>"2084059253" : "The Body Shop",</v>
      </c>
    </row>
    <row r="39" spans="1:7" ht="15.75" customHeight="1">
      <c r="A39" s="28">
        <v>2084059255</v>
      </c>
      <c r="B39" s="28" t="s">
        <v>10288</v>
      </c>
      <c r="C39" s="28" t="s">
        <v>20366</v>
      </c>
      <c r="D39" s="28" t="s">
        <v>20367</v>
      </c>
      <c r="E39" s="4" t="str">
        <f ca="1">IFERROR(__xludf.DUMMYFUNCTION("GOOGLETRANSLATE(B39,""ja"",""vi"")"),"Chanel")</f>
        <v>Chanel</v>
      </c>
      <c r="F39" s="4" t="str">
        <f ca="1">IFERROR(__xludf.DUMMYFUNCTION("GOOGLETRANSLATE(C39,""ja"",""vi"")"),"Đấu giá&gt; làm đẹp, chăm sóc sức khỏe&gt; ​​mỹ phẩm, chăm sóc da&gt; By Nhãn hiệu&gt; Chanel")</f>
        <v>Đấu giá&gt; làm đẹp, chăm sóc sức khỏe&gt; ​​mỹ phẩm, chăm sóc da&gt; By Nhãn hiệu&gt; Chanel</v>
      </c>
      <c r="G39" t="str">
        <f t="shared" ca="1" si="0"/>
        <v>"2084059255" : "Chanel",</v>
      </c>
    </row>
    <row r="40" spans="1:7" ht="15.75" customHeight="1">
      <c r="A40" s="28">
        <v>2084059286</v>
      </c>
      <c r="B40" s="28" t="s">
        <v>20368</v>
      </c>
      <c r="C40" s="28" t="s">
        <v>20369</v>
      </c>
      <c r="D40" s="28" t="s">
        <v>20370</v>
      </c>
      <c r="E40" s="4" t="str">
        <f ca="1">IFERROR(__xludf.DUMMYFUNCTION("GOOGLETRANSLATE(B40,""ja"",""vi"")"),"Shu Uemura")</f>
        <v>Shu Uemura</v>
      </c>
      <c r="F40" s="4" t="str">
        <f ca="1">IFERROR(__xludf.DUMMYFUNCTION("GOOGLETRANSLATE(C40,""ja"",""vi"")"),"Đấu giá&gt; làm đẹp, chăm sóc sức khỏe&gt; ​​mỹ phẩm, chăm sóc da&gt; By Nhãn hiệu&gt; Shu Uemura")</f>
        <v>Đấu giá&gt; làm đẹp, chăm sóc sức khỏe&gt; ​​mỹ phẩm, chăm sóc da&gt; By Nhãn hiệu&gt; Shu Uemura</v>
      </c>
      <c r="G40" t="str">
        <f t="shared" ca="1" si="0"/>
        <v>"2084059286" : "Shu Uemura",</v>
      </c>
    </row>
    <row r="41" spans="1:7" ht="15.75" customHeight="1">
      <c r="A41" s="28">
        <v>2084060359</v>
      </c>
      <c r="B41" s="28" t="s">
        <v>10250</v>
      </c>
      <c r="C41" s="28" t="s">
        <v>20371</v>
      </c>
      <c r="D41" s="28" t="s">
        <v>20372</v>
      </c>
      <c r="E41" s="4" t="str">
        <f ca="1">IFERROR(__xludf.DUMMYFUNCTION("GOOGLETRANSLATE(B41,""ja"",""vi"")"),"Givenchy")</f>
        <v>Givenchy</v>
      </c>
      <c r="F41" s="4" t="str">
        <f ca="1">IFERROR(__xludf.DUMMYFUNCTION("GOOGLETRANSLATE(C41,""ja"",""vi"")"),"Đấu giá&gt; làm đẹp, chăm sóc sức khỏe&gt; ​​mỹ phẩm, chăm sóc da&gt; By Nhãn hiệu&gt; Givenchy")</f>
        <v>Đấu giá&gt; làm đẹp, chăm sóc sức khỏe&gt; ​​mỹ phẩm, chăm sóc da&gt; By Nhãn hiệu&gt; Givenchy</v>
      </c>
      <c r="G41" t="str">
        <f t="shared" ca="1" si="0"/>
        <v>"2084060359" : "Givenchy",</v>
      </c>
    </row>
    <row r="42" spans="1:7" ht="15.75" customHeight="1">
      <c r="A42" s="28">
        <v>2084228392</v>
      </c>
      <c r="B42" s="28" t="s">
        <v>20375</v>
      </c>
      <c r="C42" s="28" t="s">
        <v>20376</v>
      </c>
      <c r="D42" s="28" t="s">
        <v>20377</v>
      </c>
      <c r="E42" s="4" t="str">
        <f ca="1">IFERROR(__xludf.DUMMYFUNCTION("GOOGLETRANSLATE(B42,""ja"",""vi"")"),"Jurlique")</f>
        <v>Jurlique</v>
      </c>
      <c r="F42" s="4" t="str">
        <f ca="1">IFERROR(__xludf.DUMMYFUNCTION("GOOGLETRANSLATE(C42,""ja"",""vi"")"),"Đấu giá&gt; làm đẹp, chăm sóc sức khỏe&gt; ​​mỹ phẩm, chăm sóc da&gt; By Nhãn hiệu&gt; Jurlique")</f>
        <v>Đấu giá&gt; làm đẹp, chăm sóc sức khỏe&gt; ​​mỹ phẩm, chăm sóc da&gt; By Nhãn hiệu&gt; Jurlique</v>
      </c>
      <c r="G42" t="str">
        <f t="shared" ca="1" si="0"/>
        <v>"2084228392" : "Jurlique",</v>
      </c>
    </row>
    <row r="43" spans="1:7" ht="15.75" customHeight="1">
      <c r="A43" s="28">
        <v>2084220359</v>
      </c>
      <c r="B43" s="28" t="s">
        <v>10446</v>
      </c>
      <c r="C43" s="28" t="s">
        <v>20379</v>
      </c>
      <c r="D43" s="28" t="s">
        <v>20380</v>
      </c>
      <c r="E43" s="4" t="str">
        <f ca="1">IFERROR(__xludf.DUMMYFUNCTION("GOOGLETRANSLATE(B43,""ja"",""vi"")"),"Jill Stuart")</f>
        <v>Jill Stuart</v>
      </c>
      <c r="F43" s="4" t="str">
        <f ca="1">IFERROR(__xludf.DUMMYFUNCTION("GOOGLETRANSLATE(C43,""ja"",""vi"")"),"Đấu giá&gt; làm đẹp, chăm sóc sức khỏe&gt; ​​mỹ phẩm, chăm sóc da&gt; bởi thương hiệu&gt; Jill Stuart")</f>
        <v>Đấu giá&gt; làm đẹp, chăm sóc sức khỏe&gt; ​​mỹ phẩm, chăm sóc da&gt; bởi thương hiệu&gt; Jill Stuart</v>
      </c>
      <c r="G43" t="str">
        <f t="shared" ca="1" si="0"/>
        <v>"2084220359" : "Jill Stuart",</v>
      </c>
    </row>
    <row r="44" spans="1:7" ht="15.75" customHeight="1">
      <c r="A44" s="28">
        <v>2084310864</v>
      </c>
      <c r="B44" s="28" t="s">
        <v>20382</v>
      </c>
      <c r="C44" s="28" t="s">
        <v>20384</v>
      </c>
      <c r="D44" s="28" t="s">
        <v>20385</v>
      </c>
      <c r="E44" s="4" t="str">
        <f ca="1">IFERROR(__xludf.DUMMYFUNCTION("GOOGLETRANSLATE(B44,""ja"",""vi"")"),"thực phẩm da")</f>
        <v>thực phẩm da</v>
      </c>
      <c r="F44" s="4" t="str">
        <f ca="1">IFERROR(__xludf.DUMMYFUNCTION("GOOGLETRANSLATE(C44,""ja"",""vi"")"),"Đấu giá&gt; làm đẹp, chăm sóc sức khỏe&gt; ​​mỹ phẩm, chăm sóc da&gt; By Nhãn hiệu&gt; Thực phẩm Skin")</f>
        <v>Đấu giá&gt; làm đẹp, chăm sóc sức khỏe&gt; ​​mỹ phẩm, chăm sóc da&gt; By Nhãn hiệu&gt; Thực phẩm Skin</v>
      </c>
      <c r="G44" t="str">
        <f t="shared" ca="1" si="0"/>
        <v>"2084310864" : "thực phẩm da",</v>
      </c>
    </row>
    <row r="45" spans="1:7" ht="15.75" customHeight="1">
      <c r="A45" s="28">
        <v>2084059288</v>
      </c>
      <c r="B45" s="28" t="s">
        <v>20388</v>
      </c>
      <c r="C45" s="28" t="s">
        <v>20389</v>
      </c>
      <c r="D45" s="28" t="s">
        <v>20390</v>
      </c>
      <c r="E45" s="4" t="str">
        <f ca="1">IFERROR(__xludf.DUMMYFUNCTION("GOOGLETRANSLATE(B45,""ja"",""vi"")"),"Stila")</f>
        <v>Stila</v>
      </c>
      <c r="F45" s="4" t="str">
        <f ca="1">IFERROR(__xludf.DUMMYFUNCTION("GOOGLETRANSLATE(C45,""ja"",""vi"")"),"Đấu giá&gt; làm đẹp, chăm sóc sức khỏe&gt; ​​mỹ phẩm, chăm sóc da&gt; By Nhãn hiệu&gt; Stila")</f>
        <v>Đấu giá&gt; làm đẹp, chăm sóc sức khỏe&gt; ​​mỹ phẩm, chăm sóc da&gt; By Nhãn hiệu&gt; Stila</v>
      </c>
      <c r="G45" t="str">
        <f t="shared" ca="1" si="0"/>
        <v>"2084059288" : "Stila",</v>
      </c>
    </row>
    <row r="46" spans="1:7" ht="15.75" customHeight="1">
      <c r="A46" s="28">
        <v>2084059283</v>
      </c>
      <c r="B46" s="28" t="s">
        <v>19778</v>
      </c>
      <c r="C46" s="28" t="s">
        <v>20396</v>
      </c>
      <c r="D46" s="28" t="s">
        <v>20397</v>
      </c>
      <c r="E46" s="4" t="str">
        <f ca="1">IFERROR(__xludf.DUMMYFUNCTION("GOOGLETRANSLATE(B46,""ja"",""vi"")"),"Shiseido")</f>
        <v>Shiseido</v>
      </c>
      <c r="F46" s="4" t="str">
        <f ca="1">IFERROR(__xludf.DUMMYFUNCTION("GOOGLETRANSLATE(C46,""ja"",""vi"")"),"Đấu giá&gt; làm đẹp, chăm sóc sức khỏe&gt; ​​mỹ phẩm, chăm sóc da&gt; bởi thương hiệu&gt; Shiseido")</f>
        <v>Đấu giá&gt; làm đẹp, chăm sóc sức khỏe&gt; ​​mỹ phẩm, chăm sóc da&gt; bởi thương hiệu&gt; Shiseido</v>
      </c>
      <c r="G46" t="str">
        <f t="shared" ca="1" si="0"/>
        <v>"2084059283" : "Shiseido",</v>
      </c>
    </row>
    <row r="47" spans="1:7" ht="15.75" customHeight="1">
      <c r="A47" s="28">
        <v>2084059208</v>
      </c>
      <c r="B47" s="28" t="s">
        <v>20401</v>
      </c>
      <c r="C47" s="28" t="s">
        <v>20403</v>
      </c>
      <c r="D47" s="28" t="s">
        <v>20404</v>
      </c>
      <c r="E47" s="4" t="str">
        <f ca="1">IFERROR(__xludf.DUMMYFUNCTION("GOOGLETRANSLATE(B47,""ja"",""vi"")"),"DHC")</f>
        <v>DHC</v>
      </c>
      <c r="F47" s="4" t="str">
        <f ca="1">IFERROR(__xludf.DUMMYFUNCTION("GOOGLETRANSLATE(C47,""ja"",""vi"")"),"Đấu giá&gt; làm đẹp, chăm sóc sức khỏe&gt; ​​mỹ phẩm, chăm sóc da&gt; bởi thương hiệu&gt; DHC")</f>
        <v>Đấu giá&gt; làm đẹp, chăm sóc sức khỏe&gt; ​​mỹ phẩm, chăm sóc da&gt; bởi thương hiệu&gt; DHC</v>
      </c>
      <c r="G47" t="str">
        <f t="shared" ca="1" si="0"/>
        <v>"2084059208" : "DHC",</v>
      </c>
    </row>
    <row r="48" spans="1:7" ht="15.75" customHeight="1">
      <c r="A48" s="28">
        <v>2084220371</v>
      </c>
      <c r="B48" s="28" t="s">
        <v>20408</v>
      </c>
      <c r="C48" s="28" t="s">
        <v>20410</v>
      </c>
      <c r="D48" s="28" t="s">
        <v>20411</v>
      </c>
      <c r="E48" s="4" t="str">
        <f ca="1">IFERROR(__xludf.DUMMYFUNCTION("GOOGLETRANSLATE(B48,""ja"",""vi"")"),"La Mer")</f>
        <v>La Mer</v>
      </c>
      <c r="F48" s="4" t="str">
        <f ca="1">IFERROR(__xludf.DUMMYFUNCTION("GOOGLETRANSLATE(C48,""ja"",""vi"")"),"Đấu giá&gt; làm đẹp, chăm sóc sức khỏe&gt; ​​mỹ phẩm, chăm sóc da&gt; Nhãn hiệu&gt; La Mer")</f>
        <v>Đấu giá&gt; làm đẹp, chăm sóc sức khỏe&gt; ​​mỹ phẩm, chăm sóc da&gt; Nhãn hiệu&gt; La Mer</v>
      </c>
      <c r="G48" t="str">
        <f t="shared" ca="1" si="0"/>
        <v>"2084220371" : "La Mer",</v>
      </c>
    </row>
    <row r="49" spans="1:7" ht="15.75" customHeight="1">
      <c r="A49" s="28">
        <v>2084220354</v>
      </c>
      <c r="B49" s="28" t="s">
        <v>20416</v>
      </c>
      <c r="C49" s="28" t="s">
        <v>20417</v>
      </c>
      <c r="D49" s="28" t="s">
        <v>20418</v>
      </c>
      <c r="E49" s="4" t="str">
        <f ca="1">IFERROR(__xludf.DUMMYFUNCTION("GOOGLETRANSLATE(B49,""ja"",""vi"")"),"Tiến sĩ Ci: Labo")</f>
        <v>Tiến sĩ Ci: Labo</v>
      </c>
      <c r="F49" s="4" t="str">
        <f ca="1">IFERROR(__xludf.DUMMYFUNCTION("GOOGLETRANSLATE(C49,""ja"",""vi"")"),"Đấu giá&gt; làm đẹp, chăm sóc sức khỏe&gt; ​​mỹ phẩm, chăm sóc da&gt; By Nhãn hiệu&gt; TS Ci: Labo")</f>
        <v>Đấu giá&gt; làm đẹp, chăm sóc sức khỏe&gt; ​​mỹ phẩm, chăm sóc da&gt; By Nhãn hiệu&gt; TS Ci: Labo</v>
      </c>
      <c r="G49" t="str">
        <f t="shared" ca="1" si="0"/>
        <v>"2084220354" : "Tiến sĩ Ci: Labo",</v>
      </c>
    </row>
    <row r="50" spans="1:7" ht="15.75" customHeight="1">
      <c r="A50" s="28">
        <v>2084220377</v>
      </c>
      <c r="B50" s="28" t="s">
        <v>20422</v>
      </c>
      <c r="C50" s="28" t="s">
        <v>20426</v>
      </c>
      <c r="D50" s="28" t="s">
        <v>20427</v>
      </c>
      <c r="E50" s="4" t="str">
        <f ca="1">IFERROR(__xludf.DUMMYFUNCTION("GOOGLETRANSLATE(B50,""ja"",""vi"")"),"NARS")</f>
        <v>NARS</v>
      </c>
      <c r="F50" s="4" t="str">
        <f ca="1">IFERROR(__xludf.DUMMYFUNCTION("GOOGLETRANSLATE(C50,""ja"",""vi"")"),"Đấu giá&gt; làm đẹp, chăm sóc sức khỏe&gt; ​​mỹ phẩm, chăm sóc da&gt; By Nhãn hiệu&gt; NARS")</f>
        <v>Đấu giá&gt; làm đẹp, chăm sóc sức khỏe&gt; ​​mỹ phẩm, chăm sóc da&gt; By Nhãn hiệu&gt; NARS</v>
      </c>
      <c r="G50" t="str">
        <f t="shared" ca="1" si="0"/>
        <v>"2084220377" : "NARS",</v>
      </c>
    </row>
    <row r="51" spans="1:7" ht="15.75" customHeight="1">
      <c r="A51" s="28">
        <v>2084060371</v>
      </c>
      <c r="B51" s="28" t="s">
        <v>20432</v>
      </c>
      <c r="C51" s="28" t="s">
        <v>20433</v>
      </c>
      <c r="D51" s="28" t="s">
        <v>20435</v>
      </c>
      <c r="E51" s="4" t="str">
        <f ca="1">IFERROR(__xludf.DUMMYFUNCTION("GOOGLETRANSLATE(B51,""ja"",""vi"")"),"Naris")</f>
        <v>Naris</v>
      </c>
      <c r="F51" s="4" t="str">
        <f ca="1">IFERROR(__xludf.DUMMYFUNCTION("GOOGLETRANSLATE(C51,""ja"",""vi"")"),"Đấu giá&gt; làm đẹp, chăm sóc sức khỏe&gt; ​​mỹ phẩm, chăm sóc da&gt; bởi thương hiệu&gt; Naris")</f>
        <v>Đấu giá&gt; làm đẹp, chăm sóc sức khỏe&gt; ​​mỹ phẩm, chăm sóc da&gt; bởi thương hiệu&gt; Naris</v>
      </c>
      <c r="G51" t="str">
        <f t="shared" ca="1" si="0"/>
        <v>"2084060371" : "Naris",</v>
      </c>
    </row>
    <row r="52" spans="1:7" ht="15.75" customHeight="1">
      <c r="A52" s="28">
        <v>2084291397</v>
      </c>
      <c r="B52" s="28" t="s">
        <v>11252</v>
      </c>
      <c r="C52" s="28" t="s">
        <v>20440</v>
      </c>
      <c r="D52" s="28" t="s">
        <v>20442</v>
      </c>
      <c r="E52" s="4" t="str">
        <f ca="1">IFERROR(__xludf.DUMMYFUNCTION("GOOGLETRANSLATE(B52,""ja"",""vi"")"),"Nina Ricci")</f>
        <v>Nina Ricci</v>
      </c>
      <c r="F52" s="4" t="str">
        <f ca="1">IFERROR(__xludf.DUMMYFUNCTION("GOOGLETRANSLATE(C52,""ja"",""vi"")"),"Đấu giá&gt; làm đẹp, chăm sóc sức khỏe&gt; ​​mỹ phẩm, chăm sóc da&gt; By Nhãn hiệu&gt; Nina Ricci")</f>
        <v>Đấu giá&gt; làm đẹp, chăm sóc sức khỏe&gt; ​​mỹ phẩm, chăm sóc da&gt; By Nhãn hiệu&gt; Nina Ricci</v>
      </c>
      <c r="G52" t="str">
        <f t="shared" ca="1" si="0"/>
        <v>"2084291397" : "Nina Ricci",</v>
      </c>
    </row>
    <row r="53" spans="1:7" ht="15.75" customHeight="1">
      <c r="A53" s="28">
        <v>2084310865</v>
      </c>
      <c r="B53" s="28" t="s">
        <v>20446</v>
      </c>
      <c r="C53" s="28" t="s">
        <v>20447</v>
      </c>
      <c r="D53" s="28" t="s">
        <v>20449</v>
      </c>
      <c r="E53" s="4" t="str">
        <f ca="1">IFERROR(__xludf.DUMMYFUNCTION("GOOGLETRANSLATE(B53,""ja"",""vi"")"),"Nu Skin")</f>
        <v>Nu Skin</v>
      </c>
      <c r="F53" s="4" t="str">
        <f ca="1">IFERROR(__xludf.DUMMYFUNCTION("GOOGLETRANSLATE(C53,""ja"",""vi"")"),"Đấu giá&gt; làm đẹp, chăm sóc sức khỏe&gt; ​​mỹ phẩm, chăm sóc da&gt; By Nhãn hiệu&gt; Nu Skin")</f>
        <v>Đấu giá&gt; làm đẹp, chăm sóc sức khỏe&gt; ​​mỹ phẩm, chăm sóc da&gt; By Nhãn hiệu&gt; Nu Skin</v>
      </c>
      <c r="G53" t="str">
        <f t="shared" ca="1" si="0"/>
        <v>"2084310865" : "Nu Skin",</v>
      </c>
    </row>
    <row r="54" spans="1:7" ht="15.75" customHeight="1">
      <c r="A54" s="28">
        <v>2084310869</v>
      </c>
      <c r="B54" s="28" t="s">
        <v>20453</v>
      </c>
      <c r="C54" s="28" t="s">
        <v>20455</v>
      </c>
      <c r="D54" s="28" t="s">
        <v>20456</v>
      </c>
      <c r="E54" s="4" t="str">
        <f ca="1">IFERROR(__xludf.DUMMYFUNCTION("GOOGLETRANSLATE(B54,""ja"",""vi"")"),"Nature Republic")</f>
        <v>Nature Republic</v>
      </c>
      <c r="F54" s="4" t="str">
        <f ca="1">IFERROR(__xludf.DUMMYFUNCTION("GOOGLETRANSLATE(C54,""ja"",""vi"")"),"Đấu giá&gt; làm đẹp, chăm sóc sức khỏe&gt; ​​mỹ phẩm, chăm sóc da&gt; By Nhãn hiệu&gt; Nature Republic")</f>
        <v>Đấu giá&gt; làm đẹp, chăm sóc sức khỏe&gt; ​​mỹ phẩm, chăm sóc da&gt; By Nhãn hiệu&gt; Nature Republic</v>
      </c>
      <c r="G54" t="str">
        <f t="shared" ca="1" si="0"/>
        <v>"2084310869" : "Nature Republic",</v>
      </c>
    </row>
    <row r="55" spans="1:7" ht="15.75" customHeight="1">
      <c r="A55" s="28">
        <v>2084059258</v>
      </c>
      <c r="B55" s="28" t="s">
        <v>20460</v>
      </c>
      <c r="C55" s="28" t="s">
        <v>20461</v>
      </c>
      <c r="D55" s="28" t="s">
        <v>20462</v>
      </c>
      <c r="E55" s="4" t="str">
        <f ca="1">IFERROR(__xludf.DUMMYFUNCTION("GOOGLETRANSLATE(B55,""ja"",""vi"")"),"Noevir")</f>
        <v>Noevir</v>
      </c>
      <c r="F55" s="4" t="str">
        <f ca="1">IFERROR(__xludf.DUMMYFUNCTION("GOOGLETRANSLATE(C55,""ja"",""vi"")"),"Đấu giá&gt; làm đẹp, chăm sóc sức khỏe&gt; ​​mỹ phẩm, chăm sóc da&gt; By Nhãn hiệu&gt; Noevir")</f>
        <v>Đấu giá&gt; làm đẹp, chăm sóc sức khỏe&gt; ​​mỹ phẩm, chăm sóc da&gt; By Nhãn hiệu&gt; Noevir</v>
      </c>
      <c r="G55" t="str">
        <f t="shared" ca="1" si="0"/>
        <v>"2084059258" : "Noevir",</v>
      </c>
    </row>
    <row r="56" spans="1:7" ht="15.75" customHeight="1">
      <c r="A56" s="28">
        <v>2084059261</v>
      </c>
      <c r="B56" s="28" t="s">
        <v>20466</v>
      </c>
      <c r="C56" s="28" t="s">
        <v>20467</v>
      </c>
      <c r="D56" s="28" t="s">
        <v>20468</v>
      </c>
      <c r="E56" s="4" t="str">
        <f ca="1">IFERROR(__xludf.DUMMYFUNCTION("GOOGLETRANSLATE(B56,""ja"",""vi"")"),"hải cảng")</f>
        <v>hải cảng</v>
      </c>
      <c r="F56" s="4" t="str">
        <f ca="1">IFERROR(__xludf.DUMMYFUNCTION("GOOGLETRANSLATE(C56,""ja"",""vi"")"),"Đấu giá&gt; làm đẹp, chăm sóc sức khỏe&gt; ​​mỹ phẩm, chăm sóc da&gt; By Nhãn hiệu&gt; Cảng")</f>
        <v>Đấu giá&gt; làm đẹp, chăm sóc sức khỏe&gt; ​​mỹ phẩm, chăm sóc da&gt; By Nhãn hiệu&gt; Cảng</v>
      </c>
      <c r="G56" t="str">
        <f t="shared" ca="1" si="0"/>
        <v>"2084059261" : "hải cảng",</v>
      </c>
    </row>
    <row r="57" spans="1:7" ht="15.75" customHeight="1">
      <c r="A57" s="28">
        <v>2084310873</v>
      </c>
      <c r="B57" s="28" t="s">
        <v>20473</v>
      </c>
      <c r="C57" s="28" t="s">
        <v>20475</v>
      </c>
      <c r="D57" s="28" t="s">
        <v>20476</v>
      </c>
      <c r="E57" s="4" t="str">
        <f ca="1">IFERROR(__xludf.DUMMYFUNCTION("GOOGLETRANSLATE(B57,""ja"",""vi"")"),"Hansukin")</f>
        <v>Hansukin</v>
      </c>
      <c r="F57" s="4" t="str">
        <f ca="1">IFERROR(__xludf.DUMMYFUNCTION("GOOGLETRANSLATE(C57,""ja"",""vi"")"),"Đấu giá&gt; làm đẹp, chăm sóc sức khỏe&gt; ​​mỹ phẩm, chăm sóc da&gt; By Nhãn hiệu&gt; Hansukin")</f>
        <v>Đấu giá&gt; làm đẹp, chăm sóc sức khỏe&gt; ​​mỹ phẩm, chăm sóc da&gt; By Nhãn hiệu&gt; Hansukin</v>
      </c>
      <c r="G57" t="str">
        <f t="shared" ca="1" si="0"/>
        <v>"2084310873" : "Hansukin",</v>
      </c>
    </row>
    <row r="58" spans="1:7" ht="15.75" customHeight="1">
      <c r="A58" s="28">
        <v>2084220379</v>
      </c>
      <c r="B58" s="28" t="s">
        <v>20480</v>
      </c>
      <c r="C58" s="28" t="s">
        <v>20481</v>
      </c>
      <c r="D58" s="28" t="s">
        <v>20482</v>
      </c>
      <c r="E58" s="4" t="str">
        <f ca="1">IFERROR(__xludf.DUMMYFUNCTION("GOOGLETRANSLATE(B58,""ja"",""vi"")"),"Paruganton")</f>
        <v>Paruganton</v>
      </c>
      <c r="F58" s="4" t="str">
        <f ca="1">IFERROR(__xludf.DUMMYFUNCTION("GOOGLETRANSLATE(C58,""ja"",""vi"")"),"Đấu giá&gt; làm đẹp, chăm sóc sức khỏe&gt; ​​mỹ phẩm, chăm sóc da&gt; By Nhãn hiệu&gt; Paruganton")</f>
        <v>Đấu giá&gt; làm đẹp, chăm sóc sức khỏe&gt; ​​mỹ phẩm, chăm sóc da&gt; By Nhãn hiệu&gt; Paruganton</v>
      </c>
      <c r="G58" t="str">
        <f t="shared" ca="1" si="0"/>
        <v>"2084220379" : "Paruganton",</v>
      </c>
    </row>
    <row r="59" spans="1:7" ht="15.75" customHeight="1">
      <c r="A59" s="28">
        <v>2084228397</v>
      </c>
      <c r="B59" s="28" t="s">
        <v>20485</v>
      </c>
      <c r="C59" s="28" t="s">
        <v>20486</v>
      </c>
      <c r="D59" s="28" t="s">
        <v>20487</v>
      </c>
      <c r="E59" s="4" t="str">
        <f ca="1">IFERROR(__xludf.DUMMYFUNCTION("GOOGLETRANSLATE(B59,""ja"",""vi"")"),"Biotherm")</f>
        <v>Biotherm</v>
      </c>
      <c r="F59" s="4" t="str">
        <f ca="1">IFERROR(__xludf.DUMMYFUNCTION("GOOGLETRANSLATE(C59,""ja"",""vi"")"),"Đấu giá&gt; làm đẹp, chăm sóc sức khỏe&gt; ​​mỹ phẩm, chăm sóc da&gt; By Nhãn hiệu&gt; Biotherm")</f>
        <v>Đấu giá&gt; làm đẹp, chăm sóc sức khỏe&gt; ​​mỹ phẩm, chăm sóc da&gt; By Nhãn hiệu&gt; Biotherm</v>
      </c>
      <c r="G59" t="str">
        <f t="shared" ca="1" si="0"/>
        <v>"2084228397" : "Biotherm",</v>
      </c>
    </row>
    <row r="60" spans="1:7" ht="15.75" customHeight="1">
      <c r="A60" s="28">
        <v>2084059289</v>
      </c>
      <c r="B60" s="28" t="s">
        <v>20489</v>
      </c>
      <c r="C60" s="28" t="s">
        <v>20490</v>
      </c>
      <c r="D60" s="28" t="s">
        <v>20491</v>
      </c>
      <c r="E60" s="4" t="str">
        <f ca="1">IFERROR(__xludf.DUMMYFUNCTION("GOOGLETRANSLATE(B60,""ja"",""vi"")"),"FANCL")</f>
        <v>FANCL</v>
      </c>
      <c r="F60" s="4" t="str">
        <f ca="1">IFERROR(__xludf.DUMMYFUNCTION("GOOGLETRANSLATE(C60,""ja"",""vi"")"),"Đấu giá&gt; làm đẹp, chăm sóc sức khỏe&gt; ​​mỹ phẩm, chăm sóc da&gt; By Nhãn hiệu&gt; FANCL")</f>
        <v>Đấu giá&gt; làm đẹp, chăm sóc sức khỏe&gt; ​​mỹ phẩm, chăm sóc da&gt; By Nhãn hiệu&gt; FANCL</v>
      </c>
      <c r="G60" t="str">
        <f t="shared" ca="1" si="0"/>
        <v>"2084059289" : "FANCL",</v>
      </c>
    </row>
    <row r="61" spans="1:7" ht="15.75" customHeight="1">
      <c r="A61" s="28">
        <v>2084220381</v>
      </c>
      <c r="B61" s="28" t="s">
        <v>20493</v>
      </c>
      <c r="C61" s="28" t="s">
        <v>20494</v>
      </c>
      <c r="D61" s="28" t="s">
        <v>20495</v>
      </c>
      <c r="E61" s="4" t="str">
        <f ca="1">IFERROR(__xludf.DUMMYFUNCTION("GOOGLETRANSLATE(B61,""ja"",""vi"")"),"chữ cở tám")</f>
        <v>chữ cở tám</v>
      </c>
      <c r="F61" s="4" t="str">
        <f ca="1">IFERROR(__xludf.DUMMYFUNCTION("GOOGLETRANSLATE(C61,""ja"",""vi"")"),"Đấu giá&gt; làm đẹp, chăm sóc sức khỏe&gt; ​​mỹ phẩm, chăm sóc da&gt; By Nhãn hiệu&gt; tư sản")</f>
        <v>Đấu giá&gt; làm đẹp, chăm sóc sức khỏe&gt; ​​mỹ phẩm, chăm sóc da&gt; By Nhãn hiệu&gt; tư sản</v>
      </c>
      <c r="G61" t="str">
        <f t="shared" ca="1" si="0"/>
        <v>"2084220381" : "chữ cở tám",</v>
      </c>
    </row>
    <row r="62" spans="1:7" ht="15.75" customHeight="1">
      <c r="A62" s="28">
        <v>2084310874</v>
      </c>
      <c r="B62" s="28" t="s">
        <v>20498</v>
      </c>
      <c r="C62" s="28" t="s">
        <v>20499</v>
      </c>
      <c r="D62" s="28" t="s">
        <v>20500</v>
      </c>
      <c r="E62" s="4" t="str">
        <f ca="1">IFERROR(__xludf.DUMMYFUNCTION("GOOGLETRANSLATE(B62,""ja"",""vi"")"),"Proactive")</f>
        <v>Proactive</v>
      </c>
      <c r="F62" s="4" t="str">
        <f ca="1">IFERROR(__xludf.DUMMYFUNCTION("GOOGLETRANSLATE(C62,""ja"",""vi"")"),"Đấu giá&gt; làm đẹp, chăm sóc sức khỏe&gt; ​​mỹ phẩm, chăm sóc da&gt; By Nhãn hiệu&gt; chủ động")</f>
        <v>Đấu giá&gt; làm đẹp, chăm sóc sức khỏe&gt; ​​mỹ phẩm, chăm sóc da&gt; By Nhãn hiệu&gt; chủ động</v>
      </c>
      <c r="G62" t="str">
        <f t="shared" ca="1" si="0"/>
        <v>"2084310874" : "Proactive",</v>
      </c>
    </row>
    <row r="63" spans="1:7" ht="15.75" customHeight="1">
      <c r="A63" s="28">
        <v>2084059263</v>
      </c>
      <c r="B63" s="28" t="s">
        <v>20502</v>
      </c>
      <c r="C63" s="28" t="s">
        <v>20503</v>
      </c>
      <c r="D63" s="28" t="s">
        <v>20504</v>
      </c>
      <c r="E63" s="4" t="str">
        <f ca="1">IFERROR(__xludf.DUMMYFUNCTION("GOOGLETRANSLATE(B63,""ja"",""vi"")"),"Helena Rubinstein")</f>
        <v>Helena Rubinstein</v>
      </c>
      <c r="F63" s="4" t="str">
        <f ca="1">IFERROR(__xludf.DUMMYFUNCTION("GOOGLETRANSLATE(C63,""ja"",""vi"")"),"Đấu giá&gt; làm đẹp, chăm sóc sức khỏe&gt; ​​mỹ phẩm, chăm sóc da&gt; bởi thương hiệu&gt; Helena Rubinstein")</f>
        <v>Đấu giá&gt; làm đẹp, chăm sóc sức khỏe&gt; ​​mỹ phẩm, chăm sóc da&gt; bởi thương hiệu&gt; Helena Rubinstein</v>
      </c>
      <c r="G63" t="str">
        <f t="shared" ca="1" si="0"/>
        <v>"2084059263" : "Helena Rubinstein",</v>
      </c>
    </row>
    <row r="64" spans="1:7" ht="15.75" customHeight="1">
      <c r="A64" s="28">
        <v>2084228354</v>
      </c>
      <c r="B64" s="28" t="s">
        <v>20506</v>
      </c>
      <c r="C64" s="28" t="s">
        <v>20507</v>
      </c>
      <c r="D64" s="28" t="s">
        <v>20509</v>
      </c>
      <c r="E64" s="4" t="str">
        <f ca="1">IFERROR(__xludf.DUMMYFUNCTION("GOOGLETRANSLATE(B64,""ja"",""vi"")"),"BareMinerals")</f>
        <v>BareMinerals</v>
      </c>
      <c r="F64" s="4" t="str">
        <f ca="1">IFERROR(__xludf.DUMMYFUNCTION("GOOGLETRANSLATE(C64,""ja"",""vi"")"),"Đấu giá&gt; làm đẹp, chăm sóc sức khỏe&gt; ​​mỹ phẩm, chăm sóc da&gt; Thương hiệu&gt; Bare Minerals")</f>
        <v>Đấu giá&gt; làm đẹp, chăm sóc sức khỏe&gt; ​​mỹ phẩm, chăm sóc da&gt; Thương hiệu&gt; Bare Minerals</v>
      </c>
      <c r="G64" t="str">
        <f t="shared" ca="1" si="0"/>
        <v>"2084228354" : "BareMinerals",</v>
      </c>
    </row>
    <row r="65" spans="1:7" ht="15.75" customHeight="1">
      <c r="A65" s="28">
        <v>2084060445</v>
      </c>
      <c r="B65" s="28" t="s">
        <v>20511</v>
      </c>
      <c r="C65" s="28" t="s">
        <v>20512</v>
      </c>
      <c r="D65" s="28" t="s">
        <v>20513</v>
      </c>
      <c r="E65" s="4" t="str">
        <f ca="1">IFERROR(__xludf.DUMMYFUNCTION("GOOGLETRANSLATE(B65,""ja"",""vi"")"),"Bobii Brown")</f>
        <v>Bobii Brown</v>
      </c>
      <c r="F65" s="4" t="str">
        <f ca="1">IFERROR(__xludf.DUMMYFUNCTION("GOOGLETRANSLATE(C65,""ja"",""vi"")"),"Đấu giá&gt; làm đẹp, chăm sóc sức khỏe&gt; ​​mỹ phẩm, chăm sóc da&gt; By Nhãn hiệu&gt; Bobii Brown")</f>
        <v>Đấu giá&gt; làm đẹp, chăm sóc sức khỏe&gt; ​​mỹ phẩm, chăm sóc da&gt; By Nhãn hiệu&gt; Bobii Brown</v>
      </c>
      <c r="G65" t="str">
        <f t="shared" ca="1" si="0"/>
        <v>"2084060445" : "Bobii Brown",</v>
      </c>
    </row>
    <row r="66" spans="1:7" ht="15.75" customHeight="1">
      <c r="A66" s="28">
        <v>2084060457</v>
      </c>
      <c r="B66" s="28" t="s">
        <v>20515</v>
      </c>
      <c r="C66" s="28" t="s">
        <v>20516</v>
      </c>
      <c r="D66" s="28" t="s">
        <v>20517</v>
      </c>
      <c r="E66" s="4" t="str">
        <f ca="1">IFERROR(__xludf.DUMMYFUNCTION("GOOGLETRANSLATE(B66,""ja"",""vi"")"),"Paula")</f>
        <v>Paula</v>
      </c>
      <c r="F66" s="4" t="str">
        <f ca="1">IFERROR(__xludf.DUMMYFUNCTION("GOOGLETRANSLATE(C66,""ja"",""vi"")"),"Đấu giá&gt; làm đẹp, chăm sóc sức khỏe&gt; ​​mỹ phẩm, chăm sóc da&gt; By Nhãn hiệu&gt; Paula")</f>
        <v>Đấu giá&gt; làm đẹp, chăm sóc sức khỏe&gt; ​​mỹ phẩm, chăm sóc da&gt; By Nhãn hiệu&gt; Paula</v>
      </c>
      <c r="G66" t="str">
        <f t="shared" ref="G66:G129" ca="1" si="1">CONCATENATE(CHAR(34)&amp;"",A66,""&amp;CHAR(34)," : ", CHAR(34)&amp;"",E66,""&amp;CHAR(34),",")</f>
        <v>"2084060457" : "Paula",</v>
      </c>
    </row>
    <row r="67" spans="1:7" ht="15.75" customHeight="1">
      <c r="A67" s="28">
        <v>2084220357</v>
      </c>
      <c r="B67" s="28" t="s">
        <v>12253</v>
      </c>
      <c r="C67" s="28" t="s">
        <v>20520</v>
      </c>
      <c r="D67" s="28" t="s">
        <v>20521</v>
      </c>
      <c r="E67" s="4" t="str">
        <f ca="1">IFERROR(__xludf.DUMMYFUNCTION("GOOGLETRANSLATE(B67,""ja"",""vi"")"),"Paul &amp; Joe")</f>
        <v>Paul &amp; Joe</v>
      </c>
      <c r="F67" s="4" t="str">
        <f ca="1">IFERROR(__xludf.DUMMYFUNCTION("GOOGLETRANSLATE(C67,""ja"",""vi"")"),"Đấu giá&gt; làm đẹp, chăm sóc sức khỏe&gt; ​​mỹ phẩm, chăm sóc da&gt; bởi thương hiệu&gt; Paul &amp; Joe")</f>
        <v>Đấu giá&gt; làm đẹp, chăm sóc sức khỏe&gt; ​​mỹ phẩm, chăm sóc da&gt; bởi thương hiệu&gt; Paul &amp; Joe</v>
      </c>
      <c r="G67" t="str">
        <f t="shared" ca="1" si="1"/>
        <v>"2084220357" : "Paul &amp; Joe",</v>
      </c>
    </row>
    <row r="68" spans="1:7" ht="15.75" customHeight="1">
      <c r="A68" s="28">
        <v>2084243968</v>
      </c>
      <c r="B68" s="28" t="s">
        <v>9168</v>
      </c>
      <c r="C68" s="28" t="s">
        <v>20523</v>
      </c>
      <c r="D68" s="28" t="s">
        <v>20525</v>
      </c>
      <c r="E68" s="4" t="str">
        <f ca="1">IFERROR(__xludf.DUMMYFUNCTION("GOOGLETRANSLATE(B68,""ja"",""vi"")"),"Victoria 's Secret")</f>
        <v>Victoria 's Secret</v>
      </c>
      <c r="F68" s="4" t="str">
        <f ca="1">IFERROR(__xludf.DUMMYFUNCTION("GOOGLETRANSLATE(C68,""ja"",""vi"")"),"Đấu giá&gt; làm đẹp, chăm sóc sức khỏe&gt; ​​mỹ phẩm, chăm sóc da&gt; By Nhãn hiệu&gt; Victoria 's Secret")</f>
        <v>Đấu giá&gt; làm đẹp, chăm sóc sức khỏe&gt; ​​mỹ phẩm, chăm sóc da&gt; By Nhãn hiệu&gt; Victoria 's Secret</v>
      </c>
      <c r="G68" t="str">
        <f t="shared" ca="1" si="1"/>
        <v>"2084243968" : "Victoria 's Secret",</v>
      </c>
    </row>
    <row r="69" spans="1:7" ht="15.75" customHeight="1">
      <c r="A69" s="28">
        <v>2084059211</v>
      </c>
      <c r="B69" s="28" t="s">
        <v>20527</v>
      </c>
      <c r="C69" s="28" t="s">
        <v>20528</v>
      </c>
      <c r="D69" s="28" t="s">
        <v>20529</v>
      </c>
      <c r="E69" s="4" t="str">
        <f ca="1">IFERROR(__xludf.DUMMYFUNCTION("GOOGLETRANSLATE(B69,""ja"",""vi"")"),"MAC")</f>
        <v>MAC</v>
      </c>
      <c r="F69" s="4" t="str">
        <f ca="1">IFERROR(__xludf.DUMMYFUNCTION("GOOGLETRANSLATE(C69,""ja"",""vi"")"),"Đấu giá&gt; làm đẹp, chăm sóc sức khỏe&gt; ​​mỹ phẩm, chăm sóc da&gt; By Nhãn hiệu&gt; MAC")</f>
        <v>Đấu giá&gt; làm đẹp, chăm sóc sức khỏe&gt; ​​mỹ phẩm, chăm sóc da&gt; By Nhãn hiệu&gt; MAC</v>
      </c>
      <c r="G69" t="str">
        <f t="shared" ca="1" si="1"/>
        <v>"2084059211" : "MAC",</v>
      </c>
    </row>
    <row r="70" spans="1:7" ht="15.75" customHeight="1">
      <c r="A70" s="28">
        <v>2084059266</v>
      </c>
      <c r="B70" s="28" t="s">
        <v>20532</v>
      </c>
      <c r="C70" s="28" t="s">
        <v>20533</v>
      </c>
      <c r="D70" s="28" t="s">
        <v>20534</v>
      </c>
      <c r="E70" s="4" t="str">
        <f ca="1">IFERROR(__xludf.DUMMYFUNCTION("GOOGLETRANSLATE(B70,""ja"",""vi"")"),"Max Factor")</f>
        <v>Max Factor</v>
      </c>
      <c r="F70" s="4" t="str">
        <f ca="1">IFERROR(__xludf.DUMMYFUNCTION("GOOGLETRANSLATE(C70,""ja"",""vi"")"),"Đấu giá&gt; làm đẹp, chăm sóc sức khỏe&gt; ​​mỹ phẩm, chăm sóc da&gt; bởi thương hiệu&gt; Max Factor")</f>
        <v>Đấu giá&gt; làm đẹp, chăm sóc sức khỏe&gt; ​​mỹ phẩm, chăm sóc da&gt; bởi thương hiệu&gt; Max Factor</v>
      </c>
      <c r="G70" t="str">
        <f t="shared" ca="1" si="1"/>
        <v>"2084059266" : "Max Factor",</v>
      </c>
    </row>
    <row r="71" spans="1:7" ht="15.75" customHeight="1">
      <c r="A71" s="28">
        <v>2084060449</v>
      </c>
      <c r="B71" s="28" t="s">
        <v>20536</v>
      </c>
      <c r="C71" s="28" t="s">
        <v>20538</v>
      </c>
      <c r="D71" s="28" t="s">
        <v>20539</v>
      </c>
      <c r="E71" s="4" t="str">
        <f ca="1">IFERROR(__xludf.DUMMYFUNCTION("GOOGLETRANSLATE(B71,""ja"",""vi"")"),"Marikuwanto")</f>
        <v>Marikuwanto</v>
      </c>
      <c r="F71" s="4" t="str">
        <f ca="1">IFERROR(__xludf.DUMMYFUNCTION("GOOGLETRANSLATE(C71,""ja"",""vi"")"),"Đấu giá&gt; làm đẹp, chăm sóc sức khỏe&gt; ​​mỹ phẩm, chăm sóc da&gt; By Nhãn hiệu&gt; Marikuwanto")</f>
        <v>Đấu giá&gt; làm đẹp, chăm sóc sức khỏe&gt; ​​mỹ phẩm, chăm sóc da&gt; By Nhãn hiệu&gt; Marikuwanto</v>
      </c>
      <c r="G71" t="str">
        <f t="shared" ca="1" si="1"/>
        <v>"2084060449" : "Marikuwanto",</v>
      </c>
    </row>
    <row r="72" spans="1:7" ht="15.75" customHeight="1">
      <c r="A72" s="28">
        <v>2084310875</v>
      </c>
      <c r="B72" s="28" t="s">
        <v>20541</v>
      </c>
      <c r="C72" s="28" t="s">
        <v>20542</v>
      </c>
      <c r="D72" s="28" t="s">
        <v>20543</v>
      </c>
      <c r="E72" s="4" t="str">
        <f ca="1">IFERROR(__xludf.DUMMYFUNCTION("GOOGLETRANSLATE(B72,""ja"",""vi"")"),"Misha")</f>
        <v>Misha</v>
      </c>
      <c r="F72" s="4" t="str">
        <f ca="1">IFERROR(__xludf.DUMMYFUNCTION("GOOGLETRANSLATE(C72,""ja"",""vi"")"),"Đấu giá&gt; làm đẹp, chăm sóc sức khỏe&gt; ​​mỹ phẩm, chăm sóc da&gt; By Nhãn hiệu&gt; Misha")</f>
        <v>Đấu giá&gt; làm đẹp, chăm sóc sức khỏe&gt; ​​mỹ phẩm, chăm sóc da&gt; By Nhãn hiệu&gt; Misha</v>
      </c>
      <c r="G72" t="str">
        <f t="shared" ca="1" si="1"/>
        <v>"2084310875" : "Misha",</v>
      </c>
    </row>
    <row r="73" spans="1:7" ht="15.75" customHeight="1">
      <c r="A73" s="28">
        <v>2084059269</v>
      </c>
      <c r="B73" s="28" t="s">
        <v>20546</v>
      </c>
      <c r="C73" s="28" t="s">
        <v>20547</v>
      </c>
      <c r="D73" s="28" t="s">
        <v>20548</v>
      </c>
      <c r="E73" s="4" t="str">
        <f ca="1">IFERROR(__xludf.DUMMYFUNCTION("GOOGLETRANSLATE(B73,""ja"",""vi"")"),"Maybelline")</f>
        <v>Maybelline</v>
      </c>
      <c r="F73" s="4" t="str">
        <f ca="1">IFERROR(__xludf.DUMMYFUNCTION("GOOGLETRANSLATE(C73,""ja"",""vi"")"),"Đấu giá&gt; làm đẹp, chăm sóc sức khỏe&gt; ​​mỹ phẩm, chăm sóc da&gt; Thương hiệu&gt; Maybelline")</f>
        <v>Đấu giá&gt; làm đẹp, chăm sóc sức khỏe&gt; ​​mỹ phẩm, chăm sóc da&gt; Thương hiệu&gt; Maybelline</v>
      </c>
      <c r="G73" t="str">
        <f t="shared" ca="1" si="1"/>
        <v>"2084059269" : "Maybelline",</v>
      </c>
    </row>
    <row r="74" spans="1:7" ht="15.75" customHeight="1">
      <c r="A74" s="28">
        <v>2084059272</v>
      </c>
      <c r="B74" s="28" t="s">
        <v>20550</v>
      </c>
      <c r="C74" s="28" t="s">
        <v>20551</v>
      </c>
      <c r="D74" s="28" t="s">
        <v>20553</v>
      </c>
      <c r="E74" s="4" t="str">
        <f ca="1">IFERROR(__xludf.DUMMYFUNCTION("GOOGLETRANSLATE(B74,""ja"",""vi"")"),"Menard")</f>
        <v>Menard</v>
      </c>
      <c r="F74" s="4" t="str">
        <f ca="1">IFERROR(__xludf.DUMMYFUNCTION("GOOGLETRANSLATE(C74,""ja"",""vi"")"),"Đấu giá&gt; làm đẹp, chăm sóc sức khỏe&gt; ​​mỹ phẩm, chăm sóc da&gt; bởi thương hiệu&gt; Menard")</f>
        <v>Đấu giá&gt; làm đẹp, chăm sóc sức khỏe&gt; ​​mỹ phẩm, chăm sóc da&gt; bởi thương hiệu&gt; Menard</v>
      </c>
      <c r="G74" t="str">
        <f t="shared" ca="1" si="1"/>
        <v>"2084059272" : "Menard",</v>
      </c>
    </row>
    <row r="75" spans="1:7" ht="15.75" customHeight="1">
      <c r="A75" s="28">
        <v>2084220383</v>
      </c>
      <c r="B75" s="28" t="s">
        <v>20555</v>
      </c>
      <c r="C75" s="28" t="s">
        <v>20556</v>
      </c>
      <c r="D75" s="28" t="s">
        <v>20557</v>
      </c>
      <c r="E75" s="4" t="str">
        <f ca="1">IFERROR(__xludf.DUMMYFUNCTION("GOOGLETRANSLATE(B75,""ja"",""vi"")"),"Yakult")</f>
        <v>Yakult</v>
      </c>
      <c r="F75" s="4" t="str">
        <f ca="1">IFERROR(__xludf.DUMMYFUNCTION("GOOGLETRANSLATE(C75,""ja"",""vi"")"),"Đấu giá&gt; làm đẹp, chăm sóc sức khỏe&gt; ​​mỹ phẩm, chăm sóc da&gt; Thương hiệu&gt; Yakult")</f>
        <v>Đấu giá&gt; làm đẹp, chăm sóc sức khỏe&gt; ​​mỹ phẩm, chăm sóc da&gt; Thương hiệu&gt; Yakult</v>
      </c>
      <c r="G75" t="str">
        <f t="shared" ca="1" si="1"/>
        <v>"2084220383" : "Yakult",</v>
      </c>
    </row>
    <row r="76" spans="1:7" ht="15.75" customHeight="1">
      <c r="A76" s="28">
        <v>2084228379</v>
      </c>
      <c r="B76" s="28" t="s">
        <v>20559</v>
      </c>
      <c r="C76" s="28" t="s">
        <v>20560</v>
      </c>
      <c r="D76" s="28" t="s">
        <v>20561</v>
      </c>
      <c r="E76" s="4" t="str">
        <f ca="1">IFERROR(__xludf.DUMMYFUNCTION("GOOGLETRANSLATE(B76,""ja"",""vi"")"),"gạo Force")</f>
        <v>gạo Force</v>
      </c>
      <c r="F76" s="4" t="str">
        <f ca="1">IFERROR(__xludf.DUMMYFUNCTION("GOOGLETRANSLATE(C76,""ja"",""vi"")"),"Đấu giá&gt; làm đẹp, chăm sóc sức khỏe&gt; ​​mỹ phẩm, chăm sóc da&gt; bởi thương hiệu&gt; Gạo Force")</f>
        <v>Đấu giá&gt; làm đẹp, chăm sóc sức khỏe&gt; ​​mỹ phẩm, chăm sóc da&gt; bởi thương hiệu&gt; Gạo Force</v>
      </c>
      <c r="G76" t="str">
        <f t="shared" ca="1" si="1"/>
        <v>"2084228379" : "gạo Force",</v>
      </c>
    </row>
    <row r="77" spans="1:7" ht="15.75" customHeight="1">
      <c r="A77" s="28">
        <v>2084220390</v>
      </c>
      <c r="B77" s="28" t="s">
        <v>20563</v>
      </c>
      <c r="C77" s="28" t="s">
        <v>20564</v>
      </c>
      <c r="D77" s="28" t="s">
        <v>20566</v>
      </c>
      <c r="E77" s="4" t="str">
        <f ca="1">IFERROR(__xludf.DUMMYFUNCTION("GOOGLETRANSLATE(B77,""ja"",""vi"")"),"lời than thở")</f>
        <v>lời than thở</v>
      </c>
      <c r="F77" s="4" t="str">
        <f ca="1">IFERROR(__xludf.DUMMYFUNCTION("GOOGLETRANSLATE(C77,""ja"",""vi"")"),"Đấu giá&gt; làm đẹp, chăm sóc sức khỏe&gt; ​​mỹ phẩm, chăm sóc da&gt; By Nhãn hiệu&gt; than vãn")</f>
        <v>Đấu giá&gt; làm đẹp, chăm sóc sức khỏe&gt; ​​mỹ phẩm, chăm sóc da&gt; By Nhãn hiệu&gt; than vãn</v>
      </c>
      <c r="G77" t="str">
        <f t="shared" ca="1" si="1"/>
        <v>"2084220390" : "lời than thở",</v>
      </c>
    </row>
    <row r="78" spans="1:7" ht="15.75" customHeight="1">
      <c r="A78" s="28">
        <v>2084059274</v>
      </c>
      <c r="B78" s="28" t="s">
        <v>19898</v>
      </c>
      <c r="C78" s="28" t="s">
        <v>20568</v>
      </c>
      <c r="D78" s="28" t="s">
        <v>20569</v>
      </c>
      <c r="E78" s="4" t="str">
        <f ca="1">IFERROR(__xludf.DUMMYFUNCTION("GOOGLETRANSLATE(B78,""ja"",""vi"")"),"Lancome")</f>
        <v>Lancome</v>
      </c>
      <c r="F78" s="4" t="str">
        <f ca="1">IFERROR(__xludf.DUMMYFUNCTION("GOOGLETRANSLATE(C78,""ja"",""vi"")"),"Đấu giá&gt; làm đẹp, chăm sóc sức khỏe&gt; ​​mỹ phẩm, chăm sóc da&gt; bởi thương hiệu&gt; Lancome")</f>
        <v>Đấu giá&gt; làm đẹp, chăm sóc sức khỏe&gt; ​​mỹ phẩm, chăm sóc da&gt; bởi thương hiệu&gt; Lancome</v>
      </c>
      <c r="G78" t="str">
        <f t="shared" ca="1" si="1"/>
        <v>"2084059274" : "Lancome",</v>
      </c>
    </row>
    <row r="79" spans="1:7" ht="15.75" customHeight="1">
      <c r="A79" s="28">
        <v>2084059277</v>
      </c>
      <c r="B79" s="28" t="s">
        <v>20571</v>
      </c>
      <c r="C79" s="28" t="s">
        <v>20572</v>
      </c>
      <c r="D79" s="28" t="s">
        <v>20573</v>
      </c>
      <c r="E79" s="4" t="str">
        <f ca="1">IFERROR(__xludf.DUMMYFUNCTION("GOOGLETRANSLATE(B79,""ja"",""vi"")"),"Revlon")</f>
        <v>Revlon</v>
      </c>
      <c r="F79" s="4" t="str">
        <f ca="1">IFERROR(__xludf.DUMMYFUNCTION("GOOGLETRANSLATE(C79,""ja"",""vi"")"),"Đấu giá&gt; làm đẹp, chăm sóc sức khỏe&gt; ​​mỹ phẩm, chăm sóc da&gt; By Nhãn hiệu&gt; Revlon")</f>
        <v>Đấu giá&gt; làm đẹp, chăm sóc sức khỏe&gt; ​​mỹ phẩm, chăm sóc da&gt; By Nhãn hiệu&gt; Revlon</v>
      </c>
      <c r="G79" t="str">
        <f t="shared" ca="1" si="1"/>
        <v>"2084059277" : "Revlon",</v>
      </c>
    </row>
    <row r="80" spans="1:7" ht="15.75" customHeight="1">
      <c r="A80" s="28">
        <v>2084220393</v>
      </c>
      <c r="B80" s="28" t="s">
        <v>20575</v>
      </c>
      <c r="C80" s="28" t="s">
        <v>20576</v>
      </c>
      <c r="D80" s="28" t="s">
        <v>20577</v>
      </c>
      <c r="E80" s="4" t="str">
        <f ca="1">IFERROR(__xludf.DUMMYFUNCTION("GOOGLETRANSLATE(B80,""ja"",""vi"")"),"L'Occitane")</f>
        <v>L'Occitane</v>
      </c>
      <c r="F80" s="4" t="str">
        <f ca="1">IFERROR(__xludf.DUMMYFUNCTION("GOOGLETRANSLATE(C80,""ja"",""vi"")"),"Đấu giá&gt; làm đẹp, chăm sóc sức khỏe&gt; ​​mỹ phẩm, chăm sóc da&gt; By Nhãn hiệu&gt; L'Occitane")</f>
        <v>Đấu giá&gt; làm đẹp, chăm sóc sức khỏe&gt; ​​mỹ phẩm, chăm sóc da&gt; By Nhãn hiệu&gt; L'Occitane</v>
      </c>
      <c r="G80" t="str">
        <f t="shared" ca="1" si="1"/>
        <v>"2084220393" : "L'Occitane",</v>
      </c>
    </row>
    <row r="81" spans="1:7" ht="15.75" customHeight="1">
      <c r="A81" s="36">
        <v>2084005322</v>
      </c>
      <c r="B81" s="36" t="s">
        <v>20582</v>
      </c>
      <c r="C81" s="36" t="s">
        <v>20583</v>
      </c>
      <c r="D81" s="36" t="s">
        <v>20584</v>
      </c>
      <c r="E81" s="4" t="str">
        <f ca="1">IFERROR(__xludf.DUMMYFUNCTION("GOOGLETRANSLATE(B81,""ja"",""vi"")"),"Cleansing")</f>
        <v>Cleansing</v>
      </c>
      <c r="F81" s="4" t="str">
        <f ca="1">IFERROR(__xludf.DUMMYFUNCTION("GOOGLETRANSLATE(C81,""ja"",""vi"")"),"Đấu giá&gt; làm đẹp, chăm sóc sức khỏe&gt; ​​mỹ phẩm, chăm sóc da&gt; mỹ phẩm cơ bản&gt; làm sạch")</f>
        <v>Đấu giá&gt; làm đẹp, chăm sóc sức khỏe&gt; ​​mỹ phẩm, chăm sóc da&gt; mỹ phẩm cơ bản&gt; làm sạch</v>
      </c>
      <c r="G81" t="str">
        <f t="shared" ca="1" si="1"/>
        <v>"2084005322" : "Cleansing",</v>
      </c>
    </row>
    <row r="82" spans="1:7" ht="15.75" customHeight="1">
      <c r="A82" s="28">
        <v>2084005328</v>
      </c>
      <c r="B82" s="28" t="s">
        <v>20586</v>
      </c>
      <c r="C82" s="28" t="s">
        <v>20587</v>
      </c>
      <c r="D82" s="28" t="s">
        <v>20588</v>
      </c>
      <c r="E82" s="4" t="str">
        <f ca="1">IFERROR(__xludf.DUMMYFUNCTION("GOOGLETRANSLATE(B82,""ja"",""vi"")"),"Cleanser")</f>
        <v>Cleanser</v>
      </c>
      <c r="F82" s="4" t="str">
        <f ca="1">IFERROR(__xludf.DUMMYFUNCTION("GOOGLETRANSLATE(C82,""ja"",""vi"")"),"Đấu giá&gt; làm đẹp, chăm sóc sức khỏe&gt; ​​mỹ phẩm, chăm sóc da&gt; mỹ phẩm cơ bản&gt; sữa rửa mặt")</f>
        <v>Đấu giá&gt; làm đẹp, chăm sóc sức khỏe&gt; ​​mỹ phẩm, chăm sóc da&gt; mỹ phẩm cơ bản&gt; sữa rửa mặt</v>
      </c>
      <c r="G82" t="str">
        <f t="shared" ca="1" si="1"/>
        <v>"2084005328" : "Cleanser",</v>
      </c>
    </row>
    <row r="83" spans="1:7" ht="15.75" customHeight="1">
      <c r="A83" s="28">
        <v>2084005341</v>
      </c>
      <c r="B83" s="28" t="s">
        <v>20590</v>
      </c>
      <c r="C83" s="28" t="s">
        <v>20591</v>
      </c>
      <c r="D83" s="28" t="s">
        <v>20592</v>
      </c>
      <c r="E83" s="4" t="str">
        <f ca="1">IFERROR(__xludf.DUMMYFUNCTION("GOOGLETRANSLATE(B83,""ja"",""vi"")"),"kem dưỡng da")</f>
        <v>kem dưỡng da</v>
      </c>
      <c r="F83" s="4" t="str">
        <f ca="1">IFERROR(__xludf.DUMMYFUNCTION("GOOGLETRANSLATE(C83,""ja"",""vi"")"),"Đấu giá&gt; làm đẹp, chăm sóc sức khỏe&gt; ​​mỹ phẩm, chăm sóc da&gt; mỹ phẩm cơ bản&gt; lotion")</f>
        <v>Đấu giá&gt; làm đẹp, chăm sóc sức khỏe&gt; ​​mỹ phẩm, chăm sóc da&gt; mỹ phẩm cơ bản&gt; lotion</v>
      </c>
      <c r="G83" t="str">
        <f t="shared" ca="1" si="1"/>
        <v>"2084005341" : "kem dưỡng da",</v>
      </c>
    </row>
    <row r="84" spans="1:7" ht="15.75" customHeight="1">
      <c r="A84" s="28">
        <v>2084049735</v>
      </c>
      <c r="B84" s="28" t="s">
        <v>20594</v>
      </c>
      <c r="C84" s="28" t="s">
        <v>20596</v>
      </c>
      <c r="D84" s="28" t="s">
        <v>20597</v>
      </c>
      <c r="E84" s="4" t="str">
        <f ca="1">IFERROR(__xludf.DUMMYFUNCTION("GOOGLETRANSLATE(B84,""ja"",""vi"")"),"Gel, gel")</f>
        <v>Gel, gel</v>
      </c>
      <c r="F84" s="4" t="str">
        <f ca="1">IFERROR(__xludf.DUMMYFUNCTION("GOOGLETRANSLATE(C84,""ja"",""vi"")"),"Đấu giá&gt; làm đẹp, chăm sóc sức khỏe&gt; ​​mỹ phẩm, chăm sóc da&gt; mỹ phẩm cơ bản&gt; gel, gel")</f>
        <v>Đấu giá&gt; làm đẹp, chăm sóc sức khỏe&gt; ​​mỹ phẩm, chăm sóc da&gt; mỹ phẩm cơ bản&gt; gel, gel</v>
      </c>
      <c r="G84" t="str">
        <f t="shared" ca="1" si="1"/>
        <v>"2084049735" : "Gel, gel",</v>
      </c>
    </row>
    <row r="85" spans="1:7" ht="15.75" customHeight="1">
      <c r="A85" s="28">
        <v>2084005329</v>
      </c>
      <c r="B85" s="28" t="s">
        <v>20599</v>
      </c>
      <c r="C85" s="28" t="s">
        <v>20600</v>
      </c>
      <c r="D85" s="28" t="s">
        <v>20601</v>
      </c>
      <c r="E85" s="4" t="str">
        <f ca="1">IFERROR(__xludf.DUMMYFUNCTION("GOOGLETRANSLATE(B85,""ja"",""vi"")"),"latex")</f>
        <v>latex</v>
      </c>
      <c r="F85" s="4" t="str">
        <f ca="1">IFERROR(__xludf.DUMMYFUNCTION("GOOGLETRANSLATE(C85,""ja"",""vi"")"),"Đấu giá&gt; vẻ đẹp, sức khỏe&gt; ​​mỹ phẩm, chăm sóc da&gt; mỹ phẩm cơ bản&gt; nhũ tương")</f>
        <v>Đấu giá&gt; vẻ đẹp, sức khỏe&gt; ​​mỹ phẩm, chăm sóc da&gt; mỹ phẩm cơ bản&gt; nhũ tương</v>
      </c>
      <c r="G85" t="str">
        <f t="shared" ca="1" si="1"/>
        <v>"2084005329" : "latex",</v>
      </c>
    </row>
    <row r="86" spans="1:7" ht="15.75" customHeight="1">
      <c r="A86" s="28">
        <v>2084007426</v>
      </c>
      <c r="B86" s="28" t="s">
        <v>20603</v>
      </c>
      <c r="C86" s="28" t="s">
        <v>20604</v>
      </c>
      <c r="D86" s="28" t="s">
        <v>20605</v>
      </c>
      <c r="E86" s="4" t="str">
        <f ca="1">IFERROR(__xludf.DUMMYFUNCTION("GOOGLETRANSLATE(B86,""ja"",""vi"")"),"bản chất")</f>
        <v>bản chất</v>
      </c>
      <c r="F86" s="4" t="str">
        <f ca="1">IFERROR(__xludf.DUMMYFUNCTION("GOOGLETRANSLATE(C86,""ja"",""vi"")"),"Đấu giá&gt; làm đẹp, chăm sóc sức khỏe&gt; ​​mỹ phẩm, chăm sóc da&gt; mỹ phẩm cơ bản&gt; Essence")</f>
        <v>Đấu giá&gt; làm đẹp, chăm sóc sức khỏe&gt; ​​mỹ phẩm, chăm sóc da&gt; mỹ phẩm cơ bản&gt; Essence</v>
      </c>
      <c r="G86" t="str">
        <f t="shared" ca="1" si="1"/>
        <v>"2084007426" : "bản chất",</v>
      </c>
    </row>
    <row r="87" spans="1:7" ht="15.75" customHeight="1">
      <c r="A87" s="28">
        <v>2084306764</v>
      </c>
      <c r="B87" s="28" t="s">
        <v>20607</v>
      </c>
      <c r="C87" s="28" t="s">
        <v>20608</v>
      </c>
      <c r="D87" s="28" t="s">
        <v>20609</v>
      </c>
      <c r="E87" s="4" t="str">
        <f ca="1">IFERROR(__xludf.DUMMYFUNCTION("GOOGLETRANSLATE(B87,""ja"",""vi"")"),"BB cream")</f>
        <v>BB cream</v>
      </c>
      <c r="F87" s="4" t="str">
        <f ca="1">IFERROR(__xludf.DUMMYFUNCTION("GOOGLETRANSLATE(C87,""ja"",""vi"")"),"Đấu giá&gt; làm đẹp, chăm sóc sức khỏe&gt; ​​mỹ phẩm, chăm sóc da&gt; mỹ phẩm cơ bản&gt; BB cream")</f>
        <v>Đấu giá&gt; làm đẹp, chăm sóc sức khỏe&gt; ​​mỹ phẩm, chăm sóc da&gt; mỹ phẩm cơ bản&gt; BB cream</v>
      </c>
      <c r="G87" t="str">
        <f t="shared" ca="1" si="1"/>
        <v>"2084306764" : "BB cream",</v>
      </c>
    </row>
    <row r="88" spans="1:7" ht="15.75" customHeight="1">
      <c r="A88" s="28">
        <v>2084007428</v>
      </c>
      <c r="B88" s="28" t="s">
        <v>20612</v>
      </c>
      <c r="C88" s="28" t="s">
        <v>20613</v>
      </c>
      <c r="D88" s="28" t="s">
        <v>20614</v>
      </c>
      <c r="E88" s="4" t="str">
        <f ca="1">IFERROR(__xludf.DUMMYFUNCTION("GOOGLETRANSLATE(B88,""ja"",""vi"")"),"Kem mặt")</f>
        <v>Kem mặt</v>
      </c>
      <c r="F88" s="4" t="str">
        <f ca="1">IFERROR(__xludf.DUMMYFUNCTION("GOOGLETRANSLATE(C88,""ja"",""vi"")"),"Đấu giá&gt; làm đẹp, chăm sóc sức khỏe&gt; ​​mỹ phẩm, chăm sóc da&gt; mỹ phẩm cơ bản&gt; Kem bôi mặt")</f>
        <v>Đấu giá&gt; làm đẹp, chăm sóc sức khỏe&gt; ​​mỹ phẩm, chăm sóc da&gt; mỹ phẩm cơ bản&gt; Kem bôi mặt</v>
      </c>
      <c r="G88" t="str">
        <f t="shared" ca="1" si="1"/>
        <v>"2084007428" : "Kem mặt",</v>
      </c>
    </row>
    <row r="89" spans="1:7" ht="15.75" customHeight="1">
      <c r="A89" s="28">
        <v>2084049734</v>
      </c>
      <c r="B89" s="28" t="s">
        <v>20616</v>
      </c>
      <c r="C89" s="28" t="s">
        <v>20617</v>
      </c>
      <c r="D89" s="28" t="s">
        <v>20618</v>
      </c>
      <c r="E89" s="4" t="str">
        <f ca="1">IFERROR(__xludf.DUMMYFUNCTION("GOOGLETRANSLATE(B89,""ja"",""vi"")"),"Chăm Sóc Mắt, Eye Cream")</f>
        <v>Chăm Sóc Mắt, Eye Cream</v>
      </c>
      <c r="F89" s="4" t="str">
        <f ca="1">IFERROR(__xludf.DUMMYFUNCTION("GOOGLETRANSLATE(C89,""ja"",""vi"")"),"Đấu giá&gt; làm đẹp, chăm sóc sức khỏe&gt; ​​mỹ phẩm, chăm sóc da&gt; mỹ phẩm cơ bản&gt; Chăm Sóc Mắt, Eye Cream")</f>
        <v>Đấu giá&gt; làm đẹp, chăm sóc sức khỏe&gt; ​​mỹ phẩm, chăm sóc da&gt; mỹ phẩm cơ bản&gt; Chăm Sóc Mắt, Eye Cream</v>
      </c>
      <c r="G89" t="str">
        <f t="shared" ca="1" si="1"/>
        <v>"2084049734" : "Chăm Sóc Mắt, Eye Cream",</v>
      </c>
    </row>
    <row r="90" spans="1:7" ht="15.75" customHeight="1">
      <c r="A90" s="28">
        <v>2084005331</v>
      </c>
      <c r="B90" s="28" t="s">
        <v>20620</v>
      </c>
      <c r="C90" s="28" t="s">
        <v>20621</v>
      </c>
      <c r="D90" s="28" t="s">
        <v>20622</v>
      </c>
      <c r="E90" s="4" t="str">
        <f ca="1">IFERROR(__xludf.DUMMYFUNCTION("GOOGLETRANSLATE(B90,""ja"",""vi"")"),"Pack, mặt nạ")</f>
        <v>Pack, mặt nạ</v>
      </c>
      <c r="F90" s="4" t="str">
        <f ca="1">IFERROR(__xludf.DUMMYFUNCTION("GOOGLETRANSLATE(C90,""ja"",""vi"")"),"Đấu giá&gt; làm đẹp, chăm sóc sức khỏe&gt; ​​mỹ phẩm, chăm sóc da&gt; mỹ phẩm cơ bản&gt; pack, mặt nạ")</f>
        <v>Đấu giá&gt; làm đẹp, chăm sóc sức khỏe&gt; ​​mỹ phẩm, chăm sóc da&gt; mỹ phẩm cơ bản&gt; pack, mặt nạ</v>
      </c>
      <c r="G90" t="str">
        <f t="shared" ca="1" si="1"/>
        <v>"2084005331" : "Pack, mặt nạ",</v>
      </c>
    </row>
    <row r="91" spans="1:7" ht="15.75" customHeight="1">
      <c r="A91" s="28">
        <v>2084007429</v>
      </c>
      <c r="B91" s="28" t="s">
        <v>20624</v>
      </c>
      <c r="C91" s="28" t="s">
        <v>20625</v>
      </c>
      <c r="D91" s="28" t="s">
        <v>20626</v>
      </c>
      <c r="E91" s="4" t="str">
        <f ca="1">IFERROR(__xludf.DUMMYFUNCTION("GOOGLETRANSLATE(B91,""ja"",""vi"")"),"kem môi")</f>
        <v>kem môi</v>
      </c>
      <c r="F91" s="4" t="str">
        <f ca="1">IFERROR(__xludf.DUMMYFUNCTION("GOOGLETRANSLATE(C91,""ja"",""vi"")"),"Đấu giá&gt; làm đẹp, chăm sóc sức khỏe&gt; ​​mỹ phẩm, chăm sóc da&gt; mỹ phẩm cơ bản&gt; kem môi")</f>
        <v>Đấu giá&gt; làm đẹp, chăm sóc sức khỏe&gt; ​​mỹ phẩm, chăm sóc da&gt; mỹ phẩm cơ bản&gt; kem môi</v>
      </c>
      <c r="G91" t="str">
        <f t="shared" ca="1" si="1"/>
        <v>"2084007429" : "kem môi",</v>
      </c>
    </row>
    <row r="92" spans="1:7" ht="15.75" customHeight="1">
      <c r="A92" s="28">
        <v>2084304919</v>
      </c>
      <c r="B92" s="28" t="s">
        <v>20628</v>
      </c>
      <c r="C92" s="28" t="s">
        <v>20630</v>
      </c>
      <c r="D92" s="28" t="s">
        <v>20631</v>
      </c>
      <c r="E92" s="4" t="str">
        <f ca="1">IFERROR(__xludf.DUMMYFUNCTION("GOOGLETRANSLATE(B92,""ja"",""vi"")"),"peeling")</f>
        <v>peeling</v>
      </c>
      <c r="F92" s="4" t="str">
        <f ca="1">IFERROR(__xludf.DUMMYFUNCTION("GOOGLETRANSLATE(C92,""ja"",""vi"")"),"Đấu giá&gt; làm đẹp, chăm sóc sức khỏe&gt; ​​mỹ phẩm, chăm sóc da&gt; mỹ phẩm cơ bản&gt; Tẩy tế bào chết")</f>
        <v>Đấu giá&gt; làm đẹp, chăm sóc sức khỏe&gt; ​​mỹ phẩm, chăm sóc da&gt; mỹ phẩm cơ bản&gt; Tẩy tế bào chết</v>
      </c>
      <c r="G92" t="str">
        <f t="shared" ca="1" si="1"/>
        <v>"2084304919" : "peeling",</v>
      </c>
    </row>
    <row r="93" spans="1:7" ht="15.75" customHeight="1">
      <c r="A93" s="28">
        <v>2084005340</v>
      </c>
      <c r="B93" s="28" t="s">
        <v>20633</v>
      </c>
      <c r="C93" s="28" t="s">
        <v>20634</v>
      </c>
      <c r="D93" s="28" t="s">
        <v>20635</v>
      </c>
      <c r="E93" s="4" t="str">
        <f ca="1">IFERROR(__xludf.DUMMYFUNCTION("GOOGLETRANSLATE(B93,""ja"",""vi"")"),"Kem chống nắng")</f>
        <v>Kem chống nắng</v>
      </c>
      <c r="F93" s="4" t="str">
        <f ca="1">IFERROR(__xludf.DUMMYFUNCTION("GOOGLETRANSLATE(C93,""ja"",""vi"")"),"Đấu giá&gt; làm đẹp, chăm sóc sức khỏe&gt; ​​mỹ phẩm, chăm sóc da&gt; mỹ phẩm cơ bản&gt; kem chống nắng")</f>
        <v>Đấu giá&gt; làm đẹp, chăm sóc sức khỏe&gt; ​​mỹ phẩm, chăm sóc da&gt; mỹ phẩm cơ bản&gt; kem chống nắng</v>
      </c>
      <c r="G93" t="str">
        <f t="shared" ca="1" si="1"/>
        <v>"2084005340" : "Kem chống nắng",</v>
      </c>
    </row>
    <row r="94" spans="1:7" ht="15.75" customHeight="1">
      <c r="A94" s="28">
        <v>2084005334</v>
      </c>
      <c r="B94" s="28" t="s">
        <v>46</v>
      </c>
      <c r="C94" s="28" t="s">
        <v>20637</v>
      </c>
      <c r="D94" s="28" t="s">
        <v>20638</v>
      </c>
      <c r="E94" s="4" t="str">
        <f ca="1">IFERROR(__xludf.DUMMYFUNCTION("GOOGLETRANSLATE(B94,""ja"",""vi"")"),"nếu không thì")</f>
        <v>nếu không thì</v>
      </c>
      <c r="F94" s="4" t="str">
        <f ca="1">IFERROR(__xludf.DUMMYFUNCTION("GOOGLETRANSLATE(C94,""ja"",""vi"")"),"Đấu giá&gt; làm đẹp, chăm sóc sức khỏe&gt; ​​mỹ phẩm, chăm sóc da&gt; mỹ phẩm cơ bản&gt; Khác")</f>
        <v>Đấu giá&gt; làm đẹp, chăm sóc sức khỏe&gt; ​​mỹ phẩm, chăm sóc da&gt; mỹ phẩm cơ bản&gt; Khác</v>
      </c>
      <c r="G94" t="str">
        <f t="shared" ca="1" si="1"/>
        <v>"2084005334" : "nếu không thì",</v>
      </c>
    </row>
    <row r="95" spans="1:7" ht="15.75" customHeight="1">
      <c r="A95" s="36">
        <v>2084302178</v>
      </c>
      <c r="B95" s="36" t="s">
        <v>20640</v>
      </c>
      <c r="C95" s="36" t="s">
        <v>20641</v>
      </c>
      <c r="D95" s="36" t="s">
        <v>20642</v>
      </c>
      <c r="E95" s="4" t="str">
        <f ca="1">IFERROR(__xludf.DUMMYFUNCTION("GOOGLETRANSLATE(B95,""ja"",""vi"")"),"Kem chống nắng (đối với toàn thân)")</f>
        <v>Kem chống nắng (đối với toàn thân)</v>
      </c>
      <c r="F95" s="4" t="str">
        <f ca="1">IFERROR(__xludf.DUMMYFUNCTION("GOOGLETRANSLATE(C95,""ja"",""vi"")"),"Đấu giá&gt; làm đẹp, chăm sóc sức khỏe&gt; ​​Chăm sóc cơ thể&gt; kem chống nắng, dầu trời&gt; kem chống nắng (đối với toàn thân)")</f>
        <v>Đấu giá&gt; làm đẹp, chăm sóc sức khỏe&gt; ​​Chăm sóc cơ thể&gt; kem chống nắng, dầu trời&gt; kem chống nắng (đối với toàn thân)</v>
      </c>
      <c r="G95" t="str">
        <f t="shared" ca="1" si="1"/>
        <v>"2084302178" : "Kem chống nắng (đối với toàn thân)",</v>
      </c>
    </row>
    <row r="96" spans="1:7" ht="15.75" customHeight="1">
      <c r="A96" s="28">
        <v>2084302180</v>
      </c>
      <c r="B96" s="28" t="s">
        <v>20644</v>
      </c>
      <c r="C96" s="28" t="s">
        <v>20645</v>
      </c>
      <c r="D96" s="28" t="s">
        <v>20646</v>
      </c>
      <c r="E96" s="4" t="str">
        <f ca="1">IFERROR(__xludf.DUMMYFUNCTION("GOOGLETRANSLATE(B96,""ja"",""vi"")"),"Kem chống nắng (cho tóc)")</f>
        <v>Kem chống nắng (cho tóc)</v>
      </c>
      <c r="F96" s="4" t="str">
        <f ca="1">IFERROR(__xludf.DUMMYFUNCTION("GOOGLETRANSLATE(C96,""ja"",""vi"")"),"Đấu giá&gt; làm đẹp, chăm sóc sức khỏe&gt; ​​Chăm sóc cơ thể&gt; kem chống nắng, dầu trời&gt; kem chống nắng (cho tóc)")</f>
        <v>Đấu giá&gt; làm đẹp, chăm sóc sức khỏe&gt; ​​Chăm sóc cơ thể&gt; kem chống nắng, dầu trời&gt; kem chống nắng (cho tóc)</v>
      </c>
      <c r="G96" t="str">
        <f t="shared" ca="1" si="1"/>
        <v>"2084302180" : "Kem chống nắng (cho tóc)",</v>
      </c>
    </row>
    <row r="97" spans="1:7" ht="15.75" customHeight="1">
      <c r="A97" s="28">
        <v>2084302179</v>
      </c>
      <c r="B97" s="28" t="s">
        <v>20648</v>
      </c>
      <c r="C97" s="28" t="s">
        <v>20650</v>
      </c>
      <c r="D97" s="28" t="s">
        <v>20651</v>
      </c>
      <c r="E97" s="4" t="str">
        <f ca="1">IFERROR(__xludf.DUMMYFUNCTION("GOOGLETRANSLATE(B97,""ja"",""vi"")"),"Chống nắng (đối với cơ thể)")</f>
        <v>Chống nắng (đối với cơ thể)</v>
      </c>
      <c r="F97" s="4" t="str">
        <f ca="1">IFERROR(__xludf.DUMMYFUNCTION("GOOGLETRANSLATE(C97,""ja"",""vi"")"),"Đấu giá&gt; làm đẹp, chăm sóc sức khỏe&gt; ​​Chăm sóc cơ thể&gt; kem chống nắng, dầu trời&gt; kem chống nắng (đối với cơ thể)")</f>
        <v>Đấu giá&gt; làm đẹp, chăm sóc sức khỏe&gt; ​​Chăm sóc cơ thể&gt; kem chống nắng, dầu trời&gt; kem chống nắng (đối với cơ thể)</v>
      </c>
      <c r="G97" t="str">
        <f t="shared" ca="1" si="1"/>
        <v>"2084302179" : "Chống nắng (đối với cơ thể)",</v>
      </c>
    </row>
    <row r="98" spans="1:7" ht="15.75" customHeight="1">
      <c r="A98" s="28">
        <v>2084302182</v>
      </c>
      <c r="B98" s="28" t="s">
        <v>20653</v>
      </c>
      <c r="C98" s="28" t="s">
        <v>20654</v>
      </c>
      <c r="D98" s="28" t="s">
        <v>20655</v>
      </c>
      <c r="E98" s="4" t="str">
        <f ca="1">IFERROR(__xludf.DUMMYFUNCTION("GOOGLETRANSLATE(B98,""ja"",""vi"")"),"Kem chống nắng (Baby)")</f>
        <v>Kem chống nắng (Baby)</v>
      </c>
      <c r="F98" s="4" t="str">
        <f ca="1">IFERROR(__xludf.DUMMYFUNCTION("GOOGLETRANSLATE(C98,""ja"",""vi"")"),"Đấu giá&gt; làm đẹp, chăm sóc sức khỏe&gt; ​​Chăm sóc cơ thể&gt; kem chống nắng, dầu trời&gt; kem chống nắng (Baby)")</f>
        <v>Đấu giá&gt; làm đẹp, chăm sóc sức khỏe&gt; ​​Chăm sóc cơ thể&gt; kem chống nắng, dầu trời&gt; kem chống nắng (Baby)</v>
      </c>
      <c r="G98" t="str">
        <f t="shared" ca="1" si="1"/>
        <v>"2084302182" : "Kem chống nắng (Baby)",</v>
      </c>
    </row>
    <row r="99" spans="1:7" ht="15.75" customHeight="1">
      <c r="A99" s="28">
        <v>2084302183</v>
      </c>
      <c r="B99" s="28" t="s">
        <v>20657</v>
      </c>
      <c r="C99" s="28" t="s">
        <v>20658</v>
      </c>
      <c r="D99" s="28" t="s">
        <v>20659</v>
      </c>
      <c r="E99" s="4" t="str">
        <f ca="1">IFERROR(__xludf.DUMMYFUNCTION("GOOGLETRANSLATE(B99,""ja"",""vi"")"),"dầu Sun")</f>
        <v>dầu Sun</v>
      </c>
      <c r="F99" s="4" t="str">
        <f ca="1">IFERROR(__xludf.DUMMYFUNCTION("GOOGLETRANSLATE(C99,""ja"",""vi"")"),"Đấu giá&gt; làm đẹp, chăm sóc sức khỏe&gt; ​​Chăm sóc cơ thể&gt; kem chống nắng, dầu trời&gt; dầu nắng")</f>
        <v>Đấu giá&gt; làm đẹp, chăm sóc sức khỏe&gt; ​​Chăm sóc cơ thể&gt; kem chống nắng, dầu trời&gt; dầu nắng</v>
      </c>
      <c r="G99" t="str">
        <f t="shared" ca="1" si="1"/>
        <v>"2084302183" : "dầu Sun",</v>
      </c>
    </row>
    <row r="100" spans="1:7" ht="15.75" customHeight="1">
      <c r="A100" s="28">
        <v>2084302181</v>
      </c>
      <c r="B100" s="28" t="s">
        <v>20661</v>
      </c>
      <c r="C100" s="28" t="s">
        <v>20662</v>
      </c>
      <c r="D100" s="28" t="s">
        <v>20663</v>
      </c>
      <c r="E100" s="4" t="str">
        <f ca="1">IFERROR(__xludf.DUMMYFUNCTION("GOOGLETRANSLATE(B100,""ja"",""vi"")"),"kem chống nắng khác, dầu nắng")</f>
        <v>kem chống nắng khác, dầu nắng</v>
      </c>
      <c r="F100" s="4" t="str">
        <f ca="1">IFERROR(__xludf.DUMMYFUNCTION("GOOGLETRANSLATE(C100,""ja"",""vi"")"),"Đấu giá&gt; làm đẹp, chăm sóc sức khỏe&gt; ​​Chăm sóc cơ thể&gt; chống nắng, dầu trời&gt; kem chống nắng khác, dầu nắng")</f>
        <v>Đấu giá&gt; làm đẹp, chăm sóc sức khỏe&gt; ​​Chăm sóc cơ thể&gt; chống nắng, dầu trời&gt; kem chống nắng khác, dầu nắng</v>
      </c>
      <c r="G100" t="str">
        <f t="shared" ca="1" si="1"/>
        <v>"2084302181" : "kem chống nắng khác, dầu nắng",</v>
      </c>
    </row>
    <row r="101" spans="1:7" ht="15.75" customHeight="1">
      <c r="A101" s="36">
        <v>2084228675</v>
      </c>
      <c r="B101" s="36" t="s">
        <v>20252</v>
      </c>
      <c r="C101" s="36" t="s">
        <v>20664</v>
      </c>
      <c r="D101" s="36" t="s">
        <v>20665</v>
      </c>
      <c r="E101" s="4" t="str">
        <f ca="1">IFERROR(__xludf.DUMMYFUNCTION("GOOGLETRANSLATE(B101,""ja"",""vi"")"),"Albion")</f>
        <v>Albion</v>
      </c>
      <c r="F101" s="4" t="str">
        <f ca="1">IFERROR(__xludf.DUMMYFUNCTION("GOOGLETRANSLATE(C101,""ja"",""vi"")"),"Đấu giá&gt; làm đẹp, chăm sóc sức khỏe&gt; ​​mỹ phẩm, chăm sóc da&gt; lót trang điểm, kem chống nắng&gt; Albion cho khuôn mặt")</f>
        <v>Đấu giá&gt; làm đẹp, chăm sóc sức khỏe&gt; ​​mỹ phẩm, chăm sóc da&gt; lót trang điểm, kem chống nắng&gt; Albion cho khuôn mặt</v>
      </c>
      <c r="G101" t="str">
        <f t="shared" ca="1" si="1"/>
        <v>"2084228675" : "Albion",</v>
      </c>
    </row>
    <row r="102" spans="1:7" ht="15.75" customHeight="1">
      <c r="A102" s="28">
        <v>2084228676</v>
      </c>
      <c r="B102" s="28" t="s">
        <v>46</v>
      </c>
      <c r="C102" s="28" t="s">
        <v>20668</v>
      </c>
      <c r="D102" s="28" t="s">
        <v>20669</v>
      </c>
      <c r="E102" s="4" t="str">
        <f ca="1">IFERROR(__xludf.DUMMYFUNCTION("GOOGLETRANSLATE(B102,""ja"",""vi"")"),"nếu không thì")</f>
        <v>nếu không thì</v>
      </c>
      <c r="F102" s="4" t="str">
        <f ca="1">IFERROR(__xludf.DUMMYFUNCTION("GOOGLETRANSLATE(C102,""ja"",""vi"")"),"Đấu giá&gt; làm đẹp, chăm sóc sức khỏe&gt; ​​mỹ phẩm, chăm sóc da&gt; lót trang điểm, kem chống nắng trên khuôn mặt&gt; Khác")</f>
        <v>Đấu giá&gt; làm đẹp, chăm sóc sức khỏe&gt; ​​mỹ phẩm, chăm sóc da&gt; lót trang điểm, kem chống nắng trên khuôn mặt&gt; Khác</v>
      </c>
      <c r="G102" t="str">
        <f t="shared" ca="1" si="1"/>
        <v>"2084228676" : "nếu không thì",</v>
      </c>
    </row>
    <row r="103" spans="1:7" ht="15.75" customHeight="1">
      <c r="A103" s="36">
        <v>2084048853</v>
      </c>
      <c r="B103" s="36" t="s">
        <v>20670</v>
      </c>
      <c r="C103" s="36" t="s">
        <v>20671</v>
      </c>
      <c r="D103" s="36" t="s">
        <v>20672</v>
      </c>
      <c r="E103" s="4" t="str">
        <f ca="1">IFERROR(__xludf.DUMMYFUNCTION("GOOGLETRANSLATE(B103,""ja"",""vi"")"),"Kem Nền")</f>
        <v>Kem Nền</v>
      </c>
      <c r="F103" s="4" t="str">
        <f ca="1">IFERROR(__xludf.DUMMYFUNCTION("GOOGLETRANSLATE(C103,""ja"",""vi"")"),"Đấu giá&gt; làm đẹp, chăm sóc sức khỏe&gt; ​​mỹ phẩm, chăm sóc da&gt; nền tảng&gt; nền tảng kem")</f>
        <v>Đấu giá&gt; làm đẹp, chăm sóc sức khỏe&gt; ​​mỹ phẩm, chăm sóc da&gt; nền tảng&gt; nền tảng kem</v>
      </c>
      <c r="G103" t="str">
        <f t="shared" ca="1" si="1"/>
        <v>"2084048853" : "Kem Nền",</v>
      </c>
    </row>
    <row r="104" spans="1:7" ht="15.75" customHeight="1">
      <c r="A104" s="28">
        <v>2084047404</v>
      </c>
      <c r="B104" s="28" t="s">
        <v>20674</v>
      </c>
      <c r="C104" s="28" t="s">
        <v>20675</v>
      </c>
      <c r="D104" s="28" t="s">
        <v>20677</v>
      </c>
      <c r="E104" s="4" t="str">
        <f ca="1">IFERROR(__xludf.DUMMYFUNCTION("GOOGLETRANSLATE(B104,""ja"",""vi"")"),"Stick Foundation")</f>
        <v>Stick Foundation</v>
      </c>
      <c r="F104" s="4" t="str">
        <f ca="1">IFERROR(__xludf.DUMMYFUNCTION("GOOGLETRANSLATE(C104,""ja"",""vi"")"),"Đấu giá&gt; làm đẹp, chăm sóc sức khỏe&gt; ​​mỹ phẩm, chăm sóc da&gt; nền tảng&gt; nền tảng thanh")</f>
        <v>Đấu giá&gt; làm đẹp, chăm sóc sức khỏe&gt; ​​mỹ phẩm, chăm sóc da&gt; nền tảng&gt; nền tảng thanh</v>
      </c>
      <c r="G104" t="str">
        <f t="shared" ca="1" si="1"/>
        <v>"2084047404" : "Stick Foundation",</v>
      </c>
    </row>
    <row r="105" spans="1:7" ht="15.75" customHeight="1">
      <c r="A105" s="28">
        <v>2084007461</v>
      </c>
      <c r="B105" s="28" t="s">
        <v>20678</v>
      </c>
      <c r="C105" s="28" t="s">
        <v>20680</v>
      </c>
      <c r="D105" s="28" t="s">
        <v>20681</v>
      </c>
      <c r="E105" s="4" t="str">
        <f ca="1">IFERROR(__xludf.DUMMYFUNCTION("GOOGLETRANSLATE(B105,""ja"",""vi"")"),"Phấn Nền Trang Điểm")</f>
        <v>Phấn Nền Trang Điểm</v>
      </c>
      <c r="F105" s="4" t="str">
        <f ca="1">IFERROR(__xludf.DUMMYFUNCTION("GOOGLETRANSLATE(C105,""ja"",""vi"")"),"Đấu giá&gt; làm đẹp, chăm sóc sức khỏe&gt; ​​mỹ phẩm, chăm sóc da&gt; nền tảng&gt; móng bột")</f>
        <v>Đấu giá&gt; làm đẹp, chăm sóc sức khỏe&gt; ​​mỹ phẩm, chăm sóc da&gt; nền tảng&gt; móng bột</v>
      </c>
      <c r="G105" t="str">
        <f t="shared" ca="1" si="1"/>
        <v>"2084007461" : "Phấn Nền Trang Điểm",</v>
      </c>
    </row>
    <row r="106" spans="1:7" ht="15.75" customHeight="1">
      <c r="A106" s="28">
        <v>2084007462</v>
      </c>
      <c r="B106" s="28" t="s">
        <v>20682</v>
      </c>
      <c r="C106" s="28" t="s">
        <v>20683</v>
      </c>
      <c r="D106" s="28" t="s">
        <v>20685</v>
      </c>
      <c r="E106" s="4" t="str">
        <f ca="1">IFERROR(__xludf.DUMMYFUNCTION("GOOGLETRANSLATE(B106,""ja"",""vi"")"),"Nền Dạng lỏng")</f>
        <v>Nền Dạng lỏng</v>
      </c>
      <c r="F106" s="4" t="str">
        <f ca="1">IFERROR(__xludf.DUMMYFUNCTION("GOOGLETRANSLATE(C106,""ja"",""vi"")"),"Đấu giá&gt; làm đẹp, chăm sóc sức khỏe&gt; ​​mỹ phẩm, chăm sóc da&gt; nền tảng&gt; nền tảng chất lỏng")</f>
        <v>Đấu giá&gt; làm đẹp, chăm sóc sức khỏe&gt; ​​mỹ phẩm, chăm sóc da&gt; nền tảng&gt; nền tảng chất lỏng</v>
      </c>
      <c r="G106" t="str">
        <f t="shared" ca="1" si="1"/>
        <v>"2084007462" : "Nền Dạng lỏng",</v>
      </c>
    </row>
    <row r="107" spans="1:7" ht="15.75" customHeight="1">
      <c r="A107" s="28">
        <v>2084052266</v>
      </c>
      <c r="B107" s="28" t="s">
        <v>46</v>
      </c>
      <c r="C107" s="28" t="s">
        <v>20686</v>
      </c>
      <c r="D107" s="28" t="s">
        <v>20688</v>
      </c>
      <c r="E107" s="4" t="str">
        <f ca="1">IFERROR(__xludf.DUMMYFUNCTION("GOOGLETRANSLATE(B107,""ja"",""vi"")"),"nếu không thì")</f>
        <v>nếu không thì</v>
      </c>
      <c r="F107" s="4" t="str">
        <f ca="1">IFERROR(__xludf.DUMMYFUNCTION("GOOGLETRANSLATE(C107,""ja"",""vi"")"),"Đấu giá&gt; làm đẹp, chăm sóc sức khỏe&gt; ​​mỹ phẩm, chăm sóc da&gt; Foundation&gt; Khác")</f>
        <v>Đấu giá&gt; làm đẹp, chăm sóc sức khỏe&gt; ​​mỹ phẩm, chăm sóc da&gt; Foundation&gt; Khác</v>
      </c>
      <c r="G107" t="str">
        <f t="shared" ca="1" si="1"/>
        <v>"2084052266" : "nếu không thì",</v>
      </c>
    </row>
    <row r="108" spans="1:7" ht="15.75" customHeight="1">
      <c r="A108" s="36">
        <v>2084228659</v>
      </c>
      <c r="B108" s="36" t="s">
        <v>20527</v>
      </c>
      <c r="C108" s="36" t="s">
        <v>20689</v>
      </c>
      <c r="D108" s="36" t="s">
        <v>20690</v>
      </c>
      <c r="E108" s="4" t="str">
        <f ca="1">IFERROR(__xludf.DUMMYFUNCTION("GOOGLETRANSLATE(B108,""ja"",""vi"")"),"MAC")</f>
        <v>MAC</v>
      </c>
      <c r="F108" s="4" t="str">
        <f ca="1">IFERROR(__xludf.DUMMYFUNCTION("GOOGLETRANSLATE(C108,""ja"",""vi"")"),"Đấu giá&gt; làm đẹp, chăm sóc sức khỏe&gt; ​​mỹ phẩm, chăm sóc da&gt; tếch, Face Màu&gt; MAC")</f>
        <v>Đấu giá&gt; làm đẹp, chăm sóc sức khỏe&gt; ​​mỹ phẩm, chăm sóc da&gt; tếch, Face Màu&gt; MAC</v>
      </c>
      <c r="G108" t="str">
        <f t="shared" ca="1" si="1"/>
        <v>"2084228659" : "MAC",</v>
      </c>
    </row>
    <row r="109" spans="1:7" ht="15.75" customHeight="1">
      <c r="A109" s="28">
        <v>2084228656</v>
      </c>
      <c r="B109" s="28" t="s">
        <v>20422</v>
      </c>
      <c r="C109" s="28" t="s">
        <v>20692</v>
      </c>
      <c r="D109" s="28" t="s">
        <v>20693</v>
      </c>
      <c r="E109" s="4" t="str">
        <f ca="1">IFERROR(__xludf.DUMMYFUNCTION("GOOGLETRANSLATE(B109,""ja"",""vi"")"),"NARS")</f>
        <v>NARS</v>
      </c>
      <c r="F109" s="4" t="str">
        <f ca="1">IFERROR(__xludf.DUMMYFUNCTION("GOOGLETRANSLATE(C109,""ja"",""vi"")"),"Đấu giá&gt; làm đẹp, chăm sóc sức khỏe&gt; ​​mỹ phẩm, chăm sóc da&gt; tếch, Face Màu&gt; NARS")</f>
        <v>Đấu giá&gt; làm đẹp, chăm sóc sức khỏe&gt; ​​mỹ phẩm, chăm sóc da&gt; tếch, Face Màu&gt; NARS</v>
      </c>
      <c r="G109" t="str">
        <f t="shared" ca="1" si="1"/>
        <v>"2084228656" : "NARS",</v>
      </c>
    </row>
    <row r="110" spans="1:7" ht="15.75" customHeight="1">
      <c r="A110" s="28">
        <v>2084228646</v>
      </c>
      <c r="B110" s="28" t="s">
        <v>20166</v>
      </c>
      <c r="C110" s="28" t="s">
        <v>20695</v>
      </c>
      <c r="D110" s="28" t="s">
        <v>20696</v>
      </c>
      <c r="E110" s="4" t="str">
        <f ca="1">IFERROR(__xludf.DUMMYFUNCTION("GOOGLETRANSLATE(B110,""ja"",""vi"")"),"RMK")</f>
        <v>RMK</v>
      </c>
      <c r="F110" s="4" t="str">
        <f ca="1">IFERROR(__xludf.DUMMYFUNCTION("GOOGLETRANSLATE(C110,""ja"",""vi"")"),"Đấu giá&gt; làm đẹp, chăm sóc sức khỏe&gt; ​​mỹ phẩm, chăm sóc da&gt; tếch, Face Màu&gt; RMK")</f>
        <v>Đấu giá&gt; làm đẹp, chăm sóc sức khỏe&gt; ​​mỹ phẩm, chăm sóc da&gt; tếch, Face Màu&gt; RMK</v>
      </c>
      <c r="G110" t="str">
        <f t="shared" ca="1" si="1"/>
        <v>"2084228646" : "RMK",</v>
      </c>
    </row>
    <row r="111" spans="1:7" ht="15.75" customHeight="1">
      <c r="A111" s="28">
        <v>2084228658</v>
      </c>
      <c r="B111" s="28" t="s">
        <v>9050</v>
      </c>
      <c r="C111" s="28" t="s">
        <v>20698</v>
      </c>
      <c r="D111" s="28" t="s">
        <v>20699</v>
      </c>
      <c r="E111" s="4" t="str">
        <f ca="1">IFERROR(__xludf.DUMMYFUNCTION("GOOGLETRANSLATE(B111,""ja"",""vi"")"),"Yves Saint Laurent")</f>
        <v>Yves Saint Laurent</v>
      </c>
      <c r="F111" s="4" t="str">
        <f ca="1">IFERROR(__xludf.DUMMYFUNCTION("GOOGLETRANSLATE(C111,""ja"",""vi"")"),"Đấu giá&gt; làm đẹp, chăm sóc sức khỏe&gt; ​​mỹ phẩm, chăm sóc da&gt; tếch, Face Màu&gt; Yves Saint Laurent")</f>
        <v>Đấu giá&gt; làm đẹp, chăm sóc sức khỏe&gt; ​​mỹ phẩm, chăm sóc da&gt; tếch, Face Màu&gt; Yves Saint Laurent</v>
      </c>
      <c r="G111" t="str">
        <f t="shared" ca="1" si="1"/>
        <v>"2084228658" : "Yves Saint Laurent",</v>
      </c>
    </row>
    <row r="112" spans="1:7" ht="15.75" customHeight="1">
      <c r="A112" s="28">
        <v>2084228654</v>
      </c>
      <c r="B112" s="28" t="s">
        <v>9858</v>
      </c>
      <c r="C112" s="28" t="s">
        <v>20701</v>
      </c>
      <c r="D112" s="28" t="s">
        <v>20703</v>
      </c>
      <c r="E112" s="4" t="str">
        <f ca="1">IFERROR(__xludf.DUMMYFUNCTION("GOOGLETRANSLATE(B112,""ja"",""vi"")"),"Christian Dior")</f>
        <v>Christian Dior</v>
      </c>
      <c r="F112" s="4" t="str">
        <f ca="1">IFERROR(__xludf.DUMMYFUNCTION("GOOGLETRANSLATE(C112,""ja"",""vi"")"),"Đấu giá&gt; làm đẹp, chăm sóc sức khỏe&gt; ​​mỹ phẩm, chăm sóc da&gt; tếch, Face Màu&gt; Christian Dior")</f>
        <v>Đấu giá&gt; làm đẹp, chăm sóc sức khỏe&gt; ​​mỹ phẩm, chăm sóc da&gt; tếch, Face Màu&gt; Christian Dior</v>
      </c>
      <c r="G112" t="str">
        <f t="shared" ca="1" si="1"/>
        <v>"2084228654" : "Christian Dior",</v>
      </c>
    </row>
    <row r="113" spans="1:7" ht="15.75" customHeight="1">
      <c r="A113" s="28">
        <v>2084228651</v>
      </c>
      <c r="B113" s="28" t="s">
        <v>19700</v>
      </c>
      <c r="C113" s="28" t="s">
        <v>20705</v>
      </c>
      <c r="D113" s="28" t="s">
        <v>20706</v>
      </c>
      <c r="E113" s="4" t="str">
        <f ca="1">IFERROR(__xludf.DUMMYFUNCTION("GOOGLETRANSLATE(B113,""ja"",""vi"")"),"Clinique")</f>
        <v>Clinique</v>
      </c>
      <c r="F113" s="4" t="str">
        <f ca="1">IFERROR(__xludf.DUMMYFUNCTION("GOOGLETRANSLATE(C113,""ja"",""vi"")"),"Đấu giá&gt; làm đẹp, chăm sóc sức khỏe&gt; ​​mỹ phẩm, chăm sóc da&gt; tếch, Face Màu&gt; Clinique")</f>
        <v>Đấu giá&gt; làm đẹp, chăm sóc sức khỏe&gt; ​​mỹ phẩm, chăm sóc da&gt; tếch, Face Màu&gt; Clinique</v>
      </c>
      <c r="G113" t="str">
        <f t="shared" ca="1" si="1"/>
        <v>"2084228651" : "Clinique",</v>
      </c>
    </row>
    <row r="114" spans="1:7" ht="15.75" customHeight="1">
      <c r="A114" s="28">
        <v>2084228653</v>
      </c>
      <c r="B114" s="28" t="s">
        <v>10288</v>
      </c>
      <c r="C114" s="28" t="s">
        <v>20709</v>
      </c>
      <c r="D114" s="28" t="s">
        <v>20710</v>
      </c>
      <c r="E114" s="4" t="str">
        <f ca="1">IFERROR(__xludf.DUMMYFUNCTION("GOOGLETRANSLATE(B114,""ja"",""vi"")"),"Chanel")</f>
        <v>Chanel</v>
      </c>
      <c r="F114" s="4" t="str">
        <f ca="1">IFERROR(__xludf.DUMMYFUNCTION("GOOGLETRANSLATE(C114,""ja"",""vi"")"),"Đấu giá&gt; làm đẹp, chăm sóc sức khỏe&gt; ​​mỹ phẩm, chăm sóc da&gt; tếch, Face Màu&gt; Chanel")</f>
        <v>Đấu giá&gt; làm đẹp, chăm sóc sức khỏe&gt; ​​mỹ phẩm, chăm sóc da&gt; tếch, Face Màu&gt; Chanel</v>
      </c>
      <c r="G114" t="str">
        <f t="shared" ca="1" si="1"/>
        <v>"2084228653" : "Chanel",</v>
      </c>
    </row>
    <row r="115" spans="1:7" ht="15.75" customHeight="1">
      <c r="A115" s="28">
        <v>2084228655</v>
      </c>
      <c r="B115" s="28" t="s">
        <v>20368</v>
      </c>
      <c r="C115" s="28" t="s">
        <v>20712</v>
      </c>
      <c r="D115" s="28" t="s">
        <v>20713</v>
      </c>
      <c r="E115" s="4" t="str">
        <f ca="1">IFERROR(__xludf.DUMMYFUNCTION("GOOGLETRANSLATE(B115,""ja"",""vi"")"),"Shu Uemura")</f>
        <v>Shu Uemura</v>
      </c>
      <c r="F115" s="4" t="str">
        <f ca="1">IFERROR(__xludf.DUMMYFUNCTION("GOOGLETRANSLATE(C115,""ja"",""vi"")"),"Đấu giá&gt; làm đẹp, chăm sóc sức khỏe&gt; ​​mỹ phẩm, chăm sóc da&gt; tếch, Face Màu&gt; Shu Uemura")</f>
        <v>Đấu giá&gt; làm đẹp, chăm sóc sức khỏe&gt; ​​mỹ phẩm, chăm sóc da&gt; tếch, Face Màu&gt; Shu Uemura</v>
      </c>
      <c r="G115" t="str">
        <f t="shared" ca="1" si="1"/>
        <v>"2084228655" : "Shu Uemura",</v>
      </c>
    </row>
    <row r="116" spans="1:7" ht="15.75" customHeight="1">
      <c r="A116" s="28">
        <v>2084228652</v>
      </c>
      <c r="B116" s="28" t="s">
        <v>10250</v>
      </c>
      <c r="C116" s="28" t="s">
        <v>20715</v>
      </c>
      <c r="D116" s="28" t="s">
        <v>20717</v>
      </c>
      <c r="E116" s="4" t="str">
        <f ca="1">IFERROR(__xludf.DUMMYFUNCTION("GOOGLETRANSLATE(B116,""ja"",""vi"")"),"Givenchy")</f>
        <v>Givenchy</v>
      </c>
      <c r="F116" s="4" t="str">
        <f ca="1">IFERROR(__xludf.DUMMYFUNCTION("GOOGLETRANSLATE(C116,""ja"",""vi"")"),"Đấu giá&gt; làm đẹp, chăm sóc sức khỏe&gt; ​​mỹ phẩm, chăm sóc da&gt; tếch, Face Màu&gt; Givenchy")</f>
        <v>Đấu giá&gt; làm đẹp, chăm sóc sức khỏe&gt; ​​mỹ phẩm, chăm sóc da&gt; tếch, Face Màu&gt; Givenchy</v>
      </c>
      <c r="G116" t="str">
        <f t="shared" ca="1" si="1"/>
        <v>"2084228652" : "Givenchy",</v>
      </c>
    </row>
    <row r="117" spans="1:7" ht="15.75" customHeight="1">
      <c r="A117" s="28">
        <v>2084243956</v>
      </c>
      <c r="B117" s="28" t="s">
        <v>10446</v>
      </c>
      <c r="C117" s="28" t="s">
        <v>20719</v>
      </c>
      <c r="D117" s="28" t="s">
        <v>20720</v>
      </c>
      <c r="E117" s="4" t="str">
        <f ca="1">IFERROR(__xludf.DUMMYFUNCTION("GOOGLETRANSLATE(B117,""ja"",""vi"")"),"Jill Stuart")</f>
        <v>Jill Stuart</v>
      </c>
      <c r="F117" s="4" t="str">
        <f ca="1">IFERROR(__xludf.DUMMYFUNCTION("GOOGLETRANSLATE(C117,""ja"",""vi"")"),"Đấu giá&gt; làm đẹp, chăm sóc sức khỏe&gt; ​​mỹ phẩm, chăm sóc da&gt; tếch, Face Màu&gt; Jill Stuart")</f>
        <v>Đấu giá&gt; làm đẹp, chăm sóc sức khỏe&gt; ​​mỹ phẩm, chăm sóc da&gt; tếch, Face Màu&gt; Jill Stuart</v>
      </c>
      <c r="G117" t="str">
        <f t="shared" ca="1" si="1"/>
        <v>"2084243956" : "Jill Stuart",</v>
      </c>
    </row>
    <row r="118" spans="1:7" ht="15.75" customHeight="1">
      <c r="A118" s="28">
        <v>2084228657</v>
      </c>
      <c r="B118" s="28" t="s">
        <v>20493</v>
      </c>
      <c r="C118" s="28" t="s">
        <v>20722</v>
      </c>
      <c r="D118" s="28" t="s">
        <v>20723</v>
      </c>
      <c r="E118" s="4" t="str">
        <f ca="1">IFERROR(__xludf.DUMMYFUNCTION("GOOGLETRANSLATE(B118,""ja"",""vi"")"),"chữ cở tám")</f>
        <v>chữ cở tám</v>
      </c>
      <c r="F118" s="4" t="str">
        <f ca="1">IFERROR(__xludf.DUMMYFUNCTION("GOOGLETRANSLATE(C118,""ja"",""vi"")"),"Đấu giá&gt; làm đẹp, chăm sóc sức khỏe&gt; ​​mỹ phẩm, chăm sóc da&gt; tếch, Face Màu&gt; tư sản")</f>
        <v>Đấu giá&gt; làm đẹp, chăm sóc sức khỏe&gt; ​​mỹ phẩm, chăm sóc da&gt; tếch, Face Màu&gt; tư sản</v>
      </c>
      <c r="G118" t="str">
        <f t="shared" ca="1" si="1"/>
        <v>"2084228657" : "chữ cở tám",</v>
      </c>
    </row>
    <row r="119" spans="1:7" ht="15.75" customHeight="1">
      <c r="A119" s="28">
        <v>2084228660</v>
      </c>
      <c r="B119" s="28" t="s">
        <v>46</v>
      </c>
      <c r="C119" s="28" t="s">
        <v>20725</v>
      </c>
      <c r="D119" s="28" t="s">
        <v>20727</v>
      </c>
      <c r="E119" s="4" t="str">
        <f ca="1">IFERROR(__xludf.DUMMYFUNCTION("GOOGLETRANSLATE(B119,""ja"",""vi"")"),"nếu không thì")</f>
        <v>nếu không thì</v>
      </c>
      <c r="F119" s="4" t="str">
        <f ca="1">IFERROR(__xludf.DUMMYFUNCTION("GOOGLETRANSLATE(C119,""ja"",""vi"")"),"Đấu giá&gt; làm đẹp, chăm sóc sức khỏe&gt; ​​mỹ phẩm, chăm sóc da&gt; tếch, Face Màu&gt; Khác")</f>
        <v>Đấu giá&gt; làm đẹp, chăm sóc sức khỏe&gt; ​​mỹ phẩm, chăm sóc da&gt; tếch, Face Màu&gt; Khác</v>
      </c>
      <c r="G119" t="str">
        <f t="shared" ca="1" si="1"/>
        <v>"2084228660" : "nếu không thì",</v>
      </c>
    </row>
    <row r="120" spans="1:7" ht="15.75" customHeight="1">
      <c r="A120" s="36">
        <v>2084217241</v>
      </c>
      <c r="B120" s="36" t="s">
        <v>19723</v>
      </c>
      <c r="C120" s="36" t="s">
        <v>20728</v>
      </c>
      <c r="D120" s="36" t="s">
        <v>20729</v>
      </c>
      <c r="E120" s="4" t="str">
        <f ca="1">IFERROR(__xludf.DUMMYFUNCTION("GOOGLETRANSLATE(B120,""ja"",""vi"")"),"Guerlain")</f>
        <v>Guerlain</v>
      </c>
      <c r="F120" s="4" t="str">
        <f ca="1">IFERROR(__xludf.DUMMYFUNCTION("GOOGLETRANSLATE(C120,""ja"",""vi"")"),"Đấu giá&gt; làm đẹp, chăm sóc sức khỏe&gt; ​​mỹ phẩm, chăm sóc da&gt; Mặt Powder&gt; Guerlain")</f>
        <v>Đấu giá&gt; làm đẹp, chăm sóc sức khỏe&gt; ​​mỹ phẩm, chăm sóc da&gt; Mặt Powder&gt; Guerlain</v>
      </c>
      <c r="G120" t="str">
        <f t="shared" ca="1" si="1"/>
        <v>"2084217241" : "Guerlain",</v>
      </c>
    </row>
    <row r="121" spans="1:7" ht="15.75" customHeight="1">
      <c r="A121" s="28">
        <v>2084217240</v>
      </c>
      <c r="B121" s="28" t="s">
        <v>10446</v>
      </c>
      <c r="C121" s="28" t="s">
        <v>20731</v>
      </c>
      <c r="D121" s="28" t="s">
        <v>20732</v>
      </c>
      <c r="E121" s="4" t="str">
        <f ca="1">IFERROR(__xludf.DUMMYFUNCTION("GOOGLETRANSLATE(B121,""ja"",""vi"")"),"Jill Stuart")</f>
        <v>Jill Stuart</v>
      </c>
      <c r="F121" s="4" t="str">
        <f ca="1">IFERROR(__xludf.DUMMYFUNCTION("GOOGLETRANSLATE(C121,""ja"",""vi"")"),"Đấu giá&gt; làm đẹp, chăm sóc sức khỏe&gt; ​​mỹ phẩm, chăm sóc da&gt; Mặt Powder&gt; Jill Stuart")</f>
        <v>Đấu giá&gt; làm đẹp, chăm sóc sức khỏe&gt; ​​mỹ phẩm, chăm sóc da&gt; Mặt Powder&gt; Jill Stuart</v>
      </c>
      <c r="G121" t="str">
        <f t="shared" ca="1" si="1"/>
        <v>"2084217240" : "Jill Stuart",</v>
      </c>
    </row>
    <row r="122" spans="1:7" ht="15.75" customHeight="1">
      <c r="A122" s="28">
        <v>2084217242</v>
      </c>
      <c r="B122" s="28" t="s">
        <v>20480</v>
      </c>
      <c r="C122" s="28" t="s">
        <v>20735</v>
      </c>
      <c r="D122" s="28" t="s">
        <v>20736</v>
      </c>
      <c r="E122" s="4" t="str">
        <f ca="1">IFERROR(__xludf.DUMMYFUNCTION("GOOGLETRANSLATE(B122,""ja"",""vi"")"),"Paruganton")</f>
        <v>Paruganton</v>
      </c>
      <c r="F122" s="4" t="str">
        <f ca="1">IFERROR(__xludf.DUMMYFUNCTION("GOOGLETRANSLATE(C122,""ja"",""vi"")"),"Đấu giá&gt; làm đẹp, chăm sóc sức khỏe&gt; ​​mỹ phẩm, chăm sóc da&gt; Mặt Powder&gt; Paruganton")</f>
        <v>Đấu giá&gt; làm đẹp, chăm sóc sức khỏe&gt; ​​mỹ phẩm, chăm sóc da&gt; Mặt Powder&gt; Paruganton</v>
      </c>
      <c r="G122" t="str">
        <f t="shared" ca="1" si="1"/>
        <v>"2084217242" : "Paruganton",</v>
      </c>
    </row>
    <row r="123" spans="1:7" ht="15.75" customHeight="1">
      <c r="A123" s="28">
        <v>2084228315</v>
      </c>
      <c r="B123" s="28" t="s">
        <v>20506</v>
      </c>
      <c r="C123" s="28" t="s">
        <v>20738</v>
      </c>
      <c r="D123" s="28" t="s">
        <v>20740</v>
      </c>
      <c r="E123" s="4" t="str">
        <f ca="1">IFERROR(__xludf.DUMMYFUNCTION("GOOGLETRANSLATE(B123,""ja"",""vi"")"),"BareMinerals")</f>
        <v>BareMinerals</v>
      </c>
      <c r="F123" s="4" t="str">
        <f ca="1">IFERROR(__xludf.DUMMYFUNCTION("GOOGLETRANSLATE(C123,""ja"",""vi"")"),"Đấu giá&gt; làm đẹp, chăm sóc sức khỏe&gt; ​​mỹ phẩm, chăm sóc da&gt; Mặt Powder&gt; BareMinerals")</f>
        <v>Đấu giá&gt; làm đẹp, chăm sóc sức khỏe&gt; ​​mỹ phẩm, chăm sóc da&gt; Mặt Powder&gt; BareMinerals</v>
      </c>
      <c r="G123" t="str">
        <f t="shared" ca="1" si="1"/>
        <v>"2084228315" : "BareMinerals",</v>
      </c>
    </row>
    <row r="124" spans="1:7" ht="15.75" customHeight="1">
      <c r="A124" s="28">
        <v>2084217239</v>
      </c>
      <c r="B124" s="28" t="s">
        <v>12253</v>
      </c>
      <c r="C124" s="28" t="s">
        <v>20742</v>
      </c>
      <c r="D124" s="28" t="s">
        <v>20743</v>
      </c>
      <c r="E124" s="4" t="str">
        <f ca="1">IFERROR(__xludf.DUMMYFUNCTION("GOOGLETRANSLATE(B124,""ja"",""vi"")"),"Paul &amp; Joe")</f>
        <v>Paul &amp; Joe</v>
      </c>
      <c r="F124" s="4" t="str">
        <f ca="1">IFERROR(__xludf.DUMMYFUNCTION("GOOGLETRANSLATE(C124,""ja"",""vi"")"),"Đấu giá&gt; làm đẹp, chăm sóc sức khỏe&gt; ​​mỹ phẩm, chăm sóc da&gt; Mặt Powder&gt; Paul &amp; Joe")</f>
        <v>Đấu giá&gt; làm đẹp, chăm sóc sức khỏe&gt; ​​mỹ phẩm, chăm sóc da&gt; Mặt Powder&gt; Paul &amp; Joe</v>
      </c>
      <c r="G124" t="str">
        <f t="shared" ca="1" si="1"/>
        <v>"2084217239" : "Paul &amp; Joe",</v>
      </c>
    </row>
    <row r="125" spans="1:7" ht="15.75" customHeight="1">
      <c r="A125" s="28">
        <v>2084217245</v>
      </c>
      <c r="B125" s="28" t="s">
        <v>46</v>
      </c>
      <c r="C125" s="28" t="s">
        <v>20744</v>
      </c>
      <c r="D125" s="28" t="s">
        <v>20746</v>
      </c>
      <c r="E125" s="4" t="str">
        <f ca="1">IFERROR(__xludf.DUMMYFUNCTION("GOOGLETRANSLATE(B125,""ja"",""vi"")"),"nếu không thì")</f>
        <v>nếu không thì</v>
      </c>
      <c r="F125" s="4" t="str">
        <f ca="1">IFERROR(__xludf.DUMMYFUNCTION("GOOGLETRANSLATE(C125,""ja"",""vi"")"),"Đấu giá&gt; làm đẹp, chăm sóc sức khỏe&gt; ​​mỹ phẩm, chăm sóc da&gt; Mặt Powder&gt; Khác")</f>
        <v>Đấu giá&gt; làm đẹp, chăm sóc sức khỏe&gt; ​​mỹ phẩm, chăm sóc da&gt; Mặt Powder&gt; Khác</v>
      </c>
      <c r="G125" t="str">
        <f t="shared" ca="1" si="1"/>
        <v>"2084217245" : "nếu không thì",</v>
      </c>
    </row>
    <row r="126" spans="1:7" ht="15.75" customHeight="1">
      <c r="A126" s="36">
        <v>2084302169</v>
      </c>
      <c r="B126" s="36" t="s">
        <v>20747</v>
      </c>
      <c r="C126" s="36" t="s">
        <v>20748</v>
      </c>
      <c r="D126" s="36" t="s">
        <v>20749</v>
      </c>
      <c r="E126" s="4" t="str">
        <f ca="1">IFERROR(__xludf.DUMMYFUNCTION("GOOGLETRANSLATE(B126,""ja"",""vi"")"),"kẻ lông mày")</f>
        <v>kẻ lông mày</v>
      </c>
      <c r="F126" s="4" t="str">
        <f ca="1">IFERROR(__xludf.DUMMYFUNCTION("GOOGLETRANSLATE(C126,""ja"",""vi"")"),"Đấu giá&gt; làm đẹp, chăm sóc sức khỏe&gt; ​​mỹ phẩm, chăm sóc da&gt; lông mày&gt; Lông mày Pencil")</f>
        <v>Đấu giá&gt; làm đẹp, chăm sóc sức khỏe&gt; ​​mỹ phẩm, chăm sóc da&gt; lông mày&gt; Lông mày Pencil</v>
      </c>
      <c r="G126" t="str">
        <f t="shared" ca="1" si="1"/>
        <v>"2084302169" : "kẻ lông mày",</v>
      </c>
    </row>
    <row r="127" spans="1:7" ht="15.75" customHeight="1">
      <c r="A127" s="28">
        <v>2084302170</v>
      </c>
      <c r="B127" s="28" t="s">
        <v>20751</v>
      </c>
      <c r="C127" s="28" t="s">
        <v>20752</v>
      </c>
      <c r="D127" s="28" t="s">
        <v>20754</v>
      </c>
      <c r="E127" s="4" t="str">
        <f ca="1">IFERROR(__xludf.DUMMYFUNCTION("GOOGLETRANSLATE(B127,""ja"",""vi"")"),"bột lông mày")</f>
        <v>bột lông mày</v>
      </c>
      <c r="F127" s="4" t="str">
        <f ca="1">IFERROR(__xludf.DUMMYFUNCTION("GOOGLETRANSLATE(C127,""ja"",""vi"")"),"Đấu giá&gt; làm đẹp, chăm sóc sức khỏe&gt; ​​mỹ phẩm, chăm sóc da&gt; lông mày&gt; bột lông mày")</f>
        <v>Đấu giá&gt; làm đẹp, chăm sóc sức khỏe&gt; ​​mỹ phẩm, chăm sóc da&gt; lông mày&gt; bột lông mày</v>
      </c>
      <c r="G127" t="str">
        <f t="shared" ca="1" si="1"/>
        <v>"2084302170" : "bột lông mày",</v>
      </c>
    </row>
    <row r="128" spans="1:7" ht="15.75" customHeight="1">
      <c r="A128" s="28">
        <v>2084302171</v>
      </c>
      <c r="B128" s="28" t="s">
        <v>20755</v>
      </c>
      <c r="C128" s="28" t="s">
        <v>20756</v>
      </c>
      <c r="D128" s="28" t="s">
        <v>20757</v>
      </c>
      <c r="E128" s="4" t="str">
        <f ca="1">IFERROR(__xludf.DUMMYFUNCTION("GOOGLETRANSLATE(B128,""ja"",""vi"")"),"lỏng lông mày")</f>
        <v>lỏng lông mày</v>
      </c>
      <c r="F128" s="4" t="str">
        <f ca="1">IFERROR(__xludf.DUMMYFUNCTION("GOOGLETRANSLATE(C128,""ja"",""vi"")"),"Đấu giá&gt; làm đẹp, chăm sóc sức khỏe&gt; ​​mỹ phẩm, chăm sóc da&gt; lông mày&gt; lỏng lông mày")</f>
        <v>Đấu giá&gt; làm đẹp, chăm sóc sức khỏe&gt; ​​mỹ phẩm, chăm sóc da&gt; lông mày&gt; lỏng lông mày</v>
      </c>
      <c r="G128" t="str">
        <f t="shared" ca="1" si="1"/>
        <v>"2084302171" : "lỏng lông mày",</v>
      </c>
    </row>
    <row r="129" spans="1:7" ht="15.75" customHeight="1">
      <c r="A129" s="28">
        <v>2084302172</v>
      </c>
      <c r="B129" s="28" t="s">
        <v>20759</v>
      </c>
      <c r="C129" s="28" t="s">
        <v>20760</v>
      </c>
      <c r="D129" s="28" t="s">
        <v>20761</v>
      </c>
      <c r="E129" s="4" t="str">
        <f ca="1">IFERROR(__xludf.DUMMYFUNCTION("GOOGLETRANSLATE(B129,""ja"",""vi"")"),"mày mascara")</f>
        <v>mày mascara</v>
      </c>
      <c r="F129" s="4" t="str">
        <f ca="1">IFERROR(__xludf.DUMMYFUNCTION("GOOGLETRANSLATE(C129,""ja"",""vi"")"),"Đấu giá&gt; làm đẹp, chăm sóc sức khỏe&gt; ​​mỹ phẩm, chăm sóc da&gt; lông mày&gt; mày mascara")</f>
        <v>Đấu giá&gt; làm đẹp, chăm sóc sức khỏe&gt; ​​mỹ phẩm, chăm sóc da&gt; lông mày&gt; mày mascara</v>
      </c>
      <c r="G129" t="str">
        <f t="shared" ca="1" si="1"/>
        <v>"2084302172" : "mày mascara",</v>
      </c>
    </row>
    <row r="130" spans="1:7" ht="15.75" customHeight="1">
      <c r="A130" s="28">
        <v>2084302173</v>
      </c>
      <c r="B130" s="28" t="s">
        <v>20763</v>
      </c>
      <c r="C130" s="28" t="s">
        <v>20764</v>
      </c>
      <c r="D130" s="28" t="s">
        <v>20765</v>
      </c>
      <c r="E130" s="4" t="str">
        <f ca="1">IFERROR(__xludf.DUMMYFUNCTION("GOOGLETRANSLATE(B130,""ja"",""vi"")"),"mày Tòa án")</f>
        <v>mày Tòa án</v>
      </c>
      <c r="F130" s="4" t="str">
        <f ca="1">IFERROR(__xludf.DUMMYFUNCTION("GOOGLETRANSLATE(C130,""ja"",""vi"")"),"Đấu giá&gt; làm đẹp, chăm sóc sức khỏe&gt; ​​mỹ phẩm, chăm sóc da&gt; lông mày&gt; Lông mày Tòa án")</f>
        <v>Đấu giá&gt; làm đẹp, chăm sóc sức khỏe&gt; ​​mỹ phẩm, chăm sóc da&gt; lông mày&gt; Lông mày Tòa án</v>
      </c>
      <c r="G130" t="str">
        <f t="shared" ref="G130:G193" ca="1" si="2">CONCATENATE(CHAR(34)&amp;"",A130,""&amp;CHAR(34)," : ", CHAR(34)&amp;"",E130,""&amp;CHAR(34),",")</f>
        <v>"2084302173" : "mày Tòa án",</v>
      </c>
    </row>
    <row r="131" spans="1:7" ht="15.75" customHeight="1">
      <c r="A131" s="28">
        <v>2084302174</v>
      </c>
      <c r="B131" s="28" t="s">
        <v>20767</v>
      </c>
      <c r="C131" s="28" t="s">
        <v>20768</v>
      </c>
      <c r="D131" s="28" t="s">
        <v>20769</v>
      </c>
      <c r="E131" s="4" t="str">
        <f ca="1">IFERROR(__xludf.DUMMYFUNCTION("GOOGLETRANSLATE(B131,""ja"",""vi"")"),"Lông mày khác")</f>
        <v>Lông mày khác</v>
      </c>
      <c r="F131" s="4" t="str">
        <f ca="1">IFERROR(__xludf.DUMMYFUNCTION("GOOGLETRANSLATE(C131,""ja"",""vi"")"),"Đấu giá&gt; làm đẹp, chăm sóc sức khỏe&gt; ​​mỹ phẩm, chăm sóc da&gt; lông mày&gt; Lông mày khác")</f>
        <v>Đấu giá&gt; làm đẹp, chăm sóc sức khỏe&gt; ​​mỹ phẩm, chăm sóc da&gt; lông mày&gt; Lông mày khác</v>
      </c>
      <c r="G131" t="str">
        <f t="shared" ca="1" si="2"/>
        <v>"2084302174" : "Lông mày khác",</v>
      </c>
    </row>
    <row r="132" spans="1:7" ht="15.75" customHeight="1">
      <c r="A132" s="36">
        <v>2084040441</v>
      </c>
      <c r="B132" s="36" t="s">
        <v>20401</v>
      </c>
      <c r="C132" s="36" t="s">
        <v>20770</v>
      </c>
      <c r="D132" s="36" t="s">
        <v>20771</v>
      </c>
      <c r="E132" s="4" t="str">
        <f ca="1">IFERROR(__xludf.DUMMYFUNCTION("GOOGLETRANSLATE(B132,""ja"",""vi"")"),"DHC")</f>
        <v>DHC</v>
      </c>
      <c r="F132" s="4" t="str">
        <f ca="1">IFERROR(__xludf.DUMMYFUNCTION("GOOGLETRANSLATE(C132,""ja"",""vi"")"),"Đấu giá&gt; làm đẹp, chăm sóc sức khỏe&gt; ​​mỹ phẩm, chăm sóc da&gt; bóng Mắt&gt; DHC")</f>
        <v>Đấu giá&gt; làm đẹp, chăm sóc sức khỏe&gt; ​​mỹ phẩm, chăm sóc da&gt; bóng Mắt&gt; DHC</v>
      </c>
      <c r="G132" t="str">
        <f t="shared" ca="1" si="2"/>
        <v>"2084040441" : "DHC",</v>
      </c>
    </row>
    <row r="133" spans="1:7" ht="15.75" customHeight="1">
      <c r="A133" s="28">
        <v>2084040450</v>
      </c>
      <c r="B133" s="28" t="s">
        <v>20527</v>
      </c>
      <c r="C133" s="28" t="s">
        <v>20773</v>
      </c>
      <c r="D133" s="28" t="s">
        <v>20774</v>
      </c>
      <c r="E133" s="4" t="str">
        <f ca="1">IFERROR(__xludf.DUMMYFUNCTION("GOOGLETRANSLATE(B133,""ja"",""vi"")"),"MAC")</f>
        <v>MAC</v>
      </c>
      <c r="F133" s="4" t="str">
        <f ca="1">IFERROR(__xludf.DUMMYFUNCTION("GOOGLETRANSLATE(C133,""ja"",""vi"")"),"Đấu giá&gt; làm đẹp, chăm sóc sức khỏe&gt; ​​mỹ phẩm, chăm sóc da&gt; Eye Shadow&gt; MAC")</f>
        <v>Đấu giá&gt; làm đẹp, chăm sóc sức khỏe&gt; ​​mỹ phẩm, chăm sóc da&gt; Eye Shadow&gt; MAC</v>
      </c>
      <c r="G133" t="str">
        <f t="shared" ca="1" si="2"/>
        <v>"2084040450" : "MAC",</v>
      </c>
    </row>
    <row r="134" spans="1:7" ht="15.75" customHeight="1">
      <c r="A134" s="28">
        <v>2084216495</v>
      </c>
      <c r="B134" s="28" t="s">
        <v>20422</v>
      </c>
      <c r="C134" s="28" t="s">
        <v>20776</v>
      </c>
      <c r="D134" s="28" t="s">
        <v>20777</v>
      </c>
      <c r="E134" s="4" t="str">
        <f ca="1">IFERROR(__xludf.DUMMYFUNCTION("GOOGLETRANSLATE(B134,""ja"",""vi"")"),"NARS")</f>
        <v>NARS</v>
      </c>
      <c r="F134" s="4" t="str">
        <f ca="1">IFERROR(__xludf.DUMMYFUNCTION("GOOGLETRANSLATE(C134,""ja"",""vi"")"),"Đấu giá&gt; làm đẹp, chăm sóc sức khỏe&gt; ​​mỹ phẩm, chăm sóc da&gt; bóng Mắt&gt; NARS")</f>
        <v>Đấu giá&gt; làm đẹp, chăm sóc sức khỏe&gt; ​​mỹ phẩm, chăm sóc da&gt; bóng Mắt&gt; NARS</v>
      </c>
      <c r="G134" t="str">
        <f t="shared" ca="1" si="2"/>
        <v>"2084216495" : "NARS",</v>
      </c>
    </row>
    <row r="135" spans="1:7" ht="15.75" customHeight="1">
      <c r="A135" s="28">
        <v>2084052363</v>
      </c>
      <c r="B135" s="28" t="s">
        <v>20166</v>
      </c>
      <c r="C135" s="28" t="s">
        <v>20779</v>
      </c>
      <c r="D135" s="28" t="s">
        <v>20780</v>
      </c>
      <c r="E135" s="4" t="str">
        <f ca="1">IFERROR(__xludf.DUMMYFUNCTION("GOOGLETRANSLATE(B135,""ja"",""vi"")"),"RMK")</f>
        <v>RMK</v>
      </c>
      <c r="F135" s="4" t="str">
        <f ca="1">IFERROR(__xludf.DUMMYFUNCTION("GOOGLETRANSLATE(C135,""ja"",""vi"")"),"Đấu giá&gt; làm đẹp, chăm sóc sức khỏe&gt; ​​mỹ phẩm, chăm sóc da&gt; bóng Mắt&gt; RMK")</f>
        <v>Đấu giá&gt; làm đẹp, chăm sóc sức khỏe&gt; ​​mỹ phẩm, chăm sóc da&gt; bóng Mắt&gt; RMK</v>
      </c>
      <c r="G135" t="str">
        <f t="shared" ca="1" si="2"/>
        <v>"2084052363" : "RMK",</v>
      </c>
    </row>
    <row r="136" spans="1:7" ht="15.75" customHeight="1">
      <c r="A136" s="28">
        <v>2084054090</v>
      </c>
      <c r="B136" s="28" t="s">
        <v>8795</v>
      </c>
      <c r="C136" s="28" t="s">
        <v>20782</v>
      </c>
      <c r="D136" s="28" t="s">
        <v>20783</v>
      </c>
      <c r="E136" s="4" t="str">
        <f ca="1">IFERROR(__xludf.DUMMYFUNCTION("GOOGLETRANSLATE(B136,""ja"",""vi"")"),"Anna Sui")</f>
        <v>Anna Sui</v>
      </c>
      <c r="F136" s="4" t="str">
        <f ca="1">IFERROR(__xludf.DUMMYFUNCTION("GOOGLETRANSLATE(C136,""ja"",""vi"")"),"Đấu giá&gt; làm đẹp, chăm sóc sức khỏe&gt; ​​mỹ phẩm, chăm sóc da&gt; bóng Mắt&gt; Anna Sui")</f>
        <v>Đấu giá&gt; làm đẹp, chăm sóc sức khỏe&gt; ​​mỹ phẩm, chăm sóc da&gt; bóng Mắt&gt; Anna Sui</v>
      </c>
      <c r="G136" t="str">
        <f t="shared" ca="1" si="2"/>
        <v>"2084054090" : "Anna Sui",</v>
      </c>
    </row>
    <row r="137" spans="1:7" ht="15.75" customHeight="1">
      <c r="A137" s="28">
        <v>2084060232</v>
      </c>
      <c r="B137" s="28" t="s">
        <v>8809</v>
      </c>
      <c r="C137" s="28" t="s">
        <v>20785</v>
      </c>
      <c r="D137" s="28" t="s">
        <v>20786</v>
      </c>
      <c r="E137" s="4" t="str">
        <f ca="1">IFERROR(__xludf.DUMMYFUNCTION("GOOGLETRANSLATE(B137,""ja"",""vi"")"),"Aniesube")</f>
        <v>Aniesube</v>
      </c>
      <c r="F137" s="4" t="str">
        <f ca="1">IFERROR(__xludf.DUMMYFUNCTION("GOOGLETRANSLATE(C137,""ja"",""vi"")"),"Đấu giá&gt; làm đẹp, chăm sóc sức khỏe&gt; ​​mỹ phẩm, chăm sóc da&gt; bóng Mắt&gt; Aniesube")</f>
        <v>Đấu giá&gt; làm đẹp, chăm sóc sức khỏe&gt; ​​mỹ phẩm, chăm sóc da&gt; bóng Mắt&gt; Aniesube</v>
      </c>
      <c r="G137" t="str">
        <f t="shared" ca="1" si="2"/>
        <v>"2084060232" : "Aniesube",</v>
      </c>
    </row>
    <row r="138" spans="1:7" ht="15.75" customHeight="1">
      <c r="A138" s="28">
        <v>2084040461</v>
      </c>
      <c r="B138" s="28" t="s">
        <v>20236</v>
      </c>
      <c r="C138" s="28" t="s">
        <v>20788</v>
      </c>
      <c r="D138" s="28" t="s">
        <v>20790</v>
      </c>
      <c r="E138" s="4" t="str">
        <f ca="1">IFERROR(__xludf.DUMMYFUNCTION("GOOGLETRANSLATE(B138,""ja"",""vi"")"),"Ayura")</f>
        <v>Ayura</v>
      </c>
      <c r="F138" s="4" t="str">
        <f ca="1">IFERROR(__xludf.DUMMYFUNCTION("GOOGLETRANSLATE(C138,""ja"",""vi"")"),"Đấu giá&gt; làm đẹp, chăm sóc sức khỏe&gt; ​​mỹ phẩm, chăm sóc da&gt; bóng Mắt&gt; Ayura")</f>
        <v>Đấu giá&gt; làm đẹp, chăm sóc sức khỏe&gt; ​​mỹ phẩm, chăm sóc da&gt; bóng Mắt&gt; Ayura</v>
      </c>
      <c r="G138" t="str">
        <f t="shared" ca="1" si="2"/>
        <v>"2084040461" : "Ayura",</v>
      </c>
    </row>
    <row r="139" spans="1:7" ht="15.75" customHeight="1">
      <c r="A139" s="28">
        <v>2084040436</v>
      </c>
      <c r="B139" s="28" t="s">
        <v>20252</v>
      </c>
      <c r="C139" s="28" t="s">
        <v>20792</v>
      </c>
      <c r="D139" s="28" t="s">
        <v>20793</v>
      </c>
      <c r="E139" s="4" t="str">
        <f ca="1">IFERROR(__xludf.DUMMYFUNCTION("GOOGLETRANSLATE(B139,""ja"",""vi"")"),"Albion")</f>
        <v>Albion</v>
      </c>
      <c r="F139" s="4" t="str">
        <f ca="1">IFERROR(__xludf.DUMMYFUNCTION("GOOGLETRANSLATE(C139,""ja"",""vi"")"),"Đấu giá&gt; làm đẹp, chăm sóc sức khỏe&gt; ​​mỹ phẩm, chăm sóc da&gt; bóng Mắt&gt; Albion")</f>
        <v>Đấu giá&gt; làm đẹp, chăm sóc sức khỏe&gt; ​​mỹ phẩm, chăm sóc da&gt; bóng Mắt&gt; Albion</v>
      </c>
      <c r="G139" t="str">
        <f t="shared" ca="1" si="2"/>
        <v>"2084040436" : "Albion",</v>
      </c>
    </row>
    <row r="140" spans="1:7" ht="15.75" customHeight="1">
      <c r="A140" s="28">
        <v>2084040434</v>
      </c>
      <c r="B140" s="28" t="s">
        <v>20257</v>
      </c>
      <c r="C140" s="28" t="s">
        <v>20795</v>
      </c>
      <c r="D140" s="28" t="s">
        <v>20796</v>
      </c>
      <c r="E140" s="4" t="str">
        <f ca="1">IFERROR(__xludf.DUMMYFUNCTION("GOOGLETRANSLATE(B140,""ja"",""vi"")"),"IPSA")</f>
        <v>IPSA</v>
      </c>
      <c r="F140" s="4" t="str">
        <f ca="1">IFERROR(__xludf.DUMMYFUNCTION("GOOGLETRANSLATE(C140,""ja"",""vi"")"),"Đấu giá&gt; làm đẹp, chăm sóc sức khỏe&gt; ​​mỹ phẩm, chăm sóc da&gt; bóng Mắt&gt; IPSA")</f>
        <v>Đấu giá&gt; làm đẹp, chăm sóc sức khỏe&gt; ​​mỹ phẩm, chăm sóc da&gt; bóng Mắt&gt; IPSA</v>
      </c>
      <c r="G140" t="str">
        <f t="shared" ca="1" si="2"/>
        <v>"2084040434" : "IPSA",</v>
      </c>
    </row>
    <row r="141" spans="1:7" ht="15.75" customHeight="1">
      <c r="A141" s="28">
        <v>2084040451</v>
      </c>
      <c r="B141" s="28" t="s">
        <v>9050</v>
      </c>
      <c r="C141" s="28" t="s">
        <v>20799</v>
      </c>
      <c r="D141" s="28" t="s">
        <v>20800</v>
      </c>
      <c r="E141" s="4" t="str">
        <f ca="1">IFERROR(__xludf.DUMMYFUNCTION("GOOGLETRANSLATE(B141,""ja"",""vi"")"),"Yves Saint Laurent")</f>
        <v>Yves Saint Laurent</v>
      </c>
      <c r="F141" s="4" t="str">
        <f ca="1">IFERROR(__xludf.DUMMYFUNCTION("GOOGLETRANSLATE(C141,""ja"",""vi"")"),"Đấu giá&gt; làm đẹp, chăm sóc sức khỏe&gt; ​​mỹ phẩm, chăm sóc da&gt; bóng Mắt&gt; Yves Saint Laurent")</f>
        <v>Đấu giá&gt; làm đẹp, chăm sóc sức khỏe&gt; ​​mỹ phẩm, chăm sóc da&gt; bóng Mắt&gt; Yves Saint Laurent</v>
      </c>
      <c r="G141" t="str">
        <f t="shared" ca="1" si="2"/>
        <v>"2084040451" : "Yves Saint Laurent",</v>
      </c>
    </row>
    <row r="142" spans="1:7" ht="15.75" customHeight="1">
      <c r="A142" s="28">
        <v>2084040444</v>
      </c>
      <c r="B142" s="28" t="s">
        <v>19664</v>
      </c>
      <c r="C142" s="28" t="s">
        <v>20801</v>
      </c>
      <c r="D142" s="28" t="s">
        <v>20803</v>
      </c>
      <c r="E142" s="4" t="str">
        <f ca="1">IFERROR(__xludf.DUMMYFUNCTION("GOOGLETRANSLATE(B142,""ja"",""vi"")"),"Estee Lauder")</f>
        <v>Estee Lauder</v>
      </c>
      <c r="F142" s="4" t="str">
        <f ca="1">IFERROR(__xludf.DUMMYFUNCTION("GOOGLETRANSLATE(C142,""ja"",""vi"")"),"Đấu giá&gt; làm đẹp, chăm sóc sức khỏe&gt; ​​mỹ phẩm, chăm sóc da&gt; bóng Mắt&gt; Estee Lauder")</f>
        <v>Đấu giá&gt; làm đẹp, chăm sóc sức khỏe&gt; ​​mỹ phẩm, chăm sóc da&gt; bóng Mắt&gt; Estee Lauder</v>
      </c>
      <c r="G142" t="str">
        <f t="shared" ca="1" si="2"/>
        <v>"2084040444" : "Estee Lauder",</v>
      </c>
    </row>
    <row r="143" spans="1:7" ht="15.75" customHeight="1">
      <c r="A143" s="28">
        <v>2084040452</v>
      </c>
      <c r="B143" s="28" t="s">
        <v>19670</v>
      </c>
      <c r="C143" s="28" t="s">
        <v>20805</v>
      </c>
      <c r="D143" s="28" t="s">
        <v>20806</v>
      </c>
      <c r="E143" s="4" t="str">
        <f ca="1">IFERROR(__xludf.DUMMYFUNCTION("GOOGLETRANSLATE(B143,""ja"",""vi"")"),"Elizabeth Arden")</f>
        <v>Elizabeth Arden</v>
      </c>
      <c r="F143" s="4" t="str">
        <f ca="1">IFERROR(__xludf.DUMMYFUNCTION("GOOGLETRANSLATE(C143,""ja"",""vi"")"),"Đấu giá&gt; làm đẹp, chăm sóc sức khỏe&gt; ​​mỹ phẩm, chăm sóc da&gt; bóng Mắt&gt; Elizabeth Arden")</f>
        <v>Đấu giá&gt; làm đẹp, chăm sóc sức khỏe&gt; ​​mỹ phẩm, chăm sóc da&gt; bóng Mắt&gt; Elizabeth Arden</v>
      </c>
      <c r="G143" t="str">
        <f t="shared" ca="1" si="2"/>
        <v>"2084040452" : "Elizabeth Arden",</v>
      </c>
    </row>
    <row r="144" spans="1:7" ht="15.75" customHeight="1">
      <c r="A144" s="28">
        <v>2084040435</v>
      </c>
      <c r="B144" s="28" t="s">
        <v>20337</v>
      </c>
      <c r="C144" s="28" t="s">
        <v>20808</v>
      </c>
      <c r="D144" s="28" t="s">
        <v>20809</v>
      </c>
      <c r="E144" s="4" t="str">
        <f ca="1">IFERROR(__xludf.DUMMYFUNCTION("GOOGLETRANSLATE(B144,""ja"",""vi"")"),"Clarins")</f>
        <v>Clarins</v>
      </c>
      <c r="F144" s="4" t="str">
        <f ca="1">IFERROR(__xludf.DUMMYFUNCTION("GOOGLETRANSLATE(C144,""ja"",""vi"")"),"Đấu giá&gt; làm đẹp, chăm sóc sức khỏe&gt; ​​mỹ phẩm, chăm sóc da&gt; bóng Mắt&gt; Clarins")</f>
        <v>Đấu giá&gt; làm đẹp, chăm sóc sức khỏe&gt; ​​mỹ phẩm, chăm sóc da&gt; bóng Mắt&gt; Clarins</v>
      </c>
      <c r="G144" t="str">
        <f t="shared" ca="1" si="2"/>
        <v>"2084040435" : "Clarins",</v>
      </c>
    </row>
    <row r="145" spans="1:7" ht="15.75" customHeight="1">
      <c r="A145" s="28">
        <v>2084040454</v>
      </c>
      <c r="B145" s="28" t="s">
        <v>9858</v>
      </c>
      <c r="C145" s="28" t="s">
        <v>20811</v>
      </c>
      <c r="D145" s="28" t="s">
        <v>20812</v>
      </c>
      <c r="E145" s="4" t="str">
        <f ca="1">IFERROR(__xludf.DUMMYFUNCTION("GOOGLETRANSLATE(B145,""ja"",""vi"")"),"Christian Dior")</f>
        <v>Christian Dior</v>
      </c>
      <c r="F145" s="4" t="str">
        <f ca="1">IFERROR(__xludf.DUMMYFUNCTION("GOOGLETRANSLATE(C145,""ja"",""vi"")"),"Đấu giá&gt; làm đẹp, chăm sóc sức khỏe&gt; ​​mỹ phẩm, chăm sóc da&gt; Mắt&gt; Christian Dior")</f>
        <v>Đấu giá&gt; làm đẹp, chăm sóc sức khỏe&gt; ​​mỹ phẩm, chăm sóc da&gt; Mắt&gt; Christian Dior</v>
      </c>
      <c r="G145" t="str">
        <f t="shared" ca="1" si="2"/>
        <v>"2084040454" : "Christian Dior",</v>
      </c>
    </row>
    <row r="146" spans="1:7" ht="15.75" customHeight="1">
      <c r="A146" s="28">
        <v>2084040455</v>
      </c>
      <c r="B146" s="28" t="s">
        <v>19700</v>
      </c>
      <c r="C146" s="28" t="s">
        <v>20814</v>
      </c>
      <c r="D146" s="28" t="s">
        <v>20815</v>
      </c>
      <c r="E146" s="4" t="str">
        <f ca="1">IFERROR(__xludf.DUMMYFUNCTION("GOOGLETRANSLATE(B146,""ja"",""vi"")"),"Clinique")</f>
        <v>Clinique</v>
      </c>
      <c r="F146" s="4" t="str">
        <f ca="1">IFERROR(__xludf.DUMMYFUNCTION("GOOGLETRANSLATE(C146,""ja"",""vi"")"),"Đấu giá&gt; làm đẹp, chăm sóc sức khỏe&gt; ​​mỹ phẩm, chăm sóc da&gt; bóng Mắt&gt; Clinique")</f>
        <v>Đấu giá&gt; làm đẹp, chăm sóc sức khỏe&gt; ​​mỹ phẩm, chăm sóc da&gt; bóng Mắt&gt; Clinique</v>
      </c>
      <c r="G146" t="str">
        <f t="shared" ca="1" si="2"/>
        <v>"2084040455" : "Clinique",</v>
      </c>
    </row>
    <row r="147" spans="1:7" ht="15.75" customHeight="1">
      <c r="A147" s="28">
        <v>2084060237</v>
      </c>
      <c r="B147" s="28" t="s">
        <v>9921</v>
      </c>
      <c r="C147" s="28" t="s">
        <v>20817</v>
      </c>
      <c r="D147" s="28" t="s">
        <v>20818</v>
      </c>
      <c r="E147" s="4" t="str">
        <f ca="1">IFERROR(__xludf.DUMMYFUNCTION("GOOGLETRANSLATE(B147,""ja"",""vi"")"),"Courreges")</f>
        <v>Courreges</v>
      </c>
      <c r="F147" s="4" t="str">
        <f ca="1">IFERROR(__xludf.DUMMYFUNCTION("GOOGLETRANSLATE(C147,""ja"",""vi"")"),"Đấu giá&gt; làm đẹp, chăm sóc sức khỏe&gt; ​​mỹ phẩm, chăm sóc da&gt; bóng Mắt&gt; Courreges")</f>
        <v>Đấu giá&gt; làm đẹp, chăm sóc sức khỏe&gt; ​​mỹ phẩm, chăm sóc da&gt; bóng Mắt&gt; Courreges</v>
      </c>
      <c r="G147" t="str">
        <f t="shared" ca="1" si="2"/>
        <v>"2084060237" : "Courreges",</v>
      </c>
    </row>
    <row r="148" spans="1:7" ht="15.75" customHeight="1">
      <c r="A148" s="28">
        <v>2084040437</v>
      </c>
      <c r="B148" s="28" t="s">
        <v>20346</v>
      </c>
      <c r="C148" s="28" t="s">
        <v>20820</v>
      </c>
      <c r="D148" s="28" t="s">
        <v>20822</v>
      </c>
      <c r="E148" s="4" t="str">
        <f ca="1">IFERROR(__xludf.DUMMYFUNCTION("GOOGLETRANSLATE(B148,""ja"",""vi"")"),"Kesaran Pasaran")</f>
        <v>Kesaran Pasaran</v>
      </c>
      <c r="F148" s="4" t="str">
        <f ca="1">IFERROR(__xludf.DUMMYFUNCTION("GOOGLETRANSLATE(C148,""ja"",""vi"")"),"Đấu giá&gt; làm đẹp, chăm sóc sức khỏe&gt; ​​mỹ phẩm, chăm sóc da&gt; bóng Mắt&gt; Kesaran Pasaran")</f>
        <v>Đấu giá&gt; làm đẹp, chăm sóc sức khỏe&gt; ​​mỹ phẩm, chăm sóc da&gt; bóng Mắt&gt; Kesaran Pasaran</v>
      </c>
      <c r="G148" t="str">
        <f t="shared" ca="1" si="2"/>
        <v>"2084040437" : "Kesaran Pasaran",</v>
      </c>
    </row>
    <row r="149" spans="1:7" ht="15.75" customHeight="1">
      <c r="A149" s="28">
        <v>2084060235</v>
      </c>
      <c r="B149" s="28" t="s">
        <v>19723</v>
      </c>
      <c r="C149" s="28" t="s">
        <v>20824</v>
      </c>
      <c r="D149" s="28" t="s">
        <v>20825</v>
      </c>
      <c r="E149" s="4" t="str">
        <f ca="1">IFERROR(__xludf.DUMMYFUNCTION("GOOGLETRANSLATE(B149,""ja"",""vi"")"),"Guerlain")</f>
        <v>Guerlain</v>
      </c>
      <c r="F149" s="4" t="str">
        <f ca="1">IFERROR(__xludf.DUMMYFUNCTION("GOOGLETRANSLATE(C149,""ja"",""vi"")"),"Đấu giá&gt; làm đẹp, chăm sóc sức khỏe&gt; ​​mỹ phẩm, chăm sóc da&gt; Eye Shadow&gt; Guerlain")</f>
        <v>Đấu giá&gt; làm đẹp, chăm sóc sức khỏe&gt; ​​mỹ phẩm, chăm sóc da&gt; Eye Shadow&gt; Guerlain</v>
      </c>
      <c r="G149" t="str">
        <f t="shared" ca="1" si="2"/>
        <v>"2084060235" : "Guerlain",</v>
      </c>
    </row>
    <row r="150" spans="1:7" ht="15.75" customHeight="1">
      <c r="A150" s="28">
        <v>2084040438</v>
      </c>
      <c r="B150" s="28" t="s">
        <v>20363</v>
      </c>
      <c r="C150" s="28" t="s">
        <v>20827</v>
      </c>
      <c r="D150" s="28" t="s">
        <v>20828</v>
      </c>
      <c r="E150" s="4" t="str">
        <f ca="1">IFERROR(__xludf.DUMMYFUNCTION("GOOGLETRANSLATE(B150,""ja"",""vi"")"),"The Body Shop")</f>
        <v>The Body Shop</v>
      </c>
      <c r="F150" s="4" t="str">
        <f ca="1">IFERROR(__xludf.DUMMYFUNCTION("GOOGLETRANSLATE(C150,""ja"",""vi"")"),"Đấu giá&gt; làm đẹp, chăm sóc sức khỏe&gt; ​​mỹ phẩm, chăm sóc da&gt; bóng Mắt&gt; The Body Shop")</f>
        <v>Đấu giá&gt; làm đẹp, chăm sóc sức khỏe&gt; ​​mỹ phẩm, chăm sóc da&gt; bóng Mắt&gt; The Body Shop</v>
      </c>
      <c r="G150" t="str">
        <f t="shared" ca="1" si="2"/>
        <v>"2084040438" : "The Body Shop",</v>
      </c>
    </row>
    <row r="151" spans="1:7" ht="15.75" customHeight="1">
      <c r="A151" s="28">
        <v>2084040457</v>
      </c>
      <c r="B151" s="28" t="s">
        <v>10288</v>
      </c>
      <c r="C151" s="28" t="s">
        <v>20830</v>
      </c>
      <c r="D151" s="28" t="s">
        <v>20831</v>
      </c>
      <c r="E151" s="4" t="str">
        <f ca="1">IFERROR(__xludf.DUMMYFUNCTION("GOOGLETRANSLATE(B151,""ja"",""vi"")"),"Chanel")</f>
        <v>Chanel</v>
      </c>
      <c r="F151" s="4" t="str">
        <f ca="1">IFERROR(__xludf.DUMMYFUNCTION("GOOGLETRANSLATE(C151,""ja"",""vi"")"),"Đấu giá&gt; làm đẹp, chăm sóc sức khỏe&gt; ​​mỹ phẩm, chăm sóc da&gt; Eye Shadow&gt; Chanel")</f>
        <v>Đấu giá&gt; làm đẹp, chăm sóc sức khỏe&gt; ​​mỹ phẩm, chăm sóc da&gt; Eye Shadow&gt; Chanel</v>
      </c>
      <c r="G151" t="str">
        <f t="shared" ca="1" si="2"/>
        <v>"2084040457" : "Chanel",</v>
      </c>
    </row>
    <row r="152" spans="1:7" ht="15.75" customHeight="1">
      <c r="A152" s="28">
        <v>2084040669</v>
      </c>
      <c r="B152" s="28" t="s">
        <v>20368</v>
      </c>
      <c r="C152" s="28" t="s">
        <v>20833</v>
      </c>
      <c r="D152" s="28" t="s">
        <v>20834</v>
      </c>
      <c r="E152" s="4" t="str">
        <f ca="1">IFERROR(__xludf.DUMMYFUNCTION("GOOGLETRANSLATE(B152,""ja"",""vi"")"),"Shu Uemura")</f>
        <v>Shu Uemura</v>
      </c>
      <c r="F152" s="4" t="str">
        <f ca="1">IFERROR(__xludf.DUMMYFUNCTION("GOOGLETRANSLATE(C152,""ja"",""vi"")"),"Đấu giá&gt; làm đẹp, chăm sóc sức khỏe&gt; ​​mỹ phẩm, chăm sóc da&gt; bóng Mắt&gt; Shu Uemura")</f>
        <v>Đấu giá&gt; làm đẹp, chăm sóc sức khỏe&gt; ​​mỹ phẩm, chăm sóc da&gt; bóng Mắt&gt; Shu Uemura</v>
      </c>
      <c r="G152" t="str">
        <f t="shared" ca="1" si="2"/>
        <v>"2084040669" : "Shu Uemura",</v>
      </c>
    </row>
    <row r="153" spans="1:7" ht="15.75" customHeight="1">
      <c r="A153" s="28">
        <v>2084060233</v>
      </c>
      <c r="B153" s="28" t="s">
        <v>10250</v>
      </c>
      <c r="C153" s="28" t="s">
        <v>20836</v>
      </c>
      <c r="D153" s="28" t="s">
        <v>20837</v>
      </c>
      <c r="E153" s="4" t="str">
        <f ca="1">IFERROR(__xludf.DUMMYFUNCTION("GOOGLETRANSLATE(B153,""ja"",""vi"")"),"Givenchy")</f>
        <v>Givenchy</v>
      </c>
      <c r="F153" s="4" t="str">
        <f ca="1">IFERROR(__xludf.DUMMYFUNCTION("GOOGLETRANSLATE(C153,""ja"",""vi"")"),"Đấu giá&gt; làm đẹp, chăm sóc sức khỏe&gt; ​​mỹ phẩm, chăm sóc da&gt; bóng Mắt&gt; Givenchy")</f>
        <v>Đấu giá&gt; làm đẹp, chăm sóc sức khỏe&gt; ​​mỹ phẩm, chăm sóc da&gt; bóng Mắt&gt; Givenchy</v>
      </c>
      <c r="G153" t="str">
        <f t="shared" ca="1" si="2"/>
        <v>"2084060233" : "Givenchy",</v>
      </c>
    </row>
    <row r="154" spans="1:7" ht="15.75" customHeight="1">
      <c r="A154" s="28">
        <v>2084243958</v>
      </c>
      <c r="B154" s="28" t="s">
        <v>10446</v>
      </c>
      <c r="C154" s="28" t="s">
        <v>20839</v>
      </c>
      <c r="D154" s="28" t="s">
        <v>20840</v>
      </c>
      <c r="E154" s="4" t="str">
        <f ca="1">IFERROR(__xludf.DUMMYFUNCTION("GOOGLETRANSLATE(B154,""ja"",""vi"")"),"Jill Stuart")</f>
        <v>Jill Stuart</v>
      </c>
      <c r="F154" s="4" t="str">
        <f ca="1">IFERROR(__xludf.DUMMYFUNCTION("GOOGLETRANSLATE(C154,""ja"",""vi"")"),"Đấu giá&gt; làm đẹp, chăm sóc sức khỏe&gt; ​​mỹ phẩm, chăm sóc da&gt; bóng Mắt&gt; Jill Stuart")</f>
        <v>Đấu giá&gt; làm đẹp, chăm sóc sức khỏe&gt; ​​mỹ phẩm, chăm sóc da&gt; bóng Mắt&gt; Jill Stuart</v>
      </c>
      <c r="G154" t="str">
        <f t="shared" ca="1" si="2"/>
        <v>"2084243958" : "Jill Stuart",</v>
      </c>
    </row>
    <row r="155" spans="1:7" ht="15.75" customHeight="1">
      <c r="A155" s="28">
        <v>2084054091</v>
      </c>
      <c r="B155" s="28" t="s">
        <v>20388</v>
      </c>
      <c r="C155" s="28" t="s">
        <v>20842</v>
      </c>
      <c r="D155" s="28" t="s">
        <v>20844</v>
      </c>
      <c r="E155" s="4" t="str">
        <f ca="1">IFERROR(__xludf.DUMMYFUNCTION("GOOGLETRANSLATE(B155,""ja"",""vi"")"),"Stila")</f>
        <v>Stila</v>
      </c>
      <c r="F155" s="4" t="str">
        <f ca="1">IFERROR(__xludf.DUMMYFUNCTION("GOOGLETRANSLATE(C155,""ja"",""vi"")"),"Đấu giá&gt; làm đẹp, chăm sóc sức khỏe&gt; ​​mỹ phẩm, chăm sóc da&gt; Eye Shadow&gt; Stila")</f>
        <v>Đấu giá&gt; làm đẹp, chăm sóc sức khỏe&gt; ​​mỹ phẩm, chăm sóc da&gt; Eye Shadow&gt; Stila</v>
      </c>
      <c r="G155" t="str">
        <f t="shared" ca="1" si="2"/>
        <v>"2084054091" : "Stila",</v>
      </c>
    </row>
    <row r="156" spans="1:7" ht="15.75" customHeight="1">
      <c r="A156" s="28">
        <v>2084060236</v>
      </c>
      <c r="B156" s="28" t="s">
        <v>11252</v>
      </c>
      <c r="C156" s="28" t="s">
        <v>20846</v>
      </c>
      <c r="D156" s="28" t="s">
        <v>20847</v>
      </c>
      <c r="E156" s="4" t="str">
        <f ca="1">IFERROR(__xludf.DUMMYFUNCTION("GOOGLETRANSLATE(B156,""ja"",""vi"")"),"Nina Ricci")</f>
        <v>Nina Ricci</v>
      </c>
      <c r="F156" s="4" t="str">
        <f ca="1">IFERROR(__xludf.DUMMYFUNCTION("GOOGLETRANSLATE(C156,""ja"",""vi"")"),"Đấu giá&gt; làm đẹp, chăm sóc sức khỏe&gt; ​​mỹ phẩm, chăm sóc da&gt; bóng Mắt&gt; Nina Ricci")</f>
        <v>Đấu giá&gt; làm đẹp, chăm sóc sức khỏe&gt; ​​mỹ phẩm, chăm sóc da&gt; bóng Mắt&gt; Nina Ricci</v>
      </c>
      <c r="G156" t="str">
        <f t="shared" ca="1" si="2"/>
        <v>"2084060236" : "Nina Ricci",</v>
      </c>
    </row>
    <row r="157" spans="1:7" ht="15.75" customHeight="1">
      <c r="A157" s="28">
        <v>2084040439</v>
      </c>
      <c r="B157" s="28" t="s">
        <v>20460</v>
      </c>
      <c r="C157" s="28" t="s">
        <v>20849</v>
      </c>
      <c r="D157" s="28" t="s">
        <v>20850</v>
      </c>
      <c r="E157" s="4" t="str">
        <f ca="1">IFERROR(__xludf.DUMMYFUNCTION("GOOGLETRANSLATE(B157,""ja"",""vi"")"),"Noevir")</f>
        <v>Noevir</v>
      </c>
      <c r="F157" s="4" t="str">
        <f ca="1">IFERROR(__xludf.DUMMYFUNCTION("GOOGLETRANSLATE(C157,""ja"",""vi"")"),"Đấu giá&gt; làm đẹp, chăm sóc sức khỏe&gt; ​​mỹ phẩm, chăm sóc da&gt; bóng Mắt&gt; Noevir")</f>
        <v>Đấu giá&gt; làm đẹp, chăm sóc sức khỏe&gt; ​​mỹ phẩm, chăm sóc da&gt; bóng Mắt&gt; Noevir</v>
      </c>
      <c r="G157" t="str">
        <f t="shared" ca="1" si="2"/>
        <v>"2084040439" : "Noevir",</v>
      </c>
    </row>
    <row r="158" spans="1:7" ht="15.75" customHeight="1">
      <c r="A158" s="28">
        <v>2084040442</v>
      </c>
      <c r="B158" s="28" t="s">
        <v>20466</v>
      </c>
      <c r="C158" s="28" t="s">
        <v>20852</v>
      </c>
      <c r="D158" s="28" t="s">
        <v>20853</v>
      </c>
      <c r="E158" s="4" t="str">
        <f ca="1">IFERROR(__xludf.DUMMYFUNCTION("GOOGLETRANSLATE(B158,""ja"",""vi"")"),"hải cảng")</f>
        <v>hải cảng</v>
      </c>
      <c r="F158" s="4" t="str">
        <f ca="1">IFERROR(__xludf.DUMMYFUNCTION("GOOGLETRANSLATE(C158,""ja"",""vi"")"),"Đấu giá&gt; làm đẹp, chăm sóc sức khỏe&gt; ​​mỹ phẩm, chăm sóc da&gt; bóng Mắt&gt; Cảng")</f>
        <v>Đấu giá&gt; làm đẹp, chăm sóc sức khỏe&gt; ​​mỹ phẩm, chăm sóc da&gt; bóng Mắt&gt; Cảng</v>
      </c>
      <c r="G158" t="str">
        <f t="shared" ca="1" si="2"/>
        <v>"2084040442" : "hải cảng",</v>
      </c>
    </row>
    <row r="159" spans="1:7" ht="15.75" customHeight="1">
      <c r="A159" s="28">
        <v>2084040670</v>
      </c>
      <c r="B159" s="28" t="s">
        <v>20489</v>
      </c>
      <c r="C159" s="28" t="s">
        <v>20856</v>
      </c>
      <c r="D159" s="28" t="s">
        <v>20857</v>
      </c>
      <c r="E159" s="4" t="str">
        <f ca="1">IFERROR(__xludf.DUMMYFUNCTION("GOOGLETRANSLATE(B159,""ja"",""vi"")"),"FANCL")</f>
        <v>FANCL</v>
      </c>
      <c r="F159" s="4" t="str">
        <f ca="1">IFERROR(__xludf.DUMMYFUNCTION("GOOGLETRANSLATE(C159,""ja"",""vi"")"),"Đấu giá&gt; làm đẹp, chăm sóc sức khỏe&gt; ​​mỹ phẩm, chăm sóc da&gt; bóng Mắt&gt; FANCL")</f>
        <v>Đấu giá&gt; làm đẹp, chăm sóc sức khỏe&gt; ​​mỹ phẩm, chăm sóc da&gt; bóng Mắt&gt; FANCL</v>
      </c>
      <c r="G159" t="str">
        <f t="shared" ca="1" si="2"/>
        <v>"2084040670" : "FANCL",</v>
      </c>
    </row>
    <row r="160" spans="1:7" ht="15.75" customHeight="1">
      <c r="A160" s="28">
        <v>2084060234</v>
      </c>
      <c r="B160" s="28" t="s">
        <v>20493</v>
      </c>
      <c r="C160" s="28" t="s">
        <v>20860</v>
      </c>
      <c r="D160" s="28" t="s">
        <v>20861</v>
      </c>
      <c r="E160" s="4" t="str">
        <f ca="1">IFERROR(__xludf.DUMMYFUNCTION("GOOGLETRANSLATE(B160,""ja"",""vi"")"),"chữ cở tám")</f>
        <v>chữ cở tám</v>
      </c>
      <c r="F160" s="4" t="str">
        <f ca="1">IFERROR(__xludf.DUMMYFUNCTION("GOOGLETRANSLATE(C160,""ja"",""vi"")"),"Đấu giá&gt; làm đẹp, chăm sóc sức khỏe&gt; ​​mỹ phẩm, chăm sóc da&gt; bóng Mắt&gt; tư sản")</f>
        <v>Đấu giá&gt; làm đẹp, chăm sóc sức khỏe&gt; ​​mỹ phẩm, chăm sóc da&gt; bóng Mắt&gt; tư sản</v>
      </c>
      <c r="G160" t="str">
        <f t="shared" ca="1" si="2"/>
        <v>"2084060234" : "chữ cở tám",</v>
      </c>
    </row>
    <row r="161" spans="1:7" ht="15.75" customHeight="1">
      <c r="A161" s="28">
        <v>2084040433</v>
      </c>
      <c r="B161" s="28" t="s">
        <v>20502</v>
      </c>
      <c r="C161" s="28" t="s">
        <v>20863</v>
      </c>
      <c r="D161" s="28" t="s">
        <v>20864</v>
      </c>
      <c r="E161" s="4" t="str">
        <f ca="1">IFERROR(__xludf.DUMMYFUNCTION("GOOGLETRANSLATE(B161,""ja"",""vi"")"),"Helena Rubinstein")</f>
        <v>Helena Rubinstein</v>
      </c>
      <c r="F161" s="4" t="str">
        <f ca="1">IFERROR(__xludf.DUMMYFUNCTION("GOOGLETRANSLATE(C161,""ja"",""vi"")"),"Đấu giá&gt; làm đẹp, chăm sóc sức khỏe&gt; ​​mỹ phẩm, chăm sóc da&gt; bóng Mắt&gt; Helena Rubinstein")</f>
        <v>Đấu giá&gt; làm đẹp, chăm sóc sức khỏe&gt; ​​mỹ phẩm, chăm sóc da&gt; bóng Mắt&gt; Helena Rubinstein</v>
      </c>
      <c r="G161" t="str">
        <f t="shared" ca="1" si="2"/>
        <v>"2084040433" : "Helena Rubinstein",</v>
      </c>
    </row>
    <row r="162" spans="1:7" ht="15.75" customHeight="1">
      <c r="A162" s="28">
        <v>2084228316</v>
      </c>
      <c r="B162" s="28" t="s">
        <v>20506</v>
      </c>
      <c r="C162" s="28" t="s">
        <v>20867</v>
      </c>
      <c r="D162" s="28" t="s">
        <v>20868</v>
      </c>
      <c r="E162" s="4" t="str">
        <f ca="1">IFERROR(__xludf.DUMMYFUNCTION("GOOGLETRANSLATE(B162,""ja"",""vi"")"),"BareMinerals")</f>
        <v>BareMinerals</v>
      </c>
      <c r="F162" s="4" t="str">
        <f ca="1">IFERROR(__xludf.DUMMYFUNCTION("GOOGLETRANSLATE(C162,""ja"",""vi"")"),"Đấu giá&gt; làm đẹp, chăm sóc sức khỏe&gt; ​​mỹ phẩm, chăm sóc da&gt; bóng Mắt&gt; BareMinerals")</f>
        <v>Đấu giá&gt; làm đẹp, chăm sóc sức khỏe&gt; ​​mỹ phẩm, chăm sóc da&gt; bóng Mắt&gt; BareMinerals</v>
      </c>
      <c r="G162" t="str">
        <f t="shared" ca="1" si="2"/>
        <v>"2084228316" : "BareMinerals",</v>
      </c>
    </row>
    <row r="163" spans="1:7" ht="15.75" customHeight="1">
      <c r="A163" s="28">
        <v>2084054092</v>
      </c>
      <c r="B163" s="28" t="s">
        <v>20511</v>
      </c>
      <c r="C163" s="28" t="s">
        <v>20870</v>
      </c>
      <c r="D163" s="28" t="s">
        <v>20871</v>
      </c>
      <c r="E163" s="4" t="str">
        <f ca="1">IFERROR(__xludf.DUMMYFUNCTION("GOOGLETRANSLATE(B163,""ja"",""vi"")"),"Bobii Brown")</f>
        <v>Bobii Brown</v>
      </c>
      <c r="F163" s="4" t="str">
        <f ca="1">IFERROR(__xludf.DUMMYFUNCTION("GOOGLETRANSLATE(C163,""ja"",""vi"")"),"Đấu giá&gt; làm đẹp, chăm sóc sức khỏe&gt; ​​mỹ phẩm, chăm sóc da&gt; bóng Mắt&gt; Bobii Brown")</f>
        <v>Đấu giá&gt; làm đẹp, chăm sóc sức khỏe&gt; ​​mỹ phẩm, chăm sóc da&gt; bóng Mắt&gt; Bobii Brown</v>
      </c>
      <c r="G163" t="str">
        <f t="shared" ca="1" si="2"/>
        <v>"2084054092" : "Bobii Brown",</v>
      </c>
    </row>
    <row r="164" spans="1:7" ht="15.75" customHeight="1">
      <c r="A164" s="28">
        <v>2084226975</v>
      </c>
      <c r="B164" s="28" t="s">
        <v>12253</v>
      </c>
      <c r="C164" s="28" t="s">
        <v>20873</v>
      </c>
      <c r="D164" s="28" t="s">
        <v>20874</v>
      </c>
      <c r="E164" s="4" t="str">
        <f ca="1">IFERROR(__xludf.DUMMYFUNCTION("GOOGLETRANSLATE(B164,""ja"",""vi"")"),"Paul &amp; Joe")</f>
        <v>Paul &amp; Joe</v>
      </c>
      <c r="F164" s="4" t="str">
        <f ca="1">IFERROR(__xludf.DUMMYFUNCTION("GOOGLETRANSLATE(C164,""ja"",""vi"")"),"Đấu giá&gt; làm đẹp, chăm sóc sức khỏe&gt; ​​mỹ phẩm, chăm sóc da&gt; bóng Mắt&gt; Paul &amp; Joe")</f>
        <v>Đấu giá&gt; làm đẹp, chăm sóc sức khỏe&gt; ​​mỹ phẩm, chăm sóc da&gt; bóng Mắt&gt; Paul &amp; Joe</v>
      </c>
      <c r="G164" t="str">
        <f t="shared" ca="1" si="2"/>
        <v>"2084226975" : "Paul &amp; Joe",</v>
      </c>
    </row>
    <row r="165" spans="1:7" ht="15.75" customHeight="1">
      <c r="A165" s="28">
        <v>2084040448</v>
      </c>
      <c r="B165" s="28" t="s">
        <v>20532</v>
      </c>
      <c r="C165" s="28" t="s">
        <v>20877</v>
      </c>
      <c r="D165" s="28" t="s">
        <v>20878</v>
      </c>
      <c r="E165" s="4" t="str">
        <f ca="1">IFERROR(__xludf.DUMMYFUNCTION("GOOGLETRANSLATE(B165,""ja"",""vi"")"),"Max Factor")</f>
        <v>Max Factor</v>
      </c>
      <c r="F165" s="4" t="str">
        <f ca="1">IFERROR(__xludf.DUMMYFUNCTION("GOOGLETRANSLATE(C165,""ja"",""vi"")"),"Đấu giá&gt; làm đẹp, chăm sóc sức khỏe&gt; ​​mỹ phẩm, chăm sóc da&gt; bóng Mắt&gt; Max Factor")</f>
        <v>Đấu giá&gt; làm đẹp, chăm sóc sức khỏe&gt; ​​mỹ phẩm, chăm sóc da&gt; bóng Mắt&gt; Max Factor</v>
      </c>
      <c r="G165" t="str">
        <f t="shared" ca="1" si="2"/>
        <v>"2084040448" : "Max Factor",</v>
      </c>
    </row>
    <row r="166" spans="1:7" ht="15.75" customHeight="1">
      <c r="A166" s="28">
        <v>2084054089</v>
      </c>
      <c r="B166" s="28" t="s">
        <v>20536</v>
      </c>
      <c r="C166" s="28" t="s">
        <v>20880</v>
      </c>
      <c r="D166" s="28" t="s">
        <v>20881</v>
      </c>
      <c r="E166" s="4" t="str">
        <f ca="1">IFERROR(__xludf.DUMMYFUNCTION("GOOGLETRANSLATE(B166,""ja"",""vi"")"),"Marikuwanto")</f>
        <v>Marikuwanto</v>
      </c>
      <c r="F166" s="4" t="str">
        <f ca="1">IFERROR(__xludf.DUMMYFUNCTION("GOOGLETRANSLATE(C166,""ja"",""vi"")"),"Đấu giá&gt; làm đẹp, chăm sóc sức khỏe&gt; ​​mỹ phẩm, chăm sóc da&gt; bóng Mắt&gt; Marikuwanto")</f>
        <v>Đấu giá&gt; làm đẹp, chăm sóc sức khỏe&gt; ​​mỹ phẩm, chăm sóc da&gt; bóng Mắt&gt; Marikuwanto</v>
      </c>
      <c r="G166" t="str">
        <f t="shared" ca="1" si="2"/>
        <v>"2084054089" : "Marikuwanto",</v>
      </c>
    </row>
    <row r="167" spans="1:7" ht="15.75" customHeight="1">
      <c r="A167" s="28">
        <v>2084040449</v>
      </c>
      <c r="B167" s="28" t="s">
        <v>20546</v>
      </c>
      <c r="C167" s="28" t="s">
        <v>20884</v>
      </c>
      <c r="D167" s="28" t="s">
        <v>20885</v>
      </c>
      <c r="E167" s="4" t="str">
        <f ca="1">IFERROR(__xludf.DUMMYFUNCTION("GOOGLETRANSLATE(B167,""ja"",""vi"")"),"Maybelline")</f>
        <v>Maybelline</v>
      </c>
      <c r="F167" s="4" t="str">
        <f ca="1">IFERROR(__xludf.DUMMYFUNCTION("GOOGLETRANSLATE(C167,""ja"",""vi"")"),"Đấu giá&gt; làm đẹp, chăm sóc sức khỏe&gt; ​​mỹ phẩm, chăm sóc da&gt; bóng Mắt&gt; Maybelline")</f>
        <v>Đấu giá&gt; làm đẹp, chăm sóc sức khỏe&gt; ​​mỹ phẩm, chăm sóc da&gt; bóng Mắt&gt; Maybelline</v>
      </c>
      <c r="G167" t="str">
        <f t="shared" ca="1" si="2"/>
        <v>"2084040449" : "Maybelline",</v>
      </c>
    </row>
    <row r="168" spans="1:7" ht="15.75" customHeight="1">
      <c r="A168" s="28">
        <v>2084040440</v>
      </c>
      <c r="B168" s="28" t="s">
        <v>20550</v>
      </c>
      <c r="C168" s="28" t="s">
        <v>20887</v>
      </c>
      <c r="D168" s="28" t="s">
        <v>20888</v>
      </c>
      <c r="E168" s="4" t="str">
        <f ca="1">IFERROR(__xludf.DUMMYFUNCTION("GOOGLETRANSLATE(B168,""ja"",""vi"")"),"Menard")</f>
        <v>Menard</v>
      </c>
      <c r="F168" s="4" t="str">
        <f ca="1">IFERROR(__xludf.DUMMYFUNCTION("GOOGLETRANSLATE(C168,""ja"",""vi"")"),"Đấu giá&gt; làm đẹp, chăm sóc sức khỏe&gt; ​​mỹ phẩm, chăm sóc da&gt; bóng Mắt&gt; Menard")</f>
        <v>Đấu giá&gt; làm đẹp, chăm sóc sức khỏe&gt; ​​mỹ phẩm, chăm sóc da&gt; bóng Mắt&gt; Menard</v>
      </c>
      <c r="G168" t="str">
        <f t="shared" ca="1" si="2"/>
        <v>"2084040440" : "Menard",</v>
      </c>
    </row>
    <row r="169" spans="1:7" ht="15.75" customHeight="1">
      <c r="A169" s="28">
        <v>2084040458</v>
      </c>
      <c r="B169" s="28" t="s">
        <v>19898</v>
      </c>
      <c r="C169" s="28" t="s">
        <v>20890</v>
      </c>
      <c r="D169" s="28" t="s">
        <v>20891</v>
      </c>
      <c r="E169" s="4" t="str">
        <f ca="1">IFERROR(__xludf.DUMMYFUNCTION("GOOGLETRANSLATE(B169,""ja"",""vi"")"),"Lancome")</f>
        <v>Lancome</v>
      </c>
      <c r="F169" s="4" t="str">
        <f ca="1">IFERROR(__xludf.DUMMYFUNCTION("GOOGLETRANSLATE(C169,""ja"",""vi"")"),"Đấu giá&gt; làm đẹp, chăm sóc sức khỏe&gt; ​​mỹ phẩm, chăm sóc da&gt; bóng Mắt&gt; Lancome")</f>
        <v>Đấu giá&gt; làm đẹp, chăm sóc sức khỏe&gt; ​​mỹ phẩm, chăm sóc da&gt; bóng Mắt&gt; Lancome</v>
      </c>
      <c r="G169" t="str">
        <f t="shared" ca="1" si="2"/>
        <v>"2084040458" : "Lancome",</v>
      </c>
    </row>
    <row r="170" spans="1:7" ht="15.75" customHeight="1">
      <c r="A170" s="28">
        <v>2084040459</v>
      </c>
      <c r="B170" s="28" t="s">
        <v>20571</v>
      </c>
      <c r="C170" s="28" t="s">
        <v>20893</v>
      </c>
      <c r="D170" s="28" t="s">
        <v>20894</v>
      </c>
      <c r="E170" s="4" t="str">
        <f ca="1">IFERROR(__xludf.DUMMYFUNCTION("GOOGLETRANSLATE(B170,""ja"",""vi"")"),"Revlon")</f>
        <v>Revlon</v>
      </c>
      <c r="F170" s="4" t="str">
        <f ca="1">IFERROR(__xludf.DUMMYFUNCTION("GOOGLETRANSLATE(C170,""ja"",""vi"")"),"Đấu giá&gt; làm đẹp, chăm sóc sức khỏe&gt; ​​mỹ phẩm, chăm sóc da&gt; bóng Mắt&gt; Revlon")</f>
        <v>Đấu giá&gt; làm đẹp, chăm sóc sức khỏe&gt; ​​mỹ phẩm, chăm sóc da&gt; bóng Mắt&gt; Revlon</v>
      </c>
      <c r="G170" t="str">
        <f t="shared" ca="1" si="2"/>
        <v>"2084040459" : "Revlon",</v>
      </c>
    </row>
    <row r="171" spans="1:7" ht="15.75" customHeight="1">
      <c r="A171" s="28">
        <v>2084040443</v>
      </c>
      <c r="B171" s="28" t="s">
        <v>46</v>
      </c>
      <c r="C171" s="28" t="s">
        <v>20896</v>
      </c>
      <c r="D171" s="28" t="s">
        <v>20897</v>
      </c>
      <c r="E171" s="4" t="str">
        <f ca="1">IFERROR(__xludf.DUMMYFUNCTION("GOOGLETRANSLATE(B171,""ja"",""vi"")"),"nếu không thì")</f>
        <v>nếu không thì</v>
      </c>
      <c r="F171" s="4" t="str">
        <f ca="1">IFERROR(__xludf.DUMMYFUNCTION("GOOGLETRANSLATE(C171,""ja"",""vi"")"),"Đấu giá&gt; làm đẹp, chăm sóc sức khỏe&gt; ​​mỹ phẩm, chăm sóc da&gt; Mắt&gt; Khác")</f>
        <v>Đấu giá&gt; làm đẹp, chăm sóc sức khỏe&gt; ​​mỹ phẩm, chăm sóc da&gt; Mắt&gt; Khác</v>
      </c>
      <c r="G171" t="str">
        <f t="shared" ca="1" si="2"/>
        <v>"2084040443" : "nếu không thì",</v>
      </c>
    </row>
    <row r="172" spans="1:7" ht="15.75" customHeight="1">
      <c r="A172" s="36">
        <v>2084228668</v>
      </c>
      <c r="B172" s="36" t="s">
        <v>19664</v>
      </c>
      <c r="C172" s="36" t="s">
        <v>20899</v>
      </c>
      <c r="D172" s="36" t="s">
        <v>20900</v>
      </c>
      <c r="E172" s="4" t="str">
        <f ca="1">IFERROR(__xludf.DUMMYFUNCTION("GOOGLETRANSLATE(B172,""ja"",""vi"")"),"Estee Lauder")</f>
        <v>Estee Lauder</v>
      </c>
      <c r="F172" s="4" t="str">
        <f ca="1">IFERROR(__xludf.DUMMYFUNCTION("GOOGLETRANSLATE(C172,""ja"",""vi"")"),"Đấu giá&gt; làm đẹp, chăm sóc sức khỏe&gt; ​​mỹ phẩm, chăm sóc da&gt; Eyeliner&gt; Estee Lauder")</f>
        <v>Đấu giá&gt; làm đẹp, chăm sóc sức khỏe&gt; ​​mỹ phẩm, chăm sóc da&gt; Eyeliner&gt; Estee Lauder</v>
      </c>
      <c r="G172" t="str">
        <f t="shared" ca="1" si="2"/>
        <v>"2084228668" : "Estee Lauder",</v>
      </c>
    </row>
    <row r="173" spans="1:7" ht="15.75" customHeight="1">
      <c r="A173" s="28">
        <v>2084228669</v>
      </c>
      <c r="B173" s="28" t="s">
        <v>9858</v>
      </c>
      <c r="C173" s="28" t="s">
        <v>20901</v>
      </c>
      <c r="D173" s="28" t="s">
        <v>20903</v>
      </c>
      <c r="E173" s="4" t="str">
        <f ca="1">IFERROR(__xludf.DUMMYFUNCTION("GOOGLETRANSLATE(B173,""ja"",""vi"")"),"Christian Dior")</f>
        <v>Christian Dior</v>
      </c>
      <c r="F173" s="4" t="str">
        <f ca="1">IFERROR(__xludf.DUMMYFUNCTION("GOOGLETRANSLATE(C173,""ja"",""vi"")"),"Đấu giá&gt; làm đẹp, chăm sóc sức khỏe&gt; ​​mỹ phẩm, chăm sóc da&gt; Eyeliner&gt; Christian Dior")</f>
        <v>Đấu giá&gt; làm đẹp, chăm sóc sức khỏe&gt; ​​mỹ phẩm, chăm sóc da&gt; Eyeliner&gt; Christian Dior</v>
      </c>
      <c r="G173" t="str">
        <f t="shared" ca="1" si="2"/>
        <v>"2084228669" : "Christian Dior",</v>
      </c>
    </row>
    <row r="174" spans="1:7" ht="15.75" customHeight="1">
      <c r="A174" s="28">
        <v>2084228667</v>
      </c>
      <c r="B174" s="28" t="s">
        <v>10288</v>
      </c>
      <c r="C174" s="28" t="s">
        <v>20904</v>
      </c>
      <c r="D174" s="28" t="s">
        <v>20905</v>
      </c>
      <c r="E174" s="4" t="str">
        <f ca="1">IFERROR(__xludf.DUMMYFUNCTION("GOOGLETRANSLATE(B174,""ja"",""vi"")"),"Chanel")</f>
        <v>Chanel</v>
      </c>
      <c r="F174" s="4" t="str">
        <f ca="1">IFERROR(__xludf.DUMMYFUNCTION("GOOGLETRANSLATE(C174,""ja"",""vi"")"),"Đấu giá&gt; làm đẹp, chăm sóc sức khỏe&gt; ​​mỹ phẩm, chăm sóc da&gt; Eyeliner&gt; Chanel")</f>
        <v>Đấu giá&gt; làm đẹp, chăm sóc sức khỏe&gt; ​​mỹ phẩm, chăm sóc da&gt; Eyeliner&gt; Chanel</v>
      </c>
      <c r="G174" t="str">
        <f t="shared" ca="1" si="2"/>
        <v>"2084228667" : "Chanel",</v>
      </c>
    </row>
    <row r="175" spans="1:7" ht="15.75" customHeight="1">
      <c r="A175" s="28">
        <v>2084228665</v>
      </c>
      <c r="B175" s="28" t="s">
        <v>20511</v>
      </c>
      <c r="C175" s="28" t="s">
        <v>20907</v>
      </c>
      <c r="D175" s="28" t="s">
        <v>20908</v>
      </c>
      <c r="E175" s="4" t="str">
        <f ca="1">IFERROR(__xludf.DUMMYFUNCTION("GOOGLETRANSLATE(B175,""ja"",""vi"")"),"Bobii Brown")</f>
        <v>Bobii Brown</v>
      </c>
      <c r="F175" s="4" t="str">
        <f ca="1">IFERROR(__xludf.DUMMYFUNCTION("GOOGLETRANSLATE(C175,""ja"",""vi"")"),"Đấu giá&gt; làm đẹp, chăm sóc sức khỏe&gt; ​​mỹ phẩm, chăm sóc da&gt; Eyeliner&gt; Bobii Brown")</f>
        <v>Đấu giá&gt; làm đẹp, chăm sóc sức khỏe&gt; ​​mỹ phẩm, chăm sóc da&gt; Eyeliner&gt; Bobii Brown</v>
      </c>
      <c r="G175" t="str">
        <f t="shared" ca="1" si="2"/>
        <v>"2084228665" : "Bobii Brown",</v>
      </c>
    </row>
    <row r="176" spans="1:7" ht="15.75" customHeight="1">
      <c r="A176" s="28">
        <v>2084228666</v>
      </c>
      <c r="B176" s="28" t="s">
        <v>19898</v>
      </c>
      <c r="C176" s="28" t="s">
        <v>20910</v>
      </c>
      <c r="D176" s="28" t="s">
        <v>20911</v>
      </c>
      <c r="E176" s="4" t="str">
        <f ca="1">IFERROR(__xludf.DUMMYFUNCTION("GOOGLETRANSLATE(B176,""ja"",""vi"")"),"Lancome")</f>
        <v>Lancome</v>
      </c>
      <c r="F176" s="4" t="str">
        <f ca="1">IFERROR(__xludf.DUMMYFUNCTION("GOOGLETRANSLATE(C176,""ja"",""vi"")"),"Đấu giá&gt; làm đẹp, chăm sóc sức khỏe&gt; ​​mỹ phẩm, chăm sóc da&gt; Eyeliner&gt; Lancome")</f>
        <v>Đấu giá&gt; làm đẹp, chăm sóc sức khỏe&gt; ​​mỹ phẩm, chăm sóc da&gt; Eyeliner&gt; Lancome</v>
      </c>
      <c r="G176" t="str">
        <f t="shared" ca="1" si="2"/>
        <v>"2084228666" : "Lancome",</v>
      </c>
    </row>
    <row r="177" spans="1:7" ht="15.75" customHeight="1">
      <c r="A177" s="28">
        <v>2084228670</v>
      </c>
      <c r="B177" s="28" t="s">
        <v>46</v>
      </c>
      <c r="C177" s="28" t="s">
        <v>20913</v>
      </c>
      <c r="D177" s="28" t="s">
        <v>20914</v>
      </c>
      <c r="E177" s="4" t="str">
        <f ca="1">IFERROR(__xludf.DUMMYFUNCTION("GOOGLETRANSLATE(B177,""ja"",""vi"")"),"nếu không thì")</f>
        <v>nếu không thì</v>
      </c>
      <c r="F177" s="4" t="str">
        <f ca="1">IFERROR(__xludf.DUMMYFUNCTION("GOOGLETRANSLATE(C177,""ja"",""vi"")"),"Đấu giá&gt; làm đẹp, chăm sóc sức khỏe&gt; ​​mỹ phẩm, chăm sóc da&gt; Eyeliner&gt; Khác")</f>
        <v>Đấu giá&gt; làm đẹp, chăm sóc sức khỏe&gt; ​​mỹ phẩm, chăm sóc da&gt; Eyeliner&gt; Khác</v>
      </c>
      <c r="G177" t="str">
        <f t="shared" ca="1" si="2"/>
        <v>"2084228670" : "nếu không thì",</v>
      </c>
    </row>
    <row r="178" spans="1:7" ht="15.75" customHeight="1">
      <c r="A178" s="36">
        <v>2084058969</v>
      </c>
      <c r="B178" s="36" t="s">
        <v>20401</v>
      </c>
      <c r="C178" s="36" t="s">
        <v>20916</v>
      </c>
      <c r="D178" s="36" t="s">
        <v>20917</v>
      </c>
      <c r="E178" s="4" t="str">
        <f ca="1">IFERROR(__xludf.DUMMYFUNCTION("GOOGLETRANSLATE(B178,""ja"",""vi"")"),"DHC")</f>
        <v>DHC</v>
      </c>
      <c r="F178" s="4" t="str">
        <f ca="1">IFERROR(__xludf.DUMMYFUNCTION("GOOGLETRANSLATE(C178,""ja"",""vi"")"),"Đấu giá&gt; làm đẹp, chăm sóc sức khỏe&gt; ​​mỹ phẩm, chăm sóc da&gt; mascara, vật lông mi&gt; DHC")</f>
        <v>Đấu giá&gt; làm đẹp, chăm sóc sức khỏe&gt; ​​mỹ phẩm, chăm sóc da&gt; mascara, vật lông mi&gt; DHC</v>
      </c>
      <c r="G178" t="str">
        <f t="shared" ca="1" si="2"/>
        <v>"2084058969" : "DHC",</v>
      </c>
    </row>
    <row r="179" spans="1:7" ht="15.75" customHeight="1">
      <c r="A179" s="28">
        <v>2084058970</v>
      </c>
      <c r="B179" s="28" t="s">
        <v>8795</v>
      </c>
      <c r="C179" s="28" t="s">
        <v>20919</v>
      </c>
      <c r="D179" s="28" t="s">
        <v>20920</v>
      </c>
      <c r="E179" s="4" t="str">
        <f ca="1">IFERROR(__xludf.DUMMYFUNCTION("GOOGLETRANSLATE(B179,""ja"",""vi"")"),"Anna Sui")</f>
        <v>Anna Sui</v>
      </c>
      <c r="F179" s="4" t="str">
        <f ca="1">IFERROR(__xludf.DUMMYFUNCTION("GOOGLETRANSLATE(C179,""ja"",""vi"")"),"Đấu giá&gt; làm đẹp, chăm sóc sức khỏe&gt; ​​mỹ phẩm, chăm sóc da&gt; mascara, vật lông mi&gt; Anna Sui")</f>
        <v>Đấu giá&gt; làm đẹp, chăm sóc sức khỏe&gt; ​​mỹ phẩm, chăm sóc da&gt; mascara, vật lông mi&gt; Anna Sui</v>
      </c>
      <c r="G179" t="str">
        <f t="shared" ca="1" si="2"/>
        <v>"2084058970" : "Anna Sui",</v>
      </c>
    </row>
    <row r="180" spans="1:7" ht="15.75" customHeight="1">
      <c r="A180" s="28">
        <v>2084060305</v>
      </c>
      <c r="B180" s="28" t="s">
        <v>8809</v>
      </c>
      <c r="C180" s="28" t="s">
        <v>20923</v>
      </c>
      <c r="D180" s="28" t="s">
        <v>20924</v>
      </c>
      <c r="E180" s="4" t="str">
        <f ca="1">IFERROR(__xludf.DUMMYFUNCTION("GOOGLETRANSLATE(B180,""ja"",""vi"")"),"Aniesube")</f>
        <v>Aniesube</v>
      </c>
      <c r="F180" s="4" t="str">
        <f ca="1">IFERROR(__xludf.DUMMYFUNCTION("GOOGLETRANSLATE(C180,""ja"",""vi"")"),"Đấu giá&gt; làm đẹp, chăm sóc sức khỏe&gt; ​​mỹ phẩm, chăm sóc da&gt; mascara, vật lông mi&gt; Aniesube")</f>
        <v>Đấu giá&gt; làm đẹp, chăm sóc sức khỏe&gt; ​​mỹ phẩm, chăm sóc da&gt; mascara, vật lông mi&gt; Aniesube</v>
      </c>
      <c r="G180" t="str">
        <f t="shared" ca="1" si="2"/>
        <v>"2084060305" : "Aniesube",</v>
      </c>
    </row>
    <row r="181" spans="1:7" ht="15.75" customHeight="1">
      <c r="A181" s="28">
        <v>2084058971</v>
      </c>
      <c r="B181" s="28" t="s">
        <v>9050</v>
      </c>
      <c r="C181" s="28" t="s">
        <v>20927</v>
      </c>
      <c r="D181" s="28" t="s">
        <v>20928</v>
      </c>
      <c r="E181" s="4" t="str">
        <f ca="1">IFERROR(__xludf.DUMMYFUNCTION("GOOGLETRANSLATE(B181,""ja"",""vi"")"),"Yves Saint Laurent")</f>
        <v>Yves Saint Laurent</v>
      </c>
      <c r="F181" s="4" t="str">
        <f ca="1">IFERROR(__xludf.DUMMYFUNCTION("GOOGLETRANSLATE(C181,""ja"",""vi"")"),"Đấu giá&gt; làm đẹp, chăm sóc sức khỏe&gt; ​​mỹ phẩm, chăm sóc da&gt; mascara, vật lông mi&gt; Yves Saint Laurent")</f>
        <v>Đấu giá&gt; làm đẹp, chăm sóc sức khỏe&gt; ​​mỹ phẩm, chăm sóc da&gt; mascara, vật lông mi&gt; Yves Saint Laurent</v>
      </c>
      <c r="G181" t="str">
        <f t="shared" ca="1" si="2"/>
        <v>"2084058971" : "Yves Saint Laurent",</v>
      </c>
    </row>
    <row r="182" spans="1:7" ht="15.75" customHeight="1">
      <c r="A182" s="28">
        <v>2084058972</v>
      </c>
      <c r="B182" s="28" t="s">
        <v>19664</v>
      </c>
      <c r="C182" s="28" t="s">
        <v>20930</v>
      </c>
      <c r="D182" s="28" t="s">
        <v>20931</v>
      </c>
      <c r="E182" s="4" t="str">
        <f ca="1">IFERROR(__xludf.DUMMYFUNCTION("GOOGLETRANSLATE(B182,""ja"",""vi"")"),"Estee Lauder")</f>
        <v>Estee Lauder</v>
      </c>
      <c r="F182" s="4" t="str">
        <f ca="1">IFERROR(__xludf.DUMMYFUNCTION("GOOGLETRANSLATE(C182,""ja"",""vi"")"),"Đấu giá&gt; làm đẹp, chăm sóc sức khỏe&gt; ​​mỹ phẩm, chăm sóc da&gt; mascara, vật lông mi&gt; Estee Lauder")</f>
        <v>Đấu giá&gt; làm đẹp, chăm sóc sức khỏe&gt; ​​mỹ phẩm, chăm sóc da&gt; mascara, vật lông mi&gt; Estee Lauder</v>
      </c>
      <c r="G182" t="str">
        <f t="shared" ca="1" si="2"/>
        <v>"2084058972" : "Estee Lauder",</v>
      </c>
    </row>
    <row r="183" spans="1:7" ht="15.75" customHeight="1">
      <c r="A183" s="28">
        <v>2084058974</v>
      </c>
      <c r="B183" s="28" t="s">
        <v>20337</v>
      </c>
      <c r="C183" s="28" t="s">
        <v>20933</v>
      </c>
      <c r="D183" s="28" t="s">
        <v>20934</v>
      </c>
      <c r="E183" s="4" t="str">
        <f ca="1">IFERROR(__xludf.DUMMYFUNCTION("GOOGLETRANSLATE(B183,""ja"",""vi"")"),"Clarins")</f>
        <v>Clarins</v>
      </c>
      <c r="F183" s="4" t="str">
        <f ca="1">IFERROR(__xludf.DUMMYFUNCTION("GOOGLETRANSLATE(C183,""ja"",""vi"")"),"Đấu giá&gt; làm đẹp, chăm sóc sức khỏe&gt; ​​mỹ phẩm, chăm sóc da&gt; mascara, vật lông mi&gt; Clarins")</f>
        <v>Đấu giá&gt; làm đẹp, chăm sóc sức khỏe&gt; ​​mỹ phẩm, chăm sóc da&gt; mascara, vật lông mi&gt; Clarins</v>
      </c>
      <c r="G183" t="str">
        <f t="shared" ca="1" si="2"/>
        <v>"2084058974" : "Clarins",</v>
      </c>
    </row>
    <row r="184" spans="1:7" ht="15.75" customHeight="1">
      <c r="A184" s="28">
        <v>2084058975</v>
      </c>
      <c r="B184" s="28" t="s">
        <v>9858</v>
      </c>
      <c r="C184" s="28" t="s">
        <v>20936</v>
      </c>
      <c r="D184" s="28" t="s">
        <v>20937</v>
      </c>
      <c r="E184" s="4" t="str">
        <f ca="1">IFERROR(__xludf.DUMMYFUNCTION("GOOGLETRANSLATE(B184,""ja"",""vi"")"),"Christian Dior")</f>
        <v>Christian Dior</v>
      </c>
      <c r="F184" s="4" t="str">
        <f ca="1">IFERROR(__xludf.DUMMYFUNCTION("GOOGLETRANSLATE(C184,""ja"",""vi"")"),"Đấu giá&gt; làm đẹp, chăm sóc sức khỏe&gt; ​​mỹ phẩm, chăm sóc da&gt; mascara, vật lông mi&gt; Christian Dior")</f>
        <v>Đấu giá&gt; làm đẹp, chăm sóc sức khỏe&gt; ​​mỹ phẩm, chăm sóc da&gt; mascara, vật lông mi&gt; Christian Dior</v>
      </c>
      <c r="G184" t="str">
        <f t="shared" ca="1" si="2"/>
        <v>"2084058975" : "Christian Dior",</v>
      </c>
    </row>
    <row r="185" spans="1:7" ht="15.75" customHeight="1">
      <c r="A185" s="28">
        <v>2084058976</v>
      </c>
      <c r="B185" s="28" t="s">
        <v>19700</v>
      </c>
      <c r="C185" s="28" t="s">
        <v>20939</v>
      </c>
      <c r="D185" s="28" t="s">
        <v>20940</v>
      </c>
      <c r="E185" s="4" t="str">
        <f ca="1">IFERROR(__xludf.DUMMYFUNCTION("GOOGLETRANSLATE(B185,""ja"",""vi"")"),"Clinique")</f>
        <v>Clinique</v>
      </c>
      <c r="F185" s="4" t="str">
        <f ca="1">IFERROR(__xludf.DUMMYFUNCTION("GOOGLETRANSLATE(C185,""ja"",""vi"")"),"Đấu giá&gt; làm đẹp, chăm sóc sức khỏe&gt; ​​mỹ phẩm, chăm sóc da&gt; mascara, vật lông mi&gt; Clinique")</f>
        <v>Đấu giá&gt; làm đẹp, chăm sóc sức khỏe&gt; ​​mỹ phẩm, chăm sóc da&gt; mascara, vật lông mi&gt; Clinique</v>
      </c>
      <c r="G185" t="str">
        <f t="shared" ca="1" si="2"/>
        <v>"2084058976" : "Clinique",</v>
      </c>
    </row>
    <row r="186" spans="1:7" ht="15.75" customHeight="1">
      <c r="A186" s="28">
        <v>2084058977</v>
      </c>
      <c r="B186" s="28" t="s">
        <v>20346</v>
      </c>
      <c r="C186" s="28" t="s">
        <v>20943</v>
      </c>
      <c r="D186" s="28" t="s">
        <v>20944</v>
      </c>
      <c r="E186" s="4" t="str">
        <f ca="1">IFERROR(__xludf.DUMMYFUNCTION("GOOGLETRANSLATE(B186,""ja"",""vi"")"),"Kesaran Pasaran")</f>
        <v>Kesaran Pasaran</v>
      </c>
      <c r="F186" s="4" t="str">
        <f ca="1">IFERROR(__xludf.DUMMYFUNCTION("GOOGLETRANSLATE(C186,""ja"",""vi"")"),"Đấu giá&gt; làm đẹp, chăm sóc sức khỏe&gt; ​​mỹ phẩm, chăm sóc da&gt; mascara, vật lông mi&gt; Kesaran Pasaran")</f>
        <v>Đấu giá&gt; làm đẹp, chăm sóc sức khỏe&gt; ​​mỹ phẩm, chăm sóc da&gt; mascara, vật lông mi&gt; Kesaran Pasaran</v>
      </c>
      <c r="G186" t="str">
        <f t="shared" ca="1" si="2"/>
        <v>"2084058977" : "Kesaran Pasaran",</v>
      </c>
    </row>
    <row r="187" spans="1:7" ht="15.75" customHeight="1">
      <c r="A187" s="28">
        <v>2084058979</v>
      </c>
      <c r="B187" s="28" t="s">
        <v>10288</v>
      </c>
      <c r="C187" s="28" t="s">
        <v>20946</v>
      </c>
      <c r="D187" s="28" t="s">
        <v>20947</v>
      </c>
      <c r="E187" s="4" t="str">
        <f ca="1">IFERROR(__xludf.DUMMYFUNCTION("GOOGLETRANSLATE(B187,""ja"",""vi"")"),"Chanel")</f>
        <v>Chanel</v>
      </c>
      <c r="F187" s="4" t="str">
        <f ca="1">IFERROR(__xludf.DUMMYFUNCTION("GOOGLETRANSLATE(C187,""ja"",""vi"")"),"Đấu giá&gt; làm đẹp, chăm sóc sức khỏe&gt; ​​mỹ phẩm, chăm sóc da&gt; mascara, vật lông mi&gt; Chanel")</f>
        <v>Đấu giá&gt; làm đẹp, chăm sóc sức khỏe&gt; ​​mỹ phẩm, chăm sóc da&gt; mascara, vật lông mi&gt; Chanel</v>
      </c>
      <c r="G187" t="str">
        <f t="shared" ca="1" si="2"/>
        <v>"2084058979" : "Chanel",</v>
      </c>
    </row>
    <row r="188" spans="1:7" ht="15.75" customHeight="1">
      <c r="A188" s="28">
        <v>2084058980</v>
      </c>
      <c r="B188" s="28" t="s">
        <v>20460</v>
      </c>
      <c r="C188" s="28" t="s">
        <v>20949</v>
      </c>
      <c r="D188" s="28" t="s">
        <v>20950</v>
      </c>
      <c r="E188" s="4" t="str">
        <f ca="1">IFERROR(__xludf.DUMMYFUNCTION("GOOGLETRANSLATE(B188,""ja"",""vi"")"),"Noevir")</f>
        <v>Noevir</v>
      </c>
      <c r="F188" s="4" t="str">
        <f ca="1">IFERROR(__xludf.DUMMYFUNCTION("GOOGLETRANSLATE(C188,""ja"",""vi"")"),"Đấu giá&gt; làm đẹp, chăm sóc sức khỏe&gt; ​​mỹ phẩm, chăm sóc da&gt; mascara, vật lông mi&gt; Noevir")</f>
        <v>Đấu giá&gt; làm đẹp, chăm sóc sức khỏe&gt; ​​mỹ phẩm, chăm sóc da&gt; mascara, vật lông mi&gt; Noevir</v>
      </c>
      <c r="G188" t="str">
        <f t="shared" ca="1" si="2"/>
        <v>"2084058980" : "Noevir",</v>
      </c>
    </row>
    <row r="189" spans="1:7" ht="15.75" customHeight="1">
      <c r="A189" s="28">
        <v>2084058981</v>
      </c>
      <c r="B189" s="28" t="s">
        <v>20502</v>
      </c>
      <c r="C189" s="28" t="s">
        <v>20952</v>
      </c>
      <c r="D189" s="28" t="s">
        <v>20953</v>
      </c>
      <c r="E189" s="4" t="str">
        <f ca="1">IFERROR(__xludf.DUMMYFUNCTION("GOOGLETRANSLATE(B189,""ja"",""vi"")"),"Helena Rubinstein")</f>
        <v>Helena Rubinstein</v>
      </c>
      <c r="F189" s="4" t="str">
        <f ca="1">IFERROR(__xludf.DUMMYFUNCTION("GOOGLETRANSLATE(C189,""ja"",""vi"")"),"Đấu giá&gt; làm đẹp, chăm sóc sức khỏe&gt; ​​mỹ phẩm, chăm sóc da&gt; mascara, vật lông mi&gt; Helena Rubinstein")</f>
        <v>Đấu giá&gt; làm đẹp, chăm sóc sức khỏe&gt; ​​mỹ phẩm, chăm sóc da&gt; mascara, vật lông mi&gt; Helena Rubinstein</v>
      </c>
      <c r="G189" t="str">
        <f t="shared" ca="1" si="2"/>
        <v>"2084058981" : "Helena Rubinstein",</v>
      </c>
    </row>
    <row r="190" spans="1:7" ht="15.75" customHeight="1">
      <c r="A190" s="28">
        <v>2084058982</v>
      </c>
      <c r="B190" s="28" t="s">
        <v>20532</v>
      </c>
      <c r="C190" s="28" t="s">
        <v>20955</v>
      </c>
      <c r="D190" s="28" t="s">
        <v>20956</v>
      </c>
      <c r="E190" s="4" t="str">
        <f ca="1">IFERROR(__xludf.DUMMYFUNCTION("GOOGLETRANSLATE(B190,""ja"",""vi"")"),"Max Factor")</f>
        <v>Max Factor</v>
      </c>
      <c r="F190" s="4" t="str">
        <f ca="1">IFERROR(__xludf.DUMMYFUNCTION("GOOGLETRANSLATE(C190,""ja"",""vi"")"),"Đấu giá&gt; làm đẹp, chăm sóc sức khỏe&gt; ​​mỹ phẩm, chăm sóc da&gt; mascara, vật lông mi&gt; Max Factor")</f>
        <v>Đấu giá&gt; làm đẹp, chăm sóc sức khỏe&gt; ​​mỹ phẩm, chăm sóc da&gt; mascara, vật lông mi&gt; Max Factor</v>
      </c>
      <c r="G190" t="str">
        <f t="shared" ca="1" si="2"/>
        <v>"2084058982" : "Max Factor",</v>
      </c>
    </row>
    <row r="191" spans="1:7" ht="15.75" customHeight="1">
      <c r="A191" s="28">
        <v>2084058983</v>
      </c>
      <c r="B191" s="28" t="s">
        <v>20546</v>
      </c>
      <c r="C191" s="28" t="s">
        <v>20958</v>
      </c>
      <c r="D191" s="28" t="s">
        <v>20959</v>
      </c>
      <c r="E191" s="4" t="str">
        <f ca="1">IFERROR(__xludf.DUMMYFUNCTION("GOOGLETRANSLATE(B191,""ja"",""vi"")"),"Maybelline")</f>
        <v>Maybelline</v>
      </c>
      <c r="F191" s="4" t="str">
        <f ca="1">IFERROR(__xludf.DUMMYFUNCTION("GOOGLETRANSLATE(C191,""ja"",""vi"")"),"Đấu giá&gt; làm đẹp, chăm sóc sức khỏe&gt; ​​mỹ phẩm, chăm sóc da&gt; mascara, vật lông mi&gt; Maybelline")</f>
        <v>Đấu giá&gt; làm đẹp, chăm sóc sức khỏe&gt; ​​mỹ phẩm, chăm sóc da&gt; mascara, vật lông mi&gt; Maybelline</v>
      </c>
      <c r="G191" t="str">
        <f t="shared" ca="1" si="2"/>
        <v>"2084058983" : "Maybelline",</v>
      </c>
    </row>
    <row r="192" spans="1:7" ht="15.75" customHeight="1">
      <c r="A192" s="28">
        <v>2084058984</v>
      </c>
      <c r="B192" s="28" t="s">
        <v>19898</v>
      </c>
      <c r="C192" s="28" t="s">
        <v>20962</v>
      </c>
      <c r="D192" s="28" t="s">
        <v>20963</v>
      </c>
      <c r="E192" s="4" t="str">
        <f ca="1">IFERROR(__xludf.DUMMYFUNCTION("GOOGLETRANSLATE(B192,""ja"",""vi"")"),"Lancome")</f>
        <v>Lancome</v>
      </c>
      <c r="F192" s="4" t="str">
        <f ca="1">IFERROR(__xludf.DUMMYFUNCTION("GOOGLETRANSLATE(C192,""ja"",""vi"")"),"Đấu giá&gt; làm đẹp, chăm sóc sức khỏe&gt; ​​mỹ phẩm, chăm sóc da&gt; mascara, vật lông mi&gt; Lancome")</f>
        <v>Đấu giá&gt; làm đẹp, chăm sóc sức khỏe&gt; ​​mỹ phẩm, chăm sóc da&gt; mascara, vật lông mi&gt; Lancome</v>
      </c>
      <c r="G192" t="str">
        <f t="shared" ca="1" si="2"/>
        <v>"2084058984" : "Lancome",</v>
      </c>
    </row>
    <row r="193" spans="1:7" ht="15.75" customHeight="1">
      <c r="A193" s="28">
        <v>2084058987</v>
      </c>
      <c r="B193" s="28" t="s">
        <v>46</v>
      </c>
      <c r="C193" s="28" t="s">
        <v>20965</v>
      </c>
      <c r="D193" s="28" t="s">
        <v>20966</v>
      </c>
      <c r="E193" s="4" t="str">
        <f ca="1">IFERROR(__xludf.DUMMYFUNCTION("GOOGLETRANSLATE(B193,""ja"",""vi"")"),"nếu không thì")</f>
        <v>nếu không thì</v>
      </c>
      <c r="F193" s="4" t="str">
        <f ca="1">IFERROR(__xludf.DUMMYFUNCTION("GOOGLETRANSLATE(C193,""ja"",""vi"")"),"Đấu giá&gt; làm đẹp, chăm sóc sức khỏe&gt; ​​mỹ phẩm, chăm sóc da&gt; mascara, vật lông mi&gt; Khác")</f>
        <v>Đấu giá&gt; làm đẹp, chăm sóc sức khỏe&gt; ​​mỹ phẩm, chăm sóc da&gt; mascara, vật lông mi&gt; Khác</v>
      </c>
      <c r="G193" t="str">
        <f t="shared" ca="1" si="2"/>
        <v>"2084058987" : "nếu không thì",</v>
      </c>
    </row>
    <row r="194" spans="1:7" ht="15.75" customHeight="1">
      <c r="A194" s="36">
        <v>2084040517</v>
      </c>
      <c r="B194" s="36" t="s">
        <v>20401</v>
      </c>
      <c r="C194" s="36" t="s">
        <v>20968</v>
      </c>
      <c r="D194" s="36" t="s">
        <v>20969</v>
      </c>
      <c r="E194" s="4" t="str">
        <f ca="1">IFERROR(__xludf.DUMMYFUNCTION("GOOGLETRANSLATE(B194,""ja"",""vi"")"),"DHC")</f>
        <v>DHC</v>
      </c>
      <c r="F194" s="4" t="str">
        <f ca="1">IFERROR(__xludf.DUMMYFUNCTION("GOOGLETRANSLATE(C194,""ja"",""vi"")"),"Đấu giá&gt; làm đẹp, chăm sóc sức khỏe&gt; ​​mỹ phẩm, chăm sóc da&gt; son môi, bóng, chăm sóc môi&gt; DHC")</f>
        <v>Đấu giá&gt; làm đẹp, chăm sóc sức khỏe&gt; ​​mỹ phẩm, chăm sóc da&gt; son môi, bóng, chăm sóc môi&gt; DHC</v>
      </c>
      <c r="G194" t="str">
        <f t="shared" ref="G194:G257" ca="1" si="3">CONCATENATE(CHAR(34)&amp;"",A194,""&amp;CHAR(34)," : ", CHAR(34)&amp;"",E194,""&amp;CHAR(34),",")</f>
        <v>"2084040517" : "DHC",</v>
      </c>
    </row>
    <row r="195" spans="1:7" ht="15.75" customHeight="1">
      <c r="A195" s="28">
        <v>2084007474</v>
      </c>
      <c r="B195" s="28" t="s">
        <v>20527</v>
      </c>
      <c r="C195" s="28" t="s">
        <v>20970</v>
      </c>
      <c r="D195" s="28" t="s">
        <v>20972</v>
      </c>
      <c r="E195" s="4" t="str">
        <f ca="1">IFERROR(__xludf.DUMMYFUNCTION("GOOGLETRANSLATE(B195,""ja"",""vi"")"),"MAC")</f>
        <v>MAC</v>
      </c>
      <c r="F195" s="4" t="str">
        <f ca="1">IFERROR(__xludf.DUMMYFUNCTION("GOOGLETRANSLATE(C195,""ja"",""vi"")"),"Đấu giá&gt; làm đẹp, chăm sóc sức khỏe&gt; ​​mỹ phẩm, chăm sóc da&gt; son môi, bóng, chăm sóc môi&gt; MAC")</f>
        <v>Đấu giá&gt; làm đẹp, chăm sóc sức khỏe&gt; ​​mỹ phẩm, chăm sóc da&gt; son môi, bóng, chăm sóc môi&gt; MAC</v>
      </c>
      <c r="G195" t="str">
        <f t="shared" ca="1" si="3"/>
        <v>"2084007474" : "MAC",</v>
      </c>
    </row>
    <row r="196" spans="1:7" ht="15.75" customHeight="1">
      <c r="A196" s="28">
        <v>2084060317</v>
      </c>
      <c r="B196" s="28" t="s">
        <v>20166</v>
      </c>
      <c r="C196" s="28" t="s">
        <v>20973</v>
      </c>
      <c r="D196" s="28" t="s">
        <v>20974</v>
      </c>
      <c r="E196" s="4" t="str">
        <f ca="1">IFERROR(__xludf.DUMMYFUNCTION("GOOGLETRANSLATE(B196,""ja"",""vi"")"),"RMK")</f>
        <v>RMK</v>
      </c>
      <c r="F196" s="4" t="str">
        <f ca="1">IFERROR(__xludf.DUMMYFUNCTION("GOOGLETRANSLATE(C196,""ja"",""vi"")"),"Đấu giá&gt; làm đẹp, chăm sóc sức khỏe&gt; ​​mỹ phẩm, chăm sóc da&gt; son môi, bóng, chăm sóc môi&gt; RMK")</f>
        <v>Đấu giá&gt; làm đẹp, chăm sóc sức khỏe&gt; ​​mỹ phẩm, chăm sóc da&gt; son môi, bóng, chăm sóc môi&gt; RMK</v>
      </c>
      <c r="G196" t="str">
        <f t="shared" ca="1" si="3"/>
        <v>"2084060317" : "RMK",</v>
      </c>
    </row>
    <row r="197" spans="1:7" ht="15.75" customHeight="1">
      <c r="A197" s="28">
        <v>2084054094</v>
      </c>
      <c r="B197" s="28" t="s">
        <v>8795</v>
      </c>
      <c r="C197" s="28" t="s">
        <v>20976</v>
      </c>
      <c r="D197" s="28" t="s">
        <v>20977</v>
      </c>
      <c r="E197" s="4" t="str">
        <f ca="1">IFERROR(__xludf.DUMMYFUNCTION("GOOGLETRANSLATE(B197,""ja"",""vi"")"),"Anna Sui")</f>
        <v>Anna Sui</v>
      </c>
      <c r="F197" s="4" t="str">
        <f ca="1">IFERROR(__xludf.DUMMYFUNCTION("GOOGLETRANSLATE(C197,""ja"",""vi"")"),"Đấu giá&gt; làm đẹp, chăm sóc sức khỏe&gt; ​​mỹ phẩm, chăm sóc da&gt; son môi, bóng, chăm sóc môi&gt; Anna Sui")</f>
        <v>Đấu giá&gt; làm đẹp, chăm sóc sức khỏe&gt; ​​mỹ phẩm, chăm sóc da&gt; son môi, bóng, chăm sóc môi&gt; Anna Sui</v>
      </c>
      <c r="G197" t="str">
        <f t="shared" ca="1" si="3"/>
        <v>"2084054094" : "Anna Sui",</v>
      </c>
    </row>
    <row r="198" spans="1:7" ht="15.75" customHeight="1">
      <c r="A198" s="28">
        <v>2084060312</v>
      </c>
      <c r="B198" s="28" t="s">
        <v>8809</v>
      </c>
      <c r="C198" s="28" t="s">
        <v>20979</v>
      </c>
      <c r="D198" s="28" t="s">
        <v>20980</v>
      </c>
      <c r="E198" s="4" t="str">
        <f ca="1">IFERROR(__xludf.DUMMYFUNCTION("GOOGLETRANSLATE(B198,""ja"",""vi"")"),"Aniesube")</f>
        <v>Aniesube</v>
      </c>
      <c r="F198" s="4" t="str">
        <f ca="1">IFERROR(__xludf.DUMMYFUNCTION("GOOGLETRANSLATE(C198,""ja"",""vi"")"),"Đấu giá&gt; làm đẹp, chăm sóc sức khỏe&gt; ​​mỹ phẩm, chăm sóc da&gt; son môi, bóng, chăm sóc môi&gt; Aniesube")</f>
        <v>Đấu giá&gt; làm đẹp, chăm sóc sức khỏe&gt; ​​mỹ phẩm, chăm sóc da&gt; son môi, bóng, chăm sóc môi&gt; Aniesube</v>
      </c>
      <c r="G198" t="str">
        <f t="shared" ca="1" si="3"/>
        <v>"2084060312" : "Aniesube",</v>
      </c>
    </row>
    <row r="199" spans="1:7" ht="15.75" customHeight="1">
      <c r="A199" s="28">
        <v>2084040507</v>
      </c>
      <c r="B199" s="28" t="s">
        <v>20236</v>
      </c>
      <c r="C199" s="28" t="s">
        <v>20982</v>
      </c>
      <c r="D199" s="28" t="s">
        <v>20983</v>
      </c>
      <c r="E199" s="4" t="str">
        <f ca="1">IFERROR(__xludf.DUMMYFUNCTION("GOOGLETRANSLATE(B199,""ja"",""vi"")"),"Ayura")</f>
        <v>Ayura</v>
      </c>
      <c r="F199" s="4" t="str">
        <f ca="1">IFERROR(__xludf.DUMMYFUNCTION("GOOGLETRANSLATE(C199,""ja"",""vi"")"),"Đấu giá&gt; làm đẹp, chăm sóc sức khỏe&gt; ​​mỹ phẩm, chăm sóc da&gt; son môi, bóng, chăm sóc môi&gt; Ayura")</f>
        <v>Đấu giá&gt; làm đẹp, chăm sóc sức khỏe&gt; ​​mỹ phẩm, chăm sóc da&gt; son môi, bóng, chăm sóc môi&gt; Ayura</v>
      </c>
      <c r="G199" t="str">
        <f t="shared" ca="1" si="3"/>
        <v>"2084040507" : "Ayura",</v>
      </c>
    </row>
    <row r="200" spans="1:7" ht="15.75" customHeight="1">
      <c r="A200" s="28">
        <v>2084040512</v>
      </c>
      <c r="B200" s="28" t="s">
        <v>20252</v>
      </c>
      <c r="C200" s="28" t="s">
        <v>20985</v>
      </c>
      <c r="D200" s="28" t="s">
        <v>20986</v>
      </c>
      <c r="E200" s="4" t="str">
        <f ca="1">IFERROR(__xludf.DUMMYFUNCTION("GOOGLETRANSLATE(B200,""ja"",""vi"")"),"Albion")</f>
        <v>Albion</v>
      </c>
      <c r="F200" s="4" t="str">
        <f ca="1">IFERROR(__xludf.DUMMYFUNCTION("GOOGLETRANSLATE(C200,""ja"",""vi"")"),"Đấu giá&gt; làm đẹp, chăm sóc sức khỏe&gt; ​​mỹ phẩm, chăm sóc da&gt; son môi, bóng, chăm sóc môi&gt; Albion")</f>
        <v>Đấu giá&gt; làm đẹp, chăm sóc sức khỏe&gt; ​​mỹ phẩm, chăm sóc da&gt; son môi, bóng, chăm sóc môi&gt; Albion</v>
      </c>
      <c r="G200" t="str">
        <f t="shared" ca="1" si="3"/>
        <v>"2084040512" : "Albion",</v>
      </c>
    </row>
    <row r="201" spans="1:7" ht="15.75" customHeight="1">
      <c r="A201" s="28">
        <v>2084040510</v>
      </c>
      <c r="B201" s="28" t="s">
        <v>20257</v>
      </c>
      <c r="C201" s="28" t="s">
        <v>20987</v>
      </c>
      <c r="D201" s="28" t="s">
        <v>20988</v>
      </c>
      <c r="E201" s="4" t="str">
        <f ca="1">IFERROR(__xludf.DUMMYFUNCTION("GOOGLETRANSLATE(B201,""ja"",""vi"")"),"IPSA")</f>
        <v>IPSA</v>
      </c>
      <c r="F201" s="4" t="str">
        <f ca="1">IFERROR(__xludf.DUMMYFUNCTION("GOOGLETRANSLATE(C201,""ja"",""vi"")"),"Đấu giá&gt; làm đẹp, chăm sóc sức khỏe&gt; ​​mỹ phẩm, chăm sóc da&gt; son môi, bóng, chăm sóc môi&gt; IPSA")</f>
        <v>Đấu giá&gt; làm đẹp, chăm sóc sức khỏe&gt; ​​mỹ phẩm, chăm sóc da&gt; son môi, bóng, chăm sóc môi&gt; IPSA</v>
      </c>
      <c r="G201" t="str">
        <f t="shared" ca="1" si="3"/>
        <v>"2084040510" : "IPSA",</v>
      </c>
    </row>
    <row r="202" spans="1:7" ht="15.75" customHeight="1">
      <c r="A202" s="28">
        <v>2084007471</v>
      </c>
      <c r="B202" s="28" t="s">
        <v>9050</v>
      </c>
      <c r="C202" s="28" t="s">
        <v>20990</v>
      </c>
      <c r="D202" s="28" t="s">
        <v>20991</v>
      </c>
      <c r="E202" s="4" t="str">
        <f ca="1">IFERROR(__xludf.DUMMYFUNCTION("GOOGLETRANSLATE(B202,""ja"",""vi"")"),"Yves Saint Laurent")</f>
        <v>Yves Saint Laurent</v>
      </c>
      <c r="F202" s="4" t="str">
        <f ca="1">IFERROR(__xludf.DUMMYFUNCTION("GOOGLETRANSLATE(C202,""ja"",""vi"")"),"Đấu giá&gt; làm đẹp, chăm sóc sức khỏe&gt; ​​mỹ phẩm, chăm sóc da&gt; son môi, bóng, chăm sóc môi&gt; Yves Saint Laurent")</f>
        <v>Đấu giá&gt; làm đẹp, chăm sóc sức khỏe&gt; ​​mỹ phẩm, chăm sóc da&gt; son môi, bóng, chăm sóc môi&gt; Yves Saint Laurent</v>
      </c>
      <c r="G202" t="str">
        <f t="shared" ca="1" si="3"/>
        <v>"2084007471" : "Yves Saint Laurent",</v>
      </c>
    </row>
    <row r="203" spans="1:7" ht="15.75" customHeight="1">
      <c r="A203" s="28">
        <v>2084060316</v>
      </c>
      <c r="B203" s="28" t="s">
        <v>20266</v>
      </c>
      <c r="C203" s="28" t="s">
        <v>20993</v>
      </c>
      <c r="D203" s="28" t="s">
        <v>20994</v>
      </c>
      <c r="E203" s="4" t="str">
        <f ca="1">IFERROR(__xludf.DUMMYFUNCTION("GOOGLETRANSLATE(B203,""ja"",""vi"")"),"Avon")</f>
        <v>Avon</v>
      </c>
      <c r="F203" s="4" t="str">
        <f ca="1">IFERROR(__xludf.DUMMYFUNCTION("GOOGLETRANSLATE(C203,""ja"",""vi"")"),"Đấu giá&gt; làm đẹp, chăm sóc sức khỏe&gt; ​​mỹ phẩm, chăm sóc da&gt; son môi, bóng, chăm sóc môi&gt; Avon")</f>
        <v>Đấu giá&gt; làm đẹp, chăm sóc sức khỏe&gt; ​​mỹ phẩm, chăm sóc da&gt; son môi, bóng, chăm sóc môi&gt; Avon</v>
      </c>
      <c r="G203" t="str">
        <f t="shared" ca="1" si="3"/>
        <v>"2084060316" : "Avon",</v>
      </c>
    </row>
    <row r="204" spans="1:7" ht="15.75" customHeight="1">
      <c r="A204" s="28">
        <v>2084040508</v>
      </c>
      <c r="B204" s="28" t="s">
        <v>19664</v>
      </c>
      <c r="C204" s="28" t="s">
        <v>20997</v>
      </c>
      <c r="D204" s="28" t="s">
        <v>20998</v>
      </c>
      <c r="E204" s="4" t="str">
        <f ca="1">IFERROR(__xludf.DUMMYFUNCTION("GOOGLETRANSLATE(B204,""ja"",""vi"")"),"Estee Lauder")</f>
        <v>Estee Lauder</v>
      </c>
      <c r="F204" s="4" t="str">
        <f ca="1">IFERROR(__xludf.DUMMYFUNCTION("GOOGLETRANSLATE(C204,""ja"",""vi"")"),"Đấu giá&gt; làm đẹp, chăm sóc sức khỏe&gt; ​​mỹ phẩm, chăm sóc da&gt; son môi, bóng, chăm sóc môi&gt; Estee Lauder")</f>
        <v>Đấu giá&gt; làm đẹp, chăm sóc sức khỏe&gt; ​​mỹ phẩm, chăm sóc da&gt; son môi, bóng, chăm sóc môi&gt; Estee Lauder</v>
      </c>
      <c r="G204" t="str">
        <f t="shared" ca="1" si="3"/>
        <v>"2084040508" : "Estee Lauder",</v>
      </c>
    </row>
    <row r="205" spans="1:7" ht="15.75" customHeight="1">
      <c r="A205" s="28">
        <v>2084007485</v>
      </c>
      <c r="B205" s="28" t="s">
        <v>19670</v>
      </c>
      <c r="C205" s="28" t="s">
        <v>21000</v>
      </c>
      <c r="D205" s="28" t="s">
        <v>21001</v>
      </c>
      <c r="E205" s="4" t="str">
        <f ca="1">IFERROR(__xludf.DUMMYFUNCTION("GOOGLETRANSLATE(B205,""ja"",""vi"")"),"Elizabeth Arden")</f>
        <v>Elizabeth Arden</v>
      </c>
      <c r="F205" s="4" t="str">
        <f ca="1">IFERROR(__xludf.DUMMYFUNCTION("GOOGLETRANSLATE(C205,""ja"",""vi"")"),"Đấu giá&gt; làm đẹp, chăm sóc sức khỏe&gt; ​​mỹ phẩm, chăm sóc da&gt; son môi, bóng, chăm sóc môi&gt; Elizabeth Arden")</f>
        <v>Đấu giá&gt; làm đẹp, chăm sóc sức khỏe&gt; ​​mỹ phẩm, chăm sóc da&gt; son môi, bóng, chăm sóc môi&gt; Elizabeth Arden</v>
      </c>
      <c r="G205" t="str">
        <f t="shared" ca="1" si="3"/>
        <v>"2084007485" : "Elizabeth Arden",</v>
      </c>
    </row>
    <row r="206" spans="1:7" ht="15.75" customHeight="1">
      <c r="A206" s="28">
        <v>2084226976</v>
      </c>
      <c r="B206" s="28" t="s">
        <v>20301</v>
      </c>
      <c r="C206" s="28" t="s">
        <v>21003</v>
      </c>
      <c r="D206" s="28" t="s">
        <v>21004</v>
      </c>
      <c r="E206" s="4" t="str">
        <f ca="1">IFERROR(__xludf.DUMMYFUNCTION("GOOGLETRANSLATE(B206,""ja"",""vi"")"),"Nguồn gốc")</f>
        <v>Nguồn gốc</v>
      </c>
      <c r="F206" s="4" t="str">
        <f ca="1">IFERROR(__xludf.DUMMYFUNCTION("GOOGLETRANSLATE(C206,""ja"",""vi"")"),"Đấu giá&gt; làm đẹp, chăm sóc sức khỏe&gt; ​​mỹ phẩm, chăm sóc da&gt; son môi, bóng, chăm sóc môi&gt; Nguồn gốc")</f>
        <v>Đấu giá&gt; làm đẹp, chăm sóc sức khỏe&gt; ​​mỹ phẩm, chăm sóc da&gt; son môi, bóng, chăm sóc môi&gt; Nguồn gốc</v>
      </c>
      <c r="G206" t="str">
        <f t="shared" ca="1" si="3"/>
        <v>"2084226976" : "Nguồn gốc",</v>
      </c>
    </row>
    <row r="207" spans="1:7" ht="15.75" customHeight="1">
      <c r="A207" s="28">
        <v>2084040511</v>
      </c>
      <c r="B207" s="28" t="s">
        <v>20337</v>
      </c>
      <c r="C207" s="28" t="s">
        <v>21006</v>
      </c>
      <c r="D207" s="28" t="s">
        <v>21008</v>
      </c>
      <c r="E207" s="4" t="str">
        <f ca="1">IFERROR(__xludf.DUMMYFUNCTION("GOOGLETRANSLATE(B207,""ja"",""vi"")"),"Clarins")</f>
        <v>Clarins</v>
      </c>
      <c r="F207" s="4" t="str">
        <f ca="1">IFERROR(__xludf.DUMMYFUNCTION("GOOGLETRANSLATE(C207,""ja"",""vi"")"),"Đấu giá&gt; làm đẹp, chăm sóc sức khỏe&gt; ​​mỹ phẩm, chăm sóc da&gt; son môi, bóng, chăm sóc môi&gt; Clarins")</f>
        <v>Đấu giá&gt; làm đẹp, chăm sóc sức khỏe&gt; ​​mỹ phẩm, chăm sóc da&gt; son môi, bóng, chăm sóc môi&gt; Clarins</v>
      </c>
      <c r="G207" t="str">
        <f t="shared" ca="1" si="3"/>
        <v>"2084040511" : "Clarins",</v>
      </c>
    </row>
    <row r="208" spans="1:7" ht="15.75" customHeight="1">
      <c r="A208" s="28">
        <v>2084007475</v>
      </c>
      <c r="B208" s="28" t="s">
        <v>9858</v>
      </c>
      <c r="C208" s="28" t="s">
        <v>21010</v>
      </c>
      <c r="D208" s="28" t="s">
        <v>21011</v>
      </c>
      <c r="E208" s="4" t="str">
        <f ca="1">IFERROR(__xludf.DUMMYFUNCTION("GOOGLETRANSLATE(B208,""ja"",""vi"")"),"Christian Dior")</f>
        <v>Christian Dior</v>
      </c>
      <c r="F208" s="4" t="str">
        <f ca="1">IFERROR(__xludf.DUMMYFUNCTION("GOOGLETRANSLATE(C208,""ja"",""vi"")"),"Đấu giá&gt; làm đẹp, chăm sóc sức khỏe&gt; ​​mỹ phẩm, chăm sóc da&gt; son môi, bóng, Lip Care&gt; Christian Dior")</f>
        <v>Đấu giá&gt; làm đẹp, chăm sóc sức khỏe&gt; ​​mỹ phẩm, chăm sóc da&gt; son môi, bóng, Lip Care&gt; Christian Dior</v>
      </c>
      <c r="G208" t="str">
        <f t="shared" ca="1" si="3"/>
        <v>"2084007475" : "Christian Dior",</v>
      </c>
    </row>
    <row r="209" spans="1:7" ht="15.75" customHeight="1">
      <c r="A209" s="28">
        <v>2084007483</v>
      </c>
      <c r="B209" s="28" t="s">
        <v>19700</v>
      </c>
      <c r="C209" s="28" t="s">
        <v>21013</v>
      </c>
      <c r="D209" s="28" t="s">
        <v>21014</v>
      </c>
      <c r="E209" s="4" t="str">
        <f ca="1">IFERROR(__xludf.DUMMYFUNCTION("GOOGLETRANSLATE(B209,""ja"",""vi"")"),"Clinique")</f>
        <v>Clinique</v>
      </c>
      <c r="F209" s="4" t="str">
        <f ca="1">IFERROR(__xludf.DUMMYFUNCTION("GOOGLETRANSLATE(C209,""ja"",""vi"")"),"Đấu giá&gt; làm đẹp, chăm sóc sức khỏe&gt; ​​mỹ phẩm, chăm sóc da&gt; son môi, bóng, chăm sóc môi&gt; Clinique")</f>
        <v>Đấu giá&gt; làm đẹp, chăm sóc sức khỏe&gt; ​​mỹ phẩm, chăm sóc da&gt; son môi, bóng, chăm sóc môi&gt; Clinique</v>
      </c>
      <c r="G209" t="str">
        <f t="shared" ca="1" si="3"/>
        <v>"2084007483" : "Clinique",</v>
      </c>
    </row>
    <row r="210" spans="1:7" ht="15.75" customHeight="1">
      <c r="A210" s="28">
        <v>2084040513</v>
      </c>
      <c r="B210" s="28" t="s">
        <v>20346</v>
      </c>
      <c r="C210" s="28" t="s">
        <v>21017</v>
      </c>
      <c r="D210" s="28" t="s">
        <v>21018</v>
      </c>
      <c r="E210" s="4" t="str">
        <f ca="1">IFERROR(__xludf.DUMMYFUNCTION("GOOGLETRANSLATE(B210,""ja"",""vi"")"),"Kesaran Pasaran")</f>
        <v>Kesaran Pasaran</v>
      </c>
      <c r="F210" s="4" t="str">
        <f ca="1">IFERROR(__xludf.DUMMYFUNCTION("GOOGLETRANSLATE(C210,""ja"",""vi"")"),"Đấu giá&gt; làm đẹp, chăm sóc sức khỏe&gt; ​​mỹ phẩm, chăm sóc da&gt; son môi, bóng, chăm sóc môi&gt; Kesaran Pasaran")</f>
        <v>Đấu giá&gt; làm đẹp, chăm sóc sức khỏe&gt; ​​mỹ phẩm, chăm sóc da&gt; son môi, bóng, chăm sóc môi&gt; Kesaran Pasaran</v>
      </c>
      <c r="G210" t="str">
        <f t="shared" ca="1" si="3"/>
        <v>"2084040513" : "Kesaran Pasaran",</v>
      </c>
    </row>
    <row r="211" spans="1:7" ht="15.75" customHeight="1">
      <c r="A211" s="28">
        <v>2084060314</v>
      </c>
      <c r="B211" s="28" t="s">
        <v>19723</v>
      </c>
      <c r="C211" s="28" t="s">
        <v>21020</v>
      </c>
      <c r="D211" s="28" t="s">
        <v>21021</v>
      </c>
      <c r="E211" s="4" t="str">
        <f ca="1">IFERROR(__xludf.DUMMYFUNCTION("GOOGLETRANSLATE(B211,""ja"",""vi"")"),"Guerlain")</f>
        <v>Guerlain</v>
      </c>
      <c r="F211" s="4" t="str">
        <f ca="1">IFERROR(__xludf.DUMMYFUNCTION("GOOGLETRANSLATE(C211,""ja"",""vi"")"),"Đấu giá&gt; làm đẹp, chăm sóc sức khỏe&gt; ​​mỹ phẩm, chăm sóc da&gt; son môi, bóng, chăm sóc môi&gt; Guerlain")</f>
        <v>Đấu giá&gt; làm đẹp, chăm sóc sức khỏe&gt; ​​mỹ phẩm, chăm sóc da&gt; son môi, bóng, chăm sóc môi&gt; Guerlain</v>
      </c>
      <c r="G211" t="str">
        <f t="shared" ca="1" si="3"/>
        <v>"2084060314" : "Guerlain",</v>
      </c>
    </row>
    <row r="212" spans="1:7" ht="15.75" customHeight="1">
      <c r="A212" s="28">
        <v>2084040514</v>
      </c>
      <c r="B212" s="28" t="s">
        <v>20363</v>
      </c>
      <c r="C212" s="28" t="s">
        <v>21024</v>
      </c>
      <c r="D212" s="28" t="s">
        <v>21025</v>
      </c>
      <c r="E212" s="4" t="str">
        <f ca="1">IFERROR(__xludf.DUMMYFUNCTION("GOOGLETRANSLATE(B212,""ja"",""vi"")"),"The Body Shop")</f>
        <v>The Body Shop</v>
      </c>
      <c r="F212" s="4" t="str">
        <f ca="1">IFERROR(__xludf.DUMMYFUNCTION("GOOGLETRANSLATE(C212,""ja"",""vi"")"),"Đấu giá&gt; làm đẹp, chăm sóc sức khỏe&gt; ​​mỹ phẩm, chăm sóc da&gt; son môi, bóng, chăm sóc môi&gt; The Body Shop")</f>
        <v>Đấu giá&gt; làm đẹp, chăm sóc sức khỏe&gt; ​​mỹ phẩm, chăm sóc da&gt; son môi, bóng, chăm sóc môi&gt; The Body Shop</v>
      </c>
      <c r="G212" t="str">
        <f t="shared" ca="1" si="3"/>
        <v>"2084040514" : "The Body Shop",</v>
      </c>
    </row>
    <row r="213" spans="1:7" ht="15.75" customHeight="1">
      <c r="A213" s="28">
        <v>2084007472</v>
      </c>
      <c r="B213" s="28" t="s">
        <v>10288</v>
      </c>
      <c r="C213" s="28" t="s">
        <v>21027</v>
      </c>
      <c r="D213" s="28" t="s">
        <v>21028</v>
      </c>
      <c r="E213" s="4" t="str">
        <f ca="1">IFERROR(__xludf.DUMMYFUNCTION("GOOGLETRANSLATE(B213,""ja"",""vi"")"),"Chanel")</f>
        <v>Chanel</v>
      </c>
      <c r="F213" s="4" t="str">
        <f ca="1">IFERROR(__xludf.DUMMYFUNCTION("GOOGLETRANSLATE(C213,""ja"",""vi"")"),"Đấu giá&gt; làm đẹp, chăm sóc sức khỏe&gt; ​​mỹ phẩm, chăm sóc da&gt; son môi, bóng, chăm sóc môi&gt; Chanel")</f>
        <v>Đấu giá&gt; làm đẹp, chăm sóc sức khỏe&gt; ​​mỹ phẩm, chăm sóc da&gt; son môi, bóng, chăm sóc môi&gt; Chanel</v>
      </c>
      <c r="G213" t="str">
        <f t="shared" ca="1" si="3"/>
        <v>"2084007472" : "Chanel",</v>
      </c>
    </row>
    <row r="214" spans="1:7" ht="15.75" customHeight="1">
      <c r="A214" s="28">
        <v>2084060311</v>
      </c>
      <c r="B214" s="28" t="s">
        <v>10250</v>
      </c>
      <c r="C214" s="28" t="s">
        <v>21029</v>
      </c>
      <c r="D214" s="28" t="s">
        <v>21030</v>
      </c>
      <c r="E214" s="4" t="str">
        <f ca="1">IFERROR(__xludf.DUMMYFUNCTION("GOOGLETRANSLATE(B214,""ja"",""vi"")"),"Givenchy")</f>
        <v>Givenchy</v>
      </c>
      <c r="F214" s="4" t="str">
        <f ca="1">IFERROR(__xludf.DUMMYFUNCTION("GOOGLETRANSLATE(C214,""ja"",""vi"")"),"Đấu giá&gt; làm đẹp, chăm sóc sức khỏe&gt; ​​mỹ phẩm, chăm sóc da&gt; son môi, bóng, chăm sóc môi&gt; Givenchy")</f>
        <v>Đấu giá&gt; làm đẹp, chăm sóc sức khỏe&gt; ​​mỹ phẩm, chăm sóc da&gt; son môi, bóng, chăm sóc môi&gt; Givenchy</v>
      </c>
      <c r="G214" t="str">
        <f t="shared" ca="1" si="3"/>
        <v>"2084060311" : "Givenchy",</v>
      </c>
    </row>
    <row r="215" spans="1:7" ht="15.75" customHeight="1">
      <c r="A215" s="28">
        <v>2084054095</v>
      </c>
      <c r="B215" s="28" t="s">
        <v>20388</v>
      </c>
      <c r="C215" s="28" t="s">
        <v>21034</v>
      </c>
      <c r="D215" s="28" t="s">
        <v>21035</v>
      </c>
      <c r="E215" s="4" t="str">
        <f ca="1">IFERROR(__xludf.DUMMYFUNCTION("GOOGLETRANSLATE(B215,""ja"",""vi"")"),"Stila")</f>
        <v>Stila</v>
      </c>
      <c r="F215" s="4" t="str">
        <f ca="1">IFERROR(__xludf.DUMMYFUNCTION("GOOGLETRANSLATE(C215,""ja"",""vi"")"),"Đấu giá&gt; làm đẹp, chăm sóc sức khỏe&gt; ​​mỹ phẩm, chăm sóc da&gt; son môi, bóng, chăm sóc môi&gt; Stila")</f>
        <v>Đấu giá&gt; làm đẹp, chăm sóc sức khỏe&gt; ​​mỹ phẩm, chăm sóc da&gt; son môi, bóng, chăm sóc môi&gt; Stila</v>
      </c>
      <c r="G215" t="str">
        <f t="shared" ca="1" si="3"/>
        <v>"2084054095" : "Stila",</v>
      </c>
    </row>
    <row r="216" spans="1:7" ht="15.75" customHeight="1">
      <c r="A216" s="28">
        <v>2084040515</v>
      </c>
      <c r="B216" s="28" t="s">
        <v>20460</v>
      </c>
      <c r="C216" s="28" t="s">
        <v>21038</v>
      </c>
      <c r="D216" s="28" t="s">
        <v>21040</v>
      </c>
      <c r="E216" s="4" t="str">
        <f ca="1">IFERROR(__xludf.DUMMYFUNCTION("GOOGLETRANSLATE(B216,""ja"",""vi"")"),"Noevir")</f>
        <v>Noevir</v>
      </c>
      <c r="F216" s="4" t="str">
        <f ca="1">IFERROR(__xludf.DUMMYFUNCTION("GOOGLETRANSLATE(C216,""ja"",""vi"")"),"Đấu giá&gt; làm đẹp, chăm sóc sức khỏe&gt; ​​mỹ phẩm, chăm sóc da&gt; son môi, bóng, chăm sóc môi&gt; Noevir")</f>
        <v>Đấu giá&gt; làm đẹp, chăm sóc sức khỏe&gt; ​​mỹ phẩm, chăm sóc da&gt; son môi, bóng, chăm sóc môi&gt; Noevir</v>
      </c>
      <c r="G216" t="str">
        <f t="shared" ca="1" si="3"/>
        <v>"2084040515" : "Noevir",</v>
      </c>
    </row>
    <row r="217" spans="1:7" ht="15.75" customHeight="1">
      <c r="A217" s="28">
        <v>2084040518</v>
      </c>
      <c r="B217" s="28" t="s">
        <v>20466</v>
      </c>
      <c r="C217" s="28" t="s">
        <v>21043</v>
      </c>
      <c r="D217" s="28" t="s">
        <v>21045</v>
      </c>
      <c r="E217" s="4" t="str">
        <f ca="1">IFERROR(__xludf.DUMMYFUNCTION("GOOGLETRANSLATE(B217,""ja"",""vi"")"),"hải cảng")</f>
        <v>hải cảng</v>
      </c>
      <c r="F217" s="4" t="str">
        <f ca="1">IFERROR(__xludf.DUMMYFUNCTION("GOOGLETRANSLATE(C217,""ja"",""vi"")"),"Đấu giá&gt; làm đẹp, chăm sóc sức khỏe&gt; ​​mỹ phẩm, chăm sóc da&gt; son môi, bóng, chăm sóc môi&gt; Cảng")</f>
        <v>Đấu giá&gt; làm đẹp, chăm sóc sức khỏe&gt; ​​mỹ phẩm, chăm sóc da&gt; son môi, bóng, chăm sóc môi&gt; Cảng</v>
      </c>
      <c r="G217" t="str">
        <f t="shared" ca="1" si="3"/>
        <v>"2084040518" : "hải cảng",</v>
      </c>
    </row>
    <row r="218" spans="1:7" ht="15.75" customHeight="1">
      <c r="A218" s="28">
        <v>2084040509</v>
      </c>
      <c r="B218" s="28" t="s">
        <v>20502</v>
      </c>
      <c r="C218" s="28" t="s">
        <v>21047</v>
      </c>
      <c r="D218" s="28" t="s">
        <v>21049</v>
      </c>
      <c r="E218" s="4" t="str">
        <f ca="1">IFERROR(__xludf.DUMMYFUNCTION("GOOGLETRANSLATE(B218,""ja"",""vi"")"),"Helena Rubinstein")</f>
        <v>Helena Rubinstein</v>
      </c>
      <c r="F218" s="4" t="str">
        <f ca="1">IFERROR(__xludf.DUMMYFUNCTION("GOOGLETRANSLATE(C218,""ja"",""vi"")"),"Đấu giá&gt; làm đẹp, chăm sóc sức khỏe&gt; ​​mỹ phẩm, chăm sóc da&gt; son môi, bóng, chăm sóc môi&gt; Helena Rubinstein")</f>
        <v>Đấu giá&gt; làm đẹp, chăm sóc sức khỏe&gt; ​​mỹ phẩm, chăm sóc da&gt; son môi, bóng, chăm sóc môi&gt; Helena Rubinstein</v>
      </c>
      <c r="G218" t="str">
        <f t="shared" ca="1" si="3"/>
        <v>"2084040509" : "Helena Rubinstein",</v>
      </c>
    </row>
    <row r="219" spans="1:7" ht="15.75" customHeight="1">
      <c r="A219" s="28">
        <v>2084060313</v>
      </c>
      <c r="B219" s="28" t="s">
        <v>20511</v>
      </c>
      <c r="C219" s="28" t="s">
        <v>21053</v>
      </c>
      <c r="D219" s="28" t="s">
        <v>21055</v>
      </c>
      <c r="E219" s="4" t="str">
        <f ca="1">IFERROR(__xludf.DUMMYFUNCTION("GOOGLETRANSLATE(B219,""ja"",""vi"")"),"Bobii Brown")</f>
        <v>Bobii Brown</v>
      </c>
      <c r="F219" s="4" t="str">
        <f ca="1">IFERROR(__xludf.DUMMYFUNCTION("GOOGLETRANSLATE(C219,""ja"",""vi"")"),"Đấu giá&gt; làm đẹp, chăm sóc sức khỏe&gt; ​​mỹ phẩm, chăm sóc da&gt; son môi, bóng, chăm sóc môi&gt; Bobii Brown")</f>
        <v>Đấu giá&gt; làm đẹp, chăm sóc sức khỏe&gt; ​​mỹ phẩm, chăm sóc da&gt; son môi, bóng, chăm sóc môi&gt; Bobii Brown</v>
      </c>
      <c r="G219" t="str">
        <f t="shared" ca="1" si="3"/>
        <v>"2084060313" : "Bobii Brown",</v>
      </c>
    </row>
    <row r="220" spans="1:7" ht="15.75" customHeight="1">
      <c r="A220" s="28">
        <v>2084007473</v>
      </c>
      <c r="B220" s="28" t="s">
        <v>20532</v>
      </c>
      <c r="C220" s="28" t="s">
        <v>21058</v>
      </c>
      <c r="D220" s="28" t="s">
        <v>21059</v>
      </c>
      <c r="E220" s="4" t="str">
        <f ca="1">IFERROR(__xludf.DUMMYFUNCTION("GOOGLETRANSLATE(B220,""ja"",""vi"")"),"Max Factor")</f>
        <v>Max Factor</v>
      </c>
      <c r="F220" s="4" t="str">
        <f ca="1">IFERROR(__xludf.DUMMYFUNCTION("GOOGLETRANSLATE(C220,""ja"",""vi"")"),"Đấu giá&gt; làm đẹp, chăm sóc sức khỏe&gt; ​​mỹ phẩm, chăm sóc da&gt; son môi, bóng, chăm sóc môi&gt; Max Factor")</f>
        <v>Đấu giá&gt; làm đẹp, chăm sóc sức khỏe&gt; ​​mỹ phẩm, chăm sóc da&gt; son môi, bóng, chăm sóc môi&gt; Max Factor</v>
      </c>
      <c r="G220" t="str">
        <f t="shared" ca="1" si="3"/>
        <v>"2084007473" : "Max Factor",</v>
      </c>
    </row>
    <row r="221" spans="1:7" ht="15.75" customHeight="1">
      <c r="A221" s="28">
        <v>2084060315</v>
      </c>
      <c r="B221" s="28" t="s">
        <v>20536</v>
      </c>
      <c r="C221" s="28" t="s">
        <v>21061</v>
      </c>
      <c r="D221" s="28" t="s">
        <v>21062</v>
      </c>
      <c r="E221" s="4" t="str">
        <f ca="1">IFERROR(__xludf.DUMMYFUNCTION("GOOGLETRANSLATE(B221,""ja"",""vi"")"),"Marikuwanto")</f>
        <v>Marikuwanto</v>
      </c>
      <c r="F221" s="4" t="str">
        <f ca="1">IFERROR(__xludf.DUMMYFUNCTION("GOOGLETRANSLATE(C221,""ja"",""vi"")"),"Đấu giá&gt; làm đẹp, chăm sóc sức khỏe&gt; ​​mỹ phẩm, chăm sóc da&gt; son môi, bóng, chăm sóc môi&gt; Marikuwanto")</f>
        <v>Đấu giá&gt; làm đẹp, chăm sóc sức khỏe&gt; ​​mỹ phẩm, chăm sóc da&gt; son môi, bóng, chăm sóc môi&gt; Marikuwanto</v>
      </c>
      <c r="G221" t="str">
        <f t="shared" ca="1" si="3"/>
        <v>"2084060315" : "Marikuwanto",</v>
      </c>
    </row>
    <row r="222" spans="1:7" ht="15.75" customHeight="1">
      <c r="A222" s="28">
        <v>2084040495</v>
      </c>
      <c r="B222" s="28" t="s">
        <v>20546</v>
      </c>
      <c r="C222" s="28" t="s">
        <v>21065</v>
      </c>
      <c r="D222" s="28" t="s">
        <v>21067</v>
      </c>
      <c r="E222" s="4" t="str">
        <f ca="1">IFERROR(__xludf.DUMMYFUNCTION("GOOGLETRANSLATE(B222,""ja"",""vi"")"),"Maybelline")</f>
        <v>Maybelline</v>
      </c>
      <c r="F222" s="4" t="str">
        <f ca="1">IFERROR(__xludf.DUMMYFUNCTION("GOOGLETRANSLATE(C222,""ja"",""vi"")"),"Đấu giá&gt; làm đẹp, chăm sóc sức khỏe&gt; ​​mỹ phẩm, chăm sóc da&gt; son môi, bóng, chăm sóc môi&gt; Maybelline")</f>
        <v>Đấu giá&gt; làm đẹp, chăm sóc sức khỏe&gt; ​​mỹ phẩm, chăm sóc da&gt; son môi, bóng, chăm sóc môi&gt; Maybelline</v>
      </c>
      <c r="G222" t="str">
        <f t="shared" ca="1" si="3"/>
        <v>"2084040495" : "Maybelline",</v>
      </c>
    </row>
    <row r="223" spans="1:7" ht="15.75" customHeight="1">
      <c r="A223" s="28">
        <v>2084040516</v>
      </c>
      <c r="B223" s="28" t="s">
        <v>20550</v>
      </c>
      <c r="C223" s="28" t="s">
        <v>21070</v>
      </c>
      <c r="D223" s="28" t="s">
        <v>21072</v>
      </c>
      <c r="E223" s="4" t="str">
        <f ca="1">IFERROR(__xludf.DUMMYFUNCTION("GOOGLETRANSLATE(B223,""ja"",""vi"")"),"Menard")</f>
        <v>Menard</v>
      </c>
      <c r="F223" s="4" t="str">
        <f ca="1">IFERROR(__xludf.DUMMYFUNCTION("GOOGLETRANSLATE(C223,""ja"",""vi"")"),"Đấu giá&gt; làm đẹp, chăm sóc sức khỏe&gt; ​​mỹ phẩm, chăm sóc da&gt; son môi, bóng, chăm sóc môi&gt; Menard")</f>
        <v>Đấu giá&gt; làm đẹp, chăm sóc sức khỏe&gt; ​​mỹ phẩm, chăm sóc da&gt; son môi, bóng, chăm sóc môi&gt; Menard</v>
      </c>
      <c r="G223" t="str">
        <f t="shared" ca="1" si="3"/>
        <v>"2084040516" : "Menard",</v>
      </c>
    </row>
    <row r="224" spans="1:7" ht="15.75" customHeight="1">
      <c r="A224" s="28">
        <v>2084007476</v>
      </c>
      <c r="B224" s="28" t="s">
        <v>19898</v>
      </c>
      <c r="C224" s="28" t="s">
        <v>21075</v>
      </c>
      <c r="D224" s="28" t="s">
        <v>21076</v>
      </c>
      <c r="E224" s="4" t="str">
        <f ca="1">IFERROR(__xludf.DUMMYFUNCTION("GOOGLETRANSLATE(B224,""ja"",""vi"")"),"Lancome")</f>
        <v>Lancome</v>
      </c>
      <c r="F224" s="4" t="str">
        <f ca="1">IFERROR(__xludf.DUMMYFUNCTION("GOOGLETRANSLATE(C224,""ja"",""vi"")"),"Đấu giá&gt; làm đẹp, chăm sóc sức khỏe&gt; ​​mỹ phẩm, chăm sóc da&gt; son môi, bóng, chăm sóc môi&gt; Lancome")</f>
        <v>Đấu giá&gt; làm đẹp, chăm sóc sức khỏe&gt; ​​mỹ phẩm, chăm sóc da&gt; son môi, bóng, chăm sóc môi&gt; Lancome</v>
      </c>
      <c r="G224" t="str">
        <f t="shared" ca="1" si="3"/>
        <v>"2084007476" : "Lancome",</v>
      </c>
    </row>
    <row r="225" spans="1:7" ht="15.75" customHeight="1">
      <c r="A225" s="28">
        <v>2084007484</v>
      </c>
      <c r="B225" s="28" t="s">
        <v>20571</v>
      </c>
      <c r="C225" s="28" t="s">
        <v>21079</v>
      </c>
      <c r="D225" s="28" t="s">
        <v>21080</v>
      </c>
      <c r="E225" s="4" t="str">
        <f ca="1">IFERROR(__xludf.DUMMYFUNCTION("GOOGLETRANSLATE(B225,""ja"",""vi"")"),"Revlon")</f>
        <v>Revlon</v>
      </c>
      <c r="F225" s="4" t="str">
        <f ca="1">IFERROR(__xludf.DUMMYFUNCTION("GOOGLETRANSLATE(C225,""ja"",""vi"")"),"Đấu giá&gt; làm đẹp, chăm sóc sức khỏe&gt; ​​mỹ phẩm, chăm sóc da&gt; son môi, son bóng, chăm sóc môi&gt; Revlon")</f>
        <v>Đấu giá&gt; làm đẹp, chăm sóc sức khỏe&gt; ​​mỹ phẩm, chăm sóc da&gt; son môi, son bóng, chăm sóc môi&gt; Revlon</v>
      </c>
      <c r="G225" t="str">
        <f t="shared" ca="1" si="3"/>
        <v>"2084007484" : "Revlon",</v>
      </c>
    </row>
    <row r="226" spans="1:7" ht="15.75" customHeight="1">
      <c r="A226" s="28">
        <v>2084007466</v>
      </c>
      <c r="B226" s="28" t="s">
        <v>46</v>
      </c>
      <c r="C226" s="28" t="s">
        <v>21083</v>
      </c>
      <c r="D226" s="28" t="s">
        <v>21084</v>
      </c>
      <c r="E226" s="4" t="str">
        <f ca="1">IFERROR(__xludf.DUMMYFUNCTION("GOOGLETRANSLATE(B226,""ja"",""vi"")"),"nếu không thì")</f>
        <v>nếu không thì</v>
      </c>
      <c r="F226" s="4" t="str">
        <f ca="1">IFERROR(__xludf.DUMMYFUNCTION("GOOGLETRANSLATE(C226,""ja"",""vi"")"),"Đấu giá&gt; làm đẹp, chăm sóc sức khỏe&gt; ​​mỹ phẩm, chăm sóc da&gt; son môi, bóng, chăm sóc môi&gt; Khác")</f>
        <v>Đấu giá&gt; làm đẹp, chăm sóc sức khỏe&gt; ​​mỹ phẩm, chăm sóc da&gt; son môi, bóng, chăm sóc môi&gt; Khác</v>
      </c>
      <c r="G226" t="str">
        <f t="shared" ca="1" si="3"/>
        <v>"2084007466" : "nếu không thì",</v>
      </c>
    </row>
    <row r="227" spans="1:7" ht="15.75" customHeight="1">
      <c r="A227" s="36">
        <v>2084059032</v>
      </c>
      <c r="B227" s="36" t="s">
        <v>20401</v>
      </c>
      <c r="C227" s="36" t="s">
        <v>21086</v>
      </c>
      <c r="D227" s="36" t="s">
        <v>21087</v>
      </c>
      <c r="E227" s="4" t="str">
        <f ca="1">IFERROR(__xludf.DUMMYFUNCTION("GOOGLETRANSLATE(B227,""ja"",""vi"")"),"DHC")</f>
        <v>DHC</v>
      </c>
      <c r="F227" s="4" t="str">
        <f ca="1">IFERROR(__xludf.DUMMYFUNCTION("GOOGLETRANSLATE(C227,""ja"",""vi"")"),"Đấu giá&gt; làm đẹp, chăm sóc sức khỏe&gt; ​​mỹ phẩm, chăm sóc da&gt; son bóng&gt; DHC")</f>
        <v>Đấu giá&gt; làm đẹp, chăm sóc sức khỏe&gt; ​​mỹ phẩm, chăm sóc da&gt; son bóng&gt; DHC</v>
      </c>
      <c r="G227" t="str">
        <f t="shared" ca="1" si="3"/>
        <v>"2084059032" : "DHC",</v>
      </c>
    </row>
    <row r="228" spans="1:7" ht="15.75" customHeight="1">
      <c r="A228" s="28">
        <v>2084059033</v>
      </c>
      <c r="B228" s="28" t="s">
        <v>20527</v>
      </c>
      <c r="C228" s="28" t="s">
        <v>21089</v>
      </c>
      <c r="D228" s="28" t="s">
        <v>21091</v>
      </c>
      <c r="E228" s="4" t="str">
        <f ca="1">IFERROR(__xludf.DUMMYFUNCTION("GOOGLETRANSLATE(B228,""ja"",""vi"")"),"MAC")</f>
        <v>MAC</v>
      </c>
      <c r="F228" s="4" t="str">
        <f ca="1">IFERROR(__xludf.DUMMYFUNCTION("GOOGLETRANSLATE(C228,""ja"",""vi"")"),"Đấu giá&gt; làm đẹp, chăm sóc sức khỏe&gt; ​​mỹ phẩm, chăm sóc da&gt; Lip Gloss&gt; MAC")</f>
        <v>Đấu giá&gt; làm đẹp, chăm sóc sức khỏe&gt; ​​mỹ phẩm, chăm sóc da&gt; Lip Gloss&gt; MAC</v>
      </c>
      <c r="G228" t="str">
        <f t="shared" ca="1" si="3"/>
        <v>"2084059033" : "MAC",</v>
      </c>
    </row>
    <row r="229" spans="1:7" ht="15.75" customHeight="1">
      <c r="A229" s="28">
        <v>2084059034</v>
      </c>
      <c r="B229" s="28" t="s">
        <v>8795</v>
      </c>
      <c r="C229" s="28" t="s">
        <v>21093</v>
      </c>
      <c r="D229" s="28" t="s">
        <v>21094</v>
      </c>
      <c r="E229" s="4" t="str">
        <f ca="1">IFERROR(__xludf.DUMMYFUNCTION("GOOGLETRANSLATE(B229,""ja"",""vi"")"),"Anna Sui")</f>
        <v>Anna Sui</v>
      </c>
      <c r="F229" s="4" t="str">
        <f ca="1">IFERROR(__xludf.DUMMYFUNCTION("GOOGLETRANSLATE(C229,""ja"",""vi"")"),"Đấu giá&gt; làm đẹp, chăm sóc sức khỏe&gt; ​​mỹ phẩm, chăm sóc da&gt; son bóng&gt; Anna Sui")</f>
        <v>Đấu giá&gt; làm đẹp, chăm sóc sức khỏe&gt; ​​mỹ phẩm, chăm sóc da&gt; son bóng&gt; Anna Sui</v>
      </c>
      <c r="G229" t="str">
        <f t="shared" ca="1" si="3"/>
        <v>"2084059034" : "Anna Sui",</v>
      </c>
    </row>
    <row r="230" spans="1:7" ht="15.75" customHeight="1">
      <c r="A230" s="28">
        <v>2084060307</v>
      </c>
      <c r="B230" s="28" t="s">
        <v>8809</v>
      </c>
      <c r="C230" s="28" t="s">
        <v>21096</v>
      </c>
      <c r="D230" s="28" t="s">
        <v>21097</v>
      </c>
      <c r="E230" s="4" t="str">
        <f ca="1">IFERROR(__xludf.DUMMYFUNCTION("GOOGLETRANSLATE(B230,""ja"",""vi"")"),"Aniesube")</f>
        <v>Aniesube</v>
      </c>
      <c r="F230" s="4" t="str">
        <f ca="1">IFERROR(__xludf.DUMMYFUNCTION("GOOGLETRANSLATE(C230,""ja"",""vi"")"),"Đấu giá&gt; làm đẹp, chăm sóc sức khỏe&gt; ​​mỹ phẩm, chăm sóc da&gt; son bóng&gt; Aniesube")</f>
        <v>Đấu giá&gt; làm đẹp, chăm sóc sức khỏe&gt; ​​mỹ phẩm, chăm sóc da&gt; son bóng&gt; Aniesube</v>
      </c>
      <c r="G230" t="str">
        <f t="shared" ca="1" si="3"/>
        <v>"2084060307" : "Aniesube",</v>
      </c>
    </row>
    <row r="231" spans="1:7" ht="15.75" customHeight="1">
      <c r="A231" s="28">
        <v>2084059035</v>
      </c>
      <c r="B231" s="28" t="s">
        <v>20236</v>
      </c>
      <c r="C231" s="28" t="s">
        <v>21099</v>
      </c>
      <c r="D231" s="28" t="s">
        <v>21100</v>
      </c>
      <c r="E231" s="4" t="str">
        <f ca="1">IFERROR(__xludf.DUMMYFUNCTION("GOOGLETRANSLATE(B231,""ja"",""vi"")"),"Ayura")</f>
        <v>Ayura</v>
      </c>
      <c r="F231" s="4" t="str">
        <f ca="1">IFERROR(__xludf.DUMMYFUNCTION("GOOGLETRANSLATE(C231,""ja"",""vi"")"),"Đấu giá&gt; làm đẹp, chăm sóc sức khỏe&gt; ​​mỹ phẩm, chăm sóc da&gt; son bóng&gt; Ayura")</f>
        <v>Đấu giá&gt; làm đẹp, chăm sóc sức khỏe&gt; ​​mỹ phẩm, chăm sóc da&gt; son bóng&gt; Ayura</v>
      </c>
      <c r="G231" t="str">
        <f t="shared" ca="1" si="3"/>
        <v>"2084059035" : "Ayura",</v>
      </c>
    </row>
    <row r="232" spans="1:7" ht="15.75" customHeight="1">
      <c r="A232" s="28">
        <v>2084059037</v>
      </c>
      <c r="B232" s="28" t="s">
        <v>20257</v>
      </c>
      <c r="C232" s="28" t="s">
        <v>21102</v>
      </c>
      <c r="D232" s="28" t="s">
        <v>21103</v>
      </c>
      <c r="E232" s="4" t="str">
        <f ca="1">IFERROR(__xludf.DUMMYFUNCTION("GOOGLETRANSLATE(B232,""ja"",""vi"")"),"IPSA")</f>
        <v>IPSA</v>
      </c>
      <c r="F232" s="4" t="str">
        <f ca="1">IFERROR(__xludf.DUMMYFUNCTION("GOOGLETRANSLATE(C232,""ja"",""vi"")"),"Đấu giá&gt; làm đẹp, chăm sóc sức khỏe&gt; ​​mỹ phẩm, chăm sóc da&gt; son bóng&gt; IPSA")</f>
        <v>Đấu giá&gt; làm đẹp, chăm sóc sức khỏe&gt; ​​mỹ phẩm, chăm sóc da&gt; son bóng&gt; IPSA</v>
      </c>
      <c r="G232" t="str">
        <f t="shared" ca="1" si="3"/>
        <v>"2084059037" : "IPSA",</v>
      </c>
    </row>
    <row r="233" spans="1:7" ht="15.75" customHeight="1">
      <c r="A233" s="28">
        <v>2084059036</v>
      </c>
      <c r="B233" s="28" t="s">
        <v>9050</v>
      </c>
      <c r="C233" s="28" t="s">
        <v>21105</v>
      </c>
      <c r="D233" s="28" t="s">
        <v>21106</v>
      </c>
      <c r="E233" s="4" t="str">
        <f ca="1">IFERROR(__xludf.DUMMYFUNCTION("GOOGLETRANSLATE(B233,""ja"",""vi"")"),"Yves Saint Laurent")</f>
        <v>Yves Saint Laurent</v>
      </c>
      <c r="F233" s="4" t="str">
        <f ca="1">IFERROR(__xludf.DUMMYFUNCTION("GOOGLETRANSLATE(C233,""ja"",""vi"")"),"Đấu giá&gt; làm đẹp, chăm sóc sức khỏe&gt; ​​mỹ phẩm, chăm sóc da&gt; son bóng&gt; Yves Saint Laurent")</f>
        <v>Đấu giá&gt; làm đẹp, chăm sóc sức khỏe&gt; ​​mỹ phẩm, chăm sóc da&gt; son bóng&gt; Yves Saint Laurent</v>
      </c>
      <c r="G233" t="str">
        <f t="shared" ca="1" si="3"/>
        <v>"2084059036" : "Yves Saint Laurent",</v>
      </c>
    </row>
    <row r="234" spans="1:7" ht="15.75" customHeight="1">
      <c r="A234" s="28">
        <v>2084059038</v>
      </c>
      <c r="B234" s="28" t="s">
        <v>19664</v>
      </c>
      <c r="C234" s="28" t="s">
        <v>21108</v>
      </c>
      <c r="D234" s="28" t="s">
        <v>21110</v>
      </c>
      <c r="E234" s="4" t="str">
        <f ca="1">IFERROR(__xludf.DUMMYFUNCTION("GOOGLETRANSLATE(B234,""ja"",""vi"")"),"Estee Lauder")</f>
        <v>Estee Lauder</v>
      </c>
      <c r="F234" s="4" t="str">
        <f ca="1">IFERROR(__xludf.DUMMYFUNCTION("GOOGLETRANSLATE(C234,""ja"",""vi"")"),"Đấu giá&gt; làm đẹp, chăm sóc sức khỏe&gt; ​​mỹ phẩm, chăm sóc da&gt; son bóng&gt; Estee Lauder")</f>
        <v>Đấu giá&gt; làm đẹp, chăm sóc sức khỏe&gt; ​​mỹ phẩm, chăm sóc da&gt; son bóng&gt; Estee Lauder</v>
      </c>
      <c r="G234" t="str">
        <f t="shared" ca="1" si="3"/>
        <v>"2084059038" : "Estee Lauder",</v>
      </c>
    </row>
    <row r="235" spans="1:7" ht="15.75" customHeight="1">
      <c r="A235" s="28">
        <v>2084059039</v>
      </c>
      <c r="B235" s="28" t="s">
        <v>19670</v>
      </c>
      <c r="C235" s="28" t="s">
        <v>21111</v>
      </c>
      <c r="D235" s="28" t="s">
        <v>21112</v>
      </c>
      <c r="E235" s="4" t="str">
        <f ca="1">IFERROR(__xludf.DUMMYFUNCTION("GOOGLETRANSLATE(B235,""ja"",""vi"")"),"Elizabeth Arden")</f>
        <v>Elizabeth Arden</v>
      </c>
      <c r="F235" s="4" t="str">
        <f ca="1">IFERROR(__xludf.DUMMYFUNCTION("GOOGLETRANSLATE(C235,""ja"",""vi"")"),"Đấu giá&gt; làm đẹp, chăm sóc sức khỏe&gt; ​​mỹ phẩm, chăm sóc da&gt; son bóng&gt; Elizabeth Arden")</f>
        <v>Đấu giá&gt; làm đẹp, chăm sóc sức khỏe&gt; ​​mỹ phẩm, chăm sóc da&gt; son bóng&gt; Elizabeth Arden</v>
      </c>
      <c r="G235" t="str">
        <f t="shared" ca="1" si="3"/>
        <v>"2084059039" : "Elizabeth Arden",</v>
      </c>
    </row>
    <row r="236" spans="1:7" ht="15.75" customHeight="1">
      <c r="A236" s="28">
        <v>2084059041</v>
      </c>
      <c r="B236" s="28" t="s">
        <v>20337</v>
      </c>
      <c r="C236" s="28" t="s">
        <v>21114</v>
      </c>
      <c r="D236" s="28" t="s">
        <v>21115</v>
      </c>
      <c r="E236" s="4" t="str">
        <f ca="1">IFERROR(__xludf.DUMMYFUNCTION("GOOGLETRANSLATE(B236,""ja"",""vi"")"),"Clarins")</f>
        <v>Clarins</v>
      </c>
      <c r="F236" s="4" t="str">
        <f ca="1">IFERROR(__xludf.DUMMYFUNCTION("GOOGLETRANSLATE(C236,""ja"",""vi"")"),"Đấu giá&gt; làm đẹp, chăm sóc sức khỏe&gt; ​​mỹ phẩm, chăm sóc da&gt; son bóng&gt; Clarins")</f>
        <v>Đấu giá&gt; làm đẹp, chăm sóc sức khỏe&gt; ​​mỹ phẩm, chăm sóc da&gt; son bóng&gt; Clarins</v>
      </c>
      <c r="G236" t="str">
        <f t="shared" ca="1" si="3"/>
        <v>"2084059041" : "Clarins",</v>
      </c>
    </row>
    <row r="237" spans="1:7" ht="15.75" customHeight="1">
      <c r="A237" s="28">
        <v>2084059042</v>
      </c>
      <c r="B237" s="28" t="s">
        <v>9858</v>
      </c>
      <c r="C237" s="28" t="s">
        <v>21117</v>
      </c>
      <c r="D237" s="28" t="s">
        <v>21118</v>
      </c>
      <c r="E237" s="4" t="str">
        <f ca="1">IFERROR(__xludf.DUMMYFUNCTION("GOOGLETRANSLATE(B237,""ja"",""vi"")"),"Christian Dior")</f>
        <v>Christian Dior</v>
      </c>
      <c r="F237" s="4" t="str">
        <f ca="1">IFERROR(__xludf.DUMMYFUNCTION("GOOGLETRANSLATE(C237,""ja"",""vi"")"),"Đấu giá&gt; làm đẹp, chăm sóc sức khỏe&gt; ​​mỹ phẩm, chăm sóc da&gt; Lip Gloss&gt; Christian Dior")</f>
        <v>Đấu giá&gt; làm đẹp, chăm sóc sức khỏe&gt; ​​mỹ phẩm, chăm sóc da&gt; Lip Gloss&gt; Christian Dior</v>
      </c>
      <c r="G237" t="str">
        <f t="shared" ca="1" si="3"/>
        <v>"2084059042" : "Christian Dior",</v>
      </c>
    </row>
    <row r="238" spans="1:7" ht="15.75" customHeight="1">
      <c r="A238" s="28">
        <v>2084059043</v>
      </c>
      <c r="B238" s="28" t="s">
        <v>19700</v>
      </c>
      <c r="C238" s="28" t="s">
        <v>21120</v>
      </c>
      <c r="D238" s="28" t="s">
        <v>21121</v>
      </c>
      <c r="E238" s="4" t="str">
        <f ca="1">IFERROR(__xludf.DUMMYFUNCTION("GOOGLETRANSLATE(B238,""ja"",""vi"")"),"Clinique")</f>
        <v>Clinique</v>
      </c>
      <c r="F238" s="4" t="str">
        <f ca="1">IFERROR(__xludf.DUMMYFUNCTION("GOOGLETRANSLATE(C238,""ja"",""vi"")"),"Đấu giá&gt; làm đẹp, chăm sóc sức khỏe&gt; ​​mỹ phẩm, chăm sóc da&gt; son bóng&gt; Clinique")</f>
        <v>Đấu giá&gt; làm đẹp, chăm sóc sức khỏe&gt; ​​mỹ phẩm, chăm sóc da&gt; son bóng&gt; Clinique</v>
      </c>
      <c r="G238" t="str">
        <f t="shared" ca="1" si="3"/>
        <v>"2084059043" : "Clinique",</v>
      </c>
    </row>
    <row r="239" spans="1:7" ht="15.75" customHeight="1">
      <c r="A239" s="28">
        <v>2084059044</v>
      </c>
      <c r="B239" s="28" t="s">
        <v>20346</v>
      </c>
      <c r="C239" s="28" t="s">
        <v>21122</v>
      </c>
      <c r="D239" s="28" t="s">
        <v>21123</v>
      </c>
      <c r="E239" s="4" t="str">
        <f ca="1">IFERROR(__xludf.DUMMYFUNCTION("GOOGLETRANSLATE(B239,""ja"",""vi"")"),"Kesaran Pasaran")</f>
        <v>Kesaran Pasaran</v>
      </c>
      <c r="F239" s="4" t="str">
        <f ca="1">IFERROR(__xludf.DUMMYFUNCTION("GOOGLETRANSLATE(C239,""ja"",""vi"")"),"Đấu giá&gt; làm đẹp, chăm sóc sức khỏe&gt; ​​mỹ phẩm, chăm sóc da&gt; son bóng&gt; Kesaran Pasaran")</f>
        <v>Đấu giá&gt; làm đẹp, chăm sóc sức khỏe&gt; ​​mỹ phẩm, chăm sóc da&gt; son bóng&gt; Kesaran Pasaran</v>
      </c>
      <c r="G239" t="str">
        <f t="shared" ca="1" si="3"/>
        <v>"2084059044" : "Kesaran Pasaran",</v>
      </c>
    </row>
    <row r="240" spans="1:7" ht="15.75" customHeight="1">
      <c r="A240" s="28">
        <v>2084060308</v>
      </c>
      <c r="B240" s="28" t="s">
        <v>19723</v>
      </c>
      <c r="C240" s="28" t="s">
        <v>21125</v>
      </c>
      <c r="D240" s="28" t="s">
        <v>21126</v>
      </c>
      <c r="E240" s="4" t="str">
        <f ca="1">IFERROR(__xludf.DUMMYFUNCTION("GOOGLETRANSLATE(B240,""ja"",""vi"")"),"Guerlain")</f>
        <v>Guerlain</v>
      </c>
      <c r="F240" s="4" t="str">
        <f ca="1">IFERROR(__xludf.DUMMYFUNCTION("GOOGLETRANSLATE(C240,""ja"",""vi"")"),"Đấu giá&gt; làm đẹp, chăm sóc sức khỏe&gt; ​​mỹ phẩm, chăm sóc da&gt; son bóng&gt; Guerlain")</f>
        <v>Đấu giá&gt; làm đẹp, chăm sóc sức khỏe&gt; ​​mỹ phẩm, chăm sóc da&gt; son bóng&gt; Guerlain</v>
      </c>
      <c r="G240" t="str">
        <f t="shared" ca="1" si="3"/>
        <v>"2084060308" : "Guerlain",</v>
      </c>
    </row>
    <row r="241" spans="1:7" ht="15.75" customHeight="1">
      <c r="A241" s="28">
        <v>2084059046</v>
      </c>
      <c r="B241" s="28" t="s">
        <v>10288</v>
      </c>
      <c r="C241" s="28" t="s">
        <v>21127</v>
      </c>
      <c r="D241" s="28" t="s">
        <v>21129</v>
      </c>
      <c r="E241" s="4" t="str">
        <f ca="1">IFERROR(__xludf.DUMMYFUNCTION("GOOGLETRANSLATE(B241,""ja"",""vi"")"),"Chanel")</f>
        <v>Chanel</v>
      </c>
      <c r="F241" s="4" t="str">
        <f ca="1">IFERROR(__xludf.DUMMYFUNCTION("GOOGLETRANSLATE(C241,""ja"",""vi"")"),"Đấu giá&gt; làm đẹp, chăm sóc sức khỏe&gt; ​​mỹ phẩm, chăm sóc da&gt; Lip Gloss&gt; Chanel")</f>
        <v>Đấu giá&gt; làm đẹp, chăm sóc sức khỏe&gt; ​​mỹ phẩm, chăm sóc da&gt; Lip Gloss&gt; Chanel</v>
      </c>
      <c r="G241" t="str">
        <f t="shared" ca="1" si="3"/>
        <v>"2084059046" : "Chanel",</v>
      </c>
    </row>
    <row r="242" spans="1:7" ht="15.75" customHeight="1">
      <c r="A242" s="28">
        <v>2084243960</v>
      </c>
      <c r="B242" s="28" t="s">
        <v>10446</v>
      </c>
      <c r="C242" s="28" t="s">
        <v>21130</v>
      </c>
      <c r="D242" s="28" t="s">
        <v>21131</v>
      </c>
      <c r="E242" s="4" t="str">
        <f ca="1">IFERROR(__xludf.DUMMYFUNCTION("GOOGLETRANSLATE(B242,""ja"",""vi"")"),"Jill Stuart")</f>
        <v>Jill Stuart</v>
      </c>
      <c r="F242" s="4" t="str">
        <f ca="1">IFERROR(__xludf.DUMMYFUNCTION("GOOGLETRANSLATE(C242,""ja"",""vi"")"),"Đấu giá&gt; làm đẹp, chăm sóc sức khỏe&gt; ​​mỹ phẩm, chăm sóc da&gt; son bóng&gt; Jill Stuart")</f>
        <v>Đấu giá&gt; làm đẹp, chăm sóc sức khỏe&gt; ​​mỹ phẩm, chăm sóc da&gt; son bóng&gt; Jill Stuart</v>
      </c>
      <c r="G242" t="str">
        <f t="shared" ca="1" si="3"/>
        <v>"2084243960" : "Jill Stuart",</v>
      </c>
    </row>
    <row r="243" spans="1:7" ht="15.75" customHeight="1">
      <c r="A243" s="28">
        <v>2084060306</v>
      </c>
      <c r="B243" s="28" t="s">
        <v>20388</v>
      </c>
      <c r="C243" s="28" t="s">
        <v>21133</v>
      </c>
      <c r="D243" s="28" t="s">
        <v>21134</v>
      </c>
      <c r="E243" s="4" t="str">
        <f ca="1">IFERROR(__xludf.DUMMYFUNCTION("GOOGLETRANSLATE(B243,""ja"",""vi"")"),"Stila")</f>
        <v>Stila</v>
      </c>
      <c r="F243" s="4" t="str">
        <f ca="1">IFERROR(__xludf.DUMMYFUNCTION("GOOGLETRANSLATE(C243,""ja"",""vi"")"),"Đấu giá&gt; làm đẹp, chăm sóc sức khỏe&gt; ​​mỹ phẩm, chăm sóc da&gt; son bóng&gt; Stila")</f>
        <v>Đấu giá&gt; làm đẹp, chăm sóc sức khỏe&gt; ​​mỹ phẩm, chăm sóc da&gt; son bóng&gt; Stila</v>
      </c>
      <c r="G243" t="str">
        <f t="shared" ca="1" si="3"/>
        <v>"2084060306" : "Stila",</v>
      </c>
    </row>
    <row r="244" spans="1:7" ht="15.75" customHeight="1">
      <c r="A244" s="28">
        <v>2084059047</v>
      </c>
      <c r="B244" s="28" t="s">
        <v>20502</v>
      </c>
      <c r="C244" s="28" t="s">
        <v>21136</v>
      </c>
      <c r="D244" s="28" t="s">
        <v>21138</v>
      </c>
      <c r="E244" s="4" t="str">
        <f ca="1">IFERROR(__xludf.DUMMYFUNCTION("GOOGLETRANSLATE(B244,""ja"",""vi"")"),"Helena Rubinstein")</f>
        <v>Helena Rubinstein</v>
      </c>
      <c r="F244" s="4" t="str">
        <f ca="1">IFERROR(__xludf.DUMMYFUNCTION("GOOGLETRANSLATE(C244,""ja"",""vi"")"),"Đấu giá&gt; làm đẹp, chăm sóc sức khỏe&gt; ​​mỹ phẩm, chăm sóc da&gt; son bóng&gt; Helena Rubinstein")</f>
        <v>Đấu giá&gt; làm đẹp, chăm sóc sức khỏe&gt; ​​mỹ phẩm, chăm sóc da&gt; son bóng&gt; Helena Rubinstein</v>
      </c>
      <c r="G244" t="str">
        <f t="shared" ca="1" si="3"/>
        <v>"2084059047" : "Helena Rubinstein",</v>
      </c>
    </row>
    <row r="245" spans="1:7" ht="15.75" customHeight="1">
      <c r="A245" s="28">
        <v>2084060309</v>
      </c>
      <c r="B245" s="28" t="s">
        <v>20511</v>
      </c>
      <c r="C245" s="28" t="s">
        <v>21140</v>
      </c>
      <c r="D245" s="28" t="s">
        <v>21141</v>
      </c>
      <c r="E245" s="4" t="str">
        <f ca="1">IFERROR(__xludf.DUMMYFUNCTION("GOOGLETRANSLATE(B245,""ja"",""vi"")"),"Bobii Brown")</f>
        <v>Bobii Brown</v>
      </c>
      <c r="F245" s="4" t="str">
        <f ca="1">IFERROR(__xludf.DUMMYFUNCTION("GOOGLETRANSLATE(C245,""ja"",""vi"")"),"Đấu giá&gt; làm đẹp, chăm sóc sức khỏe&gt; ​​mỹ phẩm, chăm sóc da&gt; son bóng&gt; Bobii Brown")</f>
        <v>Đấu giá&gt; làm đẹp, chăm sóc sức khỏe&gt; ​​mỹ phẩm, chăm sóc da&gt; son bóng&gt; Bobii Brown</v>
      </c>
      <c r="G245" t="str">
        <f t="shared" ca="1" si="3"/>
        <v>"2084060309" : "Bobii Brown",</v>
      </c>
    </row>
    <row r="246" spans="1:7" ht="15.75" customHeight="1">
      <c r="A246" s="28">
        <v>2084059048</v>
      </c>
      <c r="B246" s="28" t="s">
        <v>20532</v>
      </c>
      <c r="C246" s="28" t="s">
        <v>21143</v>
      </c>
      <c r="D246" s="28" t="s">
        <v>21144</v>
      </c>
      <c r="E246" s="4" t="str">
        <f ca="1">IFERROR(__xludf.DUMMYFUNCTION("GOOGLETRANSLATE(B246,""ja"",""vi"")"),"Max Factor")</f>
        <v>Max Factor</v>
      </c>
      <c r="F246" s="4" t="str">
        <f ca="1">IFERROR(__xludf.DUMMYFUNCTION("GOOGLETRANSLATE(C246,""ja"",""vi"")"),"Đấu giá&gt; làm đẹp, chăm sóc sức khỏe&gt; ​​mỹ phẩm, chăm sóc da&gt; son bóng&gt; Max Factor")</f>
        <v>Đấu giá&gt; làm đẹp, chăm sóc sức khỏe&gt; ​​mỹ phẩm, chăm sóc da&gt; son bóng&gt; Max Factor</v>
      </c>
      <c r="G246" t="str">
        <f t="shared" ca="1" si="3"/>
        <v>"2084059048" : "Max Factor",</v>
      </c>
    </row>
    <row r="247" spans="1:7" ht="15.75" customHeight="1">
      <c r="A247" s="28">
        <v>2084059049</v>
      </c>
      <c r="B247" s="28" t="s">
        <v>20546</v>
      </c>
      <c r="C247" s="28" t="s">
        <v>21146</v>
      </c>
      <c r="D247" s="28" t="s">
        <v>21147</v>
      </c>
      <c r="E247" s="4" t="str">
        <f ca="1">IFERROR(__xludf.DUMMYFUNCTION("GOOGLETRANSLATE(B247,""ja"",""vi"")"),"Maybelline")</f>
        <v>Maybelline</v>
      </c>
      <c r="F247" s="4" t="str">
        <f ca="1">IFERROR(__xludf.DUMMYFUNCTION("GOOGLETRANSLATE(C247,""ja"",""vi"")"),"Đấu giá&gt; làm đẹp, chăm sóc sức khỏe&gt; ​​mỹ phẩm, chăm sóc da&gt; Lip Gloss&gt; Maybelline")</f>
        <v>Đấu giá&gt; làm đẹp, chăm sóc sức khỏe&gt; ​​mỹ phẩm, chăm sóc da&gt; Lip Gloss&gt; Maybelline</v>
      </c>
      <c r="G247" t="str">
        <f t="shared" ca="1" si="3"/>
        <v>"2084059049" : "Maybelline",</v>
      </c>
    </row>
    <row r="248" spans="1:7" ht="15.75" customHeight="1">
      <c r="A248" s="28">
        <v>2084059050</v>
      </c>
      <c r="B248" s="28" t="s">
        <v>19898</v>
      </c>
      <c r="C248" s="28" t="s">
        <v>21148</v>
      </c>
      <c r="D248" s="28" t="s">
        <v>21150</v>
      </c>
      <c r="E248" s="4" t="str">
        <f ca="1">IFERROR(__xludf.DUMMYFUNCTION("GOOGLETRANSLATE(B248,""ja"",""vi"")"),"Lancome")</f>
        <v>Lancome</v>
      </c>
      <c r="F248" s="4" t="str">
        <f ca="1">IFERROR(__xludf.DUMMYFUNCTION("GOOGLETRANSLATE(C248,""ja"",""vi"")"),"Auction&gt; làm đẹp, chăm sóc sức khỏe&gt; ​​mỹ phẩm, chăm sóc da&gt; son bóng&gt; Lancome")</f>
        <v>Auction&gt; làm đẹp, chăm sóc sức khỏe&gt; ​​mỹ phẩm, chăm sóc da&gt; son bóng&gt; Lancome</v>
      </c>
      <c r="G248" t="str">
        <f t="shared" ca="1" si="3"/>
        <v>"2084059050" : "Lancome",</v>
      </c>
    </row>
    <row r="249" spans="1:7" ht="15.75" customHeight="1">
      <c r="A249" s="28">
        <v>2084059051</v>
      </c>
      <c r="B249" s="28" t="s">
        <v>20571</v>
      </c>
      <c r="C249" s="28" t="s">
        <v>21152</v>
      </c>
      <c r="D249" s="28" t="s">
        <v>21153</v>
      </c>
      <c r="E249" s="4" t="str">
        <f ca="1">IFERROR(__xludf.DUMMYFUNCTION("GOOGLETRANSLATE(B249,""ja"",""vi"")"),"Revlon")</f>
        <v>Revlon</v>
      </c>
      <c r="F249" s="4" t="str">
        <f ca="1">IFERROR(__xludf.DUMMYFUNCTION("GOOGLETRANSLATE(C249,""ja"",""vi"")"),"Đấu giá&gt; làm đẹp, chăm sóc sức khỏe&gt; ​​mỹ phẩm, chăm sóc da&gt; Lip Gloss&gt; Revlon")</f>
        <v>Đấu giá&gt; làm đẹp, chăm sóc sức khỏe&gt; ​​mỹ phẩm, chăm sóc da&gt; Lip Gloss&gt; Revlon</v>
      </c>
      <c r="G249" t="str">
        <f t="shared" ca="1" si="3"/>
        <v>"2084059051" : "Revlon",</v>
      </c>
    </row>
    <row r="250" spans="1:7" ht="15.75" customHeight="1">
      <c r="A250" s="28">
        <v>2084243971</v>
      </c>
      <c r="B250" s="28" t="s">
        <v>9168</v>
      </c>
      <c r="C250" s="28" t="s">
        <v>21155</v>
      </c>
      <c r="D250" s="28" t="s">
        <v>21156</v>
      </c>
      <c r="E250" s="4" t="str">
        <f ca="1">IFERROR(__xludf.DUMMYFUNCTION("GOOGLETRANSLATE(B250,""ja"",""vi"")"),"Victoria 's Secret")</f>
        <v>Victoria 's Secret</v>
      </c>
      <c r="F250" s="4" t="str">
        <f ca="1">IFERROR(__xludf.DUMMYFUNCTION("GOOGLETRANSLATE(C250,""ja"",""vi"")"),"Đấu giá&gt; làm đẹp, chăm sóc sức khỏe&gt; ​​mỹ phẩm, chăm sóc da&gt; son bóng&gt; Victoria 's Secret")</f>
        <v>Đấu giá&gt; làm đẹp, chăm sóc sức khỏe&gt; ​​mỹ phẩm, chăm sóc da&gt; son bóng&gt; Victoria 's Secret</v>
      </c>
      <c r="G250" t="str">
        <f t="shared" ca="1" si="3"/>
        <v>"2084243971" : "Victoria 's Secret",</v>
      </c>
    </row>
    <row r="251" spans="1:7" ht="15.75" customHeight="1">
      <c r="A251" s="28">
        <v>2084059053</v>
      </c>
      <c r="B251" s="28" t="s">
        <v>46</v>
      </c>
      <c r="C251" s="28" t="s">
        <v>21157</v>
      </c>
      <c r="D251" s="28" t="s">
        <v>21158</v>
      </c>
      <c r="E251" s="4" t="str">
        <f ca="1">IFERROR(__xludf.DUMMYFUNCTION("GOOGLETRANSLATE(B251,""ja"",""vi"")"),"nếu không thì")</f>
        <v>nếu không thì</v>
      </c>
      <c r="F251" s="4" t="str">
        <f ca="1">IFERROR(__xludf.DUMMYFUNCTION("GOOGLETRANSLATE(C251,""ja"",""vi"")"),"Đấu giá&gt; làm đẹp, chăm sóc sức khỏe&gt; ​​mỹ phẩm, chăm sóc da&gt; son bóng&gt; Khác")</f>
        <v>Đấu giá&gt; làm đẹp, chăm sóc sức khỏe&gt; ​​mỹ phẩm, chăm sóc da&gt; son bóng&gt; Khác</v>
      </c>
      <c r="G251" t="str">
        <f t="shared" ca="1" si="3"/>
        <v>"2084059053" : "nếu không thì",</v>
      </c>
    </row>
    <row r="252" spans="1:7" ht="15.75" customHeight="1">
      <c r="A252" s="36">
        <v>2084005314</v>
      </c>
      <c r="B252" s="36" t="s">
        <v>21160</v>
      </c>
      <c r="C252" s="36" t="s">
        <v>21161</v>
      </c>
      <c r="D252" s="36" t="s">
        <v>21162</v>
      </c>
      <c r="E252" s="4" t="str">
        <f ca="1">IFERROR(__xludf.DUMMYFUNCTION("GOOGLETRANSLATE(B252,""ja"",""vi"")"),"Bàn chải, chip, lược")</f>
        <v>Bàn chải, chip, lược</v>
      </c>
      <c r="F252" s="4" t="str">
        <f ca="1">IFERROR(__xludf.DUMMYFUNCTION("GOOGLETRANSLATE(C252,""ja"",""vi"")"),"Đấu giá&gt; làm đẹp, chăm sóc sức khỏe&gt; ​​mỹ phẩm, chăm sóc da&gt; công cụ trang điểm, phụ kiện trang điểm&gt; bàn chải, chip, lược")</f>
        <v>Đấu giá&gt; làm đẹp, chăm sóc sức khỏe&gt; ​​mỹ phẩm, chăm sóc da&gt; công cụ trang điểm, phụ kiện trang điểm&gt; bàn chải, chip, lược</v>
      </c>
      <c r="G252" t="str">
        <f t="shared" ca="1" si="3"/>
        <v>"2084005314" : "Bàn chải, chip, lược",</v>
      </c>
    </row>
    <row r="253" spans="1:7" ht="15.75" customHeight="1">
      <c r="A253" s="28">
        <v>2084216504</v>
      </c>
      <c r="B253" s="28" t="s">
        <v>21163</v>
      </c>
      <c r="C253" s="28" t="s">
        <v>21165</v>
      </c>
      <c r="D253" s="28" t="s">
        <v>21166</v>
      </c>
      <c r="E253" s="4" t="str">
        <f ca="1">IFERROR(__xludf.DUMMYFUNCTION("GOOGLETRANSLATE(B253,""ja"",""vi"")"),"hộp trang điểm")</f>
        <v>hộp trang điểm</v>
      </c>
      <c r="F253" s="4" t="str">
        <f ca="1">IFERROR(__xludf.DUMMYFUNCTION("GOOGLETRANSLATE(C253,""ja"",""vi"")"),"Đấu giá&gt; làm đẹp, chăm sóc sức khỏe&gt; ​​mỹ phẩm, chăm sóc da&gt; công cụ trang điểm, phụ kiện trang điểm&gt; hộp trang điểm")</f>
        <v>Đấu giá&gt; làm đẹp, chăm sóc sức khỏe&gt; ​​mỹ phẩm, chăm sóc da&gt; công cụ trang điểm, phụ kiện trang điểm&gt; hộp trang điểm</v>
      </c>
      <c r="G253" t="str">
        <f t="shared" ca="1" si="3"/>
        <v>"2084216504" : "hộp trang điểm",</v>
      </c>
    </row>
    <row r="254" spans="1:7" ht="15.75" customHeight="1">
      <c r="A254" s="28">
        <v>2084007463</v>
      </c>
      <c r="B254" s="28" t="s">
        <v>21167</v>
      </c>
      <c r="C254" s="28" t="s">
        <v>21168</v>
      </c>
      <c r="D254" s="28" t="s">
        <v>21169</v>
      </c>
      <c r="E254" s="4" t="str">
        <f ca="1">IFERROR(__xludf.DUMMYFUNCTION("GOOGLETRANSLATE(B254,""ja"",""vi"")"),"Buhler")</f>
        <v>Buhler</v>
      </c>
      <c r="F254" s="4" t="str">
        <f ca="1">IFERROR(__xludf.DUMMYFUNCTION("GOOGLETRANSLATE(C254,""ja"",""vi"")"),"Đấu giá&gt; làm đẹp, chăm sóc sức khỏe&gt; ​​mỹ phẩm, chăm sóc da&gt; công cụ trang điểm, phụ kiện trang điểm&gt; Buhler")</f>
        <v>Đấu giá&gt; làm đẹp, chăm sóc sức khỏe&gt; ​​mỹ phẩm, chăm sóc da&gt; công cụ trang điểm, phụ kiện trang điểm&gt; Buhler</v>
      </c>
      <c r="G254" t="str">
        <f t="shared" ca="1" si="3"/>
        <v>"2084007463" : "Buhler",</v>
      </c>
    </row>
    <row r="255" spans="1:7" ht="15.75" customHeight="1">
      <c r="A255" s="28">
        <v>2084048383</v>
      </c>
      <c r="B255" s="28" t="s">
        <v>16413</v>
      </c>
      <c r="C255" s="28" t="s">
        <v>21171</v>
      </c>
      <c r="D255" s="28" t="s">
        <v>21172</v>
      </c>
      <c r="E255" s="4" t="str">
        <f ca="1">IFERROR(__xludf.DUMMYFUNCTION("GOOGLETRANSLATE(B255,""ja"",""vi"")"),"gương mặt")</f>
        <v>gương mặt</v>
      </c>
      <c r="F255" s="4" t="str">
        <f ca="1">IFERROR(__xludf.DUMMYFUNCTION("GOOGLETRANSLATE(C255,""ja"",""vi"")"),"Đấu giá&gt; làm đẹp, chăm sóc sức khỏe&gt; ​​mỹ phẩm, chăm sóc da&gt; công cụ trang điểm, phụ kiện trang điểm&gt; gương mặt")</f>
        <v>Đấu giá&gt; làm đẹp, chăm sóc sức khỏe&gt; ​​mỹ phẩm, chăm sóc da&gt; công cụ trang điểm, phụ kiện trang điểm&gt; gương mặt</v>
      </c>
      <c r="G255" t="str">
        <f t="shared" ca="1" si="3"/>
        <v>"2084048383" : "gương mặt",</v>
      </c>
    </row>
    <row r="256" spans="1:7" ht="15.75" customHeight="1">
      <c r="A256" s="28">
        <v>2084007487</v>
      </c>
      <c r="B256" s="28" t="s">
        <v>21174</v>
      </c>
      <c r="C256" s="28" t="s">
        <v>21175</v>
      </c>
      <c r="D256" s="28" t="s">
        <v>21176</v>
      </c>
      <c r="E256" s="4" t="str">
        <f ca="1">IFERROR(__xludf.DUMMYFUNCTION("GOOGLETRANSLATE(B256,""ja"",""vi"")"),"giấy thấm dầu")</f>
        <v>giấy thấm dầu</v>
      </c>
      <c r="F256" s="4" t="str">
        <f ca="1">IFERROR(__xludf.DUMMYFUNCTION("GOOGLETRANSLATE(C256,""ja"",""vi"")"),"Đấu giá&gt; làm đẹp, chăm sóc sức khỏe&gt; ​​mỹ phẩm, chăm sóc da&gt; công cụ trang điểm, phụ kiện trang điểm&gt; giấy dầu thấm")</f>
        <v>Đấu giá&gt; làm đẹp, chăm sóc sức khỏe&gt; ​​mỹ phẩm, chăm sóc da&gt; công cụ trang điểm, phụ kiện trang điểm&gt; giấy dầu thấm</v>
      </c>
      <c r="G256" t="str">
        <f t="shared" ca="1" si="3"/>
        <v>"2084007487" : "giấy thấm dầu",</v>
      </c>
    </row>
    <row r="257" spans="1:7" ht="15.75" customHeight="1">
      <c r="A257" s="28">
        <v>2084007464</v>
      </c>
      <c r="B257" s="28" t="s">
        <v>21179</v>
      </c>
      <c r="C257" s="28" t="s">
        <v>21180</v>
      </c>
      <c r="D257" s="28" t="s">
        <v>21181</v>
      </c>
      <c r="E257" s="4" t="str">
        <f ca="1">IFERROR(__xludf.DUMMYFUNCTION("GOOGLETRANSLATE(B257,""ja"",""vi"")"),"Sponge, puff")</f>
        <v>Sponge, puff</v>
      </c>
      <c r="F257" s="4" t="str">
        <f ca="1">IFERROR(__xludf.DUMMYFUNCTION("GOOGLETRANSLATE(C257,""ja"",""vi"")"),"Đấu giá&gt; làm đẹp, chăm sóc sức khỏe&gt; ​​mỹ phẩm, chăm sóc da&gt; công cụ trang điểm, phụ kiện trang điểm&gt; xốp, puff")</f>
        <v>Đấu giá&gt; làm đẹp, chăm sóc sức khỏe&gt; ​​mỹ phẩm, chăm sóc da&gt; công cụ trang điểm, phụ kiện trang điểm&gt; xốp, puff</v>
      </c>
      <c r="G257" t="str">
        <f t="shared" ca="1" si="3"/>
        <v>"2084007464" : "Sponge, puff",</v>
      </c>
    </row>
    <row r="258" spans="1:7" ht="15.75" customHeight="1">
      <c r="A258" s="28">
        <v>2084306756</v>
      </c>
      <c r="B258" s="28" t="s">
        <v>21183</v>
      </c>
      <c r="C258" s="28" t="s">
        <v>21185</v>
      </c>
      <c r="D258" s="28" t="s">
        <v>21186</v>
      </c>
      <c r="E258" s="4" t="str">
        <f ca="1">IFERROR(__xludf.DUMMYFUNCTION("GOOGLETRANSLATE(B258,""ja"",""vi"")"),"Mí keo vv mục mí đôi")</f>
        <v>Mí keo vv mục mí đôi</v>
      </c>
      <c r="F258" s="4" t="str">
        <f ca="1">IFERROR(__xludf.DUMMYFUNCTION("GOOGLETRANSLATE(C258,""ja"",""vi"")"),"Đấu giá&gt; làm đẹp, chăm sóc sức khỏe&gt; ​​mỹ phẩm, chăm sóc da&gt; công cụ trang điểm, phụ kiện trang điểm&gt; Mí Keo, vv, các mục mí đôi")</f>
        <v>Đấu giá&gt; làm đẹp, chăm sóc sức khỏe&gt; ​​mỹ phẩm, chăm sóc da&gt; công cụ trang điểm, phụ kiện trang điểm&gt; Mí Keo, vv, các mục mí đôi</v>
      </c>
      <c r="G258" t="str">
        <f t="shared" ref="G258:G321" ca="1" si="4">CONCATENATE(CHAR(34)&amp;"",A258,""&amp;CHAR(34)," : ", CHAR(34)&amp;"",E258,""&amp;CHAR(34),",")</f>
        <v>"2084306756" : "Mí keo vv mục mí đôi",</v>
      </c>
    </row>
    <row r="259" spans="1:7" ht="15.75" customHeight="1">
      <c r="A259" s="28">
        <v>2084306759</v>
      </c>
      <c r="B259" s="28" t="s">
        <v>21188</v>
      </c>
      <c r="C259" s="28" t="s">
        <v>21189</v>
      </c>
      <c r="D259" s="28" t="s">
        <v>21191</v>
      </c>
      <c r="E259" s="4" t="str">
        <f ca="1">IFERROR(__xludf.DUMMYFUNCTION("GOOGLETRANSLATE(B259,""ja"",""vi"")"),"túi trang điểm")</f>
        <v>túi trang điểm</v>
      </c>
      <c r="F259" s="4" t="str">
        <f ca="1">IFERROR(__xludf.DUMMYFUNCTION("GOOGLETRANSLATE(C259,""ja"",""vi"")"),"Đấu giá&gt; làm đẹp, chăm sóc sức khỏe&gt; ​​mỹ phẩm, chăm sóc da&gt; công cụ trang điểm, phụ kiện trang điểm&gt; túi trang điểm")</f>
        <v>Đấu giá&gt; làm đẹp, chăm sóc sức khỏe&gt; ​​mỹ phẩm, chăm sóc da&gt; công cụ trang điểm, phụ kiện trang điểm&gt; túi trang điểm</v>
      </c>
      <c r="G259" t="str">
        <f t="shared" ca="1" si="4"/>
        <v>"2084306759" : "túi trang điểm",</v>
      </c>
    </row>
    <row r="260" spans="1:7" ht="15.75" customHeight="1">
      <c r="A260" s="28">
        <v>2084306757</v>
      </c>
      <c r="B260" s="28" t="s">
        <v>21193</v>
      </c>
      <c r="C260" s="28" t="s">
        <v>21194</v>
      </c>
      <c r="D260" s="28" t="s">
        <v>21195</v>
      </c>
      <c r="E260" s="4" t="str">
        <f ca="1">IFERROR(__xludf.DUMMYFUNCTION("GOOGLETRANSLATE(B260,""ja"",""vi"")"),"mỹ phẩm bằng bông")</f>
        <v>mỹ phẩm bằng bông</v>
      </c>
      <c r="F260" s="4" t="str">
        <f ca="1">IFERROR(__xludf.DUMMYFUNCTION("GOOGLETRANSLATE(C260,""ja"",""vi"")"),"Đấu giá&gt; làm đẹp, chăm sóc sức khỏe&gt; ​​mỹ phẩm, chăm sóc da&gt; công cụ trang điểm, phụ kiện trang điểm&gt; mỹ phẩm bông")</f>
        <v>Đấu giá&gt; làm đẹp, chăm sóc sức khỏe&gt; ​​mỹ phẩm, chăm sóc da&gt; công cụ trang điểm, phụ kiện trang điểm&gt; mỹ phẩm bông</v>
      </c>
      <c r="G260" t="str">
        <f t="shared" ca="1" si="4"/>
        <v>"2084306757" : "mỹ phẩm bằng bông",</v>
      </c>
    </row>
    <row r="261" spans="1:7" ht="15.75" customHeight="1">
      <c r="A261" s="28">
        <v>2084290039</v>
      </c>
      <c r="B261" s="28" t="s">
        <v>21197</v>
      </c>
      <c r="C261" s="28" t="s">
        <v>21198</v>
      </c>
      <c r="D261" s="28" t="s">
        <v>21199</v>
      </c>
      <c r="E261" s="4" t="str">
        <f ca="1">IFERROR(__xludf.DUMMYFUNCTION("GOOGLETRANSLATE(B261,""ja"",""vi"")"),"sản phẩm mặt, lăn trên khuôn mặt")</f>
        <v>sản phẩm mặt, lăn trên khuôn mặt</v>
      </c>
      <c r="F261" s="4" t="str">
        <f ca="1">IFERROR(__xludf.DUMMYFUNCTION("GOOGLETRANSLATE(C261,""ja"",""vi"")"),"Đấu giá&gt; làm đẹp, chăm sóc sức khỏe&gt; ​​mỹ phẩm, chăm sóc da&gt; công cụ trang điểm, phụ kiện trang điểm&gt; Sản phẩm mặt, lăn trên khuôn mặt")</f>
        <v>Đấu giá&gt; làm đẹp, chăm sóc sức khỏe&gt; ​​mỹ phẩm, chăm sóc da&gt; công cụ trang điểm, phụ kiện trang điểm&gt; Sản phẩm mặt, lăn trên khuôn mặt</v>
      </c>
      <c r="G261" t="str">
        <f t="shared" ca="1" si="4"/>
        <v>"2084290039" : "sản phẩm mặt, lăn trên khuôn mặt",</v>
      </c>
    </row>
    <row r="262" spans="1:7" ht="15.75" customHeight="1">
      <c r="A262" s="28">
        <v>2084306758</v>
      </c>
      <c r="B262" s="28" t="s">
        <v>21201</v>
      </c>
      <c r="C262" s="28" t="s">
        <v>21202</v>
      </c>
      <c r="D262" s="28" t="s">
        <v>21204</v>
      </c>
      <c r="E262" s="4" t="str">
        <f ca="1">IFERROR(__xludf.DUMMYFUNCTION("GOOGLETRANSLATE(B262,""ja"",""vi"")"),"cái nhíp nhổ tóc")</f>
        <v>cái nhíp nhổ tóc</v>
      </c>
      <c r="F262" s="4" t="str">
        <f ca="1">IFERROR(__xludf.DUMMYFUNCTION("GOOGLETRANSLATE(C262,""ja"",""vi"")"),"Đấu giá&gt; làm đẹp, chăm sóc sức khỏe&gt; ​​mỹ phẩm, chăm sóc da&gt; công cụ trang điểm, phụ kiện trang điểm&gt; nhíp")</f>
        <v>Đấu giá&gt; làm đẹp, chăm sóc sức khỏe&gt; ​​mỹ phẩm, chăm sóc da&gt; công cụ trang điểm, phụ kiện trang điểm&gt; nhíp</v>
      </c>
      <c r="G262" t="str">
        <f t="shared" ca="1" si="4"/>
        <v>"2084306758" : "cái nhíp nhổ tóc",</v>
      </c>
    </row>
    <row r="263" spans="1:7" ht="15.75" customHeight="1">
      <c r="A263" s="28">
        <v>2084263000</v>
      </c>
      <c r="B263" s="28" t="s">
        <v>21206</v>
      </c>
      <c r="C263" s="28" t="s">
        <v>21207</v>
      </c>
      <c r="D263" s="28" t="s">
        <v>21209</v>
      </c>
      <c r="E263" s="4" t="str">
        <f ca="1">IFERROR(__xludf.DUMMYFUNCTION("GOOGLETRANSLATE(B263,""ja"",""vi"")"),"mở rộng lông mi, lông mi giả")</f>
        <v>mở rộng lông mi, lông mi giả</v>
      </c>
      <c r="F263" s="4" t="str">
        <f ca="1">IFERROR(__xludf.DUMMYFUNCTION("GOOGLETRANSLATE(C263,""ja"",""vi"")"),"Đấu giá&gt; làm đẹp, chăm sóc sức khỏe&gt; ​​mỹ phẩm, chăm sóc da&gt; công cụ trang điểm, phụ kiện trang điểm&gt; mở rộng Eyelash, lông mi giả")</f>
        <v>Đấu giá&gt; làm đẹp, chăm sóc sức khỏe&gt; ​​mỹ phẩm, chăm sóc da&gt; công cụ trang điểm, phụ kiện trang điểm&gt; mở rộng Eyelash, lông mi giả</v>
      </c>
      <c r="G263" t="str">
        <f t="shared" ca="1" si="4"/>
        <v>"2084263000" : "mở rộng lông mi, lông mi giả",</v>
      </c>
    </row>
    <row r="264" spans="1:7" ht="15.75" customHeight="1">
      <c r="A264" s="28">
        <v>2084007465</v>
      </c>
      <c r="B264" s="28" t="s">
        <v>46</v>
      </c>
      <c r="C264" s="28" t="s">
        <v>21211</v>
      </c>
      <c r="D264" s="28" t="s">
        <v>21212</v>
      </c>
      <c r="E264" s="4" t="str">
        <f ca="1">IFERROR(__xludf.DUMMYFUNCTION("GOOGLETRANSLATE(B264,""ja"",""vi"")"),"nếu không thì")</f>
        <v>nếu không thì</v>
      </c>
      <c r="F264" s="4" t="str">
        <f ca="1">IFERROR(__xludf.DUMMYFUNCTION("GOOGLETRANSLATE(C264,""ja"",""vi"")"),"Đấu giá&gt; làm đẹp, chăm sóc sức khỏe&gt; ​​mỹ phẩm, chăm sóc da&gt; công cụ trang điểm, phụ kiện trang điểm&gt; Khác")</f>
        <v>Đấu giá&gt; làm đẹp, chăm sóc sức khỏe&gt; ​​mỹ phẩm, chăm sóc da&gt; công cụ trang điểm, phụ kiện trang điểm&gt; Khác</v>
      </c>
      <c r="G264" t="str">
        <f t="shared" ca="1" si="4"/>
        <v>"2084007465" : "nếu không thì",</v>
      </c>
    </row>
    <row r="265" spans="1:7" ht="15.75" customHeight="1">
      <c r="E265" s="4" t="str">
        <f ca="1">IFERROR(__xludf.DUMMYFUNCTION("GOOGLETRANSLATE(B265,""ja"",""vi"")"),"#VALUE!")</f>
        <v>#VALUE!</v>
      </c>
      <c r="F265" s="4" t="str">
        <f ca="1">IFERROR(__xludf.DUMMYFUNCTION("GOOGLETRANSLATE(C265,""ja"",""vi"")"),"#VALUE!")</f>
        <v>#VALUE!</v>
      </c>
      <c r="G265" t="str">
        <f t="shared" ca="1" si="4"/>
        <v>"" : "#VALUE!",</v>
      </c>
    </row>
    <row r="266" spans="1:7" ht="15.75" customHeight="1">
      <c r="A266" s="3">
        <v>2084290039</v>
      </c>
      <c r="B266" s="10"/>
      <c r="C266" s="10"/>
      <c r="D266" s="10"/>
      <c r="E266" s="4" t="str">
        <f ca="1">IFERROR(__xludf.DUMMYFUNCTION("GOOGLETRANSLATE(B266,""ja"",""vi"")"),"#VALUE!")</f>
        <v>#VALUE!</v>
      </c>
      <c r="F266" s="4" t="str">
        <f ca="1">IFERROR(__xludf.DUMMYFUNCTION("GOOGLETRANSLATE(C266,""ja"",""vi"")"),"#VALUE!")</f>
        <v>#VALUE!</v>
      </c>
      <c r="G266" t="str">
        <f t="shared" ca="1" si="4"/>
        <v>"2084290039" : "#VALUE!",</v>
      </c>
    </row>
    <row r="267" spans="1:7" ht="15.75" customHeight="1">
      <c r="A267" s="36">
        <v>2084306760</v>
      </c>
      <c r="B267" s="36" t="s">
        <v>21215</v>
      </c>
      <c r="C267" s="36" t="s">
        <v>21216</v>
      </c>
      <c r="D267" s="36" t="s">
        <v>21217</v>
      </c>
      <c r="E267" s="4" t="str">
        <f ca="1">IFERROR(__xludf.DUMMYFUNCTION("GOOGLETRANSLATE(B267,""ja"",""vi"")"),"mặt con lăn")</f>
        <v>mặt con lăn</v>
      </c>
      <c r="F267" s="4" t="str">
        <f ca="1">IFERROR(__xludf.DUMMYFUNCTION("GOOGLETRANSLATE(C267,""ja"",""vi"")"),"Đấu giá&gt; làm đẹp, chăm sóc sức khỏe&gt; ​​mỹ phẩm, chăm sóc da&gt; sản phẩm trên khuôn mặt, lăn trên khuôn mặt&gt; lăn trên khuôn mặt")</f>
        <v>Đấu giá&gt; làm đẹp, chăm sóc sức khỏe&gt; ​​mỹ phẩm, chăm sóc da&gt; sản phẩm trên khuôn mặt, lăn trên khuôn mặt&gt; lăn trên khuôn mặt</v>
      </c>
      <c r="G267" t="str">
        <f t="shared" ca="1" si="4"/>
        <v>"2084306760" : "mặt con lăn",</v>
      </c>
    </row>
    <row r="268" spans="1:7" ht="15.75" customHeight="1">
      <c r="A268" s="28">
        <v>2084306761</v>
      </c>
      <c r="B268" s="28" t="s">
        <v>21219</v>
      </c>
      <c r="C268" s="28" t="s">
        <v>21220</v>
      </c>
      <c r="D268" s="28" t="s">
        <v>21221</v>
      </c>
      <c r="E268" s="4" t="str">
        <f ca="1">IFERROR(__xludf.DUMMYFUNCTION("GOOGLETRANSLATE(B268,""ja"",""vi"")"),"Cassa tấm")</f>
        <v>Cassa tấm</v>
      </c>
      <c r="F268" s="4" t="str">
        <f ca="1">IFERROR(__xludf.DUMMYFUNCTION("GOOGLETRANSLATE(C268,""ja"",""vi"")"),"Đấu giá&gt; làm đẹp, chăm sóc sức khỏe&gt; ​​mỹ phẩm, chăm sóc da&gt; sản phẩm trên khuôn mặt, lăn trên khuôn mặt&gt; Cassa tấm")</f>
        <v>Đấu giá&gt; làm đẹp, chăm sóc sức khỏe&gt; ​​mỹ phẩm, chăm sóc da&gt; sản phẩm trên khuôn mặt, lăn trên khuôn mặt&gt; Cassa tấm</v>
      </c>
      <c r="G268" t="str">
        <f t="shared" ca="1" si="4"/>
        <v>"2084306761" : "Cassa tấm",</v>
      </c>
    </row>
    <row r="269" spans="1:7" ht="15.75" customHeight="1">
      <c r="A269" s="28">
        <v>2084306762</v>
      </c>
      <c r="B269" s="28" t="s">
        <v>21223</v>
      </c>
      <c r="C269" s="28" t="s">
        <v>21224</v>
      </c>
      <c r="D269" s="28" t="s">
        <v>21226</v>
      </c>
      <c r="E269" s="4" t="str">
        <f ca="1">IFERROR(__xludf.DUMMYFUNCTION("GOOGLETRANSLATE(B269,""ja"",""vi"")"),"vành đai khuôn mặt nhỏ nhắn, mặt nạ")</f>
        <v>vành đai khuôn mặt nhỏ nhắn, mặt nạ</v>
      </c>
      <c r="F269" s="4" t="str">
        <f ca="1">IFERROR(__xludf.DUMMYFUNCTION("GOOGLETRANSLATE(C269,""ja"",""vi"")"),"Đấu giá&gt; làm đẹp, chăm sóc sức khỏe&gt; ​​mỹ phẩm, chăm sóc da&gt; sản phẩm trên khuôn mặt, lăn trên khuôn mặt&gt; vành đai khuôn mặt nhỏ nhắn, mặt nạ")</f>
        <v>Đấu giá&gt; làm đẹp, chăm sóc sức khỏe&gt; ​​mỹ phẩm, chăm sóc da&gt; sản phẩm trên khuôn mặt, lăn trên khuôn mặt&gt; vành đai khuôn mặt nhỏ nhắn, mặt nạ</v>
      </c>
      <c r="G269" t="str">
        <f t="shared" ca="1" si="4"/>
        <v>"2084306762" : "vành đai khuôn mặt nhỏ nhắn, mặt nạ",</v>
      </c>
    </row>
    <row r="270" spans="1:7" ht="15.75" customHeight="1">
      <c r="A270" s="28">
        <v>2084306763</v>
      </c>
      <c r="B270" s="28" t="s">
        <v>46</v>
      </c>
      <c r="C270" s="28" t="s">
        <v>21228</v>
      </c>
      <c r="D270" s="28" t="s">
        <v>21229</v>
      </c>
      <c r="E270" s="4" t="str">
        <f ca="1">IFERROR(__xludf.DUMMYFUNCTION("GOOGLETRANSLATE(B270,""ja"",""vi"")"),"nếu không thì")</f>
        <v>nếu không thì</v>
      </c>
      <c r="F270" s="4" t="str">
        <f ca="1">IFERROR(__xludf.DUMMYFUNCTION("GOOGLETRANSLATE(C270,""ja"",""vi"")"),"Đấu giá&gt; làm đẹp, chăm sóc sức khỏe&gt; ​​mỹ phẩm, chăm sóc da&gt; sản phẩm trên khuôn mặt, lăn trên khuôn mặt&gt; Khác")</f>
        <v>Đấu giá&gt; làm đẹp, chăm sóc sức khỏe&gt; ​​mỹ phẩm, chăm sóc da&gt; sản phẩm trên khuôn mặt, lăn trên khuôn mặt&gt; Khác</v>
      </c>
      <c r="G270" t="str">
        <f t="shared" ca="1" si="4"/>
        <v>"2084306763" : "nếu không thì",</v>
      </c>
    </row>
    <row r="271" spans="1:7" ht="15.75" customHeight="1">
      <c r="A271" s="36">
        <v>2084059011</v>
      </c>
      <c r="B271" s="36" t="s">
        <v>20401</v>
      </c>
      <c r="C271" s="36" t="s">
        <v>21230</v>
      </c>
      <c r="D271" s="36" t="s">
        <v>21231</v>
      </c>
      <c r="E271" s="4" t="str">
        <f ca="1">IFERROR(__xludf.DUMMYFUNCTION("GOOGLETRANSLATE(B271,""ja"",""vi"")"),"DHC")</f>
        <v>DHC</v>
      </c>
      <c r="F271" s="4" t="str">
        <f ca="1">IFERROR(__xludf.DUMMYFUNCTION("GOOGLETRANSLATE(C271,""ja"",""vi"")"),"Đấu giá&gt; làm đẹp, chăm sóc sức khỏe&gt; ​​Chăm sóc móng tay&gt; màu móng tay&gt; DHC")</f>
        <v>Đấu giá&gt; làm đẹp, chăm sóc sức khỏe&gt; ​​Chăm sóc móng tay&gt; màu móng tay&gt; DHC</v>
      </c>
      <c r="G271" t="str">
        <f t="shared" ca="1" si="4"/>
        <v>"2084059011" : "DHC",</v>
      </c>
    </row>
    <row r="272" spans="1:7" ht="15.75" customHeight="1">
      <c r="A272" s="28">
        <v>2084059012</v>
      </c>
      <c r="B272" s="28" t="s">
        <v>20527</v>
      </c>
      <c r="C272" s="28" t="s">
        <v>21233</v>
      </c>
      <c r="D272" s="28" t="s">
        <v>21235</v>
      </c>
      <c r="E272" s="4" t="str">
        <f ca="1">IFERROR(__xludf.DUMMYFUNCTION("GOOGLETRANSLATE(B272,""ja"",""vi"")"),"MAC")</f>
        <v>MAC</v>
      </c>
      <c r="F272" s="4" t="str">
        <f ca="1">IFERROR(__xludf.DUMMYFUNCTION("GOOGLETRANSLATE(C272,""ja"",""vi"")"),"Đấu giá&gt; làm đẹp, chăm sóc sức khỏe&gt; ​​Chăm sóc móng tay&gt; màu móng tay&gt; MAC")</f>
        <v>Đấu giá&gt; làm đẹp, chăm sóc sức khỏe&gt; ​​Chăm sóc móng tay&gt; màu móng tay&gt; MAC</v>
      </c>
      <c r="G272" t="str">
        <f t="shared" ca="1" si="4"/>
        <v>"2084059012" : "MAC",</v>
      </c>
    </row>
    <row r="273" spans="1:7" ht="15.75" customHeight="1">
      <c r="A273" s="28">
        <v>2084060340</v>
      </c>
      <c r="B273" s="28" t="s">
        <v>21236</v>
      </c>
      <c r="C273" s="28" t="s">
        <v>21237</v>
      </c>
      <c r="D273" s="28" t="s">
        <v>21238</v>
      </c>
      <c r="E273" s="4" t="str">
        <f ca="1">IFERROR(__xludf.DUMMYFUNCTION("GOOGLETRANSLATE(B273,""ja"",""vi"")"),"O · P · Tôi")</f>
        <v>O · P · Tôi</v>
      </c>
      <c r="F273" s="4" t="str">
        <f ca="1">IFERROR(__xludf.DUMMYFUNCTION("GOOGLETRANSLATE(C273,""ja"",""vi"")"),"Đấu giá&gt; làm đẹp, chăm sóc sức khỏe&gt; ​​Chăm sóc móng tay&gt; màu móng tay&gt; O · P · Tôi")</f>
        <v>Đấu giá&gt; làm đẹp, chăm sóc sức khỏe&gt; ​​Chăm sóc móng tay&gt; màu móng tay&gt; O · P · Tôi</v>
      </c>
      <c r="G273" t="str">
        <f t="shared" ca="1" si="4"/>
        <v>"2084060340" : "O · P · Tôi",</v>
      </c>
    </row>
    <row r="274" spans="1:7" ht="15.75" customHeight="1">
      <c r="A274" s="28">
        <v>2084060341</v>
      </c>
      <c r="B274" s="28" t="s">
        <v>20166</v>
      </c>
      <c r="C274" s="28" t="s">
        <v>21240</v>
      </c>
      <c r="D274" s="28" t="s">
        <v>21242</v>
      </c>
      <c r="E274" s="4" t="str">
        <f ca="1">IFERROR(__xludf.DUMMYFUNCTION("GOOGLETRANSLATE(B274,""ja"",""vi"")"),"RMK")</f>
        <v>RMK</v>
      </c>
      <c r="F274" s="4" t="str">
        <f ca="1">IFERROR(__xludf.DUMMYFUNCTION("GOOGLETRANSLATE(C274,""ja"",""vi"")"),"Đấu giá&gt; làm đẹp, chăm sóc sức khỏe&gt; ​​Chăm sóc móng tay&gt; màu móng tay&gt; RMK")</f>
        <v>Đấu giá&gt; làm đẹp, chăm sóc sức khỏe&gt; ​​Chăm sóc móng tay&gt; màu móng tay&gt; RMK</v>
      </c>
      <c r="G274" t="str">
        <f t="shared" ca="1" si="4"/>
        <v>"2084060341" : "RMK",</v>
      </c>
    </row>
    <row r="275" spans="1:7" ht="15.75" customHeight="1">
      <c r="A275" s="28">
        <v>2084064012</v>
      </c>
      <c r="B275" s="28" t="s">
        <v>21244</v>
      </c>
      <c r="C275" s="28" t="s">
        <v>21245</v>
      </c>
      <c r="D275" s="28" t="s">
        <v>21246</v>
      </c>
      <c r="E275" s="4" t="str">
        <f ca="1">IFERROR(__xludf.DUMMYFUNCTION("GOOGLETRANSLATE(B275,""ja"",""vi"")"),"Essie")</f>
        <v>Essie</v>
      </c>
      <c r="F275" s="4" t="str">
        <f ca="1">IFERROR(__xludf.DUMMYFUNCTION("GOOGLETRANSLATE(C275,""ja"",""vi"")"),"Đấu giá&gt; làm đẹp, chăm sóc sức khỏe&gt; ​​Chăm sóc móng tay&gt; màu móng tay&gt; Essie")</f>
        <v>Đấu giá&gt; làm đẹp, chăm sóc sức khỏe&gt; ​​Chăm sóc móng tay&gt; màu móng tay&gt; Essie</v>
      </c>
      <c r="G275" t="str">
        <f t="shared" ca="1" si="4"/>
        <v>"2084064012" : "Essie",</v>
      </c>
    </row>
    <row r="276" spans="1:7" ht="15.75" customHeight="1">
      <c r="A276" s="28">
        <v>2084059013</v>
      </c>
      <c r="B276" s="28" t="s">
        <v>8795</v>
      </c>
      <c r="C276" s="28" t="s">
        <v>21248</v>
      </c>
      <c r="D276" s="28" t="s">
        <v>21249</v>
      </c>
      <c r="E276" s="4" t="str">
        <f ca="1">IFERROR(__xludf.DUMMYFUNCTION("GOOGLETRANSLATE(B276,""ja"",""vi"")"),"Anna Sui")</f>
        <v>Anna Sui</v>
      </c>
      <c r="F276" s="4" t="str">
        <f ca="1">IFERROR(__xludf.DUMMYFUNCTION("GOOGLETRANSLATE(C276,""ja"",""vi"")"),"Đấu giá&gt; làm đẹp, chăm sóc sức khỏe&gt; ​​Chăm sóc móng tay&gt; màu móng tay&gt; Anna Sui")</f>
        <v>Đấu giá&gt; làm đẹp, chăm sóc sức khỏe&gt; ​​Chăm sóc móng tay&gt; màu móng tay&gt; Anna Sui</v>
      </c>
      <c r="G276" t="str">
        <f t="shared" ca="1" si="4"/>
        <v>"2084059013" : "Anna Sui",</v>
      </c>
    </row>
    <row r="277" spans="1:7" ht="15.75" customHeight="1">
      <c r="A277" s="28">
        <v>2084060339</v>
      </c>
      <c r="B277" s="28" t="s">
        <v>8809</v>
      </c>
      <c r="C277" s="28" t="s">
        <v>21251</v>
      </c>
      <c r="D277" s="28" t="s">
        <v>21252</v>
      </c>
      <c r="E277" s="4" t="str">
        <f ca="1">IFERROR(__xludf.DUMMYFUNCTION("GOOGLETRANSLATE(B277,""ja"",""vi"")"),"Aniesube")</f>
        <v>Aniesube</v>
      </c>
      <c r="F277" s="4" t="str">
        <f ca="1">IFERROR(__xludf.DUMMYFUNCTION("GOOGLETRANSLATE(C277,""ja"",""vi"")"),"Đấu giá&gt; làm đẹp, chăm sóc sức khỏe&gt; ​​Chăm sóc móng tay&gt; màu móng tay&gt; Aniesube")</f>
        <v>Đấu giá&gt; làm đẹp, chăm sóc sức khỏe&gt; ​​Chăm sóc móng tay&gt; màu móng tay&gt; Aniesube</v>
      </c>
      <c r="G277" t="str">
        <f t="shared" ca="1" si="4"/>
        <v>"2084060339" : "Aniesube",</v>
      </c>
    </row>
    <row r="278" spans="1:7" ht="15.75" customHeight="1">
      <c r="A278" s="28">
        <v>2084059014</v>
      </c>
      <c r="B278" s="28" t="s">
        <v>20236</v>
      </c>
      <c r="C278" s="28" t="s">
        <v>21254</v>
      </c>
      <c r="D278" s="28" t="s">
        <v>21255</v>
      </c>
      <c r="E278" s="4" t="str">
        <f ca="1">IFERROR(__xludf.DUMMYFUNCTION("GOOGLETRANSLATE(B278,""ja"",""vi"")"),"Ayura")</f>
        <v>Ayura</v>
      </c>
      <c r="F278" s="4" t="str">
        <f ca="1">IFERROR(__xludf.DUMMYFUNCTION("GOOGLETRANSLATE(C278,""ja"",""vi"")"),"Đấu giá&gt; làm đẹp, chăm sóc sức khỏe&gt; ​​Chăm sóc móng tay&gt; màu móng tay&gt; Ayura")</f>
        <v>Đấu giá&gt; làm đẹp, chăm sóc sức khỏe&gt; ​​Chăm sóc móng tay&gt; màu móng tay&gt; Ayura</v>
      </c>
      <c r="G278" t="str">
        <f t="shared" ca="1" si="4"/>
        <v>"2084059014" : "Ayura",</v>
      </c>
    </row>
    <row r="279" spans="1:7" ht="15.75" customHeight="1">
      <c r="A279" s="28">
        <v>2084059016</v>
      </c>
      <c r="B279" s="28" t="s">
        <v>20257</v>
      </c>
      <c r="C279" s="28" t="s">
        <v>21258</v>
      </c>
      <c r="D279" s="28" t="s">
        <v>21259</v>
      </c>
      <c r="E279" s="4" t="str">
        <f ca="1">IFERROR(__xludf.DUMMYFUNCTION("GOOGLETRANSLATE(B279,""ja"",""vi"")"),"IPSA")</f>
        <v>IPSA</v>
      </c>
      <c r="F279" s="4" t="str">
        <f ca="1">IFERROR(__xludf.DUMMYFUNCTION("GOOGLETRANSLATE(C279,""ja"",""vi"")"),"Đấu giá&gt; làm đẹp, chăm sóc sức khỏe&gt; ​​Chăm sóc móng tay&gt; màu móng tay&gt; IPSA")</f>
        <v>Đấu giá&gt; làm đẹp, chăm sóc sức khỏe&gt; ​​Chăm sóc móng tay&gt; màu móng tay&gt; IPSA</v>
      </c>
      <c r="G279" t="str">
        <f t="shared" ca="1" si="4"/>
        <v>"2084059016" : "IPSA",</v>
      </c>
    </row>
    <row r="280" spans="1:7" ht="15.75" customHeight="1">
      <c r="A280" s="28">
        <v>2084059015</v>
      </c>
      <c r="B280" s="28" t="s">
        <v>9050</v>
      </c>
      <c r="C280" s="28" t="s">
        <v>21261</v>
      </c>
      <c r="D280" s="28" t="s">
        <v>21262</v>
      </c>
      <c r="E280" s="4" t="str">
        <f ca="1">IFERROR(__xludf.DUMMYFUNCTION("GOOGLETRANSLATE(B280,""ja"",""vi"")"),"Yves Saint Laurent")</f>
        <v>Yves Saint Laurent</v>
      </c>
      <c r="F280" s="4" t="str">
        <f ca="1">IFERROR(__xludf.DUMMYFUNCTION("GOOGLETRANSLATE(C280,""ja"",""vi"")"),"Đấu giá&gt; làm đẹp, chăm sóc sức khỏe&gt; ​​Chăm sóc móng tay&gt; màu móng tay&gt; Yves Saint Laurent")</f>
        <v>Đấu giá&gt; làm đẹp, chăm sóc sức khỏe&gt; ​​Chăm sóc móng tay&gt; màu móng tay&gt; Yves Saint Laurent</v>
      </c>
      <c r="G280" t="str">
        <f t="shared" ca="1" si="4"/>
        <v>"2084059015" : "Yves Saint Laurent",</v>
      </c>
    </row>
    <row r="281" spans="1:7" ht="15.75" customHeight="1">
      <c r="A281" s="28">
        <v>2084059017</v>
      </c>
      <c r="B281" s="28" t="s">
        <v>19664</v>
      </c>
      <c r="C281" s="28" t="s">
        <v>21264</v>
      </c>
      <c r="D281" s="28" t="s">
        <v>21265</v>
      </c>
      <c r="E281" s="4" t="str">
        <f ca="1">IFERROR(__xludf.DUMMYFUNCTION("GOOGLETRANSLATE(B281,""ja"",""vi"")"),"Estee Lauder")</f>
        <v>Estee Lauder</v>
      </c>
      <c r="F281" s="4" t="str">
        <f ca="1">IFERROR(__xludf.DUMMYFUNCTION("GOOGLETRANSLATE(C281,""ja"",""vi"")"),"Đấu giá&gt; làm đẹp, chăm sóc sức khỏe&gt; ​​Chăm sóc móng tay&gt; màu móng tay&gt; Estee Lauder")</f>
        <v>Đấu giá&gt; làm đẹp, chăm sóc sức khỏe&gt; ​​Chăm sóc móng tay&gt; màu móng tay&gt; Estee Lauder</v>
      </c>
      <c r="G281" t="str">
        <f t="shared" ca="1" si="4"/>
        <v>"2084059017" : "Estee Lauder",</v>
      </c>
    </row>
    <row r="282" spans="1:7" ht="15.75" customHeight="1">
      <c r="A282" s="28">
        <v>2084059018</v>
      </c>
      <c r="B282" s="28" t="s">
        <v>19670</v>
      </c>
      <c r="C282" s="28" t="s">
        <v>21267</v>
      </c>
      <c r="D282" s="28" t="s">
        <v>21268</v>
      </c>
      <c r="E282" s="4" t="str">
        <f ca="1">IFERROR(__xludf.DUMMYFUNCTION("GOOGLETRANSLATE(B282,""ja"",""vi"")"),"Elizabeth Arden")</f>
        <v>Elizabeth Arden</v>
      </c>
      <c r="F282" s="4" t="str">
        <f ca="1">IFERROR(__xludf.DUMMYFUNCTION("GOOGLETRANSLATE(C282,""ja"",""vi"")"),"Đấu giá&gt; làm đẹp, chăm sóc sức khỏe&gt; ​​Chăm sóc móng tay&gt; màu móng tay&gt; Elizabeth Arden")</f>
        <v>Đấu giá&gt; làm đẹp, chăm sóc sức khỏe&gt; ​​Chăm sóc móng tay&gt; màu móng tay&gt; Elizabeth Arden</v>
      </c>
      <c r="G282" t="str">
        <f t="shared" ca="1" si="4"/>
        <v>"2084059018" : "Elizabeth Arden",</v>
      </c>
    </row>
    <row r="283" spans="1:7" ht="15.75" customHeight="1">
      <c r="A283" s="28">
        <v>2084059020</v>
      </c>
      <c r="B283" s="28" t="s">
        <v>9858</v>
      </c>
      <c r="C283" s="28" t="s">
        <v>21270</v>
      </c>
      <c r="D283" s="28" t="s">
        <v>21271</v>
      </c>
      <c r="E283" s="4" t="str">
        <f ca="1">IFERROR(__xludf.DUMMYFUNCTION("GOOGLETRANSLATE(B283,""ja"",""vi"")"),"Christian Dior")</f>
        <v>Christian Dior</v>
      </c>
      <c r="F283" s="4" t="str">
        <f ca="1">IFERROR(__xludf.DUMMYFUNCTION("GOOGLETRANSLATE(C283,""ja"",""vi"")"),"Đấu giá&gt; làm đẹp, chăm sóc sức khỏe&gt; ​​Chăm sóc móng tay&gt; màu móng tay&gt; Christian Dior")</f>
        <v>Đấu giá&gt; làm đẹp, chăm sóc sức khỏe&gt; ​​Chăm sóc móng tay&gt; màu móng tay&gt; Christian Dior</v>
      </c>
      <c r="G283" t="str">
        <f t="shared" ca="1" si="4"/>
        <v>"2084059020" : "Christian Dior",</v>
      </c>
    </row>
    <row r="284" spans="1:7" ht="15.75" customHeight="1">
      <c r="A284" s="28">
        <v>2084059021</v>
      </c>
      <c r="B284" s="28" t="s">
        <v>19700</v>
      </c>
      <c r="C284" s="28" t="s">
        <v>21273</v>
      </c>
      <c r="D284" s="28" t="s">
        <v>21275</v>
      </c>
      <c r="E284" s="4" t="str">
        <f ca="1">IFERROR(__xludf.DUMMYFUNCTION("GOOGLETRANSLATE(B284,""ja"",""vi"")"),"Clinique")</f>
        <v>Clinique</v>
      </c>
      <c r="F284" s="4" t="str">
        <f ca="1">IFERROR(__xludf.DUMMYFUNCTION("GOOGLETRANSLATE(C284,""ja"",""vi"")"),"Đấu giá&gt; làm đẹp, chăm sóc sức khỏe&gt; ​​Chăm sóc móng tay&gt; màu móng tay&gt; Clinique")</f>
        <v>Đấu giá&gt; làm đẹp, chăm sóc sức khỏe&gt; ​​Chăm sóc móng tay&gt; màu móng tay&gt; Clinique</v>
      </c>
      <c r="G284" t="str">
        <f t="shared" ca="1" si="4"/>
        <v>"2084059021" : "Clinique",</v>
      </c>
    </row>
    <row r="285" spans="1:7" ht="15.75" customHeight="1">
      <c r="A285" s="28">
        <v>2084059022</v>
      </c>
      <c r="B285" s="28" t="s">
        <v>20346</v>
      </c>
      <c r="C285" s="28" t="s">
        <v>21277</v>
      </c>
      <c r="D285" s="28" t="s">
        <v>21278</v>
      </c>
      <c r="E285" s="4" t="str">
        <f ca="1">IFERROR(__xludf.DUMMYFUNCTION("GOOGLETRANSLATE(B285,""ja"",""vi"")"),"Kesaran Pasaran")</f>
        <v>Kesaran Pasaran</v>
      </c>
      <c r="F285" s="4" t="str">
        <f ca="1">IFERROR(__xludf.DUMMYFUNCTION("GOOGLETRANSLATE(C285,""ja"",""vi"")"),"Đấu giá&gt; làm đẹp, chăm sóc sức khỏe&gt; ​​Chăm sóc móng tay&gt; màu móng tay&gt; Kesaran Pasaran")</f>
        <v>Đấu giá&gt; làm đẹp, chăm sóc sức khỏe&gt; ​​Chăm sóc móng tay&gt; màu móng tay&gt; Kesaran Pasaran</v>
      </c>
      <c r="G285" t="str">
        <f t="shared" ca="1" si="4"/>
        <v>"2084059022" : "Kesaran Pasaran",</v>
      </c>
    </row>
    <row r="286" spans="1:7" ht="15.75" customHeight="1">
      <c r="A286" s="28">
        <v>2084059024</v>
      </c>
      <c r="B286" s="28" t="s">
        <v>10288</v>
      </c>
      <c r="C286" s="28" t="s">
        <v>21281</v>
      </c>
      <c r="D286" s="28" t="s">
        <v>21282</v>
      </c>
      <c r="E286" s="4" t="str">
        <f ca="1">IFERROR(__xludf.DUMMYFUNCTION("GOOGLETRANSLATE(B286,""ja"",""vi"")"),"Chanel")</f>
        <v>Chanel</v>
      </c>
      <c r="F286" s="4" t="str">
        <f ca="1">IFERROR(__xludf.DUMMYFUNCTION("GOOGLETRANSLATE(C286,""ja"",""vi"")"),"Đấu giá&gt; làm đẹp, chăm sóc sức khỏe&gt; ​​Chăm sóc móng tay&gt; màu móng tay&gt; Chanel")</f>
        <v>Đấu giá&gt; làm đẹp, chăm sóc sức khỏe&gt; ​​Chăm sóc móng tay&gt; màu móng tay&gt; Chanel</v>
      </c>
      <c r="G286" t="str">
        <f t="shared" ca="1" si="4"/>
        <v>"2084059024" : "Chanel",</v>
      </c>
    </row>
    <row r="287" spans="1:7" ht="15.75" customHeight="1">
      <c r="A287" s="28">
        <v>2084243962</v>
      </c>
      <c r="B287" s="28" t="s">
        <v>10446</v>
      </c>
      <c r="C287" s="28" t="s">
        <v>21284</v>
      </c>
      <c r="D287" s="28" t="s">
        <v>21285</v>
      </c>
      <c r="E287" s="4" t="str">
        <f ca="1">IFERROR(__xludf.DUMMYFUNCTION("GOOGLETRANSLATE(B287,""ja"",""vi"")"),"Jill Stuart")</f>
        <v>Jill Stuart</v>
      </c>
      <c r="F287" s="4" t="str">
        <f ca="1">IFERROR(__xludf.DUMMYFUNCTION("GOOGLETRANSLATE(C287,""ja"",""vi"")"),"Đấu giá&gt; làm đẹp, chăm sóc sức khỏe&gt; ​​Chăm sóc móng tay&gt; màu móng tay&gt; Jill Stuart")</f>
        <v>Đấu giá&gt; làm đẹp, chăm sóc sức khỏe&gt; ​​Chăm sóc móng tay&gt; màu móng tay&gt; Jill Stuart</v>
      </c>
      <c r="G287" t="str">
        <f t="shared" ca="1" si="4"/>
        <v>"2084243962" : "Jill Stuart",</v>
      </c>
    </row>
    <row r="288" spans="1:7" ht="15.75" customHeight="1">
      <c r="A288" s="28">
        <v>2084059025</v>
      </c>
      <c r="B288" s="28" t="s">
        <v>20502</v>
      </c>
      <c r="C288" s="28" t="s">
        <v>21287</v>
      </c>
      <c r="D288" s="28" t="s">
        <v>21288</v>
      </c>
      <c r="E288" s="4" t="str">
        <f ca="1">IFERROR(__xludf.DUMMYFUNCTION("GOOGLETRANSLATE(B288,""ja"",""vi"")"),"Helena Rubinstein")</f>
        <v>Helena Rubinstein</v>
      </c>
      <c r="F288" s="4" t="str">
        <f ca="1">IFERROR(__xludf.DUMMYFUNCTION("GOOGLETRANSLATE(C288,""ja"",""vi"")"),"Đấu giá&gt; làm đẹp, chăm sóc sức khỏe&gt; ​​Chăm sóc móng tay&gt; màu móng tay&gt; Helena Rubinstein")</f>
        <v>Đấu giá&gt; làm đẹp, chăm sóc sức khỏe&gt; ​​Chăm sóc móng tay&gt; màu móng tay&gt; Helena Rubinstein</v>
      </c>
      <c r="G288" t="str">
        <f t="shared" ca="1" si="4"/>
        <v>"2084059025" : "Helena Rubinstein",</v>
      </c>
    </row>
    <row r="289" spans="1:7" ht="15.75" customHeight="1">
      <c r="A289" s="28">
        <v>2084226974</v>
      </c>
      <c r="B289" s="28" t="s">
        <v>12253</v>
      </c>
      <c r="C289" s="28" t="s">
        <v>21290</v>
      </c>
      <c r="D289" s="28" t="s">
        <v>21292</v>
      </c>
      <c r="E289" s="4" t="str">
        <f ca="1">IFERROR(__xludf.DUMMYFUNCTION("GOOGLETRANSLATE(B289,""ja"",""vi"")"),"Paul &amp; Joe")</f>
        <v>Paul &amp; Joe</v>
      </c>
      <c r="F289" s="4" t="str">
        <f ca="1">IFERROR(__xludf.DUMMYFUNCTION("GOOGLETRANSLATE(C289,""ja"",""vi"")"),"Đấu giá&gt; làm đẹp, chăm sóc sức khỏe&gt; ​​Chăm sóc móng tay&gt; màu móng tay&gt; Paul &amp; Joe")</f>
        <v>Đấu giá&gt; làm đẹp, chăm sóc sức khỏe&gt; ​​Chăm sóc móng tay&gt; màu móng tay&gt; Paul &amp; Joe</v>
      </c>
      <c r="G289" t="str">
        <f t="shared" ca="1" si="4"/>
        <v>"2084226974" : "Paul &amp; Joe",</v>
      </c>
    </row>
    <row r="290" spans="1:7" ht="15.75" customHeight="1">
      <c r="A290" s="28">
        <v>2084059026</v>
      </c>
      <c r="B290" s="28" t="s">
        <v>20546</v>
      </c>
      <c r="C290" s="28" t="s">
        <v>21294</v>
      </c>
      <c r="D290" s="28" t="s">
        <v>21295</v>
      </c>
      <c r="E290" s="4" t="str">
        <f ca="1">IFERROR(__xludf.DUMMYFUNCTION("GOOGLETRANSLATE(B290,""ja"",""vi"")"),"Maybelline")</f>
        <v>Maybelline</v>
      </c>
      <c r="F290" s="4" t="str">
        <f ca="1">IFERROR(__xludf.DUMMYFUNCTION("GOOGLETRANSLATE(C290,""ja"",""vi"")"),"Đấu giá&gt; làm đẹp, chăm sóc sức khỏe&gt; ​​Chăm sóc móng tay&gt; màu móng tay&gt; Maybelline")</f>
        <v>Đấu giá&gt; làm đẹp, chăm sóc sức khỏe&gt; ​​Chăm sóc móng tay&gt; màu móng tay&gt; Maybelline</v>
      </c>
      <c r="G290" t="str">
        <f t="shared" ca="1" si="4"/>
        <v>"2084059026" : "Maybelline",</v>
      </c>
    </row>
    <row r="291" spans="1:7" ht="15.75" customHeight="1">
      <c r="A291" s="28">
        <v>2084059027</v>
      </c>
      <c r="B291" s="28" t="s">
        <v>20550</v>
      </c>
      <c r="C291" s="28" t="s">
        <v>21297</v>
      </c>
      <c r="D291" s="28" t="s">
        <v>21298</v>
      </c>
      <c r="E291" s="4" t="str">
        <f ca="1">IFERROR(__xludf.DUMMYFUNCTION("GOOGLETRANSLATE(B291,""ja"",""vi"")"),"Menard")</f>
        <v>Menard</v>
      </c>
      <c r="F291" s="4" t="str">
        <f ca="1">IFERROR(__xludf.DUMMYFUNCTION("GOOGLETRANSLATE(C291,""ja"",""vi"")"),"Đấu giá&gt; làm đẹp, chăm sóc sức khỏe&gt; ​​Chăm sóc móng tay&gt; màu móng tay&gt; Menard")</f>
        <v>Đấu giá&gt; làm đẹp, chăm sóc sức khỏe&gt; ​​Chăm sóc móng tay&gt; màu móng tay&gt; Menard</v>
      </c>
      <c r="G291" t="str">
        <f t="shared" ca="1" si="4"/>
        <v>"2084059027" : "Menard",</v>
      </c>
    </row>
    <row r="292" spans="1:7" ht="15.75" customHeight="1">
      <c r="A292" s="28">
        <v>2084059028</v>
      </c>
      <c r="B292" s="28" t="s">
        <v>19898</v>
      </c>
      <c r="C292" s="28" t="s">
        <v>21300</v>
      </c>
      <c r="D292" s="28" t="s">
        <v>21302</v>
      </c>
      <c r="E292" s="4" t="str">
        <f ca="1">IFERROR(__xludf.DUMMYFUNCTION("GOOGLETRANSLATE(B292,""ja"",""vi"")"),"Lancome")</f>
        <v>Lancome</v>
      </c>
      <c r="F292" s="4" t="str">
        <f ca="1">IFERROR(__xludf.DUMMYFUNCTION("GOOGLETRANSLATE(C292,""ja"",""vi"")"),"Đấu giá&gt; làm đẹp, chăm sóc sức khỏe&gt; ​​Chăm sóc móng tay&gt; màu móng tay&gt; Lancome")</f>
        <v>Đấu giá&gt; làm đẹp, chăm sóc sức khỏe&gt; ​​Chăm sóc móng tay&gt; màu móng tay&gt; Lancome</v>
      </c>
      <c r="G292" t="str">
        <f t="shared" ca="1" si="4"/>
        <v>"2084059028" : "Lancome",</v>
      </c>
    </row>
    <row r="293" spans="1:7" ht="15.75" customHeight="1">
      <c r="A293" s="28">
        <v>2084059029</v>
      </c>
      <c r="B293" s="28" t="s">
        <v>20571</v>
      </c>
      <c r="C293" s="28" t="s">
        <v>21304</v>
      </c>
      <c r="D293" s="28" t="s">
        <v>21305</v>
      </c>
      <c r="E293" s="4" t="str">
        <f ca="1">IFERROR(__xludf.DUMMYFUNCTION("GOOGLETRANSLATE(B293,""ja"",""vi"")"),"Revlon")</f>
        <v>Revlon</v>
      </c>
      <c r="F293" s="4" t="str">
        <f ca="1">IFERROR(__xludf.DUMMYFUNCTION("GOOGLETRANSLATE(C293,""ja"",""vi"")"),"Đấu giá&gt; làm đẹp, chăm sóc sức khỏe&gt; ​​Chăm sóc móng tay&gt; màu móng tay&gt; Revlon")</f>
        <v>Đấu giá&gt; làm đẹp, chăm sóc sức khỏe&gt; ​​Chăm sóc móng tay&gt; màu móng tay&gt; Revlon</v>
      </c>
      <c r="G293" t="str">
        <f t="shared" ca="1" si="4"/>
        <v>"2084059029" : "Revlon",</v>
      </c>
    </row>
    <row r="294" spans="1:7" ht="15.75" customHeight="1">
      <c r="A294" s="28">
        <v>2084059031</v>
      </c>
      <c r="B294" s="28" t="s">
        <v>46</v>
      </c>
      <c r="C294" s="28" t="s">
        <v>21307</v>
      </c>
      <c r="D294" s="28" t="s">
        <v>21308</v>
      </c>
      <c r="E294" s="4" t="str">
        <f ca="1">IFERROR(__xludf.DUMMYFUNCTION("GOOGLETRANSLATE(B294,""ja"",""vi"")"),"nếu không thì")</f>
        <v>nếu không thì</v>
      </c>
      <c r="F294" s="4" t="str">
        <f ca="1">IFERROR(__xludf.DUMMYFUNCTION("GOOGLETRANSLATE(C294,""ja"",""vi"")"),"Đấu giá&gt; làm đẹp, chăm sóc sức khỏe&gt; ​​Chăm sóc móng tay&gt; màu móng tay&gt; Khác")</f>
        <v>Đấu giá&gt; làm đẹp, chăm sóc sức khỏe&gt; ​​Chăm sóc móng tay&gt; màu móng tay&gt; Khác</v>
      </c>
      <c r="G294" t="str">
        <f t="shared" ca="1" si="4"/>
        <v>"2084059031" : "nếu không thì",</v>
      </c>
    </row>
    <row r="295" spans="1:7" ht="15.75" customHeight="1">
      <c r="A295" s="36">
        <v>2084007486</v>
      </c>
      <c r="B295" s="36" t="s">
        <v>8795</v>
      </c>
      <c r="C295" s="36" t="s">
        <v>19644</v>
      </c>
      <c r="D295" s="36" t="s">
        <v>21310</v>
      </c>
      <c r="E295" s="4" t="str">
        <f ca="1">IFERROR(__xludf.DUMMYFUNCTION("GOOGLETRANSLATE(B295,""ja"",""vi"")"),"Anna Sui")</f>
        <v>Anna Sui</v>
      </c>
      <c r="F295" s="4" t="str">
        <f ca="1">IFERROR(__xludf.DUMMYFUNCTION("GOOGLETRANSLATE(C295,""ja"",""vi"")"),"Đấu giá&gt; làm đẹp, chăm sóc sức khỏe&gt; ​​nước hoa, hương thơm&gt; cho phụ nữ&gt; Anna Sui")</f>
        <v>Đấu giá&gt; làm đẹp, chăm sóc sức khỏe&gt; ​​nước hoa, hương thơm&gt; cho phụ nữ&gt; Anna Sui</v>
      </c>
      <c r="G295" t="str">
        <f t="shared" ca="1" si="4"/>
        <v>"2084007486" : "Anna Sui",</v>
      </c>
    </row>
    <row r="296" spans="1:7" ht="15.75" customHeight="1">
      <c r="A296" s="28">
        <v>2084053242</v>
      </c>
      <c r="B296" s="28" t="s">
        <v>8916</v>
      </c>
      <c r="C296" s="28" t="s">
        <v>19648</v>
      </c>
      <c r="D296" s="28" t="s">
        <v>21312</v>
      </c>
      <c r="E296" s="4" t="str">
        <f ca="1">IFERROR(__xludf.DUMMYFUNCTION("GOOGLETRANSLATE(B296,""ja"",""vi"")"),"Armani")</f>
        <v>Armani</v>
      </c>
      <c r="F296" s="4" t="str">
        <f ca="1">IFERROR(__xludf.DUMMYFUNCTION("GOOGLETRANSLATE(C296,""ja"",""vi"")"),"Đấu giá&gt; làm đẹp, chăm sóc sức khỏe&gt; ​​nước hoa, hương thơm&gt; cho phụ nữ&gt; Armani")</f>
        <v>Đấu giá&gt; làm đẹp, chăm sóc sức khỏe&gt; ​​nước hoa, hương thơm&gt; cho phụ nữ&gt; Armani</v>
      </c>
      <c r="G296" t="str">
        <f t="shared" ca="1" si="4"/>
        <v>"2084053242" : "Armani",</v>
      </c>
    </row>
    <row r="297" spans="1:7" ht="15.75" customHeight="1">
      <c r="A297" s="28">
        <v>2084007445</v>
      </c>
      <c r="B297" s="28" t="s">
        <v>19653</v>
      </c>
      <c r="C297" s="28" t="s">
        <v>19655</v>
      </c>
      <c r="D297" s="28" t="s">
        <v>21314</v>
      </c>
      <c r="E297" s="4" t="str">
        <f ca="1">IFERROR(__xludf.DUMMYFUNCTION("GOOGLETRANSLATE(B297,""ja"",""vi"")"),"Yves Saint Laurent")</f>
        <v>Yves Saint Laurent</v>
      </c>
      <c r="F297" s="4" t="str">
        <f ca="1">IFERROR(__xludf.DUMMYFUNCTION("GOOGLETRANSLATE(C297,""ja"",""vi"")"),"Đấu giá&gt; làm đẹp, chăm sóc sức khỏe&gt; ​​nước hoa, hương thơm&gt; cho phụ nữ&gt; Yves Saint Laurent")</f>
        <v>Đấu giá&gt; làm đẹp, chăm sóc sức khỏe&gt; ​​nước hoa, hương thơm&gt; cho phụ nữ&gt; Yves Saint Laurent</v>
      </c>
      <c r="G297" t="str">
        <f t="shared" ca="1" si="4"/>
        <v>"2084007445" : "Yves Saint Laurent",</v>
      </c>
    </row>
    <row r="298" spans="1:7" ht="15.75" customHeight="1">
      <c r="A298" s="28">
        <v>2084053237</v>
      </c>
      <c r="B298" s="28" t="s">
        <v>9277</v>
      </c>
      <c r="C298" s="28" t="s">
        <v>19661</v>
      </c>
      <c r="D298" s="28" t="s">
        <v>21318</v>
      </c>
      <c r="E298" s="4" t="str">
        <f ca="1">IFERROR(__xludf.DUMMYFUNCTION("GOOGLETRANSLATE(B298,""ja"",""vi"")"),"Escada")</f>
        <v>Escada</v>
      </c>
      <c r="F298" s="4" t="str">
        <f ca="1">IFERROR(__xludf.DUMMYFUNCTION("GOOGLETRANSLATE(C298,""ja"",""vi"")"),"Đấu giá&gt; làm đẹp, chăm sóc sức khỏe&gt; ​​nước hoa, hương thơm&gt; cho phụ nữ&gt; Escada")</f>
        <v>Đấu giá&gt; làm đẹp, chăm sóc sức khỏe&gt; ​​nước hoa, hương thơm&gt; cho phụ nữ&gt; Escada</v>
      </c>
      <c r="G298" t="str">
        <f t="shared" ca="1" si="4"/>
        <v>"2084053237" : "Escada",</v>
      </c>
    </row>
    <row r="299" spans="1:7" ht="15.75" customHeight="1">
      <c r="A299" s="28">
        <v>2084053255</v>
      </c>
      <c r="B299" s="28" t="s">
        <v>19664</v>
      </c>
      <c r="C299" s="28" t="s">
        <v>19666</v>
      </c>
      <c r="D299" s="28" t="s">
        <v>21321</v>
      </c>
      <c r="E299" s="4" t="str">
        <f ca="1">IFERROR(__xludf.DUMMYFUNCTION("GOOGLETRANSLATE(B299,""ja"",""vi"")"),"Estee Lauder")</f>
        <v>Estee Lauder</v>
      </c>
      <c r="F299" s="4" t="str">
        <f ca="1">IFERROR(__xludf.DUMMYFUNCTION("GOOGLETRANSLATE(C299,""ja"",""vi"")"),"Đấu giá&gt; làm đẹp, chăm sóc sức khỏe&gt; ​​nước hoa, hương thơm&gt; cho phụ nữ&gt; Estee Lauder")</f>
        <v>Đấu giá&gt; làm đẹp, chăm sóc sức khỏe&gt; ​​nước hoa, hương thơm&gt; cho phụ nữ&gt; Estee Lauder</v>
      </c>
      <c r="G299" t="str">
        <f t="shared" ca="1" si="4"/>
        <v>"2084053255" : "Estee Lauder",</v>
      </c>
    </row>
    <row r="300" spans="1:7" ht="15.75" customHeight="1">
      <c r="A300" s="28">
        <v>2084053249</v>
      </c>
      <c r="B300" s="28" t="s">
        <v>19670</v>
      </c>
      <c r="C300" s="28" t="s">
        <v>19671</v>
      </c>
      <c r="D300" s="28" t="s">
        <v>21323</v>
      </c>
      <c r="E300" s="4" t="str">
        <f ca="1">IFERROR(__xludf.DUMMYFUNCTION("GOOGLETRANSLATE(B300,""ja"",""vi"")"),"Elizabeth Arden")</f>
        <v>Elizabeth Arden</v>
      </c>
      <c r="F300" s="4" t="str">
        <f ca="1">IFERROR(__xludf.DUMMYFUNCTION("GOOGLETRANSLATE(C300,""ja"",""vi"")"),"Đấu giá&gt; làm đẹp, chăm sóc sức khỏe&gt; ​​nước hoa, hương thơm&gt; cho phụ nữ&gt; Elizabeth Arden")</f>
        <v>Đấu giá&gt; làm đẹp, chăm sóc sức khỏe&gt; ​​nước hoa, hương thơm&gt; cho phụ nữ&gt; Elizabeth Arden</v>
      </c>
      <c r="G300" t="str">
        <f t="shared" ca="1" si="4"/>
        <v>"2084053249" : "Elizabeth Arden",</v>
      </c>
    </row>
    <row r="301" spans="1:7" ht="15.75" customHeight="1">
      <c r="A301" s="28">
        <v>2084053250</v>
      </c>
      <c r="B301" s="28" t="s">
        <v>9475</v>
      </c>
      <c r="C301" s="28" t="s">
        <v>19675</v>
      </c>
      <c r="D301" s="28" t="s">
        <v>21325</v>
      </c>
      <c r="E301" s="4" t="str">
        <f ca="1">IFERROR(__xludf.DUMMYFUNCTION("GOOGLETRANSLATE(B301,""ja"",""vi"")"),"Hermes")</f>
        <v>Hermes</v>
      </c>
      <c r="F301" s="4" t="str">
        <f ca="1">IFERROR(__xludf.DUMMYFUNCTION("GOOGLETRANSLATE(C301,""ja"",""vi"")"),"Đấu giá&gt; làm đẹp, chăm sóc sức khỏe&gt; ​​nước hoa, hương thơm&gt; cho phụ nữ&gt; Hermes")</f>
        <v>Đấu giá&gt; làm đẹp, chăm sóc sức khỏe&gt; ​​nước hoa, hương thơm&gt; cho phụ nữ&gt; Hermes</v>
      </c>
      <c r="G301" t="str">
        <f t="shared" ca="1" si="4"/>
        <v>"2084053250" : "Hermes",</v>
      </c>
    </row>
    <row r="302" spans="1:7" ht="15.75" customHeight="1">
      <c r="A302" s="28">
        <v>2084053256</v>
      </c>
      <c r="B302" s="28" t="s">
        <v>19679</v>
      </c>
      <c r="C302" s="28" t="s">
        <v>19681</v>
      </c>
      <c r="D302" s="28" t="s">
        <v>21328</v>
      </c>
      <c r="E302" s="4" t="str">
        <f ca="1">IFERROR(__xludf.DUMMYFUNCTION("GOOGLETRANSLATE(B302,""ja"",""vi"")"),"Erokkusu")</f>
        <v>Erokkusu</v>
      </c>
      <c r="F302" s="4" t="str">
        <f ca="1">IFERROR(__xludf.DUMMYFUNCTION("GOOGLETRANSLATE(C302,""ja"",""vi"")"),"Đấu giá&gt; làm đẹp, chăm sóc sức khỏe&gt; ​​nước hoa, hương thơm&gt; cho phụ nữ&gt; Erokkusu")</f>
        <v>Đấu giá&gt; làm đẹp, chăm sóc sức khỏe&gt; ​​nước hoa, hương thơm&gt; cho phụ nữ&gt; Erokkusu</v>
      </c>
      <c r="G302" t="str">
        <f t="shared" ca="1" si="4"/>
        <v>"2084053256" : "Erokkusu",</v>
      </c>
    </row>
    <row r="303" spans="1:7" ht="15.75" customHeight="1">
      <c r="A303" s="28">
        <v>2084243943</v>
      </c>
      <c r="B303" s="28" t="s">
        <v>19684</v>
      </c>
      <c r="C303" s="28" t="s">
        <v>19685</v>
      </c>
      <c r="D303" s="28" t="s">
        <v>21330</v>
      </c>
      <c r="E303" s="4" t="str">
        <f ca="1">IFERROR(__xludf.DUMMYFUNCTION("GOOGLETRANSLATE(B303,""ja"",""vi"")"),"angel Heart")</f>
        <v>angel Heart</v>
      </c>
      <c r="F303" s="4" t="str">
        <f ca="1">IFERROR(__xludf.DUMMYFUNCTION("GOOGLETRANSLATE(C303,""ja"",""vi"")"),"Đấu giá&gt; làm đẹp, chăm sóc sức khỏe&gt; ​​nước hoa, hương thơm&gt; cho phụ nữ&gt; Angel Heart")</f>
        <v>Đấu giá&gt; làm đẹp, chăm sóc sức khỏe&gt; ​​nước hoa, hương thơm&gt; cho phụ nữ&gt; Angel Heart</v>
      </c>
      <c r="G303" t="str">
        <f t="shared" ca="1" si="4"/>
        <v>"2084243943" : "angel Heart",</v>
      </c>
    </row>
    <row r="304" spans="1:7" ht="15.75" customHeight="1">
      <c r="A304" s="28">
        <v>2084053243</v>
      </c>
      <c r="B304" s="28" t="s">
        <v>19687</v>
      </c>
      <c r="C304" s="28" t="s">
        <v>19689</v>
      </c>
      <c r="D304" s="28" t="s">
        <v>21332</v>
      </c>
      <c r="E304" s="4" t="str">
        <f ca="1">IFERROR(__xludf.DUMMYFUNCTION("GOOGLETRANSLATE(B304,""ja"",""vi"")"),"Calvin Klein")</f>
        <v>Calvin Klein</v>
      </c>
      <c r="F304" s="4" t="str">
        <f ca="1">IFERROR(__xludf.DUMMYFUNCTION("GOOGLETRANSLATE(C304,""ja"",""vi"")"),"Đấu giá&gt; làm đẹp, chăm sóc sức khỏe&gt; ​​nước hoa, hương thơm&gt; cho phụ nữ&gt; Calvin Klein")</f>
        <v>Đấu giá&gt; làm đẹp, chăm sóc sức khỏe&gt; ​​nước hoa, hương thơm&gt; cho phụ nữ&gt; Calvin Klein</v>
      </c>
      <c r="G304" t="str">
        <f t="shared" ca="1" si="4"/>
        <v>"2084053243" : "Calvin Klein",</v>
      </c>
    </row>
    <row r="305" spans="1:7" ht="15.75" customHeight="1">
      <c r="A305" s="28">
        <v>2084007448</v>
      </c>
      <c r="B305" s="28" t="s">
        <v>19694</v>
      </c>
      <c r="C305" s="28" t="s">
        <v>19696</v>
      </c>
      <c r="D305" s="28" t="s">
        <v>21334</v>
      </c>
      <c r="E305" s="4" t="str">
        <f ca="1">IFERROR(__xludf.DUMMYFUNCTION("GOOGLETRANSLATE(B305,""ja"",""vi"")"),"Christian Dior")</f>
        <v>Christian Dior</v>
      </c>
      <c r="F305" s="4" t="str">
        <f ca="1">IFERROR(__xludf.DUMMYFUNCTION("GOOGLETRANSLATE(C305,""ja"",""vi"")"),"Đấu giá&gt; làm đẹp, chăm sóc sức khỏe&gt; ​​nước hoa, hương thơm&gt; cho phụ nữ&gt; Christian Dior")</f>
        <v>Đấu giá&gt; làm đẹp, chăm sóc sức khỏe&gt; ​​nước hoa, hương thơm&gt; cho phụ nữ&gt; Christian Dior</v>
      </c>
      <c r="G305" t="str">
        <f t="shared" ca="1" si="4"/>
        <v>"2084007448" : "Christian Dior",</v>
      </c>
    </row>
    <row r="306" spans="1:7" ht="15.75" customHeight="1">
      <c r="A306" s="28">
        <v>2084007449</v>
      </c>
      <c r="B306" s="28" t="s">
        <v>19700</v>
      </c>
      <c r="C306" s="28" t="s">
        <v>19701</v>
      </c>
      <c r="D306" s="28" t="s">
        <v>21337</v>
      </c>
      <c r="E306" s="4" t="str">
        <f ca="1">IFERROR(__xludf.DUMMYFUNCTION("GOOGLETRANSLATE(B306,""ja"",""vi"")"),"Clinique")</f>
        <v>Clinique</v>
      </c>
      <c r="F306" s="4" t="str">
        <f ca="1">IFERROR(__xludf.DUMMYFUNCTION("GOOGLETRANSLATE(C306,""ja"",""vi"")"),"Đấu giá&gt; làm đẹp, chăm sóc sức khỏe&gt; ​​nước hoa, hương thơm&gt; cho phụ nữ&gt; Clinique")</f>
        <v>Đấu giá&gt; làm đẹp, chăm sóc sức khỏe&gt; ​​nước hoa, hương thơm&gt; cho phụ nữ&gt; Clinique</v>
      </c>
      <c r="G306" t="str">
        <f t="shared" ca="1" si="4"/>
        <v>"2084007449" : "Clinique",</v>
      </c>
    </row>
    <row r="307" spans="1:7" ht="15.75" customHeight="1">
      <c r="A307" s="28">
        <v>2084243942</v>
      </c>
      <c r="B307" s="28" t="s">
        <v>9935</v>
      </c>
      <c r="C307" s="28" t="s">
        <v>19708</v>
      </c>
      <c r="D307" s="28" t="s">
        <v>21340</v>
      </c>
      <c r="E307" s="4" t="str">
        <f ca="1">IFERROR(__xludf.DUMMYFUNCTION("GOOGLETRANSLATE(B307,""ja"",""vi"")"),"Chloe")</f>
        <v>Chloe</v>
      </c>
      <c r="F307" s="4" t="str">
        <f ca="1">IFERROR(__xludf.DUMMYFUNCTION("GOOGLETRANSLATE(C307,""ja"",""vi"")"),"Đấu giá&gt; làm đẹp, chăm sóc sức khỏe&gt; ​​nước hoa, hương thơm&gt; cho phụ nữ&gt; Chloe")</f>
        <v>Đấu giá&gt; làm đẹp, chăm sóc sức khỏe&gt; ​​nước hoa, hương thơm&gt; cho phụ nữ&gt; Chloe</v>
      </c>
      <c r="G307" t="str">
        <f t="shared" ca="1" si="4"/>
        <v>"2084243942" : "Chloe",</v>
      </c>
    </row>
    <row r="308" spans="1:7" ht="15.75" customHeight="1">
      <c r="A308" s="28">
        <v>2084007450</v>
      </c>
      <c r="B308" s="28" t="s">
        <v>9815</v>
      </c>
      <c r="C308" s="28" t="s">
        <v>19714</v>
      </c>
      <c r="D308" s="28" t="s">
        <v>21342</v>
      </c>
      <c r="E308" s="4" t="str">
        <f ca="1">IFERROR(__xludf.DUMMYFUNCTION("GOOGLETRANSLATE(B308,""ja"",""vi"")"),"Gucci")</f>
        <v>Gucci</v>
      </c>
      <c r="F308" s="4" t="str">
        <f ca="1">IFERROR(__xludf.DUMMYFUNCTION("GOOGLETRANSLATE(C308,""ja"",""vi"")"),"Đấu giá&gt; làm đẹp, chăm sóc sức khỏe&gt; ​​nước hoa, hương thơm&gt; cho phụ nữ&gt; Gucci")</f>
        <v>Đấu giá&gt; làm đẹp, chăm sóc sức khỏe&gt; ​​nước hoa, hương thơm&gt; cho phụ nữ&gt; Gucci</v>
      </c>
      <c r="G308" t="str">
        <f t="shared" ca="1" si="4"/>
        <v>"2084007450" : "Gucci",</v>
      </c>
    </row>
    <row r="309" spans="1:7" ht="15.75" customHeight="1">
      <c r="A309" s="28">
        <v>2084053248</v>
      </c>
      <c r="B309" s="28" t="s">
        <v>10004</v>
      </c>
      <c r="C309" s="28" t="s">
        <v>19720</v>
      </c>
      <c r="D309" s="28" t="s">
        <v>21346</v>
      </c>
      <c r="E309" s="4" t="str">
        <f ca="1">IFERROR(__xludf.DUMMYFUNCTION("GOOGLETRANSLATE(B309,""ja"",""vi"")"),"Kenzo")</f>
        <v>Kenzo</v>
      </c>
      <c r="F309" s="4" t="str">
        <f ca="1">IFERROR(__xludf.DUMMYFUNCTION("GOOGLETRANSLATE(C309,""ja"",""vi"")"),"Đấu giá&gt; làm đẹp, chăm sóc sức khỏe&gt; ​​nước hoa, hương thơm&gt; cho phụ nữ&gt; Kenzo")</f>
        <v>Đấu giá&gt; làm đẹp, chăm sóc sức khỏe&gt; ​​nước hoa, hương thơm&gt; cho phụ nữ&gt; Kenzo</v>
      </c>
      <c r="G309" t="str">
        <f t="shared" ca="1" si="4"/>
        <v>"2084053248" : "Kenzo",</v>
      </c>
    </row>
    <row r="310" spans="1:7" ht="15.75" customHeight="1">
      <c r="A310" s="28">
        <v>2084007451</v>
      </c>
      <c r="B310" s="28" t="s">
        <v>19723</v>
      </c>
      <c r="C310" s="28" t="s">
        <v>19725</v>
      </c>
      <c r="D310" s="28" t="s">
        <v>21350</v>
      </c>
      <c r="E310" s="4" t="str">
        <f ca="1">IFERROR(__xludf.DUMMYFUNCTION("GOOGLETRANSLATE(B310,""ja"",""vi"")"),"Guerlain")</f>
        <v>Guerlain</v>
      </c>
      <c r="F310" s="4" t="str">
        <f ca="1">IFERROR(__xludf.DUMMYFUNCTION("GOOGLETRANSLATE(C310,""ja"",""vi"")"),"Đấu giá&gt; làm đẹp, chăm sóc sức khỏe&gt; ​​nước hoa, hương thơm&gt; cho phụ nữ&gt; Guerlain")</f>
        <v>Đấu giá&gt; làm đẹp, chăm sóc sức khỏe&gt; ​​nước hoa, hương thơm&gt; cho phụ nữ&gt; Guerlain</v>
      </c>
      <c r="G310" t="str">
        <f t="shared" ca="1" si="4"/>
        <v>"2084007451" : "Guerlain",</v>
      </c>
    </row>
    <row r="311" spans="1:7" ht="15.75" customHeight="1">
      <c r="A311" s="28">
        <v>2084053239</v>
      </c>
      <c r="B311" s="28" t="s">
        <v>10142</v>
      </c>
      <c r="C311" s="28" t="s">
        <v>19731</v>
      </c>
      <c r="D311" s="28" t="s">
        <v>21353</v>
      </c>
      <c r="E311" s="4" t="str">
        <f ca="1">IFERROR(__xludf.DUMMYFUNCTION("GOOGLETRANSLATE(B311,""ja"",""vi"")"),"Salvatore Ferragamo")</f>
        <v>Salvatore Ferragamo</v>
      </c>
      <c r="F311" s="4" t="str">
        <f ca="1">IFERROR(__xludf.DUMMYFUNCTION("GOOGLETRANSLATE(C311,""ja"",""vi"")"),"Đấu giá&gt; làm đẹp, chăm sóc sức khỏe&gt; ​​nước hoa, hương thơm&gt; cho phụ nữ&gt; Salvatore Ferragamo")</f>
        <v>Đấu giá&gt; làm đẹp, chăm sóc sức khỏe&gt; ​​nước hoa, hương thơm&gt; cho phụ nữ&gt; Salvatore Ferragamo</v>
      </c>
      <c r="G311" t="str">
        <f t="shared" ca="1" si="4"/>
        <v>"2084053239" : "Salvatore Ferragamo",</v>
      </c>
    </row>
    <row r="312" spans="1:7" ht="15.75" customHeight="1">
      <c r="A312" s="28">
        <v>2084007444</v>
      </c>
      <c r="B312" s="28" t="s">
        <v>10288</v>
      </c>
      <c r="C312" s="28" t="s">
        <v>19736</v>
      </c>
      <c r="D312" s="28" t="s">
        <v>21356</v>
      </c>
      <c r="E312" s="4" t="str">
        <f ca="1">IFERROR(__xludf.DUMMYFUNCTION("GOOGLETRANSLATE(B312,""ja"",""vi"")"),"Chanel")</f>
        <v>Chanel</v>
      </c>
      <c r="F312" s="4" t="str">
        <f ca="1">IFERROR(__xludf.DUMMYFUNCTION("GOOGLETRANSLATE(C312,""ja"",""vi"")"),"Đấu giá&gt; làm đẹp, chăm sóc sức khỏe&gt; ​​nước hoa, hương thơm&gt; cho phụ nữ&gt; Chanel")</f>
        <v>Đấu giá&gt; làm đẹp, chăm sóc sức khỏe&gt; ​​nước hoa, hương thơm&gt; cho phụ nữ&gt; Chanel</v>
      </c>
      <c r="G312" t="str">
        <f t="shared" ca="1" si="4"/>
        <v>"2084007444" : "Chanel",</v>
      </c>
    </row>
    <row r="313" spans="1:7" ht="15.75" customHeight="1">
      <c r="A313" s="28">
        <v>2084053258</v>
      </c>
      <c r="B313" s="28" t="s">
        <v>18284</v>
      </c>
      <c r="C313" s="28" t="s">
        <v>19742</v>
      </c>
      <c r="D313" s="28" t="s">
        <v>21360</v>
      </c>
      <c r="E313" s="4" t="str">
        <f ca="1">IFERROR(__xludf.DUMMYFUNCTION("GOOGLETRANSLATE(B313,""ja"",""vi"")"),"Chopard")</f>
        <v>Chopard</v>
      </c>
      <c r="F313" s="4" t="str">
        <f ca="1">IFERROR(__xludf.DUMMYFUNCTION("GOOGLETRANSLATE(C313,""ja"",""vi"")"),"Đấu giá&gt; làm đẹp, chăm sóc sức khỏe&gt; ​​nước hoa, hương thơm&gt; cho phụ nữ&gt; Chopard")</f>
        <v>Đấu giá&gt; làm đẹp, chăm sóc sức khỏe&gt; ​​nước hoa, hương thơm&gt; cho phụ nữ&gt; Chopard</v>
      </c>
      <c r="G313" t="str">
        <f t="shared" ca="1" si="4"/>
        <v>"2084053258" : "Chopard",</v>
      </c>
    </row>
    <row r="314" spans="1:7" ht="15.75" customHeight="1">
      <c r="A314" s="28">
        <v>2084053257</v>
      </c>
      <c r="B314" s="28" t="s">
        <v>19746</v>
      </c>
      <c r="C314" s="28" t="s">
        <v>19748</v>
      </c>
      <c r="D314" s="28" t="s">
        <v>21364</v>
      </c>
      <c r="E314" s="4" t="str">
        <f ca="1">IFERROR(__xludf.DUMMYFUNCTION("GOOGLETRANSLATE(B314,""ja"",""vi"")"),"Jennifer Lopez")</f>
        <v>Jennifer Lopez</v>
      </c>
      <c r="F314" s="4" t="str">
        <f ca="1">IFERROR(__xludf.DUMMYFUNCTION("GOOGLETRANSLATE(C314,""ja"",""vi"")"),"Đấu giá&gt; làm đẹp, chăm sóc sức khỏe&gt; ​​nước hoa, hương thơm&gt; cho phụ nữ&gt; Jennifer Lopez")</f>
        <v>Đấu giá&gt; làm đẹp, chăm sóc sức khỏe&gt; ​​nước hoa, hương thơm&gt; cho phụ nữ&gt; Jennifer Lopez</v>
      </c>
      <c r="G314" t="str">
        <f t="shared" ca="1" si="4"/>
        <v>"2084053257" : "Jennifer Lopez",</v>
      </c>
    </row>
    <row r="315" spans="1:7" ht="15.75" customHeight="1">
      <c r="A315" s="28">
        <v>2084007446</v>
      </c>
      <c r="B315" s="28" t="s">
        <v>19753</v>
      </c>
      <c r="C315" s="28" t="s">
        <v>19754</v>
      </c>
      <c r="D315" s="28" t="s">
        <v>21367</v>
      </c>
      <c r="E315" s="4" t="str">
        <f ca="1">IFERROR(__xludf.DUMMYFUNCTION("GOOGLETRANSLATE(B315,""ja"",""vi"")"),"Givenchy")</f>
        <v>Givenchy</v>
      </c>
      <c r="F315" s="4" t="str">
        <f ca="1">IFERROR(__xludf.DUMMYFUNCTION("GOOGLETRANSLATE(C315,""ja"",""vi"")"),"Đấu giá&gt; làm đẹp, chăm sóc sức khỏe&gt; ​​nước hoa, hương thơm&gt; cho phụ nữ&gt; Givenchy")</f>
        <v>Đấu giá&gt; làm đẹp, chăm sóc sức khỏe&gt; ​​nước hoa, hương thơm&gt; cho phụ nữ&gt; Givenchy</v>
      </c>
      <c r="G315" t="str">
        <f t="shared" ca="1" si="4"/>
        <v>"2084007446" : "Givenchy",</v>
      </c>
    </row>
    <row r="316" spans="1:7" ht="15.75" customHeight="1">
      <c r="A316" s="28">
        <v>2084053244</v>
      </c>
      <c r="B316" s="28" t="s">
        <v>19756</v>
      </c>
      <c r="C316" s="28" t="s">
        <v>19760</v>
      </c>
      <c r="D316" s="28" t="s">
        <v>21372</v>
      </c>
      <c r="E316" s="4" t="str">
        <f ca="1">IFERROR(__xludf.DUMMYFUNCTION("GOOGLETRANSLATE(B316,""ja"",""vi"")"),"Jeanne Artes")</f>
        <v>Jeanne Artes</v>
      </c>
      <c r="F316" s="4" t="str">
        <f ca="1">IFERROR(__xludf.DUMMYFUNCTION("GOOGLETRANSLATE(C316,""ja"",""vi"")"),"Đấu giá&gt; làm đẹp, chăm sóc sức khỏe&gt; ​​nước hoa, hương thơm&gt; cho phụ nữ&gt; Jeanne Artes")</f>
        <v>Đấu giá&gt; làm đẹp, chăm sóc sức khỏe&gt; ​​nước hoa, hương thơm&gt; cho phụ nữ&gt; Jeanne Artes</v>
      </c>
      <c r="G316" t="str">
        <f t="shared" ca="1" si="4"/>
        <v>"2084053244" : "Jeanne Artes",</v>
      </c>
    </row>
    <row r="317" spans="1:7" ht="15.75" customHeight="1">
      <c r="A317" s="28">
        <v>2084243964</v>
      </c>
      <c r="B317" s="28" t="s">
        <v>10446</v>
      </c>
      <c r="C317" s="28" t="s">
        <v>19763</v>
      </c>
      <c r="D317" s="28" t="s">
        <v>21375</v>
      </c>
      <c r="E317" s="4" t="str">
        <f ca="1">IFERROR(__xludf.DUMMYFUNCTION("GOOGLETRANSLATE(B317,""ja"",""vi"")"),"Jill Stuart")</f>
        <v>Jill Stuart</v>
      </c>
      <c r="F317" s="4" t="str">
        <f ca="1">IFERROR(__xludf.DUMMYFUNCTION("GOOGLETRANSLATE(C317,""ja"",""vi"")"),"Đấu giá&gt; làm đẹp, chăm sóc sức khỏe&gt; ​​nước hoa, hương thơm&gt; cho phụ nữ&gt; Jill Stuart")</f>
        <v>Đấu giá&gt; làm đẹp, chăm sóc sức khỏe&gt; ​​nước hoa, hương thơm&gt; cho phụ nữ&gt; Jill Stuart</v>
      </c>
      <c r="G317" t="str">
        <f t="shared" ca="1" si="4"/>
        <v>"2084243964" : "Jill Stuart",</v>
      </c>
    </row>
    <row r="318" spans="1:7" ht="15.75" customHeight="1">
      <c r="A318" s="28">
        <v>2084053259</v>
      </c>
      <c r="B318" s="28" t="s">
        <v>10623</v>
      </c>
      <c r="C318" s="28" t="s">
        <v>19767</v>
      </c>
      <c r="D318" s="28" t="s">
        <v>21378</v>
      </c>
      <c r="E318" s="4" t="str">
        <f ca="1">IFERROR(__xludf.DUMMYFUNCTION("GOOGLETRANSLATE(B318,""ja"",""vi"")"),"Celine")</f>
        <v>Celine</v>
      </c>
      <c r="F318" s="4" t="str">
        <f ca="1">IFERROR(__xludf.DUMMYFUNCTION("GOOGLETRANSLATE(C318,""ja"",""vi"")"),"Đấu giá&gt; làm đẹp, chăm sóc sức khỏe&gt; ​​nước hoa, hương thơm&gt; cho phụ nữ&gt; Celine")</f>
        <v>Đấu giá&gt; làm đẹp, chăm sóc sức khỏe&gt; ​​nước hoa, hương thơm&gt; cho phụ nữ&gt; Celine</v>
      </c>
      <c r="G318" t="str">
        <f t="shared" ca="1" si="4"/>
        <v>"2084053259" : "Celine",</v>
      </c>
    </row>
    <row r="319" spans="1:7" ht="15.75" customHeight="1">
      <c r="A319" s="28">
        <v>2084053251</v>
      </c>
      <c r="B319" s="28" t="s">
        <v>10657</v>
      </c>
      <c r="C319" s="28" t="s">
        <v>19772</v>
      </c>
      <c r="D319" s="28" t="s">
        <v>21381</v>
      </c>
      <c r="E319" s="4" t="str">
        <f ca="1">IFERROR(__xludf.DUMMYFUNCTION("GOOGLETRANSLATE(B319,""ja"",""vi"")"),"Sonia Rykiel")</f>
        <v>Sonia Rykiel</v>
      </c>
      <c r="F319" s="4" t="str">
        <f ca="1">IFERROR(__xludf.DUMMYFUNCTION("GOOGLETRANSLATE(C319,""ja"",""vi"")"),"Đấu giá&gt; làm đẹp, chăm sóc sức khỏe&gt; ​​nước hoa, hương thơm&gt; cho phụ nữ&gt; Sonia Rykiel")</f>
        <v>Đấu giá&gt; làm đẹp, chăm sóc sức khỏe&gt; ​​nước hoa, hương thơm&gt; cho phụ nữ&gt; Sonia Rykiel</v>
      </c>
      <c r="G319" t="str">
        <f t="shared" ca="1" si="4"/>
        <v>"2084053251" : "Sonia Rykiel",</v>
      </c>
    </row>
    <row r="320" spans="1:7" ht="15.75" customHeight="1">
      <c r="A320" s="28">
        <v>2084053240</v>
      </c>
      <c r="B320" s="28" t="s">
        <v>19778</v>
      </c>
      <c r="C320" s="28" t="s">
        <v>19779</v>
      </c>
      <c r="D320" s="28" t="s">
        <v>21386</v>
      </c>
      <c r="E320" s="4" t="str">
        <f ca="1">IFERROR(__xludf.DUMMYFUNCTION("GOOGLETRANSLATE(B320,""ja"",""vi"")"),"Shiseido")</f>
        <v>Shiseido</v>
      </c>
      <c r="F320" s="4" t="str">
        <f ca="1">IFERROR(__xludf.DUMMYFUNCTION("GOOGLETRANSLATE(C320,""ja"",""vi"")"),"Đấu giá&gt; làm đẹp, chăm sóc sức khỏe&gt; ​​nước hoa, hương thơm&gt; cho phụ nữ&gt; Shiseido")</f>
        <v>Đấu giá&gt; làm đẹp, chăm sóc sức khỏe&gt; ​​nước hoa, hương thơm&gt; cho phụ nữ&gt; Shiseido</v>
      </c>
      <c r="G320" t="str">
        <f t="shared" ca="1" si="4"/>
        <v>"2084053240" : "Shiseido",</v>
      </c>
    </row>
    <row r="321" spans="1:7" ht="15.75" customHeight="1">
      <c r="A321" s="28">
        <v>2084053260</v>
      </c>
      <c r="B321" s="28" t="s">
        <v>19783</v>
      </c>
      <c r="C321" s="28" t="s">
        <v>19784</v>
      </c>
      <c r="D321" s="28" t="s">
        <v>21389</v>
      </c>
      <c r="E321" s="4" t="str">
        <f ca="1">IFERROR(__xludf.DUMMYFUNCTION("GOOGLETRANSLATE(B321,""ja"",""vi"")"),"Donna Karan")</f>
        <v>Donna Karan</v>
      </c>
      <c r="F321" s="4" t="str">
        <f ca="1">IFERROR(__xludf.DUMMYFUNCTION("GOOGLETRANSLATE(C321,""ja"",""vi"")"),"Đấu giá&gt; làm đẹp, chăm sóc sức khỏe&gt; ​​nước hoa, hương thơm&gt; cho phụ nữ&gt; Donna Karan")</f>
        <v>Đấu giá&gt; làm đẹp, chăm sóc sức khỏe&gt; ​​nước hoa, hương thơm&gt; cho phụ nữ&gt; Donna Karan</v>
      </c>
      <c r="G321" t="str">
        <f t="shared" ca="1" si="4"/>
        <v>"2084053260" : "Donna Karan",</v>
      </c>
    </row>
    <row r="322" spans="1:7" ht="15.75" customHeight="1">
      <c r="A322" s="28">
        <v>2084053245</v>
      </c>
      <c r="B322" s="28" t="s">
        <v>19791</v>
      </c>
      <c r="C322" s="28" t="s">
        <v>19792</v>
      </c>
      <c r="D322" s="28" t="s">
        <v>21392</v>
      </c>
      <c r="E322" s="4" t="str">
        <f ca="1">IFERROR(__xludf.DUMMYFUNCTION("GOOGLETRANSLATE(B322,""ja"",""vi"")"),"Davidoff")</f>
        <v>Davidoff</v>
      </c>
      <c r="F322" s="4" t="str">
        <f ca="1">IFERROR(__xludf.DUMMYFUNCTION("GOOGLETRANSLATE(C322,""ja"",""vi"")"),"Đấu giá&gt; làm đẹp, chăm sóc sức khỏe&gt; ​​nước hoa, hương thơm&gt; cho phụ nữ&gt; Davidoff")</f>
        <v>Đấu giá&gt; làm đẹp, chăm sóc sức khỏe&gt; ​​nước hoa, hương thơm&gt; cho phụ nữ&gt; Davidoff</v>
      </c>
      <c r="G322" t="str">
        <f t="shared" ref="G322:G385" ca="1" si="5">CONCATENATE(CHAR(34)&amp;"",A322,""&amp;CHAR(34)," : ", CHAR(34)&amp;"",E322,""&amp;CHAR(34),",")</f>
        <v>"2084053245" : "Davidoff",</v>
      </c>
    </row>
    <row r="323" spans="1:7" ht="15.75" customHeight="1">
      <c r="A323" s="28">
        <v>2084053261</v>
      </c>
      <c r="B323" s="28" t="s">
        <v>10898</v>
      </c>
      <c r="C323" s="28" t="s">
        <v>19798</v>
      </c>
      <c r="D323" s="28" t="s">
        <v>21393</v>
      </c>
      <c r="E323" s="4" t="str">
        <f ca="1">IFERROR(__xludf.DUMMYFUNCTION("GOOGLETRANSLATE(B323,""ja"",""vi"")"),"vải mõng")</f>
        <v>vải mõng</v>
      </c>
      <c r="F323" s="4" t="str">
        <f ca="1">IFERROR(__xludf.DUMMYFUNCTION("GOOGLETRANSLATE(C323,""ja"",""vi"")"),"Đấu giá&gt; làm đẹp, chăm sóc sức khỏe&gt; ​​nước hoa, hương thơm&gt; cho phụ nữ&gt; Tiffany")</f>
        <v>Đấu giá&gt; làm đẹp, chăm sóc sức khỏe&gt; ​​nước hoa, hương thơm&gt; cho phụ nữ&gt; Tiffany</v>
      </c>
      <c r="G323" t="str">
        <f t="shared" ca="1" si="5"/>
        <v>"2084053261" : "vải mõng",</v>
      </c>
    </row>
    <row r="324" spans="1:7" ht="15.75" customHeight="1">
      <c r="A324" s="28">
        <v>2084053246</v>
      </c>
      <c r="B324" s="28" t="s">
        <v>11049</v>
      </c>
      <c r="C324" s="28" t="s">
        <v>19805</v>
      </c>
      <c r="D324" s="28" t="s">
        <v>21397</v>
      </c>
      <c r="E324" s="4" t="str">
        <f ca="1">IFERROR(__xludf.DUMMYFUNCTION("GOOGLETRANSLATE(B324,""ja"",""vi"")"),"Tommy Hilfiger")</f>
        <v>Tommy Hilfiger</v>
      </c>
      <c r="F324" s="4" t="str">
        <f ca="1">IFERROR(__xludf.DUMMYFUNCTION("GOOGLETRANSLATE(C324,""ja"",""vi"")"),"Đấu giá&gt; làm đẹp, chăm sóc sức khỏe&gt; ​​nước hoa, hương thơm&gt; cho phụ nữ&gt; Tommy Hilfiger")</f>
        <v>Đấu giá&gt; làm đẹp, chăm sóc sức khỏe&gt; ​​nước hoa, hương thơm&gt; cho phụ nữ&gt; Tommy Hilfiger</v>
      </c>
      <c r="G324" t="str">
        <f t="shared" ca="1" si="5"/>
        <v>"2084053246" : "Tommy Hilfiger",</v>
      </c>
    </row>
    <row r="325" spans="1:7" ht="15.75" customHeight="1">
      <c r="A325" s="28">
        <v>2084053238</v>
      </c>
      <c r="B325" s="28" t="s">
        <v>11111</v>
      </c>
      <c r="C325" s="28" t="s">
        <v>19810</v>
      </c>
      <c r="D325" s="28" t="s">
        <v>21400</v>
      </c>
      <c r="E325" s="4" t="str">
        <f ca="1">IFERROR(__xludf.DUMMYFUNCTION("GOOGLETRANSLATE(B325,""ja"",""vi"")"),"Dolce &amp; Gabbana")</f>
        <v>Dolce &amp; Gabbana</v>
      </c>
      <c r="F325" s="4" t="str">
        <f ca="1">IFERROR(__xludf.DUMMYFUNCTION("GOOGLETRANSLATE(C325,""ja"",""vi"")"),"Đấu giá&gt; làm đẹp, chăm sóc sức khỏe&gt; ​​nước hoa, hương thơm&gt; cho phụ nữ&gt; Dolce &amp; Gabbana")</f>
        <v>Đấu giá&gt; làm đẹp, chăm sóc sức khỏe&gt; ​​nước hoa, hương thơm&gt; cho phụ nữ&gt; Dolce &amp; Gabbana</v>
      </c>
      <c r="G325" t="str">
        <f t="shared" ca="1" si="5"/>
        <v>"2084053238" : "Dolce &amp; Gabbana",</v>
      </c>
    </row>
    <row r="326" spans="1:7" ht="15.75" customHeight="1">
      <c r="A326" s="28">
        <v>2084053254</v>
      </c>
      <c r="B326" s="28" t="s">
        <v>19816</v>
      </c>
      <c r="C326" s="28" t="s">
        <v>19818</v>
      </c>
      <c r="D326" s="28" t="s">
        <v>21404</v>
      </c>
      <c r="E326" s="4" t="str">
        <f ca="1">IFERROR(__xludf.DUMMYFUNCTION("GOOGLETRANSLATE(B326,""ja"",""vi"")"),"Naomi Campbell")</f>
        <v>Naomi Campbell</v>
      </c>
      <c r="F326" s="4" t="str">
        <f ca="1">IFERROR(__xludf.DUMMYFUNCTION("GOOGLETRANSLATE(C326,""ja"",""vi"")"),"Đấu giá&gt; làm đẹp, chăm sóc sức khỏe&gt; ​​nước hoa, hương thơm&gt; cho phụ nữ&gt; Naomi Campbell")</f>
        <v>Đấu giá&gt; làm đẹp, chăm sóc sức khỏe&gt; ​​nước hoa, hương thơm&gt; cho phụ nữ&gt; Naomi Campbell</v>
      </c>
      <c r="G326" t="str">
        <f t="shared" ca="1" si="5"/>
        <v>"2084053254" : "Naomi Campbell",</v>
      </c>
    </row>
    <row r="327" spans="1:7" ht="15.75" customHeight="1">
      <c r="A327" s="28">
        <v>2084053262</v>
      </c>
      <c r="B327" s="28" t="s">
        <v>19822</v>
      </c>
      <c r="C327" s="28" t="s">
        <v>19823</v>
      </c>
      <c r="D327" s="28" t="s">
        <v>21408</v>
      </c>
      <c r="E327" s="4" t="str">
        <f ca="1">IFERROR(__xludf.DUMMYFUNCTION("GOOGLETRANSLATE(B327,""ja"",""vi"")"),"Nikos")</f>
        <v>Nikos</v>
      </c>
      <c r="F327" s="4" t="str">
        <f ca="1">IFERROR(__xludf.DUMMYFUNCTION("GOOGLETRANSLATE(C327,""ja"",""vi"")"),"Đấu giá&gt; làm đẹp, chăm sóc sức khỏe&gt; ​​nước hoa, hương thơm&gt; cho phụ nữ&gt; Nikos")</f>
        <v>Đấu giá&gt; làm đẹp, chăm sóc sức khỏe&gt; ​​nước hoa, hương thơm&gt; cho phụ nữ&gt; Nikos</v>
      </c>
      <c r="G327" t="str">
        <f t="shared" ca="1" si="5"/>
        <v>"2084053262" : "Nikos",</v>
      </c>
    </row>
    <row r="328" spans="1:7" ht="15.75" customHeight="1">
      <c r="A328" s="28">
        <v>2084007452</v>
      </c>
      <c r="B328" s="28" t="s">
        <v>19827</v>
      </c>
      <c r="C328" s="28" t="s">
        <v>19830</v>
      </c>
      <c r="D328" s="28" t="s">
        <v>21410</v>
      </c>
      <c r="E328" s="4" t="str">
        <f ca="1">IFERROR(__xludf.DUMMYFUNCTION("GOOGLETRANSLATE(B328,""ja"",""vi"")"),"Nina Ricci")</f>
        <v>Nina Ricci</v>
      </c>
      <c r="F328" s="4" t="str">
        <f ca="1">IFERROR(__xludf.DUMMYFUNCTION("GOOGLETRANSLATE(C328,""ja"",""vi"")"),"Đấu giá&gt; làm đẹp, chăm sóc sức khỏe&gt; ​​nước hoa, hương thơm&gt; cho phụ nữ&gt; Nina Ricci")</f>
        <v>Đấu giá&gt; làm đẹp, chăm sóc sức khỏe&gt; ​​nước hoa, hương thơm&gt; cho phụ nữ&gt; Nina Ricci</v>
      </c>
      <c r="G328" t="str">
        <f t="shared" ca="1" si="5"/>
        <v>"2084007452" : "Nina Ricci",</v>
      </c>
    </row>
    <row r="329" spans="1:7" ht="15.75" customHeight="1">
      <c r="A329" s="28">
        <v>2084053252</v>
      </c>
      <c r="B329" s="28" t="s">
        <v>11443</v>
      </c>
      <c r="C329" s="28" t="s">
        <v>19833</v>
      </c>
      <c r="D329" s="28" t="s">
        <v>21413</v>
      </c>
      <c r="E329" s="4" t="str">
        <f ca="1">IFERROR(__xludf.DUMMYFUNCTION("GOOGLETRANSLATE(B329,""ja"",""vi"")"),"chổ lồi ở cây")</f>
        <v>chổ lồi ở cây</v>
      </c>
      <c r="F329" s="4" t="str">
        <f ca="1">IFERROR(__xludf.DUMMYFUNCTION("GOOGLETRANSLATE(C329,""ja"",""vi"")"),"Đấu giá&gt; làm đẹp, chăm sóc sức khỏe&gt; ​​nước hoa, hương thơm&gt; cho phụ nữ&gt; Burberry")</f>
        <v>Đấu giá&gt; làm đẹp, chăm sóc sức khỏe&gt; ​​nước hoa, hương thơm&gt; cho phụ nữ&gt; Burberry</v>
      </c>
      <c r="G329" t="str">
        <f t="shared" ca="1" si="5"/>
        <v>"2084053252" : "chổ lồi ở cây",</v>
      </c>
    </row>
    <row r="330" spans="1:7" ht="15.75" customHeight="1">
      <c r="A330" s="28">
        <v>2084053264</v>
      </c>
      <c r="B330" s="28" t="s">
        <v>11427</v>
      </c>
      <c r="C330" s="28" t="s">
        <v>19838</v>
      </c>
      <c r="D330" s="28" t="s">
        <v>21417</v>
      </c>
      <c r="E330" s="4" t="str">
        <f ca="1">IFERROR(__xludf.DUMMYFUNCTION("GOOGLETRANSLATE(B330,""ja"",""vi"")"),"Banana Republic")</f>
        <v>Banana Republic</v>
      </c>
      <c r="F330" s="4" t="str">
        <f ca="1">IFERROR(__xludf.DUMMYFUNCTION("GOOGLETRANSLATE(C330,""ja"",""vi"")"),"Đấu giá&gt; làm đẹp, chăm sóc sức khỏe&gt; ​​nước hoa, hương thơm&gt; cho phụ nữ&gt; Banana Republic")</f>
        <v>Đấu giá&gt; làm đẹp, chăm sóc sức khỏe&gt; ​​nước hoa, hương thơm&gt; cho phụ nữ&gt; Banana Republic</v>
      </c>
      <c r="G330" t="str">
        <f t="shared" ca="1" si="5"/>
        <v>"2084053264" : "Banana Republic",</v>
      </c>
    </row>
    <row r="331" spans="1:7" ht="15.75" customHeight="1">
      <c r="A331" s="28">
        <v>2084053263</v>
      </c>
      <c r="B331" s="28" t="s">
        <v>19843</v>
      </c>
      <c r="C331" s="28" t="s">
        <v>19844</v>
      </c>
      <c r="D331" s="28" t="s">
        <v>21419</v>
      </c>
      <c r="E331" s="4" t="str">
        <f ca="1">IFERROR(__xludf.DUMMYFUNCTION("GOOGLETRANSLATE(B331,""ja"",""vi"")"),"Paco Rabanne")</f>
        <v>Paco Rabanne</v>
      </c>
      <c r="F331" s="4" t="str">
        <f ca="1">IFERROR(__xludf.DUMMYFUNCTION("GOOGLETRANSLATE(C331,""ja"",""vi"")"),"Đấu giá&gt; làm đẹp, chăm sóc sức khỏe&gt; ​​nước hoa, hương thơm&gt; cho phụ nữ&gt; Paco Rabanne")</f>
        <v>Đấu giá&gt; làm đẹp, chăm sóc sức khỏe&gt; ​​nước hoa, hương thơm&gt; cho phụ nữ&gt; Paco Rabanne</v>
      </c>
      <c r="G331" t="str">
        <f t="shared" ca="1" si="5"/>
        <v>"2084053263" : "Paco Rabanne",</v>
      </c>
    </row>
    <row r="332" spans="1:7" ht="15.75" customHeight="1">
      <c r="A332" s="28">
        <v>2084053266</v>
      </c>
      <c r="B332" s="28" t="s">
        <v>16149</v>
      </c>
      <c r="C332" s="28" t="s">
        <v>19850</v>
      </c>
      <c r="D332" s="28" t="s">
        <v>21421</v>
      </c>
      <c r="E332" s="4" t="str">
        <f ca="1">IFERROR(__xludf.DUMMYFUNCTION("GOOGLETRANSLATE(B332,""ja"",""vi"")"),"Hugo Boss")</f>
        <v>Hugo Boss</v>
      </c>
      <c r="F332" s="4" t="str">
        <f ca="1">IFERROR(__xludf.DUMMYFUNCTION("GOOGLETRANSLATE(C332,""ja"",""vi"")"),"Đấu giá&gt; làm đẹp, chăm sóc sức khỏe&gt; ​​nước hoa, hương thơm&gt; cho phụ nữ&gt; Hugo Boss")</f>
        <v>Đấu giá&gt; làm đẹp, chăm sóc sức khỏe&gt; ​​nước hoa, hương thơm&gt; cho phụ nữ&gt; Hugo Boss</v>
      </c>
      <c r="G332" t="str">
        <f t="shared" ca="1" si="5"/>
        <v>"2084053266" : "Hugo Boss",</v>
      </c>
    </row>
    <row r="333" spans="1:7" ht="15.75" customHeight="1">
      <c r="A333" s="28">
        <v>2084053267</v>
      </c>
      <c r="B333" s="28" t="s">
        <v>19855</v>
      </c>
      <c r="C333" s="28" t="s">
        <v>19856</v>
      </c>
      <c r="D333" s="28" t="s">
        <v>21423</v>
      </c>
      <c r="E333" s="4" t="str">
        <f ca="1">IFERROR(__xludf.DUMMYFUNCTION("GOOGLETRANSLATE(B333,""ja"",""vi"")"),"Fiorucci")</f>
        <v>Fiorucci</v>
      </c>
      <c r="F333" s="4" t="str">
        <f ca="1">IFERROR(__xludf.DUMMYFUNCTION("GOOGLETRANSLATE(C333,""ja"",""vi"")"),"Đấu giá&gt; làm đẹp, chăm sóc sức khỏe&gt; ​​nước hoa, hương thơm&gt; cho phụ nữ&gt; Fiorucci")</f>
        <v>Đấu giá&gt; làm đẹp, chăm sóc sức khỏe&gt; ​​nước hoa, hương thơm&gt; cho phụ nữ&gt; Fiorucci</v>
      </c>
      <c r="G333" t="str">
        <f t="shared" ca="1" si="5"/>
        <v>"2084053267" : "Fiorucci",</v>
      </c>
    </row>
    <row r="334" spans="1:7" ht="15.75" customHeight="1">
      <c r="A334" s="28">
        <v>2084053268</v>
      </c>
      <c r="B334" s="28" t="s">
        <v>11843</v>
      </c>
      <c r="C334" s="28" t="s">
        <v>19861</v>
      </c>
      <c r="D334" s="28" t="s">
        <v>21425</v>
      </c>
      <c r="E334" s="4" t="str">
        <f ca="1">IFERROR(__xludf.DUMMYFUNCTION("GOOGLETRANSLATE(B334,""ja"",""vi"")"),"Fendi")</f>
        <v>Fendi</v>
      </c>
      <c r="F334" s="4" t="str">
        <f ca="1">IFERROR(__xludf.DUMMYFUNCTION("GOOGLETRANSLATE(C334,""ja"",""vi"")"),"Đấu giá&gt; làm đẹp, chăm sóc sức khỏe&gt; ​​nước hoa, hương thơm&gt; cho phụ nữ&gt; Fendi")</f>
        <v>Đấu giá&gt; làm đẹp, chăm sóc sức khỏe&gt; ​​nước hoa, hương thơm&gt; cho phụ nữ&gt; Fendi</v>
      </c>
      <c r="G334" t="str">
        <f t="shared" ca="1" si="5"/>
        <v>"2084053268" : "Fendi",</v>
      </c>
    </row>
    <row r="335" spans="1:7" ht="15.75" customHeight="1">
      <c r="A335" s="28">
        <v>2084007447</v>
      </c>
      <c r="B335" s="28" t="s">
        <v>11984</v>
      </c>
      <c r="C335" s="28" t="s">
        <v>19869</v>
      </c>
      <c r="D335" s="28" t="s">
        <v>21427</v>
      </c>
      <c r="E335" s="4" t="str">
        <f ca="1">IFERROR(__xludf.DUMMYFUNCTION("GOOGLETRANSLATE(B335,""ja"",""vi"")"),"Bulgari")</f>
        <v>Bulgari</v>
      </c>
      <c r="F335" s="4" t="str">
        <f ca="1">IFERROR(__xludf.DUMMYFUNCTION("GOOGLETRANSLATE(C335,""ja"",""vi"")"),"Đấu giá&gt; làm đẹp, chăm sóc sức khỏe&gt; ​​nước hoa, hương thơm&gt; cho phụ nữ&gt; Bulgari")</f>
        <v>Đấu giá&gt; làm đẹp, chăm sóc sức khỏe&gt; ​​nước hoa, hương thơm&gt; cho phụ nữ&gt; Bulgari</v>
      </c>
      <c r="G335" t="str">
        <f t="shared" ca="1" si="5"/>
        <v>"2084007447" : "Bulgari",</v>
      </c>
    </row>
    <row r="336" spans="1:7" ht="15.75" customHeight="1">
      <c r="A336" s="28">
        <v>2084243973</v>
      </c>
      <c r="B336" s="28" t="s">
        <v>9168</v>
      </c>
      <c r="C336" s="28" t="s">
        <v>19874</v>
      </c>
      <c r="D336" s="28" t="s">
        <v>21430</v>
      </c>
      <c r="E336" s="4" t="str">
        <f ca="1">IFERROR(__xludf.DUMMYFUNCTION("GOOGLETRANSLATE(B336,""ja"",""vi"")"),"Victoria 's Secret")</f>
        <v>Victoria 's Secret</v>
      </c>
      <c r="F336" s="4" t="str">
        <f ca="1">IFERROR(__xludf.DUMMYFUNCTION("GOOGLETRANSLATE(C336,""ja"",""vi"")"),"Đấu giá&gt; làm đẹp, chăm sóc sức khỏe&gt; ​​nước hoa, hương thơm&gt; cho phụ nữ&gt; Victoria 's Secret")</f>
        <v>Đấu giá&gt; làm đẹp, chăm sóc sức khỏe&gt; ​​nước hoa, hương thơm&gt; cho phụ nữ&gt; Victoria 's Secret</v>
      </c>
      <c r="G336" t="str">
        <f t="shared" ca="1" si="5"/>
        <v>"2084243973" : "Victoria 's Secret",</v>
      </c>
    </row>
    <row r="337" spans="1:7" ht="15.75" customHeight="1">
      <c r="A337" s="28">
        <v>2084053265</v>
      </c>
      <c r="B337" s="28" t="s">
        <v>9176</v>
      </c>
      <c r="C337" s="28" t="s">
        <v>19880</v>
      </c>
      <c r="D337" s="28" t="s">
        <v>21433</v>
      </c>
      <c r="E337" s="4" t="str">
        <f ca="1">IFERROR(__xludf.DUMMYFUNCTION("GOOGLETRANSLATE(B337,""ja"",""vi"")"),"Vivienne Westwood")</f>
        <v>Vivienne Westwood</v>
      </c>
      <c r="F337" s="4" t="str">
        <f ca="1">IFERROR(__xludf.DUMMYFUNCTION("GOOGLETRANSLATE(C337,""ja"",""vi"")"),"Đấu giá&gt; làm đẹp, chăm sóc sức khỏe&gt; ​​nước hoa, hương thơm&gt; cho phụ nữ&gt; Vivienne Westwood")</f>
        <v>Đấu giá&gt; làm đẹp, chăm sóc sức khỏe&gt; ​​nước hoa, hương thơm&gt; cho phụ nữ&gt; Vivienne Westwood</v>
      </c>
      <c r="G337" t="str">
        <f t="shared" ca="1" si="5"/>
        <v>"2084053265" : "Vivienne Westwood",</v>
      </c>
    </row>
    <row r="338" spans="1:7" ht="15.75" customHeight="1">
      <c r="A338" s="28">
        <v>2084053241</v>
      </c>
      <c r="B338" s="28" t="s">
        <v>19885</v>
      </c>
      <c r="C338" s="28" t="s">
        <v>19888</v>
      </c>
      <c r="D338" s="28" t="s">
        <v>21436</v>
      </c>
      <c r="E338" s="4" t="str">
        <f ca="1">IFERROR(__xludf.DUMMYFUNCTION("GOOGLETRANSLATE(B338,""ja"",""vi"")"),"Masaki Matsushima")</f>
        <v>Masaki Matsushima</v>
      </c>
      <c r="F338" s="4" t="str">
        <f ca="1">IFERROR(__xludf.DUMMYFUNCTION("GOOGLETRANSLATE(C338,""ja"",""vi"")"),"Đấu giá&gt; làm đẹp, chăm sóc sức khỏe&gt; ​​nước hoa, hương thơm&gt; cho phụ nữ&gt; Masaki Matsushima")</f>
        <v>Đấu giá&gt; làm đẹp, chăm sóc sức khỏe&gt; ​​nước hoa, hương thơm&gt; cho phụ nữ&gt; Masaki Matsushima</v>
      </c>
      <c r="G338" t="str">
        <f t="shared" ca="1" si="5"/>
        <v>"2084053241" : "Masaki Matsushima",</v>
      </c>
    </row>
    <row r="339" spans="1:7" ht="15.75" customHeight="1">
      <c r="A339" s="28">
        <v>2084053247</v>
      </c>
      <c r="B339" s="28" t="s">
        <v>12786</v>
      </c>
      <c r="C339" s="28" t="s">
        <v>19894</v>
      </c>
      <c r="D339" s="28" t="s">
        <v>21438</v>
      </c>
      <c r="E339" s="4" t="str">
        <f ca="1">IFERROR(__xludf.DUMMYFUNCTION("GOOGLETRANSLATE(B339,""ja"",""vi"")"),"Ralph Lauren")</f>
        <v>Ralph Lauren</v>
      </c>
      <c r="F339" s="4" t="str">
        <f ca="1">IFERROR(__xludf.DUMMYFUNCTION("GOOGLETRANSLATE(C339,""ja"",""vi"")"),"Đấu giá&gt; làm đẹp, chăm sóc sức khỏe&gt; ​​nước hoa, hương thơm&gt; cho phụ nữ&gt; Ralph Lauren")</f>
        <v>Đấu giá&gt; làm đẹp, chăm sóc sức khỏe&gt; ​​nước hoa, hương thơm&gt; cho phụ nữ&gt; Ralph Lauren</v>
      </c>
      <c r="G339" t="str">
        <f t="shared" ca="1" si="5"/>
        <v>"2084053247" : "Ralph Lauren",</v>
      </c>
    </row>
    <row r="340" spans="1:7" ht="15.75" customHeight="1">
      <c r="A340" s="28">
        <v>2084007480</v>
      </c>
      <c r="B340" s="28" t="s">
        <v>19898</v>
      </c>
      <c r="C340" s="28" t="s">
        <v>19899</v>
      </c>
      <c r="D340" s="28" t="s">
        <v>21441</v>
      </c>
      <c r="E340" s="4" t="str">
        <f ca="1">IFERROR(__xludf.DUMMYFUNCTION("GOOGLETRANSLATE(B340,""ja"",""vi"")"),"Lancome")</f>
        <v>Lancome</v>
      </c>
      <c r="F340" s="4" t="str">
        <f ca="1">IFERROR(__xludf.DUMMYFUNCTION("GOOGLETRANSLATE(C340,""ja"",""vi"")"),"Đấu giá&gt; làm đẹp, chăm sóc sức khỏe&gt; ​​nước hoa, hương thơm&gt; cho phụ nữ&gt; Lancome")</f>
        <v>Đấu giá&gt; làm đẹp, chăm sóc sức khỏe&gt; ​​nước hoa, hương thơm&gt; cho phụ nữ&gt; Lancome</v>
      </c>
      <c r="G340" t="str">
        <f t="shared" ca="1" si="5"/>
        <v>"2084007480" : "Lancome",</v>
      </c>
    </row>
    <row r="341" spans="1:7" ht="15.75" customHeight="1">
      <c r="A341" s="28">
        <v>2084053253</v>
      </c>
      <c r="B341" s="28" t="s">
        <v>19906</v>
      </c>
      <c r="C341" s="28" t="s">
        <v>19907</v>
      </c>
      <c r="D341" s="28" t="s">
        <v>21443</v>
      </c>
      <c r="E341" s="4" t="str">
        <f ca="1">IFERROR(__xludf.DUMMYFUNCTION("GOOGLETRANSLATE(B341,""ja"",""vi"")"),"Rorisuazaro")</f>
        <v>Rorisuazaro</v>
      </c>
      <c r="F341" s="4" t="str">
        <f ca="1">IFERROR(__xludf.DUMMYFUNCTION("GOOGLETRANSLATE(C341,""ja"",""vi"")"),"Đấu giá&gt; làm đẹp, chăm sóc sức khỏe&gt; ​​nước hoa, hương thơm&gt; cho phụ nữ&gt; Rorisuazaro")</f>
        <v>Đấu giá&gt; làm đẹp, chăm sóc sức khỏe&gt; ​​nước hoa, hương thơm&gt; cho phụ nữ&gt; Rorisuazaro</v>
      </c>
      <c r="G341" t="str">
        <f t="shared" ca="1" si="5"/>
        <v>"2084053253" : "Rorisuazaro",</v>
      </c>
    </row>
    <row r="342" spans="1:7" ht="15.75" customHeight="1">
      <c r="A342" s="28">
        <v>2084007443</v>
      </c>
      <c r="B342" s="28" t="s">
        <v>46</v>
      </c>
      <c r="C342" s="28" t="s">
        <v>19911</v>
      </c>
      <c r="D342" s="28" t="s">
        <v>21446</v>
      </c>
      <c r="E342" s="4" t="str">
        <f ca="1">IFERROR(__xludf.DUMMYFUNCTION("GOOGLETRANSLATE(B342,""ja"",""vi"")"),"nếu không thì")</f>
        <v>nếu không thì</v>
      </c>
      <c r="F342" s="4" t="str">
        <f ca="1">IFERROR(__xludf.DUMMYFUNCTION("GOOGLETRANSLATE(C342,""ja"",""vi"")"),"Đấu giá&gt; làm đẹp, chăm sóc sức khỏe&gt; ​​nước hoa, hương thơm&gt; cho phụ nữ&gt; Khác")</f>
        <v>Đấu giá&gt; làm đẹp, chăm sóc sức khỏe&gt; ​​nước hoa, hương thơm&gt; cho phụ nữ&gt; Khác</v>
      </c>
      <c r="G342" t="str">
        <f t="shared" ca="1" si="5"/>
        <v>"2084007443" : "nếu không thì",</v>
      </c>
    </row>
    <row r="343" spans="1:7" ht="15.75" customHeight="1">
      <c r="A343" s="36">
        <v>2084053565</v>
      </c>
      <c r="B343" s="36" t="s">
        <v>19915</v>
      </c>
      <c r="C343" s="36" t="s">
        <v>19916</v>
      </c>
      <c r="D343" s="36" t="s">
        <v>21448</v>
      </c>
      <c r="E343" s="4" t="str">
        <f ca="1">IFERROR(__xludf.DUMMYFUNCTION("GOOGLETRANSLATE(B343,""ja"",""vi"")"),"Aramis")</f>
        <v>Aramis</v>
      </c>
      <c r="F343" s="4" t="str">
        <f ca="1">IFERROR(__xludf.DUMMYFUNCTION("GOOGLETRANSLATE(C343,""ja"",""vi"")"),"Đấu giá&gt; làm đẹp, chăm sóc sức khỏe&gt; ​​nước hoa, hương thơm&gt; dành cho nam giới&gt; Aramis")</f>
        <v>Đấu giá&gt; làm đẹp, chăm sóc sức khỏe&gt; ​​nước hoa, hương thơm&gt; dành cho nam giới&gt; Aramis</v>
      </c>
      <c r="G343" t="str">
        <f t="shared" ca="1" si="5"/>
        <v>"2084053565" : "Aramis",</v>
      </c>
    </row>
    <row r="344" spans="1:7" ht="15.75" customHeight="1">
      <c r="A344" s="28">
        <v>2084053546</v>
      </c>
      <c r="B344" s="28" t="s">
        <v>19918</v>
      </c>
      <c r="C344" s="28" t="s">
        <v>19920</v>
      </c>
      <c r="D344" s="28" t="s">
        <v>21450</v>
      </c>
      <c r="E344" s="4" t="str">
        <f ca="1">IFERROR(__xludf.DUMMYFUNCTION("GOOGLETRANSLATE(B344,""ja"",""vi"")"),"Alain Delon")</f>
        <v>Alain Delon</v>
      </c>
      <c r="F344" s="4" t="str">
        <f ca="1">IFERROR(__xludf.DUMMYFUNCTION("GOOGLETRANSLATE(C344,""ja"",""vi"")"),"Đấu giá&gt; làm đẹp, chăm sóc sức khỏe&gt; ​​nước hoa, hương thơm&gt; dành cho nam giới&gt; Alain Delon")</f>
        <v>Đấu giá&gt; làm đẹp, chăm sóc sức khỏe&gt; ​​nước hoa, hương thơm&gt; dành cho nam giới&gt; Alain Delon</v>
      </c>
      <c r="G344" t="str">
        <f t="shared" ca="1" si="5"/>
        <v>"2084053546" : "Alain Delon",</v>
      </c>
    </row>
    <row r="345" spans="1:7" ht="15.75" customHeight="1">
      <c r="A345" s="28">
        <v>2084053566</v>
      </c>
      <c r="B345" s="28" t="s">
        <v>19670</v>
      </c>
      <c r="C345" s="28" t="s">
        <v>19923</v>
      </c>
      <c r="D345" s="28" t="s">
        <v>21452</v>
      </c>
      <c r="E345" s="4" t="str">
        <f ca="1">IFERROR(__xludf.DUMMYFUNCTION("GOOGLETRANSLATE(B345,""ja"",""vi"")"),"Elizabeth Arden")</f>
        <v>Elizabeth Arden</v>
      </c>
      <c r="F345" s="4" t="str">
        <f ca="1">IFERROR(__xludf.DUMMYFUNCTION("GOOGLETRANSLATE(C345,""ja"",""vi"")"),"Đấu giá&gt; làm đẹp, chăm sóc sức khỏe&gt; ​​nước hoa, hương thơm&gt; dành cho nam giới&gt; Elizabeth Arden")</f>
        <v>Đấu giá&gt; làm đẹp, chăm sóc sức khỏe&gt; ​​nước hoa, hương thơm&gt; dành cho nam giới&gt; Elizabeth Arden</v>
      </c>
      <c r="G345" t="str">
        <f t="shared" ca="1" si="5"/>
        <v>"2084053566" : "Elizabeth Arden",</v>
      </c>
    </row>
    <row r="346" spans="1:7" ht="15.75" customHeight="1">
      <c r="A346" s="28">
        <v>2084053545</v>
      </c>
      <c r="B346" s="28" t="s">
        <v>19687</v>
      </c>
      <c r="C346" s="28" t="s">
        <v>19926</v>
      </c>
      <c r="D346" s="28" t="s">
        <v>21454</v>
      </c>
      <c r="E346" s="4" t="str">
        <f ca="1">IFERROR(__xludf.DUMMYFUNCTION("GOOGLETRANSLATE(B346,""ja"",""vi"")"),"Calvin Klein")</f>
        <v>Calvin Klein</v>
      </c>
      <c r="F346" s="4" t="str">
        <f ca="1">IFERROR(__xludf.DUMMYFUNCTION("GOOGLETRANSLATE(C346,""ja"",""vi"")"),"Đấu giá&gt; làm đẹp, chăm sóc sức khỏe&gt; ​​nước hoa, hương thơm&gt; dành cho nam giới&gt; Calvin Klein")</f>
        <v>Đấu giá&gt; làm đẹp, chăm sóc sức khỏe&gt; ​​nước hoa, hương thơm&gt; dành cho nam giới&gt; Calvin Klein</v>
      </c>
      <c r="G346" t="str">
        <f t="shared" ca="1" si="5"/>
        <v>"2084053545" : "Calvin Klein",</v>
      </c>
    </row>
    <row r="347" spans="1:7" ht="15.75" customHeight="1">
      <c r="A347" s="28">
        <v>2084053557</v>
      </c>
      <c r="B347" s="28" t="s">
        <v>9858</v>
      </c>
      <c r="C347" s="28" t="s">
        <v>19933</v>
      </c>
      <c r="D347" s="28" t="s">
        <v>21457</v>
      </c>
      <c r="E347" s="4" t="str">
        <f ca="1">IFERROR(__xludf.DUMMYFUNCTION("GOOGLETRANSLATE(B347,""ja"",""vi"")"),"Christian Dior")</f>
        <v>Christian Dior</v>
      </c>
      <c r="F347" s="4" t="str">
        <f ca="1">IFERROR(__xludf.DUMMYFUNCTION("GOOGLETRANSLATE(C347,""ja"",""vi"")"),"Đấu giá&gt; làm đẹp, chăm sóc sức khỏe&gt; ​​nước hoa, hương thơm&gt; dành cho nam giới&gt; Christian Dior")</f>
        <v>Đấu giá&gt; làm đẹp, chăm sóc sức khỏe&gt; ​​nước hoa, hương thơm&gt; dành cho nam giới&gt; Christian Dior</v>
      </c>
      <c r="G347" t="str">
        <f t="shared" ca="1" si="5"/>
        <v>"2084053557" : "Christian Dior",</v>
      </c>
    </row>
    <row r="348" spans="1:7" ht="15.75" customHeight="1">
      <c r="A348" s="28">
        <v>2084053551</v>
      </c>
      <c r="B348" s="28" t="s">
        <v>19700</v>
      </c>
      <c r="C348" s="28" t="s">
        <v>19942</v>
      </c>
      <c r="D348" s="28" t="s">
        <v>21460</v>
      </c>
      <c r="E348" s="4" t="str">
        <f ca="1">IFERROR(__xludf.DUMMYFUNCTION("GOOGLETRANSLATE(B348,""ja"",""vi"")"),"Clinique")</f>
        <v>Clinique</v>
      </c>
      <c r="F348" s="4" t="str">
        <f ca="1">IFERROR(__xludf.DUMMYFUNCTION("GOOGLETRANSLATE(C348,""ja"",""vi"")"),"Đấu giá&gt; làm đẹp, chăm sóc sức khỏe&gt; ​​nước hoa, hương thơm&gt; dành cho nam giới&gt; Clinique")</f>
        <v>Đấu giá&gt; làm đẹp, chăm sóc sức khỏe&gt; ​​nước hoa, hương thơm&gt; dành cho nam giới&gt; Clinique</v>
      </c>
      <c r="G348" t="str">
        <f t="shared" ca="1" si="5"/>
        <v>"2084053551" : "Clinique",</v>
      </c>
    </row>
    <row r="349" spans="1:7" ht="15.75" customHeight="1">
      <c r="A349" s="28">
        <v>2084053544</v>
      </c>
      <c r="B349" s="28" t="s">
        <v>9815</v>
      </c>
      <c r="C349" s="28" t="s">
        <v>19947</v>
      </c>
      <c r="D349" s="28" t="s">
        <v>21462</v>
      </c>
      <c r="E349" s="4" t="str">
        <f ca="1">IFERROR(__xludf.DUMMYFUNCTION("GOOGLETRANSLATE(B349,""ja"",""vi"")"),"Gucci")</f>
        <v>Gucci</v>
      </c>
      <c r="F349" s="4" t="str">
        <f ca="1">IFERROR(__xludf.DUMMYFUNCTION("GOOGLETRANSLATE(C349,""ja"",""vi"")"),"Đấu giá&gt; làm đẹp, chăm sóc sức khỏe&gt; ​​nước hoa, hương thơm&gt; dành cho nam giới&gt; Gucci")</f>
        <v>Đấu giá&gt; làm đẹp, chăm sóc sức khỏe&gt; ​​nước hoa, hương thơm&gt; dành cho nam giới&gt; Gucci</v>
      </c>
      <c r="G349" t="str">
        <f t="shared" ca="1" si="5"/>
        <v>"2084053544" : "Gucci",</v>
      </c>
    </row>
    <row r="350" spans="1:7" ht="15.75" customHeight="1">
      <c r="A350" s="28">
        <v>2084053555</v>
      </c>
      <c r="B350" s="28" t="s">
        <v>10004</v>
      </c>
      <c r="C350" s="28" t="s">
        <v>19949</v>
      </c>
      <c r="D350" s="28" t="s">
        <v>21464</v>
      </c>
      <c r="E350" s="4" t="str">
        <f ca="1">IFERROR(__xludf.DUMMYFUNCTION("GOOGLETRANSLATE(B350,""ja"",""vi"")"),"Kenzo")</f>
        <v>Kenzo</v>
      </c>
      <c r="F350" s="4" t="str">
        <f ca="1">IFERROR(__xludf.DUMMYFUNCTION("GOOGLETRANSLATE(C350,""ja"",""vi"")"),"Đấu giá&gt; làm đẹp, chăm sóc sức khỏe&gt; ​​nước hoa, hương thơm&gt; dành cho nam giới&gt; Kenzo")</f>
        <v>Đấu giá&gt; làm đẹp, chăm sóc sức khỏe&gt; ​​nước hoa, hương thơm&gt; dành cho nam giới&gt; Kenzo</v>
      </c>
      <c r="G350" t="str">
        <f t="shared" ca="1" si="5"/>
        <v>"2084053555" : "Kenzo",</v>
      </c>
    </row>
    <row r="351" spans="1:7" ht="15.75" customHeight="1">
      <c r="A351" s="28">
        <v>2084053549</v>
      </c>
      <c r="B351" s="28" t="s">
        <v>10288</v>
      </c>
      <c r="C351" s="28" t="s">
        <v>19952</v>
      </c>
      <c r="D351" s="28" t="s">
        <v>21466</v>
      </c>
      <c r="E351" s="4" t="str">
        <f ca="1">IFERROR(__xludf.DUMMYFUNCTION("GOOGLETRANSLATE(B351,""ja"",""vi"")"),"Chanel")</f>
        <v>Chanel</v>
      </c>
      <c r="F351" s="4" t="str">
        <f ca="1">IFERROR(__xludf.DUMMYFUNCTION("GOOGLETRANSLATE(C351,""ja"",""vi"")"),"Đấu giá&gt; làm đẹp, chăm sóc sức khỏe&gt; ​​nước hoa, hương thơm&gt; dành cho nam giới&gt; Chanel")</f>
        <v>Đấu giá&gt; làm đẹp, chăm sóc sức khỏe&gt; ​​nước hoa, hương thơm&gt; dành cho nam giới&gt; Chanel</v>
      </c>
      <c r="G351" t="str">
        <f t="shared" ca="1" si="5"/>
        <v>"2084053549" : "Chanel",</v>
      </c>
    </row>
    <row r="352" spans="1:7" ht="15.75" customHeight="1">
      <c r="A352" s="28">
        <v>2084053552</v>
      </c>
      <c r="B352" s="28" t="s">
        <v>10250</v>
      </c>
      <c r="C352" s="28" t="s">
        <v>19958</v>
      </c>
      <c r="D352" s="28" t="s">
        <v>21469</v>
      </c>
      <c r="E352" s="4" t="str">
        <f ca="1">IFERROR(__xludf.DUMMYFUNCTION("GOOGLETRANSLATE(B352,""ja"",""vi"")"),"Givenchy")</f>
        <v>Givenchy</v>
      </c>
      <c r="F352" s="4" t="str">
        <f ca="1">IFERROR(__xludf.DUMMYFUNCTION("GOOGLETRANSLATE(C352,""ja"",""vi"")"),"Đấu giá&gt; làm đẹp, chăm sóc sức khỏe&gt; ​​nước hoa, hương thơm&gt; dành cho nam giới&gt; Givenchy")</f>
        <v>Đấu giá&gt; làm đẹp, chăm sóc sức khỏe&gt; ​​nước hoa, hương thơm&gt; dành cho nam giới&gt; Givenchy</v>
      </c>
      <c r="G352" t="str">
        <f t="shared" ca="1" si="5"/>
        <v>"2084053552" : "Givenchy",</v>
      </c>
    </row>
    <row r="353" spans="1:7" ht="15.75" customHeight="1">
      <c r="A353" s="28">
        <v>2084053567</v>
      </c>
      <c r="B353" s="28" t="s">
        <v>19962</v>
      </c>
      <c r="C353" s="28" t="s">
        <v>19965</v>
      </c>
      <c r="D353" s="28" t="s">
        <v>21471</v>
      </c>
      <c r="E353" s="4" t="str">
        <f ca="1">IFERROR(__xludf.DUMMYFUNCTION("GOOGLETRANSLATE(B353,""ja"",""vi"")"),"giống beo ở mỹ")</f>
        <v>giống beo ở mỹ</v>
      </c>
      <c r="F353" s="4" t="str">
        <f ca="1">IFERROR(__xludf.DUMMYFUNCTION("GOOGLETRANSLATE(C353,""ja"",""vi"")"),"Đấu giá&gt; làm đẹp, chăm sóc sức khỏe&gt; ​​nước hoa, hương thơm&gt; dành cho nam giới&gt; Jaguar")</f>
        <v>Đấu giá&gt; làm đẹp, chăm sóc sức khỏe&gt; ​​nước hoa, hương thơm&gt; dành cho nam giới&gt; Jaguar</v>
      </c>
      <c r="G353" t="str">
        <f t="shared" ca="1" si="5"/>
        <v>"2084053567" : "giống beo ở mỹ",</v>
      </c>
    </row>
    <row r="354" spans="1:7" ht="15.75" customHeight="1">
      <c r="A354" s="28">
        <v>2084053558</v>
      </c>
      <c r="B354" s="28" t="s">
        <v>19756</v>
      </c>
      <c r="C354" s="28" t="s">
        <v>19967</v>
      </c>
      <c r="D354" s="28" t="s">
        <v>21474</v>
      </c>
      <c r="E354" s="4" t="str">
        <f ca="1">IFERROR(__xludf.DUMMYFUNCTION("GOOGLETRANSLATE(B354,""ja"",""vi"")"),"Jeanne Artes")</f>
        <v>Jeanne Artes</v>
      </c>
      <c r="F354" s="4" t="str">
        <f ca="1">IFERROR(__xludf.DUMMYFUNCTION("GOOGLETRANSLATE(C354,""ja"",""vi"")"),"Đấu giá&gt; làm đẹp, chăm sóc sức khỏe&gt; ​​nước hoa, hương thơm&gt; dành cho nam giới&gt; Jeanne Artes")</f>
        <v>Đấu giá&gt; làm đẹp, chăm sóc sức khỏe&gt; ​​nước hoa, hương thơm&gt; dành cho nam giới&gt; Jeanne Artes</v>
      </c>
      <c r="G354" t="str">
        <f t="shared" ca="1" si="5"/>
        <v>"2084053558" : "Jeanne Artes",</v>
      </c>
    </row>
    <row r="355" spans="1:7" ht="15.75" customHeight="1">
      <c r="A355" s="28">
        <v>2084053556</v>
      </c>
      <c r="B355" s="28" t="s">
        <v>10440</v>
      </c>
      <c r="C355" s="28" t="s">
        <v>19972</v>
      </c>
      <c r="D355" s="28" t="s">
        <v>21477</v>
      </c>
      <c r="E355" s="4" t="str">
        <f ca="1">IFERROR(__xludf.DUMMYFUNCTION("GOOGLETRANSLATE(B355,""ja"",""vi"")"),"Jil Sander")</f>
        <v>Jil Sander</v>
      </c>
      <c r="F355" s="4" t="str">
        <f ca="1">IFERROR(__xludf.DUMMYFUNCTION("GOOGLETRANSLATE(C355,""ja"",""vi"")"),"Đấu giá&gt; làm đẹp, chăm sóc sức khỏe&gt; ​​nước hoa, hương thơm&gt; dành cho nam giới&gt; Jil Sander")</f>
        <v>Đấu giá&gt; làm đẹp, chăm sóc sức khỏe&gt; ​​nước hoa, hương thơm&gt; dành cho nam giới&gt; Jil Sander</v>
      </c>
      <c r="G355" t="str">
        <f t="shared" ca="1" si="5"/>
        <v>"2084053556" : "Jil Sander",</v>
      </c>
    </row>
    <row r="356" spans="1:7" ht="15.75" customHeight="1">
      <c r="A356" s="28">
        <v>2084053553</v>
      </c>
      <c r="B356" s="28" t="s">
        <v>19791</v>
      </c>
      <c r="C356" s="28" t="s">
        <v>19982</v>
      </c>
      <c r="D356" s="28" t="s">
        <v>21480</v>
      </c>
      <c r="E356" s="4" t="str">
        <f ca="1">IFERROR(__xludf.DUMMYFUNCTION("GOOGLETRANSLATE(B356,""ja"",""vi"")"),"Davidoff")</f>
        <v>Davidoff</v>
      </c>
      <c r="F356" s="4" t="str">
        <f ca="1">IFERROR(__xludf.DUMMYFUNCTION("GOOGLETRANSLATE(C356,""ja"",""vi"")"),"Đấu giá&gt; làm đẹp, chăm sóc sức khỏe&gt; ​​nước hoa, hương thơm&gt; dành cho nam giới&gt; Davidoff")</f>
        <v>Đấu giá&gt; làm đẹp, chăm sóc sức khỏe&gt; ​​nước hoa, hương thơm&gt; dành cho nam giới&gt; Davidoff</v>
      </c>
      <c r="G356" t="str">
        <f t="shared" ca="1" si="5"/>
        <v>"2084053553" : "Davidoff",</v>
      </c>
    </row>
    <row r="357" spans="1:7" ht="15.75" customHeight="1">
      <c r="A357" s="28">
        <v>2084053548</v>
      </c>
      <c r="B357" s="28" t="s">
        <v>11049</v>
      </c>
      <c r="C357" s="28" t="s">
        <v>19987</v>
      </c>
      <c r="D357" s="28" t="s">
        <v>21485</v>
      </c>
      <c r="E357" s="4" t="str">
        <f ca="1">IFERROR(__xludf.DUMMYFUNCTION("GOOGLETRANSLATE(B357,""ja"",""vi"")"),"Tommy Hilfiger")</f>
        <v>Tommy Hilfiger</v>
      </c>
      <c r="F357" s="4" t="str">
        <f ca="1">IFERROR(__xludf.DUMMYFUNCTION("GOOGLETRANSLATE(C357,""ja"",""vi"")"),"Đấu giá&gt; làm đẹp, chăm sóc sức khỏe&gt; ​​nước hoa, hương thơm&gt; dành cho nam giới&gt; Tommy Hilfiger")</f>
        <v>Đấu giá&gt; làm đẹp, chăm sóc sức khỏe&gt; ​​nước hoa, hương thơm&gt; dành cho nam giới&gt; Tommy Hilfiger</v>
      </c>
      <c r="G357" t="str">
        <f t="shared" ca="1" si="5"/>
        <v>"2084053548" : "Tommy Hilfiger",</v>
      </c>
    </row>
    <row r="358" spans="1:7" ht="15.75" customHeight="1">
      <c r="A358" s="28">
        <v>2084053560</v>
      </c>
      <c r="B358" s="28" t="s">
        <v>11111</v>
      </c>
      <c r="C358" s="28" t="s">
        <v>19995</v>
      </c>
      <c r="D358" s="28" t="s">
        <v>21489</v>
      </c>
      <c r="E358" s="4" t="str">
        <f ca="1">IFERROR(__xludf.DUMMYFUNCTION("GOOGLETRANSLATE(B358,""ja"",""vi"")"),"Dolce &amp; Gabbana")</f>
        <v>Dolce &amp; Gabbana</v>
      </c>
      <c r="F358" s="4" t="str">
        <f ca="1">IFERROR(__xludf.DUMMYFUNCTION("GOOGLETRANSLATE(C358,""ja"",""vi"")"),"Đấu giá&gt; làm đẹp, chăm sóc sức khỏe&gt; ​​nước hoa, hương thơm&gt; dành cho nam giới&gt; Dolce &amp; Gabbana")</f>
        <v>Đấu giá&gt; làm đẹp, chăm sóc sức khỏe&gt; ​​nước hoa, hương thơm&gt; dành cho nam giới&gt; Dolce &amp; Gabbana</v>
      </c>
      <c r="G358" t="str">
        <f t="shared" ca="1" si="5"/>
        <v>"2084053560" : "Dolce &amp; Gabbana",</v>
      </c>
    </row>
    <row r="359" spans="1:7" ht="15.75" customHeight="1">
      <c r="A359" s="28">
        <v>2084053550</v>
      </c>
      <c r="B359" s="28" t="s">
        <v>19822</v>
      </c>
      <c r="C359" s="28" t="s">
        <v>20003</v>
      </c>
      <c r="D359" s="28" t="s">
        <v>21492</v>
      </c>
      <c r="E359" s="4" t="str">
        <f ca="1">IFERROR(__xludf.DUMMYFUNCTION("GOOGLETRANSLATE(B359,""ja"",""vi"")"),"Nikos")</f>
        <v>Nikos</v>
      </c>
      <c r="F359" s="4" t="str">
        <f ca="1">IFERROR(__xludf.DUMMYFUNCTION("GOOGLETRANSLATE(C359,""ja"",""vi"")"),"Đấu giá&gt; làm đẹp, chăm sóc sức khỏe&gt; ​​nước hoa, hương thơm&gt; dành cho nam giới&gt; Nikos")</f>
        <v>Đấu giá&gt; làm đẹp, chăm sóc sức khỏe&gt; ​​nước hoa, hương thơm&gt; dành cho nam giới&gt; Nikos</v>
      </c>
      <c r="G359" t="str">
        <f t="shared" ca="1" si="5"/>
        <v>"2084053550" : "Nikos",</v>
      </c>
    </row>
    <row r="360" spans="1:7" ht="15.75" customHeight="1">
      <c r="A360" s="28">
        <v>2084053561</v>
      </c>
      <c r="B360" s="28" t="s">
        <v>11443</v>
      </c>
      <c r="C360" s="28" t="s">
        <v>20009</v>
      </c>
      <c r="D360" s="28" t="s">
        <v>21497</v>
      </c>
      <c r="E360" s="4" t="str">
        <f ca="1">IFERROR(__xludf.DUMMYFUNCTION("GOOGLETRANSLATE(B360,""ja"",""vi"")"),"chổ lồi ở cây")</f>
        <v>chổ lồi ở cây</v>
      </c>
      <c r="F360" s="4" t="str">
        <f ca="1">IFERROR(__xludf.DUMMYFUNCTION("GOOGLETRANSLATE(C360,""ja"",""vi"")"),"Đấu giá&gt; làm đẹp, chăm sóc sức khỏe&gt; ​​nước hoa, hương thơm&gt; dành cho nam giới&gt; Burberry")</f>
        <v>Đấu giá&gt; làm đẹp, chăm sóc sức khỏe&gt; ​​nước hoa, hương thơm&gt; dành cho nam giới&gt; Burberry</v>
      </c>
      <c r="G360" t="str">
        <f t="shared" ca="1" si="5"/>
        <v>"2084053561" : "chổ lồi ở cây",</v>
      </c>
    </row>
    <row r="361" spans="1:7" ht="15.75" customHeight="1">
      <c r="A361" s="28">
        <v>2084053568</v>
      </c>
      <c r="B361" s="28" t="s">
        <v>19843</v>
      </c>
      <c r="C361" s="28" t="s">
        <v>20019</v>
      </c>
      <c r="D361" s="28" t="s">
        <v>21499</v>
      </c>
      <c r="E361" s="4" t="str">
        <f ca="1">IFERROR(__xludf.DUMMYFUNCTION("GOOGLETRANSLATE(B361,""ja"",""vi"")"),"Paco Rabanne")</f>
        <v>Paco Rabanne</v>
      </c>
      <c r="F361" s="4" t="str">
        <f ca="1">IFERROR(__xludf.DUMMYFUNCTION("GOOGLETRANSLATE(C361,""ja"",""vi"")"),"Đấu giá&gt; làm đẹp, chăm sóc sức khỏe&gt; ​​nước hoa, hương thơm&gt; dành cho nam giới&gt; Paco Rabanne")</f>
        <v>Đấu giá&gt; làm đẹp, chăm sóc sức khỏe&gt; ​​nước hoa, hương thơm&gt; dành cho nam giới&gt; Paco Rabanne</v>
      </c>
      <c r="G361" t="str">
        <f t="shared" ca="1" si="5"/>
        <v>"2084053568" : "Paco Rabanne",</v>
      </c>
    </row>
    <row r="362" spans="1:7" ht="15.75" customHeight="1">
      <c r="A362" s="28">
        <v>2084053562</v>
      </c>
      <c r="B362" s="28" t="s">
        <v>16149</v>
      </c>
      <c r="C362" s="28" t="s">
        <v>20027</v>
      </c>
      <c r="D362" s="28" t="s">
        <v>21501</v>
      </c>
      <c r="E362" s="4" t="str">
        <f ca="1">IFERROR(__xludf.DUMMYFUNCTION("GOOGLETRANSLATE(B362,""ja"",""vi"")"),"Hugo Boss")</f>
        <v>Hugo Boss</v>
      </c>
      <c r="F362" s="4" t="str">
        <f ca="1">IFERROR(__xludf.DUMMYFUNCTION("GOOGLETRANSLATE(C362,""ja"",""vi"")"),"Đấu giá&gt; làm đẹp, chăm sóc sức khỏe&gt; ​​nước hoa, hương thơm&gt; dành cho nam giới&gt; Hugo Boss")</f>
        <v>Đấu giá&gt; làm đẹp, chăm sóc sức khỏe&gt; ​​nước hoa, hương thơm&gt; dành cho nam giới&gt; Hugo Boss</v>
      </c>
      <c r="G362" t="str">
        <f t="shared" ca="1" si="5"/>
        <v>"2084053562" : "Hugo Boss",</v>
      </c>
    </row>
    <row r="363" spans="1:7" ht="15.75" customHeight="1">
      <c r="A363" s="28">
        <v>2084053547</v>
      </c>
      <c r="B363" s="28" t="s">
        <v>11984</v>
      </c>
      <c r="C363" s="28" t="s">
        <v>20032</v>
      </c>
      <c r="D363" s="28" t="s">
        <v>21505</v>
      </c>
      <c r="E363" s="4" t="str">
        <f ca="1">IFERROR(__xludf.DUMMYFUNCTION("GOOGLETRANSLATE(B363,""ja"",""vi"")"),"Bulgari")</f>
        <v>Bulgari</v>
      </c>
      <c r="F363" s="4" t="str">
        <f ca="1">IFERROR(__xludf.DUMMYFUNCTION("GOOGLETRANSLATE(C363,""ja"",""vi"")"),"Đấu giá&gt; làm đẹp, chăm sóc sức khỏe&gt; ​​nước hoa, hương thơm&gt; dành cho nam giới&gt; Bulgari")</f>
        <v>Đấu giá&gt; làm đẹp, chăm sóc sức khỏe&gt; ​​nước hoa, hương thơm&gt; dành cho nam giới&gt; Bulgari</v>
      </c>
      <c r="G363" t="str">
        <f t="shared" ca="1" si="5"/>
        <v>"2084053547" : "Bulgari",</v>
      </c>
    </row>
    <row r="364" spans="1:7" ht="15.75" customHeight="1">
      <c r="A364" s="28">
        <v>2084053569</v>
      </c>
      <c r="B364" s="28" t="s">
        <v>16193</v>
      </c>
      <c r="C364" s="28" t="s">
        <v>20039</v>
      </c>
      <c r="D364" s="28" t="s">
        <v>21508</v>
      </c>
      <c r="E364" s="4" t="str">
        <f ca="1">IFERROR(__xludf.DUMMYFUNCTION("GOOGLETRANSLATE(B364,""ja"",""vi"")"),"Paul Smith")</f>
        <v>Paul Smith</v>
      </c>
      <c r="F364" s="4" t="str">
        <f ca="1">IFERROR(__xludf.DUMMYFUNCTION("GOOGLETRANSLATE(C364,""ja"",""vi"")"),"Đấu giá&gt; làm đẹp, chăm sóc sức khỏe&gt; ​​nước hoa, hương thơm&gt; dành cho nam giới&gt; Paul Smith")</f>
        <v>Đấu giá&gt; làm đẹp, chăm sóc sức khỏe&gt; ​​nước hoa, hương thơm&gt; dành cho nam giới&gt; Paul Smith</v>
      </c>
      <c r="G364" t="str">
        <f t="shared" ca="1" si="5"/>
        <v>"2084053569" : "Paul Smith",</v>
      </c>
    </row>
    <row r="365" spans="1:7" ht="15.75" customHeight="1">
      <c r="A365" s="28">
        <v>2084053559</v>
      </c>
      <c r="B365" s="28" t="s">
        <v>12786</v>
      </c>
      <c r="C365" s="28" t="s">
        <v>20046</v>
      </c>
      <c r="D365" s="28" t="s">
        <v>21511</v>
      </c>
      <c r="E365" s="4" t="str">
        <f ca="1">IFERROR(__xludf.DUMMYFUNCTION("GOOGLETRANSLATE(B365,""ja"",""vi"")"),"Ralph Lauren")</f>
        <v>Ralph Lauren</v>
      </c>
      <c r="F365" s="4" t="str">
        <f ca="1">IFERROR(__xludf.DUMMYFUNCTION("GOOGLETRANSLATE(C365,""ja"",""vi"")"),"Đấu giá&gt; làm đẹp, chăm sóc sức khỏe&gt; ​​nước hoa, hương thơm&gt; dành cho nam giới&gt; Ralph Lauren")</f>
        <v>Đấu giá&gt; làm đẹp, chăm sóc sức khỏe&gt; ​​nước hoa, hương thơm&gt; dành cho nam giới&gt; Ralph Lauren</v>
      </c>
      <c r="G365" t="str">
        <f t="shared" ca="1" si="5"/>
        <v>"2084053559" : "Ralph Lauren",</v>
      </c>
    </row>
    <row r="366" spans="1:7" ht="15.75" customHeight="1">
      <c r="A366" s="28">
        <v>2084053570</v>
      </c>
      <c r="B366" s="28" t="s">
        <v>19898</v>
      </c>
      <c r="C366" s="28" t="s">
        <v>20052</v>
      </c>
      <c r="D366" s="28" t="s">
        <v>21513</v>
      </c>
      <c r="E366" s="4" t="str">
        <f ca="1">IFERROR(__xludf.DUMMYFUNCTION("GOOGLETRANSLATE(B366,""ja"",""vi"")"),"Lancome")</f>
        <v>Lancome</v>
      </c>
      <c r="F366" s="4" t="str">
        <f ca="1">IFERROR(__xludf.DUMMYFUNCTION("GOOGLETRANSLATE(C366,""ja"",""vi"")"),"Đấu giá&gt; làm đẹp, chăm sóc sức khỏe&gt; ​​nước hoa, hương thơm&gt; dành cho nam giới&gt; Lancome")</f>
        <v>Đấu giá&gt; làm đẹp, chăm sóc sức khỏe&gt; ​​nước hoa, hương thơm&gt; dành cho nam giới&gt; Lancome</v>
      </c>
      <c r="G366" t="str">
        <f t="shared" ca="1" si="5"/>
        <v>"2084053570" : "Lancome",</v>
      </c>
    </row>
    <row r="367" spans="1:7" ht="15.75" customHeight="1">
      <c r="A367" s="28">
        <v>2084053563</v>
      </c>
      <c r="B367" s="28" t="s">
        <v>19906</v>
      </c>
      <c r="C367" s="28" t="s">
        <v>20058</v>
      </c>
      <c r="D367" s="28" t="s">
        <v>21514</v>
      </c>
      <c r="E367" s="4" t="str">
        <f ca="1">IFERROR(__xludf.DUMMYFUNCTION("GOOGLETRANSLATE(B367,""ja"",""vi"")"),"Rorisuazaro")</f>
        <v>Rorisuazaro</v>
      </c>
      <c r="F367" s="4" t="str">
        <f ca="1">IFERROR(__xludf.DUMMYFUNCTION("GOOGLETRANSLATE(C367,""ja"",""vi"")"),"Đấu giá&gt; làm đẹp, chăm sóc sức khỏe&gt; ​​nước hoa, hương thơm&gt; dành cho nam giới&gt; Rorisuazaro")</f>
        <v>Đấu giá&gt; làm đẹp, chăm sóc sức khỏe&gt; ​​nước hoa, hương thơm&gt; dành cho nam giới&gt; Rorisuazaro</v>
      </c>
      <c r="G367" t="str">
        <f t="shared" ca="1" si="5"/>
        <v>"2084053563" : "Rorisuazaro",</v>
      </c>
    </row>
    <row r="368" spans="1:7" ht="15.75" customHeight="1">
      <c r="A368" s="28">
        <v>2084053554</v>
      </c>
      <c r="B368" s="28" t="s">
        <v>9191</v>
      </c>
      <c r="C368" s="28" t="s">
        <v>20066</v>
      </c>
      <c r="D368" s="28" t="s">
        <v>21515</v>
      </c>
      <c r="E368" s="4" t="str">
        <f ca="1">IFERROR(__xludf.DUMMYFUNCTION("GOOGLETRANSLATE(B368,""ja"",""vi"")"),"Versace")</f>
        <v>Versace</v>
      </c>
      <c r="F368" s="4" t="str">
        <f ca="1">IFERROR(__xludf.DUMMYFUNCTION("GOOGLETRANSLATE(C368,""ja"",""vi"")"),"Đấu giá&gt; làm đẹp, chăm sóc sức khỏe&gt; ​​nước hoa, hương thơm&gt; dành cho nam giới&gt; Versace")</f>
        <v>Đấu giá&gt; làm đẹp, chăm sóc sức khỏe&gt; ​​nước hoa, hương thơm&gt; dành cho nam giới&gt; Versace</v>
      </c>
      <c r="G368" t="str">
        <f t="shared" ca="1" si="5"/>
        <v>"2084053554" : "Versace",</v>
      </c>
    </row>
    <row r="369" spans="1:7" ht="15.75" customHeight="1">
      <c r="A369" s="28">
        <v>2084053564</v>
      </c>
      <c r="B369" s="28" t="s">
        <v>46</v>
      </c>
      <c r="C369" s="28" t="s">
        <v>20072</v>
      </c>
      <c r="D369" s="28" t="s">
        <v>21516</v>
      </c>
      <c r="E369" s="4" t="str">
        <f ca="1">IFERROR(__xludf.DUMMYFUNCTION("GOOGLETRANSLATE(B369,""ja"",""vi"")"),"nếu không thì")</f>
        <v>nếu không thì</v>
      </c>
      <c r="F369" s="4" t="str">
        <f ca="1">IFERROR(__xludf.DUMMYFUNCTION("GOOGLETRANSLATE(C369,""ja"",""vi"")"),"Đấu giá&gt; làm đẹp, chăm sóc sức khỏe&gt; ​​nước hoa, hương thơm&gt; dành cho nam giới&gt; Khác")</f>
        <v>Đấu giá&gt; làm đẹp, chăm sóc sức khỏe&gt; ​​nước hoa, hương thơm&gt; dành cho nam giới&gt; Khác</v>
      </c>
      <c r="G369" t="str">
        <f t="shared" ca="1" si="5"/>
        <v>"2084053564" : "nếu không thì",</v>
      </c>
    </row>
    <row r="370" spans="1:7" ht="15.75" customHeight="1">
      <c r="A370" s="37">
        <v>2084053572</v>
      </c>
      <c r="B370" s="37" t="s">
        <v>19918</v>
      </c>
      <c r="C370" s="37" t="s">
        <v>20077</v>
      </c>
      <c r="D370" s="37" t="s">
        <v>21517</v>
      </c>
      <c r="E370" s="4" t="str">
        <f ca="1">IFERROR(__xludf.DUMMYFUNCTION("GOOGLETRANSLATE(B370,""ja"",""vi"")"),"Alain Delon")</f>
        <v>Alain Delon</v>
      </c>
      <c r="F370" s="4" t="str">
        <f ca="1">IFERROR(__xludf.DUMMYFUNCTION("GOOGLETRANSLATE(C370,""ja"",""vi"")"),"Đấu giá&gt; làm đẹp, chăm sóc sức khỏe&gt; ​​nước hoa, hương thơm&gt; unisex&gt; Alain Delon")</f>
        <v>Đấu giá&gt; làm đẹp, chăm sóc sức khỏe&gt; ​​nước hoa, hương thơm&gt; unisex&gt; Alain Delon</v>
      </c>
      <c r="G370" t="str">
        <f t="shared" ca="1" si="5"/>
        <v>"2084053572" : "Alain Delon",</v>
      </c>
    </row>
    <row r="371" spans="1:7" ht="15.75" customHeight="1">
      <c r="A371" s="30">
        <v>2084053574</v>
      </c>
      <c r="B371" s="30" t="s">
        <v>19687</v>
      </c>
      <c r="C371" s="30" t="s">
        <v>20084</v>
      </c>
      <c r="D371" s="30" t="s">
        <v>21518</v>
      </c>
      <c r="E371" s="4" t="str">
        <f ca="1">IFERROR(__xludf.DUMMYFUNCTION("GOOGLETRANSLATE(B371,""ja"",""vi"")"),"Calvin Klein")</f>
        <v>Calvin Klein</v>
      </c>
      <c r="F371" s="4" t="str">
        <f ca="1">IFERROR(__xludf.DUMMYFUNCTION("GOOGLETRANSLATE(C371,""ja"",""vi"")"),"Đấu giá&gt; làm đẹp, chăm sóc sức khỏe&gt; ​​nước hoa, hương thơm&gt; unisex&gt; Calvin Klein")</f>
        <v>Đấu giá&gt; làm đẹp, chăm sóc sức khỏe&gt; ​​nước hoa, hương thơm&gt; unisex&gt; Calvin Klein</v>
      </c>
      <c r="G371" t="str">
        <f t="shared" ca="1" si="5"/>
        <v>"2084053574" : "Calvin Klein",</v>
      </c>
    </row>
    <row r="372" spans="1:7" ht="15.75" customHeight="1">
      <c r="A372" s="30">
        <v>2084053573</v>
      </c>
      <c r="B372" s="30" t="s">
        <v>19753</v>
      </c>
      <c r="C372" s="30" t="s">
        <v>20089</v>
      </c>
      <c r="D372" s="30" t="s">
        <v>21519</v>
      </c>
      <c r="E372" s="4" t="str">
        <f ca="1">IFERROR(__xludf.DUMMYFUNCTION("GOOGLETRANSLATE(B372,""ja"",""vi"")"),"Givenchy")</f>
        <v>Givenchy</v>
      </c>
      <c r="F372" s="4" t="str">
        <f ca="1">IFERROR(__xludf.DUMMYFUNCTION("GOOGLETRANSLATE(C372,""ja"",""vi"")"),"Đấu giá&gt; làm đẹp, chăm sóc sức khỏe&gt; ​​nước hoa, hương thơm&gt; unisex&gt; Givenchy")</f>
        <v>Đấu giá&gt; làm đẹp, chăm sóc sức khỏe&gt; ​​nước hoa, hương thơm&gt; unisex&gt; Givenchy</v>
      </c>
      <c r="G372" t="str">
        <f t="shared" ca="1" si="5"/>
        <v>"2084053573" : "Givenchy",</v>
      </c>
    </row>
    <row r="373" spans="1:7" ht="15.75" customHeight="1">
      <c r="A373" s="30">
        <v>2084053571</v>
      </c>
      <c r="B373" s="30" t="s">
        <v>16122</v>
      </c>
      <c r="C373" s="30" t="s">
        <v>20092</v>
      </c>
      <c r="D373" s="30" t="s">
        <v>21520</v>
      </c>
      <c r="E373" s="4" t="str">
        <f ca="1">IFERROR(__xludf.DUMMYFUNCTION("GOOGLETRANSLATE(B373,""ja"",""vi"")"),"Dolce &amp; Gabbana")</f>
        <v>Dolce &amp; Gabbana</v>
      </c>
      <c r="F373" s="4" t="str">
        <f ca="1">IFERROR(__xludf.DUMMYFUNCTION("GOOGLETRANSLATE(C373,""ja"",""vi"")"),"Đấu giá&gt; làm đẹp, chăm sóc sức khỏe&gt; ​​nước hoa, hương thơm&gt; Unisex&gt; Dolce &amp; Gabbana")</f>
        <v>Đấu giá&gt; làm đẹp, chăm sóc sức khỏe&gt; ​​nước hoa, hương thơm&gt; Unisex&gt; Dolce &amp; Gabbana</v>
      </c>
      <c r="G373" t="str">
        <f t="shared" ca="1" si="5"/>
        <v>"2084053571" : "Dolce &amp; Gabbana",</v>
      </c>
    </row>
    <row r="374" spans="1:7" ht="15.75" customHeight="1">
      <c r="A374" s="30">
        <v>2084053575</v>
      </c>
      <c r="B374" s="30" t="s">
        <v>46</v>
      </c>
      <c r="C374" s="30" t="s">
        <v>20097</v>
      </c>
      <c r="D374" s="30" t="s">
        <v>21521</v>
      </c>
      <c r="E374" s="4" t="str">
        <f ca="1">IFERROR(__xludf.DUMMYFUNCTION("GOOGLETRANSLATE(B374,""ja"",""vi"")"),"nếu không thì")</f>
        <v>nếu không thì</v>
      </c>
      <c r="F374" s="4" t="str">
        <f ca="1">IFERROR(__xludf.DUMMYFUNCTION("GOOGLETRANSLATE(C374,""ja"",""vi"")"),"Đấu giá&gt; làm đẹp, chăm sóc sức khỏe&gt; ​​nước hoa, hương thơm&gt; unisex&gt; Khác")</f>
        <v>Đấu giá&gt; làm đẹp, chăm sóc sức khỏe&gt; ​​nước hoa, hương thơm&gt; unisex&gt; Khác</v>
      </c>
      <c r="G374" t="str">
        <f t="shared" ca="1" si="5"/>
        <v>"2084053575" : "nếu không thì",</v>
      </c>
    </row>
    <row r="375" spans="1:7" ht="15.75" customHeight="1">
      <c r="A375" s="36">
        <v>2084059596</v>
      </c>
      <c r="B375" s="36" t="s">
        <v>19918</v>
      </c>
      <c r="C375" s="36" t="s">
        <v>20102</v>
      </c>
      <c r="D375" s="36" t="s">
        <v>21523</v>
      </c>
      <c r="E375" s="4" t="str">
        <f ca="1">IFERROR(__xludf.DUMMYFUNCTION("GOOGLETRANSLATE(B375,""ja"",""vi"")"),"Alain Delon")</f>
        <v>Alain Delon</v>
      </c>
      <c r="F375" s="4" t="str">
        <f ca="1">IFERROR(__xludf.DUMMYFUNCTION("GOOGLETRANSLATE(C375,""ja"",""vi"")"),"Đấu giá&gt; làm đẹp, chăm sóc sức khỏe&gt; ​​nước hoa, hương thơm&gt; Nhãn hiệu&gt; Alain Delon")</f>
        <v>Đấu giá&gt; làm đẹp, chăm sóc sức khỏe&gt; ​​nước hoa, hương thơm&gt; Nhãn hiệu&gt; Alain Delon</v>
      </c>
      <c r="G375" t="str">
        <f t="shared" ca="1" si="5"/>
        <v>"2084059596" : "Alain Delon",</v>
      </c>
    </row>
    <row r="376" spans="1:7" ht="15.75" customHeight="1">
      <c r="A376" s="28">
        <v>2084059597</v>
      </c>
      <c r="B376" s="28" t="s">
        <v>19670</v>
      </c>
      <c r="C376" s="28" t="s">
        <v>20108</v>
      </c>
      <c r="D376" s="28" t="s">
        <v>21526</v>
      </c>
      <c r="E376" s="4" t="str">
        <f ca="1">IFERROR(__xludf.DUMMYFUNCTION("GOOGLETRANSLATE(B376,""ja"",""vi"")"),"Elizabeth Arden")</f>
        <v>Elizabeth Arden</v>
      </c>
      <c r="F376" s="4" t="str">
        <f ca="1">IFERROR(__xludf.DUMMYFUNCTION("GOOGLETRANSLATE(C376,""ja"",""vi"")"),"Đấu giá&gt; làm đẹp, chăm sóc sức khỏe&gt; ​​nước hoa, hương thơm&gt; Nhãn hiệu&gt; Elizabeth Arden")</f>
        <v>Đấu giá&gt; làm đẹp, chăm sóc sức khỏe&gt; ​​nước hoa, hương thơm&gt; Nhãn hiệu&gt; Elizabeth Arden</v>
      </c>
      <c r="G376" t="str">
        <f t="shared" ca="1" si="5"/>
        <v>"2084059597" : "Elizabeth Arden",</v>
      </c>
    </row>
    <row r="377" spans="1:7" ht="15.75" customHeight="1">
      <c r="A377" s="28">
        <v>2084059598</v>
      </c>
      <c r="B377" s="28" t="s">
        <v>19687</v>
      </c>
      <c r="C377" s="28" t="s">
        <v>20114</v>
      </c>
      <c r="D377" s="28" t="s">
        <v>21528</v>
      </c>
      <c r="E377" s="4" t="str">
        <f ca="1">IFERROR(__xludf.DUMMYFUNCTION("GOOGLETRANSLATE(B377,""ja"",""vi"")"),"Calvin Klein")</f>
        <v>Calvin Klein</v>
      </c>
      <c r="F377" s="4" t="str">
        <f ca="1">IFERROR(__xludf.DUMMYFUNCTION("GOOGLETRANSLATE(C377,""ja"",""vi"")"),"Đấu giá&gt; làm đẹp, chăm sóc sức khỏe&gt; ​​nước hoa, hương thơm&gt; Nhãn hiệu&gt; Calvin Klein")</f>
        <v>Đấu giá&gt; làm đẹp, chăm sóc sức khỏe&gt; ​​nước hoa, hương thơm&gt; Nhãn hiệu&gt; Calvin Klein</v>
      </c>
      <c r="G377" t="str">
        <f t="shared" ca="1" si="5"/>
        <v>"2084059598" : "Calvin Klein",</v>
      </c>
    </row>
    <row r="378" spans="1:7" ht="15.75" customHeight="1">
      <c r="A378" s="28">
        <v>2084059599</v>
      </c>
      <c r="B378" s="28" t="s">
        <v>9858</v>
      </c>
      <c r="C378" s="28" t="s">
        <v>20120</v>
      </c>
      <c r="D378" s="28" t="s">
        <v>21531</v>
      </c>
      <c r="E378" s="4" t="str">
        <f ca="1">IFERROR(__xludf.DUMMYFUNCTION("GOOGLETRANSLATE(B378,""ja"",""vi"")"),"Christian Dior")</f>
        <v>Christian Dior</v>
      </c>
      <c r="F378" s="4" t="str">
        <f ca="1">IFERROR(__xludf.DUMMYFUNCTION("GOOGLETRANSLATE(C378,""ja"",""vi"")"),"Đấu giá&gt; làm đẹp, chăm sóc sức khỏe&gt; ​​nước hoa, hương thơm&gt; Nhãn hiệu&gt; Christian Dior")</f>
        <v>Đấu giá&gt; làm đẹp, chăm sóc sức khỏe&gt; ​​nước hoa, hương thơm&gt; Nhãn hiệu&gt; Christian Dior</v>
      </c>
      <c r="G378" t="str">
        <f t="shared" ca="1" si="5"/>
        <v>"2084059599" : "Christian Dior",</v>
      </c>
    </row>
    <row r="379" spans="1:7" ht="15.75" customHeight="1">
      <c r="A379" s="28">
        <v>2084059600</v>
      </c>
      <c r="B379" s="28" t="s">
        <v>19700</v>
      </c>
      <c r="C379" s="28" t="s">
        <v>20124</v>
      </c>
      <c r="D379" s="28" t="s">
        <v>21533</v>
      </c>
      <c r="E379" s="4" t="str">
        <f ca="1">IFERROR(__xludf.DUMMYFUNCTION("GOOGLETRANSLATE(B379,""ja"",""vi"")"),"Clinique")</f>
        <v>Clinique</v>
      </c>
      <c r="F379" s="4" t="str">
        <f ca="1">IFERROR(__xludf.DUMMYFUNCTION("GOOGLETRANSLATE(C379,""ja"",""vi"")"),"Đấu giá&gt; làm đẹp, chăm sóc sức khỏe&gt; ​​nước hoa, hương thơm&gt; By Nhãn hiệu&gt; Clinique")</f>
        <v>Đấu giá&gt; làm đẹp, chăm sóc sức khỏe&gt; ​​nước hoa, hương thơm&gt; By Nhãn hiệu&gt; Clinique</v>
      </c>
      <c r="G379" t="str">
        <f t="shared" ca="1" si="5"/>
        <v>"2084059600" : "Clinique",</v>
      </c>
    </row>
    <row r="380" spans="1:7" ht="15.75" customHeight="1">
      <c r="A380" s="28">
        <v>2084059601</v>
      </c>
      <c r="B380" s="28" t="s">
        <v>9815</v>
      </c>
      <c r="C380" s="28" t="s">
        <v>20128</v>
      </c>
      <c r="D380" s="28" t="s">
        <v>21535</v>
      </c>
      <c r="E380" s="4" t="str">
        <f ca="1">IFERROR(__xludf.DUMMYFUNCTION("GOOGLETRANSLATE(B380,""ja"",""vi"")"),"Gucci")</f>
        <v>Gucci</v>
      </c>
      <c r="F380" s="4" t="str">
        <f ca="1">IFERROR(__xludf.DUMMYFUNCTION("GOOGLETRANSLATE(C380,""ja"",""vi"")"),"Đấu giá&gt; làm đẹp, chăm sóc sức khỏe&gt; ​​nước hoa, hương thơm&gt; By Nhãn hiệu&gt; Gucci")</f>
        <v>Đấu giá&gt; làm đẹp, chăm sóc sức khỏe&gt; ​​nước hoa, hương thơm&gt; By Nhãn hiệu&gt; Gucci</v>
      </c>
      <c r="G380" t="str">
        <f t="shared" ca="1" si="5"/>
        <v>"2084059601" : "Gucci",</v>
      </c>
    </row>
    <row r="381" spans="1:7" ht="15.75" customHeight="1">
      <c r="A381" s="28">
        <v>2084059602</v>
      </c>
      <c r="B381" s="28" t="s">
        <v>10004</v>
      </c>
      <c r="C381" s="28" t="s">
        <v>20133</v>
      </c>
      <c r="D381" s="28" t="s">
        <v>21537</v>
      </c>
      <c r="E381" s="4" t="str">
        <f ca="1">IFERROR(__xludf.DUMMYFUNCTION("GOOGLETRANSLATE(B381,""ja"",""vi"")"),"Kenzo")</f>
        <v>Kenzo</v>
      </c>
      <c r="F381" s="4" t="str">
        <f ca="1">IFERROR(__xludf.DUMMYFUNCTION("GOOGLETRANSLATE(C381,""ja"",""vi"")"),"Đấu giá&gt; làm đẹp, chăm sóc sức khỏe&gt; ​​nước hoa, hương thơm&gt; By Nhãn hiệu&gt; Kenzo")</f>
        <v>Đấu giá&gt; làm đẹp, chăm sóc sức khỏe&gt; ​​nước hoa, hương thơm&gt; By Nhãn hiệu&gt; Kenzo</v>
      </c>
      <c r="G381" t="str">
        <f t="shared" ca="1" si="5"/>
        <v>"2084059602" : "Kenzo",</v>
      </c>
    </row>
    <row r="382" spans="1:7" ht="15.75" customHeight="1">
      <c r="A382" s="28">
        <v>2084059603</v>
      </c>
      <c r="B382" s="28" t="s">
        <v>10288</v>
      </c>
      <c r="C382" s="28" t="s">
        <v>20137</v>
      </c>
      <c r="D382" s="28" t="s">
        <v>21542</v>
      </c>
      <c r="E382" s="4" t="str">
        <f ca="1">IFERROR(__xludf.DUMMYFUNCTION("GOOGLETRANSLATE(B382,""ja"",""vi"")"),"Chanel")</f>
        <v>Chanel</v>
      </c>
      <c r="F382" s="4" t="str">
        <f ca="1">IFERROR(__xludf.DUMMYFUNCTION("GOOGLETRANSLATE(C382,""ja"",""vi"")"),"Đấu giá&gt; làm đẹp, chăm sóc sức khỏe&gt; ​​nước hoa, hương thơm&gt; By Nhãn hiệu&gt; Chanel")</f>
        <v>Đấu giá&gt; làm đẹp, chăm sóc sức khỏe&gt; ​​nước hoa, hương thơm&gt; By Nhãn hiệu&gt; Chanel</v>
      </c>
      <c r="G382" t="str">
        <f t="shared" ca="1" si="5"/>
        <v>"2084059603" : "Chanel",</v>
      </c>
    </row>
    <row r="383" spans="1:7" ht="15.75" customHeight="1">
      <c r="A383" s="28">
        <v>2084059604</v>
      </c>
      <c r="B383" s="28" t="s">
        <v>19753</v>
      </c>
      <c r="C383" s="28" t="s">
        <v>20142</v>
      </c>
      <c r="D383" s="28" t="s">
        <v>21543</v>
      </c>
      <c r="E383" s="4" t="str">
        <f ca="1">IFERROR(__xludf.DUMMYFUNCTION("GOOGLETRANSLATE(B383,""ja"",""vi"")"),"Givenchy")</f>
        <v>Givenchy</v>
      </c>
      <c r="F383" s="4" t="str">
        <f ca="1">IFERROR(__xludf.DUMMYFUNCTION("GOOGLETRANSLATE(C383,""ja"",""vi"")"),"Đấu giá&gt; làm đẹp, chăm sóc sức khỏe&gt; ​​nước hoa, hương thơm&gt; By Nhãn hiệu&gt; Givenchy")</f>
        <v>Đấu giá&gt; làm đẹp, chăm sóc sức khỏe&gt; ​​nước hoa, hương thơm&gt; By Nhãn hiệu&gt; Givenchy</v>
      </c>
      <c r="G383" t="str">
        <f t="shared" ca="1" si="5"/>
        <v>"2084059604" : "Givenchy",</v>
      </c>
    </row>
    <row r="384" spans="1:7" ht="15.75" customHeight="1">
      <c r="A384" s="28">
        <v>2084059605</v>
      </c>
      <c r="B384" s="28" t="s">
        <v>19756</v>
      </c>
      <c r="C384" s="28" t="s">
        <v>20146</v>
      </c>
      <c r="D384" s="28" t="s">
        <v>21545</v>
      </c>
      <c r="E384" s="4" t="str">
        <f ca="1">IFERROR(__xludf.DUMMYFUNCTION("GOOGLETRANSLATE(B384,""ja"",""vi"")"),"Jeanne Artes")</f>
        <v>Jeanne Artes</v>
      </c>
      <c r="F384" s="4" t="str">
        <f ca="1">IFERROR(__xludf.DUMMYFUNCTION("GOOGLETRANSLATE(C384,""ja"",""vi"")"),"Đấu giá&gt; làm đẹp, chăm sóc sức khỏe&gt; ​​nước hoa, hương thơm&gt; By Nhãn hiệu&gt; Jeanne Artes")</f>
        <v>Đấu giá&gt; làm đẹp, chăm sóc sức khỏe&gt; ​​nước hoa, hương thơm&gt; By Nhãn hiệu&gt; Jeanne Artes</v>
      </c>
      <c r="G384" t="str">
        <f t="shared" ca="1" si="5"/>
        <v>"2084059605" : "Jeanne Artes",</v>
      </c>
    </row>
    <row r="385" spans="1:7" ht="15.75" customHeight="1">
      <c r="A385" s="28">
        <v>2084059606</v>
      </c>
      <c r="B385" s="28" t="s">
        <v>19791</v>
      </c>
      <c r="C385" s="28" t="s">
        <v>20150</v>
      </c>
      <c r="D385" s="28" t="s">
        <v>21548</v>
      </c>
      <c r="E385" s="4" t="str">
        <f ca="1">IFERROR(__xludf.DUMMYFUNCTION("GOOGLETRANSLATE(B385,""ja"",""vi"")"),"Davidoff")</f>
        <v>Davidoff</v>
      </c>
      <c r="F385" s="4" t="str">
        <f ca="1">IFERROR(__xludf.DUMMYFUNCTION("GOOGLETRANSLATE(C385,""ja"",""vi"")"),"Đấu giá&gt; làm đẹp, chăm sóc sức khỏe&gt; ​​nước hoa, hương thơm&gt; By Nhãn hiệu&gt; Davidoff")</f>
        <v>Đấu giá&gt; làm đẹp, chăm sóc sức khỏe&gt; ​​nước hoa, hương thơm&gt; By Nhãn hiệu&gt; Davidoff</v>
      </c>
      <c r="G385" t="str">
        <f t="shared" ca="1" si="5"/>
        <v>"2084059606" : "Davidoff",</v>
      </c>
    </row>
    <row r="386" spans="1:7" ht="15.75" customHeight="1">
      <c r="A386" s="28">
        <v>2084059607</v>
      </c>
      <c r="B386" s="28" t="s">
        <v>11049</v>
      </c>
      <c r="C386" s="28" t="s">
        <v>20152</v>
      </c>
      <c r="D386" s="28" t="s">
        <v>21550</v>
      </c>
      <c r="E386" s="4" t="str">
        <f ca="1">IFERROR(__xludf.DUMMYFUNCTION("GOOGLETRANSLATE(B386,""ja"",""vi"")"),"Tommy Hilfiger")</f>
        <v>Tommy Hilfiger</v>
      </c>
      <c r="F386" s="4" t="str">
        <f ca="1">IFERROR(__xludf.DUMMYFUNCTION("GOOGLETRANSLATE(C386,""ja"",""vi"")"),"Đấu giá&gt; làm đẹp, chăm sóc sức khỏe&gt; ​​nước hoa, hương thơm&gt; Thương hiệu&gt; Tommy Hilfiger")</f>
        <v>Đấu giá&gt; làm đẹp, chăm sóc sức khỏe&gt; ​​nước hoa, hương thơm&gt; Thương hiệu&gt; Tommy Hilfiger</v>
      </c>
      <c r="G386" t="str">
        <f t="shared" ref="G386:G449" ca="1" si="6">CONCATENATE(CHAR(34)&amp;"",A386,""&amp;CHAR(34)," : ", CHAR(34)&amp;"",E386,""&amp;CHAR(34),",")</f>
        <v>"2084059607" : "Tommy Hilfiger",</v>
      </c>
    </row>
    <row r="387" spans="1:7" ht="15.75" customHeight="1">
      <c r="A387" s="28">
        <v>2084059608</v>
      </c>
      <c r="B387" s="28" t="s">
        <v>16122</v>
      </c>
      <c r="C387" s="28" t="s">
        <v>20156</v>
      </c>
      <c r="D387" s="28" t="s">
        <v>21552</v>
      </c>
      <c r="E387" s="4" t="str">
        <f ca="1">IFERROR(__xludf.DUMMYFUNCTION("GOOGLETRANSLATE(B387,""ja"",""vi"")"),"Dolce &amp; Gabbana")</f>
        <v>Dolce &amp; Gabbana</v>
      </c>
      <c r="F387" s="4" t="str">
        <f ca="1">IFERROR(__xludf.DUMMYFUNCTION("GOOGLETRANSLATE(C387,""ja"",""vi"")"),"Đấu giá&gt; làm đẹp, chăm sóc sức khỏe&gt; ​​nước hoa, hương thơm&gt; By Nhãn hiệu&gt; Dolce &amp; Gabbana")</f>
        <v>Đấu giá&gt; làm đẹp, chăm sóc sức khỏe&gt; ​​nước hoa, hương thơm&gt; By Nhãn hiệu&gt; Dolce &amp; Gabbana</v>
      </c>
      <c r="G387" t="str">
        <f t="shared" ca="1" si="6"/>
        <v>"2084059608" : "Dolce &amp; Gabbana",</v>
      </c>
    </row>
    <row r="388" spans="1:7" ht="15.75" customHeight="1">
      <c r="A388" s="28">
        <v>2084059609</v>
      </c>
      <c r="B388" s="28" t="s">
        <v>19822</v>
      </c>
      <c r="C388" s="28" t="s">
        <v>20157</v>
      </c>
      <c r="D388" s="28" t="s">
        <v>21555</v>
      </c>
      <c r="E388" s="4" t="str">
        <f ca="1">IFERROR(__xludf.DUMMYFUNCTION("GOOGLETRANSLATE(B388,""ja"",""vi"")"),"Nikos")</f>
        <v>Nikos</v>
      </c>
      <c r="F388" s="4" t="str">
        <f ca="1">IFERROR(__xludf.DUMMYFUNCTION("GOOGLETRANSLATE(C388,""ja"",""vi"")"),"Đấu giá&gt; làm đẹp, chăm sóc sức khỏe&gt; ​​nước hoa, hương thơm&gt; By Nhãn hiệu&gt; Nikos")</f>
        <v>Đấu giá&gt; làm đẹp, chăm sóc sức khỏe&gt; ​​nước hoa, hương thơm&gt; By Nhãn hiệu&gt; Nikos</v>
      </c>
      <c r="G388" t="str">
        <f t="shared" ca="1" si="6"/>
        <v>"2084059609" : "Nikos",</v>
      </c>
    </row>
    <row r="389" spans="1:7" ht="15.75" customHeight="1">
      <c r="A389" s="28">
        <v>2084059610</v>
      </c>
      <c r="B389" s="28" t="s">
        <v>11443</v>
      </c>
      <c r="C389" s="28" t="s">
        <v>20163</v>
      </c>
      <c r="D389" s="28" t="s">
        <v>21558</v>
      </c>
      <c r="E389" s="4" t="str">
        <f ca="1">IFERROR(__xludf.DUMMYFUNCTION("GOOGLETRANSLATE(B389,""ja"",""vi"")"),"chổ lồi ở cây")</f>
        <v>chổ lồi ở cây</v>
      </c>
      <c r="F389" s="4" t="str">
        <f ca="1">IFERROR(__xludf.DUMMYFUNCTION("GOOGLETRANSLATE(C389,""ja"",""vi"")"),"Đấu giá&gt; làm đẹp, chăm sóc sức khỏe&gt; ​​nước hoa, hương thơm&gt; By Nhãn hiệu&gt; Burberry")</f>
        <v>Đấu giá&gt; làm đẹp, chăm sóc sức khỏe&gt; ​​nước hoa, hương thơm&gt; By Nhãn hiệu&gt; Burberry</v>
      </c>
      <c r="G389" t="str">
        <f t="shared" ca="1" si="6"/>
        <v>"2084059610" : "chổ lồi ở cây",</v>
      </c>
    </row>
    <row r="390" spans="1:7" ht="15.75" customHeight="1">
      <c r="A390" s="28">
        <v>2084059611</v>
      </c>
      <c r="B390" s="28" t="s">
        <v>19843</v>
      </c>
      <c r="C390" s="28" t="s">
        <v>20171</v>
      </c>
      <c r="D390" s="28" t="s">
        <v>21560</v>
      </c>
      <c r="E390" s="4" t="str">
        <f ca="1">IFERROR(__xludf.DUMMYFUNCTION("GOOGLETRANSLATE(B390,""ja"",""vi"")"),"Paco Rabanne")</f>
        <v>Paco Rabanne</v>
      </c>
      <c r="F390" s="4" t="str">
        <f ca="1">IFERROR(__xludf.DUMMYFUNCTION("GOOGLETRANSLATE(C390,""ja"",""vi"")"),"Đấu giá&gt; làm đẹp, chăm sóc sức khỏe&gt; ​​nước hoa, hương thơm&gt; By Nhãn hiệu&gt; Paco Rabanne")</f>
        <v>Đấu giá&gt; làm đẹp, chăm sóc sức khỏe&gt; ​​nước hoa, hương thơm&gt; By Nhãn hiệu&gt; Paco Rabanne</v>
      </c>
      <c r="G390" t="str">
        <f t="shared" ca="1" si="6"/>
        <v>"2084059611" : "Paco Rabanne",</v>
      </c>
    </row>
    <row r="391" spans="1:7" ht="15.75" customHeight="1">
      <c r="A391" s="28">
        <v>2084059612</v>
      </c>
      <c r="B391" s="28" t="s">
        <v>16149</v>
      </c>
      <c r="C391" s="28" t="s">
        <v>20175</v>
      </c>
      <c r="D391" s="28" t="s">
        <v>21563</v>
      </c>
      <c r="E391" s="4" t="str">
        <f ca="1">IFERROR(__xludf.DUMMYFUNCTION("GOOGLETRANSLATE(B391,""ja"",""vi"")"),"Hugo Boss")</f>
        <v>Hugo Boss</v>
      </c>
      <c r="F391" s="4" t="str">
        <f ca="1">IFERROR(__xludf.DUMMYFUNCTION("GOOGLETRANSLATE(C391,""ja"",""vi"")"),"Đấu giá&gt; làm đẹp, chăm sóc sức khỏe&gt; ​​nước hoa, hương thơm&gt; Nhãn hiệu&gt; Hugo Boss")</f>
        <v>Đấu giá&gt; làm đẹp, chăm sóc sức khỏe&gt; ​​nước hoa, hương thơm&gt; Nhãn hiệu&gt; Hugo Boss</v>
      </c>
      <c r="G391" t="str">
        <f t="shared" ca="1" si="6"/>
        <v>"2084059612" : "Hugo Boss",</v>
      </c>
    </row>
    <row r="392" spans="1:7" ht="15.75" customHeight="1">
      <c r="A392" s="28">
        <v>2084059613</v>
      </c>
      <c r="B392" s="28" t="s">
        <v>11984</v>
      </c>
      <c r="C392" s="28" t="s">
        <v>20182</v>
      </c>
      <c r="D392" s="28" t="s">
        <v>21566</v>
      </c>
      <c r="E392" s="4" t="str">
        <f ca="1">IFERROR(__xludf.DUMMYFUNCTION("GOOGLETRANSLATE(B392,""ja"",""vi"")"),"Bulgari")</f>
        <v>Bulgari</v>
      </c>
      <c r="F392" s="4" t="str">
        <f ca="1">IFERROR(__xludf.DUMMYFUNCTION("GOOGLETRANSLATE(C392,""ja"",""vi"")"),"Đấu giá&gt; làm đẹp, chăm sóc sức khỏe&gt; ​​nước hoa, hương thơm&gt; Thương hiệu&gt; Bulgari")</f>
        <v>Đấu giá&gt; làm đẹp, chăm sóc sức khỏe&gt; ​​nước hoa, hương thơm&gt; Thương hiệu&gt; Bulgari</v>
      </c>
      <c r="G392" t="str">
        <f t="shared" ca="1" si="6"/>
        <v>"2084059613" : "Bulgari",</v>
      </c>
    </row>
    <row r="393" spans="1:7" ht="15.75" customHeight="1">
      <c r="A393" s="28">
        <v>2084059614</v>
      </c>
      <c r="B393" s="28" t="s">
        <v>12786</v>
      </c>
      <c r="C393" s="28" t="s">
        <v>20189</v>
      </c>
      <c r="D393" s="28" t="s">
        <v>21569</v>
      </c>
      <c r="E393" s="4" t="str">
        <f ca="1">IFERROR(__xludf.DUMMYFUNCTION("GOOGLETRANSLATE(B393,""ja"",""vi"")"),"Ralph Lauren")</f>
        <v>Ralph Lauren</v>
      </c>
      <c r="F393" s="4" t="str">
        <f ca="1">IFERROR(__xludf.DUMMYFUNCTION("GOOGLETRANSLATE(C393,""ja"",""vi"")"),"Đấu giá&gt; làm đẹp, chăm sóc sức khỏe&gt; ​​nước hoa, hương thơm&gt; By Nhãn hiệu&gt; Ralph Lauren")</f>
        <v>Đấu giá&gt; làm đẹp, chăm sóc sức khỏe&gt; ​​nước hoa, hương thơm&gt; By Nhãn hiệu&gt; Ralph Lauren</v>
      </c>
      <c r="G393" t="str">
        <f t="shared" ca="1" si="6"/>
        <v>"2084059614" : "Ralph Lauren",</v>
      </c>
    </row>
    <row r="394" spans="1:7" ht="15.75" customHeight="1">
      <c r="A394" s="28">
        <v>2084059615</v>
      </c>
      <c r="B394" s="28" t="s">
        <v>19898</v>
      </c>
      <c r="C394" s="28" t="s">
        <v>20196</v>
      </c>
      <c r="D394" s="28" t="s">
        <v>21573</v>
      </c>
      <c r="E394" s="4" t="str">
        <f ca="1">IFERROR(__xludf.DUMMYFUNCTION("GOOGLETRANSLATE(B394,""ja"",""vi"")"),"Lancome")</f>
        <v>Lancome</v>
      </c>
      <c r="F394" s="4" t="str">
        <f ca="1">IFERROR(__xludf.DUMMYFUNCTION("GOOGLETRANSLATE(C394,""ja"",""vi"")"),"Đấu giá&gt; làm đẹp, chăm sóc sức khỏe&gt; ​​nước hoa, hương thơm&gt; bởi thương hiệu&gt; Lancome")</f>
        <v>Đấu giá&gt; làm đẹp, chăm sóc sức khỏe&gt; ​​nước hoa, hương thơm&gt; bởi thương hiệu&gt; Lancome</v>
      </c>
      <c r="G394" t="str">
        <f t="shared" ca="1" si="6"/>
        <v>"2084059615" : "Lancome",</v>
      </c>
    </row>
    <row r="395" spans="1:7" ht="15.75" customHeight="1">
      <c r="A395" s="28">
        <v>2084059616</v>
      </c>
      <c r="B395" s="28" t="s">
        <v>19906</v>
      </c>
      <c r="C395" s="28" t="s">
        <v>20199</v>
      </c>
      <c r="D395" s="28" t="s">
        <v>21576</v>
      </c>
      <c r="E395" s="4" t="str">
        <f ca="1">IFERROR(__xludf.DUMMYFUNCTION("GOOGLETRANSLATE(B395,""ja"",""vi"")"),"Rorisuazaro")</f>
        <v>Rorisuazaro</v>
      </c>
      <c r="F395" s="4" t="str">
        <f ca="1">IFERROR(__xludf.DUMMYFUNCTION("GOOGLETRANSLATE(C395,""ja"",""vi"")"),"Đấu giá&gt; làm đẹp, chăm sóc sức khỏe&gt; ​​nước hoa, hương thơm&gt; By Nhãn hiệu&gt; Rorisuazaro")</f>
        <v>Đấu giá&gt; làm đẹp, chăm sóc sức khỏe&gt; ​​nước hoa, hương thơm&gt; By Nhãn hiệu&gt; Rorisuazaro</v>
      </c>
      <c r="G395" t="str">
        <f t="shared" ca="1" si="6"/>
        <v>"2084059616" : "Rorisuazaro",</v>
      </c>
    </row>
    <row r="396" spans="1:7" ht="15.75" customHeight="1">
      <c r="A396" s="36">
        <v>2084063429</v>
      </c>
      <c r="B396" s="36" t="s">
        <v>3138</v>
      </c>
      <c r="C396" s="36" t="s">
        <v>20205</v>
      </c>
      <c r="D396" s="36" t="s">
        <v>21577</v>
      </c>
      <c r="E396" s="4" t="str">
        <f ca="1">IFERROR(__xludf.DUMMYFUNCTION("GOOGLETRANSLATE(B396,""ja"",""vi"")"),"bộ")</f>
        <v>bộ</v>
      </c>
      <c r="F396" s="4" t="str">
        <f ca="1">IFERROR(__xludf.DUMMYFUNCTION("GOOGLETRANSLATE(C396,""ja"",""vi"")"),"Đấu giá&gt; làm đẹp, chăm sóc sức khỏe&gt; ​​hàng thư giãn&gt; hương, hương burner&gt; bộ")</f>
        <v>Đấu giá&gt; làm đẹp, chăm sóc sức khỏe&gt; ​​hàng thư giãn&gt; hương, hương burner&gt; bộ</v>
      </c>
      <c r="G396" t="str">
        <f t="shared" ca="1" si="6"/>
        <v>"2084063429" : "bộ",</v>
      </c>
    </row>
    <row r="397" spans="1:7" ht="15.75" customHeight="1">
      <c r="A397" s="28">
        <v>2084063431</v>
      </c>
      <c r="B397" s="28" t="s">
        <v>20207</v>
      </c>
      <c r="C397" s="28" t="s">
        <v>20209</v>
      </c>
      <c r="D397" s="28" t="s">
        <v>21579</v>
      </c>
      <c r="E397" s="4" t="str">
        <f ca="1">IFERROR(__xludf.DUMMYFUNCTION("GOOGLETRANSLATE(B397,""ja"",""vi"")"),"hương")</f>
        <v>hương</v>
      </c>
      <c r="F397" s="4" t="str">
        <f ca="1">IFERROR(__xludf.DUMMYFUNCTION("GOOGLETRANSLATE(C397,""ja"",""vi"")"),"Đấu giá&gt; làm đẹp, chăm sóc sức khỏe&gt; ​​hàng thư giãn&gt; hương, hương burner&gt; Hương")</f>
        <v>Đấu giá&gt; làm đẹp, chăm sóc sức khỏe&gt; ​​hàng thư giãn&gt; hương, hương burner&gt; Hương</v>
      </c>
      <c r="G397" t="str">
        <f t="shared" ca="1" si="6"/>
        <v>"2084063431" : "hương",</v>
      </c>
    </row>
    <row r="398" spans="1:7" ht="15.75" customHeight="1">
      <c r="A398" s="28">
        <v>2084063435</v>
      </c>
      <c r="B398" s="28" t="s">
        <v>20214</v>
      </c>
      <c r="C398" s="28" t="s">
        <v>20215</v>
      </c>
      <c r="D398" s="28" t="s">
        <v>21582</v>
      </c>
      <c r="E398" s="4" t="str">
        <f ca="1">IFERROR(__xludf.DUMMYFUNCTION("GOOGLETRANSLATE(B398,""ja"",""vi"")"),"người đốt nhang")</f>
        <v>người đốt nhang</v>
      </c>
      <c r="F398" s="4" t="str">
        <f ca="1">IFERROR(__xludf.DUMMYFUNCTION("GOOGLETRANSLATE(C398,""ja"",""vi"")"),"Đấu giá&gt; làm đẹp, chăm sóc sức khỏe&gt; ​​hàng thư giãn&gt; hương, hương burner&gt; lư hương")</f>
        <v>Đấu giá&gt; làm đẹp, chăm sóc sức khỏe&gt; ​​hàng thư giãn&gt; hương, hương burner&gt; lư hương</v>
      </c>
      <c r="G398" t="str">
        <f t="shared" ca="1" si="6"/>
        <v>"2084063435" : "người đốt nhang",</v>
      </c>
    </row>
    <row r="399" spans="1:7" ht="15.75" customHeight="1">
      <c r="A399" s="28">
        <v>2084024423</v>
      </c>
      <c r="B399" s="28" t="s">
        <v>20221</v>
      </c>
      <c r="C399" s="28" t="s">
        <v>20222</v>
      </c>
      <c r="D399" s="28" t="s">
        <v>21584</v>
      </c>
      <c r="E399" s="4" t="str">
        <f ca="1">IFERROR(__xludf.DUMMYFUNCTION("GOOGLETRANSLATE(B399,""ja"",""vi"")"),"nến hương liệu")</f>
        <v>nến hương liệu</v>
      </c>
      <c r="F399" s="4" t="str">
        <f ca="1">IFERROR(__xludf.DUMMYFUNCTION("GOOGLETRANSLATE(C399,""ja"",""vi"")"),"Đấu giá&gt; làm đẹp, chăm sóc sức khỏe&gt; ​​hàng thư giãn&gt; hương, hương burner&gt; Nến thơm")</f>
        <v>Đấu giá&gt; làm đẹp, chăm sóc sức khỏe&gt; ​​hàng thư giãn&gt; hương, hương burner&gt; Nến thơm</v>
      </c>
      <c r="G399" t="str">
        <f t="shared" ca="1" si="6"/>
        <v>"2084024423" : "nến hương liệu",</v>
      </c>
    </row>
    <row r="400" spans="1:7" ht="15.75" customHeight="1">
      <c r="A400" s="28">
        <v>2084062802</v>
      </c>
      <c r="B400" s="28" t="s">
        <v>10179</v>
      </c>
      <c r="C400" s="28" t="s">
        <v>20227</v>
      </c>
      <c r="D400" s="28" t="s">
        <v>21586</v>
      </c>
      <c r="E400" s="4" t="str">
        <f ca="1">IFERROR(__xludf.DUMMYFUNCTION("GOOGLETRANSLATE(B400,""ja"",""vi"")"),"nhang muỗi")</f>
        <v>nhang muỗi</v>
      </c>
      <c r="F400" s="4" t="str">
        <f ca="1">IFERROR(__xludf.DUMMYFUNCTION("GOOGLETRANSLATE(C400,""ja"",""vi"")"),"Đấu giá&gt; làm đẹp, chăm sóc sức khỏe&gt; ​​hàng thư giãn&gt; hương, hương burner&gt; cuộn dây muỗi")</f>
        <v>Đấu giá&gt; làm đẹp, chăm sóc sức khỏe&gt; ​​hàng thư giãn&gt; hương, hương burner&gt; cuộn dây muỗi</v>
      </c>
      <c r="G400" t="str">
        <f t="shared" ca="1" si="6"/>
        <v>"2084062802" : "nhang muỗi",</v>
      </c>
    </row>
    <row r="401" spans="1:7" ht="15.75" customHeight="1">
      <c r="A401" s="28">
        <v>2084063445</v>
      </c>
      <c r="B401" s="28" t="s">
        <v>20237</v>
      </c>
      <c r="C401" s="28" t="s">
        <v>20239</v>
      </c>
      <c r="D401" s="28" t="s">
        <v>21589</v>
      </c>
      <c r="E401" s="4" t="str">
        <f ca="1">IFERROR(__xludf.DUMMYFUNCTION("GOOGLETRANSLATE(B401,""ja"",""vi"")"),"thanh hương")</f>
        <v>thanh hương</v>
      </c>
      <c r="F401" s="4" t="str">
        <f ca="1">IFERROR(__xludf.DUMMYFUNCTION("GOOGLETRANSLATE(C401,""ja"",""vi"")"),"Đấu giá&gt; làm đẹp, chăm sóc sức khỏe&gt; ​​hàng thư giãn&gt; hương, hương burner&gt; hương")</f>
        <v>Đấu giá&gt; làm đẹp, chăm sóc sức khỏe&gt; ​​hàng thư giãn&gt; hương, hương burner&gt; hương</v>
      </c>
      <c r="G401" t="str">
        <f t="shared" ca="1" si="6"/>
        <v>"2084063445" : "thanh hương",</v>
      </c>
    </row>
    <row r="402" spans="1:7" ht="15.75" customHeight="1">
      <c r="A402" s="28">
        <v>2084063439</v>
      </c>
      <c r="B402" s="28" t="s">
        <v>46</v>
      </c>
      <c r="C402" s="28" t="s">
        <v>20244</v>
      </c>
      <c r="D402" s="28" t="s">
        <v>21591</v>
      </c>
      <c r="E402" s="4" t="str">
        <f ca="1">IFERROR(__xludf.DUMMYFUNCTION("GOOGLETRANSLATE(B402,""ja"",""vi"")"),"nếu không thì")</f>
        <v>nếu không thì</v>
      </c>
      <c r="F402" s="4" t="str">
        <f ca="1">IFERROR(__xludf.DUMMYFUNCTION("GOOGLETRANSLATE(C402,""ja"",""vi"")"),"Đấu giá&gt; làm đẹp, chăm sóc sức khỏe&gt; ​​hàng thư giãn&gt; hương, hương burner&gt; Khác")</f>
        <v>Đấu giá&gt; làm đẹp, chăm sóc sức khỏe&gt; ​​hàng thư giãn&gt; hương, hương burner&gt; Khác</v>
      </c>
      <c r="G402" t="str">
        <f t="shared" ca="1" si="6"/>
        <v>"2084063439" : "nếu không thì",</v>
      </c>
    </row>
    <row r="403" spans="1:7" ht="15.75" customHeight="1">
      <c r="A403" s="36">
        <v>2084063367</v>
      </c>
      <c r="B403" s="36" t="s">
        <v>7029</v>
      </c>
      <c r="C403" s="36" t="s">
        <v>21593</v>
      </c>
      <c r="D403" s="36" t="s">
        <v>21594</v>
      </c>
      <c r="E403" s="4" t="str">
        <f ca="1">IFERROR(__xludf.DUMMYFUNCTION("GOOGLETRANSLATE(B403,""ja"",""vi"")"),"đá")</f>
        <v>đá</v>
      </c>
      <c r="F403" s="4" t="str">
        <f ca="1">IFERROR(__xludf.DUMMYFUNCTION("GOOGLETRANSLATE(C403,""ja"",""vi"")"),"Đấu giá&gt; làm đẹp, chăm sóc sức khỏe&gt; ​​Chăm sóc móng tay&gt; nguồn cung cấp nghệ thuật móng tay&gt; Đá")</f>
        <v>Đấu giá&gt; làm đẹp, chăm sóc sức khỏe&gt; ​​Chăm sóc móng tay&gt; nguồn cung cấp nghệ thuật móng tay&gt; Đá</v>
      </c>
      <c r="G403" t="str">
        <f t="shared" ca="1" si="6"/>
        <v>"2084063367" : "đá",</v>
      </c>
    </row>
    <row r="404" spans="1:7" ht="15.75" customHeight="1">
      <c r="A404" s="28">
        <v>2084063369</v>
      </c>
      <c r="B404" s="28" t="s">
        <v>21596</v>
      </c>
      <c r="C404" s="28" t="s">
        <v>21597</v>
      </c>
      <c r="D404" s="28" t="s">
        <v>21598</v>
      </c>
      <c r="E404" s="4" t="str">
        <f ca="1">IFERROR(__xludf.DUMMYFUNCTION("GOOGLETRANSLATE(B404,""ja"",""vi"")"),"con dấu móng tay")</f>
        <v>con dấu móng tay</v>
      </c>
      <c r="F404" s="4" t="str">
        <f ca="1">IFERROR(__xludf.DUMMYFUNCTION("GOOGLETRANSLATE(C404,""ja"",""vi"")"),"Đấu giá&gt; làm đẹp, chăm sóc sức khỏe&gt; ​​Chăm sóc móng tay&gt; nguồn cung cấp nghệ thuật móng tay&gt; dấu Nail")</f>
        <v>Đấu giá&gt; làm đẹp, chăm sóc sức khỏe&gt; ​​Chăm sóc móng tay&gt; nguồn cung cấp nghệ thuật móng tay&gt; dấu Nail</v>
      </c>
      <c r="G404" t="str">
        <f t="shared" ca="1" si="6"/>
        <v>"2084063369" : "con dấu móng tay",</v>
      </c>
    </row>
    <row r="405" spans="1:7" ht="15.75" customHeight="1">
      <c r="A405" s="28">
        <v>2084063368</v>
      </c>
      <c r="B405" s="28" t="s">
        <v>21600</v>
      </c>
      <c r="C405" s="28" t="s">
        <v>21602</v>
      </c>
      <c r="D405" s="28" t="s">
        <v>21603</v>
      </c>
      <c r="E405" s="4" t="str">
        <f ca="1">IFERROR(__xludf.DUMMYFUNCTION("GOOGLETRANSLATE(B405,""ja"",""vi"")"),"phấn")</f>
        <v>phấn</v>
      </c>
      <c r="F405" s="4" t="str">
        <f ca="1">IFERROR(__xludf.DUMMYFUNCTION("GOOGLETRANSLATE(C405,""ja"",""vi"")"),"Đấu giá&gt; làm đẹp, chăm sóc sức khỏe&gt; ​​Chăm sóc móng tay&gt; nguồn cung cấp nghệ thuật móng tay&gt; bột")</f>
        <v>Đấu giá&gt; làm đẹp, chăm sóc sức khỏe&gt; ​​Chăm sóc móng tay&gt; nguồn cung cấp nghệ thuật móng tay&gt; bột</v>
      </c>
      <c r="G405" t="str">
        <f t="shared" ca="1" si="6"/>
        <v>"2084063368" : "phấn",</v>
      </c>
    </row>
    <row r="406" spans="1:7" ht="15.75" customHeight="1">
      <c r="A406" s="28">
        <v>2084063370</v>
      </c>
      <c r="B406" s="28" t="s">
        <v>21604</v>
      </c>
      <c r="C406" s="28" t="s">
        <v>21606</v>
      </c>
      <c r="D406" s="28" t="s">
        <v>21607</v>
      </c>
      <c r="E406" s="4" t="str">
        <f ca="1">IFERROR(__xludf.DUMMYFUNCTION("GOOGLETRANSLATE(B406,""ja"",""vi"")"),"Bàn chải, bàn chải")</f>
        <v>Bàn chải, bàn chải</v>
      </c>
      <c r="F406" s="4" t="str">
        <f ca="1">IFERROR(__xludf.DUMMYFUNCTION("GOOGLETRANSLATE(C406,""ja"",""vi"")"),"Đấu giá&gt; làm đẹp, chăm sóc sức khỏe&gt; ​​Chăm sóc móng tay&gt; nguồn cung cấp nghệ thuật móng tay&gt; bàn chải, bàn chải")</f>
        <v>Đấu giá&gt; làm đẹp, chăm sóc sức khỏe&gt; ​​Chăm sóc móng tay&gt; nguồn cung cấp nghệ thuật móng tay&gt; bàn chải, bàn chải</v>
      </c>
      <c r="G406" t="str">
        <f t="shared" ca="1" si="6"/>
        <v>"2084063370" : "Bàn chải, bàn chải",</v>
      </c>
    </row>
    <row r="407" spans="1:7" ht="15.75" customHeight="1">
      <c r="A407" s="28">
        <v>2084063371</v>
      </c>
      <c r="B407" s="28" t="s">
        <v>46</v>
      </c>
      <c r="C407" s="28" t="s">
        <v>21608</v>
      </c>
      <c r="D407" s="28" t="s">
        <v>21609</v>
      </c>
      <c r="E407" s="4" t="str">
        <f ca="1">IFERROR(__xludf.DUMMYFUNCTION("GOOGLETRANSLATE(B407,""ja"",""vi"")"),"nếu không thì")</f>
        <v>nếu không thì</v>
      </c>
      <c r="F407" s="4" t="str">
        <f ca="1">IFERROR(__xludf.DUMMYFUNCTION("GOOGLETRANSLATE(C407,""ja"",""vi"")"),"Đấu giá&gt; làm đẹp, chăm sóc sức khỏe&gt; ​​Chăm sóc móng tay&gt; nguồn cung cấp nghệ thuật móng tay&gt; Khác")</f>
        <v>Đấu giá&gt; làm đẹp, chăm sóc sức khỏe&gt; ​​Chăm sóc móng tay&gt; nguồn cung cấp nghệ thuật móng tay&gt; Khác</v>
      </c>
      <c r="G407" t="str">
        <f t="shared" ca="1" si="6"/>
        <v>"2084063371" : "nếu không thì",</v>
      </c>
    </row>
    <row r="408" spans="1:7" ht="15.75" customHeight="1">
      <c r="A408" s="36">
        <v>2084059011</v>
      </c>
      <c r="B408" s="36" t="s">
        <v>20401</v>
      </c>
      <c r="C408" s="36" t="s">
        <v>21230</v>
      </c>
      <c r="D408" s="36" t="s">
        <v>21231</v>
      </c>
      <c r="E408" s="4" t="str">
        <f ca="1">IFERROR(__xludf.DUMMYFUNCTION("GOOGLETRANSLATE(B408,""ja"",""vi"")"),"DHC")</f>
        <v>DHC</v>
      </c>
      <c r="F408" s="4" t="str">
        <f ca="1">IFERROR(__xludf.DUMMYFUNCTION("GOOGLETRANSLATE(C408,""ja"",""vi"")"),"Đấu giá&gt; làm đẹp, chăm sóc sức khỏe&gt; ​​Chăm sóc móng tay&gt; màu móng tay&gt; DHC")</f>
        <v>Đấu giá&gt; làm đẹp, chăm sóc sức khỏe&gt; ​​Chăm sóc móng tay&gt; màu móng tay&gt; DHC</v>
      </c>
      <c r="G408" t="str">
        <f t="shared" ca="1" si="6"/>
        <v>"2084059011" : "DHC",</v>
      </c>
    </row>
    <row r="409" spans="1:7" ht="15.75" customHeight="1">
      <c r="A409" s="28">
        <v>2084059012</v>
      </c>
      <c r="B409" s="28" t="s">
        <v>20527</v>
      </c>
      <c r="C409" s="28" t="s">
        <v>21233</v>
      </c>
      <c r="D409" s="28" t="s">
        <v>21235</v>
      </c>
      <c r="E409" s="4" t="str">
        <f ca="1">IFERROR(__xludf.DUMMYFUNCTION("GOOGLETRANSLATE(B409,""ja"",""vi"")"),"MAC")</f>
        <v>MAC</v>
      </c>
      <c r="F409" s="4" t="str">
        <f ca="1">IFERROR(__xludf.DUMMYFUNCTION("GOOGLETRANSLATE(C409,""ja"",""vi"")"),"Đấu giá&gt; làm đẹp, chăm sóc sức khỏe&gt; ​​Chăm sóc móng tay&gt; màu móng tay&gt; MAC")</f>
        <v>Đấu giá&gt; làm đẹp, chăm sóc sức khỏe&gt; ​​Chăm sóc móng tay&gt; màu móng tay&gt; MAC</v>
      </c>
      <c r="G409" t="str">
        <f t="shared" ca="1" si="6"/>
        <v>"2084059012" : "MAC",</v>
      </c>
    </row>
    <row r="410" spans="1:7" ht="15.75" customHeight="1">
      <c r="A410" s="28">
        <v>2084060340</v>
      </c>
      <c r="B410" s="28" t="s">
        <v>21236</v>
      </c>
      <c r="C410" s="28" t="s">
        <v>21237</v>
      </c>
      <c r="D410" s="28" t="s">
        <v>21238</v>
      </c>
      <c r="E410" s="4" t="str">
        <f ca="1">IFERROR(__xludf.DUMMYFUNCTION("GOOGLETRANSLATE(B410,""ja"",""vi"")"),"O · P · Tôi")</f>
        <v>O · P · Tôi</v>
      </c>
      <c r="F410" s="4" t="str">
        <f ca="1">IFERROR(__xludf.DUMMYFUNCTION("GOOGLETRANSLATE(C410,""ja"",""vi"")"),"Đấu giá&gt; làm đẹp, chăm sóc sức khỏe&gt; ​​Chăm sóc móng tay&gt; màu móng tay&gt; O · P · Tôi")</f>
        <v>Đấu giá&gt; làm đẹp, chăm sóc sức khỏe&gt; ​​Chăm sóc móng tay&gt; màu móng tay&gt; O · P · Tôi</v>
      </c>
      <c r="G410" t="str">
        <f t="shared" ca="1" si="6"/>
        <v>"2084060340" : "O · P · Tôi",</v>
      </c>
    </row>
    <row r="411" spans="1:7" ht="15.75" customHeight="1">
      <c r="A411" s="28">
        <v>2084060341</v>
      </c>
      <c r="B411" s="28" t="s">
        <v>20166</v>
      </c>
      <c r="C411" s="28" t="s">
        <v>21240</v>
      </c>
      <c r="D411" s="28" t="s">
        <v>21242</v>
      </c>
      <c r="E411" s="4" t="str">
        <f ca="1">IFERROR(__xludf.DUMMYFUNCTION("GOOGLETRANSLATE(B411,""ja"",""vi"")"),"RMK")</f>
        <v>RMK</v>
      </c>
      <c r="F411" s="4" t="str">
        <f ca="1">IFERROR(__xludf.DUMMYFUNCTION("GOOGLETRANSLATE(C411,""ja"",""vi"")"),"Đấu giá&gt; làm đẹp, chăm sóc sức khỏe&gt; ​​Chăm sóc móng tay&gt; màu móng tay&gt; RMK")</f>
        <v>Đấu giá&gt; làm đẹp, chăm sóc sức khỏe&gt; ​​Chăm sóc móng tay&gt; màu móng tay&gt; RMK</v>
      </c>
      <c r="G411" t="str">
        <f t="shared" ca="1" si="6"/>
        <v>"2084060341" : "RMK",</v>
      </c>
    </row>
    <row r="412" spans="1:7" ht="15.75" customHeight="1">
      <c r="A412" s="28">
        <v>2084064012</v>
      </c>
      <c r="B412" s="28" t="s">
        <v>21244</v>
      </c>
      <c r="C412" s="28" t="s">
        <v>21245</v>
      </c>
      <c r="D412" s="28" t="s">
        <v>21246</v>
      </c>
      <c r="E412" s="4" t="str">
        <f ca="1">IFERROR(__xludf.DUMMYFUNCTION("GOOGLETRANSLATE(B412,""ja"",""vi"")"),"Essie")</f>
        <v>Essie</v>
      </c>
      <c r="F412" s="4" t="str">
        <f ca="1">IFERROR(__xludf.DUMMYFUNCTION("GOOGLETRANSLATE(C412,""ja"",""vi"")"),"Đấu giá&gt; làm đẹp, chăm sóc sức khỏe&gt; ​​Chăm sóc móng tay&gt; màu móng tay&gt; Essie")</f>
        <v>Đấu giá&gt; làm đẹp, chăm sóc sức khỏe&gt; ​​Chăm sóc móng tay&gt; màu móng tay&gt; Essie</v>
      </c>
      <c r="G412" t="str">
        <f t="shared" ca="1" si="6"/>
        <v>"2084064012" : "Essie",</v>
      </c>
    </row>
    <row r="413" spans="1:7" ht="15.75" customHeight="1">
      <c r="A413" s="28">
        <v>2084059013</v>
      </c>
      <c r="B413" s="28" t="s">
        <v>8795</v>
      </c>
      <c r="C413" s="28" t="s">
        <v>21248</v>
      </c>
      <c r="D413" s="28" t="s">
        <v>21249</v>
      </c>
      <c r="E413" s="4" t="str">
        <f ca="1">IFERROR(__xludf.DUMMYFUNCTION("GOOGLETRANSLATE(B413,""ja"",""vi"")"),"Anna Sui")</f>
        <v>Anna Sui</v>
      </c>
      <c r="F413" s="4" t="str">
        <f ca="1">IFERROR(__xludf.DUMMYFUNCTION("GOOGLETRANSLATE(C413,""ja"",""vi"")"),"Đấu giá&gt; làm đẹp, chăm sóc sức khỏe&gt; ​​Chăm sóc móng tay&gt; màu móng tay&gt; Anna Sui")</f>
        <v>Đấu giá&gt; làm đẹp, chăm sóc sức khỏe&gt; ​​Chăm sóc móng tay&gt; màu móng tay&gt; Anna Sui</v>
      </c>
      <c r="G413" t="str">
        <f t="shared" ca="1" si="6"/>
        <v>"2084059013" : "Anna Sui",</v>
      </c>
    </row>
    <row r="414" spans="1:7" ht="15.75" customHeight="1">
      <c r="A414" s="28">
        <v>2084060339</v>
      </c>
      <c r="B414" s="28" t="s">
        <v>8809</v>
      </c>
      <c r="C414" s="28" t="s">
        <v>21251</v>
      </c>
      <c r="D414" s="28" t="s">
        <v>21252</v>
      </c>
      <c r="E414" s="4" t="str">
        <f ca="1">IFERROR(__xludf.DUMMYFUNCTION("GOOGLETRANSLATE(B414,""ja"",""vi"")"),"Aniesube")</f>
        <v>Aniesube</v>
      </c>
      <c r="F414" s="4" t="str">
        <f ca="1">IFERROR(__xludf.DUMMYFUNCTION("GOOGLETRANSLATE(C414,""ja"",""vi"")"),"Đấu giá&gt; làm đẹp, chăm sóc sức khỏe&gt; ​​Chăm sóc móng tay&gt; màu móng tay&gt; Aniesube")</f>
        <v>Đấu giá&gt; làm đẹp, chăm sóc sức khỏe&gt; ​​Chăm sóc móng tay&gt; màu móng tay&gt; Aniesube</v>
      </c>
      <c r="G414" t="str">
        <f t="shared" ca="1" si="6"/>
        <v>"2084060339" : "Aniesube",</v>
      </c>
    </row>
    <row r="415" spans="1:7" ht="15.75" customHeight="1">
      <c r="A415" s="28">
        <v>2084059014</v>
      </c>
      <c r="B415" s="28" t="s">
        <v>20236</v>
      </c>
      <c r="C415" s="28" t="s">
        <v>21254</v>
      </c>
      <c r="D415" s="28" t="s">
        <v>21255</v>
      </c>
      <c r="E415" s="4" t="str">
        <f ca="1">IFERROR(__xludf.DUMMYFUNCTION("GOOGLETRANSLATE(B415,""ja"",""vi"")"),"Ayura")</f>
        <v>Ayura</v>
      </c>
      <c r="F415" s="4" t="str">
        <f ca="1">IFERROR(__xludf.DUMMYFUNCTION("GOOGLETRANSLATE(C415,""ja"",""vi"")"),"Đấu giá&gt; làm đẹp, chăm sóc sức khỏe&gt; ​​Chăm sóc móng tay&gt; màu móng tay&gt; Ayura")</f>
        <v>Đấu giá&gt; làm đẹp, chăm sóc sức khỏe&gt; ​​Chăm sóc móng tay&gt; màu móng tay&gt; Ayura</v>
      </c>
      <c r="G415" t="str">
        <f t="shared" ca="1" si="6"/>
        <v>"2084059014" : "Ayura",</v>
      </c>
    </row>
    <row r="416" spans="1:7" ht="15.75" customHeight="1">
      <c r="A416" s="28">
        <v>2084059016</v>
      </c>
      <c r="B416" s="28" t="s">
        <v>20257</v>
      </c>
      <c r="C416" s="28" t="s">
        <v>21258</v>
      </c>
      <c r="D416" s="28" t="s">
        <v>21259</v>
      </c>
      <c r="E416" s="4" t="str">
        <f ca="1">IFERROR(__xludf.DUMMYFUNCTION("GOOGLETRANSLATE(B416,""ja"",""vi"")"),"IPSA")</f>
        <v>IPSA</v>
      </c>
      <c r="F416" s="4" t="str">
        <f ca="1">IFERROR(__xludf.DUMMYFUNCTION("GOOGLETRANSLATE(C416,""ja"",""vi"")"),"Đấu giá&gt; làm đẹp, chăm sóc sức khỏe&gt; ​​Chăm sóc móng tay&gt; màu móng tay&gt; IPSA")</f>
        <v>Đấu giá&gt; làm đẹp, chăm sóc sức khỏe&gt; ​​Chăm sóc móng tay&gt; màu móng tay&gt; IPSA</v>
      </c>
      <c r="G416" t="str">
        <f t="shared" ca="1" si="6"/>
        <v>"2084059016" : "IPSA",</v>
      </c>
    </row>
    <row r="417" spans="1:7" ht="15.75" customHeight="1">
      <c r="A417" s="28">
        <v>2084059015</v>
      </c>
      <c r="B417" s="28" t="s">
        <v>9050</v>
      </c>
      <c r="C417" s="28" t="s">
        <v>21261</v>
      </c>
      <c r="D417" s="28" t="s">
        <v>21262</v>
      </c>
      <c r="E417" s="4" t="str">
        <f ca="1">IFERROR(__xludf.DUMMYFUNCTION("GOOGLETRANSLATE(B417,""ja"",""vi"")"),"Yves Saint Laurent")</f>
        <v>Yves Saint Laurent</v>
      </c>
      <c r="F417" s="4" t="str">
        <f ca="1">IFERROR(__xludf.DUMMYFUNCTION("GOOGLETRANSLATE(C417,""ja"",""vi"")"),"Đấu giá&gt; làm đẹp, chăm sóc sức khỏe&gt; ​​Chăm sóc móng tay&gt; màu móng tay&gt; Yves Saint Laurent")</f>
        <v>Đấu giá&gt; làm đẹp, chăm sóc sức khỏe&gt; ​​Chăm sóc móng tay&gt; màu móng tay&gt; Yves Saint Laurent</v>
      </c>
      <c r="G417" t="str">
        <f t="shared" ca="1" si="6"/>
        <v>"2084059015" : "Yves Saint Laurent",</v>
      </c>
    </row>
    <row r="418" spans="1:7" ht="15.75" customHeight="1">
      <c r="A418" s="28">
        <v>2084059017</v>
      </c>
      <c r="B418" s="28" t="s">
        <v>19664</v>
      </c>
      <c r="C418" s="28" t="s">
        <v>21264</v>
      </c>
      <c r="D418" s="28" t="s">
        <v>21265</v>
      </c>
      <c r="E418" s="4" t="str">
        <f ca="1">IFERROR(__xludf.DUMMYFUNCTION("GOOGLETRANSLATE(B418,""ja"",""vi"")"),"Estee Lauder")</f>
        <v>Estee Lauder</v>
      </c>
      <c r="F418" s="4" t="str">
        <f ca="1">IFERROR(__xludf.DUMMYFUNCTION("GOOGLETRANSLATE(C418,""ja"",""vi"")"),"Đấu giá&gt; làm đẹp, chăm sóc sức khỏe&gt; ​​Chăm sóc móng tay&gt; màu móng tay&gt; Estee Lauder")</f>
        <v>Đấu giá&gt; làm đẹp, chăm sóc sức khỏe&gt; ​​Chăm sóc móng tay&gt; màu móng tay&gt; Estee Lauder</v>
      </c>
      <c r="G418" t="str">
        <f t="shared" ca="1" si="6"/>
        <v>"2084059017" : "Estee Lauder",</v>
      </c>
    </row>
    <row r="419" spans="1:7" ht="15.75" customHeight="1">
      <c r="A419" s="28">
        <v>2084059018</v>
      </c>
      <c r="B419" s="28" t="s">
        <v>19670</v>
      </c>
      <c r="C419" s="28" t="s">
        <v>21267</v>
      </c>
      <c r="D419" s="28" t="s">
        <v>21268</v>
      </c>
      <c r="E419" s="4" t="str">
        <f ca="1">IFERROR(__xludf.DUMMYFUNCTION("GOOGLETRANSLATE(B419,""ja"",""vi"")"),"Elizabeth Arden")</f>
        <v>Elizabeth Arden</v>
      </c>
      <c r="F419" s="4" t="str">
        <f ca="1">IFERROR(__xludf.DUMMYFUNCTION("GOOGLETRANSLATE(C419,""ja"",""vi"")"),"Đấu giá&gt; làm đẹp, chăm sóc sức khỏe&gt; ​​Chăm sóc móng tay&gt; màu móng tay&gt; Elizabeth Arden")</f>
        <v>Đấu giá&gt; làm đẹp, chăm sóc sức khỏe&gt; ​​Chăm sóc móng tay&gt; màu móng tay&gt; Elizabeth Arden</v>
      </c>
      <c r="G419" t="str">
        <f t="shared" ca="1" si="6"/>
        <v>"2084059018" : "Elizabeth Arden",</v>
      </c>
    </row>
    <row r="420" spans="1:7" ht="15.75" customHeight="1">
      <c r="A420" s="28">
        <v>2084059020</v>
      </c>
      <c r="B420" s="28" t="s">
        <v>9858</v>
      </c>
      <c r="C420" s="28" t="s">
        <v>21270</v>
      </c>
      <c r="D420" s="28" t="s">
        <v>21271</v>
      </c>
      <c r="E420" s="4" t="str">
        <f ca="1">IFERROR(__xludf.DUMMYFUNCTION("GOOGLETRANSLATE(B420,""ja"",""vi"")"),"Christian Dior")</f>
        <v>Christian Dior</v>
      </c>
      <c r="F420" s="4" t="str">
        <f ca="1">IFERROR(__xludf.DUMMYFUNCTION("GOOGLETRANSLATE(C420,""ja"",""vi"")"),"Đấu giá&gt; làm đẹp, chăm sóc sức khỏe&gt; ​​Chăm sóc móng tay&gt; màu móng tay&gt; Christian Dior")</f>
        <v>Đấu giá&gt; làm đẹp, chăm sóc sức khỏe&gt; ​​Chăm sóc móng tay&gt; màu móng tay&gt; Christian Dior</v>
      </c>
      <c r="G420" t="str">
        <f t="shared" ca="1" si="6"/>
        <v>"2084059020" : "Christian Dior",</v>
      </c>
    </row>
    <row r="421" spans="1:7" ht="15.75" customHeight="1">
      <c r="A421" s="28">
        <v>2084059021</v>
      </c>
      <c r="B421" s="28" t="s">
        <v>19700</v>
      </c>
      <c r="C421" s="28" t="s">
        <v>21273</v>
      </c>
      <c r="D421" s="28" t="s">
        <v>21275</v>
      </c>
      <c r="E421" s="4" t="str">
        <f ca="1">IFERROR(__xludf.DUMMYFUNCTION("GOOGLETRANSLATE(B421,""ja"",""vi"")"),"Clinique")</f>
        <v>Clinique</v>
      </c>
      <c r="F421" s="4" t="str">
        <f ca="1">IFERROR(__xludf.DUMMYFUNCTION("GOOGLETRANSLATE(C421,""ja"",""vi"")"),"Đấu giá&gt; làm đẹp, chăm sóc sức khỏe&gt; ​​Chăm sóc móng tay&gt; màu móng tay&gt; Clinique")</f>
        <v>Đấu giá&gt; làm đẹp, chăm sóc sức khỏe&gt; ​​Chăm sóc móng tay&gt; màu móng tay&gt; Clinique</v>
      </c>
      <c r="G421" t="str">
        <f t="shared" ca="1" si="6"/>
        <v>"2084059021" : "Clinique",</v>
      </c>
    </row>
    <row r="422" spans="1:7" ht="15.75" customHeight="1">
      <c r="A422" s="28">
        <v>2084059022</v>
      </c>
      <c r="B422" s="28" t="s">
        <v>20346</v>
      </c>
      <c r="C422" s="28" t="s">
        <v>21277</v>
      </c>
      <c r="D422" s="28" t="s">
        <v>21278</v>
      </c>
      <c r="E422" s="4" t="str">
        <f ca="1">IFERROR(__xludf.DUMMYFUNCTION("GOOGLETRANSLATE(B422,""ja"",""vi"")"),"Kesaran Pasaran")</f>
        <v>Kesaran Pasaran</v>
      </c>
      <c r="F422" s="4" t="str">
        <f ca="1">IFERROR(__xludf.DUMMYFUNCTION("GOOGLETRANSLATE(C422,""ja"",""vi"")"),"Đấu giá&gt; làm đẹp, chăm sóc sức khỏe&gt; ​​Chăm sóc móng tay&gt; màu móng tay&gt; Kesaran Pasaran")</f>
        <v>Đấu giá&gt; làm đẹp, chăm sóc sức khỏe&gt; ​​Chăm sóc móng tay&gt; màu móng tay&gt; Kesaran Pasaran</v>
      </c>
      <c r="G422" t="str">
        <f t="shared" ca="1" si="6"/>
        <v>"2084059022" : "Kesaran Pasaran",</v>
      </c>
    </row>
    <row r="423" spans="1:7" ht="15.75" customHeight="1">
      <c r="A423" s="28">
        <v>2084059024</v>
      </c>
      <c r="B423" s="28" t="s">
        <v>10288</v>
      </c>
      <c r="C423" s="28" t="s">
        <v>21281</v>
      </c>
      <c r="D423" s="28" t="s">
        <v>21282</v>
      </c>
      <c r="E423" s="4" t="str">
        <f ca="1">IFERROR(__xludf.DUMMYFUNCTION("GOOGLETRANSLATE(B423,""ja"",""vi"")"),"Chanel")</f>
        <v>Chanel</v>
      </c>
      <c r="F423" s="4" t="str">
        <f ca="1">IFERROR(__xludf.DUMMYFUNCTION("GOOGLETRANSLATE(C423,""ja"",""vi"")"),"Đấu giá&gt; làm đẹp, chăm sóc sức khỏe&gt; ​​Chăm sóc móng tay&gt; màu móng tay&gt; Chanel")</f>
        <v>Đấu giá&gt; làm đẹp, chăm sóc sức khỏe&gt; ​​Chăm sóc móng tay&gt; màu móng tay&gt; Chanel</v>
      </c>
      <c r="G423" t="str">
        <f t="shared" ca="1" si="6"/>
        <v>"2084059024" : "Chanel",</v>
      </c>
    </row>
    <row r="424" spans="1:7" ht="15.75" customHeight="1">
      <c r="A424" s="28">
        <v>2084243962</v>
      </c>
      <c r="B424" s="28" t="s">
        <v>10446</v>
      </c>
      <c r="C424" s="28" t="s">
        <v>21284</v>
      </c>
      <c r="D424" s="28" t="s">
        <v>21285</v>
      </c>
      <c r="E424" s="4" t="str">
        <f ca="1">IFERROR(__xludf.DUMMYFUNCTION("GOOGLETRANSLATE(B424,""ja"",""vi"")"),"Jill Stuart")</f>
        <v>Jill Stuart</v>
      </c>
      <c r="F424" s="4" t="str">
        <f ca="1">IFERROR(__xludf.DUMMYFUNCTION("GOOGLETRANSLATE(C424,""ja"",""vi"")"),"Đấu giá&gt; làm đẹp, chăm sóc sức khỏe&gt; ​​Chăm sóc móng tay&gt; màu móng tay&gt; Jill Stuart")</f>
        <v>Đấu giá&gt; làm đẹp, chăm sóc sức khỏe&gt; ​​Chăm sóc móng tay&gt; màu móng tay&gt; Jill Stuart</v>
      </c>
      <c r="G424" t="str">
        <f t="shared" ca="1" si="6"/>
        <v>"2084243962" : "Jill Stuart",</v>
      </c>
    </row>
    <row r="425" spans="1:7" ht="15.75" customHeight="1">
      <c r="A425" s="28">
        <v>2084059025</v>
      </c>
      <c r="B425" s="28" t="s">
        <v>20502</v>
      </c>
      <c r="C425" s="28" t="s">
        <v>21287</v>
      </c>
      <c r="D425" s="28" t="s">
        <v>21288</v>
      </c>
      <c r="E425" s="4" t="str">
        <f ca="1">IFERROR(__xludf.DUMMYFUNCTION("GOOGLETRANSLATE(B425,""ja"",""vi"")"),"Helena Rubinstein")</f>
        <v>Helena Rubinstein</v>
      </c>
      <c r="F425" s="4" t="str">
        <f ca="1">IFERROR(__xludf.DUMMYFUNCTION("GOOGLETRANSLATE(C425,""ja"",""vi"")"),"Đấu giá&gt; làm đẹp, chăm sóc sức khỏe&gt; ​​Chăm sóc móng tay&gt; màu móng tay&gt; Helena Rubinstein")</f>
        <v>Đấu giá&gt; làm đẹp, chăm sóc sức khỏe&gt; ​​Chăm sóc móng tay&gt; màu móng tay&gt; Helena Rubinstein</v>
      </c>
      <c r="G425" t="str">
        <f t="shared" ca="1" si="6"/>
        <v>"2084059025" : "Helena Rubinstein",</v>
      </c>
    </row>
    <row r="426" spans="1:7" ht="15.75" customHeight="1">
      <c r="A426" s="28">
        <v>2084226974</v>
      </c>
      <c r="B426" s="28" t="s">
        <v>12253</v>
      </c>
      <c r="C426" s="28" t="s">
        <v>21290</v>
      </c>
      <c r="D426" s="28" t="s">
        <v>21292</v>
      </c>
      <c r="E426" s="4" t="str">
        <f ca="1">IFERROR(__xludf.DUMMYFUNCTION("GOOGLETRANSLATE(B426,""ja"",""vi"")"),"Paul &amp; Joe")</f>
        <v>Paul &amp; Joe</v>
      </c>
      <c r="F426" s="4" t="str">
        <f ca="1">IFERROR(__xludf.DUMMYFUNCTION("GOOGLETRANSLATE(C426,""ja"",""vi"")"),"Đấu giá&gt; làm đẹp, chăm sóc sức khỏe&gt; ​​Chăm sóc móng tay&gt; màu móng tay&gt; Paul &amp; Joe")</f>
        <v>Đấu giá&gt; làm đẹp, chăm sóc sức khỏe&gt; ​​Chăm sóc móng tay&gt; màu móng tay&gt; Paul &amp; Joe</v>
      </c>
      <c r="G426" t="str">
        <f t="shared" ca="1" si="6"/>
        <v>"2084226974" : "Paul &amp; Joe",</v>
      </c>
    </row>
    <row r="427" spans="1:7" ht="15.75" customHeight="1">
      <c r="A427" s="28">
        <v>2084059026</v>
      </c>
      <c r="B427" s="28" t="s">
        <v>20546</v>
      </c>
      <c r="C427" s="28" t="s">
        <v>21294</v>
      </c>
      <c r="D427" s="28" t="s">
        <v>21295</v>
      </c>
      <c r="E427" s="4" t="str">
        <f ca="1">IFERROR(__xludf.DUMMYFUNCTION("GOOGLETRANSLATE(B427,""ja"",""vi"")"),"Maybelline")</f>
        <v>Maybelline</v>
      </c>
      <c r="F427" s="4" t="str">
        <f ca="1">IFERROR(__xludf.DUMMYFUNCTION("GOOGLETRANSLATE(C427,""ja"",""vi"")"),"Đấu giá&gt; làm đẹp, chăm sóc sức khỏe&gt; ​​Chăm sóc móng tay&gt; màu móng tay&gt; Maybelline")</f>
        <v>Đấu giá&gt; làm đẹp, chăm sóc sức khỏe&gt; ​​Chăm sóc móng tay&gt; màu móng tay&gt; Maybelline</v>
      </c>
      <c r="G427" t="str">
        <f t="shared" ca="1" si="6"/>
        <v>"2084059026" : "Maybelline",</v>
      </c>
    </row>
    <row r="428" spans="1:7" ht="15.75" customHeight="1">
      <c r="A428" s="28">
        <v>2084059027</v>
      </c>
      <c r="B428" s="28" t="s">
        <v>20550</v>
      </c>
      <c r="C428" s="28" t="s">
        <v>21297</v>
      </c>
      <c r="D428" s="28" t="s">
        <v>21298</v>
      </c>
      <c r="E428" s="4" t="str">
        <f ca="1">IFERROR(__xludf.DUMMYFUNCTION("GOOGLETRANSLATE(B428,""ja"",""vi"")"),"Menard")</f>
        <v>Menard</v>
      </c>
      <c r="F428" s="4" t="str">
        <f ca="1">IFERROR(__xludf.DUMMYFUNCTION("GOOGLETRANSLATE(C428,""ja"",""vi"")"),"Đấu giá&gt; làm đẹp, chăm sóc sức khỏe&gt; ​​Chăm sóc móng tay&gt; màu móng tay&gt; Menard")</f>
        <v>Đấu giá&gt; làm đẹp, chăm sóc sức khỏe&gt; ​​Chăm sóc móng tay&gt; màu móng tay&gt; Menard</v>
      </c>
      <c r="G428" t="str">
        <f t="shared" ca="1" si="6"/>
        <v>"2084059027" : "Menard",</v>
      </c>
    </row>
    <row r="429" spans="1:7" ht="15.75" customHeight="1">
      <c r="A429" s="28">
        <v>2084059028</v>
      </c>
      <c r="B429" s="28" t="s">
        <v>19898</v>
      </c>
      <c r="C429" s="28" t="s">
        <v>21300</v>
      </c>
      <c r="D429" s="28" t="s">
        <v>21302</v>
      </c>
      <c r="E429" s="4" t="str">
        <f ca="1">IFERROR(__xludf.DUMMYFUNCTION("GOOGLETRANSLATE(B429,""ja"",""vi"")"),"Lancome")</f>
        <v>Lancome</v>
      </c>
      <c r="F429" s="4" t="str">
        <f ca="1">IFERROR(__xludf.DUMMYFUNCTION("GOOGLETRANSLATE(C429,""ja"",""vi"")"),"Đấu giá&gt; làm đẹp, chăm sóc sức khỏe&gt; ​​Chăm sóc móng tay&gt; màu móng tay&gt; Lancome")</f>
        <v>Đấu giá&gt; làm đẹp, chăm sóc sức khỏe&gt; ​​Chăm sóc móng tay&gt; màu móng tay&gt; Lancome</v>
      </c>
      <c r="G429" t="str">
        <f t="shared" ca="1" si="6"/>
        <v>"2084059028" : "Lancome",</v>
      </c>
    </row>
    <row r="430" spans="1:7" ht="15.75" customHeight="1">
      <c r="A430" s="28">
        <v>2084059029</v>
      </c>
      <c r="B430" s="28" t="s">
        <v>20571</v>
      </c>
      <c r="C430" s="28" t="s">
        <v>21304</v>
      </c>
      <c r="D430" s="28" t="s">
        <v>21305</v>
      </c>
      <c r="E430" s="4" t="str">
        <f ca="1">IFERROR(__xludf.DUMMYFUNCTION("GOOGLETRANSLATE(B430,""ja"",""vi"")"),"Revlon")</f>
        <v>Revlon</v>
      </c>
      <c r="F430" s="4" t="str">
        <f ca="1">IFERROR(__xludf.DUMMYFUNCTION("GOOGLETRANSLATE(C430,""ja"",""vi"")"),"Đấu giá&gt; làm đẹp, chăm sóc sức khỏe&gt; ​​Chăm sóc móng tay&gt; màu móng tay&gt; Revlon")</f>
        <v>Đấu giá&gt; làm đẹp, chăm sóc sức khỏe&gt; ​​Chăm sóc móng tay&gt; màu móng tay&gt; Revlon</v>
      </c>
      <c r="G430" t="str">
        <f t="shared" ca="1" si="6"/>
        <v>"2084059029" : "Revlon",</v>
      </c>
    </row>
    <row r="431" spans="1:7" ht="15.75" customHeight="1">
      <c r="A431" s="28">
        <v>2084059031</v>
      </c>
      <c r="B431" s="28" t="s">
        <v>46</v>
      </c>
      <c r="C431" s="28" t="s">
        <v>21307</v>
      </c>
      <c r="D431" s="28" t="s">
        <v>21308</v>
      </c>
      <c r="E431" s="4" t="str">
        <f ca="1">IFERROR(__xludf.DUMMYFUNCTION("GOOGLETRANSLATE(B431,""ja"",""vi"")"),"nếu không thì")</f>
        <v>nếu không thì</v>
      </c>
      <c r="F431" s="4" t="str">
        <f ca="1">IFERROR(__xludf.DUMMYFUNCTION("GOOGLETRANSLATE(C431,""ja"",""vi"")"),"Đấu giá&gt; làm đẹp, chăm sóc sức khỏe&gt; ​​Chăm sóc móng tay&gt; màu móng tay&gt; Khác")</f>
        <v>Đấu giá&gt; làm đẹp, chăm sóc sức khỏe&gt; ​​Chăm sóc móng tay&gt; màu móng tay&gt; Khác</v>
      </c>
      <c r="G431" t="str">
        <f t="shared" ca="1" si="6"/>
        <v>"2084059031" : "nếu không thì",</v>
      </c>
    </row>
    <row r="432" spans="1:7" ht="15.75" customHeight="1">
      <c r="A432" s="36">
        <v>2084063372</v>
      </c>
      <c r="B432" s="36" t="s">
        <v>2241</v>
      </c>
      <c r="C432" s="36" t="s">
        <v>21633</v>
      </c>
      <c r="D432" s="36" t="s">
        <v>21634</v>
      </c>
      <c r="E432" s="4" t="str">
        <f ca="1">IFERROR(__xludf.DUMMYFUNCTION("GOOGLETRANSLATE(B432,""ja"",""vi"")"),"chung")</f>
        <v>chung</v>
      </c>
      <c r="F432" s="4" t="str">
        <f ca="1">IFERROR(__xludf.DUMMYFUNCTION("GOOGLETRANSLATE(C432,""ja"",""vi"")"),"Đấu giá&gt; làm đẹp, chăm sóc sức khỏe&gt; ​​Chăm sóc móng tay&gt; đầu móng tay, móng tay&gt; General")</f>
        <v>Đấu giá&gt; làm đẹp, chăm sóc sức khỏe&gt; ​​Chăm sóc móng tay&gt; đầu móng tay, móng tay&gt; General</v>
      </c>
      <c r="G432" t="str">
        <f t="shared" ca="1" si="6"/>
        <v>"2084063372" : "chung",</v>
      </c>
    </row>
    <row r="433" spans="1:7" ht="15.75" customHeight="1">
      <c r="A433" s="28">
        <v>2084063380</v>
      </c>
      <c r="B433" s="28" t="s">
        <v>3548</v>
      </c>
      <c r="C433" s="28" t="s">
        <v>21636</v>
      </c>
      <c r="D433" s="28" t="s">
        <v>21637</v>
      </c>
      <c r="E433" s="4" t="str">
        <f ca="1">IFERROR(__xludf.DUMMYFUNCTION("GOOGLETRANSLATE(B433,""ja"",""vi"")"),"3D")</f>
        <v>3D</v>
      </c>
      <c r="F433" s="4" t="str">
        <f ca="1">IFERROR(__xludf.DUMMYFUNCTION("GOOGLETRANSLATE(C433,""ja"",""vi"")"),"Đấu giá&gt; làm đẹp, chăm sóc sức khỏe&gt; ​​Chăm sóc móng tay&gt; đầu móng tay, móng tay&gt; 3D")</f>
        <v>Đấu giá&gt; làm đẹp, chăm sóc sức khỏe&gt; ​​Chăm sóc móng tay&gt; đầu móng tay, móng tay&gt; 3D</v>
      </c>
      <c r="G433" t="str">
        <f t="shared" ca="1" si="6"/>
        <v>"2084063380" : "3D",</v>
      </c>
    </row>
    <row r="434" spans="1:7" ht="15.75" customHeight="1">
      <c r="A434" s="28">
        <v>2084063379</v>
      </c>
      <c r="B434" s="28" t="s">
        <v>21640</v>
      </c>
      <c r="C434" s="28" t="s">
        <v>21642</v>
      </c>
      <c r="D434" s="28" t="s">
        <v>21644</v>
      </c>
      <c r="E434" s="4" t="str">
        <f ca="1">IFERROR(__xludf.DUMMYFUNCTION("GOOGLETRANSLATE(B434,""ja"",""vi"")"),"người Pháp")</f>
        <v>người Pháp</v>
      </c>
      <c r="F434" s="4" t="str">
        <f ca="1">IFERROR(__xludf.DUMMYFUNCTION("GOOGLETRANSLATE(C434,""ja"",""vi"")"),"Đấu giá&gt; làm đẹp, chăm sóc sức khỏe&gt; ​​Chăm sóc móng tay&gt; đầu móng tay, móng tay&gt; Pháp")</f>
        <v>Đấu giá&gt; làm đẹp, chăm sóc sức khỏe&gt; ​​Chăm sóc móng tay&gt; đầu móng tay, móng tay&gt; Pháp</v>
      </c>
      <c r="G434" t="str">
        <f t="shared" ca="1" si="6"/>
        <v>"2084063379" : "người Pháp",</v>
      </c>
    </row>
    <row r="435" spans="1:7" ht="15.75" customHeight="1">
      <c r="A435" s="36">
        <v>2084063387</v>
      </c>
      <c r="B435" s="36" t="s">
        <v>21645</v>
      </c>
      <c r="C435" s="36" t="s">
        <v>21646</v>
      </c>
      <c r="D435" s="36" t="s">
        <v>21647</v>
      </c>
      <c r="E435" s="4" t="str">
        <f ca="1">IFERROR(__xludf.DUMMYFUNCTION("GOOGLETRANSLATE(B435,""ja"",""vi"")"),"Wella")</f>
        <v>Wella</v>
      </c>
      <c r="F435" s="4" t="str">
        <f ca="1">IFERROR(__xludf.DUMMYFUNCTION("GOOGLETRANSLATE(C435,""ja"",""vi"")"),"Đấu giá&gt; làm đẹp, chăm sóc sức khỏe&gt; ​​Chăm sóc tóc&gt; dầu gội đầu&gt; Wella")</f>
        <v>Đấu giá&gt; làm đẹp, chăm sóc sức khỏe&gt; ​​Chăm sóc tóc&gt; dầu gội đầu&gt; Wella</v>
      </c>
      <c r="G435" t="str">
        <f t="shared" ca="1" si="6"/>
        <v>"2084063387" : "Wella",</v>
      </c>
    </row>
    <row r="436" spans="1:7" ht="15.75" customHeight="1">
      <c r="A436" s="28">
        <v>2084216502</v>
      </c>
      <c r="B436" s="28" t="s">
        <v>20319</v>
      </c>
      <c r="C436" s="28" t="s">
        <v>21649</v>
      </c>
      <c r="D436" s="28" t="s">
        <v>21650</v>
      </c>
      <c r="E436" s="4" t="str">
        <f ca="1">IFERROR(__xludf.DUMMYFUNCTION("GOOGLETRANSLATE(B436,""ja"",""vi"")"),"Kanebo")</f>
        <v>Kanebo</v>
      </c>
      <c r="F436" s="4" t="str">
        <f ca="1">IFERROR(__xludf.DUMMYFUNCTION("GOOGLETRANSLATE(C436,""ja"",""vi"")"),"Đấu giá&gt; làm đẹp, chăm sóc sức khỏe&gt; ​​Chăm sóc tóc&gt; dầu gội đầu&gt; Kanebo")</f>
        <v>Đấu giá&gt; làm đẹp, chăm sóc sức khỏe&gt; ​​Chăm sóc tóc&gt; dầu gội đầu&gt; Kanebo</v>
      </c>
      <c r="G436" t="str">
        <f t="shared" ca="1" si="6"/>
        <v>"2084216502" : "Kanebo",</v>
      </c>
    </row>
    <row r="437" spans="1:7" ht="15.75" customHeight="1">
      <c r="A437" s="28">
        <v>2084063390</v>
      </c>
      <c r="B437" s="28" t="s">
        <v>21651</v>
      </c>
      <c r="C437" s="28" t="s">
        <v>21652</v>
      </c>
      <c r="D437" s="28" t="s">
        <v>21653</v>
      </c>
      <c r="E437" s="4" t="str">
        <f ca="1">IFERROR(__xludf.DUMMYFUNCTION("GOOGLETRANSLATE(B437,""ja"",""vi"")"),"Schwarzkopf")</f>
        <v>Schwarzkopf</v>
      </c>
      <c r="F437" s="4" t="str">
        <f ca="1">IFERROR(__xludf.DUMMYFUNCTION("GOOGLETRANSLATE(C437,""ja"",""vi"")"),"Đấu giá&gt; làm đẹp, chăm sóc sức khỏe&gt; ​​Chăm sóc tóc&gt; dầu gội đầu&gt; Schwarzkopf")</f>
        <v>Đấu giá&gt; làm đẹp, chăm sóc sức khỏe&gt; ​​Chăm sóc tóc&gt; dầu gội đầu&gt; Schwarzkopf</v>
      </c>
      <c r="G437" t="str">
        <f t="shared" ca="1" si="6"/>
        <v>"2084063390" : "Schwarzkopf",</v>
      </c>
    </row>
    <row r="438" spans="1:7" ht="15.75" customHeight="1">
      <c r="A438" s="28">
        <v>2084216500</v>
      </c>
      <c r="B438" s="28" t="s">
        <v>21654</v>
      </c>
      <c r="C438" s="28" t="s">
        <v>21655</v>
      </c>
      <c r="D438" s="28" t="s">
        <v>21656</v>
      </c>
      <c r="E438" s="4" t="str">
        <f ca="1">IFERROR(__xludf.DUMMYFUNCTION("GOOGLETRANSLATE(B438,""ja"",""vi"")"),"Neways")</f>
        <v>Neways</v>
      </c>
      <c r="F438" s="4" t="str">
        <f ca="1">IFERROR(__xludf.DUMMYFUNCTION("GOOGLETRANSLATE(C438,""ja"",""vi"")"),"Đấu giá&gt; làm đẹp, chăm sóc sức khỏe&gt; ​​Chăm sóc tóc&gt; dầu gội đầu&gt; Neways")</f>
        <v>Đấu giá&gt; làm đẹp, chăm sóc sức khỏe&gt; ​​Chăm sóc tóc&gt; dầu gội đầu&gt; Neways</v>
      </c>
      <c r="G438" t="str">
        <f t="shared" ca="1" si="6"/>
        <v>"2084216500" : "Neways",</v>
      </c>
    </row>
    <row r="439" spans="1:7" ht="15.75" customHeight="1">
      <c r="A439" s="28">
        <v>2084216501</v>
      </c>
      <c r="B439" s="28" t="s">
        <v>20446</v>
      </c>
      <c r="C439" s="28" t="s">
        <v>21657</v>
      </c>
      <c r="D439" s="28" t="s">
        <v>21658</v>
      </c>
      <c r="E439" s="4" t="str">
        <f ca="1">IFERROR(__xludf.DUMMYFUNCTION("GOOGLETRANSLATE(B439,""ja"",""vi"")"),"Nu Skin")</f>
        <v>Nu Skin</v>
      </c>
      <c r="F439" s="4" t="str">
        <f ca="1">IFERROR(__xludf.DUMMYFUNCTION("GOOGLETRANSLATE(C439,""ja"",""vi"")"),"Đấu giá&gt; làm đẹp, chăm sóc sức khỏe&gt; ​​Chăm sóc tóc&gt; dầu gội đầu&gt; Nu Skin")</f>
        <v>Đấu giá&gt; làm đẹp, chăm sóc sức khỏe&gt; ​​Chăm sóc tóc&gt; dầu gội đầu&gt; Nu Skin</v>
      </c>
      <c r="G439" t="str">
        <f t="shared" ca="1" si="6"/>
        <v>"2084216501" : "Nu Skin",</v>
      </c>
    </row>
    <row r="440" spans="1:7" ht="15.75" customHeight="1">
      <c r="A440" s="28">
        <v>2084063386</v>
      </c>
      <c r="B440" s="28" t="s">
        <v>21659</v>
      </c>
      <c r="C440" s="28" t="s">
        <v>21660</v>
      </c>
      <c r="D440" s="28" t="s">
        <v>21661</v>
      </c>
      <c r="E440" s="4" t="str">
        <f ca="1">IFERROR(__xludf.DUMMYFUNCTION("GOOGLETRANSLATE(B440,""ja"",""vi"")"),"Milbong")</f>
        <v>Milbong</v>
      </c>
      <c r="F440" s="4" t="str">
        <f ca="1">IFERROR(__xludf.DUMMYFUNCTION("GOOGLETRANSLATE(C440,""ja"",""vi"")"),"Đấu giá&gt; làm đẹp, chăm sóc sức khỏe&gt; ​​Chăm sóc tóc&gt; dầu gội đầu&gt; Milbong")</f>
        <v>Đấu giá&gt; làm đẹp, chăm sóc sức khỏe&gt; ​​Chăm sóc tóc&gt; dầu gội đầu&gt; Milbong</v>
      </c>
      <c r="G440" t="str">
        <f t="shared" ca="1" si="6"/>
        <v>"2084063386" : "Milbong",</v>
      </c>
    </row>
    <row r="441" spans="1:7" ht="15.75" customHeight="1">
      <c r="A441" s="28">
        <v>2084063388</v>
      </c>
      <c r="B441" s="28" t="s">
        <v>21662</v>
      </c>
      <c r="C441" s="28" t="s">
        <v>21663</v>
      </c>
      <c r="D441" s="28" t="s">
        <v>21664</v>
      </c>
      <c r="E441" s="4" t="str">
        <f ca="1">IFERROR(__xludf.DUMMYFUNCTION("GOOGLETRANSLATE(B441,""ja"",""vi"")"),"Morutobene")</f>
        <v>Morutobene</v>
      </c>
      <c r="F441" s="4" t="str">
        <f ca="1">IFERROR(__xludf.DUMMYFUNCTION("GOOGLETRANSLATE(C441,""ja"",""vi"")"),"Đấu giá&gt; làm đẹp, chăm sóc sức khỏe&gt; ​​Chăm sóc tóc&gt; dầu gội đầu&gt; Morutobene")</f>
        <v>Đấu giá&gt; làm đẹp, chăm sóc sức khỏe&gt; ​​Chăm sóc tóc&gt; dầu gội đầu&gt; Morutobene</v>
      </c>
      <c r="G441" t="str">
        <f t="shared" ca="1" si="6"/>
        <v>"2084063388" : "Morutobene",</v>
      </c>
    </row>
    <row r="442" spans="1:7" ht="15.75" customHeight="1">
      <c r="A442" s="28">
        <v>2084063389</v>
      </c>
      <c r="B442" s="28" t="s">
        <v>21665</v>
      </c>
      <c r="C442" s="28" t="s">
        <v>21666</v>
      </c>
      <c r="D442" s="28" t="s">
        <v>21667</v>
      </c>
      <c r="E442" s="4" t="str">
        <f ca="1">IFERROR(__xludf.DUMMYFUNCTION("GOOGLETRANSLATE(B442,""ja"",""vi"")"),"Revel Mỹ phẩm")</f>
        <v>Revel Mỹ phẩm</v>
      </c>
      <c r="F442" s="4" t="str">
        <f ca="1">IFERROR(__xludf.DUMMYFUNCTION("GOOGLETRANSLATE(C442,""ja"",""vi"")"),"Đấu giá&gt; làm đẹp, chăm sóc sức khỏe&gt; ​​Chăm sóc tóc&gt; dầu gội đầu&gt; Lebel Mỹ phẩm")</f>
        <v>Đấu giá&gt; làm đẹp, chăm sóc sức khỏe&gt; ​​Chăm sóc tóc&gt; dầu gội đầu&gt; Lebel Mỹ phẩm</v>
      </c>
      <c r="G442" t="str">
        <f t="shared" ca="1" si="6"/>
        <v>"2084063389" : "Revel Mỹ phẩm",</v>
      </c>
    </row>
    <row r="443" spans="1:7" ht="15.75" customHeight="1">
      <c r="A443" s="28">
        <v>2084063392</v>
      </c>
      <c r="B443" s="28" t="s">
        <v>21668</v>
      </c>
      <c r="C443" s="28" t="s">
        <v>21669</v>
      </c>
      <c r="D443" s="28" t="s">
        <v>21670</v>
      </c>
      <c r="E443" s="4" t="str">
        <f ca="1">IFERROR(__xludf.DUMMYFUNCTION("GOOGLETRANSLATE(B443,""ja"",""vi"")"),"L'Oreal")</f>
        <v>L'Oreal</v>
      </c>
      <c r="F443" s="4" t="str">
        <f ca="1">IFERROR(__xludf.DUMMYFUNCTION("GOOGLETRANSLATE(C443,""ja"",""vi"")"),"Đấu giá&gt; làm đẹp, chăm sóc sức khỏe&gt; ​​Chăm sóc tóc&gt; dầu gội đầu&gt; L'Oreal")</f>
        <v>Đấu giá&gt; làm đẹp, chăm sóc sức khỏe&gt; ​​Chăm sóc tóc&gt; dầu gội đầu&gt; L'Oreal</v>
      </c>
      <c r="G443" t="str">
        <f t="shared" ca="1" si="6"/>
        <v>"2084063392" : "L'Oreal",</v>
      </c>
    </row>
    <row r="444" spans="1:7" ht="15.75" customHeight="1">
      <c r="A444" s="28">
        <v>2084063391</v>
      </c>
      <c r="B444" s="28" t="s">
        <v>19778</v>
      </c>
      <c r="C444" s="28" t="s">
        <v>21671</v>
      </c>
      <c r="D444" s="28" t="s">
        <v>21672</v>
      </c>
      <c r="E444" s="4" t="str">
        <f ca="1">IFERROR(__xludf.DUMMYFUNCTION("GOOGLETRANSLATE(B444,""ja"",""vi"")"),"Shiseido")</f>
        <v>Shiseido</v>
      </c>
      <c r="F444" s="4" t="str">
        <f ca="1">IFERROR(__xludf.DUMMYFUNCTION("GOOGLETRANSLATE(C444,""ja"",""vi"")"),"Đấu giá&gt; làm đẹp, chăm sóc sức khỏe&gt; ​​Chăm sóc tóc&gt; dầu gội đầu&gt; Shiseido")</f>
        <v>Đấu giá&gt; làm đẹp, chăm sóc sức khỏe&gt; ​​Chăm sóc tóc&gt; dầu gội đầu&gt; Shiseido</v>
      </c>
      <c r="G444" t="str">
        <f t="shared" ca="1" si="6"/>
        <v>"2084063391" : "Shiseido",</v>
      </c>
    </row>
    <row r="445" spans="1:7" ht="15.75" customHeight="1">
      <c r="A445" s="28">
        <v>2084063393</v>
      </c>
      <c r="B445" s="28" t="s">
        <v>46</v>
      </c>
      <c r="C445" s="28" t="s">
        <v>21673</v>
      </c>
      <c r="D445" s="28" t="s">
        <v>21674</v>
      </c>
      <c r="E445" s="4" t="str">
        <f ca="1">IFERROR(__xludf.DUMMYFUNCTION("GOOGLETRANSLATE(B445,""ja"",""vi"")"),"nếu không thì")</f>
        <v>nếu không thì</v>
      </c>
      <c r="F445" s="4" t="str">
        <f ca="1">IFERROR(__xludf.DUMMYFUNCTION("GOOGLETRANSLATE(C445,""ja"",""vi"")"),"Đấu giá&gt; làm đẹp, chăm sóc sức khỏe&gt; ​​Chăm sóc tóc&gt; dầu gội đầu&gt; Khác")</f>
        <v>Đấu giá&gt; làm đẹp, chăm sóc sức khỏe&gt; ​​Chăm sóc tóc&gt; dầu gội đầu&gt; Khác</v>
      </c>
      <c r="G445" t="str">
        <f t="shared" ca="1" si="6"/>
        <v>"2084063393" : "nếu không thì",</v>
      </c>
    </row>
    <row r="446" spans="1:7" ht="15.75" customHeight="1">
      <c r="A446" s="36">
        <v>2084063395</v>
      </c>
      <c r="B446" s="36" t="s">
        <v>21645</v>
      </c>
      <c r="C446" s="36" t="s">
        <v>21675</v>
      </c>
      <c r="D446" s="36" t="s">
        <v>21676</v>
      </c>
      <c r="E446" s="4" t="str">
        <f ca="1">IFERROR(__xludf.DUMMYFUNCTION("GOOGLETRANSLATE(B446,""ja"",""vi"")"),"Wella")</f>
        <v>Wella</v>
      </c>
      <c r="F446" s="4" t="str">
        <f ca="1">IFERROR(__xludf.DUMMYFUNCTION("GOOGLETRANSLATE(C446,""ja"",""vi"")"),"Đấu giá&gt; làm đẹp, chăm sóc sức khỏe&gt; ​​Chăm sóc tóc&gt; điều trị, tinh hoa&gt; Wella")</f>
        <v>Đấu giá&gt; làm đẹp, chăm sóc sức khỏe&gt; ​​Chăm sóc tóc&gt; điều trị, tinh hoa&gt; Wella</v>
      </c>
      <c r="G446" t="str">
        <f t="shared" ca="1" si="6"/>
        <v>"2084063395" : "Wella",</v>
      </c>
    </row>
    <row r="447" spans="1:7" ht="15.75" customHeight="1">
      <c r="A447" s="28">
        <v>2084063398</v>
      </c>
      <c r="B447" s="28" t="s">
        <v>21651</v>
      </c>
      <c r="C447" s="28" t="s">
        <v>21677</v>
      </c>
      <c r="D447" s="28" t="s">
        <v>21678</v>
      </c>
      <c r="E447" s="4" t="str">
        <f ca="1">IFERROR(__xludf.DUMMYFUNCTION("GOOGLETRANSLATE(B447,""ja"",""vi"")"),"Schwarzkopf")</f>
        <v>Schwarzkopf</v>
      </c>
      <c r="F447" s="4" t="str">
        <f ca="1">IFERROR(__xludf.DUMMYFUNCTION("GOOGLETRANSLATE(C447,""ja"",""vi"")"),"Đấu giá&gt; làm đẹp, chăm sóc sức khỏe&gt; ​​Chăm sóc tóc&gt; điều trị, tinh hoa&gt; Schwarzkopf")</f>
        <v>Đấu giá&gt; làm đẹp, chăm sóc sức khỏe&gt; ​​Chăm sóc tóc&gt; điều trị, tinh hoa&gt; Schwarzkopf</v>
      </c>
      <c r="G447" t="str">
        <f t="shared" ca="1" si="6"/>
        <v>"2084063398" : "Schwarzkopf",</v>
      </c>
    </row>
    <row r="448" spans="1:7" ht="15.75" customHeight="1">
      <c r="A448" s="28">
        <v>2084063394</v>
      </c>
      <c r="B448" s="28" t="s">
        <v>21659</v>
      </c>
      <c r="C448" s="28" t="s">
        <v>21679</v>
      </c>
      <c r="D448" s="28" t="s">
        <v>21680</v>
      </c>
      <c r="E448" s="4" t="str">
        <f ca="1">IFERROR(__xludf.DUMMYFUNCTION("GOOGLETRANSLATE(B448,""ja"",""vi"")"),"Milbong")</f>
        <v>Milbong</v>
      </c>
      <c r="F448" s="4" t="str">
        <f ca="1">IFERROR(__xludf.DUMMYFUNCTION("GOOGLETRANSLATE(C448,""ja"",""vi"")"),"Đấu giá&gt; làm đẹp, chăm sóc sức khỏe&gt; ​​Chăm sóc tóc&gt; điều trị, tinh hoa&gt; Milbong")</f>
        <v>Đấu giá&gt; làm đẹp, chăm sóc sức khỏe&gt; ​​Chăm sóc tóc&gt; điều trị, tinh hoa&gt; Milbong</v>
      </c>
      <c r="G448" t="str">
        <f t="shared" ca="1" si="6"/>
        <v>"2084063394" : "Milbong",</v>
      </c>
    </row>
    <row r="449" spans="1:7" ht="15.75" customHeight="1">
      <c r="A449" s="28">
        <v>2084063396</v>
      </c>
      <c r="B449" s="28" t="s">
        <v>21662</v>
      </c>
      <c r="C449" s="28" t="s">
        <v>21681</v>
      </c>
      <c r="D449" s="28" t="s">
        <v>21682</v>
      </c>
      <c r="E449" s="4" t="str">
        <f ca="1">IFERROR(__xludf.DUMMYFUNCTION("GOOGLETRANSLATE(B449,""ja"",""vi"")"),"Morutobene")</f>
        <v>Morutobene</v>
      </c>
      <c r="F449" s="4" t="str">
        <f ca="1">IFERROR(__xludf.DUMMYFUNCTION("GOOGLETRANSLATE(C449,""ja"",""vi"")"),"Đấu giá&gt; làm đẹp, chăm sóc sức khỏe&gt; ​​Chăm sóc tóc&gt; điều trị, tinh hoa&gt; Morutobene")</f>
        <v>Đấu giá&gt; làm đẹp, chăm sóc sức khỏe&gt; ​​Chăm sóc tóc&gt; điều trị, tinh hoa&gt; Morutobene</v>
      </c>
      <c r="G449" t="str">
        <f t="shared" ca="1" si="6"/>
        <v>"2084063396" : "Morutobene",</v>
      </c>
    </row>
    <row r="450" spans="1:7" ht="15.75" customHeight="1">
      <c r="A450" s="28">
        <v>2084216503</v>
      </c>
      <c r="B450" s="28" t="s">
        <v>21683</v>
      </c>
      <c r="C450" s="28" t="s">
        <v>21684</v>
      </c>
      <c r="D450" s="28" t="s">
        <v>21685</v>
      </c>
      <c r="E450" s="4" t="str">
        <f ca="1">IFERROR(__xludf.DUMMYFUNCTION("GOOGLETRANSLATE(B450,""ja"",""vi"")"),"La Sarna")</f>
        <v>La Sarna</v>
      </c>
      <c r="F450" s="4" t="str">
        <f ca="1">IFERROR(__xludf.DUMMYFUNCTION("GOOGLETRANSLATE(C450,""ja"",""vi"")"),"Đấu giá&gt; làm đẹp, chăm sóc sức khỏe&gt; ​​Chăm sóc tóc&gt; điều trị, tinh hoa&gt; La Sarna")</f>
        <v>Đấu giá&gt; làm đẹp, chăm sóc sức khỏe&gt; ​​Chăm sóc tóc&gt; điều trị, tinh hoa&gt; La Sarna</v>
      </c>
      <c r="G450" t="str">
        <f t="shared" ref="G450:G513" ca="1" si="7">CONCATENATE(CHAR(34)&amp;"",A450,""&amp;CHAR(34)," : ", CHAR(34)&amp;"",E450,""&amp;CHAR(34),",")</f>
        <v>"2084216503" : "La Sarna",</v>
      </c>
    </row>
    <row r="451" spans="1:7" ht="15.75" customHeight="1">
      <c r="A451" s="28">
        <v>2084063397</v>
      </c>
      <c r="B451" s="28" t="s">
        <v>21665</v>
      </c>
      <c r="C451" s="28" t="s">
        <v>21686</v>
      </c>
      <c r="D451" s="28" t="s">
        <v>21687</v>
      </c>
      <c r="E451" s="4" t="str">
        <f ca="1">IFERROR(__xludf.DUMMYFUNCTION("GOOGLETRANSLATE(B451,""ja"",""vi"")"),"Revel Mỹ phẩm")</f>
        <v>Revel Mỹ phẩm</v>
      </c>
      <c r="F451" s="4" t="str">
        <f ca="1">IFERROR(__xludf.DUMMYFUNCTION("GOOGLETRANSLATE(C451,""ja"",""vi"")"),"Đấu giá&gt; làm đẹp, chăm sóc sức khỏe&gt; ​​Chăm sóc tóc&gt; điều trị, tinh hoa&gt; Revel Mỹ phẩm")</f>
        <v>Đấu giá&gt; làm đẹp, chăm sóc sức khỏe&gt; ​​Chăm sóc tóc&gt; điều trị, tinh hoa&gt; Revel Mỹ phẩm</v>
      </c>
      <c r="G451" t="str">
        <f t="shared" ca="1" si="7"/>
        <v>"2084063397" : "Revel Mỹ phẩm",</v>
      </c>
    </row>
    <row r="452" spans="1:7" ht="15.75" customHeight="1">
      <c r="A452" s="28">
        <v>2084063400</v>
      </c>
      <c r="B452" s="28" t="s">
        <v>21668</v>
      </c>
      <c r="C452" s="28" t="s">
        <v>21688</v>
      </c>
      <c r="D452" s="28" t="s">
        <v>21689</v>
      </c>
      <c r="E452" s="4" t="str">
        <f ca="1">IFERROR(__xludf.DUMMYFUNCTION("GOOGLETRANSLATE(B452,""ja"",""vi"")"),"L'Oreal")</f>
        <v>L'Oreal</v>
      </c>
      <c r="F452" s="4" t="str">
        <f ca="1">IFERROR(__xludf.DUMMYFUNCTION("GOOGLETRANSLATE(C452,""ja"",""vi"")"),"Đấu giá&gt; làm đẹp, chăm sóc sức khỏe&gt; ​​Chăm sóc tóc&gt; điều trị, tinh hoa&gt; L'Oreal")</f>
        <v>Đấu giá&gt; làm đẹp, chăm sóc sức khỏe&gt; ​​Chăm sóc tóc&gt; điều trị, tinh hoa&gt; L'Oreal</v>
      </c>
      <c r="G452" t="str">
        <f t="shared" ca="1" si="7"/>
        <v>"2084063400" : "L'Oreal",</v>
      </c>
    </row>
    <row r="453" spans="1:7" ht="15.75" customHeight="1">
      <c r="A453" s="28">
        <v>2084063399</v>
      </c>
      <c r="B453" s="28" t="s">
        <v>19778</v>
      </c>
      <c r="C453" s="28" t="s">
        <v>21690</v>
      </c>
      <c r="D453" s="28" t="s">
        <v>21691</v>
      </c>
      <c r="E453" s="4" t="str">
        <f ca="1">IFERROR(__xludf.DUMMYFUNCTION("GOOGLETRANSLATE(B453,""ja"",""vi"")"),"Shiseido")</f>
        <v>Shiseido</v>
      </c>
      <c r="F453" s="4" t="str">
        <f ca="1">IFERROR(__xludf.DUMMYFUNCTION("GOOGLETRANSLATE(C453,""ja"",""vi"")"),"Đấu giá&gt; làm đẹp, chăm sóc sức khỏe&gt; ​​Chăm sóc tóc&gt; điều trị, tinh hoa&gt; Shiseido")</f>
        <v>Đấu giá&gt; làm đẹp, chăm sóc sức khỏe&gt; ​​Chăm sóc tóc&gt; điều trị, tinh hoa&gt; Shiseido</v>
      </c>
      <c r="G453" t="str">
        <f t="shared" ca="1" si="7"/>
        <v>"2084063399" : "Shiseido",</v>
      </c>
    </row>
    <row r="454" spans="1:7" ht="15.75" customHeight="1">
      <c r="A454" s="28">
        <v>2084063401</v>
      </c>
      <c r="B454" s="28" t="s">
        <v>46</v>
      </c>
      <c r="C454" s="28" t="s">
        <v>21692</v>
      </c>
      <c r="D454" s="28" t="s">
        <v>21693</v>
      </c>
      <c r="E454" s="4" t="str">
        <f ca="1">IFERROR(__xludf.DUMMYFUNCTION("GOOGLETRANSLATE(B454,""ja"",""vi"")"),"nếu không thì")</f>
        <v>nếu không thì</v>
      </c>
      <c r="F454" s="4" t="str">
        <f ca="1">IFERROR(__xludf.DUMMYFUNCTION("GOOGLETRANSLATE(C454,""ja"",""vi"")"),"Đấu giá&gt; làm đẹp, chăm sóc sức khỏe&gt; ​​Chăm sóc tóc&gt; điều trị, tinh hoa&gt; Khác")</f>
        <v>Đấu giá&gt; làm đẹp, chăm sóc sức khỏe&gt; ​​Chăm sóc tóc&gt; điều trị, tinh hoa&gt; Khác</v>
      </c>
      <c r="G454" t="str">
        <f t="shared" ca="1" si="7"/>
        <v>"2084063401" : "nếu không thì",</v>
      </c>
    </row>
    <row r="455" spans="1:7" ht="15.75" customHeight="1">
      <c r="A455" s="36">
        <v>2084063405</v>
      </c>
      <c r="B455" s="36" t="s">
        <v>21694</v>
      </c>
      <c r="C455" s="36" t="s">
        <v>21695</v>
      </c>
      <c r="D455" s="36" t="s">
        <v>21696</v>
      </c>
      <c r="E455" s="4" t="str">
        <f ca="1">IFERROR(__xludf.DUMMYFUNCTION("GOOGLETRANSLATE(B455,""ja"",""vi"")"),"phun màu, bọt")</f>
        <v>phun màu, bọt</v>
      </c>
      <c r="F455" s="4" t="str">
        <f ca="1">IFERROR(__xludf.DUMMYFUNCTION("GOOGLETRANSLATE(C455,""ja"",""vi"")"),"Đấu giá&gt; làm đẹp, chăm sóc sức khỏe&gt; ​​Chăm sóc tóc&gt; đại lý màu&gt; phun màu, bọt")</f>
        <v>Đấu giá&gt; làm đẹp, chăm sóc sức khỏe&gt; ​​Chăm sóc tóc&gt; đại lý màu&gt; phun màu, bọt</v>
      </c>
      <c r="G455" t="str">
        <f t="shared" ca="1" si="7"/>
        <v>"2084063405" : "phun màu, bọt",</v>
      </c>
    </row>
    <row r="456" spans="1:7" ht="15.75" customHeight="1">
      <c r="A456" s="28">
        <v>2084063402</v>
      </c>
      <c r="B456" s="28" t="s">
        <v>21697</v>
      </c>
      <c r="C456" s="28" t="s">
        <v>21698</v>
      </c>
      <c r="D456" s="28" t="s">
        <v>21699</v>
      </c>
      <c r="E456" s="4" t="str">
        <f ca="1">IFERROR(__xludf.DUMMYFUNCTION("GOOGLETRANSLATE(B456,""ja"",""vi"")"),"chất tẩy trắng")</f>
        <v>chất tẩy trắng</v>
      </c>
      <c r="F456" s="4" t="str">
        <f ca="1">IFERROR(__xludf.DUMMYFUNCTION("GOOGLETRANSLATE(C456,""ja"",""vi"")"),"Đấu giá&gt; làm đẹp, chăm sóc sức khỏe&gt; ​​Chăm sóc tóc&gt; đại lý màu&gt; Bleach")</f>
        <v>Đấu giá&gt; làm đẹp, chăm sóc sức khỏe&gt; ​​Chăm sóc tóc&gt; đại lý màu&gt; Bleach</v>
      </c>
      <c r="G456" t="str">
        <f t="shared" ca="1" si="7"/>
        <v>"2084063402" : "chất tẩy trắng",</v>
      </c>
    </row>
    <row r="457" spans="1:7" ht="15.75" customHeight="1">
      <c r="A457" s="28">
        <v>2084063404</v>
      </c>
      <c r="B457" s="28" t="s">
        <v>21700</v>
      </c>
      <c r="C457" s="28" t="s">
        <v>21701</v>
      </c>
      <c r="D457" s="28" t="s">
        <v>21702</v>
      </c>
      <c r="E457" s="4" t="str">
        <f ca="1">IFERROR(__xludf.DUMMYFUNCTION("GOOGLETRANSLATE(B457,""ja"",""vi"")"),"Màu tóc")</f>
        <v>Màu tóc</v>
      </c>
      <c r="F457" s="4" t="str">
        <f ca="1">IFERROR(__xludf.DUMMYFUNCTION("GOOGLETRANSLATE(C457,""ja"",""vi"")"),"Đấu giá&gt; làm đẹp, chăm sóc sức khỏe&gt; ​​Chăm sóc tóc&gt; đại lý màu&gt; Màu tóc")</f>
        <v>Đấu giá&gt; làm đẹp, chăm sóc sức khỏe&gt; ​​Chăm sóc tóc&gt; đại lý màu&gt; Màu tóc</v>
      </c>
      <c r="G457" t="str">
        <f t="shared" ca="1" si="7"/>
        <v>"2084063404" : "Màu tóc",</v>
      </c>
    </row>
    <row r="458" spans="1:7" ht="15.75" customHeight="1">
      <c r="A458" s="28">
        <v>2084063403</v>
      </c>
      <c r="B458" s="28" t="s">
        <v>21703</v>
      </c>
      <c r="C458" s="28" t="s">
        <v>21704</v>
      </c>
      <c r="D458" s="28" t="s">
        <v>21705</v>
      </c>
      <c r="E458" s="4" t="str">
        <f ca="1">IFERROR(__xludf.DUMMYFUNCTION("GOOGLETRANSLATE(B458,""ja"",""vi"")"),"móng tóc")</f>
        <v>móng tóc</v>
      </c>
      <c r="F458" s="4" t="str">
        <f ca="1">IFERROR(__xludf.DUMMYFUNCTION("GOOGLETRANSLATE(C458,""ja"",""vi"")"),"Đấu giá&gt; làm đẹp, chăm sóc sức khỏe&gt; ​​Chăm sóc tóc&gt; đại lý màu&gt; móng tóc")</f>
        <v>Đấu giá&gt; làm đẹp, chăm sóc sức khỏe&gt; ​​Chăm sóc tóc&gt; đại lý màu&gt; móng tóc</v>
      </c>
      <c r="G458" t="str">
        <f t="shared" ca="1" si="7"/>
        <v>"2084063403" : "móng tóc",</v>
      </c>
    </row>
    <row r="459" spans="1:7" ht="15.75" customHeight="1">
      <c r="A459" s="28">
        <v>2084063406</v>
      </c>
      <c r="B459" s="28" t="s">
        <v>21706</v>
      </c>
      <c r="C459" s="28" t="s">
        <v>21707</v>
      </c>
      <c r="D459" s="28" t="s">
        <v>21708</v>
      </c>
      <c r="E459" s="4" t="str">
        <f ca="1">IFERROR(__xludf.DUMMYFUNCTION("GOOGLETRANSLATE(B459,""ja"",""vi"")"),"thuốc nhuộm tóc")</f>
        <v>thuốc nhuộm tóc</v>
      </c>
      <c r="F459" s="4" t="str">
        <f ca="1">IFERROR(__xludf.DUMMYFUNCTION("GOOGLETRANSLATE(C459,""ja"",""vi"")"),"Đấu giá&gt; làm đẹp, chăm sóc sức khỏe&gt; ​​Chăm sóc tóc&gt; đại lý Màu&gt; Nhuộm tóc")</f>
        <v>Đấu giá&gt; làm đẹp, chăm sóc sức khỏe&gt; ​​Chăm sóc tóc&gt; đại lý Màu&gt; Nhuộm tóc</v>
      </c>
      <c r="G459" t="str">
        <f t="shared" ca="1" si="7"/>
        <v>"2084063406" : "thuốc nhuộm tóc",</v>
      </c>
    </row>
    <row r="460" spans="1:7" ht="15.75" customHeight="1">
      <c r="A460" s="28">
        <v>2084063407</v>
      </c>
      <c r="B460" s="28" t="s">
        <v>46</v>
      </c>
      <c r="C460" s="28" t="s">
        <v>21709</v>
      </c>
      <c r="D460" s="28" t="s">
        <v>21710</v>
      </c>
      <c r="E460" s="4" t="str">
        <f ca="1">IFERROR(__xludf.DUMMYFUNCTION("GOOGLETRANSLATE(B460,""ja"",""vi"")"),"nếu không thì")</f>
        <v>nếu không thì</v>
      </c>
      <c r="F460" s="4" t="str">
        <f ca="1">IFERROR(__xludf.DUMMYFUNCTION("GOOGLETRANSLATE(C460,""ja"",""vi"")"),"Đấu giá&gt; làm đẹp, chăm sóc sức khỏe&gt; ​​Chăm sóc tóc&gt; đại lý màu&gt; Khác")</f>
        <v>Đấu giá&gt; làm đẹp, chăm sóc sức khỏe&gt; ​​Chăm sóc tóc&gt; đại lý màu&gt; Khác</v>
      </c>
      <c r="G460" t="str">
        <f t="shared" ca="1" si="7"/>
        <v>"2084063407" : "nếu không thì",</v>
      </c>
    </row>
    <row r="461" spans="1:7" ht="15.75" customHeight="1">
      <c r="A461" s="36">
        <v>2084063412</v>
      </c>
      <c r="B461" s="36" t="s">
        <v>21711</v>
      </c>
      <c r="C461" s="36" t="s">
        <v>21712</v>
      </c>
      <c r="D461" s="36" t="s">
        <v>21713</v>
      </c>
      <c r="E461" s="4" t="str">
        <f ca="1">IFERROR(__xludf.DUMMYFUNCTION("GOOGLETRANSLATE(B461,""ja"",""vi"")"),"nước")</f>
        <v>nước</v>
      </c>
      <c r="F461" s="4" t="str">
        <f ca="1">IFERROR(__xludf.DUMMYFUNCTION("GOOGLETRANSLATE(C461,""ja"",""vi"")"),"Đấu giá&gt; làm đẹp, chăm sóc sức khỏe&gt; ​​Chăm sóc tóc&gt; Styling&gt; Nước")</f>
        <v>Đấu giá&gt; làm đẹp, chăm sóc sức khỏe&gt; ​​Chăm sóc tóc&gt; Styling&gt; Nước</v>
      </c>
      <c r="G461" t="str">
        <f t="shared" ca="1" si="7"/>
        <v>"2084063412" : "nước",</v>
      </c>
    </row>
    <row r="462" spans="1:7" ht="15.75" customHeight="1">
      <c r="A462" s="28">
        <v>2084063409</v>
      </c>
      <c r="B462" s="28" t="s">
        <v>21714</v>
      </c>
      <c r="C462" s="28" t="s">
        <v>21715</v>
      </c>
      <c r="D462" s="28" t="s">
        <v>21716</v>
      </c>
      <c r="E462" s="4" t="str">
        <f ca="1">IFERROR(__xludf.DUMMYFUNCTION("GOOGLETRANSLATE(B462,""ja"",""vi"")"),"Gel")</f>
        <v>Gel</v>
      </c>
      <c r="F462" s="4" t="str">
        <f ca="1">IFERROR(__xludf.DUMMYFUNCTION("GOOGLETRANSLATE(C462,""ja"",""vi"")"),"Đấu giá&gt; làm đẹp, chăm sóc sức khỏe&gt; ​​Chăm sóc tóc&gt; Styling&gt; Gel")</f>
        <v>Đấu giá&gt; làm đẹp, chăm sóc sức khỏe&gt; ​​Chăm sóc tóc&gt; Styling&gt; Gel</v>
      </c>
      <c r="G462" t="str">
        <f t="shared" ca="1" si="7"/>
        <v>"2084063409" : "Gel",</v>
      </c>
    </row>
    <row r="463" spans="1:7" ht="15.75" customHeight="1">
      <c r="A463" s="28">
        <v>2084063410</v>
      </c>
      <c r="B463" s="28" t="s">
        <v>21717</v>
      </c>
      <c r="C463" s="28" t="s">
        <v>21718</v>
      </c>
      <c r="D463" s="28" t="s">
        <v>21719</v>
      </c>
      <c r="E463" s="4" t="str">
        <f ca="1">IFERROR(__xludf.DUMMYFUNCTION("GOOGLETRANSLATE(B463,""ja"",""vi"")"),"Phun, sương mù")</f>
        <v>Phun, sương mù</v>
      </c>
      <c r="F463" s="4" t="str">
        <f ca="1">IFERROR(__xludf.DUMMYFUNCTION("GOOGLETRANSLATE(C463,""ja"",""vi"")"),"Đấu giá&gt; làm đẹp, chăm sóc sức khỏe&gt; ​​Chăm sóc tóc&gt; Styling&gt; phun, sương mù")</f>
        <v>Đấu giá&gt; làm đẹp, chăm sóc sức khỏe&gt; ​​Chăm sóc tóc&gt; Styling&gt; phun, sương mù</v>
      </c>
      <c r="G463" t="str">
        <f t="shared" ca="1" si="7"/>
        <v>"2084063410" : "Phun, sương mù",</v>
      </c>
    </row>
    <row r="464" spans="1:7" ht="15.75" customHeight="1">
      <c r="A464" s="28">
        <v>2084063411</v>
      </c>
      <c r="B464" s="28" t="s">
        <v>21720</v>
      </c>
      <c r="C464" s="28" t="s">
        <v>21721</v>
      </c>
      <c r="D464" s="28" t="s">
        <v>21722</v>
      </c>
      <c r="E464" s="4" t="str">
        <f ca="1">IFERROR(__xludf.DUMMYFUNCTION("GOOGLETRANSLATE(B464,""ja"",""vi"")"),"kem dùng cho tóc")</f>
        <v>kem dùng cho tóc</v>
      </c>
      <c r="F464" s="4" t="str">
        <f ca="1">IFERROR(__xludf.DUMMYFUNCTION("GOOGLETRANSLATE(C464,""ja"",""vi"")"),"Đấu giá&gt; làm đẹp, chăm sóc sức khỏe&gt; ​​Chăm sóc tóc&gt; Styling&gt; mousse")</f>
        <v>Đấu giá&gt; làm đẹp, chăm sóc sức khỏe&gt; ​​Chăm sóc tóc&gt; Styling&gt; mousse</v>
      </c>
      <c r="G464" t="str">
        <f t="shared" ca="1" si="7"/>
        <v>"2084063411" : "kem dùng cho tóc",</v>
      </c>
    </row>
    <row r="465" spans="1:7" ht="15.75" customHeight="1">
      <c r="A465" s="28">
        <v>2084063408</v>
      </c>
      <c r="B465" s="28" t="s">
        <v>17131</v>
      </c>
      <c r="C465" s="28" t="s">
        <v>21723</v>
      </c>
      <c r="D465" s="28" t="s">
        <v>21724</v>
      </c>
      <c r="E465" s="4" t="str">
        <f ca="1">IFERROR(__xludf.DUMMYFUNCTION("GOOGLETRANSLATE(B465,""ja"",""vi"")"),"sáp")</f>
        <v>sáp</v>
      </c>
      <c r="F465" s="4" t="str">
        <f ca="1">IFERROR(__xludf.DUMMYFUNCTION("GOOGLETRANSLATE(C465,""ja"",""vi"")"),"Đấu giá&gt; làm đẹp, chăm sóc sức khỏe&gt; ​​Chăm sóc tóc&gt; Styling&gt; sáp")</f>
        <v>Đấu giá&gt; làm đẹp, chăm sóc sức khỏe&gt; ​​Chăm sóc tóc&gt; Styling&gt; sáp</v>
      </c>
      <c r="G465" t="str">
        <f t="shared" ca="1" si="7"/>
        <v>"2084063408" : "sáp",</v>
      </c>
    </row>
    <row r="466" spans="1:7" ht="15.75" customHeight="1">
      <c r="A466" s="28">
        <v>2084063413</v>
      </c>
      <c r="B466" s="28" t="s">
        <v>46</v>
      </c>
      <c r="C466" s="28" t="s">
        <v>21725</v>
      </c>
      <c r="D466" s="28" t="s">
        <v>21726</v>
      </c>
      <c r="E466" s="4" t="str">
        <f ca="1">IFERROR(__xludf.DUMMYFUNCTION("GOOGLETRANSLATE(B466,""ja"",""vi"")"),"nếu không thì")</f>
        <v>nếu không thì</v>
      </c>
      <c r="F466" s="4" t="str">
        <f ca="1">IFERROR(__xludf.DUMMYFUNCTION("GOOGLETRANSLATE(C466,""ja"",""vi"")"),"Đấu giá&gt; làm đẹp, chăm sóc sức khỏe&gt; ​​Chăm sóc tóc&gt; Styling&gt; Khác")</f>
        <v>Đấu giá&gt; làm đẹp, chăm sóc sức khỏe&gt; ​​Chăm sóc tóc&gt; Styling&gt; Khác</v>
      </c>
      <c r="G466" t="str">
        <f t="shared" ca="1" si="7"/>
        <v>"2084063413" : "nếu không thì",</v>
      </c>
    </row>
    <row r="467" spans="1:7" ht="15.75" customHeight="1">
      <c r="A467" s="36">
        <v>2084044969</v>
      </c>
      <c r="B467" s="36" t="s">
        <v>4252</v>
      </c>
      <c r="C467" s="36" t="s">
        <v>4253</v>
      </c>
      <c r="D467" s="36" t="s">
        <v>21727</v>
      </c>
      <c r="E467" s="4" t="str">
        <f ca="1">IFERROR(__xludf.DUMMYFUNCTION("GOOGLETRANSLATE(B467,""ja"",""vi"")"),"máy sấy Carl")</f>
        <v>máy sấy Carl</v>
      </c>
      <c r="F467" s="4" t="str">
        <f ca="1">IFERROR(__xludf.DUMMYFUNCTION("GOOGLETRANSLATE(C467,""ja"",""vi"")"),"Đấu giá&gt; thiết bị điện tử tiêu dùng, AV, camera&gt; vẻ đẹp, sức khỏe&gt; ​​Máy sấy tóc&gt; Máy sấy Carl")</f>
        <v>Đấu giá&gt; thiết bị điện tử tiêu dùng, AV, camera&gt; vẻ đẹp, sức khỏe&gt; ​​Máy sấy tóc&gt; Máy sấy Carl</v>
      </c>
      <c r="G467" t="str">
        <f t="shared" ca="1" si="7"/>
        <v>"2084044969" : "máy sấy Carl",</v>
      </c>
    </row>
    <row r="468" spans="1:7" ht="15.75" customHeight="1">
      <c r="A468" s="28">
        <v>2084044968</v>
      </c>
      <c r="B468" s="28" t="s">
        <v>4257</v>
      </c>
      <c r="C468" s="28" t="s">
        <v>4258</v>
      </c>
      <c r="D468" s="28" t="s">
        <v>21728</v>
      </c>
      <c r="E468" s="4" t="str">
        <f ca="1">IFERROR(__xludf.DUMMYFUNCTION("GOOGLETRANSLATE(B468,""ja"",""vi"")"),"máy sấy tay")</f>
        <v>máy sấy tay</v>
      </c>
      <c r="F468" s="4" t="str">
        <f ca="1">IFERROR(__xludf.DUMMYFUNCTION("GOOGLETRANSLATE(C468,""ja"",""vi"")"),"Đấu giá&gt; thiết bị điện tử tiêu dùng, AV, camera&gt; vẻ đẹp, sức khỏe&gt; ​​Máy sấy tóc&gt; Máy sấy tay")</f>
        <v>Đấu giá&gt; thiết bị điện tử tiêu dùng, AV, camera&gt; vẻ đẹp, sức khỏe&gt; ​​Máy sấy tóc&gt; Máy sấy tay</v>
      </c>
      <c r="G468" t="str">
        <f t="shared" ca="1" si="7"/>
        <v>"2084044968" : "máy sấy tay",</v>
      </c>
    </row>
    <row r="469" spans="1:7" ht="15.75" customHeight="1">
      <c r="A469" s="28">
        <v>2084044970</v>
      </c>
      <c r="B469" s="28" t="s">
        <v>46</v>
      </c>
      <c r="C469" s="28" t="s">
        <v>4260</v>
      </c>
      <c r="D469" s="28" t="s">
        <v>21729</v>
      </c>
      <c r="E469" s="4" t="str">
        <f ca="1">IFERROR(__xludf.DUMMYFUNCTION("GOOGLETRANSLATE(B469,""ja"",""vi"")"),"nếu không thì")</f>
        <v>nếu không thì</v>
      </c>
      <c r="F469" s="4" t="str">
        <f ca="1">IFERROR(__xludf.DUMMYFUNCTION("GOOGLETRANSLATE(C469,""ja"",""vi"")"),"Đấu giá&gt; thiết bị điện tử tiêu dùng, AV, camera&gt; vẻ đẹp, sức khỏe&gt; ​​Máy sấy tóc&gt; Khác")</f>
        <v>Đấu giá&gt; thiết bị điện tử tiêu dùng, AV, camera&gt; vẻ đẹp, sức khỏe&gt; ​​Máy sấy tóc&gt; Khác</v>
      </c>
      <c r="G469" t="str">
        <f t="shared" ca="1" si="7"/>
        <v>"2084044970" : "nếu không thì",</v>
      </c>
    </row>
    <row r="470" spans="1:7" ht="15.75" customHeight="1">
      <c r="A470" s="36">
        <v>2084302175</v>
      </c>
      <c r="B470" s="36" t="s">
        <v>21730</v>
      </c>
      <c r="C470" s="36" t="s">
        <v>21731</v>
      </c>
      <c r="D470" s="36" t="s">
        <v>21732</v>
      </c>
      <c r="E470" s="4" t="str">
        <f ca="1">IFERROR(__xludf.DUMMYFUNCTION("GOOGLETRANSLATE(B470,""ja"",""vi"")"),"bổ tóc")</f>
        <v>bổ tóc</v>
      </c>
      <c r="F470" s="4" t="str">
        <f ca="1">IFERROR(__xludf.DUMMYFUNCTION("GOOGLETRANSLATE(C470,""ja"",""vi"")"),"Đấu giá&gt; làm đẹp, chăm sóc sức khỏe&gt; ​​Chăm sóc tóc&gt; tốc độ tăng trưởng tóc, đại lý phát triển của tóc&gt; bổ tóc")</f>
        <v>Đấu giá&gt; làm đẹp, chăm sóc sức khỏe&gt; ​​Chăm sóc tóc&gt; tốc độ tăng trưởng tóc, đại lý phát triển của tóc&gt; bổ tóc</v>
      </c>
      <c r="G470" t="str">
        <f t="shared" ca="1" si="7"/>
        <v>"2084302175" : "bổ tóc",</v>
      </c>
    </row>
    <row r="471" spans="1:7" ht="15.75" customHeight="1">
      <c r="A471" s="28">
        <v>2084302176</v>
      </c>
      <c r="B471" s="28" t="s">
        <v>21733</v>
      </c>
      <c r="C471" s="28" t="s">
        <v>21734</v>
      </c>
      <c r="D471" s="28" t="s">
        <v>21735</v>
      </c>
      <c r="E471" s="4" t="str">
        <f ca="1">IFERROR(__xludf.DUMMYFUNCTION("GOOGLETRANSLATE(B471,""ja"",""vi"")"),"bổ tóc")</f>
        <v>bổ tóc</v>
      </c>
      <c r="F471" s="4" t="str">
        <f ca="1">IFERROR(__xludf.DUMMYFUNCTION("GOOGLETRANSLATE(C471,""ja"",""vi"")"),"Đấu giá&gt; làm đẹp, chăm sóc sức khỏe&gt; ​​Chăm sóc tóc&gt; tốc độ tăng trưởng tóc, đại lý phát triển của tóc&gt; Tóc Tonic")</f>
        <v>Đấu giá&gt; làm đẹp, chăm sóc sức khỏe&gt; ​​Chăm sóc tóc&gt; tốc độ tăng trưởng tóc, đại lý phát triển của tóc&gt; Tóc Tonic</v>
      </c>
      <c r="G471" t="str">
        <f t="shared" ca="1" si="7"/>
        <v>"2084302176" : "bổ tóc",</v>
      </c>
    </row>
    <row r="472" spans="1:7" ht="15.75" customHeight="1">
      <c r="A472" s="28">
        <v>2084302177</v>
      </c>
      <c r="B472" s="28" t="s">
        <v>21736</v>
      </c>
      <c r="C472" s="28" t="s">
        <v>21737</v>
      </c>
      <c r="D472" s="28" t="s">
        <v>21738</v>
      </c>
      <c r="E472" s="4" t="str">
        <f ca="1">IFERROR(__xludf.DUMMYFUNCTION("GOOGLETRANSLATE(B472,""ja"",""vi"")"),"Loãng giàu tóc")</f>
        <v>Loãng giàu tóc</v>
      </c>
      <c r="F472" s="4" t="str">
        <f ca="1">IFERROR(__xludf.DUMMYFUNCTION("GOOGLETRANSLATE(C472,""ja"",""vi"")"),"Đấu giá&gt; làm đẹp, chăm sóc sức khỏe&gt; ​​Chăm sóc tóc&gt; tốc độ tăng trưởng tóc, đại lý phát triển của tóc&gt; giàu hói")</f>
        <v>Đấu giá&gt; làm đẹp, chăm sóc sức khỏe&gt; ​​Chăm sóc tóc&gt; tốc độ tăng trưởng tóc, đại lý phát triển của tóc&gt; giàu hói</v>
      </c>
      <c r="G472" t="str">
        <f t="shared" ca="1" si="7"/>
        <v>"2084302177" : "Loãng giàu tóc",</v>
      </c>
    </row>
    <row r="473" spans="1:7" ht="15.75" customHeight="1">
      <c r="A473" s="36">
        <v>2084062528</v>
      </c>
      <c r="B473" s="36" t="s">
        <v>21740</v>
      </c>
      <c r="C473" s="36" t="s">
        <v>21741</v>
      </c>
      <c r="D473" s="36" t="s">
        <v>21742</v>
      </c>
      <c r="E473" s="4" t="str">
        <f ca="1">IFERROR(__xludf.DUMMYFUNCTION("GOOGLETRANSLATE(B473,""ja"",""vi"")"),"dài")</f>
        <v>dài</v>
      </c>
      <c r="F473" s="4" t="str">
        <f ca="1">IFERROR(__xludf.DUMMYFUNCTION("GOOGLETRANSLATE(C473,""ja"",""vi"")"),"Đấu giá&gt; Accessories, Đồng hồ&gt; dùng cho phụ nữ&gt; Phụ kiện tóc&gt; Tóc giả&gt; Long")</f>
        <v>Đấu giá&gt; Accessories, Đồng hồ&gt; dùng cho phụ nữ&gt; Phụ kiện tóc&gt; Tóc giả&gt; Long</v>
      </c>
      <c r="G473" t="str">
        <f t="shared" ca="1" si="7"/>
        <v>"2084062528" : "dài",</v>
      </c>
    </row>
    <row r="474" spans="1:7" ht="15.75" customHeight="1">
      <c r="A474" s="28">
        <v>2084062529</v>
      </c>
      <c r="B474" s="28" t="s">
        <v>21744</v>
      </c>
      <c r="C474" s="28" t="s">
        <v>21745</v>
      </c>
      <c r="D474" s="28" t="s">
        <v>21746</v>
      </c>
      <c r="E474" s="4" t="str">
        <f ca="1">IFERROR(__xludf.DUMMYFUNCTION("GOOGLETRANSLATE(B474,""ja"",""vi"")"),"vừa")</f>
        <v>vừa</v>
      </c>
      <c r="F474" s="4" t="str">
        <f ca="1">IFERROR(__xludf.DUMMYFUNCTION("GOOGLETRANSLATE(C474,""ja"",""vi"")"),"Đấu giá&gt; Accessories, Đồng hồ&gt; dùng cho phụ nữ&gt; Phụ kiện tóc&gt; Tóc giả&gt; Medium")</f>
        <v>Đấu giá&gt; Accessories, Đồng hồ&gt; dùng cho phụ nữ&gt; Phụ kiện tóc&gt; Tóc giả&gt; Medium</v>
      </c>
      <c r="G474" t="str">
        <f t="shared" ca="1" si="7"/>
        <v>"2084062529" : "vừa",</v>
      </c>
    </row>
    <row r="475" spans="1:7" ht="15.75" customHeight="1">
      <c r="A475" s="28">
        <v>2084062530</v>
      </c>
      <c r="B475" s="28" t="s">
        <v>21748</v>
      </c>
      <c r="C475" s="28" t="s">
        <v>21749</v>
      </c>
      <c r="D475" s="28" t="s">
        <v>21751</v>
      </c>
      <c r="E475" s="4" t="str">
        <f ca="1">IFERROR(__xludf.DUMMYFUNCTION("GOOGLETRANSLATE(B475,""ja"",""vi"")"),"quả lắc")</f>
        <v>quả lắc</v>
      </c>
      <c r="F475" s="4" t="str">
        <f ca="1">IFERROR(__xludf.DUMMYFUNCTION("GOOGLETRANSLATE(C475,""ja"",""vi"")"),"Đấu giá&gt; Accessories, Đồng hồ&gt; dùng cho phụ nữ&gt; Phụ kiện tóc&gt; Tóc giả&gt; Bob")</f>
        <v>Đấu giá&gt; Accessories, Đồng hồ&gt; dùng cho phụ nữ&gt; Phụ kiện tóc&gt; Tóc giả&gt; Bob</v>
      </c>
      <c r="G475" t="str">
        <f t="shared" ca="1" si="7"/>
        <v>"2084062530" : "quả lắc",</v>
      </c>
    </row>
    <row r="476" spans="1:7" ht="15.75" customHeight="1">
      <c r="A476" s="28">
        <v>2084062531</v>
      </c>
      <c r="B476" s="28" t="s">
        <v>21753</v>
      </c>
      <c r="C476" s="28" t="s">
        <v>21755</v>
      </c>
      <c r="D476" s="28" t="s">
        <v>21757</v>
      </c>
      <c r="E476" s="4" t="str">
        <f ca="1">IFERROR(__xludf.DUMMYFUNCTION("GOOGLETRANSLATE(B476,""ja"",""vi"")"),"ngắn")</f>
        <v>ngắn</v>
      </c>
      <c r="F476" s="4" t="str">
        <f ca="1">IFERROR(__xludf.DUMMYFUNCTION("GOOGLETRANSLATE(C476,""ja"",""vi"")"),"Đấu giá&gt; Accessories, Đồng hồ&gt; dùng cho phụ nữ&gt; Phụ kiện tóc&gt; Tóc giả&gt; Ngắn")</f>
        <v>Đấu giá&gt; Accessories, Đồng hồ&gt; dùng cho phụ nữ&gt; Phụ kiện tóc&gt; Tóc giả&gt; Ngắn</v>
      </c>
      <c r="G476" t="str">
        <f t="shared" ca="1" si="7"/>
        <v>"2084062531" : "ngắn",</v>
      </c>
    </row>
    <row r="477" spans="1:7" ht="15.75" customHeight="1">
      <c r="A477" s="28">
        <v>2084062533</v>
      </c>
      <c r="B477" s="28" t="s">
        <v>9280</v>
      </c>
      <c r="C477" s="28" t="s">
        <v>21759</v>
      </c>
      <c r="D477" s="28" t="s">
        <v>21760</v>
      </c>
      <c r="E477" s="4" t="str">
        <f ca="1">IFERROR(__xludf.DUMMYFUNCTION("GOOGLETRANSLATE(B477,""ja"",""vi"")"),"Đối với nam giới")</f>
        <v>Đối với nam giới</v>
      </c>
      <c r="F477" s="4" t="str">
        <f ca="1">IFERROR(__xludf.DUMMYFUNCTION("GOOGLETRANSLATE(C477,""ja"",""vi"")"),"Đấu giá&gt; Accessories, Đồng hồ&gt; dùng cho phụ nữ&gt; Phụ kiện tóc&gt; Tóc giả&gt; Đàn ông")</f>
        <v>Đấu giá&gt; Accessories, Đồng hồ&gt; dùng cho phụ nữ&gt; Phụ kiện tóc&gt; Tóc giả&gt; Đàn ông</v>
      </c>
      <c r="G477" t="str">
        <f t="shared" ca="1" si="7"/>
        <v>"2084062533" : "Đối với nam giới",</v>
      </c>
    </row>
    <row r="478" spans="1:7" ht="15.75" customHeight="1">
      <c r="A478" s="28">
        <v>2084062532</v>
      </c>
      <c r="B478" s="28" t="s">
        <v>46</v>
      </c>
      <c r="C478" s="28" t="s">
        <v>21762</v>
      </c>
      <c r="D478" s="28" t="s">
        <v>21763</v>
      </c>
      <c r="E478" s="4" t="str">
        <f ca="1">IFERROR(__xludf.DUMMYFUNCTION("GOOGLETRANSLATE(B478,""ja"",""vi"")"),"nếu không thì")</f>
        <v>nếu không thì</v>
      </c>
      <c r="F478" s="4" t="str">
        <f ca="1">IFERROR(__xludf.DUMMYFUNCTION("GOOGLETRANSLATE(C478,""ja"",""vi"")"),"Đấu giá&gt; Accessories, Đồng hồ&gt; dùng cho phụ nữ&gt; Phụ kiện tóc&gt; Tóc giả&gt; Khác")</f>
        <v>Đấu giá&gt; Accessories, Đồng hồ&gt; dùng cho phụ nữ&gt; Phụ kiện tóc&gt; Tóc giả&gt; Khác</v>
      </c>
      <c r="G478" t="str">
        <f t="shared" ca="1" si="7"/>
        <v>"2084062532" : "nếu không thì",</v>
      </c>
    </row>
    <row r="479" spans="1:7" ht="15.75" customHeight="1">
      <c r="A479" s="36">
        <v>2084062788</v>
      </c>
      <c r="B479" s="36" t="s">
        <v>3138</v>
      </c>
      <c r="C479" s="36" t="s">
        <v>21766</v>
      </c>
      <c r="D479" s="36" t="s">
        <v>21767</v>
      </c>
      <c r="E479" s="4" t="str">
        <f ca="1">IFERROR(__xludf.DUMMYFUNCTION("GOOGLETRANSLATE(B479,""ja"",""vi"")"),"bộ")</f>
        <v>bộ</v>
      </c>
      <c r="F479" s="4" t="str">
        <f ca="1">IFERROR(__xludf.DUMMYFUNCTION("GOOGLETRANSLATE(C479,""ja"",""vi"")"),"Đấu giá&gt; nhà, nội thất&gt; đồ gia dụng&gt; tắm&gt; xà phòng, xà phòng&gt; bộ")</f>
        <v>Đấu giá&gt; nhà, nội thất&gt; đồ gia dụng&gt; tắm&gt; xà phòng, xà phòng&gt; bộ</v>
      </c>
      <c r="G479" t="str">
        <f t="shared" ca="1" si="7"/>
        <v>"2084062788" : "bộ",</v>
      </c>
    </row>
    <row r="480" spans="1:7" ht="15.75" customHeight="1">
      <c r="A480" s="28">
        <v>2084062789</v>
      </c>
      <c r="B480" s="28" t="s">
        <v>21769</v>
      </c>
      <c r="C480" s="28" t="s">
        <v>21771</v>
      </c>
      <c r="D480" s="28" t="s">
        <v>21772</v>
      </c>
      <c r="E480" s="4" t="str">
        <f ca="1">IFERROR(__xludf.DUMMYFUNCTION("GOOGLETRANSLATE(B480,""ja"",""vi"")"),"nước")</f>
        <v>nước</v>
      </c>
      <c r="F480" s="4" t="str">
        <f ca="1">IFERROR(__xludf.DUMMYFUNCTION("GOOGLETRANSLATE(C480,""ja"",""vi"")"),"Đấu giá&gt; nhà, nội thất&gt; đồ gia dụng&gt; tắm&gt; xà phòng, xà phòng&gt; lỏng")</f>
        <v>Đấu giá&gt; nhà, nội thất&gt; đồ gia dụng&gt; tắm&gt; xà phòng, xà phòng&gt; lỏng</v>
      </c>
      <c r="G480" t="str">
        <f t="shared" ca="1" si="7"/>
        <v>"2084062789" : "nước",</v>
      </c>
    </row>
    <row r="481" spans="1:7" ht="15.75" customHeight="1">
      <c r="A481" s="28">
        <v>2084062793</v>
      </c>
      <c r="B481" s="28" t="s">
        <v>21775</v>
      </c>
      <c r="C481" s="28" t="s">
        <v>21776</v>
      </c>
      <c r="D481" s="28" t="s">
        <v>21777</v>
      </c>
      <c r="E481" s="4" t="str">
        <f ca="1">IFERROR(__xludf.DUMMYFUNCTION("GOOGLETRANSLATE(B481,""ja"",""vi"")"),"chắc")</f>
        <v>chắc</v>
      </c>
      <c r="F481" s="4" t="str">
        <f ca="1">IFERROR(__xludf.DUMMYFUNCTION("GOOGLETRANSLATE(C481,""ja"",""vi"")"),"Đấu giá&gt; nhà, nội thất&gt; đồ gia dụng&gt; tắm&gt; xà phòng, xà phòng&gt; rắn")</f>
        <v>Đấu giá&gt; nhà, nội thất&gt; đồ gia dụng&gt; tắm&gt; xà phòng, xà phòng&gt; rắn</v>
      </c>
      <c r="G481" t="str">
        <f t="shared" ca="1" si="7"/>
        <v>"2084062793" : "chắc",</v>
      </c>
    </row>
    <row r="482" spans="1:7" ht="15.75" customHeight="1">
      <c r="A482" s="28">
        <v>2084005328</v>
      </c>
      <c r="B482" s="28" t="s">
        <v>20586</v>
      </c>
      <c r="C482" s="28" t="s">
        <v>21779</v>
      </c>
      <c r="D482" s="28" t="s">
        <v>21780</v>
      </c>
      <c r="E482" s="4" t="str">
        <f ca="1">IFERROR(__xludf.DUMMYFUNCTION("GOOGLETRANSLATE(B482,""ja"",""vi"")"),"Cleanser")</f>
        <v>Cleanser</v>
      </c>
      <c r="F482" s="4" t="str">
        <f ca="1">IFERROR(__xludf.DUMMYFUNCTION("GOOGLETRANSLATE(C482,""ja"",""vi"")"),"Đấu giá&gt; nhà, nội thất&gt; đồ gia dụng&gt; tắm&gt; xà phòng, xà phòng&gt; sữa rửa mặt")</f>
        <v>Đấu giá&gt; nhà, nội thất&gt; đồ gia dụng&gt; tắm&gt; xà phòng, xà phòng&gt; sữa rửa mặt</v>
      </c>
      <c r="G482" t="str">
        <f t="shared" ca="1" si="7"/>
        <v>"2084005328" : "Cleanser",</v>
      </c>
    </row>
    <row r="483" spans="1:7" ht="15.75" customHeight="1">
      <c r="A483" s="28">
        <v>2084062794</v>
      </c>
      <c r="B483" s="28" t="s">
        <v>46</v>
      </c>
      <c r="C483" s="28" t="s">
        <v>21782</v>
      </c>
      <c r="D483" s="28" t="s">
        <v>21783</v>
      </c>
      <c r="E483" s="4" t="str">
        <f ca="1">IFERROR(__xludf.DUMMYFUNCTION("GOOGLETRANSLATE(B483,""ja"",""vi"")"),"nếu không thì")</f>
        <v>nếu không thì</v>
      </c>
      <c r="F483" s="4" t="str">
        <f ca="1">IFERROR(__xludf.DUMMYFUNCTION("GOOGLETRANSLATE(C483,""ja"",""vi"")"),"Đấu giá&gt; nhà, nội thất&gt; đồ gia dụng&gt; tắm&gt; xà phòng, xà phòng&gt; Khác")</f>
        <v>Đấu giá&gt; nhà, nội thất&gt; đồ gia dụng&gt; tắm&gt; xà phòng, xà phòng&gt; Khác</v>
      </c>
      <c r="G483" t="str">
        <f t="shared" ca="1" si="7"/>
        <v>"2084062794" : "nếu không thì",</v>
      </c>
    </row>
    <row r="484" spans="1:7" ht="15.75" customHeight="1">
      <c r="A484" s="36">
        <v>2084063414</v>
      </c>
      <c r="B484" s="36" t="s">
        <v>14394</v>
      </c>
      <c r="C484" s="36" t="s">
        <v>21785</v>
      </c>
      <c r="D484" s="36" t="s">
        <v>21786</v>
      </c>
      <c r="E484" s="4" t="str">
        <f ca="1">IFERROR(__xludf.DUMMYFUNCTION("GOOGLETRANSLATE(B484,""ja"",""vi"")"),"dầu")</f>
        <v>dầu</v>
      </c>
      <c r="F484" s="4" t="str">
        <f ca="1">IFERROR(__xludf.DUMMYFUNCTION("GOOGLETRANSLATE(C484,""ja"",""vi"")"),"Đấu giá&gt; làm đẹp, chăm sóc sức khỏe&gt; ​​Chăm sóc cơ thể&gt; dầu, kem&gt; dầu")</f>
        <v>Đấu giá&gt; làm đẹp, chăm sóc sức khỏe&gt; ​​Chăm sóc cơ thể&gt; dầu, kem&gt; dầu</v>
      </c>
      <c r="G484" t="str">
        <f t="shared" ca="1" si="7"/>
        <v>"2084063414" : "dầu",</v>
      </c>
    </row>
    <row r="485" spans="1:7" ht="15.75" customHeight="1">
      <c r="A485" s="28">
        <v>2084063415</v>
      </c>
      <c r="B485" s="28" t="s">
        <v>15718</v>
      </c>
      <c r="C485" s="28" t="s">
        <v>21789</v>
      </c>
      <c r="D485" s="28" t="s">
        <v>21790</v>
      </c>
      <c r="E485" s="4" t="str">
        <f ca="1">IFERROR(__xludf.DUMMYFUNCTION("GOOGLETRANSLATE(B485,""ja"",""vi"")"),"kem")</f>
        <v>kem</v>
      </c>
      <c r="F485" s="4" t="str">
        <f ca="1">IFERROR(__xludf.DUMMYFUNCTION("GOOGLETRANSLATE(C485,""ja"",""vi"")"),"Đấu giá&gt; làm đẹp, chăm sóc sức khỏe&gt; ​​Chăm sóc cơ thể&gt; dầu, kem&gt; kem")</f>
        <v>Đấu giá&gt; làm đẹp, chăm sóc sức khỏe&gt; ​​Chăm sóc cơ thể&gt; dầu, kem&gt; kem</v>
      </c>
      <c r="G485" t="str">
        <f t="shared" ca="1" si="7"/>
        <v>"2084063415" : "kem",</v>
      </c>
    </row>
    <row r="486" spans="1:7" ht="15.75" customHeight="1">
      <c r="A486" s="28">
        <v>2084007430</v>
      </c>
      <c r="B486" s="28" t="s">
        <v>21792</v>
      </c>
      <c r="C486" s="28" t="s">
        <v>21793</v>
      </c>
      <c r="D486" s="28" t="s">
        <v>21794</v>
      </c>
      <c r="E486" s="4" t="str">
        <f ca="1">IFERROR(__xludf.DUMMYFUNCTION("GOOGLETRANSLATE(B486,""ja"",""vi"")"),"kem bôi tay")</f>
        <v>kem bôi tay</v>
      </c>
      <c r="F486" s="4" t="str">
        <f ca="1">IFERROR(__xludf.DUMMYFUNCTION("GOOGLETRANSLATE(C486,""ja"",""vi"")"),"Đấu giá&gt; làm đẹp, chăm sóc sức khỏe&gt; ​​Chăm sóc cơ thể&gt; dầu, kem&gt; kem Hand")</f>
        <v>Đấu giá&gt; làm đẹp, chăm sóc sức khỏe&gt; ​​Chăm sóc cơ thể&gt; dầu, kem&gt; kem Hand</v>
      </c>
      <c r="G486" t="str">
        <f t="shared" ca="1" si="7"/>
        <v>"2084007430" : "kem bôi tay",</v>
      </c>
    </row>
    <row r="487" spans="1:7" ht="15.75" customHeight="1">
      <c r="A487" s="28">
        <v>2084063417</v>
      </c>
      <c r="B487" s="28" t="s">
        <v>21796</v>
      </c>
      <c r="C487" s="28" t="s">
        <v>21797</v>
      </c>
      <c r="D487" s="28" t="s">
        <v>21798</v>
      </c>
      <c r="E487" s="4" t="str">
        <f ca="1">IFERROR(__xludf.DUMMYFUNCTION("GOOGLETRANSLATE(B487,""ja"",""vi"")"),"kem chân")</f>
        <v>kem chân</v>
      </c>
      <c r="F487" s="4" t="str">
        <f ca="1">IFERROR(__xludf.DUMMYFUNCTION("GOOGLETRANSLATE(C487,""ja"",""vi"")"),"Đấu giá&gt; làm đẹp, chăm sóc sức khỏe&gt; ​​Chăm sóc cơ thể&gt; dầu, kem&gt; kem chân")</f>
        <v>Đấu giá&gt; làm đẹp, chăm sóc sức khỏe&gt; ​​Chăm sóc cơ thể&gt; dầu, kem&gt; kem chân</v>
      </c>
      <c r="G487" t="str">
        <f t="shared" ca="1" si="7"/>
        <v>"2084063417" : "kem chân",</v>
      </c>
    </row>
    <row r="488" spans="1:7" ht="15.75" customHeight="1">
      <c r="A488" s="36">
        <v>2084302178</v>
      </c>
      <c r="B488" s="36" t="s">
        <v>20640</v>
      </c>
      <c r="C488" s="36" t="s">
        <v>20641</v>
      </c>
      <c r="D488" s="36" t="s">
        <v>20642</v>
      </c>
      <c r="E488" s="4" t="str">
        <f ca="1">IFERROR(__xludf.DUMMYFUNCTION("GOOGLETRANSLATE(B488,""ja"",""vi"")"),"Kem chống nắng (đối với toàn thân)")</f>
        <v>Kem chống nắng (đối với toàn thân)</v>
      </c>
      <c r="F488" s="4" t="str">
        <f ca="1">IFERROR(__xludf.DUMMYFUNCTION("GOOGLETRANSLATE(C488,""ja"",""vi"")"),"Đấu giá&gt; làm đẹp, chăm sóc sức khỏe&gt; ​​Chăm sóc cơ thể&gt; kem chống nắng, dầu trời&gt; kem chống nắng (đối với toàn thân)")</f>
        <v>Đấu giá&gt; làm đẹp, chăm sóc sức khỏe&gt; ​​Chăm sóc cơ thể&gt; kem chống nắng, dầu trời&gt; kem chống nắng (đối với toàn thân)</v>
      </c>
      <c r="G488" t="str">
        <f t="shared" ca="1" si="7"/>
        <v>"2084302178" : "Kem chống nắng (đối với toàn thân)",</v>
      </c>
    </row>
    <row r="489" spans="1:7" ht="15.75" customHeight="1">
      <c r="A489" s="28">
        <v>2084302180</v>
      </c>
      <c r="B489" s="28" t="s">
        <v>20644</v>
      </c>
      <c r="C489" s="28" t="s">
        <v>20645</v>
      </c>
      <c r="D489" s="28" t="s">
        <v>20646</v>
      </c>
      <c r="E489" s="4" t="str">
        <f ca="1">IFERROR(__xludf.DUMMYFUNCTION("GOOGLETRANSLATE(B489,""ja"",""vi"")"),"Kem chống nắng (cho tóc)")</f>
        <v>Kem chống nắng (cho tóc)</v>
      </c>
      <c r="F489" s="4" t="str">
        <f ca="1">IFERROR(__xludf.DUMMYFUNCTION("GOOGLETRANSLATE(C489,""ja"",""vi"")"),"Đấu giá&gt; làm đẹp, chăm sóc sức khỏe&gt; ​​Chăm sóc cơ thể&gt; kem chống nắng, dầu trời&gt; kem chống nắng (cho tóc)")</f>
        <v>Đấu giá&gt; làm đẹp, chăm sóc sức khỏe&gt; ​​Chăm sóc cơ thể&gt; kem chống nắng, dầu trời&gt; kem chống nắng (cho tóc)</v>
      </c>
      <c r="G489" t="str">
        <f t="shared" ca="1" si="7"/>
        <v>"2084302180" : "Kem chống nắng (cho tóc)",</v>
      </c>
    </row>
    <row r="490" spans="1:7" ht="15.75" customHeight="1">
      <c r="A490" s="28">
        <v>2084302179</v>
      </c>
      <c r="B490" s="28" t="s">
        <v>20648</v>
      </c>
      <c r="C490" s="28" t="s">
        <v>20650</v>
      </c>
      <c r="D490" s="28" t="s">
        <v>20651</v>
      </c>
      <c r="E490" s="4" t="str">
        <f ca="1">IFERROR(__xludf.DUMMYFUNCTION("GOOGLETRANSLATE(B490,""ja"",""vi"")"),"Chống nắng (đối với cơ thể)")</f>
        <v>Chống nắng (đối với cơ thể)</v>
      </c>
      <c r="F490" s="4" t="str">
        <f ca="1">IFERROR(__xludf.DUMMYFUNCTION("GOOGLETRANSLATE(C490,""ja"",""vi"")"),"Đấu giá&gt; làm đẹp, chăm sóc sức khỏe&gt; ​​Chăm sóc cơ thể&gt; kem chống nắng, dầu trời&gt; kem chống nắng (đối với cơ thể)")</f>
        <v>Đấu giá&gt; làm đẹp, chăm sóc sức khỏe&gt; ​​Chăm sóc cơ thể&gt; kem chống nắng, dầu trời&gt; kem chống nắng (đối với cơ thể)</v>
      </c>
      <c r="G490" t="str">
        <f t="shared" ca="1" si="7"/>
        <v>"2084302179" : "Chống nắng (đối với cơ thể)",</v>
      </c>
    </row>
    <row r="491" spans="1:7" ht="15.75" customHeight="1">
      <c r="A491" s="28">
        <v>2084302182</v>
      </c>
      <c r="B491" s="28" t="s">
        <v>20653</v>
      </c>
      <c r="C491" s="28" t="s">
        <v>20654</v>
      </c>
      <c r="D491" s="28" t="s">
        <v>20655</v>
      </c>
      <c r="E491" s="4" t="str">
        <f ca="1">IFERROR(__xludf.DUMMYFUNCTION("GOOGLETRANSLATE(B491,""ja"",""vi"")"),"Kem chống nắng (Baby)")</f>
        <v>Kem chống nắng (Baby)</v>
      </c>
      <c r="F491" s="4" t="str">
        <f ca="1">IFERROR(__xludf.DUMMYFUNCTION("GOOGLETRANSLATE(C491,""ja"",""vi"")"),"Đấu giá&gt; làm đẹp, chăm sóc sức khỏe&gt; ​​Chăm sóc cơ thể&gt; kem chống nắng, dầu trời&gt; kem chống nắng (Baby)")</f>
        <v>Đấu giá&gt; làm đẹp, chăm sóc sức khỏe&gt; ​​Chăm sóc cơ thể&gt; kem chống nắng, dầu trời&gt; kem chống nắng (Baby)</v>
      </c>
      <c r="G491" t="str">
        <f t="shared" ca="1" si="7"/>
        <v>"2084302182" : "Kem chống nắng (Baby)",</v>
      </c>
    </row>
    <row r="492" spans="1:7" ht="15.75" customHeight="1">
      <c r="A492" s="28">
        <v>2084302183</v>
      </c>
      <c r="B492" s="28" t="s">
        <v>20657</v>
      </c>
      <c r="C492" s="28" t="s">
        <v>20658</v>
      </c>
      <c r="D492" s="28" t="s">
        <v>20659</v>
      </c>
      <c r="E492" s="4" t="str">
        <f ca="1">IFERROR(__xludf.DUMMYFUNCTION("GOOGLETRANSLATE(B492,""ja"",""vi"")"),"dầu Sun")</f>
        <v>dầu Sun</v>
      </c>
      <c r="F492" s="4" t="str">
        <f ca="1">IFERROR(__xludf.DUMMYFUNCTION("GOOGLETRANSLATE(C492,""ja"",""vi"")"),"Đấu giá&gt; làm đẹp, chăm sóc sức khỏe&gt; ​​Chăm sóc cơ thể&gt; kem chống nắng, dầu trời&gt; dầu nắng")</f>
        <v>Đấu giá&gt; làm đẹp, chăm sóc sức khỏe&gt; ​​Chăm sóc cơ thể&gt; kem chống nắng, dầu trời&gt; dầu nắng</v>
      </c>
      <c r="G492" t="str">
        <f t="shared" ca="1" si="7"/>
        <v>"2084302183" : "dầu Sun",</v>
      </c>
    </row>
    <row r="493" spans="1:7" ht="15.75" customHeight="1">
      <c r="A493" s="28">
        <v>2084302181</v>
      </c>
      <c r="B493" s="28" t="s">
        <v>20661</v>
      </c>
      <c r="C493" s="28" t="s">
        <v>20662</v>
      </c>
      <c r="D493" s="28" t="s">
        <v>20663</v>
      </c>
      <c r="E493" s="4" t="str">
        <f ca="1">IFERROR(__xludf.DUMMYFUNCTION("GOOGLETRANSLATE(B493,""ja"",""vi"")"),"kem chống nắng khác, dầu nắng")</f>
        <v>kem chống nắng khác, dầu nắng</v>
      </c>
      <c r="F493" s="4" t="str">
        <f ca="1">IFERROR(__xludf.DUMMYFUNCTION("GOOGLETRANSLATE(C493,""ja"",""vi"")"),"Đấu giá&gt; làm đẹp, chăm sóc sức khỏe&gt; ​​Chăm sóc cơ thể&gt; chống nắng, dầu trời&gt; kem chống nắng khác, dầu nắng")</f>
        <v>Đấu giá&gt; làm đẹp, chăm sóc sức khỏe&gt; ​​Chăm sóc cơ thể&gt; chống nắng, dầu trời&gt; kem chống nắng khác, dầu nắng</v>
      </c>
      <c r="G493" t="str">
        <f t="shared" ca="1" si="7"/>
        <v>"2084302181" : "kem chống nắng khác, dầu nắng",</v>
      </c>
    </row>
    <row r="494" spans="1:7" ht="15.75" customHeight="1">
      <c r="A494" s="36">
        <v>2084053144</v>
      </c>
      <c r="B494" s="36" t="s">
        <v>15033</v>
      </c>
      <c r="C494" s="36" t="s">
        <v>21811</v>
      </c>
      <c r="D494" s="36" t="s">
        <v>21812</v>
      </c>
      <c r="E494" s="4" t="str">
        <f ca="1">IFERROR(__xludf.DUMMYFUNCTION("GOOGLETRANSLATE(B494,""ja"",""vi"")"),"áo ngực")</f>
        <v>áo ngực</v>
      </c>
      <c r="F494" s="4" t="str">
        <f ca="1">IFERROR(__xludf.DUMMYFUNCTION("GOOGLETRANSLATE(C494,""ja"",""vi"")"),"Đấu giá&gt; Thời trang&gt; Thời trang nữ&gt; mặc bên trong&gt; lót&gt; áo ngực")</f>
        <v>Đấu giá&gt; Thời trang&gt; Thời trang nữ&gt; mặc bên trong&gt; lót&gt; áo ngực</v>
      </c>
      <c r="G494" t="str">
        <f t="shared" ca="1" si="7"/>
        <v>"2084053144" : "áo ngực",</v>
      </c>
    </row>
    <row r="495" spans="1:7" ht="15.75" customHeight="1">
      <c r="A495" s="28">
        <v>2084053150</v>
      </c>
      <c r="B495" s="28" t="s">
        <v>21815</v>
      </c>
      <c r="C495" s="28" t="s">
        <v>21816</v>
      </c>
      <c r="D495" s="28" t="s">
        <v>21817</v>
      </c>
      <c r="E495" s="4" t="str">
        <f ca="1">IFERROR(__xludf.DUMMYFUNCTION("GOOGLETRANSLATE(B495,""ja"",""vi"")"),"dây lưng")</f>
        <v>dây lưng</v>
      </c>
      <c r="F495" s="4" t="str">
        <f ca="1">IFERROR(__xludf.DUMMYFUNCTION("GOOGLETRANSLATE(C495,""ja"",""vi"")"),"Đấu giá&gt; Thời trang&gt; Thời trang nữ&gt; mặc bên trong&gt; lót&gt; tráng")</f>
        <v>Đấu giá&gt; Thời trang&gt; Thời trang nữ&gt; mặc bên trong&gt; lót&gt; tráng</v>
      </c>
      <c r="G495" t="str">
        <f t="shared" ca="1" si="7"/>
        <v>"2084053150" : "dây lưng",</v>
      </c>
    </row>
    <row r="496" spans="1:7" ht="15.75" customHeight="1">
      <c r="A496" s="28">
        <v>2084243341</v>
      </c>
      <c r="B496" s="28" t="s">
        <v>21820</v>
      </c>
      <c r="C496" s="28" t="s">
        <v>21821</v>
      </c>
      <c r="D496" s="28" t="s">
        <v>21822</v>
      </c>
      <c r="E496" s="4" t="str">
        <f ca="1">IFERROR(__xludf.DUMMYFUNCTION("GOOGLETRANSLATE(B496,""ja"",""vi"")"),"3 trong 1")</f>
        <v>3 trong 1</v>
      </c>
      <c r="F496" s="4" t="str">
        <f ca="1">IFERROR(__xludf.DUMMYFUNCTION("GOOGLETRANSLATE(C496,""ja"",""vi"")"),"Đấu giá&gt; Thời trang&gt; Thời trang nữ&gt; mặc bên trong&gt; lót&gt; Ba-trong-một")</f>
        <v>Đấu giá&gt; Thời trang&gt; Thời trang nữ&gt; mặc bên trong&gt; lót&gt; Ba-trong-một</v>
      </c>
      <c r="G496" t="str">
        <f t="shared" ca="1" si="7"/>
        <v>"2084243341" : "3 trong 1",</v>
      </c>
    </row>
    <row r="497" spans="1:7" ht="15.75" customHeight="1">
      <c r="A497" s="28">
        <v>2084053167</v>
      </c>
      <c r="B497" s="28" t="s">
        <v>13525</v>
      </c>
      <c r="C497" s="28" t="s">
        <v>21825</v>
      </c>
      <c r="D497" s="28" t="s">
        <v>21827</v>
      </c>
      <c r="E497" s="4" t="str">
        <f ca="1">IFERROR(__xludf.DUMMYFUNCTION("GOOGLETRANSLATE(B497,""ja"",""vi"")"),"Body suit")</f>
        <v>Body suit</v>
      </c>
      <c r="F497" s="4" t="str">
        <f ca="1">IFERROR(__xludf.DUMMYFUNCTION("GOOGLETRANSLATE(C497,""ja"",""vi"")"),"Đấu giá&gt; Thời trang&gt; Thời trang nữ&gt; mặc bên trong&gt; lót&gt; phù hợp với cơ thể")</f>
        <v>Đấu giá&gt; Thời trang&gt; Thời trang nữ&gt; mặc bên trong&gt; lót&gt; phù hợp với cơ thể</v>
      </c>
      <c r="G497" t="str">
        <f t="shared" ca="1" si="7"/>
        <v>"2084053167" : "Body suit",</v>
      </c>
    </row>
    <row r="498" spans="1:7" ht="15.75" customHeight="1">
      <c r="A498" s="28">
        <v>2084243342</v>
      </c>
      <c r="B498" s="28" t="s">
        <v>21829</v>
      </c>
      <c r="C498" s="28" t="s">
        <v>21831</v>
      </c>
      <c r="D498" s="28" t="s">
        <v>21833</v>
      </c>
      <c r="E498" s="4" t="str">
        <f ca="1">IFERROR(__xludf.DUMMYFUNCTION("GOOGLETRANSLATE(B498,""ja"",""vi"")"),"eo rảo")</f>
        <v>eo rảo</v>
      </c>
      <c r="F498" s="4" t="str">
        <f ca="1">IFERROR(__xludf.DUMMYFUNCTION("GOOGLETRANSLATE(C498,""ja"",""vi"")"),"Đấu giá&gt; Thời trang&gt; Thời trang nữ&gt; mặc bên trong&gt; lót&gt; eo rảo")</f>
        <v>Đấu giá&gt; Thời trang&gt; Thời trang nữ&gt; mặc bên trong&gt; lót&gt; eo rảo</v>
      </c>
      <c r="G498" t="str">
        <f t="shared" ca="1" si="7"/>
        <v>"2084243342" : "eo rảo",</v>
      </c>
    </row>
    <row r="499" spans="1:7" ht="15.75" customHeight="1">
      <c r="A499" s="28">
        <v>2084006323</v>
      </c>
      <c r="B499" s="28" t="s">
        <v>21835</v>
      </c>
      <c r="C499" s="28" t="s">
        <v>21836</v>
      </c>
      <c r="D499" s="28" t="s">
        <v>21837</v>
      </c>
      <c r="E499" s="4" t="str">
        <f ca="1">IFERROR(__xludf.DUMMYFUNCTION("GOOGLETRANSLATE(B499,""ja"",""vi"")"),"Sau sinh cho rảo eo")</f>
        <v>Sau sinh cho rảo eo</v>
      </c>
      <c r="F499" s="4" t="str">
        <f ca="1">IFERROR(__xludf.DUMMYFUNCTION("GOOGLETRANSLATE(C499,""ja"",""vi"")"),"Đấu giá&gt; Thời trang&gt; Thời trang nữ&gt; mặc bên trong&gt; lót&gt; san hô cho rảo eo")</f>
        <v>Đấu giá&gt; Thời trang&gt; Thời trang nữ&gt; mặc bên trong&gt; lót&gt; san hô cho rảo eo</v>
      </c>
      <c r="G499" t="str">
        <f t="shared" ca="1" si="7"/>
        <v>"2084006323" : "Sau sinh cho rảo eo",</v>
      </c>
    </row>
    <row r="500" spans="1:7" ht="15.75" customHeight="1">
      <c r="A500" s="28">
        <v>2084053156</v>
      </c>
      <c r="B500" s="28" t="s">
        <v>46</v>
      </c>
      <c r="C500" s="28" t="s">
        <v>21840</v>
      </c>
      <c r="D500" s="28" t="s">
        <v>21841</v>
      </c>
      <c r="E500" s="4" t="str">
        <f ca="1">IFERROR(__xludf.DUMMYFUNCTION("GOOGLETRANSLATE(B500,""ja"",""vi"")"),"nếu không thì")</f>
        <v>nếu không thì</v>
      </c>
      <c r="F500" s="4" t="str">
        <f ca="1">IFERROR(__xludf.DUMMYFUNCTION("GOOGLETRANSLATE(C500,""ja"",""vi"")"),"Đấu giá&gt; Thời trang&gt; Thời trang nữ&gt; mặc bên trong&gt; lót&gt; Khác")</f>
        <v>Đấu giá&gt; Thời trang&gt; Thời trang nữ&gt; mặc bên trong&gt; lót&gt; Khác</v>
      </c>
      <c r="G500" t="str">
        <f t="shared" ca="1" si="7"/>
        <v>"2084053156" : "nếu không thì",</v>
      </c>
    </row>
    <row r="501" spans="1:7" ht="15.75" customHeight="1">
      <c r="A501" s="36">
        <v>2084063417</v>
      </c>
      <c r="B501" s="36" t="s">
        <v>15718</v>
      </c>
      <c r="C501" s="36" t="s">
        <v>15720</v>
      </c>
      <c r="D501" s="36" t="s">
        <v>21843</v>
      </c>
      <c r="E501" s="4" t="str">
        <f ca="1">IFERROR(__xludf.DUMMYFUNCTION("GOOGLETRANSLATE(B501,""ja"",""vi"")"),"kem")</f>
        <v>kem</v>
      </c>
      <c r="F501" s="4" t="str">
        <f ca="1">IFERROR(__xludf.DUMMYFUNCTION("GOOGLETRANSLATE(C501,""ja"",""vi"")"),"Đấu giá&gt; làm đẹp, chăm sóc sức khỏe&gt; ​​Chăm sóc cơ thể&gt; Chăm sóc Foot&gt; kem")</f>
        <v>Đấu giá&gt; làm đẹp, chăm sóc sức khỏe&gt; ​​Chăm sóc cơ thể&gt; Chăm sóc Foot&gt; kem</v>
      </c>
      <c r="G501" t="str">
        <f t="shared" ca="1" si="7"/>
        <v>"2084063417" : "kem",</v>
      </c>
    </row>
    <row r="502" spans="1:7" ht="15.75" customHeight="1">
      <c r="A502" s="28">
        <v>2084063421</v>
      </c>
      <c r="B502" s="28" t="s">
        <v>4266</v>
      </c>
      <c r="C502" s="28" t="s">
        <v>15722</v>
      </c>
      <c r="D502" s="28" t="s">
        <v>21845</v>
      </c>
      <c r="E502" s="4" t="str">
        <f ca="1">IFERROR(__xludf.DUMMYFUNCTION("GOOGLETRANSLATE(B502,""ja"",""vi"")"),"foot Bath")</f>
        <v>foot Bath</v>
      </c>
      <c r="F502" s="4" t="str">
        <f ca="1">IFERROR(__xludf.DUMMYFUNCTION("GOOGLETRANSLATE(C502,""ja"",""vi"")"),"Đấu giá&gt; làm đẹp, chăm sóc sức khỏe&gt; ​​Chăm sóc cơ thể&gt; Chăm sóc Foot&gt; Foot Bath")</f>
        <v>Đấu giá&gt; làm đẹp, chăm sóc sức khỏe&gt; ​​Chăm sóc cơ thể&gt; Chăm sóc Foot&gt; Foot Bath</v>
      </c>
      <c r="G502" t="str">
        <f t="shared" ca="1" si="7"/>
        <v>"2084063421" : "foot Bath",</v>
      </c>
    </row>
    <row r="503" spans="1:7" ht="15.75" customHeight="1">
      <c r="A503" s="28">
        <v>2084047758</v>
      </c>
      <c r="B503" s="28" t="s">
        <v>4271</v>
      </c>
      <c r="C503" s="28" t="s">
        <v>15726</v>
      </c>
      <c r="D503" s="28" t="s">
        <v>21849</v>
      </c>
      <c r="E503" s="4" t="str">
        <f ca="1">IFERROR(__xludf.DUMMYFUNCTION("GOOGLETRANSLATE(B503,""ja"",""vi"")"),"foot Massager")</f>
        <v>foot Massager</v>
      </c>
      <c r="F503" s="4" t="str">
        <f ca="1">IFERROR(__xludf.DUMMYFUNCTION("GOOGLETRANSLATE(C503,""ja"",""vi"")"),"Đấu giá&gt; làm đẹp, chăm sóc sức khỏe&gt; ​​Chăm sóc cơ thể&gt; Chăm sóc Foot&gt; Foot Massager")</f>
        <v>Đấu giá&gt; làm đẹp, chăm sóc sức khỏe&gt; ​​Chăm sóc cơ thể&gt; Chăm sóc Foot&gt; Foot Massager</v>
      </c>
      <c r="G503" t="str">
        <f t="shared" ca="1" si="7"/>
        <v>"2084047758" : "foot Massager",</v>
      </c>
    </row>
    <row r="504" spans="1:7" ht="15.75" customHeight="1">
      <c r="A504" s="28">
        <v>2084063418</v>
      </c>
      <c r="B504" s="28" t="s">
        <v>15729</v>
      </c>
      <c r="C504" s="28" t="s">
        <v>15730</v>
      </c>
      <c r="D504" s="28" t="s">
        <v>21853</v>
      </c>
      <c r="E504" s="4" t="str">
        <f ca="1">IFERROR(__xludf.DUMMYFUNCTION("GOOGLETRANSLATE(B504,""ja"",""vi"")"),"Khử mùi, vật tư khử mùi")</f>
        <v>Khử mùi, vật tư khử mùi</v>
      </c>
      <c r="F504" s="4" t="str">
        <f ca="1">IFERROR(__xludf.DUMMYFUNCTION("GOOGLETRANSLATE(C504,""ja"",""vi"")"),"Đấu giá&gt; làm đẹp, chăm sóc sức khỏe&gt; ​​Chăm sóc cơ thể&gt; Chăm sóc Foot&gt; khử mùi, vật tư khử mùi")</f>
        <v>Đấu giá&gt; làm đẹp, chăm sóc sức khỏe&gt; ​​Chăm sóc cơ thể&gt; Chăm sóc Foot&gt; khử mùi, vật tư khử mùi</v>
      </c>
      <c r="G504" t="str">
        <f t="shared" ca="1" si="7"/>
        <v>"2084063418" : "Khử mùi, vật tư khử mùi",</v>
      </c>
    </row>
    <row r="505" spans="1:7" ht="15.75" customHeight="1">
      <c r="A505" s="28">
        <v>2084063419</v>
      </c>
      <c r="B505" s="28" t="s">
        <v>46</v>
      </c>
      <c r="C505" s="28" t="s">
        <v>15733</v>
      </c>
      <c r="D505" s="28" t="s">
        <v>21857</v>
      </c>
      <c r="E505" s="4" t="str">
        <f ca="1">IFERROR(__xludf.DUMMYFUNCTION("GOOGLETRANSLATE(B505,""ja"",""vi"")"),"nếu không thì")</f>
        <v>nếu không thì</v>
      </c>
      <c r="F505" s="4" t="str">
        <f ca="1">IFERROR(__xludf.DUMMYFUNCTION("GOOGLETRANSLATE(C505,""ja"",""vi"")"),"Đấu giá&gt; làm đẹp, chăm sóc sức khỏe&gt; ​​Chăm sóc cơ thể&gt; Chăm sóc Foot&gt; Khác")</f>
        <v>Đấu giá&gt; làm đẹp, chăm sóc sức khỏe&gt; ​​Chăm sóc cơ thể&gt; Chăm sóc Foot&gt; Khác</v>
      </c>
      <c r="G505" t="str">
        <f t="shared" ca="1" si="7"/>
        <v>"2084063419" : "nếu không thì",</v>
      </c>
    </row>
    <row r="506" spans="1:7" ht="15.75" customHeight="1">
      <c r="A506" s="36">
        <v>2084063362</v>
      </c>
      <c r="B506" s="36" t="s">
        <v>2241</v>
      </c>
      <c r="C506" s="36" t="s">
        <v>21858</v>
      </c>
      <c r="D506" s="36" t="s">
        <v>21859</v>
      </c>
      <c r="E506" s="4" t="str">
        <f ca="1">IFERROR(__xludf.DUMMYFUNCTION("GOOGLETRANSLATE(B506,""ja"",""vi"")"),"chung")</f>
        <v>chung</v>
      </c>
      <c r="F506" s="4" t="str">
        <f ca="1">IFERROR(__xludf.DUMMYFUNCTION("GOOGLETRANSLATE(C506,""ja"",""vi"")"),"Đấu giá&gt; làm đẹp, chăm sóc sức khỏe&gt; ​​Chăm sóc răng miệng&gt; Bàn chải đánh răng&gt; General")</f>
        <v>Đấu giá&gt; làm đẹp, chăm sóc sức khỏe&gt; ​​Chăm sóc răng miệng&gt; Bàn chải đánh răng&gt; General</v>
      </c>
      <c r="G506" t="str">
        <f t="shared" ca="1" si="7"/>
        <v>"2084063362" : "chung",</v>
      </c>
    </row>
    <row r="507" spans="1:7" ht="15.75" customHeight="1">
      <c r="A507" s="28">
        <v>2084044972</v>
      </c>
      <c r="B507" s="28" t="s">
        <v>21861</v>
      </c>
      <c r="C507" s="28" t="s">
        <v>21862</v>
      </c>
      <c r="D507" s="28" t="s">
        <v>21864</v>
      </c>
      <c r="E507" s="4" t="str">
        <f ca="1">IFERROR(__xludf.DUMMYFUNCTION("GOOGLETRANSLATE(B507,""ja"",""vi"")"),"Electric")</f>
        <v>Electric</v>
      </c>
      <c r="F507" s="4" t="str">
        <f ca="1">IFERROR(__xludf.DUMMYFUNCTION("GOOGLETRANSLATE(C507,""ja"",""vi"")"),"Đấu giá&gt; làm đẹp, chăm sóc sức khỏe&gt; ​​Chăm sóc răng miệng&gt; bàn chải đánh răng&gt; Electric")</f>
        <v>Đấu giá&gt; làm đẹp, chăm sóc sức khỏe&gt; ​​Chăm sóc răng miệng&gt; bàn chải đánh răng&gt; Electric</v>
      </c>
      <c r="G507" t="str">
        <f t="shared" ca="1" si="7"/>
        <v>"2084044972" : "Electric",</v>
      </c>
    </row>
    <row r="508" spans="1:7" ht="15.75" customHeight="1">
      <c r="A508" s="36">
        <v>2084063605</v>
      </c>
      <c r="B508" s="36" t="s">
        <v>21865</v>
      </c>
      <c r="C508" s="36" t="s">
        <v>21866</v>
      </c>
      <c r="D508" s="36" t="s">
        <v>21867</v>
      </c>
      <c r="E508" s="4" t="str">
        <f ca="1">IFERROR(__xludf.DUMMYFUNCTION("GOOGLETRANSLATE(B508,""ja"",""vi"")"),"khung di động")</f>
        <v>khung di động</v>
      </c>
      <c r="F508" s="4" t="str">
        <f ca="1">IFERROR(__xludf.DUMMYFUNCTION("GOOGLETRANSLATE(C508,""ja"",""vi"")"),"Đấu giá&gt; làm đẹp, chăm sóc sức khỏe&gt; ​​kính, Liên hệ&gt; kính&gt; khung di động")</f>
        <v>Đấu giá&gt; làm đẹp, chăm sóc sức khỏe&gt; ​​kính, Liên hệ&gt; kính&gt; khung di động</v>
      </c>
      <c r="G508" t="str">
        <f t="shared" ca="1" si="7"/>
        <v>"2084063605" : "khung di động",</v>
      </c>
    </row>
    <row r="509" spans="1:7" ht="15.75" customHeight="1">
      <c r="A509" s="28">
        <v>2084063606</v>
      </c>
      <c r="B509" s="28" t="s">
        <v>12043</v>
      </c>
      <c r="C509" s="28" t="s">
        <v>21869</v>
      </c>
      <c r="D509" s="28" t="s">
        <v>21870</v>
      </c>
      <c r="E509" s="4" t="str">
        <f ca="1">IFERROR(__xludf.DUMMYFUNCTION("GOOGLETRANSLATE(B509,""ja"",""vi"")"),"kim loại khung")</f>
        <v>kim loại khung</v>
      </c>
      <c r="F509" s="4" t="str">
        <f ca="1">IFERROR(__xludf.DUMMYFUNCTION("GOOGLETRANSLATE(C509,""ja"",""vi"")"),"Đấu giá&gt; làm đẹp, chăm sóc sức khỏe&gt; ​​kính, Liên hệ&gt; kính&gt; khung kim loại")</f>
        <v>Đấu giá&gt; làm đẹp, chăm sóc sức khỏe&gt; ​​kính, Liên hệ&gt; kính&gt; khung kim loại</v>
      </c>
      <c r="G509" t="str">
        <f t="shared" ca="1" si="7"/>
        <v>"2084063606" : "kim loại khung",</v>
      </c>
    </row>
    <row r="510" spans="1:7" ht="15.75" customHeight="1">
      <c r="A510" s="28">
        <v>2084261387</v>
      </c>
      <c r="B510" s="28" t="s">
        <v>21872</v>
      </c>
      <c r="C510" s="28" t="s">
        <v>21873</v>
      </c>
      <c r="D510" s="28" t="s">
        <v>21875</v>
      </c>
      <c r="E510" s="4" t="str">
        <f ca="1">IFERROR(__xludf.DUMMYFUNCTION("GOOGLETRANSLATE(B510,""ja"",""vi"")"),"nâu")</f>
        <v>nâu</v>
      </c>
      <c r="F510" s="4" t="str">
        <f ca="1">IFERROR(__xludf.DUMMYFUNCTION("GOOGLETRANSLATE(C510,""ja"",""vi"")"),"Đấu giá&gt; làm đẹp, chăm sóc sức khỏe&gt; ​​kính, Liên hệ&gt; kính&gt; nâu")</f>
        <v>Đấu giá&gt; làm đẹp, chăm sóc sức khỏe&gt; ​​kính, Liên hệ&gt; kính&gt; nâu</v>
      </c>
      <c r="G510" t="str">
        <f t="shared" ca="1" si="7"/>
        <v>"2084261387" : "nâu",</v>
      </c>
    </row>
    <row r="511" spans="1:7" ht="15.75" customHeight="1">
      <c r="A511" s="28">
        <v>42542</v>
      </c>
      <c r="B511" s="28" t="s">
        <v>9314</v>
      </c>
      <c r="C511" s="28" t="s">
        <v>21878</v>
      </c>
      <c r="D511" s="28" t="s">
        <v>21879</v>
      </c>
      <c r="E511" s="4" t="str">
        <f ca="1">IFERROR(__xludf.DUMMYFUNCTION("GOOGLETRANSLATE(B511,""ja"",""vi"")"),"kính mát")</f>
        <v>kính mát</v>
      </c>
      <c r="F511" s="4" t="str">
        <f ca="1">IFERROR(__xludf.DUMMYFUNCTION("GOOGLETRANSLATE(C511,""ja"",""vi"")"),"Đấu giá&gt; làm đẹp, chăm sóc sức khỏe&gt; ​​kính, Liên hệ&gt; kính&gt; Sunglasses")</f>
        <v>Đấu giá&gt; làm đẹp, chăm sóc sức khỏe&gt; ​​kính, Liên hệ&gt; kính&gt; Sunglasses</v>
      </c>
      <c r="G511" t="str">
        <f t="shared" ca="1" si="7"/>
        <v>"42542" : "kính mát",</v>
      </c>
    </row>
    <row r="512" spans="1:7" ht="15.75" customHeight="1">
      <c r="A512" s="28">
        <v>2084214045</v>
      </c>
      <c r="B512" s="28" t="s">
        <v>9408</v>
      </c>
      <c r="C512" s="28" t="s">
        <v>21883</v>
      </c>
      <c r="D512" s="28" t="s">
        <v>21885</v>
      </c>
      <c r="E512" s="4" t="str">
        <f ca="1">IFERROR(__xludf.DUMMYFUNCTION("GOOGLETRANSLATE(B512,""ja"",""vi"")"),"kính mát thể thao")</f>
        <v>kính mát thể thao</v>
      </c>
      <c r="F512" s="4" t="str">
        <f ca="1">IFERROR(__xludf.DUMMYFUNCTION("GOOGLETRANSLATE(C512,""ja"",""vi"")"),"Đấu giá&gt; làm đẹp, chăm sóc sức khỏe&gt; ​​kính, Liên hệ&gt; kính&gt; Thể Thao Sunglasses")</f>
        <v>Đấu giá&gt; làm đẹp, chăm sóc sức khỏe&gt; ​​kính, Liên hệ&gt; kính&gt; Thể Thao Sunglasses</v>
      </c>
      <c r="G512" t="str">
        <f t="shared" ca="1" si="7"/>
        <v>"2084214045" : "kính mát thể thao",</v>
      </c>
    </row>
    <row r="513" spans="1:7" ht="15.75" customHeight="1">
      <c r="A513" s="28">
        <v>2084063603</v>
      </c>
      <c r="B513" s="28" t="s">
        <v>21887</v>
      </c>
      <c r="C513" s="28" t="s">
        <v>21888</v>
      </c>
      <c r="D513" s="28" t="s">
        <v>21890</v>
      </c>
      <c r="E513" s="4" t="str">
        <f ca="1">IFERROR(__xludf.DUMMYFUNCTION("GOOGLETRANSLATE(B513,""ja"",""vi"")"),"Đối với bệnh sốt mùa hè")</f>
        <v>Đối với bệnh sốt mùa hè</v>
      </c>
      <c r="F513" s="4" t="str">
        <f ca="1">IFERROR(__xludf.DUMMYFUNCTION("GOOGLETRANSLATE(C513,""ja"",""vi"")"),"Đấu giá&gt; làm đẹp, chăm sóc sức khỏe&gt; ​​kính, Liên hệ&gt; kính&gt; cho bệnh sốt mùa hè")</f>
        <v>Đấu giá&gt; làm đẹp, chăm sóc sức khỏe&gt; ​​kính, Liên hệ&gt; kính&gt; cho bệnh sốt mùa hè</v>
      </c>
      <c r="G513" t="str">
        <f t="shared" ca="1" si="7"/>
        <v>"2084063603" : "Đối với bệnh sốt mùa hè",</v>
      </c>
    </row>
    <row r="514" spans="1:7" ht="15.75" customHeight="1">
      <c r="A514" s="28">
        <v>2084063613</v>
      </c>
      <c r="B514" s="28" t="s">
        <v>46</v>
      </c>
      <c r="C514" s="28" t="s">
        <v>21893</v>
      </c>
      <c r="D514" s="28" t="s">
        <v>21895</v>
      </c>
      <c r="E514" s="4" t="str">
        <f ca="1">IFERROR(__xludf.DUMMYFUNCTION("GOOGLETRANSLATE(B514,""ja"",""vi"")"),"nếu không thì")</f>
        <v>nếu không thì</v>
      </c>
      <c r="F514" s="4" t="str">
        <f ca="1">IFERROR(__xludf.DUMMYFUNCTION("GOOGLETRANSLATE(C514,""ja"",""vi"")"),"Đấu giá&gt; làm đẹp, chăm sóc sức khỏe&gt; ​​kính, Liên hệ&gt; kính&gt; Khác")</f>
        <v>Đấu giá&gt; làm đẹp, chăm sóc sức khỏe&gt; ​​kính, Liên hệ&gt; kính&gt; Khác</v>
      </c>
      <c r="G514" t="str">
        <f t="shared" ref="G514:G577" ca="1" si="8">CONCATENATE(CHAR(34)&amp;"",A514,""&amp;CHAR(34)," : ", CHAR(34)&amp;"",E514,""&amp;CHAR(34),",")</f>
        <v>"2084063613" : "nếu không thì",</v>
      </c>
    </row>
    <row r="515" spans="1:7" ht="15.75" customHeight="1">
      <c r="A515" s="36">
        <v>2084226971</v>
      </c>
      <c r="B515" s="36" t="s">
        <v>21896</v>
      </c>
      <c r="C515" s="36" t="s">
        <v>21897</v>
      </c>
      <c r="D515" s="36" t="s">
        <v>21898</v>
      </c>
      <c r="E515" s="4" t="str">
        <f ca="1">IFERROR(__xludf.DUMMYFUNCTION("GOOGLETRANSLATE(B515,""ja"",""vi"")"),"phần mềm")</f>
        <v>phần mềm</v>
      </c>
      <c r="F515" s="4" t="str">
        <f ca="1">IFERROR(__xludf.DUMMYFUNCTION("GOOGLETRANSLATE(C515,""ja"",""vi"")"),"Đấu giá&gt; làm đẹp, chăm sóc sức khỏe&gt; ​​kính, Liên hệ&gt; kính áp tròng&gt; phần mềm")</f>
        <v>Đấu giá&gt; làm đẹp, chăm sóc sức khỏe&gt; ​​kính, Liên hệ&gt; kính áp tròng&gt; phần mềm</v>
      </c>
      <c r="G515" t="str">
        <f t="shared" ca="1" si="8"/>
        <v>"2084226971" : "phần mềm",</v>
      </c>
    </row>
    <row r="516" spans="1:7" ht="15.75" customHeight="1">
      <c r="A516" s="28">
        <v>2084226970</v>
      </c>
      <c r="B516" s="28" t="s">
        <v>21901</v>
      </c>
      <c r="C516" s="28" t="s">
        <v>21902</v>
      </c>
      <c r="D516" s="28" t="s">
        <v>21903</v>
      </c>
      <c r="E516" s="4" t="str">
        <f ca="1">IFERROR(__xludf.DUMMYFUNCTION("GOOGLETRANSLATE(B516,""ja"",""vi"")"),"cứng")</f>
        <v>cứng</v>
      </c>
      <c r="F516" s="4" t="str">
        <f ca="1">IFERROR(__xludf.DUMMYFUNCTION("GOOGLETRANSLATE(C516,""ja"",""vi"")"),"Đấu giá&gt; làm đẹp, chăm sóc sức khỏe&gt; ​​kính, Liên hệ&gt; kính áp tròng&gt; cứng")</f>
        <v>Đấu giá&gt; làm đẹp, chăm sóc sức khỏe&gt; ​​kính, Liên hệ&gt; kính áp tròng&gt; cứng</v>
      </c>
      <c r="G516" t="str">
        <f t="shared" ca="1" si="8"/>
        <v>"2084226970" : "cứng",</v>
      </c>
    </row>
    <row r="517" spans="1:7" ht="15.75" customHeight="1">
      <c r="A517" s="36">
        <v>2084302040</v>
      </c>
      <c r="B517" s="36" t="s">
        <v>21906</v>
      </c>
      <c r="C517" s="36" t="s">
        <v>21907</v>
      </c>
      <c r="D517" s="36" t="s">
        <v>21908</v>
      </c>
      <c r="E517" s="4" t="str">
        <f ca="1">IFERROR(__xludf.DUMMYFUNCTION("GOOGLETRANSLATE(B517,""ja"",""vi"")"),"Phần cứng và phần mềm kép")</f>
        <v>Phần cứng và phần mềm kép</v>
      </c>
      <c r="F517" s="4" t="str">
        <f ca="1">IFERROR(__xludf.DUMMYFUNCTION("GOOGLETRANSLATE(C517,""ja"",""vi"")"),"Đấu giá&gt; làm đẹp, chăm sóc sức khỏe&gt; ​​kính, Liên hệ&gt; nguồn cung cấp liên lạc&gt; kép sử dụng cứng và mềm")</f>
        <v>Đấu giá&gt; làm đẹp, chăm sóc sức khỏe&gt; ​​kính, Liên hệ&gt; nguồn cung cấp liên lạc&gt; kép sử dụng cứng và mềm</v>
      </c>
      <c r="G517" t="str">
        <f t="shared" ca="1" si="8"/>
        <v>"2084302040" : "Phần cứng và phần mềm kép",</v>
      </c>
    </row>
    <row r="518" spans="1:7" ht="15.75" customHeight="1">
      <c r="A518" s="28">
        <v>2084302044</v>
      </c>
      <c r="B518" s="28" t="s">
        <v>21909</v>
      </c>
      <c r="C518" s="28" t="s">
        <v>21911</v>
      </c>
      <c r="D518" s="28" t="s">
        <v>21912</v>
      </c>
      <c r="E518" s="4" t="str">
        <f ca="1">IFERROR(__xludf.DUMMYFUNCTION("GOOGLETRANSLATE(B518,""ja"",""vi"")"),"cứng")</f>
        <v>cứng</v>
      </c>
      <c r="F518" s="4" t="str">
        <f ca="1">IFERROR(__xludf.DUMMYFUNCTION("GOOGLETRANSLATE(C518,""ja"",""vi"")"),"Đấu giá&gt; làm đẹp, chăm sóc sức khỏe&gt; ​​kính, Liên hệ&gt; nguồn cung cấp liên lạc&gt; cứng")</f>
        <v>Đấu giá&gt; làm đẹp, chăm sóc sức khỏe&gt; ​​kính, Liên hệ&gt; nguồn cung cấp liên lạc&gt; cứng</v>
      </c>
      <c r="G518" t="str">
        <f t="shared" ca="1" si="8"/>
        <v>"2084302044" : "cứng",</v>
      </c>
    </row>
    <row r="519" spans="1:7" ht="15.75" customHeight="1">
      <c r="A519" s="28">
        <v>2084302049</v>
      </c>
      <c r="B519" s="28" t="s">
        <v>21915</v>
      </c>
      <c r="C519" s="28" t="s">
        <v>21916</v>
      </c>
      <c r="D519" s="28" t="s">
        <v>21917</v>
      </c>
      <c r="E519" s="4" t="str">
        <f ca="1">IFERROR(__xludf.DUMMYFUNCTION("GOOGLETRANSLATE(B519,""ja"",""vi"")"),"Đối với phần mềm")</f>
        <v>Đối với phần mềm</v>
      </c>
      <c r="F519" s="4" t="str">
        <f ca="1">IFERROR(__xludf.DUMMYFUNCTION("GOOGLETRANSLATE(C519,""ja"",""vi"")"),"Đấu giá&gt; làm đẹp, chăm sóc sức khỏe&gt; ​​kính, Liên hệ&gt; nguồn cung cấp liên lạc&gt; cho phần mềm")</f>
        <v>Đấu giá&gt; làm đẹp, chăm sóc sức khỏe&gt; ​​kính, Liên hệ&gt; nguồn cung cấp liên lạc&gt; cho phần mềm</v>
      </c>
      <c r="G519" t="str">
        <f t="shared" ca="1" si="8"/>
        <v>"2084302049" : "Đối với phần mềm",</v>
      </c>
    </row>
    <row r="520" spans="1:7" ht="15.75" customHeight="1">
      <c r="A520" s="36">
        <v>2084302065</v>
      </c>
      <c r="B520" s="36" t="s">
        <v>21920</v>
      </c>
      <c r="C520" s="36" t="s">
        <v>21921</v>
      </c>
      <c r="D520" s="36" t="s">
        <v>21922</v>
      </c>
      <c r="E520" s="4" t="str">
        <f ca="1">IFERROR(__xludf.DUMMYFUNCTION("GOOGLETRANSLATE(B520,""ja"",""vi"")"),"kính lúp cầm tay")</f>
        <v>kính lúp cầm tay</v>
      </c>
      <c r="F520" s="4" t="str">
        <f ca="1">IFERROR(__xludf.DUMMYFUNCTION("GOOGLETRANSLATE(C520,""ja"",""vi"")"),"Đấu giá&gt; làm đẹp, chăm sóc sức khỏe&gt; ​​kính, Liên hệ&gt; Magnifier&gt; kính lúp cầm tay")</f>
        <v>Đấu giá&gt; làm đẹp, chăm sóc sức khỏe&gt; ​​kính, Liên hệ&gt; Magnifier&gt; kính lúp cầm tay</v>
      </c>
      <c r="G520" t="str">
        <f t="shared" ca="1" si="8"/>
        <v>"2084302065" : "kính lúp cầm tay",</v>
      </c>
    </row>
    <row r="521" spans="1:7" ht="15.75" customHeight="1">
      <c r="A521" s="28">
        <v>2084302066</v>
      </c>
      <c r="B521" s="28" t="s">
        <v>21924</v>
      </c>
      <c r="C521" s="28" t="s">
        <v>21925</v>
      </c>
      <c r="D521" s="28" t="s">
        <v>21927</v>
      </c>
      <c r="E521" s="4" t="str">
        <f ca="1">IFERROR(__xludf.DUMMYFUNCTION("GOOGLETRANSLATE(B521,""ja"",""vi"")"),"kính lúp pendant")</f>
        <v>kính lúp pendant</v>
      </c>
      <c r="F521" s="4" t="str">
        <f ca="1">IFERROR(__xludf.DUMMYFUNCTION("GOOGLETRANSLATE(C521,""ja"",""vi"")"),"Đấu giá&gt; làm đẹp, chăm sóc sức khỏe&gt; ​​kính, Liên hệ&gt; Magnifier&gt; mặt dây chuyền kính lúp")</f>
        <v>Đấu giá&gt; làm đẹp, chăm sóc sức khỏe&gt; ​​kính, Liên hệ&gt; Magnifier&gt; mặt dây chuyền kính lúp</v>
      </c>
      <c r="G521" t="str">
        <f t="shared" ca="1" si="8"/>
        <v>"2084302066" : "kính lúp pendant",</v>
      </c>
    </row>
    <row r="522" spans="1:7" ht="15.75" customHeight="1">
      <c r="A522" s="28">
        <v>2084302067</v>
      </c>
      <c r="B522" s="28" t="s">
        <v>21930</v>
      </c>
      <c r="C522" s="28" t="s">
        <v>21931</v>
      </c>
      <c r="D522" s="28" t="s">
        <v>21932</v>
      </c>
      <c r="E522" s="4" t="str">
        <f ca="1">IFERROR(__xludf.DUMMYFUNCTION("GOOGLETRANSLATE(B522,""ja"",""vi"")"),"Trưởng kính lúp")</f>
        <v>Trưởng kính lúp</v>
      </c>
      <c r="F522" s="4" t="str">
        <f ca="1">IFERROR(__xludf.DUMMYFUNCTION("GOOGLETRANSLATE(C522,""ja"",""vi"")"),"Đấu giá&gt; làm đẹp, chăm sóc sức khỏe&gt; ​​kính, Liên hệ&gt; Magnifier&gt; kính lúp đầu")</f>
        <v>Đấu giá&gt; làm đẹp, chăm sóc sức khỏe&gt; ​​kính, Liên hệ&gt; Magnifier&gt; kính lúp đầu</v>
      </c>
      <c r="G522" t="str">
        <f t="shared" ca="1" si="8"/>
        <v>"2084302067" : "Trưởng kính lúp",</v>
      </c>
    </row>
    <row r="523" spans="1:7" ht="15.75" customHeight="1">
      <c r="A523" s="28">
        <v>2084302068</v>
      </c>
      <c r="B523" s="28" t="s">
        <v>21934</v>
      </c>
      <c r="C523" s="28" t="s">
        <v>21935</v>
      </c>
      <c r="D523" s="28" t="s">
        <v>21936</v>
      </c>
      <c r="E523" s="4" t="str">
        <f ca="1">IFERROR(__xludf.DUMMYFUNCTION("GOOGLETRANSLATE(B523,""ja"",""vi"")"),"kính lúp ánh sáng")</f>
        <v>kính lúp ánh sáng</v>
      </c>
      <c r="F523" s="4" t="str">
        <f ca="1">IFERROR(__xludf.DUMMYFUNCTION("GOOGLETRANSLATE(C523,""ja"",""vi"")"),"Đấu giá&gt; làm đẹp, chăm sóc sức khỏe&gt; ​​kính, Liên hệ&gt; Magnifier&gt; kính lúp ánh sáng")</f>
        <v>Đấu giá&gt; làm đẹp, chăm sóc sức khỏe&gt; ​​kính, Liên hệ&gt; Magnifier&gt; kính lúp ánh sáng</v>
      </c>
      <c r="G523" t="str">
        <f t="shared" ca="1" si="8"/>
        <v>"2084302068" : "kính lúp ánh sáng",</v>
      </c>
    </row>
    <row r="524" spans="1:7" ht="15.75" customHeight="1">
      <c r="A524" s="28">
        <v>2084302069</v>
      </c>
      <c r="B524" s="28" t="s">
        <v>21938</v>
      </c>
      <c r="C524" s="28" t="s">
        <v>21939</v>
      </c>
      <c r="D524" s="28" t="s">
        <v>21941</v>
      </c>
      <c r="E524" s="4" t="str">
        <f ca="1">IFERROR(__xludf.DUMMYFUNCTION("GOOGLETRANSLATE(B524,""ja"",""vi"")"),"kính lúp khác")</f>
        <v>kính lúp khác</v>
      </c>
      <c r="F524" s="4" t="str">
        <f ca="1">IFERROR(__xludf.DUMMYFUNCTION("GOOGLETRANSLATE(C524,""ja"",""vi"")"),"Đấu giá&gt; làm đẹp, chăm sóc sức khỏe&gt; ​​kính, Liên hệ&gt; Magnifier&gt; Magnifier khác")</f>
        <v>Đấu giá&gt; làm đẹp, chăm sóc sức khỏe&gt; ​​kính, Liên hệ&gt; Magnifier&gt; Magnifier khác</v>
      </c>
      <c r="G524" t="str">
        <f t="shared" ca="1" si="8"/>
        <v>"2084302069" : "kính lúp khác",</v>
      </c>
    </row>
    <row r="525" spans="1:7" ht="15.75" customHeight="1">
      <c r="A525" s="36">
        <v>2084224827</v>
      </c>
      <c r="B525" s="36" t="s">
        <v>9286</v>
      </c>
      <c r="C525" s="36" t="s">
        <v>21944</v>
      </c>
      <c r="D525" s="36" t="s">
        <v>21945</v>
      </c>
      <c r="E525" s="4" t="str">
        <f ca="1">IFERROR(__xludf.DUMMYFUNCTION("GOOGLETRANSLATE(B525,""ja"",""vi"")"),"Đối với phụ nữ")</f>
        <v>Đối với phụ nữ</v>
      </c>
      <c r="F525" s="4" t="str">
        <f ca="1">IFERROR(__xludf.DUMMYFUNCTION("GOOGLETRANSLATE(C525,""ja"",""vi"")"),"Đấu giá&gt; Thời trang&gt; Phụ kiện thời trang&gt; Sunglasses&gt; cho phụ nữ")</f>
        <v>Đấu giá&gt; Thời trang&gt; Phụ kiện thời trang&gt; Sunglasses&gt; cho phụ nữ</v>
      </c>
      <c r="G525" t="str">
        <f t="shared" ca="1" si="8"/>
        <v>"2084224827" : "Đối với phụ nữ",</v>
      </c>
    </row>
    <row r="526" spans="1:7" ht="15.75" customHeight="1">
      <c r="A526" s="28">
        <v>2084224823</v>
      </c>
      <c r="B526" s="28" t="s">
        <v>9280</v>
      </c>
      <c r="C526" s="28" t="s">
        <v>21947</v>
      </c>
      <c r="D526" s="28" t="s">
        <v>21948</v>
      </c>
      <c r="E526" s="4" t="str">
        <f ca="1">IFERROR(__xludf.DUMMYFUNCTION("GOOGLETRANSLATE(B526,""ja"",""vi"")"),"Đối với nam giới")</f>
        <v>Đối với nam giới</v>
      </c>
      <c r="F526" s="4" t="str">
        <f ca="1">IFERROR(__xludf.DUMMYFUNCTION("GOOGLETRANSLATE(C526,""ja"",""vi"")"),"Đấu giá&gt; Thời trang&gt; Phụ kiện thời trang&gt; Sunglasses&gt; Đàn ông")</f>
        <v>Đấu giá&gt; Thời trang&gt; Phụ kiện thời trang&gt; Sunglasses&gt; Đàn ông</v>
      </c>
      <c r="G526" t="str">
        <f t="shared" ca="1" si="8"/>
        <v>"2084224823" : "Đối với nam giới",</v>
      </c>
    </row>
    <row r="527" spans="1:7" ht="15.75" customHeight="1">
      <c r="A527" s="28">
        <v>2084224831</v>
      </c>
      <c r="B527" s="28" t="s">
        <v>9292</v>
      </c>
      <c r="C527" s="28" t="s">
        <v>21950</v>
      </c>
      <c r="D527" s="28" t="s">
        <v>21951</v>
      </c>
      <c r="E527" s="4" t="str">
        <f ca="1">IFERROR(__xludf.DUMMYFUNCTION("GOOGLETRANSLATE(B527,""ja"",""vi"")"),"unisex")</f>
        <v>unisex</v>
      </c>
      <c r="F527" s="4" t="str">
        <f ca="1">IFERROR(__xludf.DUMMYFUNCTION("GOOGLETRANSLATE(C527,""ja"",""vi"")"),"Đấu giá&gt; Thời trang&gt; Phụ kiện thời trang&gt; Sunglasses&gt; Unisex")</f>
        <v>Đấu giá&gt; Thời trang&gt; Phụ kiện thời trang&gt; Sunglasses&gt; Unisex</v>
      </c>
      <c r="G527" t="str">
        <f t="shared" ca="1" si="8"/>
        <v>"2084224831" : "unisex",</v>
      </c>
    </row>
    <row r="528" spans="1:7" ht="15.75" customHeight="1">
      <c r="A528" s="28">
        <v>2084214045</v>
      </c>
      <c r="B528" s="28" t="s">
        <v>15078</v>
      </c>
      <c r="C528" s="28" t="s">
        <v>21953</v>
      </c>
      <c r="D528" s="28" t="s">
        <v>21955</v>
      </c>
      <c r="E528" s="4" t="str">
        <f ca="1">IFERROR(__xludf.DUMMYFUNCTION("GOOGLETRANSLATE(B528,""ja"",""vi"")"),"môn thể thao")</f>
        <v>môn thể thao</v>
      </c>
      <c r="F528" s="4" t="str">
        <f ca="1">IFERROR(__xludf.DUMMYFUNCTION("GOOGLETRANSLATE(C528,""ja"",""vi"")"),"Đấu giá&gt; Thời trang&gt; Phụ kiện thời trang&gt; Sunglasses&gt; thể thao")</f>
        <v>Đấu giá&gt; Thời trang&gt; Phụ kiện thời trang&gt; Sunglasses&gt; thể thao</v>
      </c>
      <c r="G528" t="str">
        <f t="shared" ca="1" si="8"/>
        <v>"2084214045" : "môn thể thao",</v>
      </c>
    </row>
    <row r="529" spans="1:7" ht="15.75" customHeight="1">
      <c r="A529" s="28">
        <v>2084025428</v>
      </c>
      <c r="B529" s="28" t="s">
        <v>8809</v>
      </c>
      <c r="C529" s="28" t="s">
        <v>21959</v>
      </c>
      <c r="D529" s="28" t="s">
        <v>21960</v>
      </c>
      <c r="E529" s="4" t="str">
        <f ca="1">IFERROR(__xludf.DUMMYFUNCTION("GOOGLETRANSLATE(B529,""ja"",""vi"")"),"Aniesube")</f>
        <v>Aniesube</v>
      </c>
      <c r="F529" s="4" t="str">
        <f ca="1">IFERROR(__xludf.DUMMYFUNCTION("GOOGLETRANSLATE(C529,""ja"",""vi"")"),"Đấu giá&gt; Thời trang&gt; Phụ kiện thời trang&gt; Sunglasses&gt; Aniesube")</f>
        <v>Đấu giá&gt; Thời trang&gt; Phụ kiện thời trang&gt; Sunglasses&gt; Aniesube</v>
      </c>
      <c r="G529" t="str">
        <f t="shared" ca="1" si="8"/>
        <v>"2084025428" : "Aniesube",</v>
      </c>
    </row>
    <row r="530" spans="1:7" ht="15.75" customHeight="1">
      <c r="A530" s="28">
        <v>2084033992</v>
      </c>
      <c r="B530" s="28" t="s">
        <v>8916</v>
      </c>
      <c r="C530" s="28" t="s">
        <v>21962</v>
      </c>
      <c r="D530" s="28" t="s">
        <v>21963</v>
      </c>
      <c r="E530" s="4" t="str">
        <f ca="1">IFERROR(__xludf.DUMMYFUNCTION("GOOGLETRANSLATE(B530,""ja"",""vi"")"),"Armani")</f>
        <v>Armani</v>
      </c>
      <c r="F530" s="4" t="str">
        <f ca="1">IFERROR(__xludf.DUMMYFUNCTION("GOOGLETRANSLATE(C530,""ja"",""vi"")"),"Đấu giá&gt; Thời trang&gt; Phụ kiện thời trang&gt; Sunglasses&gt; Armani")</f>
        <v>Đấu giá&gt; Thời trang&gt; Phụ kiện thời trang&gt; Sunglasses&gt; Armani</v>
      </c>
      <c r="G530" t="str">
        <f t="shared" ca="1" si="8"/>
        <v>"2084033992" : "Armani",</v>
      </c>
    </row>
    <row r="531" spans="1:7" ht="15.75" customHeight="1">
      <c r="A531" s="28">
        <v>2084214334</v>
      </c>
      <c r="B531" s="28" t="s">
        <v>9511</v>
      </c>
      <c r="C531" s="28" t="s">
        <v>21966</v>
      </c>
      <c r="D531" s="28" t="s">
        <v>21967</v>
      </c>
      <c r="E531" s="4" t="str">
        <f ca="1">IFERROR(__xludf.DUMMYFUNCTION("GOOGLETRANSLATE(B531,""ja"",""vi"")"),"Oakley")</f>
        <v>Oakley</v>
      </c>
      <c r="F531" s="4" t="str">
        <f ca="1">IFERROR(__xludf.DUMMYFUNCTION("GOOGLETRANSLATE(C531,""ja"",""vi"")"),"Đấu giá&gt; Thời trang&gt; Phụ kiện thời trang&gt; Sunglasses&gt; Oakley")</f>
        <v>Đấu giá&gt; Thời trang&gt; Phụ kiện thời trang&gt; Sunglasses&gt; Oakley</v>
      </c>
      <c r="G531" t="str">
        <f t="shared" ca="1" si="8"/>
        <v>"2084214334" : "Oakley",</v>
      </c>
    </row>
    <row r="532" spans="1:7" ht="15.75" customHeight="1">
      <c r="A532" s="28">
        <v>2084033995</v>
      </c>
      <c r="B532" s="28" t="s">
        <v>9663</v>
      </c>
      <c r="C532" s="28" t="s">
        <v>21970</v>
      </c>
      <c r="D532" s="28" t="s">
        <v>21972</v>
      </c>
      <c r="E532" s="4" t="str">
        <f ca="1">IFERROR(__xludf.DUMMYFUNCTION("GOOGLETRANSLATE(B532,""ja"",""vi"")"),"Calvin Klein")</f>
        <v>Calvin Klein</v>
      </c>
      <c r="F532" s="4" t="str">
        <f ca="1">IFERROR(__xludf.DUMMYFUNCTION("GOOGLETRANSLATE(C532,""ja"",""vi"")"),"Đấu giá&gt; Thời trang&gt; Phụ kiện thời trang&gt; Sunglasses&gt; Calvin Klein")</f>
        <v>Đấu giá&gt; Thời trang&gt; Phụ kiện thời trang&gt; Sunglasses&gt; Calvin Klein</v>
      </c>
      <c r="G532" t="str">
        <f t="shared" ca="1" si="8"/>
        <v>"2084033995" : "Calvin Klein",</v>
      </c>
    </row>
    <row r="533" spans="1:7" ht="15.75" customHeight="1">
      <c r="A533" s="28">
        <v>2084025433</v>
      </c>
      <c r="B533" s="28" t="s">
        <v>9858</v>
      </c>
      <c r="C533" s="28" t="s">
        <v>21975</v>
      </c>
      <c r="D533" s="28" t="s">
        <v>21976</v>
      </c>
      <c r="E533" s="4" t="str">
        <f ca="1">IFERROR(__xludf.DUMMYFUNCTION("GOOGLETRANSLATE(B533,""ja"",""vi"")"),"Christian Dior")</f>
        <v>Christian Dior</v>
      </c>
      <c r="F533" s="4" t="str">
        <f ca="1">IFERROR(__xludf.DUMMYFUNCTION("GOOGLETRANSLATE(C533,""ja"",""vi"")"),"Đấu giá&gt; Thời trang&gt; Phụ kiện thời trang&gt; Sunglasses&gt; Christian Dior")</f>
        <v>Đấu giá&gt; Thời trang&gt; Phụ kiện thời trang&gt; Sunglasses&gt; Christian Dior</v>
      </c>
      <c r="G533" t="str">
        <f t="shared" ca="1" si="8"/>
        <v>"2084025433" : "Christian Dior",</v>
      </c>
    </row>
    <row r="534" spans="1:7" ht="15.75" customHeight="1">
      <c r="A534" s="28">
        <v>2084025432</v>
      </c>
      <c r="B534" s="28" t="s">
        <v>9815</v>
      </c>
      <c r="C534" s="28" t="s">
        <v>21978</v>
      </c>
      <c r="D534" s="28" t="s">
        <v>21980</v>
      </c>
      <c r="E534" s="4" t="str">
        <f ca="1">IFERROR(__xludf.DUMMYFUNCTION("GOOGLETRANSLATE(B534,""ja"",""vi"")"),"Gucci")</f>
        <v>Gucci</v>
      </c>
      <c r="F534" s="4" t="str">
        <f ca="1">IFERROR(__xludf.DUMMYFUNCTION("GOOGLETRANSLATE(C534,""ja"",""vi"")"),"Đấu giá&gt; Thời trang&gt; Phụ kiện thời trang&gt; Sunglasses&gt; Gucci")</f>
        <v>Đấu giá&gt; Thời trang&gt; Phụ kiện thời trang&gt; Sunglasses&gt; Gucci</v>
      </c>
      <c r="G534" t="str">
        <f t="shared" ca="1" si="8"/>
        <v>"2084025432" : "Gucci",</v>
      </c>
    </row>
    <row r="535" spans="1:7" ht="15.75" customHeight="1">
      <c r="A535" s="28">
        <v>2084025437</v>
      </c>
      <c r="B535" s="28" t="s">
        <v>10288</v>
      </c>
      <c r="C535" s="28" t="s">
        <v>21982</v>
      </c>
      <c r="D535" s="28" t="s">
        <v>21984</v>
      </c>
      <c r="E535" s="4" t="str">
        <f ca="1">IFERROR(__xludf.DUMMYFUNCTION("GOOGLETRANSLATE(B535,""ja"",""vi"")"),"Chanel")</f>
        <v>Chanel</v>
      </c>
      <c r="F535" s="4" t="str">
        <f ca="1">IFERROR(__xludf.DUMMYFUNCTION("GOOGLETRANSLATE(C535,""ja"",""vi"")"),"Đấu giá&gt; Thời trang&gt; Phụ kiện thời trang&gt; Sunglasses&gt; Chanel")</f>
        <v>Đấu giá&gt; Thời trang&gt; Phụ kiện thời trang&gt; Sunglasses&gt; Chanel</v>
      </c>
      <c r="G535" t="str">
        <f t="shared" ca="1" si="8"/>
        <v>"2084025437" : "Chanel",</v>
      </c>
    </row>
    <row r="536" spans="1:7" ht="15.75" customHeight="1">
      <c r="A536" s="28">
        <v>2084033993</v>
      </c>
      <c r="B536" s="28" t="s">
        <v>10355</v>
      </c>
      <c r="C536" s="28" t="s">
        <v>21985</v>
      </c>
      <c r="D536" s="28" t="s">
        <v>21986</v>
      </c>
      <c r="E536" s="4" t="str">
        <f ca="1">IFERROR(__xludf.DUMMYFUNCTION("GOOGLETRANSLATE(B536,""ja"",""vi"")"),"Jean Paul Gaultier")</f>
        <v>Jean Paul Gaultier</v>
      </c>
      <c r="F536" s="4" t="str">
        <f ca="1">IFERROR(__xludf.DUMMYFUNCTION("GOOGLETRANSLATE(C536,""ja"",""vi"")"),"Đấu giá&gt; Thời trang&gt; Phụ kiện thời trang&gt; Sunglasses&gt; Jean Paul Gaultier")</f>
        <v>Đấu giá&gt; Thời trang&gt; Phụ kiện thời trang&gt; Sunglasses&gt; Jean Paul Gaultier</v>
      </c>
      <c r="G536" t="str">
        <f t="shared" ca="1" si="8"/>
        <v>"2084033993" : "Jean Paul Gaultier",</v>
      </c>
    </row>
    <row r="537" spans="1:7" ht="15.75" customHeight="1">
      <c r="A537" s="28">
        <v>2084033988</v>
      </c>
      <c r="B537" s="28" t="s">
        <v>10492</v>
      </c>
      <c r="C537" s="28" t="s">
        <v>21989</v>
      </c>
      <c r="D537" s="28" t="s">
        <v>21990</v>
      </c>
      <c r="E537" s="4" t="str">
        <f ca="1">IFERROR(__xludf.DUMMYFUNCTION("GOOGLETRANSLATE(B537,""ja"",""vi"")"),"Stussy")</f>
        <v>Stussy</v>
      </c>
      <c r="F537" s="4" t="str">
        <f ca="1">IFERROR(__xludf.DUMMYFUNCTION("GOOGLETRANSLATE(C537,""ja"",""vi"")"),"Đấu giá&gt; Thời trang&gt; Phụ kiện thời trang&gt; Sunglasses&gt; Stussy")</f>
        <v>Đấu giá&gt; Thời trang&gt; Phụ kiện thời trang&gt; Sunglasses&gt; Stussy</v>
      </c>
      <c r="G537" t="str">
        <f t="shared" ca="1" si="8"/>
        <v>"2084033988" : "Stussy",</v>
      </c>
    </row>
    <row r="538" spans="1:7" ht="15.75" customHeight="1">
      <c r="A538" s="28">
        <v>2084025444</v>
      </c>
      <c r="B538" s="28" t="s">
        <v>11843</v>
      </c>
      <c r="C538" s="28" t="s">
        <v>21992</v>
      </c>
      <c r="D538" s="28" t="s">
        <v>21994</v>
      </c>
      <c r="E538" s="4" t="str">
        <f ca="1">IFERROR(__xludf.DUMMYFUNCTION("GOOGLETRANSLATE(B538,""ja"",""vi"")"),"Fendi")</f>
        <v>Fendi</v>
      </c>
      <c r="F538" s="4" t="str">
        <f ca="1">IFERROR(__xludf.DUMMYFUNCTION("GOOGLETRANSLATE(C538,""ja"",""vi"")"),"Đấu giá&gt; Thời trang&gt; Phụ kiện thời trang&gt; Sunglasses&gt; Fendi")</f>
        <v>Đấu giá&gt; Thời trang&gt; Phụ kiện thời trang&gt; Sunglasses&gt; Fendi</v>
      </c>
      <c r="G538" t="str">
        <f t="shared" ca="1" si="8"/>
        <v>"2084025444" : "Fendi",</v>
      </c>
    </row>
    <row r="539" spans="1:7" ht="15.75" customHeight="1">
      <c r="A539" s="28">
        <v>2084025445</v>
      </c>
      <c r="B539" s="28" t="s">
        <v>12035</v>
      </c>
      <c r="C539" s="28" t="s">
        <v>21996</v>
      </c>
      <c r="D539" s="28" t="s">
        <v>21998</v>
      </c>
      <c r="E539" s="4" t="str">
        <f ca="1">IFERROR(__xludf.DUMMYFUNCTION("GOOGLETRANSLATE(B539,""ja"",""vi"")"),"Prada")</f>
        <v>Prada</v>
      </c>
      <c r="F539" s="4" t="str">
        <f ca="1">IFERROR(__xludf.DUMMYFUNCTION("GOOGLETRANSLATE(C539,""ja"",""vi"")"),"Đấu giá&gt; Thời trang&gt; Phụ kiện thời trang&gt; Sunglasses&gt; Prada")</f>
        <v>Đấu giá&gt; Thời trang&gt; Phụ kiện thời trang&gt; Sunglasses&gt; Prada</v>
      </c>
      <c r="G539" t="str">
        <f t="shared" ca="1" si="8"/>
        <v>"2084025445" : "Prada",</v>
      </c>
    </row>
    <row r="540" spans="1:7" ht="15.75" customHeight="1">
      <c r="A540" s="28">
        <v>2084261402</v>
      </c>
      <c r="B540" s="28" t="s">
        <v>12263</v>
      </c>
      <c r="C540" s="28" t="s">
        <v>22001</v>
      </c>
      <c r="D540" s="28" t="s">
        <v>22002</v>
      </c>
      <c r="E540" s="4" t="str">
        <f ca="1">IFERROR(__xludf.DUMMYFUNCTION("GOOGLETRANSLATE(B540,""ja"",""vi"")"),"cảnh sát")</f>
        <v>cảnh sát</v>
      </c>
      <c r="F540" s="4" t="str">
        <f ca="1">IFERROR(__xludf.DUMMYFUNCTION("GOOGLETRANSLATE(C540,""ja"",""vi"")"),"Đấu giá&gt; Thời trang&gt; Phụ kiện thời trang&gt; Sunglasses&gt; Cảnh sát")</f>
        <v>Đấu giá&gt; Thời trang&gt; Phụ kiện thời trang&gt; Sunglasses&gt; Cảnh sát</v>
      </c>
      <c r="G540" t="str">
        <f t="shared" ca="1" si="8"/>
        <v>"2084261402" : "cảnh sát",</v>
      </c>
    </row>
    <row r="541" spans="1:7" ht="15.75" customHeight="1">
      <c r="A541" s="28">
        <v>2084025448</v>
      </c>
      <c r="B541" s="28" t="s">
        <v>12786</v>
      </c>
      <c r="C541" s="28" t="s">
        <v>22005</v>
      </c>
      <c r="D541" s="28" t="s">
        <v>22006</v>
      </c>
      <c r="E541" s="4" t="str">
        <f ca="1">IFERROR(__xludf.DUMMYFUNCTION("GOOGLETRANSLATE(B541,""ja"",""vi"")"),"Ralph Lauren")</f>
        <v>Ralph Lauren</v>
      </c>
      <c r="F541" s="4" t="str">
        <f ca="1">IFERROR(__xludf.DUMMYFUNCTION("GOOGLETRANSLATE(C541,""ja"",""vi"")"),"Đấu giá&gt; Thời trang&gt; Phụ kiện thời trang&gt; Sunglasses&gt; Ralph Lauren")</f>
        <v>Đấu giá&gt; Thời trang&gt; Phụ kiện thời trang&gt; Sunglasses&gt; Ralph Lauren</v>
      </c>
      <c r="G541" t="str">
        <f t="shared" ca="1" si="8"/>
        <v>"2084025448" : "Ralph Lauren",</v>
      </c>
    </row>
    <row r="542" spans="1:7" ht="15.75" customHeight="1">
      <c r="A542" s="28">
        <v>2084033987</v>
      </c>
      <c r="B542" s="28" t="s">
        <v>11799</v>
      </c>
      <c r="C542" s="28" t="s">
        <v>22009</v>
      </c>
      <c r="D542" s="28" t="s">
        <v>22010</v>
      </c>
      <c r="E542" s="4" t="str">
        <f ca="1">IFERROR(__xludf.DUMMYFUNCTION("GOOGLETRANSLATE(B542,""ja"",""vi"")"),"Ray-Ban")</f>
        <v>Ray-Ban</v>
      </c>
      <c r="F542" s="4" t="str">
        <f ca="1">IFERROR(__xludf.DUMMYFUNCTION("GOOGLETRANSLATE(C542,""ja"",""vi"")"),"Đấu giá&gt; Thời trang&gt; Phụ kiện thời trang&gt; Sunglasses&gt; Ray-Ban")</f>
        <v>Đấu giá&gt; Thời trang&gt; Phụ kiện thời trang&gt; Sunglasses&gt; Ray-Ban</v>
      </c>
      <c r="G542" t="str">
        <f t="shared" ca="1" si="8"/>
        <v>"2084033987" : "Ray-Ban",</v>
      </c>
    </row>
    <row r="543" spans="1:7" ht="15.75" customHeight="1">
      <c r="A543" s="28">
        <v>2084033996</v>
      </c>
      <c r="B543" s="28" t="s">
        <v>13018</v>
      </c>
      <c r="C543" s="28" t="s">
        <v>22011</v>
      </c>
      <c r="D543" s="28" t="s">
        <v>22013</v>
      </c>
      <c r="E543" s="4" t="str">
        <f ca="1">IFERROR(__xludf.DUMMYFUNCTION("GOOGLETRANSLATE(B543,""ja"",""vi"")"),"Renoma")</f>
        <v>Renoma</v>
      </c>
      <c r="F543" s="4" t="str">
        <f ca="1">IFERROR(__xludf.DUMMYFUNCTION("GOOGLETRANSLATE(C543,""ja"",""vi"")"),"Đấu giá&gt; Thời trang&gt; Phụ kiện thời trang&gt; Sunglasses&gt; Renoma")</f>
        <v>Đấu giá&gt; Thời trang&gt; Phụ kiện thời trang&gt; Sunglasses&gt; Renoma</v>
      </c>
      <c r="G543" t="str">
        <f t="shared" ca="1" si="8"/>
        <v>"2084033996" : "Renoma",</v>
      </c>
    </row>
    <row r="544" spans="1:7" ht="15.75" customHeight="1">
      <c r="A544" s="28">
        <v>2084033994</v>
      </c>
      <c r="B544" s="28" t="s">
        <v>9191</v>
      </c>
      <c r="C544" s="28" t="s">
        <v>22016</v>
      </c>
      <c r="D544" s="28" t="s">
        <v>22017</v>
      </c>
      <c r="E544" s="4" t="str">
        <f ca="1">IFERROR(__xludf.DUMMYFUNCTION("GOOGLETRANSLATE(B544,""ja"",""vi"")"),"Versace")</f>
        <v>Versace</v>
      </c>
      <c r="F544" s="4" t="str">
        <f ca="1">IFERROR(__xludf.DUMMYFUNCTION("GOOGLETRANSLATE(C544,""ja"",""vi"")"),"Đấu giá&gt; Thời trang&gt; Phụ kiện thời trang&gt; Sunglasses&gt; Versace")</f>
        <v>Đấu giá&gt; Thời trang&gt; Phụ kiện thời trang&gt; Sunglasses&gt; Versace</v>
      </c>
      <c r="G544" t="str">
        <f t="shared" ca="1" si="8"/>
        <v>"2084033994" : "Versace",</v>
      </c>
    </row>
    <row r="545" spans="1:7" ht="15.75" customHeight="1">
      <c r="A545" s="36">
        <v>2084213827</v>
      </c>
      <c r="B545" s="36" t="s">
        <v>18963</v>
      </c>
      <c r="C545" s="36" t="s">
        <v>22020</v>
      </c>
      <c r="D545" s="36" t="s">
        <v>22021</v>
      </c>
      <c r="E545" s="4" t="str">
        <f ca="1">IFERROR(__xludf.DUMMYFUNCTION("GOOGLETRANSLATE(B545,""ja"",""vi"")"),"Set, Assortment")</f>
        <v>Set, Assortment</v>
      </c>
      <c r="F545" s="4" t="str">
        <f ca="1">IFERROR(__xludf.DUMMYFUNCTION("GOOGLETRANSLATE(C545,""ja"",""vi"")"),"Đấu giá&gt; làm đẹp, chăm sóc sức khỏe&gt; ​​hàng thư giãn&gt; tinh dầu&gt; thiết lập, loại")</f>
        <v>Đấu giá&gt; làm đẹp, chăm sóc sức khỏe&gt; ​​hàng thư giãn&gt; tinh dầu&gt; thiết lập, loại</v>
      </c>
      <c r="G545" t="str">
        <f t="shared" ca="1" si="8"/>
        <v>"2084213827" : "Set, Assortment",</v>
      </c>
    </row>
    <row r="546" spans="1:7" ht="15.75" customHeight="1">
      <c r="A546" s="28">
        <v>2084213836</v>
      </c>
      <c r="B546" s="28" t="s">
        <v>22024</v>
      </c>
      <c r="C546" s="28" t="s">
        <v>22025</v>
      </c>
      <c r="D546" s="28" t="s">
        <v>22026</v>
      </c>
      <c r="E546" s="4" t="str">
        <f ca="1">IFERROR(__xludf.DUMMYFUNCTION("GOOGLETRANSLATE(B546,""ja"",""vi"")"),"Iran Iran")</f>
        <v>Iran Iran</v>
      </c>
      <c r="F546" s="4" t="str">
        <f ca="1">IFERROR(__xludf.DUMMYFUNCTION("GOOGLETRANSLATE(C546,""ja"",""vi"")"),"Đấu giá&gt; làm đẹp, chăm sóc sức khỏe&gt; ​​hàng thư giãn&gt; tinh dầu&gt; Iran Iran")</f>
        <v>Đấu giá&gt; làm đẹp, chăm sóc sức khỏe&gt; ​​hàng thư giãn&gt; tinh dầu&gt; Iran Iran</v>
      </c>
      <c r="G546" t="str">
        <f t="shared" ca="1" si="8"/>
        <v>"2084213836" : "Iran Iran",</v>
      </c>
    </row>
    <row r="547" spans="1:7" ht="15.75" customHeight="1">
      <c r="A547" s="28">
        <v>2084213830</v>
      </c>
      <c r="B547" s="28" t="s">
        <v>21472</v>
      </c>
      <c r="C547" s="28" t="s">
        <v>22029</v>
      </c>
      <c r="D547" s="28" t="s">
        <v>22030</v>
      </c>
      <c r="E547" s="4" t="str">
        <f ca="1">IFERROR(__xludf.DUMMYFUNCTION("GOOGLETRANSLATE(B547,""ja"",""vi"")"),"trái cam")</f>
        <v>trái cam</v>
      </c>
      <c r="F547" s="4" t="str">
        <f ca="1">IFERROR(__xludf.DUMMYFUNCTION("GOOGLETRANSLATE(C547,""ja"",""vi"")"),"Đấu giá&gt; làm đẹp, chăm sóc sức khỏe&gt; ​​hàng thư giãn&gt; tinh dầu&gt; Orange")</f>
        <v>Đấu giá&gt; làm đẹp, chăm sóc sức khỏe&gt; ​​hàng thư giãn&gt; tinh dầu&gt; Orange</v>
      </c>
      <c r="G547" t="str">
        <f t="shared" ca="1" si="8"/>
        <v>"2084213830" : "trái cam",</v>
      </c>
    </row>
    <row r="548" spans="1:7" ht="15.75" customHeight="1">
      <c r="A548" s="28">
        <v>2084213834</v>
      </c>
      <c r="B548" s="28" t="s">
        <v>22033</v>
      </c>
      <c r="C548" s="28" t="s">
        <v>22034</v>
      </c>
      <c r="D548" s="28" t="s">
        <v>22036</v>
      </c>
      <c r="E548" s="4" t="str">
        <f ca="1">IFERROR(__xludf.DUMMYFUNCTION("GOOGLETRANSLATE(B548,""ja"",""vi"")"),"hoa chamomile")</f>
        <v>hoa chamomile</v>
      </c>
      <c r="F548" s="4" t="str">
        <f ca="1">IFERROR(__xludf.DUMMYFUNCTION("GOOGLETRANSLATE(C548,""ja"",""vi"")"),"Đấu giá&gt; làm đẹp, chăm sóc sức khỏe&gt; ​​hàng thư giãn&gt; tinh dầu&gt; hoa cúc")</f>
        <v>Đấu giá&gt; làm đẹp, chăm sóc sức khỏe&gt; ​​hàng thư giãn&gt; tinh dầu&gt; hoa cúc</v>
      </c>
      <c r="G548" t="str">
        <f t="shared" ca="1" si="8"/>
        <v>"2084213834" : "hoa chamomile",</v>
      </c>
    </row>
    <row r="549" spans="1:7" ht="15.75" customHeight="1">
      <c r="A549" s="28">
        <v>2084213831</v>
      </c>
      <c r="B549" s="28" t="s">
        <v>22038</v>
      </c>
      <c r="C549" s="28" t="s">
        <v>22040</v>
      </c>
      <c r="D549" s="28" t="s">
        <v>22041</v>
      </c>
      <c r="E549" s="4" t="str">
        <f ca="1">IFERROR(__xludf.DUMMYFUNCTION("GOOGLETRANSLATE(B549,""ja"",""vi"")"),"bưởi")</f>
        <v>bưởi</v>
      </c>
      <c r="F549" s="4" t="str">
        <f ca="1">IFERROR(__xludf.DUMMYFUNCTION("GOOGLETRANSLATE(C549,""ja"",""vi"")"),"Đấu giá&gt; làm đẹp, chăm sóc sức khỏe&gt; ​​hàng thư giãn&gt; tinh dầu&gt; Bưởi")</f>
        <v>Đấu giá&gt; làm đẹp, chăm sóc sức khỏe&gt; ​​hàng thư giãn&gt; tinh dầu&gt; Bưởi</v>
      </c>
      <c r="G549" t="str">
        <f t="shared" ca="1" si="8"/>
        <v>"2084213831" : "bưởi",</v>
      </c>
    </row>
    <row r="550" spans="1:7" ht="15.75" customHeight="1">
      <c r="A550" s="28">
        <v>2084213833</v>
      </c>
      <c r="B550" s="28" t="s">
        <v>22043</v>
      </c>
      <c r="C550" s="28" t="s">
        <v>22045</v>
      </c>
      <c r="D550" s="28" t="s">
        <v>22046</v>
      </c>
      <c r="E550" s="4" t="str">
        <f ca="1">IFERROR(__xludf.DUMMYFUNCTION("GOOGLETRANSLATE(B550,""ja"",""vi"")"),"cây đàn hương")</f>
        <v>cây đàn hương</v>
      </c>
      <c r="F550" s="4" t="str">
        <f ca="1">IFERROR(__xludf.DUMMYFUNCTION("GOOGLETRANSLATE(C550,""ja"",""vi"")"),"Đấu giá&gt; làm đẹp, chăm sóc sức khỏe&gt; ​​hàng thư giãn&gt; tinh dầu&gt; Sandalwood")</f>
        <v>Đấu giá&gt; làm đẹp, chăm sóc sức khỏe&gt; ​​hàng thư giãn&gt; tinh dầu&gt; Sandalwood</v>
      </c>
      <c r="G550" t="str">
        <f t="shared" ca="1" si="8"/>
        <v>"2084213833" : "cây đàn hương",</v>
      </c>
    </row>
    <row r="551" spans="1:7" ht="15.75" customHeight="1">
      <c r="A551" s="28">
        <v>2084302013</v>
      </c>
      <c r="B551" s="28" t="s">
        <v>22049</v>
      </c>
      <c r="C551" s="28" t="s">
        <v>22051</v>
      </c>
      <c r="D551" s="28" t="s">
        <v>22053</v>
      </c>
      <c r="E551" s="4" t="str">
        <f ca="1">IFERROR(__xludf.DUMMYFUNCTION("GOOGLETRANSLATE(B551,""ja"",""vi"")"),"Geranium")</f>
        <v>Geranium</v>
      </c>
      <c r="F551" s="4" t="str">
        <f ca="1">IFERROR(__xludf.DUMMYFUNCTION("GOOGLETRANSLATE(C551,""ja"",""vi"")"),"Đấu giá&gt; làm đẹp, chăm sóc sức khỏe&gt; ​​hàng thư giãn&gt; tinh dầu&gt; phong lữ")</f>
        <v>Đấu giá&gt; làm đẹp, chăm sóc sức khỏe&gt; ​​hàng thư giãn&gt; tinh dầu&gt; phong lữ</v>
      </c>
      <c r="G551" t="str">
        <f t="shared" ca="1" si="8"/>
        <v>"2084302013" : "Geranium",</v>
      </c>
    </row>
    <row r="552" spans="1:7" ht="15.75" customHeight="1">
      <c r="A552" s="28">
        <v>2084302014</v>
      </c>
      <c r="B552" s="28" t="s">
        <v>22054</v>
      </c>
      <c r="C552" s="28" t="s">
        <v>22056</v>
      </c>
      <c r="D552" s="28" t="s">
        <v>22057</v>
      </c>
      <c r="E552" s="4" t="str">
        <f ca="1">IFERROR(__xludf.DUMMYFUNCTION("GOOGLETRANSLATE(B552,""ja"",""vi"")"),"Tea Tree")</f>
        <v>Tea Tree</v>
      </c>
      <c r="F552" s="4" t="str">
        <f ca="1">IFERROR(__xludf.DUMMYFUNCTION("GOOGLETRANSLATE(C552,""ja"",""vi"")"),"Đấu giá&gt; làm đẹp, chăm sóc sức khỏe&gt; ​​hàng thư giãn&gt; tinh dầu&gt; cây chè")</f>
        <v>Đấu giá&gt; làm đẹp, chăm sóc sức khỏe&gt; ​​hàng thư giãn&gt; tinh dầu&gt; cây chè</v>
      </c>
      <c r="G552" t="str">
        <f t="shared" ca="1" si="8"/>
        <v>"2084302014" : "Tea Tree",</v>
      </c>
    </row>
    <row r="553" spans="1:7" ht="15.75" customHeight="1">
      <c r="A553" s="28">
        <v>2084213829</v>
      </c>
      <c r="B553" s="28" t="s">
        <v>22060</v>
      </c>
      <c r="C553" s="28" t="s">
        <v>22061</v>
      </c>
      <c r="D553" s="28" t="s">
        <v>22062</v>
      </c>
      <c r="E553" s="4" t="str">
        <f ca="1">IFERROR(__xludf.DUMMYFUNCTION("GOOGLETRANSLATE(B553,""ja"",""vi"")"),"bergamot")</f>
        <v>bergamot</v>
      </c>
      <c r="F553" s="4" t="str">
        <f ca="1">IFERROR(__xludf.DUMMYFUNCTION("GOOGLETRANSLATE(C553,""ja"",""vi"")"),"Đấu giá&gt; làm đẹp, chăm sóc sức khỏe&gt; ​​hàng thư giãn&gt; tinh dầu&gt; cam bergamot")</f>
        <v>Đấu giá&gt; làm đẹp, chăm sóc sức khỏe&gt; ​​hàng thư giãn&gt; tinh dầu&gt; cam bergamot</v>
      </c>
      <c r="G553" t="str">
        <f t="shared" ca="1" si="8"/>
        <v>"2084213829" : "bergamot",</v>
      </c>
    </row>
    <row r="554" spans="1:7" ht="15.75" customHeight="1">
      <c r="A554" s="28">
        <v>2084213828</v>
      </c>
      <c r="B554" s="28" t="s">
        <v>22065</v>
      </c>
      <c r="C554" s="28" t="s">
        <v>22066</v>
      </c>
      <c r="D554" s="28" t="s">
        <v>22067</v>
      </c>
      <c r="E554" s="4" t="str">
        <f ca="1">IFERROR(__xludf.DUMMYFUNCTION("GOOGLETRANSLATE(B554,""ja"",""vi"")"),"bạc hà cay")</f>
        <v>bạc hà cay</v>
      </c>
      <c r="F554" s="4" t="str">
        <f ca="1">IFERROR(__xludf.DUMMYFUNCTION("GOOGLETRANSLATE(C554,""ja"",""vi"")"),"Đấu giá&gt; làm đẹp, chăm sóc sức khỏe&gt; ​​hàng thư giãn&gt; tinh dầu&gt; bạc hà")</f>
        <v>Đấu giá&gt; làm đẹp, chăm sóc sức khỏe&gt; ​​hàng thư giãn&gt; tinh dầu&gt; bạc hà</v>
      </c>
      <c r="G554" t="str">
        <f t="shared" ca="1" si="8"/>
        <v>"2084213828" : "bạc hà cay",</v>
      </c>
    </row>
    <row r="555" spans="1:7" ht="15.75" customHeight="1">
      <c r="A555" s="28">
        <v>2084228352</v>
      </c>
      <c r="B555" s="28" t="s">
        <v>22070</v>
      </c>
      <c r="C555" s="28" t="s">
        <v>22071</v>
      </c>
      <c r="D555" s="28" t="s">
        <v>22073</v>
      </c>
      <c r="E555" s="4" t="str">
        <f ca="1">IFERROR(__xludf.DUMMYFUNCTION("GOOGLETRANSLATE(B555,""ja"",""vi"")"),"Eucalyptus")</f>
        <v>Eucalyptus</v>
      </c>
      <c r="F555" s="4" t="str">
        <f ca="1">IFERROR(__xludf.DUMMYFUNCTION("GOOGLETRANSLATE(C555,""ja"",""vi"")"),"Đấu giá&gt; làm đẹp, chăm sóc sức khỏe&gt; ​​hàng thư giãn&gt; tinh dầu&gt; Eucalyptus")</f>
        <v>Đấu giá&gt; làm đẹp, chăm sóc sức khỏe&gt; ​​hàng thư giãn&gt; tinh dầu&gt; Eucalyptus</v>
      </c>
      <c r="G555" t="str">
        <f t="shared" ca="1" si="8"/>
        <v>"2084228352" : "Eucalyptus",</v>
      </c>
    </row>
    <row r="556" spans="1:7" ht="15.75" customHeight="1">
      <c r="A556" s="28">
        <v>2084213835</v>
      </c>
      <c r="B556" s="28" t="s">
        <v>15329</v>
      </c>
      <c r="C556" s="28" t="s">
        <v>22075</v>
      </c>
      <c r="D556" s="28" t="s">
        <v>22077</v>
      </c>
      <c r="E556" s="4" t="str">
        <f ca="1">IFERROR(__xludf.DUMMYFUNCTION("GOOGLETRANSLATE(B556,""ja"",""vi"")"),"cây oải hương")</f>
        <v>cây oải hương</v>
      </c>
      <c r="F556" s="4" t="str">
        <f ca="1">IFERROR(__xludf.DUMMYFUNCTION("GOOGLETRANSLATE(C556,""ja"",""vi"")"),"Đấu giá&gt; làm đẹp, chăm sóc sức khỏe&gt; ​​hàng thư giãn&gt; tinh dầu&gt; Lavender")</f>
        <v>Đấu giá&gt; làm đẹp, chăm sóc sức khỏe&gt; ​​hàng thư giãn&gt; tinh dầu&gt; Lavender</v>
      </c>
      <c r="G556" t="str">
        <f t="shared" ca="1" si="8"/>
        <v>"2084213835" : "cây oải hương",</v>
      </c>
    </row>
    <row r="557" spans="1:7" ht="15.75" customHeight="1">
      <c r="A557" s="28">
        <v>2084213832</v>
      </c>
      <c r="B557" s="28" t="s">
        <v>22079</v>
      </c>
      <c r="C557" s="28" t="s">
        <v>22081</v>
      </c>
      <c r="D557" s="28" t="s">
        <v>22082</v>
      </c>
      <c r="E557" s="4" t="str">
        <f ca="1">IFERROR(__xludf.DUMMYFUNCTION("GOOGLETRANSLATE(B557,""ja"",""vi"")"),"cộng sả")</f>
        <v>cộng sả</v>
      </c>
      <c r="F557" s="4" t="str">
        <f ca="1">IFERROR(__xludf.DUMMYFUNCTION("GOOGLETRANSLATE(C557,""ja"",""vi"")"),"Đấu giá&gt; làm đẹp, chăm sóc sức khỏe&gt; ​​hàng thư giãn&gt; tinh dầu&gt; sả")</f>
        <v>Đấu giá&gt; làm đẹp, chăm sóc sức khỏe&gt; ​​hàng thư giãn&gt; tinh dầu&gt; sả</v>
      </c>
      <c r="G557" t="str">
        <f t="shared" ca="1" si="8"/>
        <v>"2084213832" : "cộng sả",</v>
      </c>
    </row>
    <row r="558" spans="1:7" ht="15.75" customHeight="1">
      <c r="A558" s="28">
        <v>2084228351</v>
      </c>
      <c r="B558" s="28" t="s">
        <v>22084</v>
      </c>
      <c r="C558" s="28" t="s">
        <v>22085</v>
      </c>
      <c r="D558" s="28" t="s">
        <v>22086</v>
      </c>
      <c r="E558" s="4" t="str">
        <f ca="1">IFERROR(__xludf.DUMMYFUNCTION("GOOGLETRANSLATE(B558,""ja"",""vi"")"),"cây mê điệt")</f>
        <v>cây mê điệt</v>
      </c>
      <c r="F558" s="4" t="str">
        <f ca="1">IFERROR(__xludf.DUMMYFUNCTION("GOOGLETRANSLATE(C558,""ja"",""vi"")"),"Đấu giá&gt; làm đẹp, chăm sóc sức khỏe&gt; ​​hàng thư giãn&gt; tinh dầu&gt; Rosemary")</f>
        <v>Đấu giá&gt; làm đẹp, chăm sóc sức khỏe&gt; ​​hàng thư giãn&gt; tinh dầu&gt; Rosemary</v>
      </c>
      <c r="G558" t="str">
        <f t="shared" ca="1" si="8"/>
        <v>"2084228351" : "cây mê điệt",</v>
      </c>
    </row>
    <row r="559" spans="1:7" ht="15.75" customHeight="1">
      <c r="A559" s="28">
        <v>2084213838</v>
      </c>
      <c r="B559" s="28" t="s">
        <v>22088</v>
      </c>
      <c r="C559" s="28" t="s">
        <v>22089</v>
      </c>
      <c r="D559" s="28" t="s">
        <v>22090</v>
      </c>
      <c r="E559" s="4" t="str">
        <f ca="1">IFERROR(__xludf.DUMMYFUNCTION("GOOGLETRANSLATE(B559,""ja"",""vi"")"),"dầu Carrier")</f>
        <v>dầu Carrier</v>
      </c>
      <c r="F559" s="4" t="str">
        <f ca="1">IFERROR(__xludf.DUMMYFUNCTION("GOOGLETRANSLATE(C559,""ja"",""vi"")"),"Đấu giá&gt; làm đẹp, chăm sóc sức khỏe&gt; ​​hàng thư giãn&gt; tinh dầu&gt; dầu hãng")</f>
        <v>Đấu giá&gt; làm đẹp, chăm sóc sức khỏe&gt; ​​hàng thư giãn&gt; tinh dầu&gt; dầu hãng</v>
      </c>
      <c r="G559" t="str">
        <f t="shared" ca="1" si="8"/>
        <v>"2084213838" : "dầu Carrier",</v>
      </c>
    </row>
    <row r="560" spans="1:7" ht="15.75" customHeight="1">
      <c r="A560" s="28">
        <v>2084213837</v>
      </c>
      <c r="B560" s="28" t="s">
        <v>46</v>
      </c>
      <c r="C560" s="28" t="s">
        <v>22092</v>
      </c>
      <c r="D560" s="28" t="s">
        <v>22094</v>
      </c>
      <c r="E560" s="4" t="str">
        <f ca="1">IFERROR(__xludf.DUMMYFUNCTION("GOOGLETRANSLATE(B560,""ja"",""vi"")"),"nếu không thì")</f>
        <v>nếu không thì</v>
      </c>
      <c r="F560" s="4" t="str">
        <f ca="1">IFERROR(__xludf.DUMMYFUNCTION("GOOGLETRANSLATE(C560,""ja"",""vi"")"),"Đấu giá&gt; làm đẹp, chăm sóc sức khỏe&gt; ​​hàng thư giãn&gt; tinh dầu&gt; Khác")</f>
        <v>Đấu giá&gt; làm đẹp, chăm sóc sức khỏe&gt; ​​hàng thư giãn&gt; tinh dầu&gt; Khác</v>
      </c>
      <c r="G560" t="str">
        <f t="shared" ca="1" si="8"/>
        <v>"2084213837" : "nếu không thì",</v>
      </c>
    </row>
    <row r="561" spans="1:7" ht="15.75" customHeight="1">
      <c r="A561" s="36">
        <v>2084302060</v>
      </c>
      <c r="B561" s="36" t="s">
        <v>22095</v>
      </c>
      <c r="C561" s="36" t="s">
        <v>22096</v>
      </c>
      <c r="D561" s="36" t="s">
        <v>22097</v>
      </c>
      <c r="E561" s="4" t="str">
        <f ca="1">IFERROR(__xludf.DUMMYFUNCTION("GOOGLETRANSLATE(B561,""ja"",""vi"")"),"apricot kernel")</f>
        <v>apricot kernel</v>
      </c>
      <c r="F561" s="4" t="str">
        <f ca="1">IFERROR(__xludf.DUMMYFUNCTION("GOOGLETRANSLATE(C561,""ja"",""vi"")"),"Đấu giá&gt; làm đẹp, chăm sóc sức khỏe&gt; ​​hàng thư giãn&gt; loại dầu nền&gt; kernel Apricot")</f>
        <v>Đấu giá&gt; làm đẹp, chăm sóc sức khỏe&gt; ​​hàng thư giãn&gt; loại dầu nền&gt; kernel Apricot</v>
      </c>
      <c r="G561" t="str">
        <f t="shared" ca="1" si="8"/>
        <v>"2084302060" : "apricot kernel",</v>
      </c>
    </row>
    <row r="562" spans="1:7" ht="15.75" customHeight="1">
      <c r="A562" s="28">
        <v>2084302061</v>
      </c>
      <c r="B562" s="28" t="s">
        <v>22100</v>
      </c>
      <c r="C562" s="28" t="s">
        <v>22101</v>
      </c>
      <c r="D562" s="28" t="s">
        <v>22102</v>
      </c>
      <c r="E562" s="4" t="str">
        <f ca="1">IFERROR(__xludf.DUMMYFUNCTION("GOOGLETRANSLATE(B562,""ja"",""vi"")"),"trái bơ")</f>
        <v>trái bơ</v>
      </c>
      <c r="F562" s="4" t="str">
        <f ca="1">IFERROR(__xludf.DUMMYFUNCTION("GOOGLETRANSLATE(C562,""ja"",""vi"")"),"Đấu giá&gt; làm đẹp, chăm sóc sức khỏe&gt; ​​hàng thư giãn&gt; dầu hãng&gt; bơ")</f>
        <v>Đấu giá&gt; làm đẹp, chăm sóc sức khỏe&gt; ​​hàng thư giãn&gt; dầu hãng&gt; bơ</v>
      </c>
      <c r="G562" t="str">
        <f t="shared" ca="1" si="8"/>
        <v>"2084302061" : "trái bơ",</v>
      </c>
    </row>
    <row r="563" spans="1:7" ht="15.75" customHeight="1">
      <c r="A563" s="28">
        <v>2084302054</v>
      </c>
      <c r="B563" s="28" t="s">
        <v>22104</v>
      </c>
      <c r="C563" s="28" t="s">
        <v>22106</v>
      </c>
      <c r="D563" s="28" t="s">
        <v>22107</v>
      </c>
      <c r="E563" s="4" t="str">
        <f ca="1">IFERROR(__xludf.DUMMYFUNCTION("GOOGLETRANSLATE(B563,""ja"",""vi"")"),"hạt nho")</f>
        <v>hạt nho</v>
      </c>
      <c r="F563" s="4" t="str">
        <f ca="1">IFERROR(__xludf.DUMMYFUNCTION("GOOGLETRANSLATE(C563,""ja"",""vi"")"),"Đấu giá&gt; làm đẹp, chăm sóc sức khỏe&gt; ​​hàng thư giãn&gt; dầu hãng&gt; hạt nho")</f>
        <v>Đấu giá&gt; làm đẹp, chăm sóc sức khỏe&gt; ​​hàng thư giãn&gt; dầu hãng&gt; hạt nho</v>
      </c>
      <c r="G563" t="str">
        <f t="shared" ca="1" si="8"/>
        <v>"2084302054" : "hạt nho",</v>
      </c>
    </row>
    <row r="564" spans="1:7" ht="15.75" customHeight="1">
      <c r="A564" s="28">
        <v>2084302063</v>
      </c>
      <c r="B564" s="28" t="s">
        <v>22109</v>
      </c>
      <c r="C564" s="28" t="s">
        <v>22110</v>
      </c>
      <c r="D564" s="28" t="s">
        <v>22112</v>
      </c>
      <c r="E564" s="4" t="str">
        <f ca="1">IFERROR(__xludf.DUMMYFUNCTION("GOOGLETRANSLATE(B564,""ja"",""vi"")"),"dừa")</f>
        <v>dừa</v>
      </c>
      <c r="F564" s="4" t="str">
        <f ca="1">IFERROR(__xludf.DUMMYFUNCTION("GOOGLETRANSLATE(C564,""ja"",""vi"")"),"Đấu giá&gt; làm đẹp, chăm sóc sức khỏe&gt; ​​hàng thư giãn&gt; dầu hãng&gt; dừa")</f>
        <v>Đấu giá&gt; làm đẹp, chăm sóc sức khỏe&gt; ​​hàng thư giãn&gt; dầu hãng&gt; dừa</v>
      </c>
      <c r="G564" t="str">
        <f t="shared" ca="1" si="8"/>
        <v>"2084302063" : "dừa",</v>
      </c>
    </row>
    <row r="565" spans="1:7" ht="15.75" customHeight="1">
      <c r="A565" s="28">
        <v>2084302057</v>
      </c>
      <c r="B565" s="28" t="s">
        <v>22114</v>
      </c>
      <c r="C565" s="28" t="s">
        <v>22116</v>
      </c>
      <c r="D565" s="28" t="s">
        <v>22117</v>
      </c>
      <c r="E565" s="4" t="str">
        <f ca="1">IFERROR(__xludf.DUMMYFUNCTION("GOOGLETRANSLATE(B565,""ja"",""vi"")"),"sweet almond")</f>
        <v>sweet almond</v>
      </c>
      <c r="F565" s="4" t="str">
        <f ca="1">IFERROR(__xludf.DUMMYFUNCTION("GOOGLETRANSLATE(C565,""ja"",""vi"")"),"Đấu giá&gt; làm đẹp, chăm sóc sức khỏe&gt; ​​hàng thư giãn&gt; dầu hãng&gt; hạnh nhân ngọt ngào")</f>
        <v>Đấu giá&gt; làm đẹp, chăm sóc sức khỏe&gt; ​​hàng thư giãn&gt; dầu hãng&gt; hạnh nhân ngọt ngào</v>
      </c>
      <c r="G565" t="str">
        <f t="shared" ca="1" si="8"/>
        <v>"2084302057" : "sweet almond",</v>
      </c>
    </row>
    <row r="566" spans="1:7" ht="15.75" customHeight="1">
      <c r="A566" s="28">
        <v>2084302055</v>
      </c>
      <c r="B566" s="28" t="s">
        <v>22119</v>
      </c>
      <c r="C566" s="28" t="s">
        <v>22120</v>
      </c>
      <c r="D566" s="28" t="s">
        <v>22121</v>
      </c>
      <c r="E566" s="4" t="str">
        <f ca="1">IFERROR(__xludf.DUMMYFUNCTION("GOOGLETRANSLATE(B566,""ja"",""vi"")"),"Squalane")</f>
        <v>Squalane</v>
      </c>
      <c r="F566" s="4" t="str">
        <f ca="1">IFERROR(__xludf.DUMMYFUNCTION("GOOGLETRANSLATE(C566,""ja"",""vi"")"),"Đấu giá&gt; làm đẹp, chăm sóc sức khỏe&gt; ​​hàng thư giãn&gt; dầu hãng&gt; Squalane")</f>
        <v>Đấu giá&gt; làm đẹp, chăm sóc sức khỏe&gt; ​​hàng thư giãn&gt; dầu hãng&gt; Squalane</v>
      </c>
      <c r="G566" t="str">
        <f t="shared" ca="1" si="8"/>
        <v>"2084302055" : "Squalane",</v>
      </c>
    </row>
    <row r="567" spans="1:7" ht="15.75" customHeight="1">
      <c r="A567" s="28">
        <v>2084302058</v>
      </c>
      <c r="B567" s="28" t="s">
        <v>22123</v>
      </c>
      <c r="C567" s="28" t="s">
        <v>22124</v>
      </c>
      <c r="D567" s="28" t="s">
        <v>22125</v>
      </c>
      <c r="E567" s="4" t="str">
        <f ca="1">IFERROR(__xludf.DUMMYFUNCTION("GOOGLETRANSLATE(B567,""ja"",""vi"")"),"vừng")</f>
        <v>vừng</v>
      </c>
      <c r="F567" s="4" t="str">
        <f ca="1">IFERROR(__xludf.DUMMYFUNCTION("GOOGLETRANSLATE(C567,""ja"",""vi"")"),"Đấu giá&gt; làm đẹp, chăm sóc sức khỏe&gt; ​​hàng thư giãn&gt; dầu hãng&gt; Sesame")</f>
        <v>Đấu giá&gt; làm đẹp, chăm sóc sức khỏe&gt; ​​hàng thư giãn&gt; dầu hãng&gt; Sesame</v>
      </c>
      <c r="G567" t="str">
        <f t="shared" ca="1" si="8"/>
        <v>"2084302058" : "vừng",</v>
      </c>
    </row>
    <row r="568" spans="1:7" ht="15.75" customHeight="1">
      <c r="A568" s="28">
        <v>2084302062</v>
      </c>
      <c r="B568" s="28" t="s">
        <v>22127</v>
      </c>
      <c r="C568" s="28" t="s">
        <v>22128</v>
      </c>
      <c r="D568" s="28" t="s">
        <v>22129</v>
      </c>
      <c r="E568" s="4" t="str">
        <f ca="1">IFERROR(__xludf.DUMMYFUNCTION("GOOGLETRANSLATE(B568,""ja"",""vi"")"),"dầu Camellia")</f>
        <v>dầu Camellia</v>
      </c>
      <c r="F568" s="4" t="str">
        <f ca="1">IFERROR(__xludf.DUMMYFUNCTION("GOOGLETRANSLATE(C568,""ja"",""vi"")"),"Đấu giá&gt; làm đẹp, chăm sóc sức khỏe&gt; ​​hàng thư giãn&gt; dầu hãng&gt; dầu camellia")</f>
        <v>Đấu giá&gt; làm đẹp, chăm sóc sức khỏe&gt; ​​hàng thư giãn&gt; dầu hãng&gt; dầu camellia</v>
      </c>
      <c r="G568" t="str">
        <f t="shared" ca="1" si="8"/>
        <v>"2084302062" : "dầu Camellia",</v>
      </c>
    </row>
    <row r="569" spans="1:7" ht="15.75" customHeight="1">
      <c r="A569" s="28">
        <v>2084302056</v>
      </c>
      <c r="B569" s="28" t="s">
        <v>22132</v>
      </c>
      <c r="C569" s="28" t="s">
        <v>22133</v>
      </c>
      <c r="D569" s="28" t="s">
        <v>22134</v>
      </c>
      <c r="E569" s="4" t="str">
        <f ca="1">IFERROR(__xludf.DUMMYFUNCTION("GOOGLETRANSLATE(B569,""ja"",""vi"")"),"jojoba")</f>
        <v>jojoba</v>
      </c>
      <c r="F569" s="4" t="str">
        <f ca="1">IFERROR(__xludf.DUMMYFUNCTION("GOOGLETRANSLATE(C569,""ja"",""vi"")"),"Đấu giá&gt; làm đẹp, chăm sóc sức khỏe&gt; ​​hàng thư giãn&gt; loại dầu nền&gt; Jojoba")</f>
        <v>Đấu giá&gt; làm đẹp, chăm sóc sức khỏe&gt; ​​hàng thư giãn&gt; loại dầu nền&gt; Jojoba</v>
      </c>
      <c r="G569" t="str">
        <f t="shared" ca="1" si="8"/>
        <v>"2084302056" : "jojoba",</v>
      </c>
    </row>
    <row r="570" spans="1:7" ht="15.75" customHeight="1">
      <c r="A570" s="28">
        <v>2084302059</v>
      </c>
      <c r="B570" s="28" t="s">
        <v>22137</v>
      </c>
      <c r="C570" s="28" t="s">
        <v>22138</v>
      </c>
      <c r="D570" s="28" t="s">
        <v>22139</v>
      </c>
      <c r="E570" s="4" t="str">
        <f ca="1">IFERROR(__xludf.DUMMYFUNCTION("GOOGLETRANSLATE(B570,""ja"",""vi"")"),"hông Rose")</f>
        <v>hông Rose</v>
      </c>
      <c r="F570" s="4" t="str">
        <f ca="1">IFERROR(__xludf.DUMMYFUNCTION("GOOGLETRANSLATE(C570,""ja"",""vi"")"),"Đấu giá&gt; làm đẹp, chăm sóc sức khỏe&gt; ​​hàng thư giãn&gt; dầu hãng&gt; tăng hip")</f>
        <v>Đấu giá&gt; làm đẹp, chăm sóc sức khỏe&gt; ​​hàng thư giãn&gt; dầu hãng&gt; tăng hip</v>
      </c>
      <c r="G570" t="str">
        <f t="shared" ca="1" si="8"/>
        <v>"2084302059" : "hông Rose",</v>
      </c>
    </row>
    <row r="571" spans="1:7" ht="15.75" customHeight="1">
      <c r="A571" s="28">
        <v>2084302064</v>
      </c>
      <c r="B571" s="28" t="s">
        <v>22141</v>
      </c>
      <c r="C571" s="28" t="s">
        <v>22142</v>
      </c>
      <c r="D571" s="28" t="s">
        <v>22144</v>
      </c>
      <c r="E571" s="4" t="str">
        <f ca="1">IFERROR(__xludf.DUMMYFUNCTION("GOOGLETRANSLATE(B571,""ja"",""vi"")"),"dầu hãng khác")</f>
        <v>dầu hãng khác</v>
      </c>
      <c r="F571" s="4" t="str">
        <f ca="1">IFERROR(__xludf.DUMMYFUNCTION("GOOGLETRANSLATE(C571,""ja"",""vi"")"),"Đấu giá&gt; làm đẹp, chăm sóc sức khỏe&gt; ​​hàng thư giãn&gt; dầu hãng&gt; dầu hãng khác")</f>
        <v>Đấu giá&gt; làm đẹp, chăm sóc sức khỏe&gt; ​​hàng thư giãn&gt; dầu hãng&gt; dầu hãng khác</v>
      </c>
      <c r="G571" t="str">
        <f t="shared" ca="1" si="8"/>
        <v>"2084302064" : "dầu hãng khác",</v>
      </c>
    </row>
    <row r="572" spans="1:7" ht="15.75" customHeight="1">
      <c r="A572" s="36">
        <v>2084213843</v>
      </c>
      <c r="B572" s="36" t="s">
        <v>22145</v>
      </c>
      <c r="C572" s="36" t="s">
        <v>22146</v>
      </c>
      <c r="D572" s="36" t="s">
        <v>22147</v>
      </c>
      <c r="E572" s="4" t="str">
        <f ca="1">IFERROR(__xludf.DUMMYFUNCTION("GOOGLETRANSLATE(B572,""ja"",""vi"")"),"Aroma Diffuser")</f>
        <v>Aroma Diffuser</v>
      </c>
      <c r="F572" s="4" t="str">
        <f ca="1">IFERROR(__xludf.DUMMYFUNCTION("GOOGLETRANSLATE(C572,""ja"",""vi"")"),"Đấu giá&gt; làm đẹp, chăm sóc sức khỏe&gt; ​​hàng thư giãn&gt; tàu thơm&gt; hương thơm khuếch tán")</f>
        <v>Đấu giá&gt; làm đẹp, chăm sóc sức khỏe&gt; ​​hàng thư giãn&gt; tàu thơm&gt; hương thơm khuếch tán</v>
      </c>
      <c r="G572" t="str">
        <f t="shared" ca="1" si="8"/>
        <v>"2084213843" : "Aroma Diffuser",</v>
      </c>
    </row>
    <row r="573" spans="1:7" ht="15.75" customHeight="1">
      <c r="A573" s="28">
        <v>2084213842</v>
      </c>
      <c r="B573" s="28" t="s">
        <v>22150</v>
      </c>
      <c r="C573" s="28" t="s">
        <v>22151</v>
      </c>
      <c r="D573" s="28" t="s">
        <v>22152</v>
      </c>
      <c r="E573" s="4" t="str">
        <f ca="1">IFERROR(__xludf.DUMMYFUNCTION("GOOGLETRANSLATE(B573,""ja"",""vi"")"),"Aroma nồi")</f>
        <v>Aroma nồi</v>
      </c>
      <c r="F573" s="4" t="str">
        <f ca="1">IFERROR(__xludf.DUMMYFUNCTION("GOOGLETRANSLATE(C573,""ja"",""vi"")"),"Đấu giá&gt; làm đẹp, chăm sóc sức khỏe&gt; ​​hàng thư giãn&gt; tàu thơm&gt; nồi hương thơm")</f>
        <v>Đấu giá&gt; làm đẹp, chăm sóc sức khỏe&gt; ​​hàng thư giãn&gt; tàu thơm&gt; nồi hương thơm</v>
      </c>
      <c r="G573" t="str">
        <f t="shared" ca="1" si="8"/>
        <v>"2084213842" : "Aroma nồi",</v>
      </c>
    </row>
    <row r="574" spans="1:7" ht="15.75" customHeight="1">
      <c r="A574" s="28">
        <v>2084213841</v>
      </c>
      <c r="B574" s="28" t="s">
        <v>5870</v>
      </c>
      <c r="C574" s="28" t="s">
        <v>22154</v>
      </c>
      <c r="D574" s="28" t="s">
        <v>22155</v>
      </c>
      <c r="E574" s="4" t="str">
        <f ca="1">IFERROR(__xludf.DUMMYFUNCTION("GOOGLETRANSLATE(B574,""ja"",""vi"")"),"Aroma ánh sáng, đèn")</f>
        <v>Aroma ánh sáng, đèn</v>
      </c>
      <c r="F574" s="4" t="str">
        <f ca="1">IFERROR(__xludf.DUMMYFUNCTION("GOOGLETRANSLATE(C574,""ja"",""vi"")"),"Đấu giá&gt; làm đẹp, chăm sóc sức khỏe&gt; ​​hàng thư giãn&gt; tàu thơm&gt; ánh sáng hương thơm, đèn")</f>
        <v>Đấu giá&gt; làm đẹp, chăm sóc sức khỏe&gt; ​​hàng thư giãn&gt; tàu thơm&gt; ánh sáng hương thơm, đèn</v>
      </c>
      <c r="G574" t="str">
        <f t="shared" ca="1" si="8"/>
        <v>"2084213841" : "Aroma ánh sáng, đèn",</v>
      </c>
    </row>
    <row r="575" spans="1:7" ht="15.75" customHeight="1">
      <c r="A575" s="28">
        <v>2084213844</v>
      </c>
      <c r="B575" s="28" t="s">
        <v>22158</v>
      </c>
      <c r="C575" s="28" t="s">
        <v>22159</v>
      </c>
      <c r="D575" s="28" t="s">
        <v>22160</v>
      </c>
      <c r="E575" s="4" t="str">
        <f ca="1">IFERROR(__xludf.DUMMYFUNCTION("GOOGLETRANSLATE(B575,""ja"",""vi"")"),"nồi dầu")</f>
        <v>nồi dầu</v>
      </c>
      <c r="F575" s="4" t="str">
        <f ca="1">IFERROR(__xludf.DUMMYFUNCTION("GOOGLETRANSLATE(C575,""ja"",""vi"")"),"Đấu giá&gt; làm đẹp, chăm sóc sức khỏe&gt; ​​hàng thư giãn&gt; tàu thơm&gt; nồi dầu")</f>
        <v>Đấu giá&gt; làm đẹp, chăm sóc sức khỏe&gt; ​​hàng thư giãn&gt; tàu thơm&gt; nồi dầu</v>
      </c>
      <c r="G575" t="str">
        <f t="shared" ca="1" si="8"/>
        <v>"2084213844" : "nồi dầu",</v>
      </c>
    </row>
    <row r="576" spans="1:7" ht="15.75" customHeight="1">
      <c r="A576" s="28">
        <v>2084063435</v>
      </c>
      <c r="B576" s="28" t="s">
        <v>20214</v>
      </c>
      <c r="C576" s="28" t="s">
        <v>22163</v>
      </c>
      <c r="D576" s="28" t="s">
        <v>22165</v>
      </c>
      <c r="E576" s="4" t="str">
        <f ca="1">IFERROR(__xludf.DUMMYFUNCTION("GOOGLETRANSLATE(B576,""ja"",""vi"")"),"người đốt nhang")</f>
        <v>người đốt nhang</v>
      </c>
      <c r="F576" s="4" t="str">
        <f ca="1">IFERROR(__xludf.DUMMYFUNCTION("GOOGLETRANSLATE(C576,""ja"",""vi"")"),"Đấu giá&gt; làm đẹp, chăm sóc sức khỏe&gt; ​​hàng thư giãn&gt; tàu thơm&gt; lư hương")</f>
        <v>Đấu giá&gt; làm đẹp, chăm sóc sức khỏe&gt; ​​hàng thư giãn&gt; tàu thơm&gt; lư hương</v>
      </c>
      <c r="G576" t="str">
        <f t="shared" ca="1" si="8"/>
        <v>"2084063435" : "người đốt nhang",</v>
      </c>
    </row>
    <row r="577" spans="1:7" ht="15.75" customHeight="1">
      <c r="A577" s="28">
        <v>2084213845</v>
      </c>
      <c r="B577" s="28" t="s">
        <v>46</v>
      </c>
      <c r="C577" s="28" t="s">
        <v>22168</v>
      </c>
      <c r="D577" s="28" t="s">
        <v>22169</v>
      </c>
      <c r="E577" s="4" t="str">
        <f ca="1">IFERROR(__xludf.DUMMYFUNCTION("GOOGLETRANSLATE(B577,""ja"",""vi"")"),"nếu không thì")</f>
        <v>nếu không thì</v>
      </c>
      <c r="F577" s="4" t="str">
        <f ca="1">IFERROR(__xludf.DUMMYFUNCTION("GOOGLETRANSLATE(C577,""ja"",""vi"")"),"Đấu giá&gt; làm đẹp, chăm sóc sức khỏe&gt; ​​hàng thư giãn&gt; tàu thơm&gt; Khác")</f>
        <v>Đấu giá&gt; làm đẹp, chăm sóc sức khỏe&gt; ​​hàng thư giãn&gt; tàu thơm&gt; Khác</v>
      </c>
      <c r="G577" t="str">
        <f t="shared" ca="1" si="8"/>
        <v>"2084213845" : "nếu không thì",</v>
      </c>
    </row>
    <row r="578" spans="1:7" ht="15.75" customHeight="1">
      <c r="A578" s="36">
        <v>2084063429</v>
      </c>
      <c r="B578" s="36" t="s">
        <v>3138</v>
      </c>
      <c r="C578" s="36" t="s">
        <v>20205</v>
      </c>
      <c r="D578" s="36" t="s">
        <v>21577</v>
      </c>
      <c r="E578" s="4" t="str">
        <f ca="1">IFERROR(__xludf.DUMMYFUNCTION("GOOGLETRANSLATE(B578,""ja"",""vi"")"),"bộ")</f>
        <v>bộ</v>
      </c>
      <c r="F578" s="4" t="str">
        <f ca="1">IFERROR(__xludf.DUMMYFUNCTION("GOOGLETRANSLATE(C578,""ja"",""vi"")"),"Đấu giá&gt; làm đẹp, chăm sóc sức khỏe&gt; ​​hàng thư giãn&gt; hương, hương burner&gt; bộ")</f>
        <v>Đấu giá&gt; làm đẹp, chăm sóc sức khỏe&gt; ​​hàng thư giãn&gt; hương, hương burner&gt; bộ</v>
      </c>
      <c r="G578" t="str">
        <f t="shared" ref="G578:G641" ca="1" si="9">CONCATENATE(CHAR(34)&amp;"",A578,""&amp;CHAR(34)," : ", CHAR(34)&amp;"",E578,""&amp;CHAR(34),",")</f>
        <v>"2084063429" : "bộ",</v>
      </c>
    </row>
    <row r="579" spans="1:7" ht="15.75" customHeight="1">
      <c r="A579" s="28">
        <v>2084063431</v>
      </c>
      <c r="B579" s="28" t="s">
        <v>20207</v>
      </c>
      <c r="C579" s="28" t="s">
        <v>20209</v>
      </c>
      <c r="D579" s="28" t="s">
        <v>21579</v>
      </c>
      <c r="E579" s="4" t="str">
        <f ca="1">IFERROR(__xludf.DUMMYFUNCTION("GOOGLETRANSLATE(B579,""ja"",""vi"")"),"hương")</f>
        <v>hương</v>
      </c>
      <c r="F579" s="4" t="str">
        <f ca="1">IFERROR(__xludf.DUMMYFUNCTION("GOOGLETRANSLATE(C579,""ja"",""vi"")"),"Đấu giá&gt; làm đẹp, chăm sóc sức khỏe&gt; ​​hàng thư giãn&gt; hương, hương burner&gt; Hương")</f>
        <v>Đấu giá&gt; làm đẹp, chăm sóc sức khỏe&gt; ​​hàng thư giãn&gt; hương, hương burner&gt; Hương</v>
      </c>
      <c r="G579" t="str">
        <f t="shared" ca="1" si="9"/>
        <v>"2084063431" : "hương",</v>
      </c>
    </row>
    <row r="580" spans="1:7" ht="15.75" customHeight="1">
      <c r="A580" s="28">
        <v>2084063435</v>
      </c>
      <c r="B580" s="28" t="s">
        <v>20214</v>
      </c>
      <c r="C580" s="28" t="s">
        <v>20215</v>
      </c>
      <c r="D580" s="28" t="s">
        <v>21582</v>
      </c>
      <c r="E580" s="4" t="str">
        <f ca="1">IFERROR(__xludf.DUMMYFUNCTION("GOOGLETRANSLATE(B580,""ja"",""vi"")"),"người đốt nhang")</f>
        <v>người đốt nhang</v>
      </c>
      <c r="F580" s="4" t="str">
        <f ca="1">IFERROR(__xludf.DUMMYFUNCTION("GOOGLETRANSLATE(C580,""ja"",""vi"")"),"Đấu giá&gt; làm đẹp, chăm sóc sức khỏe&gt; ​​hàng thư giãn&gt; hương, hương burner&gt; lư hương")</f>
        <v>Đấu giá&gt; làm đẹp, chăm sóc sức khỏe&gt; ​​hàng thư giãn&gt; hương, hương burner&gt; lư hương</v>
      </c>
      <c r="G580" t="str">
        <f t="shared" ca="1" si="9"/>
        <v>"2084063435" : "người đốt nhang",</v>
      </c>
    </row>
    <row r="581" spans="1:7" ht="15.75" customHeight="1">
      <c r="A581" s="28">
        <v>2084024423</v>
      </c>
      <c r="B581" s="28" t="s">
        <v>20221</v>
      </c>
      <c r="C581" s="28" t="s">
        <v>20222</v>
      </c>
      <c r="D581" s="28" t="s">
        <v>21584</v>
      </c>
      <c r="E581" s="4" t="str">
        <f ca="1">IFERROR(__xludf.DUMMYFUNCTION("GOOGLETRANSLATE(B581,""ja"",""vi"")"),"nến hương liệu")</f>
        <v>nến hương liệu</v>
      </c>
      <c r="F581" s="4" t="str">
        <f ca="1">IFERROR(__xludf.DUMMYFUNCTION("GOOGLETRANSLATE(C581,""ja"",""vi"")"),"Đấu giá&gt; làm đẹp, chăm sóc sức khỏe&gt; ​​hàng thư giãn&gt; hương, hương burner&gt; Nến thơm")</f>
        <v>Đấu giá&gt; làm đẹp, chăm sóc sức khỏe&gt; ​​hàng thư giãn&gt; hương, hương burner&gt; Nến thơm</v>
      </c>
      <c r="G581" t="str">
        <f t="shared" ca="1" si="9"/>
        <v>"2084024423" : "nến hương liệu",</v>
      </c>
    </row>
    <row r="582" spans="1:7" ht="15.75" customHeight="1">
      <c r="A582" s="28">
        <v>2084062802</v>
      </c>
      <c r="B582" s="28" t="s">
        <v>10179</v>
      </c>
      <c r="C582" s="28" t="s">
        <v>20227</v>
      </c>
      <c r="D582" s="28" t="s">
        <v>21586</v>
      </c>
      <c r="E582" s="4" t="str">
        <f ca="1">IFERROR(__xludf.DUMMYFUNCTION("GOOGLETRANSLATE(B582,""ja"",""vi"")"),"nhang muỗi")</f>
        <v>nhang muỗi</v>
      </c>
      <c r="F582" s="4" t="str">
        <f ca="1">IFERROR(__xludf.DUMMYFUNCTION("GOOGLETRANSLATE(C582,""ja"",""vi"")"),"Đấu giá&gt; làm đẹp, chăm sóc sức khỏe&gt; ​​hàng thư giãn&gt; hương, hương burner&gt; cuộn dây muỗi")</f>
        <v>Đấu giá&gt; làm đẹp, chăm sóc sức khỏe&gt; ​​hàng thư giãn&gt; hương, hương burner&gt; cuộn dây muỗi</v>
      </c>
      <c r="G582" t="str">
        <f t="shared" ca="1" si="9"/>
        <v>"2084062802" : "nhang muỗi",</v>
      </c>
    </row>
    <row r="583" spans="1:7" ht="15.75" customHeight="1">
      <c r="A583" s="28">
        <v>2084063445</v>
      </c>
      <c r="B583" s="28" t="s">
        <v>20237</v>
      </c>
      <c r="C583" s="28" t="s">
        <v>20239</v>
      </c>
      <c r="D583" s="28" t="s">
        <v>21589</v>
      </c>
      <c r="E583" s="4" t="str">
        <f ca="1">IFERROR(__xludf.DUMMYFUNCTION("GOOGLETRANSLATE(B583,""ja"",""vi"")"),"thanh hương")</f>
        <v>thanh hương</v>
      </c>
      <c r="F583" s="4" t="str">
        <f ca="1">IFERROR(__xludf.DUMMYFUNCTION("GOOGLETRANSLATE(C583,""ja"",""vi"")"),"Đấu giá&gt; làm đẹp, chăm sóc sức khỏe&gt; ​​hàng thư giãn&gt; hương, hương burner&gt; hương")</f>
        <v>Đấu giá&gt; làm đẹp, chăm sóc sức khỏe&gt; ​​hàng thư giãn&gt; hương, hương burner&gt; hương</v>
      </c>
      <c r="G583" t="str">
        <f t="shared" ca="1" si="9"/>
        <v>"2084063445" : "thanh hương",</v>
      </c>
    </row>
    <row r="584" spans="1:7" ht="15.75" customHeight="1">
      <c r="A584" s="28">
        <v>2084063439</v>
      </c>
      <c r="B584" s="28" t="s">
        <v>46</v>
      </c>
      <c r="C584" s="28" t="s">
        <v>20244</v>
      </c>
      <c r="D584" s="28" t="s">
        <v>21591</v>
      </c>
      <c r="E584" s="4" t="str">
        <f ca="1">IFERROR(__xludf.DUMMYFUNCTION("GOOGLETRANSLATE(B584,""ja"",""vi"")"),"nếu không thì")</f>
        <v>nếu không thì</v>
      </c>
      <c r="F584" s="4" t="str">
        <f ca="1">IFERROR(__xludf.DUMMYFUNCTION("GOOGLETRANSLATE(C584,""ja"",""vi"")"),"Đấu giá&gt; làm đẹp, chăm sóc sức khỏe&gt; ​​hàng thư giãn&gt; hương, hương burner&gt; Khác")</f>
        <v>Đấu giá&gt; làm đẹp, chăm sóc sức khỏe&gt; ​​hàng thư giãn&gt; hương, hương burner&gt; Khác</v>
      </c>
      <c r="G584" t="str">
        <f t="shared" ca="1" si="9"/>
        <v>"2084063439" : "nếu không thì",</v>
      </c>
    </row>
    <row r="585" spans="1:7" ht="15.75" customHeight="1">
      <c r="A585" s="36">
        <v>2084044975</v>
      </c>
      <c r="B585" s="36" t="s">
        <v>4263</v>
      </c>
      <c r="C585" s="36" t="s">
        <v>4265</v>
      </c>
      <c r="D585" s="36" t="s">
        <v>22186</v>
      </c>
      <c r="E585" s="4" t="str">
        <f ca="1">IFERROR(__xludf.DUMMYFUNCTION("GOOGLETRANSLATE(B585,""ja"",""vi"")"),"Handy Massager")</f>
        <v>Handy Massager</v>
      </c>
      <c r="F585" s="4" t="str">
        <f ca="1">IFERROR(__xludf.DUMMYFUNCTION("GOOGLETRANSLATE(C585,""ja"",""vi"")"),"Đấu giá&gt; thiết bị điện tử tiêu dùng, AV, camera&gt; vẻ đẹp, sức khỏe&gt; ​​Máy massage&gt; tiện dụng Massager")</f>
        <v>Đấu giá&gt; thiết bị điện tử tiêu dùng, AV, camera&gt; vẻ đẹp, sức khỏe&gt; ​​Máy massage&gt; tiện dụng Massager</v>
      </c>
      <c r="G585" t="str">
        <f t="shared" ca="1" si="9"/>
        <v>"2084044975" : "Handy Massager",</v>
      </c>
    </row>
    <row r="586" spans="1:7" ht="15.75" customHeight="1">
      <c r="A586" s="28">
        <v>2084063421</v>
      </c>
      <c r="B586" s="28" t="s">
        <v>4266</v>
      </c>
      <c r="C586" s="28" t="s">
        <v>4267</v>
      </c>
      <c r="D586" s="28" t="s">
        <v>22190</v>
      </c>
      <c r="E586" s="4" t="str">
        <f ca="1">IFERROR(__xludf.DUMMYFUNCTION("GOOGLETRANSLATE(B586,""ja"",""vi"")"),"foot Bath")</f>
        <v>foot Bath</v>
      </c>
      <c r="F586" s="4" t="str">
        <f ca="1">IFERROR(__xludf.DUMMYFUNCTION("GOOGLETRANSLATE(C586,""ja"",""vi"")"),"Đấu giá&gt; thiết bị điện tử tiêu dùng, AV, camera&gt; vẻ đẹp, sức khỏe&gt; ​​Máy massage&gt; Foot Bath")</f>
        <v>Đấu giá&gt; thiết bị điện tử tiêu dùng, AV, camera&gt; vẻ đẹp, sức khỏe&gt; ​​Máy massage&gt; Foot Bath</v>
      </c>
      <c r="G586" t="str">
        <f t="shared" ca="1" si="9"/>
        <v>"2084063421" : "foot Bath",</v>
      </c>
    </row>
    <row r="587" spans="1:7" ht="15.75" customHeight="1">
      <c r="A587" s="28">
        <v>2084047758</v>
      </c>
      <c r="B587" s="28" t="s">
        <v>4271</v>
      </c>
      <c r="C587" s="28" t="s">
        <v>4272</v>
      </c>
      <c r="D587" s="28" t="s">
        <v>22195</v>
      </c>
      <c r="E587" s="4" t="str">
        <f ca="1">IFERROR(__xludf.DUMMYFUNCTION("GOOGLETRANSLATE(B587,""ja"",""vi"")"),"foot Massager")</f>
        <v>foot Massager</v>
      </c>
      <c r="F587" s="4" t="str">
        <f ca="1">IFERROR(__xludf.DUMMYFUNCTION("GOOGLETRANSLATE(C587,""ja"",""vi"")"),"Đấu giá&gt; thiết bị điện tử tiêu dùng, AV, camera&gt; vẻ đẹp, sức khỏe&gt; ​​Máy massage&gt; Foot Massager")</f>
        <v>Đấu giá&gt; thiết bị điện tử tiêu dùng, AV, camera&gt; vẻ đẹp, sức khỏe&gt; ​​Máy massage&gt; Foot Massager</v>
      </c>
      <c r="G587" t="str">
        <f t="shared" ca="1" si="9"/>
        <v>"2084047758" : "foot Massager",</v>
      </c>
    </row>
    <row r="588" spans="1:7" ht="15.75" customHeight="1">
      <c r="A588" s="28">
        <v>2084044973</v>
      </c>
      <c r="B588" s="28" t="s">
        <v>4275</v>
      </c>
      <c r="C588" s="28" t="s">
        <v>4277</v>
      </c>
      <c r="D588" s="28" t="s">
        <v>22197</v>
      </c>
      <c r="E588" s="4" t="str">
        <f ca="1">IFERROR(__xludf.DUMMYFUNCTION("GOOGLETRANSLATE(B588,""ja"",""vi"")"),"ghế massage")</f>
        <v>ghế massage</v>
      </c>
      <c r="F588" s="4" t="str">
        <f ca="1">IFERROR(__xludf.DUMMYFUNCTION("GOOGLETRANSLATE(C588,""ja"",""vi"")"),"Đấu giá&gt; thiết bị điện tử tiêu dùng, AV, camera&gt; sắc đẹp, sức khỏe&gt; ​​Máy massage&gt; Ghế massage")</f>
        <v>Đấu giá&gt; thiết bị điện tử tiêu dùng, AV, camera&gt; sắc đẹp, sức khỏe&gt; ​​Máy massage&gt; Ghế massage</v>
      </c>
      <c r="G588" t="str">
        <f t="shared" ca="1" si="9"/>
        <v>"2084044973" : "ghế massage",</v>
      </c>
    </row>
    <row r="589" spans="1:7" ht="15.75" customHeight="1">
      <c r="A589" s="28">
        <v>2084044974</v>
      </c>
      <c r="B589" s="28" t="s">
        <v>46</v>
      </c>
      <c r="C589" s="28" t="s">
        <v>4279</v>
      </c>
      <c r="D589" s="28" t="s">
        <v>22200</v>
      </c>
      <c r="E589" s="4" t="str">
        <f ca="1">IFERROR(__xludf.DUMMYFUNCTION("GOOGLETRANSLATE(B589,""ja"",""vi"")"),"nếu không thì")</f>
        <v>nếu không thì</v>
      </c>
      <c r="F589" s="4" t="str">
        <f ca="1">IFERROR(__xludf.DUMMYFUNCTION("GOOGLETRANSLATE(C589,""ja"",""vi"")"),"Đấu giá&gt; thiết bị điện tử tiêu dùng, AV, camera&gt; vẻ đẹp, sức khỏe&gt; ​​Máy massage&gt; Khác")</f>
        <v>Đấu giá&gt; thiết bị điện tử tiêu dùng, AV, camera&gt; vẻ đẹp, sức khỏe&gt; ​​Máy massage&gt; Khác</v>
      </c>
      <c r="G589" t="str">
        <f t="shared" ca="1" si="9"/>
        <v>"2084044974" : "nếu không thì",</v>
      </c>
    </row>
    <row r="590" spans="1:7" ht="15.75" customHeight="1">
      <c r="A590" s="36">
        <v>2084006766</v>
      </c>
      <c r="B590" s="36" t="s">
        <v>8343</v>
      </c>
      <c r="C590" s="36" t="s">
        <v>8391</v>
      </c>
      <c r="D590" s="36" t="s">
        <v>22202</v>
      </c>
      <c r="E590" s="4" t="str">
        <f ca="1">IFERROR(__xludf.DUMMYFUNCTION("GOOGLETRANSLATE(B590,""ja"",""vi"")"),"Mang")</f>
        <v>Mang</v>
      </c>
      <c r="F590" s="4" t="str">
        <f ca="1">IFERROR(__xludf.DUMMYFUNCTION("GOOGLETRANSLATE(C590,""ja"",""vi"")"),"Đấu giá&gt; thể thao, giải trí&gt; thể thao khác&gt; nguồn cung cấp tập thể dục&gt; Mang")</f>
        <v>Đấu giá&gt; thể thao, giải trí&gt; thể thao khác&gt; nguồn cung cấp tập thể dục&gt; Mang</v>
      </c>
      <c r="G590" t="str">
        <f t="shared" ca="1" si="9"/>
        <v>"2084006766" : "Mang",</v>
      </c>
    </row>
    <row r="591" spans="1:7" ht="15.75" customHeight="1">
      <c r="A591" s="28">
        <v>2084006768</v>
      </c>
      <c r="B591" s="28" t="s">
        <v>8392</v>
      </c>
      <c r="C591" s="28" t="s">
        <v>8393</v>
      </c>
      <c r="D591" s="28" t="s">
        <v>22205</v>
      </c>
      <c r="E591" s="4" t="str">
        <f ca="1">IFERROR(__xludf.DUMMYFUNCTION("GOOGLETRANSLATE(B591,""ja"",""vi"")"),"hộp số")</f>
        <v>hộp số</v>
      </c>
      <c r="F591" s="4" t="str">
        <f ca="1">IFERROR(__xludf.DUMMYFUNCTION("GOOGLETRANSLATE(C591,""ja"",""vi"")"),"Đấu giá&gt; thể thao, giải trí&gt; thể thao khác&gt; nguồn cung cấp tập thể dục&gt; thiết bị")</f>
        <v>Đấu giá&gt; thể thao, giải trí&gt; thể thao khác&gt; nguồn cung cấp tập thể dục&gt; thiết bị</v>
      </c>
      <c r="G591" t="str">
        <f t="shared" ca="1" si="9"/>
        <v>"2084006768" : "hộp số",</v>
      </c>
    </row>
    <row r="592" spans="1:7" ht="15.75" customHeight="1">
      <c r="A592" s="28">
        <v>2084263701</v>
      </c>
      <c r="B592" s="28" t="s">
        <v>8385</v>
      </c>
      <c r="C592" s="28" t="s">
        <v>8394</v>
      </c>
      <c r="D592" s="28" t="s">
        <v>22208</v>
      </c>
      <c r="E592" s="4" t="str">
        <f ca="1">IFERROR(__xludf.DUMMYFUNCTION("GOOGLETRANSLATE(B592,""ja"",""vi"")"),"theo dõi nhịp tim thể thao")</f>
        <v>theo dõi nhịp tim thể thao</v>
      </c>
      <c r="F592" s="4" t="str">
        <f ca="1">IFERROR(__xludf.DUMMYFUNCTION("GOOGLETRANSLATE(C592,""ja"",""vi"")"),"Đấu giá&gt; thể thao, giải trí&gt; thể thao khác&gt; nguồn cung cấp tập thể dục&gt; màn hình thể thao nhịp tim")</f>
        <v>Đấu giá&gt; thể thao, giải trí&gt; thể thao khác&gt; nguồn cung cấp tập thể dục&gt; màn hình thể thao nhịp tim</v>
      </c>
      <c r="G592" t="str">
        <f t="shared" ca="1" si="9"/>
        <v>"2084263701" : "theo dõi nhịp tim thể thao",</v>
      </c>
    </row>
    <row r="593" spans="1:7" ht="15.75" customHeight="1">
      <c r="A593" s="28">
        <v>2084006767</v>
      </c>
      <c r="B593" s="28" t="s">
        <v>8395</v>
      </c>
      <c r="C593" s="28" t="s">
        <v>8396</v>
      </c>
      <c r="D593" s="28" t="s">
        <v>22211</v>
      </c>
      <c r="E593" s="4" t="str">
        <f ca="1">IFERROR(__xludf.DUMMYFUNCTION("GOOGLETRANSLATE(B593,""ja"",""vi"")"),"máy")</f>
        <v>máy</v>
      </c>
      <c r="F593" s="4" t="str">
        <f ca="1">IFERROR(__xludf.DUMMYFUNCTION("GOOGLETRANSLATE(C593,""ja"",""vi"")"),"Đấu giá&gt; thể thao, giải trí&gt; thể thao khác&gt; nguồn cung cấp tập thể dục&gt; Máy")</f>
        <v>Đấu giá&gt; thể thao, giải trí&gt; thể thao khác&gt; nguồn cung cấp tập thể dục&gt; Máy</v>
      </c>
      <c r="G593" t="str">
        <f t="shared" ca="1" si="9"/>
        <v>"2084006767" : "máy",</v>
      </c>
    </row>
    <row r="594" spans="1:7" ht="15.75" customHeight="1">
      <c r="A594" s="28">
        <v>2084216601</v>
      </c>
      <c r="B594" s="28" t="s">
        <v>8397</v>
      </c>
      <c r="C594" s="28" t="s">
        <v>8398</v>
      </c>
      <c r="D594" s="28" t="s">
        <v>22214</v>
      </c>
      <c r="E594" s="4" t="str">
        <f ca="1">IFERROR(__xludf.DUMMYFUNCTION("GOOGLETRANSLATE(B594,""ja"",""vi"")"),"DVD (tập thể dục, yoga)")</f>
        <v>DVD (tập thể dục, yoga)</v>
      </c>
      <c r="F594" s="4" t="str">
        <f ca="1">IFERROR(__xludf.DUMMYFUNCTION("GOOGLETRANSLATE(C594,""ja"",""vi"")"),"Đấu giá&gt; thể thao, giải trí&gt; thể thao khác&gt; nguồn cung cấp tập thể dục&gt; DVD (tập thể dục, yoga)")</f>
        <v>Đấu giá&gt; thể thao, giải trí&gt; thể thao khác&gt; nguồn cung cấp tập thể dục&gt; DVD (tập thể dục, yoga)</v>
      </c>
      <c r="G594" t="str">
        <f t="shared" ca="1" si="9"/>
        <v>"2084216601" : "DVD (tập thể dục, yoga)",</v>
      </c>
    </row>
    <row r="595" spans="1:7" ht="15.75" customHeight="1">
      <c r="A595" s="28">
        <v>2084196837</v>
      </c>
      <c r="B595" s="28" t="s">
        <v>8399</v>
      </c>
      <c r="C595" s="28" t="s">
        <v>8400</v>
      </c>
      <c r="D595" s="28" t="s">
        <v>22217</v>
      </c>
      <c r="E595" s="4" t="str">
        <f ca="1">IFERROR(__xludf.DUMMYFUNCTION("GOOGLETRANSLATE(B595,""ja"",""vi"")"),"đi bộ")</f>
        <v>đi bộ</v>
      </c>
      <c r="F595" s="4" t="str">
        <f ca="1">IFERROR(__xludf.DUMMYFUNCTION("GOOGLETRANSLATE(C595,""ja"",""vi"")"),"Đấu giá&gt; thể thao, giải trí&gt; thể thao khác&gt; nguồn cung cấp thực&gt; Đi bộ")</f>
        <v>Đấu giá&gt; thể thao, giải trí&gt; thể thao khác&gt; nguồn cung cấp thực&gt; Đi bộ</v>
      </c>
      <c r="G595" t="str">
        <f t="shared" ca="1" si="9"/>
        <v>"2084196837" : "đi bộ",</v>
      </c>
    </row>
    <row r="596" spans="1:7" ht="15.75" customHeight="1">
      <c r="A596" s="28">
        <v>2084196833</v>
      </c>
      <c r="B596" s="28" t="s">
        <v>8401</v>
      </c>
      <c r="C596" s="28" t="s">
        <v>8402</v>
      </c>
      <c r="D596" s="28" t="s">
        <v>22222</v>
      </c>
      <c r="E596" s="4" t="str">
        <f ca="1">IFERROR(__xludf.DUMMYFUNCTION("GOOGLETRANSLATE(B596,""ja"",""vi"")"),"Yoga, Pilates")</f>
        <v>Yoga, Pilates</v>
      </c>
      <c r="F596" s="4" t="str">
        <f ca="1">IFERROR(__xludf.DUMMYFUNCTION("GOOGLETRANSLATE(C596,""ja"",""vi"")"),"Đấu giá&gt; thể thao, giải trí&gt; thể thao khác&gt; nguồn cung cấp tập thể dục&gt; yoga, Pilates")</f>
        <v>Đấu giá&gt; thể thao, giải trí&gt; thể thao khác&gt; nguồn cung cấp tập thể dục&gt; yoga, Pilates</v>
      </c>
      <c r="G596" t="str">
        <f t="shared" ca="1" si="9"/>
        <v>"2084196833" : "Yoga, Pilates",</v>
      </c>
    </row>
    <row r="597" spans="1:7" ht="15.75" customHeight="1">
      <c r="A597" s="28">
        <v>26222</v>
      </c>
      <c r="B597" s="28" t="s">
        <v>5450</v>
      </c>
      <c r="C597" s="28" t="s">
        <v>8403</v>
      </c>
      <c r="D597" s="28" t="s">
        <v>22225</v>
      </c>
      <c r="E597" s="4" t="str">
        <f ca="1">IFERROR(__xludf.DUMMYFUNCTION("GOOGLETRANSLATE(B597,""ja"",""vi"")"),"Xe đạp, xe đạp")</f>
        <v>Xe đạp, xe đạp</v>
      </c>
      <c r="F597" s="4" t="str">
        <f ca="1">IFERROR(__xludf.DUMMYFUNCTION("GOOGLETRANSLATE(C597,""ja"",""vi"")"),"Đấu giá&gt; thể thao, giải trí&gt; thể thao khác&gt; nguồn cung cấp tập thể dục&gt; xe đạp, xe đạp")</f>
        <v>Đấu giá&gt; thể thao, giải trí&gt; thể thao khác&gt; nguồn cung cấp tập thể dục&gt; xe đạp, xe đạp</v>
      </c>
      <c r="G597" t="str">
        <f t="shared" ca="1" si="9"/>
        <v>"26222" : "Xe đạp, xe đạp",</v>
      </c>
    </row>
    <row r="598" spans="1:7" ht="15.75" customHeight="1">
      <c r="A598" s="28">
        <v>2084062737</v>
      </c>
      <c r="B598" s="28" t="s">
        <v>8404</v>
      </c>
      <c r="C598" s="28" t="s">
        <v>8405</v>
      </c>
      <c r="D598" s="28" t="s">
        <v>22228</v>
      </c>
      <c r="E598" s="4" t="str">
        <f ca="1">IFERROR(__xludf.DUMMYFUNCTION("GOOGLETRANSLATE(B598,""ja"",""vi"")"),"phần bổ sung")</f>
        <v>phần bổ sung</v>
      </c>
      <c r="F598" s="4" t="str">
        <f ca="1">IFERROR(__xludf.DUMMYFUNCTION("GOOGLETRANSLATE(C598,""ja"",""vi"")"),"Đấu giá&gt; thể thao, giải trí&gt; thể thao khác&gt; nguồn cung cấp tập thể dục&gt; bổ sung")</f>
        <v>Đấu giá&gt; thể thao, giải trí&gt; thể thao khác&gt; nguồn cung cấp tập thể dục&gt; bổ sung</v>
      </c>
      <c r="G598" t="str">
        <f t="shared" ca="1" si="9"/>
        <v>"2084062737" : "phần bổ sung",</v>
      </c>
    </row>
    <row r="599" spans="1:7" ht="15.75" customHeight="1">
      <c r="A599" s="28">
        <v>25178</v>
      </c>
      <c r="B599" s="28" t="s">
        <v>46</v>
      </c>
      <c r="C599" s="28" t="s">
        <v>8406</v>
      </c>
      <c r="D599" s="28" t="s">
        <v>22231</v>
      </c>
      <c r="E599" s="4" t="str">
        <f ca="1">IFERROR(__xludf.DUMMYFUNCTION("GOOGLETRANSLATE(B599,""ja"",""vi"")"),"nếu không thì")</f>
        <v>nếu không thì</v>
      </c>
      <c r="F599" s="4" t="str">
        <f ca="1">IFERROR(__xludf.DUMMYFUNCTION("GOOGLETRANSLATE(C599,""ja"",""vi"")"),"Đấu giá&gt; thể thao, giải trí&gt; thể thao khác&gt; nguồn cung cấp tập&gt; Khác")</f>
        <v>Đấu giá&gt; thể thao, giải trí&gt; thể thao khác&gt; nguồn cung cấp tập&gt; Khác</v>
      </c>
      <c r="G599" t="str">
        <f t="shared" ca="1" si="9"/>
        <v>"25178" : "nếu không thì",</v>
      </c>
    </row>
    <row r="600" spans="1:7" ht="15.75" customHeight="1">
      <c r="A600" s="36">
        <v>2084006893</v>
      </c>
      <c r="B600" s="36" t="s">
        <v>19813</v>
      </c>
      <c r="C600" s="36" t="s">
        <v>19815</v>
      </c>
      <c r="D600" s="36" t="s">
        <v>19817</v>
      </c>
      <c r="E600" s="4" t="str">
        <f ca="1">IFERROR(__xludf.DUMMYFUNCTION("GOOGLETRANSLATE(B600,""ja"",""vi"")"),"Cookies, bánh quy")</f>
        <v>Cookies, bánh quy</v>
      </c>
      <c r="F600" s="4" t="str">
        <f ca="1">IFERROR(__xludf.DUMMYFUNCTION("GOOGLETRANSLATE(C600,""ja"",""vi"")"),"Đấu giá&gt; thực phẩm, đồ uống&gt; thực phẩm chế độ ăn uống&gt; cookies, bánh quy")</f>
        <v>Đấu giá&gt; thực phẩm, đồ uống&gt; thực phẩm chế độ ăn uống&gt; cookies, bánh quy</v>
      </c>
      <c r="G600" t="str">
        <f t="shared" ca="1" si="9"/>
        <v>"2084006893" : "Cookies, bánh quy",</v>
      </c>
    </row>
    <row r="601" spans="1:7" ht="15.75" customHeight="1">
      <c r="A601" s="28">
        <v>2084006892</v>
      </c>
      <c r="B601" s="28" t="s">
        <v>19824</v>
      </c>
      <c r="C601" s="28" t="s">
        <v>19826</v>
      </c>
      <c r="D601" s="28" t="s">
        <v>19829</v>
      </c>
      <c r="E601" s="4" t="str">
        <f ca="1">IFERROR(__xludf.DUMMYFUNCTION("GOOGLETRANSLATE(B601,""ja"",""vi"")"),"canh")</f>
        <v>canh</v>
      </c>
      <c r="F601" s="4" t="str">
        <f ca="1">IFERROR(__xludf.DUMMYFUNCTION("GOOGLETRANSLATE(C601,""ja"",""vi"")"),"Đấu giá&gt; thực phẩm, đồ uống&gt; thực phẩm chế độ ăn uống&gt; súp")</f>
        <v>Đấu giá&gt; thực phẩm, đồ uống&gt; thực phẩm chế độ ăn uống&gt; súp</v>
      </c>
      <c r="G601" t="str">
        <f t="shared" ca="1" si="9"/>
        <v>"2084006892" : "canh",</v>
      </c>
    </row>
    <row r="602" spans="1:7" ht="15.75" customHeight="1">
      <c r="A602" s="28">
        <v>2084006891</v>
      </c>
      <c r="B602" s="28" t="s">
        <v>19836</v>
      </c>
      <c r="C602" s="28" t="s">
        <v>19837</v>
      </c>
      <c r="D602" s="28" t="s">
        <v>19839</v>
      </c>
      <c r="E602" s="4" t="str">
        <f ca="1">IFERROR(__xludf.DUMMYFUNCTION("GOOGLETRANSLATE(B602,""ja"",""vi"")"),"thạch")</f>
        <v>thạch</v>
      </c>
      <c r="F602" s="4" t="str">
        <f ca="1">IFERROR(__xludf.DUMMYFUNCTION("GOOGLETRANSLATE(C602,""ja"",""vi"")"),"Đấu giá&gt; thực phẩm, đồ uống&gt; chế độ ăn uống thực phẩm&gt; thạch")</f>
        <v>Đấu giá&gt; thực phẩm, đồ uống&gt; chế độ ăn uống thực phẩm&gt; thạch</v>
      </c>
      <c r="G602" t="str">
        <f t="shared" ca="1" si="9"/>
        <v>"2084006891" : "thạch",</v>
      </c>
    </row>
    <row r="603" spans="1:7" ht="15.75" customHeight="1">
      <c r="A603" s="28">
        <v>2084006889</v>
      </c>
      <c r="B603" s="28" t="s">
        <v>19845</v>
      </c>
      <c r="C603" s="28" t="s">
        <v>19846</v>
      </c>
      <c r="D603" s="28" t="s">
        <v>19849</v>
      </c>
      <c r="E603" s="4" t="str">
        <f ca="1">IFERROR(__xludf.DUMMYFUNCTION("GOOGLETRANSLATE(B603,""ja"",""vi"")"),"đồ uống")</f>
        <v>đồ uống</v>
      </c>
      <c r="F603" s="4" t="str">
        <f ca="1">IFERROR(__xludf.DUMMYFUNCTION("GOOGLETRANSLATE(C603,""ja"",""vi"")"),"Đấu giá&gt; thực phẩm, đồ uống&gt; thực phẩm chế độ ăn uống&gt; uống")</f>
        <v>Đấu giá&gt; thực phẩm, đồ uống&gt; thực phẩm chế độ ăn uống&gt; uống</v>
      </c>
      <c r="G603" t="str">
        <f t="shared" ca="1" si="9"/>
        <v>"2084006889" : "đồ uống",</v>
      </c>
    </row>
    <row r="604" spans="1:7" ht="15.75" customHeight="1">
      <c r="A604" s="28">
        <v>24054</v>
      </c>
      <c r="B604" s="28" t="s">
        <v>19854</v>
      </c>
      <c r="C604" s="28" t="s">
        <v>19857</v>
      </c>
      <c r="D604" s="28" t="s">
        <v>19858</v>
      </c>
      <c r="E604" s="4" t="str">
        <f ca="1">IFERROR(__xludf.DUMMYFUNCTION("GOOGLETRANSLATE(B604,""ja"",""vi"")"),"thực phẩm sức khỏe")</f>
        <v>thực phẩm sức khỏe</v>
      </c>
      <c r="F604" s="4" t="str">
        <f ca="1">IFERROR(__xludf.DUMMYFUNCTION("GOOGLETRANSLATE(C604,""ja"",""vi"")"),"Đấu giá&gt; thực phẩm, đồ uống&gt; thực phẩm chế độ ăn uống&gt; thực phẩm sức khỏe")</f>
        <v>Đấu giá&gt; thực phẩm, đồ uống&gt; thực phẩm chế độ ăn uống&gt; thực phẩm sức khỏe</v>
      </c>
      <c r="G604" t="str">
        <f t="shared" ca="1" si="9"/>
        <v>"24054" : "thực phẩm sức khỏe",</v>
      </c>
    </row>
    <row r="605" spans="1:7" ht="15.75" customHeight="1">
      <c r="A605" s="28">
        <v>2084006894</v>
      </c>
      <c r="B605" s="28" t="s">
        <v>19863</v>
      </c>
      <c r="C605" s="28" t="s">
        <v>19864</v>
      </c>
      <c r="D605" s="28" t="s">
        <v>19867</v>
      </c>
      <c r="E605" s="4" t="str">
        <f ca="1">IFERROR(__xludf.DUMMYFUNCTION("GOOGLETRANSLATE(B605,""ja"",""vi"")"),"mì sợi")</f>
        <v>mì sợi</v>
      </c>
      <c r="F605" s="4" t="str">
        <f ca="1">IFERROR(__xludf.DUMMYFUNCTION("GOOGLETRANSLATE(C605,""ja"",""vi"")"),"Đấu giá&gt; thực phẩm, đồ uống&gt; thực phẩm chế độ ăn uống&gt; mì")</f>
        <v>Đấu giá&gt; thực phẩm, đồ uống&gt; thực phẩm chế độ ăn uống&gt; mì</v>
      </c>
      <c r="G605" t="str">
        <f t="shared" ca="1" si="9"/>
        <v>"2084006894" : "mì sợi",</v>
      </c>
    </row>
    <row r="606" spans="1:7" ht="15.75" customHeight="1">
      <c r="A606" s="28">
        <v>2084006890</v>
      </c>
      <c r="B606" s="28" t="s">
        <v>46</v>
      </c>
      <c r="C606" s="28" t="s">
        <v>19873</v>
      </c>
      <c r="D606" s="28" t="s">
        <v>19875</v>
      </c>
      <c r="E606" s="4" t="str">
        <f ca="1">IFERROR(__xludf.DUMMYFUNCTION("GOOGLETRANSLATE(B606,""ja"",""vi"")"),"nếu không thì")</f>
        <v>nếu không thì</v>
      </c>
      <c r="F606" s="4" t="str">
        <f ca="1">IFERROR(__xludf.DUMMYFUNCTION("GOOGLETRANSLATE(C606,""ja"",""vi"")"),"Đấu giá&gt; thực phẩm, đồ uống&gt; thực phẩm chế độ ăn uống&gt; Khác")</f>
        <v>Đấu giá&gt; thực phẩm, đồ uống&gt; thực phẩm chế độ ăn uống&gt; Khác</v>
      </c>
      <c r="G606" t="str">
        <f t="shared" ca="1" si="9"/>
        <v>"2084006890" : "nếu không thì",</v>
      </c>
    </row>
    <row r="607" spans="1:7" ht="15.75" customHeight="1">
      <c r="A607" s="36">
        <v>2084289551</v>
      </c>
      <c r="B607" s="36" t="s">
        <v>19649</v>
      </c>
      <c r="C607" s="36" t="s">
        <v>19650</v>
      </c>
      <c r="D607" s="36" t="s">
        <v>19651</v>
      </c>
      <c r="E607" s="4" t="str">
        <f ca="1">IFERROR(__xludf.DUMMYFUNCTION("GOOGLETRANSLATE(B607,""ja"",""vi"")"),"Hạt, bột Loại")</f>
        <v>Hạt, bột Loại</v>
      </c>
      <c r="F607" s="4" t="str">
        <f ca="1">IFERROR(__xludf.DUMMYFUNCTION("GOOGLETRANSLATE(C607,""ja"",""vi"")"),"Đấu giá&gt; thực phẩm, đồ uống&gt; thực phẩm sức khỏe&gt; ​​amino axit&gt; hạt, loại bột")</f>
        <v>Đấu giá&gt; thực phẩm, đồ uống&gt; thực phẩm sức khỏe&gt; ​​amino axit&gt; hạt, loại bột</v>
      </c>
      <c r="G607" t="str">
        <f t="shared" ca="1" si="9"/>
        <v>"2084289551" : "Hạt, bột Loại",</v>
      </c>
    </row>
    <row r="608" spans="1:7" ht="15.75" customHeight="1">
      <c r="A608" s="28">
        <v>2084289552</v>
      </c>
      <c r="B608" s="28" t="s">
        <v>19656</v>
      </c>
      <c r="C608" s="28" t="s">
        <v>19657</v>
      </c>
      <c r="D608" s="28" t="s">
        <v>19658</v>
      </c>
      <c r="E608" s="4" t="str">
        <f ca="1">IFERROR(__xludf.DUMMYFUNCTION("GOOGLETRANSLATE(B608,""ja"",""vi"")"),"Tablet, loại viên nang")</f>
        <v>Tablet, loại viên nang</v>
      </c>
      <c r="F608" s="4" t="str">
        <f ca="1">IFERROR(__xludf.DUMMYFUNCTION("GOOGLETRANSLATE(C608,""ja"",""vi"")"),"Đấu giá&gt; thực phẩm, đồ uống&gt; thực phẩm sức khỏe&gt; ​​amino axit&gt; tablet, loại viên nang")</f>
        <v>Đấu giá&gt; thực phẩm, đồ uống&gt; thực phẩm sức khỏe&gt; ​​amino axit&gt; tablet, loại viên nang</v>
      </c>
      <c r="G608" t="str">
        <f t="shared" ca="1" si="9"/>
        <v>"2084289552" : "Tablet, loại viên nang",</v>
      </c>
    </row>
    <row r="609" spans="1:7" ht="15.75" customHeight="1">
      <c r="A609" s="28">
        <v>2084289553</v>
      </c>
      <c r="B609" s="28" t="s">
        <v>46</v>
      </c>
      <c r="C609" s="28" t="s">
        <v>19662</v>
      </c>
      <c r="D609" s="28" t="s">
        <v>19663</v>
      </c>
      <c r="E609" s="4" t="str">
        <f ca="1">IFERROR(__xludf.DUMMYFUNCTION("GOOGLETRANSLATE(B609,""ja"",""vi"")"),"nếu không thì")</f>
        <v>nếu không thì</v>
      </c>
      <c r="F609" s="4" t="str">
        <f ca="1">IFERROR(__xludf.DUMMYFUNCTION("GOOGLETRANSLATE(C609,""ja"",""vi"")"),"Đấu giá&gt; thực phẩm, đồ uống&gt; thực phẩm sức khỏe&gt; ​​amino axit&gt; Khác")</f>
        <v>Đấu giá&gt; thực phẩm, đồ uống&gt; thực phẩm sức khỏe&gt; ​​amino axit&gt; Khác</v>
      </c>
      <c r="G609" t="str">
        <f t="shared" ca="1" si="9"/>
        <v>"2084289553" : "nếu không thì",</v>
      </c>
    </row>
    <row r="610" spans="1:7" ht="15.75" customHeight="1">
      <c r="A610" s="36">
        <v>2084289554</v>
      </c>
      <c r="B610" s="36" t="s">
        <v>19649</v>
      </c>
      <c r="C610" s="36" t="s">
        <v>19668</v>
      </c>
      <c r="D610" s="36" t="s">
        <v>19669</v>
      </c>
      <c r="E610" s="4" t="str">
        <f ca="1">IFERROR(__xludf.DUMMYFUNCTION("GOOGLETRANSLATE(B610,""ja"",""vi"")"),"Hạt, bột Loại")</f>
        <v>Hạt, bột Loại</v>
      </c>
      <c r="F610" s="4" t="str">
        <f ca="1">IFERROR(__xludf.DUMMYFUNCTION("GOOGLETRANSLATE(C610,""ja"",""vi"")"),"Đấu giá&gt; thực phẩm, đồ uống&gt; thực phẩm sức khỏe&gt; ​​collagen&gt; hạt, loại bột")</f>
        <v>Đấu giá&gt; thực phẩm, đồ uống&gt; thực phẩm sức khỏe&gt; ​​collagen&gt; hạt, loại bột</v>
      </c>
      <c r="G610" t="str">
        <f t="shared" ca="1" si="9"/>
        <v>"2084289554" : "Hạt, bột Loại",</v>
      </c>
    </row>
    <row r="611" spans="1:7" ht="15.75" customHeight="1">
      <c r="A611" s="28">
        <v>2084289555</v>
      </c>
      <c r="B611" s="28" t="s">
        <v>19656</v>
      </c>
      <c r="C611" s="28" t="s">
        <v>19674</v>
      </c>
      <c r="D611" s="28" t="s">
        <v>19676</v>
      </c>
      <c r="E611" s="4" t="str">
        <f ca="1">IFERROR(__xludf.DUMMYFUNCTION("GOOGLETRANSLATE(B611,""ja"",""vi"")"),"Tablet, loại viên nang")</f>
        <v>Tablet, loại viên nang</v>
      </c>
      <c r="F611" s="4" t="str">
        <f ca="1">IFERROR(__xludf.DUMMYFUNCTION("GOOGLETRANSLATE(C611,""ja"",""vi"")"),"Đấu giá&gt; thực phẩm, đồ uống&gt; thực phẩm sức khỏe&gt; ​​collagen&gt; tablet, loại viên nang")</f>
        <v>Đấu giá&gt; thực phẩm, đồ uống&gt; thực phẩm sức khỏe&gt; ​​collagen&gt; tablet, loại viên nang</v>
      </c>
      <c r="G611" t="str">
        <f t="shared" ca="1" si="9"/>
        <v>"2084289555" : "Tablet, loại viên nang",</v>
      </c>
    </row>
    <row r="612" spans="1:7" ht="15.75" customHeight="1">
      <c r="A612" s="28">
        <v>2084289556</v>
      </c>
      <c r="B612" s="28" t="s">
        <v>19680</v>
      </c>
      <c r="C612" s="28" t="s">
        <v>19682</v>
      </c>
      <c r="D612" s="28" t="s">
        <v>19683</v>
      </c>
      <c r="E612" s="4" t="str">
        <f ca="1">IFERROR(__xludf.DUMMYFUNCTION("GOOGLETRANSLATE(B612,""ja"",""vi"")"),"loại thức uống")</f>
        <v>loại thức uống</v>
      </c>
      <c r="F612" s="4" t="str">
        <f ca="1">IFERROR(__xludf.DUMMYFUNCTION("GOOGLETRANSLATE(C612,""ja"",""vi"")"),"Đấu giá&gt; thực phẩm, đồ uống&gt; thực phẩm sức khỏe&gt; ​​collagen&gt; loại thức uống")</f>
        <v>Đấu giá&gt; thực phẩm, đồ uống&gt; thực phẩm sức khỏe&gt; ​​collagen&gt; loại thức uống</v>
      </c>
      <c r="G612" t="str">
        <f t="shared" ca="1" si="9"/>
        <v>"2084289556" : "loại thức uống",</v>
      </c>
    </row>
    <row r="613" spans="1:7" ht="15.75" customHeight="1">
      <c r="A613" s="28">
        <v>2084289557</v>
      </c>
      <c r="B613" s="28" t="s">
        <v>46</v>
      </c>
      <c r="C613" s="28" t="s">
        <v>19686</v>
      </c>
      <c r="D613" s="28" t="s">
        <v>19688</v>
      </c>
      <c r="E613" s="4" t="str">
        <f ca="1">IFERROR(__xludf.DUMMYFUNCTION("GOOGLETRANSLATE(B613,""ja"",""vi"")"),"nếu không thì")</f>
        <v>nếu không thì</v>
      </c>
      <c r="F613" s="4" t="str">
        <f ca="1">IFERROR(__xludf.DUMMYFUNCTION("GOOGLETRANSLATE(C613,""ja"",""vi"")"),"Đấu giá&gt; thực phẩm, đồ uống&gt; thực phẩm sức khỏe&gt; ​​collagen&gt; Khác")</f>
        <v>Đấu giá&gt; thực phẩm, đồ uống&gt; thực phẩm sức khỏe&gt; ​​collagen&gt; Khác</v>
      </c>
      <c r="G613" t="str">
        <f t="shared" ca="1" si="9"/>
        <v>"2084289557" : "nếu không thì",</v>
      </c>
    </row>
    <row r="614" spans="1:7" ht="15.75" customHeight="1">
      <c r="A614" s="36">
        <v>2084062739</v>
      </c>
      <c r="B614" s="36" t="s">
        <v>19692</v>
      </c>
      <c r="C614" s="36" t="s">
        <v>19693</v>
      </c>
      <c r="D614" s="36" t="s">
        <v>19695</v>
      </c>
      <c r="E614" s="4" t="str">
        <f ca="1">IFERROR(__xludf.DUMMYFUNCTION("GOOGLETRANSLATE(B614,""ja"",""vi"")"),"sức chịu đựng")</f>
        <v>sức chịu đựng</v>
      </c>
      <c r="F614" s="4" t="str">
        <f ca="1">IFERROR(__xludf.DUMMYFUNCTION("GOOGLETRANSLATE(C614,""ja"",""vi"")"),"Đấu giá&gt; thể thao, giải trí&gt; bổ sung&gt; sức chịu đựng")</f>
        <v>Đấu giá&gt; thể thao, giải trí&gt; bổ sung&gt; sức chịu đựng</v>
      </c>
      <c r="G614" t="str">
        <f t="shared" ca="1" si="9"/>
        <v>"2084062739" : "sức chịu đựng",</v>
      </c>
    </row>
    <row r="615" spans="1:7" ht="15.75" customHeight="1">
      <c r="A615" s="28">
        <v>2084062738</v>
      </c>
      <c r="B615" s="28" t="s">
        <v>19704</v>
      </c>
      <c r="C615" s="28" t="s">
        <v>19706</v>
      </c>
      <c r="D615" s="28" t="s">
        <v>19707</v>
      </c>
      <c r="E615" s="4" t="str">
        <f ca="1">IFERROR(__xludf.DUMMYFUNCTION("GOOGLETRANSLATE(B615,""ja"",""vi"")"),"hệ thống tức thời")</f>
        <v>hệ thống tức thời</v>
      </c>
      <c r="F615" s="4" t="str">
        <f ca="1">IFERROR(__xludf.DUMMYFUNCTION("GOOGLETRANSLATE(C615,""ja"",""vi"")"),"Đấu giá&gt; thể thao, giải trí&gt; bổ sung&gt; hệ thống tức thời")</f>
        <v>Đấu giá&gt; thể thao, giải trí&gt; bổ sung&gt; hệ thống tức thời</v>
      </c>
      <c r="G615" t="str">
        <f t="shared" ca="1" si="9"/>
        <v>"2084062738" : "hệ thống tức thời",</v>
      </c>
    </row>
    <row r="616" spans="1:7" ht="15.75" customHeight="1">
      <c r="A616" s="36">
        <v>2084289558</v>
      </c>
      <c r="B616" s="36" t="s">
        <v>19710</v>
      </c>
      <c r="C616" s="36" t="s">
        <v>19712</v>
      </c>
      <c r="D616" s="36" t="s">
        <v>19713</v>
      </c>
      <c r="E616" s="4" t="str">
        <f ca="1">IFERROR(__xludf.DUMMYFUNCTION("GOOGLETRANSLATE(B616,""ja"",""vi"")"),"Multivitamin")</f>
        <v>Multivitamin</v>
      </c>
      <c r="F616" s="4" t="str">
        <f ca="1">IFERROR(__xludf.DUMMYFUNCTION("GOOGLETRANSLATE(C616,""ja"",""vi"")"),"Đấu giá&gt; thực phẩm, đồ uống&gt; thực phẩm sức khỏe&gt; ​​Vitamin&gt; Multi-Vitamin")</f>
        <v>Đấu giá&gt; thực phẩm, đồ uống&gt; thực phẩm sức khỏe&gt; ​​Vitamin&gt; Multi-Vitamin</v>
      </c>
      <c r="G616" t="str">
        <f t="shared" ca="1" si="9"/>
        <v>"2084289558" : "Multivitamin",</v>
      </c>
    </row>
    <row r="617" spans="1:7" ht="15.75" customHeight="1">
      <c r="A617" s="28">
        <v>2084289559</v>
      </c>
      <c r="B617" s="28" t="s">
        <v>19718</v>
      </c>
      <c r="C617" s="28" t="s">
        <v>19719</v>
      </c>
      <c r="D617" s="28" t="s">
        <v>19721</v>
      </c>
      <c r="E617" s="4" t="str">
        <f ca="1">IFERROR(__xludf.DUMMYFUNCTION("GOOGLETRANSLATE(B617,""ja"",""vi"")"),"vitamin A")</f>
        <v>vitamin A</v>
      </c>
      <c r="F617" s="4" t="str">
        <f ca="1">IFERROR(__xludf.DUMMYFUNCTION("GOOGLETRANSLATE(C617,""ja"",""vi"")"),"Đấu giá&gt; thực phẩm, đồ uống&gt; thực phẩm sức khỏe&gt; ​​vitamin&gt; Vitamin A")</f>
        <v>Đấu giá&gt; thực phẩm, đồ uống&gt; thực phẩm sức khỏe&gt; ​​vitamin&gt; Vitamin A</v>
      </c>
      <c r="G617" t="str">
        <f t="shared" ca="1" si="9"/>
        <v>"2084289559" : "vitamin A",</v>
      </c>
    </row>
    <row r="618" spans="1:7" ht="15.75" customHeight="1">
      <c r="A618" s="28">
        <v>2084289560</v>
      </c>
      <c r="B618" s="28" t="s">
        <v>19726</v>
      </c>
      <c r="C618" s="28" t="s">
        <v>19727</v>
      </c>
      <c r="D618" s="28" t="s">
        <v>19728</v>
      </c>
      <c r="E618" s="4" t="str">
        <f ca="1">IFERROR(__xludf.DUMMYFUNCTION("GOOGLETRANSLATE(B618,""ja"",""vi"")"),"vitamin B")</f>
        <v>vitamin B</v>
      </c>
      <c r="F618" s="4" t="str">
        <f ca="1">IFERROR(__xludf.DUMMYFUNCTION("GOOGLETRANSLATE(C618,""ja"",""vi"")"),"Đấu giá&gt; thực phẩm, đồ uống&gt; thực phẩm sức khỏe&gt; ​​Vitamin&gt; Vitamin B")</f>
        <v>Đấu giá&gt; thực phẩm, đồ uống&gt; thực phẩm sức khỏe&gt; ​​Vitamin&gt; Vitamin B</v>
      </c>
      <c r="G618" t="str">
        <f t="shared" ca="1" si="9"/>
        <v>"2084289560" : "vitamin B",</v>
      </c>
    </row>
    <row r="619" spans="1:7" ht="15.75" customHeight="1">
      <c r="A619" s="28">
        <v>2084289561</v>
      </c>
      <c r="B619" s="28" t="s">
        <v>19733</v>
      </c>
      <c r="C619" s="28" t="s">
        <v>19734</v>
      </c>
      <c r="D619" s="28" t="s">
        <v>19735</v>
      </c>
      <c r="E619" s="4" t="str">
        <f ca="1">IFERROR(__xludf.DUMMYFUNCTION("GOOGLETRANSLATE(B619,""ja"",""vi"")"),"vitamin C")</f>
        <v>vitamin C</v>
      </c>
      <c r="F619" s="4" t="str">
        <f ca="1">IFERROR(__xludf.DUMMYFUNCTION("GOOGLETRANSLATE(C619,""ja"",""vi"")"),"Đấu giá&gt; thực phẩm, đồ uống&gt; thực phẩm sức khỏe&gt; ​​vitamin&gt; Vitamin C")</f>
        <v>Đấu giá&gt; thực phẩm, đồ uống&gt; thực phẩm sức khỏe&gt; ​​vitamin&gt; Vitamin C</v>
      </c>
      <c r="G619" t="str">
        <f t="shared" ca="1" si="9"/>
        <v>"2084289561" : "vitamin C",</v>
      </c>
    </row>
    <row r="620" spans="1:7" ht="15.75" customHeight="1">
      <c r="A620" s="28">
        <v>2084289562</v>
      </c>
      <c r="B620" s="28" t="s">
        <v>19739</v>
      </c>
      <c r="C620" s="28" t="s">
        <v>19740</v>
      </c>
      <c r="D620" s="28" t="s">
        <v>19741</v>
      </c>
      <c r="E620" s="4" t="str">
        <f ca="1">IFERROR(__xludf.DUMMYFUNCTION("GOOGLETRANSLATE(B620,""ja"",""vi"")"),"vitamin D")</f>
        <v>vitamin D</v>
      </c>
      <c r="F620" s="4" t="str">
        <f ca="1">IFERROR(__xludf.DUMMYFUNCTION("GOOGLETRANSLATE(C620,""ja"",""vi"")"),"Đấu giá&gt; thực phẩm, đồ uống&gt; thực phẩm sức khỏe&gt; ​​vitamin&gt; Vitamin D")</f>
        <v>Đấu giá&gt; thực phẩm, đồ uống&gt; thực phẩm sức khỏe&gt; ​​vitamin&gt; Vitamin D</v>
      </c>
      <c r="G620" t="str">
        <f t="shared" ca="1" si="9"/>
        <v>"2084289562" : "vitamin D",</v>
      </c>
    </row>
    <row r="621" spans="1:7" ht="15.75" customHeight="1">
      <c r="A621" s="28">
        <v>2084289563</v>
      </c>
      <c r="B621" s="28" t="s">
        <v>19745</v>
      </c>
      <c r="C621" s="28" t="s">
        <v>19747</v>
      </c>
      <c r="D621" s="28" t="s">
        <v>19749</v>
      </c>
      <c r="E621" s="4" t="str">
        <f ca="1">IFERROR(__xludf.DUMMYFUNCTION("GOOGLETRANSLATE(B621,""ja"",""vi"")"),"vitamin E")</f>
        <v>vitamin E</v>
      </c>
      <c r="F621" s="4" t="str">
        <f ca="1">IFERROR(__xludf.DUMMYFUNCTION("GOOGLETRANSLATE(C621,""ja"",""vi"")"),"Đấu giá&gt; thực phẩm, đồ uống&gt; thực phẩm sức khỏe&gt; ​​vitamin&gt; Vitamin E")</f>
        <v>Đấu giá&gt; thực phẩm, đồ uống&gt; thực phẩm sức khỏe&gt; ​​vitamin&gt; Vitamin E</v>
      </c>
      <c r="G621" t="str">
        <f t="shared" ca="1" si="9"/>
        <v>"2084289563" : "vitamin E",</v>
      </c>
    </row>
    <row r="622" spans="1:7" ht="15.75" customHeight="1">
      <c r="A622" s="28">
        <v>2084289564</v>
      </c>
      <c r="B622" s="28" t="s">
        <v>46</v>
      </c>
      <c r="C622" s="28" t="s">
        <v>19758</v>
      </c>
      <c r="D622" s="28" t="s">
        <v>19759</v>
      </c>
      <c r="E622" s="4" t="str">
        <f ca="1">IFERROR(__xludf.DUMMYFUNCTION("GOOGLETRANSLATE(B622,""ja"",""vi"")"),"nếu không thì")</f>
        <v>nếu không thì</v>
      </c>
      <c r="F622" s="4" t="str">
        <f ca="1">IFERROR(__xludf.DUMMYFUNCTION("GOOGLETRANSLATE(C622,""ja"",""vi"")"),"Đấu giá&gt; thực phẩm, đồ uống&gt; thực phẩm sức khỏe&gt; ​​vitamin&gt; Khác")</f>
        <v>Đấu giá&gt; thực phẩm, đồ uống&gt; thực phẩm sức khỏe&gt; ​​vitamin&gt; Khác</v>
      </c>
      <c r="G622" t="str">
        <f t="shared" ca="1" si="9"/>
        <v>"2084289564" : "nếu không thì",</v>
      </c>
    </row>
    <row r="623" spans="1:7" ht="15.75" customHeight="1">
      <c r="A623" s="36">
        <v>2084289565</v>
      </c>
      <c r="B623" s="36" t="s">
        <v>19764</v>
      </c>
      <c r="C623" s="36" t="s">
        <v>19765</v>
      </c>
      <c r="D623" s="36" t="s">
        <v>19766</v>
      </c>
      <c r="E623" s="4" t="str">
        <f ca="1">IFERROR(__xludf.DUMMYFUNCTION("GOOGLETRANSLATE(B623,""ja"",""vi"")"),"Ít hơn 500g")</f>
        <v>Ít hơn 500g</v>
      </c>
      <c r="F623" s="4" t="str">
        <f ca="1">IFERROR(__xludf.DUMMYFUNCTION("GOOGLETRANSLATE(C623,""ja"",""vi"")"),"Đấu giá&gt; thực phẩm, đồ uống&gt; thực phẩm sức khỏe&gt; ​​protein&gt; ít hơn 500g")</f>
        <v>Đấu giá&gt; thực phẩm, đồ uống&gt; thực phẩm sức khỏe&gt; ​​protein&gt; ít hơn 500g</v>
      </c>
      <c r="G623" t="str">
        <f t="shared" ca="1" si="9"/>
        <v>"2084289565" : "Ít hơn 500g",</v>
      </c>
    </row>
    <row r="624" spans="1:7" ht="15.75" customHeight="1">
      <c r="A624" s="28">
        <v>2084289566</v>
      </c>
      <c r="B624" s="28" t="s">
        <v>19774</v>
      </c>
      <c r="C624" s="28" t="s">
        <v>19776</v>
      </c>
      <c r="D624" s="28" t="s">
        <v>19777</v>
      </c>
      <c r="E624" s="4" t="str">
        <f ca="1">IFERROR(__xludf.DUMMYFUNCTION("GOOGLETRANSLATE(B624,""ja"",""vi"")"),"500g ~")</f>
        <v>500g ~</v>
      </c>
      <c r="F624" s="4" t="str">
        <f ca="1">IFERROR(__xludf.DUMMYFUNCTION("GOOGLETRANSLATE(C624,""ja"",""vi"")"),"Đấu giá&gt; thực phẩm, đồ uống&gt; thực phẩm sức khỏe&gt; ​​protein&gt; 500g ~")</f>
        <v>Đấu giá&gt; thực phẩm, đồ uống&gt; thực phẩm sức khỏe&gt; ​​protein&gt; 500g ~</v>
      </c>
      <c r="G624" t="str">
        <f t="shared" ca="1" si="9"/>
        <v>"2084289566" : "500g ~",</v>
      </c>
    </row>
    <row r="625" spans="1:7" ht="15.75" customHeight="1">
      <c r="A625" s="28">
        <v>2084289567</v>
      </c>
      <c r="B625" s="28" t="s">
        <v>19785</v>
      </c>
      <c r="C625" s="28" t="s">
        <v>19788</v>
      </c>
      <c r="D625" s="28" t="s">
        <v>19790</v>
      </c>
      <c r="E625" s="4" t="str">
        <f ca="1">IFERROR(__xludf.DUMMYFUNCTION("GOOGLETRANSLATE(B625,""ja"",""vi"")"),"1.0kg ~")</f>
        <v>1.0kg ~</v>
      </c>
      <c r="F625" s="4" t="str">
        <f ca="1">IFERROR(__xludf.DUMMYFUNCTION("GOOGLETRANSLATE(C625,""ja"",""vi"")"),"Đấu giá&gt; thực phẩm, đồ uống&gt; thực phẩm sức khỏe&gt; ​​protein&gt; 1.0kg ~")</f>
        <v>Đấu giá&gt; thực phẩm, đồ uống&gt; thực phẩm sức khỏe&gt; ​​protein&gt; 1.0kg ~</v>
      </c>
      <c r="G625" t="str">
        <f t="shared" ca="1" si="9"/>
        <v>"2084289567" : "1.0kg ~",</v>
      </c>
    </row>
    <row r="626" spans="1:7" ht="15.75" customHeight="1">
      <c r="A626" s="28">
        <v>2084289568</v>
      </c>
      <c r="B626" s="28" t="s">
        <v>19796</v>
      </c>
      <c r="C626" s="28" t="s">
        <v>19797</v>
      </c>
      <c r="D626" s="28" t="s">
        <v>19799</v>
      </c>
      <c r="E626" s="4" t="str">
        <f ca="1">IFERROR(__xludf.DUMMYFUNCTION("GOOGLETRANSLATE(B626,""ja"",""vi"")"),"2.0kg ~")</f>
        <v>2.0kg ~</v>
      </c>
      <c r="F626" s="4" t="str">
        <f ca="1">IFERROR(__xludf.DUMMYFUNCTION("GOOGLETRANSLATE(C626,""ja"",""vi"")"),"Đấu giá&gt; thực phẩm, đồ uống&gt; thực phẩm sức khỏe&gt; ​​protein&gt; 2.0kg ~")</f>
        <v>Đấu giá&gt; thực phẩm, đồ uống&gt; thực phẩm sức khỏe&gt; ​​protein&gt; 2.0kg ~</v>
      </c>
      <c r="G626" t="str">
        <f t="shared" ca="1" si="9"/>
        <v>"2084289568" : "2.0kg ~",</v>
      </c>
    </row>
    <row r="627" spans="1:7" ht="15.75" customHeight="1">
      <c r="A627" s="28">
        <v>2084289569</v>
      </c>
      <c r="B627" s="28" t="s">
        <v>19803</v>
      </c>
      <c r="C627" s="28" t="s">
        <v>19806</v>
      </c>
      <c r="D627" s="28" t="s">
        <v>19808</v>
      </c>
      <c r="E627" s="4" t="str">
        <f ca="1">IFERROR(__xludf.DUMMYFUNCTION("GOOGLETRANSLATE(B627,""ja"",""vi"")"),"3.0kg ~")</f>
        <v>3.0kg ~</v>
      </c>
      <c r="F627" s="4" t="str">
        <f ca="1">IFERROR(__xludf.DUMMYFUNCTION("GOOGLETRANSLATE(C627,""ja"",""vi"")"),"Đấu giá&gt; thực phẩm, đồ uống&gt; thực phẩm sức khỏe&gt; ​​protein&gt; 3.0kg ~")</f>
        <v>Đấu giá&gt; thực phẩm, đồ uống&gt; thực phẩm sức khỏe&gt; ​​protein&gt; 3.0kg ~</v>
      </c>
      <c r="G627" t="str">
        <f t="shared" ca="1" si="9"/>
        <v>"2084289569" : "3.0kg ~",</v>
      </c>
    </row>
    <row r="628" spans="1:7" ht="15.75" customHeight="1">
      <c r="A628" s="36">
        <v>2084006893</v>
      </c>
      <c r="B628" s="36" t="s">
        <v>19813</v>
      </c>
      <c r="C628" s="36" t="s">
        <v>19815</v>
      </c>
      <c r="D628" s="36" t="s">
        <v>19817</v>
      </c>
      <c r="E628" s="4" t="str">
        <f ca="1">IFERROR(__xludf.DUMMYFUNCTION("GOOGLETRANSLATE(B628,""ja"",""vi"")"),"Cookies, bánh quy")</f>
        <v>Cookies, bánh quy</v>
      </c>
      <c r="F628" s="4" t="str">
        <f ca="1">IFERROR(__xludf.DUMMYFUNCTION("GOOGLETRANSLATE(C628,""ja"",""vi"")"),"Đấu giá&gt; thực phẩm, đồ uống&gt; thực phẩm chế độ ăn uống&gt; cookies, bánh quy")</f>
        <v>Đấu giá&gt; thực phẩm, đồ uống&gt; thực phẩm chế độ ăn uống&gt; cookies, bánh quy</v>
      </c>
      <c r="G628" t="str">
        <f t="shared" ca="1" si="9"/>
        <v>"2084006893" : "Cookies, bánh quy",</v>
      </c>
    </row>
    <row r="629" spans="1:7" ht="15.75" customHeight="1">
      <c r="A629" s="28">
        <v>2084006892</v>
      </c>
      <c r="B629" s="28" t="s">
        <v>19824</v>
      </c>
      <c r="C629" s="28" t="s">
        <v>19826</v>
      </c>
      <c r="D629" s="28" t="s">
        <v>19829</v>
      </c>
      <c r="E629" s="4" t="str">
        <f ca="1">IFERROR(__xludf.DUMMYFUNCTION("GOOGLETRANSLATE(B629,""ja"",""vi"")"),"canh")</f>
        <v>canh</v>
      </c>
      <c r="F629" s="4" t="str">
        <f ca="1">IFERROR(__xludf.DUMMYFUNCTION("GOOGLETRANSLATE(C629,""ja"",""vi"")"),"Đấu giá&gt; thực phẩm, đồ uống&gt; thực phẩm chế độ ăn uống&gt; súp")</f>
        <v>Đấu giá&gt; thực phẩm, đồ uống&gt; thực phẩm chế độ ăn uống&gt; súp</v>
      </c>
      <c r="G629" t="str">
        <f t="shared" ca="1" si="9"/>
        <v>"2084006892" : "canh",</v>
      </c>
    </row>
    <row r="630" spans="1:7" ht="15.75" customHeight="1">
      <c r="A630" s="28">
        <v>2084006891</v>
      </c>
      <c r="B630" s="28" t="s">
        <v>19836</v>
      </c>
      <c r="C630" s="28" t="s">
        <v>19837</v>
      </c>
      <c r="D630" s="28" t="s">
        <v>19839</v>
      </c>
      <c r="E630" s="4" t="str">
        <f ca="1">IFERROR(__xludf.DUMMYFUNCTION("GOOGLETRANSLATE(B630,""ja"",""vi"")"),"thạch")</f>
        <v>thạch</v>
      </c>
      <c r="F630" s="4" t="str">
        <f ca="1">IFERROR(__xludf.DUMMYFUNCTION("GOOGLETRANSLATE(C630,""ja"",""vi"")"),"Đấu giá&gt; thực phẩm, đồ uống&gt; chế độ ăn uống thực phẩm&gt; thạch")</f>
        <v>Đấu giá&gt; thực phẩm, đồ uống&gt; chế độ ăn uống thực phẩm&gt; thạch</v>
      </c>
      <c r="G630" t="str">
        <f t="shared" ca="1" si="9"/>
        <v>"2084006891" : "thạch",</v>
      </c>
    </row>
    <row r="631" spans="1:7" ht="15.75" customHeight="1">
      <c r="A631" s="28">
        <v>2084006889</v>
      </c>
      <c r="B631" s="28" t="s">
        <v>19845</v>
      </c>
      <c r="C631" s="28" t="s">
        <v>19846</v>
      </c>
      <c r="D631" s="28" t="s">
        <v>19849</v>
      </c>
      <c r="E631" s="4" t="str">
        <f ca="1">IFERROR(__xludf.DUMMYFUNCTION("GOOGLETRANSLATE(B631,""ja"",""vi"")"),"đồ uống")</f>
        <v>đồ uống</v>
      </c>
      <c r="F631" s="4" t="str">
        <f ca="1">IFERROR(__xludf.DUMMYFUNCTION("GOOGLETRANSLATE(C631,""ja"",""vi"")"),"Đấu giá&gt; thực phẩm, đồ uống&gt; thực phẩm chế độ ăn uống&gt; uống")</f>
        <v>Đấu giá&gt; thực phẩm, đồ uống&gt; thực phẩm chế độ ăn uống&gt; uống</v>
      </c>
      <c r="G631" t="str">
        <f t="shared" ca="1" si="9"/>
        <v>"2084006889" : "đồ uống",</v>
      </c>
    </row>
    <row r="632" spans="1:7" ht="15.75" customHeight="1">
      <c r="A632" s="28">
        <v>24054</v>
      </c>
      <c r="B632" s="28" t="s">
        <v>19854</v>
      </c>
      <c r="C632" s="28" t="s">
        <v>19857</v>
      </c>
      <c r="D632" s="28" t="s">
        <v>19858</v>
      </c>
      <c r="E632" s="4" t="str">
        <f ca="1">IFERROR(__xludf.DUMMYFUNCTION("GOOGLETRANSLATE(B632,""ja"",""vi"")"),"thực phẩm sức khỏe")</f>
        <v>thực phẩm sức khỏe</v>
      </c>
      <c r="F632" s="4" t="str">
        <f ca="1">IFERROR(__xludf.DUMMYFUNCTION("GOOGLETRANSLATE(C632,""ja"",""vi"")"),"Đấu giá&gt; thực phẩm, đồ uống&gt; thực phẩm chế độ ăn uống&gt; thực phẩm sức khỏe")</f>
        <v>Đấu giá&gt; thực phẩm, đồ uống&gt; thực phẩm chế độ ăn uống&gt; thực phẩm sức khỏe</v>
      </c>
      <c r="G632" t="str">
        <f t="shared" ca="1" si="9"/>
        <v>"24054" : "thực phẩm sức khỏe",</v>
      </c>
    </row>
    <row r="633" spans="1:7" ht="15.75" customHeight="1">
      <c r="A633" s="28">
        <v>2084006894</v>
      </c>
      <c r="B633" s="28" t="s">
        <v>19863</v>
      </c>
      <c r="C633" s="28" t="s">
        <v>19864</v>
      </c>
      <c r="D633" s="28" t="s">
        <v>19867</v>
      </c>
      <c r="E633" s="4" t="str">
        <f ca="1">IFERROR(__xludf.DUMMYFUNCTION("GOOGLETRANSLATE(B633,""ja"",""vi"")"),"mì sợi")</f>
        <v>mì sợi</v>
      </c>
      <c r="F633" s="4" t="str">
        <f ca="1">IFERROR(__xludf.DUMMYFUNCTION("GOOGLETRANSLATE(C633,""ja"",""vi"")"),"Đấu giá&gt; thực phẩm, đồ uống&gt; thực phẩm chế độ ăn uống&gt; mì")</f>
        <v>Đấu giá&gt; thực phẩm, đồ uống&gt; thực phẩm chế độ ăn uống&gt; mì</v>
      </c>
      <c r="G633" t="str">
        <f t="shared" ca="1" si="9"/>
        <v>"2084006894" : "mì sợi",</v>
      </c>
    </row>
    <row r="634" spans="1:7" ht="15.75" customHeight="1">
      <c r="A634" s="28">
        <v>2084006890</v>
      </c>
      <c r="B634" s="28" t="s">
        <v>46</v>
      </c>
      <c r="C634" s="28" t="s">
        <v>19873</v>
      </c>
      <c r="D634" s="28" t="s">
        <v>19875</v>
      </c>
      <c r="E634" s="4" t="str">
        <f ca="1">IFERROR(__xludf.DUMMYFUNCTION("GOOGLETRANSLATE(B634,""ja"",""vi"")"),"nếu không thì")</f>
        <v>nếu không thì</v>
      </c>
      <c r="F634" s="4" t="str">
        <f ca="1">IFERROR(__xludf.DUMMYFUNCTION("GOOGLETRANSLATE(C634,""ja"",""vi"")"),"Đấu giá&gt; thực phẩm, đồ uống&gt; thực phẩm chế độ ăn uống&gt; Khác")</f>
        <v>Đấu giá&gt; thực phẩm, đồ uống&gt; thực phẩm chế độ ăn uống&gt; Khác</v>
      </c>
      <c r="G634" t="str">
        <f t="shared" ca="1" si="9"/>
        <v>"2084006890" : "nếu không thì",</v>
      </c>
    </row>
    <row r="635" spans="1:7" ht="15.75" customHeight="1">
      <c r="A635" s="36">
        <v>2084063450</v>
      </c>
      <c r="B635" s="36" t="s">
        <v>22301</v>
      </c>
      <c r="C635" s="36" t="s">
        <v>22302</v>
      </c>
      <c r="D635" s="36" t="s">
        <v>22303</v>
      </c>
      <c r="E635" s="4" t="str">
        <f ca="1">IFERROR(__xludf.DUMMYFUNCTION("GOOGLETRANSLATE(B635,""ja"",""vi"")"),"xe lăn")</f>
        <v>xe lăn</v>
      </c>
      <c r="F635" s="4" t="str">
        <f ca="1">IFERROR(__xludf.DUMMYFUNCTION("GOOGLETRANSLATE(C635,""ja"",""vi"")"),"Đấu giá&gt; làm đẹp, chăm sóc sức khỏe&gt; ​​cho con bú, các sản phẩm chăm sóc điều dưỡng&gt; xe lăn, xe điện&gt; xe lăn")</f>
        <v>Đấu giá&gt; làm đẹp, chăm sóc sức khỏe&gt; ​​cho con bú, các sản phẩm chăm sóc điều dưỡng&gt; xe lăn, xe điện&gt; xe lăn</v>
      </c>
      <c r="G635" t="str">
        <f t="shared" ca="1" si="9"/>
        <v>"2084063450" : "xe lăn",</v>
      </c>
    </row>
    <row r="636" spans="1:7" ht="15.75" customHeight="1">
      <c r="A636" s="28">
        <v>2084063454</v>
      </c>
      <c r="B636" s="28" t="s">
        <v>22306</v>
      </c>
      <c r="C636" s="28" t="s">
        <v>22307</v>
      </c>
      <c r="D636" s="28" t="s">
        <v>22309</v>
      </c>
      <c r="E636" s="4" t="str">
        <f ca="1">IFERROR(__xludf.DUMMYFUNCTION("GOOGLETRANSLATE(B636,""ja"",""vi"")"),"xe điện")</f>
        <v>xe điện</v>
      </c>
      <c r="F636" s="4" t="str">
        <f ca="1">IFERROR(__xludf.DUMMYFUNCTION("GOOGLETRANSLATE(C636,""ja"",""vi"")"),"Đấu giá&gt; làm đẹp, chăm sóc sức khỏe&gt; ​​cho con bú, các sản phẩm chăm sóc điều dưỡng&gt; xe lăn, xe điện&gt; xe điện")</f>
        <v>Đấu giá&gt; làm đẹp, chăm sóc sức khỏe&gt; ​​cho con bú, các sản phẩm chăm sóc điều dưỡng&gt; xe lăn, xe điện&gt; xe điện</v>
      </c>
      <c r="G636" t="str">
        <f t="shared" ca="1" si="9"/>
        <v>"2084063454" : "xe điện",</v>
      </c>
    </row>
    <row r="637" spans="1:7" ht="15.75" customHeight="1">
      <c r="A637" s="36">
        <v>2084220351</v>
      </c>
      <c r="B637" s="36" t="s">
        <v>22311</v>
      </c>
      <c r="C637" s="36" t="s">
        <v>22312</v>
      </c>
      <c r="D637" s="36" t="s">
        <v>22313</v>
      </c>
      <c r="E637" s="4" t="str">
        <f ca="1">IFERROR(__xludf.DUMMYFUNCTION("GOOGLETRANSLATE(B637,""ja"",""vi"")"),"bìa tã")</f>
        <v>bìa tã</v>
      </c>
      <c r="F637" s="4" t="str">
        <f ca="1">IFERROR(__xludf.DUMMYFUNCTION("GOOGLETRANSLATE(C637,""ja"",""vi"")"),"Đấu giá&gt; làm đẹp, chăm sóc sức khỏe&gt; ​​cho con bú, các sản phẩm chăm sóc điều dưỡng&gt; hỗ trợ bài tiết&gt; bìa tã")</f>
        <v>Đấu giá&gt; làm đẹp, chăm sóc sức khỏe&gt; ​​cho con bú, các sản phẩm chăm sóc điều dưỡng&gt; hỗ trợ bài tiết&gt; bìa tã</v>
      </c>
      <c r="G637" t="str">
        <f t="shared" ca="1" si="9"/>
        <v>"2084220351" : "bìa tã",</v>
      </c>
    </row>
    <row r="638" spans="1:7" ht="15.75" customHeight="1">
      <c r="A638" s="28">
        <v>2084220352</v>
      </c>
      <c r="B638" s="28" t="s">
        <v>18790</v>
      </c>
      <c r="C638" s="28" t="s">
        <v>22315</v>
      </c>
      <c r="D638" s="28" t="s">
        <v>22317</v>
      </c>
      <c r="E638" s="4" t="str">
        <f ca="1">IFERROR(__xludf.DUMMYFUNCTION("GOOGLETRANSLATE(B638,""ja"",""vi"")"),"di toilet")</f>
        <v>di toilet</v>
      </c>
      <c r="F638" s="4" t="str">
        <f ca="1">IFERROR(__xludf.DUMMYFUNCTION("GOOGLETRANSLATE(C638,""ja"",""vi"")"),"Đấu giá&gt; làm đẹp, chăm sóc sức khỏe&gt; ​​cho con bú, các sản phẩm chăm sóc điều dưỡng&gt; hỗ trợ bài tiết&gt; nhà vệ sinh di động")</f>
        <v>Đấu giá&gt; làm đẹp, chăm sóc sức khỏe&gt; ​​cho con bú, các sản phẩm chăm sóc điều dưỡng&gt; hỗ trợ bài tiết&gt; nhà vệ sinh di động</v>
      </c>
      <c r="G638" t="str">
        <f t="shared" ca="1" si="9"/>
        <v>"2084220352" : "di toilet",</v>
      </c>
    </row>
    <row r="639" spans="1:7" ht="15.75" customHeight="1">
      <c r="A639" s="28">
        <v>2084220349</v>
      </c>
      <c r="B639" s="28" t="s">
        <v>22319</v>
      </c>
      <c r="C639" s="28" t="s">
        <v>22321</v>
      </c>
      <c r="D639" s="28" t="s">
        <v>22323</v>
      </c>
      <c r="E639" s="4" t="str">
        <f ca="1">IFERROR(__xludf.DUMMYFUNCTION("GOOGLETRANSLATE(B639,""ja"",""vi"")"),"tã giấy cho con bú")</f>
        <v>tã giấy cho con bú</v>
      </c>
      <c r="F639" s="4" t="str">
        <f ca="1">IFERROR(__xludf.DUMMYFUNCTION("GOOGLETRANSLATE(C639,""ja"",""vi"")"),"Đấu giá&gt; làm đẹp, chăm sóc sức khỏe&gt; ​​cho con bú, các sản phẩm chăm sóc điều dưỡng&gt; hỗ trợ bài tiết&gt; giấy cho con bú tã")</f>
        <v>Đấu giá&gt; làm đẹp, chăm sóc sức khỏe&gt; ​​cho con bú, các sản phẩm chăm sóc điều dưỡng&gt; hỗ trợ bài tiết&gt; giấy cho con bú tã</v>
      </c>
      <c r="G639" t="str">
        <f t="shared" ca="1" si="9"/>
        <v>"2084220349" : "tã giấy cho con bú",</v>
      </c>
    </row>
    <row r="640" spans="1:7" ht="15.75" customHeight="1">
      <c r="A640" s="28">
        <v>2084220350</v>
      </c>
      <c r="B640" s="28" t="s">
        <v>22326</v>
      </c>
      <c r="C640" s="28" t="s">
        <v>22327</v>
      </c>
      <c r="D640" s="28" t="s">
        <v>22328</v>
      </c>
      <c r="E640" s="4" t="str">
        <f ca="1">IFERROR(__xludf.DUMMYFUNCTION("GOOGLETRANSLATE(B640,""ja"",""vi"")"),"không kiểm soát pad")</f>
        <v>không kiểm soát pad</v>
      </c>
      <c r="F640" s="4" t="str">
        <f ca="1">IFERROR(__xludf.DUMMYFUNCTION("GOOGLETRANSLATE(C640,""ja"",""vi"")"),"Đấu giá&gt; làm đẹp, chăm sóc sức khỏe&gt; ​​cho con bú, các sản phẩm chăm sóc điều dưỡng&gt; hỗ trợ bài tiết&gt; không kiểm soát pad")</f>
        <v>Đấu giá&gt; làm đẹp, chăm sóc sức khỏe&gt; ​​cho con bú, các sản phẩm chăm sóc điều dưỡng&gt; hỗ trợ bài tiết&gt; không kiểm soát pad</v>
      </c>
      <c r="G640" t="str">
        <f t="shared" ca="1" si="9"/>
        <v>"2084220350" : "không kiểm soát pad",</v>
      </c>
    </row>
    <row r="641" spans="1:7" ht="15.75" customHeight="1">
      <c r="A641" s="28">
        <v>2084220353</v>
      </c>
      <c r="B641" s="28" t="s">
        <v>46</v>
      </c>
      <c r="C641" s="28" t="s">
        <v>22331</v>
      </c>
      <c r="D641" s="28" t="s">
        <v>22332</v>
      </c>
      <c r="E641" s="4" t="str">
        <f ca="1">IFERROR(__xludf.DUMMYFUNCTION("GOOGLETRANSLATE(B641,""ja"",""vi"")"),"nếu không thì")</f>
        <v>nếu không thì</v>
      </c>
      <c r="F641" s="4" t="str">
        <f ca="1">IFERROR(__xludf.DUMMYFUNCTION("GOOGLETRANSLATE(C641,""ja"",""vi"")"),"Đấu giá&gt; làm đẹp, chăm sóc sức khỏe&gt; ​​cho con bú, các sản phẩm chăm sóc điều dưỡng&gt; hỗ trợ bài tiết&gt; Khác")</f>
        <v>Đấu giá&gt; làm đẹp, chăm sóc sức khỏe&gt; ​​cho con bú, các sản phẩm chăm sóc điều dưỡng&gt; hỗ trợ bài tiết&gt; Khác</v>
      </c>
      <c r="G641" t="str">
        <f t="shared" ca="1" si="9"/>
        <v>"2084220353" : "nếu không thì",</v>
      </c>
    </row>
    <row r="642" spans="1:7" ht="15.75" customHeight="1">
      <c r="A642" s="36">
        <v>2084302018</v>
      </c>
      <c r="B642" s="36" t="s">
        <v>22335</v>
      </c>
      <c r="C642" s="36" t="s">
        <v>22336</v>
      </c>
      <c r="D642" s="36" t="s">
        <v>22337</v>
      </c>
      <c r="E642" s="4" t="str">
        <f ca="1">IFERROR(__xludf.DUMMYFUNCTION("GOOGLETRANSLATE(B642,""ja"",""vi"")"),"cái nạng")</f>
        <v>cái nạng</v>
      </c>
      <c r="F642" s="4" t="str">
        <f ca="1">IFERROR(__xludf.DUMMYFUNCTION("GOOGLETRANSLATE(C642,""ja"",""vi"")"),"Đấu giá&gt; làm đẹp, chăm sóc sức khỏe&gt; ​​cho con bú, các sản phẩm chăm sóc điều dưỡng&gt; hỗ trợ đi bộ&gt; nạng")</f>
        <v>Đấu giá&gt; làm đẹp, chăm sóc sức khỏe&gt; ​​cho con bú, các sản phẩm chăm sóc điều dưỡng&gt; hỗ trợ đi bộ&gt; nạng</v>
      </c>
      <c r="G642" t="str">
        <f t="shared" ref="G642:G668" ca="1" si="10">CONCATENATE(CHAR(34)&amp;"",A642,""&amp;CHAR(34)," : ", CHAR(34)&amp;"",E642,""&amp;CHAR(34),",")</f>
        <v>"2084302018" : "cái nạng",</v>
      </c>
    </row>
    <row r="643" spans="1:7" ht="15.75" customHeight="1">
      <c r="A643" s="28">
        <v>2084012480</v>
      </c>
      <c r="B643" s="28" t="s">
        <v>22340</v>
      </c>
      <c r="C643" s="28" t="s">
        <v>22341</v>
      </c>
      <c r="D643" s="28" t="s">
        <v>22342</v>
      </c>
      <c r="E643" s="4" t="str">
        <f ca="1">IFERROR(__xludf.DUMMYFUNCTION("GOOGLETRANSLATE(B643,""ja"",""vi"")"),"Mía, mía")</f>
        <v>Mía, mía</v>
      </c>
      <c r="F643" s="4" t="str">
        <f ca="1">IFERROR(__xludf.DUMMYFUNCTION("GOOGLETRANSLATE(C643,""ja"",""vi"")"),"Đấu giá&gt; làm đẹp, chăm sóc sức khỏe&gt; ​​cho con bú, các sản phẩm chăm sóc điều dưỡng&gt; hỗ trợ đi bộ&gt; mía, mía")</f>
        <v>Đấu giá&gt; làm đẹp, chăm sóc sức khỏe&gt; ​​cho con bú, các sản phẩm chăm sóc điều dưỡng&gt; hỗ trợ đi bộ&gt; mía, mía</v>
      </c>
      <c r="G643" t="str">
        <f t="shared" ca="1" si="10"/>
        <v>"2084012480" : "Mía, mía",</v>
      </c>
    </row>
    <row r="644" spans="1:7" ht="15.75" customHeight="1">
      <c r="A644" s="28">
        <v>2084063457</v>
      </c>
      <c r="B644" s="28" t="s">
        <v>22344</v>
      </c>
      <c r="C644" s="28" t="s">
        <v>22345</v>
      </c>
      <c r="D644" s="28" t="s">
        <v>22346</v>
      </c>
      <c r="E644" s="4" t="str">
        <f ca="1">IFERROR(__xludf.DUMMYFUNCTION("GOOGLETRANSLATE(B644,""ja"",""vi"")"),"Đi bộ giúp đỡ xe hơi, xe bạc")</f>
        <v>Đi bộ giúp đỡ xe hơi, xe bạc</v>
      </c>
      <c r="F644" s="4" t="str">
        <f ca="1">IFERROR(__xludf.DUMMYFUNCTION("GOOGLETRANSLATE(C644,""ja"",""vi"")"),"Đấu giá&gt; làm đẹp, chăm sóc sức khỏe&gt; ​​cho con bú, các sản phẩm chăm sóc điều dưỡng&gt; hỗ trợ đi bộ&gt; hỗ trợ đi bộ xe, bạc xe")</f>
        <v>Đấu giá&gt; làm đẹp, chăm sóc sức khỏe&gt; ​​cho con bú, các sản phẩm chăm sóc điều dưỡng&gt; hỗ trợ đi bộ&gt; hỗ trợ đi bộ xe, bạc xe</v>
      </c>
      <c r="G644" t="str">
        <f t="shared" ca="1" si="10"/>
        <v>"2084063457" : "Đi bộ giúp đỡ xe hơi, xe bạc",</v>
      </c>
    </row>
    <row r="645" spans="1:7" ht="15.75" customHeight="1">
      <c r="A645" s="28">
        <v>2084063458</v>
      </c>
      <c r="B645" s="28" t="s">
        <v>46</v>
      </c>
      <c r="C645" s="28" t="s">
        <v>22349</v>
      </c>
      <c r="D645" s="28" t="s">
        <v>22350</v>
      </c>
      <c r="E645" s="4" t="str">
        <f ca="1">IFERROR(__xludf.DUMMYFUNCTION("GOOGLETRANSLATE(B645,""ja"",""vi"")"),"nếu không thì")</f>
        <v>nếu không thì</v>
      </c>
      <c r="F645" s="4" t="str">
        <f ca="1">IFERROR(__xludf.DUMMYFUNCTION("GOOGLETRANSLATE(C645,""ja"",""vi"")"),"Đấu giá&gt; làm đẹp, chăm sóc sức khỏe&gt; ​​cho con bú, các sản phẩm chăm sóc điều dưỡng&gt; hỗ trợ đi bộ&gt; Khác")</f>
        <v>Đấu giá&gt; làm đẹp, chăm sóc sức khỏe&gt; ​​cho con bú, các sản phẩm chăm sóc điều dưỡng&gt; hỗ trợ đi bộ&gt; Khác</v>
      </c>
      <c r="G645" t="str">
        <f t="shared" ca="1" si="10"/>
        <v>"2084063458" : "nếu không thì",</v>
      </c>
    </row>
    <row r="646" spans="1:7" ht="15.75" customHeight="1">
      <c r="A646" s="36">
        <v>2084216485</v>
      </c>
      <c r="B646" s="36" t="s">
        <v>22351</v>
      </c>
      <c r="C646" s="36" t="s">
        <v>22352</v>
      </c>
      <c r="D646" s="36" t="s">
        <v>22353</v>
      </c>
      <c r="E646" s="4" t="str">
        <f ca="1">IFERROR(__xludf.DUMMYFUNCTION("GOOGLETRANSLATE(B646,""ja"",""vi"")"),"Đối với eo")</f>
        <v>Đối với eo</v>
      </c>
      <c r="F646" s="4" t="str">
        <f ca="1">IFERROR(__xludf.DUMMYFUNCTION("GOOGLETRANSLATE(C646,""ja"",""vi"")"),"Đấu giá&gt; làm đẹp, chăm sóc sức khỏe&gt; ​​nguồn cung cấp sức khỏe, thiết bị y tế&gt; ủng hộ&gt; cho eo")</f>
        <v>Đấu giá&gt; làm đẹp, chăm sóc sức khỏe&gt; ​​nguồn cung cấp sức khỏe, thiết bị y tế&gt; ủng hộ&gt; cho eo</v>
      </c>
      <c r="G646" t="str">
        <f t="shared" ca="1" si="10"/>
        <v>"2084216485" : "Đối với eo",</v>
      </c>
    </row>
    <row r="647" spans="1:7" ht="15.75" customHeight="1">
      <c r="A647" s="28">
        <v>2084216482</v>
      </c>
      <c r="B647" s="28" t="s">
        <v>22355</v>
      </c>
      <c r="C647" s="28" t="s">
        <v>22356</v>
      </c>
      <c r="D647" s="28" t="s">
        <v>22357</v>
      </c>
      <c r="E647" s="4" t="str">
        <f ca="1">IFERROR(__xludf.DUMMYFUNCTION("GOOGLETRANSLATE(B647,""ja"",""vi"")"),"cổ tay")</f>
        <v>cổ tay</v>
      </c>
      <c r="F647" s="4" t="str">
        <f ca="1">IFERROR(__xludf.DUMMYFUNCTION("GOOGLETRANSLATE(C647,""ja"",""vi"")"),"Đấu giá&gt; làm đẹp, chăm sóc sức khỏe&gt; ​​nguồn cung cấp sức khỏe, thiết bị y tế&gt; ủng hộ&gt; cho cổ tay")</f>
        <v>Đấu giá&gt; làm đẹp, chăm sóc sức khỏe&gt; ​​nguồn cung cấp sức khỏe, thiết bị y tế&gt; ủng hộ&gt; cho cổ tay</v>
      </c>
      <c r="G647" t="str">
        <f t="shared" ca="1" si="10"/>
        <v>"2084216482" : "cổ tay",</v>
      </c>
    </row>
    <row r="648" spans="1:7" ht="15.75" customHeight="1">
      <c r="A648" s="28">
        <v>2084216483</v>
      </c>
      <c r="B648" s="28" t="s">
        <v>22360</v>
      </c>
      <c r="C648" s="28" t="s">
        <v>22361</v>
      </c>
      <c r="D648" s="28" t="s">
        <v>22362</v>
      </c>
      <c r="E648" s="4" t="str">
        <f ca="1">IFERROR(__xludf.DUMMYFUNCTION("GOOGLETRANSLATE(B648,""ja"",""vi"")"),"mắt cá")</f>
        <v>mắt cá</v>
      </c>
      <c r="F648" s="4" t="str">
        <f ca="1">IFERROR(__xludf.DUMMYFUNCTION("GOOGLETRANSLATE(C648,""ja"",""vi"")"),"Đấu giá&gt; làm đẹp, chăm sóc sức khỏe&gt; ​​nguồn cung cấp sức khỏe, thiết bị y tế&gt; ủng hộ&gt; cho mắt cá chân")</f>
        <v>Đấu giá&gt; làm đẹp, chăm sóc sức khỏe&gt; ​​nguồn cung cấp sức khỏe, thiết bị y tế&gt; ủng hộ&gt; cho mắt cá chân</v>
      </c>
      <c r="G648" t="str">
        <f t="shared" ca="1" si="10"/>
        <v>"2084216483" : "mắt cá",</v>
      </c>
    </row>
    <row r="649" spans="1:7" ht="15.75" customHeight="1">
      <c r="A649" s="28">
        <v>2084216484</v>
      </c>
      <c r="B649" s="28" t="s">
        <v>22363</v>
      </c>
      <c r="C649" s="28" t="s">
        <v>22365</v>
      </c>
      <c r="D649" s="28" t="s">
        <v>22367</v>
      </c>
      <c r="E649" s="4" t="str">
        <f ca="1">IFERROR(__xludf.DUMMYFUNCTION("GOOGLETRANSLATE(B649,""ja"",""vi"")"),"Chung cho chân")</f>
        <v>Chung cho chân</v>
      </c>
      <c r="F649" s="4" t="str">
        <f ca="1">IFERROR(__xludf.DUMMYFUNCTION("GOOGLETRANSLATE(C649,""ja"",""vi"")"),"Đấu giá&gt; làm đẹp, chăm sóc sức khỏe&gt; ​​nguồn cung cấp sức khỏe, thiết bị y tế&gt; ủng hộ&gt; chung cho chân")</f>
        <v>Đấu giá&gt; làm đẹp, chăm sóc sức khỏe&gt; ​​nguồn cung cấp sức khỏe, thiết bị y tế&gt; ủng hộ&gt; chung cho chân</v>
      </c>
      <c r="G649" t="str">
        <f t="shared" ca="1" si="10"/>
        <v>"2084216484" : "Chung cho chân",</v>
      </c>
    </row>
    <row r="650" spans="1:7" ht="15.75" customHeight="1">
      <c r="A650" s="28">
        <v>2084006785</v>
      </c>
      <c r="B650" s="28" t="s">
        <v>22368</v>
      </c>
      <c r="C650" s="28" t="s">
        <v>22369</v>
      </c>
      <c r="D650" s="28" t="s">
        <v>22371</v>
      </c>
      <c r="E650" s="4" t="str">
        <f ca="1">IFERROR(__xludf.DUMMYFUNCTION("GOOGLETRANSLATE(B650,""ja"",""vi"")"),"Thể thao (phụ nữ)")</f>
        <v>Thể thao (phụ nữ)</v>
      </c>
      <c r="F650" s="4" t="str">
        <f ca="1">IFERROR(__xludf.DUMMYFUNCTION("GOOGLETRANSLATE(C650,""ja"",""vi"")"),"Đấu giá&gt; làm đẹp, chăm sóc sức khỏe&gt; ​​nguồn cung cấp sức khỏe, thiết bị y tế&gt; ủng hộ&gt; cho thể thao (phụ nữ)")</f>
        <v>Đấu giá&gt; làm đẹp, chăm sóc sức khỏe&gt; ​​nguồn cung cấp sức khỏe, thiết bị y tế&gt; ủng hộ&gt; cho thể thao (phụ nữ)</v>
      </c>
      <c r="G650" t="str">
        <f t="shared" ca="1" si="10"/>
        <v>"2084006785" : "Thể thao (phụ nữ)",</v>
      </c>
    </row>
    <row r="651" spans="1:7" ht="15.75" customHeight="1">
      <c r="A651" s="28">
        <v>2084006786</v>
      </c>
      <c r="B651" s="28" t="s">
        <v>22373</v>
      </c>
      <c r="C651" s="28" t="s">
        <v>22375</v>
      </c>
      <c r="D651" s="28" t="s">
        <v>22377</v>
      </c>
      <c r="E651" s="4" t="str">
        <f ca="1">IFERROR(__xludf.DUMMYFUNCTION("GOOGLETRANSLATE(B651,""ja"",""vi"")"),"Thể thao (nam)")</f>
        <v>Thể thao (nam)</v>
      </c>
      <c r="F651" s="4" t="str">
        <f ca="1">IFERROR(__xludf.DUMMYFUNCTION("GOOGLETRANSLATE(C651,""ja"",""vi"")"),"Đấu giá&gt; làm đẹp, chăm sóc sức khỏe&gt; ​​nguồn cung cấp sức khỏe, thiết bị y tế&gt; ủng hộ&gt; cho thể thao (nam)")</f>
        <v>Đấu giá&gt; làm đẹp, chăm sóc sức khỏe&gt; ​​nguồn cung cấp sức khỏe, thiết bị y tế&gt; ủng hộ&gt; cho thể thao (nam)</v>
      </c>
      <c r="G651" t="str">
        <f t="shared" ca="1" si="10"/>
        <v>"2084006786" : "Thể thao (nam)",</v>
      </c>
    </row>
    <row r="652" spans="1:7" ht="15.75" customHeight="1">
      <c r="A652" s="28">
        <v>2084216486</v>
      </c>
      <c r="B652" s="28" t="s">
        <v>46</v>
      </c>
      <c r="C652" s="28" t="s">
        <v>22380</v>
      </c>
      <c r="D652" s="28" t="s">
        <v>22381</v>
      </c>
      <c r="E652" s="4" t="str">
        <f ca="1">IFERROR(__xludf.DUMMYFUNCTION("GOOGLETRANSLATE(B652,""ja"",""vi"")"),"nếu không thì")</f>
        <v>nếu không thì</v>
      </c>
      <c r="F652" s="4" t="str">
        <f ca="1">IFERROR(__xludf.DUMMYFUNCTION("GOOGLETRANSLATE(C652,""ja"",""vi"")"),"Đấu giá&gt; làm đẹp, chăm sóc sức khỏe&gt; ​​nguồn cung cấp sức khỏe, thiết bị y tế&gt; ủng hộ&gt; Khác")</f>
        <v>Đấu giá&gt; làm đẹp, chăm sóc sức khỏe&gt; ​​nguồn cung cấp sức khỏe, thiết bị y tế&gt; ủng hộ&gt; Khác</v>
      </c>
      <c r="G652" t="str">
        <f t="shared" ca="1" si="10"/>
        <v>"2084216486" : "nếu không thì",</v>
      </c>
    </row>
    <row r="653" spans="1:7" ht="15.75" customHeight="1">
      <c r="A653" s="36">
        <v>2084006920</v>
      </c>
      <c r="B653" s="36" t="s">
        <v>22383</v>
      </c>
      <c r="C653" s="36" t="s">
        <v>22384</v>
      </c>
      <c r="D653" s="36" t="s">
        <v>22386</v>
      </c>
      <c r="E653" s="4" t="str">
        <f ca="1">IFERROR(__xludf.DUMMYFUNCTION("GOOGLETRANSLATE(B653,""ja"",""vi"")"),"máy đo huyết áp")</f>
        <v>máy đo huyết áp</v>
      </c>
      <c r="F653" s="4" t="str">
        <f ca="1">IFERROR(__xludf.DUMMYFUNCTION("GOOGLETRANSLATE(C653,""ja"",""vi"")"),"Đấu giá&gt; làm đẹp, chăm sóc sức khỏe&gt; ​​nguồn cung cấp sức khỏe, thiết bị y tế&gt; kiểm tra, đo lường cụ&gt; máy đo huyết áp")</f>
        <v>Đấu giá&gt; làm đẹp, chăm sóc sức khỏe&gt; ​​nguồn cung cấp sức khỏe, thiết bị y tế&gt; kiểm tra, đo lường cụ&gt; máy đo huyết áp</v>
      </c>
      <c r="G653" t="str">
        <f t="shared" ca="1" si="10"/>
        <v>"2084006920" : "máy đo huyết áp",</v>
      </c>
    </row>
    <row r="654" spans="1:7" ht="15.75" customHeight="1">
      <c r="A654" s="28">
        <v>2084216489</v>
      </c>
      <c r="B654" s="28" t="s">
        <v>22387</v>
      </c>
      <c r="C654" s="28" t="s">
        <v>22388</v>
      </c>
      <c r="D654" s="28" t="s">
        <v>22390</v>
      </c>
      <c r="E654" s="4" t="str">
        <f ca="1">IFERROR(__xludf.DUMMYFUNCTION("GOOGLETRANSLATE(B654,""ja"",""vi"")"),"nhiệt kế")</f>
        <v>nhiệt kế</v>
      </c>
      <c r="F654" s="4" t="str">
        <f ca="1">IFERROR(__xludf.DUMMYFUNCTION("GOOGLETRANSLATE(C654,""ja"",""vi"")"),"Đấu giá&gt; làm đẹp, chăm sóc sức khỏe&gt; ​​nguồn cung cấp sức khỏe, thiết bị y tế&gt; kiểm tra, đo lường cụ&gt; nhiệt kế")</f>
        <v>Đấu giá&gt; làm đẹp, chăm sóc sức khỏe&gt; ​​nguồn cung cấp sức khỏe, thiết bị y tế&gt; kiểm tra, đo lường cụ&gt; nhiệt kế</v>
      </c>
      <c r="G654" t="str">
        <f t="shared" ca="1" si="10"/>
        <v>"2084216489" : "nhiệt kế",</v>
      </c>
    </row>
    <row r="655" spans="1:7" ht="15.75" customHeight="1">
      <c r="A655" s="28">
        <v>2084006921</v>
      </c>
      <c r="B655" s="28" t="s">
        <v>4346</v>
      </c>
      <c r="C655" s="28" t="s">
        <v>22392</v>
      </c>
      <c r="D655" s="28" t="s">
        <v>22393</v>
      </c>
      <c r="E655" s="4" t="str">
        <f ca="1">IFERROR(__xludf.DUMMYFUNCTION("GOOGLETRANSLATE(B655,""ja"",""vi"")"),"mét mỡ cơ thể")</f>
        <v>mét mỡ cơ thể</v>
      </c>
      <c r="F655" s="4" t="str">
        <f ca="1">IFERROR(__xludf.DUMMYFUNCTION("GOOGLETRANSLATE(C655,""ja"",""vi"")"),"Đấu giá&gt; làm đẹp, chăm sóc sức khỏe&gt; ​​nguồn cung cấp sức khỏe, thiết bị y tế&gt; kiểm tra, đo lường cụ&gt; mét mỡ cơ thể")</f>
        <v>Đấu giá&gt; làm đẹp, chăm sóc sức khỏe&gt; ​​nguồn cung cấp sức khỏe, thiết bị y tế&gt; kiểm tra, đo lường cụ&gt; mét mỡ cơ thể</v>
      </c>
      <c r="G655" t="str">
        <f t="shared" ca="1" si="10"/>
        <v>"2084006921" : "mét mỡ cơ thể",</v>
      </c>
    </row>
    <row r="656" spans="1:7" ht="15.75" customHeight="1">
      <c r="A656" s="28">
        <v>2084006922</v>
      </c>
      <c r="B656" s="28" t="s">
        <v>4351</v>
      </c>
      <c r="C656" s="28" t="s">
        <v>22396</v>
      </c>
      <c r="D656" s="28" t="s">
        <v>22397</v>
      </c>
      <c r="E656" s="4" t="str">
        <f ca="1">IFERROR(__xludf.DUMMYFUNCTION("GOOGLETRANSLATE(B656,""ja"",""vi"")"),"quy mô nặng")</f>
        <v>quy mô nặng</v>
      </c>
      <c r="F656" s="4" t="str">
        <f ca="1">IFERROR(__xludf.DUMMYFUNCTION("GOOGLETRANSLATE(C656,""ja"",""vi"")"),"Đấu giá&gt; làm đẹp, chăm sóc sức khỏe&gt; ​​nguồn cung cấp sức khỏe, thiết bị y tế&gt; kiểm tra, đo lường cụ&gt; vảy")</f>
        <v>Đấu giá&gt; làm đẹp, chăm sóc sức khỏe&gt; ​​nguồn cung cấp sức khỏe, thiết bị y tế&gt; kiểm tra, đo lường cụ&gt; vảy</v>
      </c>
      <c r="G656" t="str">
        <f t="shared" ca="1" si="10"/>
        <v>"2084006922" : "quy mô nặng",</v>
      </c>
    </row>
    <row r="657" spans="1:7" ht="15.75" customHeight="1">
      <c r="A657" s="28">
        <v>2084006923</v>
      </c>
      <c r="B657" s="28" t="s">
        <v>22399</v>
      </c>
      <c r="C657" s="28" t="s">
        <v>22400</v>
      </c>
      <c r="D657" s="28" t="s">
        <v>22401</v>
      </c>
      <c r="E657" s="4" t="str">
        <f ca="1">IFERROR(__xludf.DUMMYFUNCTION("GOOGLETRANSLATE(B657,""ja"",""vi"")"),"máy đo sức đi bộ của chân")</f>
        <v>máy đo sức đi bộ của chân</v>
      </c>
      <c r="F657" s="4" t="str">
        <f ca="1">IFERROR(__xludf.DUMMYFUNCTION("GOOGLETRANSLATE(C657,""ja"",""vi"")"),"Đấu giá&gt; làm đẹp, chăm sóc sức khỏe&gt; ​​nguồn cung cấp sức khỏe, thiết bị y tế&gt; kiểm tra, đo lường cụ&gt; pedometer")</f>
        <v>Đấu giá&gt; làm đẹp, chăm sóc sức khỏe&gt; ​​nguồn cung cấp sức khỏe, thiết bị y tế&gt; kiểm tra, đo lường cụ&gt; pedometer</v>
      </c>
      <c r="G657" t="str">
        <f t="shared" ca="1" si="10"/>
        <v>"2084006923" : "máy đo sức đi bộ của chân",</v>
      </c>
    </row>
    <row r="658" spans="1:7" ht="15.75" customHeight="1">
      <c r="A658" s="28">
        <v>2084006919</v>
      </c>
      <c r="B658" s="28" t="s">
        <v>46</v>
      </c>
      <c r="C658" s="28" t="s">
        <v>22404</v>
      </c>
      <c r="D658" s="28" t="s">
        <v>22405</v>
      </c>
      <c r="E658" s="4" t="str">
        <f ca="1">IFERROR(__xludf.DUMMYFUNCTION("GOOGLETRANSLATE(B658,""ja"",""vi"")"),"nếu không thì")</f>
        <v>nếu không thì</v>
      </c>
      <c r="F658" s="4" t="str">
        <f ca="1">IFERROR(__xludf.DUMMYFUNCTION("GOOGLETRANSLATE(C658,""ja"",""vi"")"),"Đấu giá&gt; làm đẹp, chăm sóc sức khỏe&gt; ​​nguồn cung cấp sức khỏe, thiết bị y tế&gt; kiểm tra, đo lường cụ&gt; Khác")</f>
        <v>Đấu giá&gt; làm đẹp, chăm sóc sức khỏe&gt; ​​nguồn cung cấp sức khỏe, thiết bị y tế&gt; kiểm tra, đo lường cụ&gt; Khác</v>
      </c>
      <c r="G658" t="str">
        <f t="shared" ca="1" si="10"/>
        <v>"2084006919" : "nếu không thì",</v>
      </c>
    </row>
    <row r="659" spans="1:7" ht="15.75" customHeight="1">
      <c r="A659" s="36">
        <v>2084006908</v>
      </c>
      <c r="B659" s="36" t="s">
        <v>22407</v>
      </c>
      <c r="C659" s="36" t="s">
        <v>22408</v>
      </c>
      <c r="D659" s="36" t="s">
        <v>22409</v>
      </c>
      <c r="E659" s="4" t="str">
        <f ca="1">IFERROR(__xludf.DUMMYFUNCTION("GOOGLETRANSLATE(B659,""ja"",""vi"")"),"Phụ nữ cho một sợi dây chuyền từ")</f>
        <v>Phụ nữ cho một sợi dây chuyền từ</v>
      </c>
      <c r="F659" s="4" t="str">
        <f ca="1">IFERROR(__xludf.DUMMYFUNCTION("GOOGLETRANSLATE(C659,""ja"",""vi"")"),"Đấu giá&gt; làm đẹp, chăm sóc sức khỏe&gt; ​​nguồn cung cấp sức khỏe, thiết bị y tế&gt; vòng cổ từ cho các phụ kiện từ tính&gt; Phụ nữ")</f>
        <v>Đấu giá&gt; làm đẹp, chăm sóc sức khỏe&gt; ​​nguồn cung cấp sức khỏe, thiết bị y tế&gt; vòng cổ từ cho các phụ kiện từ tính&gt; Phụ nữ</v>
      </c>
      <c r="G659" t="str">
        <f t="shared" ca="1" si="10"/>
        <v>"2084006908" : "Phụ nữ cho một sợi dây chuyền từ",</v>
      </c>
    </row>
    <row r="660" spans="1:7" ht="15.75" customHeight="1">
      <c r="A660" s="28">
        <v>2084006914</v>
      </c>
      <c r="B660" s="28" t="s">
        <v>22412</v>
      </c>
      <c r="C660" s="28" t="s">
        <v>22413</v>
      </c>
      <c r="D660" s="28" t="s">
        <v>22414</v>
      </c>
      <c r="E660" s="4" t="str">
        <f ca="1">IFERROR(__xludf.DUMMYFUNCTION("GOOGLETRANSLATE(B660,""ja"",""vi"")"),"vòng cổ từ dành cho nam giới")</f>
        <v>vòng cổ từ dành cho nam giới</v>
      </c>
      <c r="F660" s="4" t="str">
        <f ca="1">IFERROR(__xludf.DUMMYFUNCTION("GOOGLETRANSLATE(C660,""ja"",""vi"")"),"Đấu giá&gt; làm đẹp, chăm sóc sức khỏe&gt; ​​nguồn cung cấp sức khỏe, thiết bị y tế&gt; vòng cổ từ cho các phụ kiện từ tính&gt; Đàn ông")</f>
        <v>Đấu giá&gt; làm đẹp, chăm sóc sức khỏe&gt; ​​nguồn cung cấp sức khỏe, thiết bị y tế&gt; vòng cổ từ cho các phụ kiện từ tính&gt; Đàn ông</v>
      </c>
      <c r="G660" t="str">
        <f t="shared" ca="1" si="10"/>
        <v>"2084006914" : "vòng cổ từ dành cho nam giới",</v>
      </c>
    </row>
    <row r="661" spans="1:7" ht="15.75" customHeight="1">
      <c r="A661" s="36">
        <v>2084228735</v>
      </c>
      <c r="B661" s="36" t="s">
        <v>2241</v>
      </c>
      <c r="C661" s="36" t="s">
        <v>22417</v>
      </c>
      <c r="D661" s="36" t="s">
        <v>22418</v>
      </c>
      <c r="E661" s="4" t="str">
        <f ca="1">IFERROR(__xludf.DUMMYFUNCTION("GOOGLETRANSLATE(B661,""ja"",""vi"")"),"chung")</f>
        <v>chung</v>
      </c>
      <c r="F661" s="4" t="str">
        <f ca="1">IFERROR(__xludf.DUMMYFUNCTION("GOOGLETRANSLATE(C661,""ja"",""vi"")"),"Đấu giá&gt; làm đẹp, chăm sóc sức khỏe&gt; ​​nguồn cung cấp sức khỏe, thiết bị y tế&gt; mía, mía&gt; General")</f>
        <v>Đấu giá&gt; làm đẹp, chăm sóc sức khỏe&gt; ​​nguồn cung cấp sức khỏe, thiết bị y tế&gt; mía, mía&gt; General</v>
      </c>
      <c r="G661" t="str">
        <f t="shared" ca="1" si="10"/>
        <v>"2084228735" : "chung",</v>
      </c>
    </row>
    <row r="662" spans="1:7" ht="15.75" customHeight="1">
      <c r="A662" s="28">
        <v>2084228734</v>
      </c>
      <c r="B662" s="28" t="s">
        <v>22421</v>
      </c>
      <c r="C662" s="28" t="s">
        <v>22422</v>
      </c>
      <c r="D662" s="28" t="s">
        <v>22423</v>
      </c>
      <c r="E662" s="4" t="str">
        <f ca="1">IFERROR(__xludf.DUMMYFUNCTION("GOOGLETRANSLATE(B662,""ja"",""vi"")"),"Gấp, kính thiên văn")</f>
        <v>Gấp, kính thiên văn</v>
      </c>
      <c r="F662" s="4" t="str">
        <f ca="1">IFERROR(__xludf.DUMMYFUNCTION("GOOGLETRANSLATE(C662,""ja"",""vi"")"),"Đấu giá&gt; làm đẹp, chăm sóc sức khỏe&gt; ​​nguồn cung cấp sức khỏe, thiết bị y tế&gt; mía, mía&gt; gấp, kính thiên văn")</f>
        <v>Đấu giá&gt; làm đẹp, chăm sóc sức khỏe&gt; ​​nguồn cung cấp sức khỏe, thiết bị y tế&gt; mía, mía&gt; gấp, kính thiên văn</v>
      </c>
      <c r="G662" t="str">
        <f t="shared" ca="1" si="10"/>
        <v>"2084228734" : "Gấp, kính thiên văn",</v>
      </c>
    </row>
    <row r="663" spans="1:7" ht="15.75" customHeight="1">
      <c r="A663" s="36">
        <v>2084230958</v>
      </c>
      <c r="B663" s="36" t="s">
        <v>4306</v>
      </c>
      <c r="C663" s="36" t="s">
        <v>4307</v>
      </c>
      <c r="D663" s="36" t="s">
        <v>22426</v>
      </c>
      <c r="E663" s="4" t="str">
        <f ca="1">IFERROR(__xludf.DUMMYFUNCTION("GOOGLETRANSLATE(B663,""ja"",""vi"")"),"Omron")</f>
        <v>Omron</v>
      </c>
      <c r="F663" s="4" t="str">
        <f ca="1">IFERROR(__xludf.DUMMYFUNCTION("GOOGLETRANSLATE(C663,""ja"",""vi"")"),"Đấu giá&gt; thiết bị điện tử tiêu dùng, AV, camera&gt; vẻ đẹp, sức khỏe&gt; ​​bàn chải đánh răng điện&gt; Omron")</f>
        <v>Đấu giá&gt; thiết bị điện tử tiêu dùng, AV, camera&gt; vẻ đẹp, sức khỏe&gt; ​​bàn chải đánh răng điện&gt; Omron</v>
      </c>
      <c r="G663" t="str">
        <f t="shared" ca="1" si="10"/>
        <v>"2084230958" : "Omron",</v>
      </c>
    </row>
    <row r="664" spans="1:7" ht="15.75" customHeight="1">
      <c r="A664" s="28">
        <v>2084230956</v>
      </c>
      <c r="B664" s="28" t="s">
        <v>4000</v>
      </c>
      <c r="C664" s="28" t="s">
        <v>4311</v>
      </c>
      <c r="D664" s="28" t="s">
        <v>22429</v>
      </c>
      <c r="E664" s="4" t="str">
        <f ca="1">IFERROR(__xludf.DUMMYFUNCTION("GOOGLETRANSLATE(B664,""ja"",""vi"")"),"Panasonic, National")</f>
        <v>Panasonic, National</v>
      </c>
      <c r="F664" s="4" t="str">
        <f ca="1">IFERROR(__xludf.DUMMYFUNCTION("GOOGLETRANSLATE(C664,""ja"",""vi"")"),"Đấu giá&gt; thiết bị điện tử tiêu dùng, AV, camera&gt; vẻ đẹp, sức khỏe&gt; ​​bàn chải đánh răng điện&gt; Panasonic, National")</f>
        <v>Đấu giá&gt; thiết bị điện tử tiêu dùng, AV, camera&gt; vẻ đẹp, sức khỏe&gt; ​​bàn chải đánh răng điện&gt; Panasonic, National</v>
      </c>
      <c r="G664" t="str">
        <f t="shared" ca="1" si="10"/>
        <v>"2084230956" : "Panasonic, National",</v>
      </c>
    </row>
    <row r="665" spans="1:7" ht="15.75" customHeight="1">
      <c r="A665" s="28">
        <v>2084230959</v>
      </c>
      <c r="B665" s="28" t="s">
        <v>4290</v>
      </c>
      <c r="C665" s="28" t="s">
        <v>4315</v>
      </c>
      <c r="D665" s="28" t="s">
        <v>22432</v>
      </c>
      <c r="E665" s="4" t="str">
        <f ca="1">IFERROR(__xludf.DUMMYFUNCTION("GOOGLETRANSLATE(B665,""ja"",""vi"")"),"Philips")</f>
        <v>Philips</v>
      </c>
      <c r="F665" s="4" t="str">
        <f ca="1">IFERROR(__xludf.DUMMYFUNCTION("GOOGLETRANSLATE(C665,""ja"",""vi"")"),"Đấu giá&gt; thiết bị điện tử tiêu dùng, AV, camera&gt; vẻ đẹp, sức khỏe&gt; ​​bàn chải đánh răng điện&gt; Philips")</f>
        <v>Đấu giá&gt; thiết bị điện tử tiêu dùng, AV, camera&gt; vẻ đẹp, sức khỏe&gt; ​​bàn chải đánh răng điện&gt; Philips</v>
      </c>
      <c r="G665" t="str">
        <f t="shared" ca="1" si="10"/>
        <v>"2084230959" : "Philips",</v>
      </c>
    </row>
    <row r="666" spans="1:7" ht="15.75" customHeight="1">
      <c r="A666" s="28">
        <v>2084230955</v>
      </c>
      <c r="B666" s="28" t="s">
        <v>4295</v>
      </c>
      <c r="C666" s="28" t="s">
        <v>4319</v>
      </c>
      <c r="D666" s="28" t="s">
        <v>22437</v>
      </c>
      <c r="E666" s="4" t="str">
        <f ca="1">IFERROR(__xludf.DUMMYFUNCTION("GOOGLETRANSLATE(B666,""ja"",""vi"")"),"màu nâu")</f>
        <v>màu nâu</v>
      </c>
      <c r="F666" s="4" t="str">
        <f ca="1">IFERROR(__xludf.DUMMYFUNCTION("GOOGLETRANSLATE(C666,""ja"",""vi"")"),"Đấu giá&gt; thiết bị điện tử tiêu dùng, AV, camera&gt; vẻ đẹp, sức khỏe&gt; ​​bàn chải đánh răng điện&gt; Nâu")</f>
        <v>Đấu giá&gt; thiết bị điện tử tiêu dùng, AV, camera&gt; vẻ đẹp, sức khỏe&gt; ​​bàn chải đánh răng điện&gt; Nâu</v>
      </c>
      <c r="G666" t="str">
        <f t="shared" ca="1" si="10"/>
        <v>"2084230955" : "màu nâu",</v>
      </c>
    </row>
    <row r="667" spans="1:7" ht="15.75" customHeight="1">
      <c r="A667" s="28">
        <v>2084230957</v>
      </c>
      <c r="B667" s="28" t="s">
        <v>4321</v>
      </c>
      <c r="C667" s="28" t="s">
        <v>4324</v>
      </c>
      <c r="D667" s="28" t="s">
        <v>22438</v>
      </c>
      <c r="E667" s="4" t="str">
        <f ca="1">IFERROR(__xludf.DUMMYFUNCTION("GOOGLETRANSLATE(B667,""ja"",""vi"")"),"Toure")</f>
        <v>Toure</v>
      </c>
      <c r="F667" s="4" t="str">
        <f ca="1">IFERROR(__xludf.DUMMYFUNCTION("GOOGLETRANSLATE(C667,""ja"",""vi"")"),"Đấu giá&gt; thiết bị điện tử tiêu dùng, AV, camera&gt; vẻ đẹp, sức khỏe&gt; ​​bàn chải đánh răng điện&gt; Toure")</f>
        <v>Đấu giá&gt; thiết bị điện tử tiêu dùng, AV, camera&gt; vẻ đẹp, sức khỏe&gt; ​​bàn chải đánh răng điện&gt; Toure</v>
      </c>
      <c r="G667" t="str">
        <f t="shared" ca="1" si="10"/>
        <v>"2084230957" : "Toure",</v>
      </c>
    </row>
    <row r="668" spans="1:7" ht="15.75" customHeight="1">
      <c r="A668" s="28">
        <v>2084230960</v>
      </c>
      <c r="B668" s="28" t="s">
        <v>46</v>
      </c>
      <c r="C668" s="28" t="s">
        <v>4326</v>
      </c>
      <c r="D668" s="28" t="s">
        <v>22442</v>
      </c>
      <c r="E668" s="4" t="str">
        <f ca="1">IFERROR(__xludf.DUMMYFUNCTION("GOOGLETRANSLATE(B668,""ja"",""vi"")"),"nếu không thì")</f>
        <v>nếu không thì</v>
      </c>
      <c r="F668" s="4" t="str">
        <f ca="1">IFERROR(__xludf.DUMMYFUNCTION("GOOGLETRANSLATE(C668,""ja"",""vi"")"),"Đấu giá&gt; thiết bị điện tử tiêu dùng, AV, camera&gt; vẻ đẹp, sức khỏe&gt; ​​bàn chải đánh răng điện&gt; Khác")</f>
        <v>Đấu giá&gt; thiết bị điện tử tiêu dùng, AV, camera&gt; vẻ đẹp, sức khỏe&gt; ​​bàn chải đánh răng điện&gt; Khác</v>
      </c>
      <c r="G668" t="str">
        <f t="shared" ca="1" si="10"/>
        <v>"2084230960" : "nếu không thì",</v>
      </c>
    </row>
  </sheetData>
  <pageMargins left="0.7" right="0.7" top="0.75" bottom="0.75" header="0" footer="0"/>
  <pageSetup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7"/>
  <sheetViews>
    <sheetView tabSelected="1" workbookViewId="0">
      <pane ySplit="1" topLeftCell="A14" activePane="bottomLeft" state="frozen"/>
      <selection pane="bottomLeft" activeCell="D11" sqref="D11"/>
    </sheetView>
  </sheetViews>
  <sheetFormatPr defaultColWidth="12.59765625" defaultRowHeight="15" customHeight="1"/>
  <cols>
    <col min="1" max="1" width="10.59765625" customWidth="1"/>
    <col min="2" max="2" width="15.69921875" customWidth="1"/>
    <col min="3" max="3" width="32.59765625" customWidth="1"/>
    <col min="4" max="4" width="7.59765625" customWidth="1"/>
    <col min="5" max="5" width="71.8984375" customWidth="1"/>
    <col min="6" max="25" width="7.59765625" customWidth="1"/>
  </cols>
  <sheetData>
    <row r="1" spans="1:6" ht="13.8">
      <c r="A1" s="1" t="s">
        <v>0</v>
      </c>
      <c r="B1" s="1" t="s">
        <v>1</v>
      </c>
      <c r="C1" s="1" t="s">
        <v>2</v>
      </c>
    </row>
    <row r="2" spans="1:6" ht="31.2">
      <c r="A2" s="28">
        <v>2084061913</v>
      </c>
      <c r="B2" s="28" t="s">
        <v>20373</v>
      </c>
      <c r="C2" s="28" t="s">
        <v>20374</v>
      </c>
      <c r="D2" s="4" t="str">
        <f ca="1">IFERROR(__xludf.DUMMYFUNCTION("GOOGLETRANSLATE(B2,""ja"",""vi"")"),"Vòng cổ, mặt dây chuyền, vòng cổ")</f>
        <v>Vòng cổ, mặt dây chuyền, vòng cổ</v>
      </c>
      <c r="E2" s="4" t="str">
        <f ca="1">IFERROR(__xludf.DUMMYFUNCTION("GOOGLETRANSLATE(C2,""ja"",""vi"")"),"Đấu giá&gt; phụ kiện, đồng hồ&gt; thương hiệu phụ kiện&gt; A &amp; G&gt; vòng cổ, mặt dây chuyền, vòng cổ")</f>
        <v>Đấu giá&gt; phụ kiện, đồng hồ&gt; thương hiệu phụ kiện&gt; A &amp; G&gt; vòng cổ, mặt dây chuyền, vòng cổ</v>
      </c>
      <c r="F2" t="str">
        <f ca="1">CONCATENATE(CHAR(34)&amp;"",A2,""&amp;CHAR(34)," : ", CHAR(34)&amp;"",D2,""&amp;CHAR(34),",")</f>
        <v>"2084061913" : "Vòng cổ, mặt dây chuyền, vòng cổ",</v>
      </c>
    </row>
    <row r="3" spans="1:6" ht="31.2">
      <c r="A3" s="28">
        <v>2084061914</v>
      </c>
      <c r="B3" s="28" t="s">
        <v>18503</v>
      </c>
      <c r="C3" s="28" t="s">
        <v>20378</v>
      </c>
      <c r="D3" s="4" t="str">
        <f ca="1">IFERROR(__xludf.DUMMYFUNCTION("GOOGLETRANSLATE(B3,""ja"",""vi"")"),"Vòng đeo tay, vòng")</f>
        <v>Vòng đeo tay, vòng</v>
      </c>
      <c r="E3" s="4" t="str">
        <f ca="1">IFERROR(__xludf.DUMMYFUNCTION("GOOGLETRANSLATE(C3,""ja"",""vi"")"),"Đấu giá&gt; phụ kiện, đồng hồ&gt; thương hiệu phụ kiện&gt; A &amp; G&gt; vòng đeo tay, vòng")</f>
        <v>Đấu giá&gt; phụ kiện, đồng hồ&gt; thương hiệu phụ kiện&gt; A &amp; G&gt; vòng đeo tay, vòng</v>
      </c>
      <c r="F3" t="str">
        <f t="shared" ref="F3:F66" ca="1" si="0">CONCATENATE(CHAR(34)&amp;"",A3,""&amp;CHAR(34)," : ", CHAR(34)&amp;"",D3,""&amp;CHAR(34),",")</f>
        <v>"2084061914" : "Vòng đeo tay, vòng",</v>
      </c>
    </row>
    <row r="4" spans="1:6" ht="21">
      <c r="A4" s="28">
        <v>2084061915</v>
      </c>
      <c r="B4" s="28" t="s">
        <v>18491</v>
      </c>
      <c r="C4" s="28" t="s">
        <v>20381</v>
      </c>
      <c r="D4" s="4" t="str">
        <f ca="1">IFERROR(__xludf.DUMMYFUNCTION("GOOGLETRANSLATE(B4,""ja"",""vi"")"),"vòng")</f>
        <v>vòng</v>
      </c>
      <c r="E4" s="4" t="str">
        <f ca="1">IFERROR(__xludf.DUMMYFUNCTION("GOOGLETRANSLATE(C4,""ja"",""vi"")"),"Đấu giá&gt; phụ kiện, đồng hồ&gt; thương hiệu phụ kiện&gt; A &amp; G&gt; Nhẫn")</f>
        <v>Đấu giá&gt; phụ kiện, đồng hồ&gt; thương hiệu phụ kiện&gt; A &amp; G&gt; Nhẫn</v>
      </c>
      <c r="F4" t="str">
        <f t="shared" ca="1" si="0"/>
        <v>"2084061915" : "vòng",</v>
      </c>
    </row>
    <row r="5" spans="1:6" ht="21">
      <c r="A5" s="28">
        <v>2084061916</v>
      </c>
      <c r="B5" s="28" t="s">
        <v>46</v>
      </c>
      <c r="C5" s="28" t="s">
        <v>20383</v>
      </c>
      <c r="D5" s="41" t="str">
        <f ca="1">IFERROR(__xludf.DUMMYFUNCTION("GOOGLETRANSLATE(B5,""ja"",""vi"")"),"nếu không thì")</f>
        <v>nếu không thì</v>
      </c>
      <c r="E5" s="4" t="str">
        <f ca="1">IFERROR(__xludf.DUMMYFUNCTION("GOOGLETRANSLATE(C5,""ja"",""vi"")"),"Loading...")</f>
        <v>Loading...</v>
      </c>
      <c r="F5" t="str">
        <f t="shared" ca="1" si="0"/>
        <v>"2084061916" : "nếu không thì",</v>
      </c>
    </row>
    <row r="6" spans="1:6" ht="31.2">
      <c r="A6" s="28">
        <v>2084057875</v>
      </c>
      <c r="B6" s="28" t="s">
        <v>20386</v>
      </c>
      <c r="C6" s="28" t="s">
        <v>20387</v>
      </c>
      <c r="D6" s="4" t="str">
        <f ca="1">IFERROR(__xludf.DUMMYFUNCTION("GOOGLETRANSLATE(B6,""ja"",""vi"")"),"Bông tai, bông tai")</f>
        <v>Bông tai, bông tai</v>
      </c>
      <c r="E6" s="4" t="str">
        <f ca="1">IFERROR(__xludf.DUMMYFUNCTION("GOOGLETRANSLATE(C6,""ja"",""vi"")"),"Đấu giá&gt; phụ kiện, đồng hồ&gt; thương hiệu phụ kiện&gt; Agata&gt; bông tai, bông tai")</f>
        <v>Đấu giá&gt; phụ kiện, đồng hồ&gt; thương hiệu phụ kiện&gt; Agata&gt; bông tai, bông tai</v>
      </c>
      <c r="F6" t="str">
        <f t="shared" ca="1" si="0"/>
        <v>"2084057875" : "Bông tai, bông tai",</v>
      </c>
    </row>
    <row r="7" spans="1:6" ht="31.2">
      <c r="A7" s="28">
        <v>2084057876</v>
      </c>
      <c r="B7" s="28" t="s">
        <v>20373</v>
      </c>
      <c r="C7" s="28" t="s">
        <v>20391</v>
      </c>
      <c r="D7" s="4" t="str">
        <f ca="1">IFERROR(__xludf.DUMMYFUNCTION("GOOGLETRANSLATE(B7,""ja"",""vi"")"),"Vòng cổ, mặt dây chuyền, vòng cổ")</f>
        <v>Vòng cổ, mặt dây chuyền, vòng cổ</v>
      </c>
      <c r="E7" s="4" t="str">
        <f ca="1">IFERROR(__xludf.DUMMYFUNCTION("GOOGLETRANSLATE(C7,""ja"",""vi"")"),"Loading...")</f>
        <v>Loading...</v>
      </c>
      <c r="F7" t="str">
        <f t="shared" ca="1" si="0"/>
        <v>"2084057876" : "Vòng cổ, mặt dây chuyền, vòng cổ",</v>
      </c>
    </row>
    <row r="8" spans="1:6" ht="31.2">
      <c r="A8" s="28">
        <v>2084057877</v>
      </c>
      <c r="B8" s="28" t="s">
        <v>18503</v>
      </c>
      <c r="C8" s="28" t="s">
        <v>20394</v>
      </c>
      <c r="D8" s="4" t="str">
        <f ca="1">IFERROR(__xludf.DUMMYFUNCTION("GOOGLETRANSLATE(B8,""ja"",""vi"")"),"Vòng đeo tay, vòng")</f>
        <v>Vòng đeo tay, vòng</v>
      </c>
      <c r="E8" s="4" t="str">
        <f ca="1">IFERROR(__xludf.DUMMYFUNCTION("GOOGLETRANSLATE(C8,""ja"",""vi"")"),"Đấu giá&gt; phụ kiện, đồng hồ&gt; thương hiệu phụ kiện&gt; Agata&gt; vòng đeo tay, vòng")</f>
        <v>Đấu giá&gt; phụ kiện, đồng hồ&gt; thương hiệu phụ kiện&gt; Agata&gt; vòng đeo tay, vòng</v>
      </c>
      <c r="F8" t="str">
        <f t="shared" ca="1" si="0"/>
        <v>"2084057877" : "Vòng đeo tay, vòng",</v>
      </c>
    </row>
    <row r="9" spans="1:6" ht="21">
      <c r="A9" s="28">
        <v>2084057878</v>
      </c>
      <c r="B9" s="28" t="s">
        <v>18491</v>
      </c>
      <c r="C9" s="28" t="s">
        <v>20398</v>
      </c>
      <c r="D9" s="4" t="str">
        <f ca="1">IFERROR(__xludf.DUMMYFUNCTION("GOOGLETRANSLATE(B9,""ja"",""vi"")"),"vòng")</f>
        <v>vòng</v>
      </c>
      <c r="E9" s="4" t="str">
        <f ca="1">IFERROR(__xludf.DUMMYFUNCTION("GOOGLETRANSLATE(C9,""ja"",""vi"")"),"Đấu giá&gt; phụ kiện, đồng hồ&gt; thương hiệu phụ kiện&gt; Agata&gt; Nhẫn")</f>
        <v>Đấu giá&gt; phụ kiện, đồng hồ&gt; thương hiệu phụ kiện&gt; Agata&gt; Nhẫn</v>
      </c>
      <c r="F9" t="str">
        <f t="shared" ca="1" si="0"/>
        <v>"2084057878" : "vòng",</v>
      </c>
    </row>
    <row r="10" spans="1:6" ht="21">
      <c r="A10" s="28">
        <v>2084057879</v>
      </c>
      <c r="B10" s="28" t="s">
        <v>46</v>
      </c>
      <c r="C10" s="28" t="s">
        <v>20406</v>
      </c>
      <c r="D10" s="4" t="str">
        <f ca="1">IFERROR(__xludf.DUMMYFUNCTION("GOOGLETRANSLATE(B10,""ja"",""vi"")"),"nếu không thì")</f>
        <v>nếu không thì</v>
      </c>
      <c r="E10" s="4" t="str">
        <f ca="1">IFERROR(__xludf.DUMMYFUNCTION("GOOGLETRANSLATE(C10,""ja"",""vi"")"),"Đấu giá&gt; phụ kiện, đồng hồ&gt; thương hiệu phụ kiện&gt; Agata&gt; Khác")</f>
        <v>Đấu giá&gt; phụ kiện, đồng hồ&gt; thương hiệu phụ kiện&gt; Agata&gt; Khác</v>
      </c>
      <c r="F10" t="str">
        <f t="shared" ca="1" si="0"/>
        <v>"2084057879" : "nếu không thì",</v>
      </c>
    </row>
    <row r="11" spans="1:6" ht="31.2">
      <c r="A11" s="28">
        <v>2084061840</v>
      </c>
      <c r="B11" s="28" t="s">
        <v>20386</v>
      </c>
      <c r="C11" s="28" t="s">
        <v>20412</v>
      </c>
      <c r="D11" s="4" t="str">
        <f ca="1">IFERROR(__xludf.DUMMYFUNCTION("GOOGLETRANSLATE(B11,""ja"",""vi"")"),"Bông tai, bông tai")</f>
        <v>Bông tai, bông tai</v>
      </c>
      <c r="E11" s="4" t="str">
        <f ca="1">IFERROR(__xludf.DUMMYFUNCTION("GOOGLETRANSLATE(C11,""ja"",""vi"")"),"Đấu giá&gt; phụ kiện, đồng hồ&gt; thương hiệu phụ kiện&gt; Agat&gt; bông tai, bông tai")</f>
        <v>Đấu giá&gt; phụ kiện, đồng hồ&gt; thương hiệu phụ kiện&gt; Agat&gt; bông tai, bông tai</v>
      </c>
      <c r="F11" t="str">
        <f t="shared" ca="1" si="0"/>
        <v>"2084061840" : "Bông tai, bông tai",</v>
      </c>
    </row>
    <row r="12" spans="1:6" ht="31.2">
      <c r="A12" s="28">
        <v>2084061843</v>
      </c>
      <c r="B12" s="28" t="s">
        <v>20373</v>
      </c>
      <c r="C12" s="28" t="s">
        <v>20420</v>
      </c>
      <c r="D12" s="4" t="str">
        <f ca="1">IFERROR(__xludf.DUMMYFUNCTION("GOOGLETRANSLATE(B12,""ja"",""vi"")"),"Vòng cổ, mặt dây chuyền, vòng cổ")</f>
        <v>Vòng cổ, mặt dây chuyền, vòng cổ</v>
      </c>
      <c r="E12" s="4" t="str">
        <f ca="1">IFERROR(__xludf.DUMMYFUNCTION("GOOGLETRANSLATE(C12,""ja"",""vi"")"),"Đấu giá&gt; phụ kiện, đồng hồ&gt; thương hiệu phụ kiện&gt; Agat&gt; vòng cổ, mặt dây chuyền, vòng cổ")</f>
        <v>Đấu giá&gt; phụ kiện, đồng hồ&gt; thương hiệu phụ kiện&gt; Agat&gt; vòng cổ, mặt dây chuyền, vòng cổ</v>
      </c>
      <c r="F12" t="str">
        <f t="shared" ca="1" si="0"/>
        <v>"2084061843" : "Vòng cổ, mặt dây chuyền, vòng cổ",</v>
      </c>
    </row>
    <row r="13" spans="1:6" ht="31.2">
      <c r="A13" s="28">
        <v>2084061844</v>
      </c>
      <c r="B13" s="28" t="s">
        <v>18503</v>
      </c>
      <c r="C13" s="28" t="s">
        <v>20424</v>
      </c>
      <c r="D13" s="4" t="str">
        <f ca="1">IFERROR(__xludf.DUMMYFUNCTION("GOOGLETRANSLATE(B13,""ja"",""vi"")"),"Vòng đeo tay, vòng")</f>
        <v>Vòng đeo tay, vòng</v>
      </c>
      <c r="E13" s="4" t="str">
        <f ca="1">IFERROR(__xludf.DUMMYFUNCTION("GOOGLETRANSLATE(C13,""ja"",""vi"")"),"Loading...")</f>
        <v>Loading...</v>
      </c>
      <c r="F13" t="str">
        <f t="shared" ca="1" si="0"/>
        <v>"2084061844" : "Vòng đeo tay, vòng",</v>
      </c>
    </row>
    <row r="14" spans="1:6" ht="15.75" customHeight="1">
      <c r="A14" s="28">
        <v>2084061847</v>
      </c>
      <c r="B14" s="28" t="s">
        <v>18491</v>
      </c>
      <c r="C14" s="28" t="s">
        <v>20429</v>
      </c>
      <c r="D14" s="4" t="str">
        <f ca="1">IFERROR(__xludf.DUMMYFUNCTION("GOOGLETRANSLATE(B14,""ja"",""vi"")"),"vòng")</f>
        <v>vòng</v>
      </c>
      <c r="E14" s="4" t="str">
        <f ca="1">IFERROR(__xludf.DUMMYFUNCTION("GOOGLETRANSLATE(C14,""ja"",""vi"")"),"Đấu giá&gt; phụ kiện, đồng hồ&gt; thương hiệu phụ kiện&gt; Agat&gt; Nhẫn")</f>
        <v>Đấu giá&gt; phụ kiện, đồng hồ&gt; thương hiệu phụ kiện&gt; Agat&gt; Nhẫn</v>
      </c>
      <c r="F14" t="str">
        <f t="shared" ca="1" si="0"/>
        <v>"2084061847" : "vòng",</v>
      </c>
    </row>
    <row r="15" spans="1:6" ht="15.75" customHeight="1">
      <c r="A15" s="28">
        <v>2084061848</v>
      </c>
      <c r="B15" s="28" t="s">
        <v>46</v>
      </c>
      <c r="C15" s="28" t="s">
        <v>20434</v>
      </c>
      <c r="D15" s="4" t="str">
        <f ca="1">IFERROR(__xludf.DUMMYFUNCTION("GOOGLETRANSLATE(B15,""ja"",""vi"")"),"nếu không thì")</f>
        <v>nếu không thì</v>
      </c>
      <c r="E15" s="4" t="str">
        <f ca="1">IFERROR(__xludf.DUMMYFUNCTION("GOOGLETRANSLATE(C15,""ja"",""vi"")"),"Đấu giá&gt; phụ kiện, đồng hồ&gt; thương hiệu phụ kiện&gt; Agat&gt; Khác")</f>
        <v>Đấu giá&gt; phụ kiện, đồng hồ&gt; thương hiệu phụ kiện&gt; Agat&gt; Khác</v>
      </c>
      <c r="F15" t="str">
        <f t="shared" ca="1" si="0"/>
        <v>"2084061848" : "nếu không thì",</v>
      </c>
    </row>
    <row r="16" spans="1:6" ht="15.75" customHeight="1">
      <c r="A16" s="28">
        <v>2084061780</v>
      </c>
      <c r="B16" s="28" t="s">
        <v>20373</v>
      </c>
      <c r="C16" s="28" t="s">
        <v>20439</v>
      </c>
      <c r="D16" s="4" t="str">
        <f ca="1">IFERROR(__xludf.DUMMYFUNCTION("GOOGLETRANSLATE(B16,""ja"",""vi"")"),"Vòng cổ, mặt dây chuyền, vòng cổ")</f>
        <v>Vòng cổ, mặt dây chuyền, vòng cổ</v>
      </c>
      <c r="E16" s="4" t="str">
        <f ca="1">IFERROR(__xludf.DUMMYFUNCTION("GOOGLETRANSLATE(C16,""ja"",""vi"")"),"Loading...")</f>
        <v>Loading...</v>
      </c>
      <c r="F16" t="str">
        <f t="shared" ca="1" si="0"/>
        <v>"2084061780" : "Vòng cổ, mặt dây chuyền, vòng cổ",</v>
      </c>
    </row>
    <row r="17" spans="1:6" ht="15.75" customHeight="1">
      <c r="A17" s="28">
        <v>2084061781</v>
      </c>
      <c r="B17" s="28" t="s">
        <v>46</v>
      </c>
      <c r="C17" s="28" t="s">
        <v>20444</v>
      </c>
      <c r="D17" s="4" t="str">
        <f ca="1">IFERROR(__xludf.DUMMYFUNCTION("GOOGLETRANSLATE(B17,""ja"",""vi"")"),"nếu không thì")</f>
        <v>nếu không thì</v>
      </c>
      <c r="E17" s="4" t="str">
        <f ca="1">IFERROR(__xludf.DUMMYFUNCTION("GOOGLETRANSLATE(C17,""ja"",""vi"")"),"Loading...")</f>
        <v>Loading...</v>
      </c>
      <c r="F17" t="str">
        <f t="shared" ca="1" si="0"/>
        <v>"2084061781" : "nếu không thì",</v>
      </c>
    </row>
    <row r="18" spans="1:6" ht="15.75" customHeight="1">
      <c r="A18" s="28">
        <v>2084057766</v>
      </c>
      <c r="B18" s="28" t="s">
        <v>20386</v>
      </c>
      <c r="C18" s="28" t="s">
        <v>20448</v>
      </c>
      <c r="D18" s="4" t="str">
        <f ca="1">IFERROR(__xludf.DUMMYFUNCTION("GOOGLETRANSLATE(B18,""ja"",""vi"")"),"Bông tai, bông tai")</f>
        <v>Bông tai, bông tai</v>
      </c>
      <c r="E18" s="4" t="str">
        <f ca="1">IFERROR(__xludf.DUMMYFUNCTION("GOOGLETRANSLATE(C18,""ja"",""vi"")"),"Loading...")</f>
        <v>Loading...</v>
      </c>
      <c r="F18" t="str">
        <f t="shared" ca="1" si="0"/>
        <v>"2084057766" : "Bông tai, bông tai",</v>
      </c>
    </row>
    <row r="19" spans="1:6" ht="15.75" customHeight="1">
      <c r="A19" s="28">
        <v>2084037773</v>
      </c>
      <c r="B19" s="28" t="s">
        <v>7699</v>
      </c>
      <c r="C19" s="28" t="s">
        <v>20454</v>
      </c>
      <c r="D19" s="4" t="str">
        <f ca="1">IFERROR(__xludf.DUMMYFUNCTION("GOOGLETRANSLATE(B19,""ja"",""vi"")"),"key Chains")</f>
        <v>key Chains</v>
      </c>
      <c r="E19" s="4" t="str">
        <f ca="1">IFERROR(__xludf.DUMMYFUNCTION("GOOGLETRANSLATE(C19,""ja"",""vi"")"),"Đấu giá&gt; phụ kiện, đồng hồ&gt; thương hiệu phụ kiện&gt; Hermes&gt; Keychain")</f>
        <v>Đấu giá&gt; phụ kiện, đồng hồ&gt; thương hiệu phụ kiện&gt; Hermes&gt; Keychain</v>
      </c>
      <c r="F19" t="str">
        <f t="shared" ca="1" si="0"/>
        <v>"2084037773" : "key Chains",</v>
      </c>
    </row>
    <row r="20" spans="1:6" ht="15.75" customHeight="1">
      <c r="A20" s="28">
        <v>2084057767</v>
      </c>
      <c r="B20" s="28" t="s">
        <v>20373</v>
      </c>
      <c r="C20" s="28" t="s">
        <v>20459</v>
      </c>
      <c r="D20" s="4" t="str">
        <f ca="1">IFERROR(__xludf.DUMMYFUNCTION("GOOGLETRANSLATE(B20,""ja"",""vi"")"),"Vòng cổ, mặt dây chuyền, vòng cổ")</f>
        <v>Vòng cổ, mặt dây chuyền, vòng cổ</v>
      </c>
      <c r="E20" s="4" t="str">
        <f ca="1">IFERROR(__xludf.DUMMYFUNCTION("GOOGLETRANSLATE(C20,""ja"",""vi"")"),"Loading...")</f>
        <v>Loading...</v>
      </c>
      <c r="F20" t="str">
        <f t="shared" ca="1" si="0"/>
        <v>"2084057767" : "Vòng cổ, mặt dây chuyền, vòng cổ",</v>
      </c>
    </row>
    <row r="21" spans="1:6" ht="15.75" customHeight="1">
      <c r="A21" s="28">
        <v>2084057768</v>
      </c>
      <c r="B21" s="28" t="s">
        <v>18503</v>
      </c>
      <c r="C21" s="28" t="s">
        <v>20465</v>
      </c>
      <c r="D21" s="4" t="str">
        <f ca="1">IFERROR(__xludf.DUMMYFUNCTION("GOOGLETRANSLATE(B21,""ja"",""vi"")"),"Vòng đeo tay, vòng")</f>
        <v>Vòng đeo tay, vòng</v>
      </c>
      <c r="E21" s="4" t="str">
        <f ca="1">IFERROR(__xludf.DUMMYFUNCTION("GOOGLETRANSLATE(C21,""ja"",""vi"")"),"Loading...")</f>
        <v>Loading...</v>
      </c>
      <c r="F21" t="str">
        <f t="shared" ca="1" si="0"/>
        <v>"2084057768" : "Vòng đeo tay, vòng",</v>
      </c>
    </row>
    <row r="22" spans="1:6" ht="15.75" customHeight="1">
      <c r="A22" s="28">
        <v>2084057769</v>
      </c>
      <c r="B22" s="28" t="s">
        <v>18491</v>
      </c>
      <c r="C22" s="28" t="s">
        <v>20470</v>
      </c>
      <c r="D22" s="4" t="str">
        <f ca="1">IFERROR(__xludf.DUMMYFUNCTION("GOOGLETRANSLATE(B22,""ja"",""vi"")"),"vòng")</f>
        <v>vòng</v>
      </c>
      <c r="E22" s="4" t="str">
        <f ca="1">IFERROR(__xludf.DUMMYFUNCTION("GOOGLETRANSLATE(C22,""ja"",""vi"")"),"Đấu giá&gt; phụ kiện, đồng hồ&gt; thương hiệu phụ kiện&gt; Hermes&gt; Nhẫn")</f>
        <v>Đấu giá&gt; phụ kiện, đồng hồ&gt; thương hiệu phụ kiện&gt; Hermes&gt; Nhẫn</v>
      </c>
      <c r="F22" t="str">
        <f t="shared" ca="1" si="0"/>
        <v>"2084057769" : "vòng",</v>
      </c>
    </row>
    <row r="23" spans="1:6" ht="15.75" customHeight="1">
      <c r="A23" s="28">
        <v>2084024510</v>
      </c>
      <c r="B23" s="28" t="s">
        <v>7530</v>
      </c>
      <c r="C23" s="28" t="s">
        <v>20474</v>
      </c>
      <c r="D23" s="4" t="str">
        <f ca="1">IFERROR(__xludf.DUMMYFUNCTION("GOOGLETRANSLATE(B23,""ja"",""vi"")"),"Xem")</f>
        <v>Xem</v>
      </c>
      <c r="E23" s="4" t="str">
        <f ca="1">IFERROR(__xludf.DUMMYFUNCTION("GOOGLETRANSLATE(C23,""ja"",""vi"")"),"Loading...")</f>
        <v>Loading...</v>
      </c>
      <c r="F23" t="str">
        <f t="shared" ca="1" si="0"/>
        <v>"2084024510" : "Xem",</v>
      </c>
    </row>
    <row r="24" spans="1:6" ht="15.75" customHeight="1">
      <c r="A24" s="28">
        <v>2084057770</v>
      </c>
      <c r="B24" s="28" t="s">
        <v>46</v>
      </c>
      <c r="C24" s="28" t="s">
        <v>20479</v>
      </c>
      <c r="D24" s="4" t="str">
        <f ca="1">IFERROR(__xludf.DUMMYFUNCTION("GOOGLETRANSLATE(B24,""ja"",""vi"")"),"nếu không thì")</f>
        <v>nếu không thì</v>
      </c>
      <c r="E24" s="4" t="str">
        <f ca="1">IFERROR(__xludf.DUMMYFUNCTION("GOOGLETRANSLATE(C24,""ja"",""vi"")"),"Loading...")</f>
        <v>Loading...</v>
      </c>
      <c r="F24" t="str">
        <f t="shared" ca="1" si="0"/>
        <v>"2084057770" : "nếu không thì",</v>
      </c>
    </row>
    <row r="25" spans="1:6" ht="15.75" customHeight="1">
      <c r="A25" s="28">
        <v>2084052586</v>
      </c>
      <c r="B25" s="28" t="s">
        <v>20386</v>
      </c>
      <c r="C25" s="28" t="s">
        <v>20483</v>
      </c>
      <c r="D25" s="4" t="str">
        <f ca="1">IFERROR(__xludf.DUMMYFUNCTION("GOOGLETRANSLATE(B25,""ja"",""vi"")"),"Bông tai, bông tai")</f>
        <v>Bông tai, bông tai</v>
      </c>
      <c r="E25" s="4" t="str">
        <f ca="1">IFERROR(__xludf.DUMMYFUNCTION("GOOGLETRANSLATE(C25,""ja"",""vi"")"),"Loading...")</f>
        <v>Loading...</v>
      </c>
      <c r="F25" t="str">
        <f t="shared" ca="1" si="0"/>
        <v>"2084052586" : "Bông tai, bông tai",</v>
      </c>
    </row>
    <row r="26" spans="1:6" ht="15.75" customHeight="1">
      <c r="A26" s="28">
        <v>2084052587</v>
      </c>
      <c r="B26" s="28" t="s">
        <v>20373</v>
      </c>
      <c r="C26" s="28" t="s">
        <v>20484</v>
      </c>
      <c r="D26" s="4" t="str">
        <f ca="1">IFERROR(__xludf.DUMMYFUNCTION("GOOGLETRANSLATE(B26,""ja"",""vi"")"),"Vòng cổ, mặt dây chuyền, vòng cổ")</f>
        <v>Vòng cổ, mặt dây chuyền, vòng cổ</v>
      </c>
      <c r="E26" s="4" t="str">
        <f ca="1">IFERROR(__xludf.DUMMYFUNCTION("GOOGLETRANSLATE(C26,""ja"",""vi"")"),"Đấu giá&gt; phụ kiện, đồng hồ&gt; thương hiệu phụ kiện&gt; Cartier&gt; vòng cổ, mặt dây chuyền, vòng cổ")</f>
        <v>Đấu giá&gt; phụ kiện, đồng hồ&gt; thương hiệu phụ kiện&gt; Cartier&gt; vòng cổ, mặt dây chuyền, vòng cổ</v>
      </c>
      <c r="F26" t="str">
        <f t="shared" ca="1" si="0"/>
        <v>"2084052587" : "Vòng cổ, mặt dây chuyền, vòng cổ",</v>
      </c>
    </row>
    <row r="27" spans="1:6" ht="15.75" customHeight="1">
      <c r="A27" s="28">
        <v>2084052589</v>
      </c>
      <c r="B27" s="28" t="s">
        <v>18503</v>
      </c>
      <c r="C27" s="28" t="s">
        <v>20488</v>
      </c>
      <c r="D27" s="4" t="str">
        <f ca="1">IFERROR(__xludf.DUMMYFUNCTION("GOOGLETRANSLATE(B27,""ja"",""vi"")"),"Vòng đeo tay, vòng")</f>
        <v>Vòng đeo tay, vòng</v>
      </c>
      <c r="E27" s="4" t="str">
        <f ca="1">IFERROR(__xludf.DUMMYFUNCTION("GOOGLETRANSLATE(C27,""ja"",""vi"")"),"Loading...")</f>
        <v>Loading...</v>
      </c>
      <c r="F27" t="str">
        <f t="shared" ca="1" si="0"/>
        <v>"2084052589" : "Vòng đeo tay, vòng",</v>
      </c>
    </row>
    <row r="28" spans="1:6" ht="15.75" customHeight="1">
      <c r="A28" s="28">
        <v>2084052590</v>
      </c>
      <c r="B28" s="28" t="s">
        <v>18491</v>
      </c>
      <c r="C28" s="28" t="s">
        <v>20492</v>
      </c>
      <c r="D28" s="4" t="str">
        <f ca="1">IFERROR(__xludf.DUMMYFUNCTION("GOOGLETRANSLATE(B28,""ja"",""vi"")"),"vòng")</f>
        <v>vòng</v>
      </c>
      <c r="E28" s="4" t="str">
        <f ca="1">IFERROR(__xludf.DUMMYFUNCTION("GOOGLETRANSLATE(C28,""ja"",""vi"")"),"Loading...")</f>
        <v>Loading...</v>
      </c>
      <c r="F28" t="str">
        <f t="shared" ca="1" si="0"/>
        <v>"2084052590" : "vòng",</v>
      </c>
    </row>
    <row r="29" spans="1:6" ht="15.75" customHeight="1">
      <c r="A29" s="28">
        <v>2084052614</v>
      </c>
      <c r="B29" s="28" t="s">
        <v>7699</v>
      </c>
      <c r="C29" s="28" t="s">
        <v>20496</v>
      </c>
      <c r="D29" s="4" t="str">
        <f ca="1">IFERROR(__xludf.DUMMYFUNCTION("GOOGLETRANSLATE(B29,""ja"",""vi"")"),"key Chains")</f>
        <v>key Chains</v>
      </c>
      <c r="E29" s="4" t="str">
        <f ca="1">IFERROR(__xludf.DUMMYFUNCTION("GOOGLETRANSLATE(C29,""ja"",""vi"")"),"Loading...")</f>
        <v>Loading...</v>
      </c>
      <c r="F29" t="str">
        <f t="shared" ca="1" si="0"/>
        <v>"2084052614" : "key Chains",</v>
      </c>
    </row>
    <row r="30" spans="1:6" ht="15.75" customHeight="1">
      <c r="A30" s="28">
        <v>2084024507</v>
      </c>
      <c r="B30" s="28" t="s">
        <v>7530</v>
      </c>
      <c r="C30" s="28" t="s">
        <v>20497</v>
      </c>
      <c r="D30" s="4" t="str">
        <f ca="1">IFERROR(__xludf.DUMMYFUNCTION("GOOGLETRANSLATE(B30,""ja"",""vi"")"),"Xem")</f>
        <v>Xem</v>
      </c>
      <c r="E30" s="4" t="str">
        <f ca="1">IFERROR(__xludf.DUMMYFUNCTION("GOOGLETRANSLATE(C30,""ja"",""vi"")"),"Loading...")</f>
        <v>Loading...</v>
      </c>
      <c r="F30" t="str">
        <f t="shared" ca="1" si="0"/>
        <v>"2084024507" : "Xem",</v>
      </c>
    </row>
    <row r="31" spans="1:6" ht="15.75" customHeight="1">
      <c r="A31" s="28">
        <v>2084052591</v>
      </c>
      <c r="B31" s="28" t="s">
        <v>46</v>
      </c>
      <c r="C31" s="28" t="s">
        <v>20501</v>
      </c>
      <c r="D31" s="4" t="str">
        <f ca="1">IFERROR(__xludf.DUMMYFUNCTION("GOOGLETRANSLATE(B31,""ja"",""vi"")"),"nếu không thì")</f>
        <v>nếu không thì</v>
      </c>
      <c r="E31" s="4" t="str">
        <f ca="1">IFERROR(__xludf.DUMMYFUNCTION("GOOGLETRANSLATE(C31,""ja"",""vi"")"),"Đấu giá&gt; phụ kiện, đồng hồ&gt; thương hiệu phụ kiện&gt; Cartier&gt; Khác")</f>
        <v>Đấu giá&gt; phụ kiện, đồng hồ&gt; thương hiệu phụ kiện&gt; Cartier&gt; Khác</v>
      </c>
      <c r="F31" t="str">
        <f t="shared" ca="1" si="0"/>
        <v>"2084052591" : "nếu không thì",</v>
      </c>
    </row>
    <row r="32" spans="1:6" ht="15.75" customHeight="1">
      <c r="A32" s="28">
        <v>2084224328</v>
      </c>
      <c r="B32" s="28" t="s">
        <v>20373</v>
      </c>
      <c r="C32" s="28" t="s">
        <v>20505</v>
      </c>
      <c r="D32" s="4" t="str">
        <f ca="1">IFERROR(__xludf.DUMMYFUNCTION("GOOGLETRANSLATE(B32,""ja"",""vi"")"),"Vòng cổ, mặt dây chuyền, vòng cổ")</f>
        <v>Vòng cổ, mặt dây chuyền, vòng cổ</v>
      </c>
      <c r="E32" s="4" t="str">
        <f ca="1">IFERROR(__xludf.DUMMYFUNCTION("GOOGLETRANSLATE(C32,""ja"",""vi"")"),"Đấu giá&gt; phụ kiện, đồng hồ&gt; thương hiệu phụ kiện&gt; Carrera y Carrera&gt; vòng cổ, mặt dây chuyền, vòng cổ")</f>
        <v>Đấu giá&gt; phụ kiện, đồng hồ&gt; thương hiệu phụ kiện&gt; Carrera y Carrera&gt; vòng cổ, mặt dây chuyền, vòng cổ</v>
      </c>
      <c r="F32" t="str">
        <f t="shared" ca="1" si="0"/>
        <v>"2084224328" : "Vòng cổ, mặt dây chuyền, vòng cổ",</v>
      </c>
    </row>
    <row r="33" spans="1:6" ht="15.75" customHeight="1">
      <c r="A33" s="28">
        <v>2084252434</v>
      </c>
      <c r="B33" s="28" t="s">
        <v>7530</v>
      </c>
      <c r="C33" s="28" t="s">
        <v>20508</v>
      </c>
      <c r="D33" s="4" t="str">
        <f ca="1">IFERROR(__xludf.DUMMYFUNCTION("GOOGLETRANSLATE(B33,""ja"",""vi"")"),"Xem")</f>
        <v>Xem</v>
      </c>
      <c r="E33" s="4" t="str">
        <f ca="1">IFERROR(__xludf.DUMMYFUNCTION("GOOGLETRANSLATE(C33,""ja"",""vi"")"),"Loading...")</f>
        <v>Loading...</v>
      </c>
      <c r="F33" t="str">
        <f t="shared" ca="1" si="0"/>
        <v>"2084252434" : "Xem",</v>
      </c>
    </row>
    <row r="34" spans="1:6" ht="15.75" customHeight="1">
      <c r="A34" s="28">
        <v>2084224329</v>
      </c>
      <c r="B34" s="28" t="s">
        <v>46</v>
      </c>
      <c r="C34" s="28" t="s">
        <v>20510</v>
      </c>
      <c r="D34" s="4" t="str">
        <f ca="1">IFERROR(__xludf.DUMMYFUNCTION("GOOGLETRANSLATE(B34,""ja"",""vi"")"),"nếu không thì")</f>
        <v>nếu không thì</v>
      </c>
      <c r="E34" s="4" t="str">
        <f ca="1">IFERROR(__xludf.DUMMYFUNCTION("GOOGLETRANSLATE(C34,""ja"",""vi"")"),"Đấu giá&gt; phụ kiện, đồng hồ&gt; thương hiệu phụ kiện&gt; Carrera y Carrera&gt; Khác")</f>
        <v>Đấu giá&gt; phụ kiện, đồng hồ&gt; thương hiệu phụ kiện&gt; Carrera y Carrera&gt; Khác</v>
      </c>
      <c r="F34" t="str">
        <f t="shared" ca="1" si="0"/>
        <v>"2084224329" : "nếu không thì",</v>
      </c>
    </row>
    <row r="35" spans="1:6" ht="15.75" customHeight="1">
      <c r="A35" s="28">
        <v>2084057914</v>
      </c>
      <c r="B35" s="28" t="s">
        <v>18503</v>
      </c>
      <c r="C35" s="28" t="s">
        <v>20514</v>
      </c>
      <c r="D35" s="4" t="str">
        <f ca="1">IFERROR(__xludf.DUMMYFUNCTION("GOOGLETRANSLATE(B35,""ja"",""vi"")"),"Vòng đeo tay, vòng")</f>
        <v>Vòng đeo tay, vòng</v>
      </c>
      <c r="E35" s="4" t="str">
        <f ca="1">IFERROR(__xludf.DUMMYFUNCTION("GOOGLETRANSLATE(C35,""ja"",""vi"")"),"Đấu giá&gt; phụ kiện, đồng hồ&gt; thương hiệu phụ kiện&gt; Gabor&gt; vòng đeo tay, vòng")</f>
        <v>Đấu giá&gt; phụ kiện, đồng hồ&gt; thương hiệu phụ kiện&gt; Gabor&gt; vòng đeo tay, vòng</v>
      </c>
      <c r="F35" t="str">
        <f t="shared" ca="1" si="0"/>
        <v>"2084057914" : "Vòng đeo tay, vòng",</v>
      </c>
    </row>
    <row r="36" spans="1:6" ht="15.75" customHeight="1">
      <c r="A36" s="28">
        <v>2084057915</v>
      </c>
      <c r="B36" s="28" t="s">
        <v>46</v>
      </c>
      <c r="C36" s="28" t="s">
        <v>20518</v>
      </c>
      <c r="D36" s="4" t="str">
        <f ca="1">IFERROR(__xludf.DUMMYFUNCTION("GOOGLETRANSLATE(B36,""ja"",""vi"")"),"nếu không thì")</f>
        <v>nếu không thì</v>
      </c>
      <c r="E36" s="4" t="str">
        <f ca="1">IFERROR(__xludf.DUMMYFUNCTION("GOOGLETRANSLATE(C36,""ja"",""vi"")"),"Loading...")</f>
        <v>Loading...</v>
      </c>
      <c r="F36" t="str">
        <f t="shared" ca="1" si="0"/>
        <v>"2084057915" : "nếu không thì",</v>
      </c>
    </row>
    <row r="37" spans="1:6" ht="15.75" customHeight="1">
      <c r="A37" s="28">
        <v>2084057782</v>
      </c>
      <c r="B37" s="28" t="s">
        <v>20386</v>
      </c>
      <c r="C37" s="28" t="s">
        <v>20519</v>
      </c>
      <c r="D37" s="4" t="str">
        <f ca="1">IFERROR(__xludf.DUMMYFUNCTION("GOOGLETRANSLATE(B37,""ja"",""vi"")"),"Bông tai, bông tai")</f>
        <v>Bông tai, bông tai</v>
      </c>
      <c r="E37" s="4" t="str">
        <f ca="1">IFERROR(__xludf.DUMMYFUNCTION("GOOGLETRANSLATE(C37,""ja"",""vi"")"),"Loading...")</f>
        <v>Loading...</v>
      </c>
      <c r="F37" t="str">
        <f t="shared" ca="1" si="0"/>
        <v>"2084057782" : "Bông tai, bông tai",</v>
      </c>
    </row>
    <row r="38" spans="1:6" ht="15.75" customHeight="1">
      <c r="A38" s="28">
        <v>2084057785</v>
      </c>
      <c r="B38" s="28" t="s">
        <v>20373</v>
      </c>
      <c r="C38" s="28" t="s">
        <v>20522</v>
      </c>
      <c r="D38" s="4" t="str">
        <f ca="1">IFERROR(__xludf.DUMMYFUNCTION("GOOGLETRANSLATE(B38,""ja"",""vi"")"),"Vòng cổ, mặt dây chuyền, vòng cổ")</f>
        <v>Vòng cổ, mặt dây chuyền, vòng cổ</v>
      </c>
      <c r="E38" s="4" t="str">
        <f ca="1">IFERROR(__xludf.DUMMYFUNCTION("GOOGLETRANSLATE(C38,""ja"",""vi"")"),"Đấu giá&gt; phụ kiện, đồng hồ&gt; thương hiệu phụ kiện&gt; Christian Dior&gt; vòng cổ, mặt dây chuyền, vòng cổ")</f>
        <v>Đấu giá&gt; phụ kiện, đồng hồ&gt; thương hiệu phụ kiện&gt; Christian Dior&gt; vòng cổ, mặt dây chuyền, vòng cổ</v>
      </c>
      <c r="F38" t="str">
        <f t="shared" ca="1" si="0"/>
        <v>"2084057785" : "Vòng cổ, mặt dây chuyền, vòng cổ",</v>
      </c>
    </row>
    <row r="39" spans="1:6" ht="15.75" customHeight="1">
      <c r="A39" s="28">
        <v>2084057786</v>
      </c>
      <c r="B39" s="28" t="s">
        <v>18503</v>
      </c>
      <c r="C39" s="28" t="s">
        <v>20524</v>
      </c>
      <c r="D39" s="4" t="str">
        <f ca="1">IFERROR(__xludf.DUMMYFUNCTION("GOOGLETRANSLATE(B39,""ja"",""vi"")"),"Vòng đeo tay, vòng")</f>
        <v>Vòng đeo tay, vòng</v>
      </c>
      <c r="E39" s="4" t="str">
        <f ca="1">IFERROR(__xludf.DUMMYFUNCTION("GOOGLETRANSLATE(C39,""ja"",""vi"")"),"Loading...")</f>
        <v>Loading...</v>
      </c>
      <c r="F39" t="str">
        <f t="shared" ca="1" si="0"/>
        <v>"2084057786" : "Vòng đeo tay, vòng",</v>
      </c>
    </row>
    <row r="40" spans="1:6" ht="15.75" customHeight="1">
      <c r="A40" s="28">
        <v>2084057789</v>
      </c>
      <c r="B40" s="28" t="s">
        <v>18491</v>
      </c>
      <c r="C40" s="28" t="s">
        <v>20526</v>
      </c>
      <c r="D40" s="4" t="str">
        <f ca="1">IFERROR(__xludf.DUMMYFUNCTION("GOOGLETRANSLATE(B40,""ja"",""vi"")"),"vòng")</f>
        <v>vòng</v>
      </c>
      <c r="E40" s="4" t="str">
        <f ca="1">IFERROR(__xludf.DUMMYFUNCTION("GOOGLETRANSLATE(C40,""ja"",""vi"")"),"Đấu giá&gt; phụ kiện, đồng hồ&gt; thương hiệu phụ kiện&gt; Christian Dior&gt; Nhẫn")</f>
        <v>Đấu giá&gt; phụ kiện, đồng hồ&gt; thương hiệu phụ kiện&gt; Christian Dior&gt; Nhẫn</v>
      </c>
      <c r="F40" t="str">
        <f t="shared" ca="1" si="0"/>
        <v>"2084057789" : "vòng",</v>
      </c>
    </row>
    <row r="41" spans="1:6" ht="15.75" customHeight="1">
      <c r="A41" s="28">
        <v>2084024535</v>
      </c>
      <c r="B41" s="28" t="s">
        <v>7530</v>
      </c>
      <c r="C41" s="28" t="s">
        <v>20530</v>
      </c>
      <c r="D41" s="4" t="str">
        <f ca="1">IFERROR(__xludf.DUMMYFUNCTION("GOOGLETRANSLATE(B41,""ja"",""vi"")"),"Xem")</f>
        <v>Xem</v>
      </c>
      <c r="E41" s="4" t="str">
        <f ca="1">IFERROR(__xludf.DUMMYFUNCTION("GOOGLETRANSLATE(C41,""ja"",""vi"")"),"Loading...")</f>
        <v>Loading...</v>
      </c>
      <c r="F41" t="str">
        <f t="shared" ca="1" si="0"/>
        <v>"2084024535" : "Xem",</v>
      </c>
    </row>
    <row r="42" spans="1:6" ht="15.75" customHeight="1">
      <c r="A42" s="28">
        <v>2084057790</v>
      </c>
      <c r="B42" s="28" t="s">
        <v>46</v>
      </c>
      <c r="C42" s="28" t="s">
        <v>20531</v>
      </c>
      <c r="D42" s="4" t="str">
        <f ca="1">IFERROR(__xludf.DUMMYFUNCTION("GOOGLETRANSLATE(B42,""ja"",""vi"")"),"nếu không thì")</f>
        <v>nếu không thì</v>
      </c>
      <c r="E42" s="4" t="str">
        <f ca="1">IFERROR(__xludf.DUMMYFUNCTION("GOOGLETRANSLATE(C42,""ja"",""vi"")"),"Loading...")</f>
        <v>Loading...</v>
      </c>
      <c r="F42" t="str">
        <f t="shared" ca="1" si="0"/>
        <v>"2084057790" : "nếu không thì",</v>
      </c>
    </row>
    <row r="43" spans="1:6" ht="15.75" customHeight="1">
      <c r="A43" s="28">
        <v>2084214587</v>
      </c>
      <c r="B43" s="28" t="s">
        <v>20386</v>
      </c>
      <c r="C43" s="28" t="s">
        <v>20535</v>
      </c>
      <c r="D43" s="4" t="str">
        <f ca="1">IFERROR(__xludf.DUMMYFUNCTION("GOOGLETRANSLATE(B43,""ja"",""vi"")"),"Bông tai, bông tai")</f>
        <v>Bông tai, bông tai</v>
      </c>
      <c r="E43" s="4" t="str">
        <f ca="1">IFERROR(__xludf.DUMMYFUNCTION("GOOGLETRANSLATE(C43,""ja"",""vi"")"),"Đấu giá&gt; phụ kiện, đồng hồ&gt; thương hiệu phụ kiện&gt; Courreges&gt; bông tai, bông tai")</f>
        <v>Đấu giá&gt; phụ kiện, đồng hồ&gt; thương hiệu phụ kiện&gt; Courreges&gt; bông tai, bông tai</v>
      </c>
      <c r="F43" t="str">
        <f t="shared" ca="1" si="0"/>
        <v>"2084214587" : "Bông tai, bông tai",</v>
      </c>
    </row>
    <row r="44" spans="1:6" ht="15.75" customHeight="1">
      <c r="A44" s="28">
        <v>2084214588</v>
      </c>
      <c r="B44" s="28" t="s">
        <v>20373</v>
      </c>
      <c r="C44" s="28" t="s">
        <v>20537</v>
      </c>
      <c r="D44" s="4" t="str">
        <f ca="1">IFERROR(__xludf.DUMMYFUNCTION("GOOGLETRANSLATE(B44,""ja"",""vi"")"),"Vòng cổ, mặt dây chuyền, vòng cổ")</f>
        <v>Vòng cổ, mặt dây chuyền, vòng cổ</v>
      </c>
      <c r="E44" s="4" t="str">
        <f ca="1">IFERROR(__xludf.DUMMYFUNCTION("GOOGLETRANSLATE(C44,""ja"",""vi"")"),"Đấu giá&gt; phụ kiện, đồng hồ&gt; thương hiệu phụ kiện&gt; Courreges&gt; vòng cổ, mặt dây chuyền, vòng cổ")</f>
        <v>Đấu giá&gt; phụ kiện, đồng hồ&gt; thương hiệu phụ kiện&gt; Courreges&gt; vòng cổ, mặt dây chuyền, vòng cổ</v>
      </c>
      <c r="F44" t="str">
        <f t="shared" ca="1" si="0"/>
        <v>"2084214588" : "Vòng cổ, mặt dây chuyền, vòng cổ",</v>
      </c>
    </row>
    <row r="45" spans="1:6" ht="15.75" customHeight="1">
      <c r="A45" s="28">
        <v>2084214589</v>
      </c>
      <c r="B45" s="28" t="s">
        <v>18491</v>
      </c>
      <c r="C45" s="28" t="s">
        <v>20540</v>
      </c>
      <c r="D45" s="4" t="str">
        <f ca="1">IFERROR(__xludf.DUMMYFUNCTION("GOOGLETRANSLATE(B45,""ja"",""vi"")"),"vòng")</f>
        <v>vòng</v>
      </c>
      <c r="E45" s="4" t="str">
        <f ca="1">IFERROR(__xludf.DUMMYFUNCTION("GOOGLETRANSLATE(C45,""ja"",""vi"")"),"Loading...")</f>
        <v>Loading...</v>
      </c>
      <c r="F45" t="str">
        <f t="shared" ca="1" si="0"/>
        <v>"2084214589" : "vòng",</v>
      </c>
    </row>
    <row r="46" spans="1:6" ht="15.75" customHeight="1">
      <c r="A46" s="28">
        <v>2084214585</v>
      </c>
      <c r="B46" s="28" t="s">
        <v>7530</v>
      </c>
      <c r="C46" s="28" t="s">
        <v>20544</v>
      </c>
      <c r="D46" s="4" t="str">
        <f ca="1">IFERROR(__xludf.DUMMYFUNCTION("GOOGLETRANSLATE(B46,""ja"",""vi"")"),"Xem")</f>
        <v>Xem</v>
      </c>
      <c r="E46" s="4" t="str">
        <f ca="1">IFERROR(__xludf.DUMMYFUNCTION("GOOGLETRANSLATE(C46,""ja"",""vi"")"),"Loading...")</f>
        <v>Loading...</v>
      </c>
      <c r="F46" t="str">
        <f t="shared" ca="1" si="0"/>
        <v>"2084214585" : "Xem",</v>
      </c>
    </row>
    <row r="47" spans="1:6" ht="15.75" customHeight="1">
      <c r="A47" s="28">
        <v>2084214590</v>
      </c>
      <c r="B47" s="28" t="s">
        <v>46</v>
      </c>
      <c r="C47" s="28" t="s">
        <v>20545</v>
      </c>
      <c r="D47" s="4" t="str">
        <f ca="1">IFERROR(__xludf.DUMMYFUNCTION("GOOGLETRANSLATE(B47,""ja"",""vi"")"),"nếu không thì")</f>
        <v>nếu không thì</v>
      </c>
      <c r="E47" s="4" t="str">
        <f ca="1">IFERROR(__xludf.DUMMYFUNCTION("GOOGLETRANSLATE(C47,""ja"",""vi"")"),"Đấu giá&gt; phụ kiện, đồng hồ&gt; thương hiệu phụ kiện&gt; Courreges&gt; Khác")</f>
        <v>Đấu giá&gt; phụ kiện, đồng hồ&gt; thương hiệu phụ kiện&gt; Courreges&gt; Khác</v>
      </c>
      <c r="F47" t="str">
        <f t="shared" ca="1" si="0"/>
        <v>"2084214590" : "nếu không thì",</v>
      </c>
    </row>
    <row r="48" spans="1:6" ht="15.75" customHeight="1">
      <c r="A48" s="28">
        <v>2084052570</v>
      </c>
      <c r="B48" s="28" t="s">
        <v>20386</v>
      </c>
      <c r="C48" s="28" t="s">
        <v>20549</v>
      </c>
      <c r="D48" s="4" t="str">
        <f ca="1">IFERROR(__xludf.DUMMYFUNCTION("GOOGLETRANSLATE(B48,""ja"",""vi"")"),"Bông tai, bông tai")</f>
        <v>Bông tai, bông tai</v>
      </c>
      <c r="E48" s="4" t="str">
        <f ca="1">IFERROR(__xludf.DUMMYFUNCTION("GOOGLETRANSLATE(C48,""ja"",""vi"")"),"Đấu giá&gt; phụ kiện, đồng hồ&gt; thương hiệu phụ kiện&gt; Chrome Hearts&gt; bông tai, bông tai")</f>
        <v>Đấu giá&gt; phụ kiện, đồng hồ&gt; thương hiệu phụ kiện&gt; Chrome Hearts&gt; bông tai, bông tai</v>
      </c>
      <c r="F48" t="str">
        <f t="shared" ca="1" si="0"/>
        <v>"2084052570" : "Bông tai, bông tai",</v>
      </c>
    </row>
    <row r="49" spans="1:6" ht="15.75" customHeight="1">
      <c r="A49" s="28">
        <v>2084052571</v>
      </c>
      <c r="B49" s="28" t="s">
        <v>20373</v>
      </c>
      <c r="C49" s="28" t="s">
        <v>20552</v>
      </c>
      <c r="D49" s="4" t="str">
        <f ca="1">IFERROR(__xludf.DUMMYFUNCTION("GOOGLETRANSLATE(B49,""ja"",""vi"")"),"Vòng cổ, mặt dây chuyền, vòng cổ")</f>
        <v>Vòng cổ, mặt dây chuyền, vòng cổ</v>
      </c>
      <c r="E49" s="4" t="str">
        <f ca="1">IFERROR(__xludf.DUMMYFUNCTION("GOOGLETRANSLATE(C49,""ja"",""vi"")"),"Đấu giá&gt; phụ kiện, đồng hồ&gt; thương hiệu phụ kiện&gt; Chrome Hearts&gt; vòng cổ, mặt dây chuyền, vòng cổ")</f>
        <v>Đấu giá&gt; phụ kiện, đồng hồ&gt; thương hiệu phụ kiện&gt; Chrome Hearts&gt; vòng cổ, mặt dây chuyền, vòng cổ</v>
      </c>
      <c r="F49" t="str">
        <f t="shared" ca="1" si="0"/>
        <v>"2084052571" : "Vòng cổ, mặt dây chuyền, vòng cổ",</v>
      </c>
    </row>
    <row r="50" spans="1:6" ht="15.75" customHeight="1">
      <c r="A50" s="28">
        <v>2084052573</v>
      </c>
      <c r="B50" s="28" t="s">
        <v>18503</v>
      </c>
      <c r="C50" s="28" t="s">
        <v>20554</v>
      </c>
      <c r="D50" s="4" t="str">
        <f ca="1">IFERROR(__xludf.DUMMYFUNCTION("GOOGLETRANSLATE(B50,""ja"",""vi"")"),"Vòng đeo tay, vòng")</f>
        <v>Vòng đeo tay, vòng</v>
      </c>
      <c r="E50" s="4" t="str">
        <f ca="1">IFERROR(__xludf.DUMMYFUNCTION("GOOGLETRANSLATE(C50,""ja"",""vi"")"),"Loading...")</f>
        <v>Loading...</v>
      </c>
      <c r="F50" t="str">
        <f t="shared" ca="1" si="0"/>
        <v>"2084052573" : "Vòng đeo tay, vòng",</v>
      </c>
    </row>
    <row r="51" spans="1:6" ht="15.75" customHeight="1">
      <c r="A51" s="28">
        <v>2084052576</v>
      </c>
      <c r="B51" s="28" t="s">
        <v>18491</v>
      </c>
      <c r="C51" s="28" t="s">
        <v>20558</v>
      </c>
      <c r="D51" s="4" t="str">
        <f ca="1">IFERROR(__xludf.DUMMYFUNCTION("GOOGLETRANSLATE(B51,""ja"",""vi"")"),"vòng")</f>
        <v>vòng</v>
      </c>
      <c r="E51" s="4" t="str">
        <f ca="1">IFERROR(__xludf.DUMMYFUNCTION("GOOGLETRANSLATE(C51,""ja"",""vi"")"),"Loading...")</f>
        <v>Loading...</v>
      </c>
      <c r="F51" t="str">
        <f t="shared" ca="1" si="0"/>
        <v>"2084052576" : "vòng",</v>
      </c>
    </row>
    <row r="52" spans="1:6" ht="15.75" customHeight="1">
      <c r="A52" s="28">
        <v>2084038147</v>
      </c>
      <c r="B52" s="28" t="s">
        <v>7699</v>
      </c>
      <c r="C52" s="28" t="s">
        <v>20562</v>
      </c>
      <c r="D52" s="4" t="str">
        <f ca="1">IFERROR(__xludf.DUMMYFUNCTION("GOOGLETRANSLATE(B52,""ja"",""vi"")"),"key Chains")</f>
        <v>key Chains</v>
      </c>
      <c r="E52" s="4" t="str">
        <f ca="1">IFERROR(__xludf.DUMMYFUNCTION("GOOGLETRANSLATE(C52,""ja"",""vi"")"),"Đấu giá&gt; phụ kiện, đồng hồ&gt; thương hiệu phụ kiện&gt; Chrome Hearts&gt; Keychain")</f>
        <v>Đấu giá&gt; phụ kiện, đồng hồ&gt; thương hiệu phụ kiện&gt; Chrome Hearts&gt; Keychain</v>
      </c>
      <c r="F52" t="str">
        <f t="shared" ca="1" si="0"/>
        <v>"2084038147" : "key Chains",</v>
      </c>
    </row>
    <row r="53" spans="1:6" ht="15.75" customHeight="1">
      <c r="A53" s="28">
        <v>2084052577</v>
      </c>
      <c r="B53" s="28" t="s">
        <v>46</v>
      </c>
      <c r="C53" s="28" t="s">
        <v>20565</v>
      </c>
      <c r="D53" s="4" t="str">
        <f ca="1">IFERROR(__xludf.DUMMYFUNCTION("GOOGLETRANSLATE(B53,""ja"",""vi"")"),"nếu không thì")</f>
        <v>nếu không thì</v>
      </c>
      <c r="E53" s="4" t="str">
        <f ca="1">IFERROR(__xludf.DUMMYFUNCTION("GOOGLETRANSLATE(C53,""ja"",""vi"")"),"Loading...")</f>
        <v>Loading...</v>
      </c>
      <c r="F53" t="str">
        <f t="shared" ca="1" si="0"/>
        <v>"2084052577" : "nếu không thì",</v>
      </c>
    </row>
    <row r="54" spans="1:6" ht="15.75" customHeight="1">
      <c r="A54" s="28">
        <v>2084057774</v>
      </c>
      <c r="B54" s="28" t="s">
        <v>20386</v>
      </c>
      <c r="C54" s="28" t="s">
        <v>20567</v>
      </c>
      <c r="D54" s="4" t="str">
        <f ca="1">IFERROR(__xludf.DUMMYFUNCTION("GOOGLETRANSLATE(B54,""ja"",""vi"")"),"Bông tai, bông tai")</f>
        <v>Bông tai, bông tai</v>
      </c>
      <c r="E54" s="4" t="str">
        <f ca="1">IFERROR(__xludf.DUMMYFUNCTION("GOOGLETRANSLATE(C54,""ja"",""vi"")"),"Loading...")</f>
        <v>Loading...</v>
      </c>
      <c r="F54" t="str">
        <f t="shared" ca="1" si="0"/>
        <v>"2084057774" : "Bông tai, bông tai",</v>
      </c>
    </row>
    <row r="55" spans="1:6" ht="15.75" customHeight="1">
      <c r="A55" s="28">
        <v>2084037774</v>
      </c>
      <c r="B55" s="28" t="s">
        <v>7699</v>
      </c>
      <c r="C55" s="28" t="s">
        <v>20570</v>
      </c>
      <c r="D55" s="4" t="str">
        <f ca="1">IFERROR(__xludf.DUMMYFUNCTION("GOOGLETRANSLATE(B55,""ja"",""vi"")"),"key Chains")</f>
        <v>key Chains</v>
      </c>
      <c r="E55" s="4" t="str">
        <f ca="1">IFERROR(__xludf.DUMMYFUNCTION("GOOGLETRANSLATE(C55,""ja"",""vi"")"),"Loading...")</f>
        <v>Loading...</v>
      </c>
      <c r="F55" t="str">
        <f t="shared" ca="1" si="0"/>
        <v>"2084037774" : "key Chains",</v>
      </c>
    </row>
    <row r="56" spans="1:6" ht="15.75" customHeight="1">
      <c r="A56" s="28">
        <v>2084057775</v>
      </c>
      <c r="B56" s="28" t="s">
        <v>20373</v>
      </c>
      <c r="C56" s="28" t="s">
        <v>20574</v>
      </c>
      <c r="D56" s="4" t="str">
        <f ca="1">IFERROR(__xludf.DUMMYFUNCTION("GOOGLETRANSLATE(B56,""ja"",""vi"")"),"Vòng cổ, mặt dây chuyền, vòng cổ")</f>
        <v>Vòng cổ, mặt dây chuyền, vòng cổ</v>
      </c>
      <c r="E56" s="4" t="str">
        <f ca="1">IFERROR(__xludf.DUMMYFUNCTION("GOOGLETRANSLATE(C56,""ja"",""vi"")"),"Đấu giá&gt; phụ kiện, đồng hồ&gt; thương hiệu phụ kiện&gt; Gucci&gt; vòng cổ, mặt dây chuyền, vòng cổ")</f>
        <v>Đấu giá&gt; phụ kiện, đồng hồ&gt; thương hiệu phụ kiện&gt; Gucci&gt; vòng cổ, mặt dây chuyền, vòng cổ</v>
      </c>
      <c r="F56" t="str">
        <f t="shared" ca="1" si="0"/>
        <v>"2084057775" : "Vòng cổ, mặt dây chuyền, vòng cổ",</v>
      </c>
    </row>
    <row r="57" spans="1:6" ht="15.75" customHeight="1">
      <c r="A57" s="28">
        <v>2084057776</v>
      </c>
      <c r="B57" s="28" t="s">
        <v>18503</v>
      </c>
      <c r="C57" s="28" t="s">
        <v>20578</v>
      </c>
      <c r="D57" s="4" t="str">
        <f ca="1">IFERROR(__xludf.DUMMYFUNCTION("GOOGLETRANSLATE(B57,""ja"",""vi"")"),"Vòng đeo tay, vòng")</f>
        <v>Vòng đeo tay, vòng</v>
      </c>
      <c r="E57" s="4" t="str">
        <f ca="1">IFERROR(__xludf.DUMMYFUNCTION("GOOGLETRANSLATE(C57,""ja"",""vi"")"),"Loading...")</f>
        <v>Loading...</v>
      </c>
      <c r="F57" t="str">
        <f t="shared" ca="1" si="0"/>
        <v>"2084057776" : "Vòng đeo tay, vòng",</v>
      </c>
    </row>
    <row r="58" spans="1:6" ht="15.75" customHeight="1">
      <c r="A58" s="28">
        <v>2084057777</v>
      </c>
      <c r="B58" s="28" t="s">
        <v>18491</v>
      </c>
      <c r="C58" s="28" t="s">
        <v>20579</v>
      </c>
      <c r="D58" s="4" t="str">
        <f ca="1">IFERROR(__xludf.DUMMYFUNCTION("GOOGLETRANSLATE(B58,""ja"",""vi"")"),"vòng")</f>
        <v>vòng</v>
      </c>
      <c r="E58" s="4" t="str">
        <f ca="1">IFERROR(__xludf.DUMMYFUNCTION("GOOGLETRANSLATE(C58,""ja"",""vi"")"),"Loading...")</f>
        <v>Loading...</v>
      </c>
      <c r="F58" t="str">
        <f t="shared" ca="1" si="0"/>
        <v>"2084057777" : "vòng",</v>
      </c>
    </row>
    <row r="59" spans="1:6" ht="15.75" customHeight="1">
      <c r="A59" s="28">
        <v>2084024509</v>
      </c>
      <c r="B59" s="28" t="s">
        <v>7530</v>
      </c>
      <c r="C59" s="28" t="s">
        <v>20580</v>
      </c>
      <c r="D59" s="4" t="str">
        <f ca="1">IFERROR(__xludf.DUMMYFUNCTION("GOOGLETRANSLATE(B59,""ja"",""vi"")"),"Xem")</f>
        <v>Xem</v>
      </c>
      <c r="E59" s="4" t="str">
        <f ca="1">IFERROR(__xludf.DUMMYFUNCTION("GOOGLETRANSLATE(C59,""ja"",""vi"")"),"Đấu giá&gt; phụ kiện, đồng hồ&gt; thương hiệu phụ kiện&gt; Gucci&gt; đồng hồ")</f>
        <v>Đấu giá&gt; phụ kiện, đồng hồ&gt; thương hiệu phụ kiện&gt; Gucci&gt; đồng hồ</v>
      </c>
      <c r="F59" t="str">
        <f t="shared" ca="1" si="0"/>
        <v>"2084024509" : "Xem",</v>
      </c>
    </row>
    <row r="60" spans="1:6" ht="15.75" customHeight="1">
      <c r="A60" s="28">
        <v>2084057780</v>
      </c>
      <c r="B60" s="28" t="s">
        <v>46</v>
      </c>
      <c r="C60" s="28" t="s">
        <v>20581</v>
      </c>
      <c r="D60" s="4" t="str">
        <f ca="1">IFERROR(__xludf.DUMMYFUNCTION("GOOGLETRANSLATE(B60,""ja"",""vi"")"),"nếu không thì")</f>
        <v>nếu không thì</v>
      </c>
      <c r="E60" s="4" t="str">
        <f ca="1">IFERROR(__xludf.DUMMYFUNCTION("GOOGLETRANSLATE(C60,""ja"",""vi"")"),"Đấu giá&gt; phụ kiện, đồng hồ&gt; thương hiệu phụ kiện&gt; Gucci&gt; Khác")</f>
        <v>Đấu giá&gt; phụ kiện, đồng hồ&gt; thương hiệu phụ kiện&gt; Gucci&gt; Khác</v>
      </c>
      <c r="F60" t="str">
        <f t="shared" ca="1" si="0"/>
        <v>"2084057780" : "nếu không thì",</v>
      </c>
    </row>
    <row r="61" spans="1:6" ht="15.75" customHeight="1">
      <c r="A61" s="28">
        <v>2084057920</v>
      </c>
      <c r="B61" s="28" t="s">
        <v>20373</v>
      </c>
      <c r="C61" s="28" t="s">
        <v>20585</v>
      </c>
      <c r="D61" s="4" t="str">
        <f ca="1">IFERROR(__xludf.DUMMYFUNCTION("GOOGLETRANSLATE(B61,""ja"",""vi"")"),"Vòng cổ, mặt dây chuyền, vòng cổ")</f>
        <v>Vòng cổ, mặt dây chuyền, vòng cổ</v>
      </c>
      <c r="E61" s="4" t="str">
        <f ca="1">IFERROR(__xludf.DUMMYFUNCTION("GOOGLETRANSLATE(C61,""ja"",""vi"")"),"Đấu giá&gt; phụ kiện, đồng hồ&gt; thương hiệu phụ kiện&gt; com de mode&gt; vòng cổ, mặt dây chuyền, vòng cổ")</f>
        <v>Đấu giá&gt; phụ kiện, đồng hồ&gt; thương hiệu phụ kiện&gt; com de mode&gt; vòng cổ, mặt dây chuyền, vòng cổ</v>
      </c>
      <c r="F61" t="str">
        <f t="shared" ca="1" si="0"/>
        <v>"2084057920" : "Vòng cổ, mặt dây chuyền, vòng cổ",</v>
      </c>
    </row>
    <row r="62" spans="1:6" ht="15.75" customHeight="1">
      <c r="A62" s="28">
        <v>2084057921</v>
      </c>
      <c r="B62" s="28" t="s">
        <v>18503</v>
      </c>
      <c r="C62" s="28" t="s">
        <v>20589</v>
      </c>
      <c r="D62" s="4" t="str">
        <f ca="1">IFERROR(__xludf.DUMMYFUNCTION("GOOGLETRANSLATE(B62,""ja"",""vi"")"),"Vòng đeo tay, vòng")</f>
        <v>Vòng đeo tay, vòng</v>
      </c>
      <c r="E62" s="4" t="str">
        <f ca="1">IFERROR(__xludf.DUMMYFUNCTION("GOOGLETRANSLATE(C62,""ja"",""vi"")"),"Đấu giá&gt; phụ kiện, đồng hồ&gt; thương hiệu phụ kiện&gt; com de mode&gt; vòng đeo tay, vòng")</f>
        <v>Đấu giá&gt; phụ kiện, đồng hồ&gt; thương hiệu phụ kiện&gt; com de mode&gt; vòng đeo tay, vòng</v>
      </c>
      <c r="F62" t="str">
        <f t="shared" ca="1" si="0"/>
        <v>"2084057921" : "Vòng đeo tay, vòng",</v>
      </c>
    </row>
    <row r="63" spans="1:6" ht="15.75" customHeight="1">
      <c r="A63" s="28">
        <v>2084057922</v>
      </c>
      <c r="B63" s="28" t="s">
        <v>18491</v>
      </c>
      <c r="C63" s="28" t="s">
        <v>20593</v>
      </c>
      <c r="D63" s="4" t="str">
        <f ca="1">IFERROR(__xludf.DUMMYFUNCTION("GOOGLETRANSLATE(B63,""ja"",""vi"")"),"vòng")</f>
        <v>vòng</v>
      </c>
      <c r="E63" s="4" t="str">
        <f ca="1">IFERROR(__xludf.DUMMYFUNCTION("GOOGLETRANSLATE(C63,""ja"",""vi"")"),"Loading...")</f>
        <v>Loading...</v>
      </c>
      <c r="F63" t="str">
        <f t="shared" ca="1" si="0"/>
        <v>"2084057922" : "vòng",</v>
      </c>
    </row>
    <row r="64" spans="1:6" ht="15.75" customHeight="1">
      <c r="A64" s="28">
        <v>2084057923</v>
      </c>
      <c r="B64" s="28" t="s">
        <v>46</v>
      </c>
      <c r="C64" s="28" t="s">
        <v>20595</v>
      </c>
      <c r="D64" s="4" t="str">
        <f ca="1">IFERROR(__xludf.DUMMYFUNCTION("GOOGLETRANSLATE(B64,""ja"",""vi"")"),"nếu không thì")</f>
        <v>nếu không thì</v>
      </c>
      <c r="E64" s="4" t="str">
        <f ca="1">IFERROR(__xludf.DUMMYFUNCTION("GOOGLETRANSLATE(C64,""ja"",""vi"")"),"Loading...")</f>
        <v>Loading...</v>
      </c>
      <c r="F64" t="str">
        <f t="shared" ca="1" si="0"/>
        <v>"2084057923" : "nếu không thì",</v>
      </c>
    </row>
    <row r="65" spans="1:6" ht="15.75" customHeight="1">
      <c r="A65" s="28">
        <v>2084292917</v>
      </c>
      <c r="B65" s="28" t="s">
        <v>20373</v>
      </c>
      <c r="C65" s="28" t="s">
        <v>20598</v>
      </c>
      <c r="D65" s="4" t="str">
        <f ca="1">IFERROR(__xludf.DUMMYFUNCTION("GOOGLETRANSLATE(B65,""ja"",""vi"")"),"Vòng cổ, mặt dây chuyền, vòng cổ")</f>
        <v>Vòng cổ, mặt dây chuyền, vòng cổ</v>
      </c>
      <c r="E65" s="4" t="str">
        <f ca="1">IFERROR(__xludf.DUMMYFUNCTION("GOOGLETRANSLATE(C65,""ja"",""vi"")"),"Đấu giá&gt; phụ kiện, đồng hồ&gt; thương hiệu phụ kiện&gt; Gorozu&gt; vòng cổ, mặt dây chuyền, vòng cổ")</f>
        <v>Đấu giá&gt; phụ kiện, đồng hồ&gt; thương hiệu phụ kiện&gt; Gorozu&gt; vòng cổ, mặt dây chuyền, vòng cổ</v>
      </c>
      <c r="F65" t="str">
        <f t="shared" ca="1" si="0"/>
        <v>"2084292917" : "Vòng cổ, mặt dây chuyền, vòng cổ",</v>
      </c>
    </row>
    <row r="66" spans="1:6" ht="15.75" customHeight="1">
      <c r="A66" s="28">
        <v>2084292918</v>
      </c>
      <c r="B66" s="28" t="s">
        <v>18503</v>
      </c>
      <c r="C66" s="28" t="s">
        <v>20602</v>
      </c>
      <c r="D66" s="4" t="str">
        <f ca="1">IFERROR(__xludf.DUMMYFUNCTION("GOOGLETRANSLATE(B66,""ja"",""vi"")"),"Vòng đeo tay, vòng")</f>
        <v>Vòng đeo tay, vòng</v>
      </c>
      <c r="E66" s="4" t="str">
        <f ca="1">IFERROR(__xludf.DUMMYFUNCTION("GOOGLETRANSLATE(C66,""ja"",""vi"")"),"Đấu giá&gt; phụ kiện, đồng hồ&gt; thương hiệu phụ kiện&gt; Gorozu&gt; vòng đeo tay, vòng")</f>
        <v>Đấu giá&gt; phụ kiện, đồng hồ&gt; thương hiệu phụ kiện&gt; Gorozu&gt; vòng đeo tay, vòng</v>
      </c>
      <c r="F66" t="str">
        <f t="shared" ca="1" si="0"/>
        <v>"2084292918" : "Vòng đeo tay, vòng",</v>
      </c>
    </row>
    <row r="67" spans="1:6" ht="15.75" customHeight="1">
      <c r="A67" s="28">
        <v>2084292919</v>
      </c>
      <c r="B67" s="28" t="s">
        <v>18491</v>
      </c>
      <c r="C67" s="28" t="s">
        <v>20606</v>
      </c>
      <c r="D67" s="4" t="str">
        <f ca="1">IFERROR(__xludf.DUMMYFUNCTION("GOOGLETRANSLATE(B67,""ja"",""vi"")"),"vòng")</f>
        <v>vòng</v>
      </c>
      <c r="E67" s="4" t="str">
        <f ca="1">IFERROR(__xludf.DUMMYFUNCTION("GOOGLETRANSLATE(C67,""ja"",""vi"")"),"Đấu giá&gt; phụ kiện, đồng hồ&gt; thương hiệu phụ kiện&gt; Gorozu&gt; Nhẫn")</f>
        <v>Đấu giá&gt; phụ kiện, đồng hồ&gt; thương hiệu phụ kiện&gt; Gorozu&gt; Nhẫn</v>
      </c>
      <c r="F67" t="str">
        <f t="shared" ref="F67:F130" ca="1" si="1">CONCATENATE(CHAR(34)&amp;"",A67,""&amp;CHAR(34)," : ", CHAR(34)&amp;"",D67,""&amp;CHAR(34),",")</f>
        <v>"2084292919" : "vòng",</v>
      </c>
    </row>
    <row r="68" spans="1:6" ht="15.75" customHeight="1">
      <c r="A68" s="28">
        <v>2084243058</v>
      </c>
      <c r="B68" s="28" t="s">
        <v>15218</v>
      </c>
      <c r="C68" s="28" t="s">
        <v>20610</v>
      </c>
      <c r="D68" s="4" t="str">
        <f ca="1">IFERROR(__xludf.DUMMYFUNCTION("GOOGLETRANSLATE(B68,""ja"",""vi"")"),"ví")</f>
        <v>ví</v>
      </c>
      <c r="E68" s="4" t="str">
        <f ca="1">IFERROR(__xludf.DUMMYFUNCTION("GOOGLETRANSLATE(C68,""ja"",""vi"")"),"Loading...")</f>
        <v>Loading...</v>
      </c>
      <c r="F68" t="str">
        <f t="shared" ca="1" si="1"/>
        <v>"2084243058" : "ví",</v>
      </c>
    </row>
    <row r="69" spans="1:6" ht="15.75" customHeight="1">
      <c r="A69" s="28">
        <v>2084292920</v>
      </c>
      <c r="B69" s="28" t="s">
        <v>46</v>
      </c>
      <c r="C69" s="28" t="s">
        <v>20611</v>
      </c>
      <c r="D69" s="4" t="str">
        <f ca="1">IFERROR(__xludf.DUMMYFUNCTION("GOOGLETRANSLATE(B69,""ja"",""vi"")"),"nếu không thì")</f>
        <v>nếu không thì</v>
      </c>
      <c r="E69" s="4" t="str">
        <f ca="1">IFERROR(__xludf.DUMMYFUNCTION("GOOGLETRANSLATE(C69,""ja"",""vi"")"),"Đấu giá&gt; phụ kiện, đồng hồ&gt; thương hiệu phụ kiện&gt; Gorozu&gt; Khác")</f>
        <v>Đấu giá&gt; phụ kiện, đồng hồ&gt; thương hiệu phụ kiện&gt; Gorozu&gt; Khác</v>
      </c>
      <c r="F69" t="str">
        <f t="shared" ca="1" si="1"/>
        <v>"2084292920" : "nếu không thì",</v>
      </c>
    </row>
    <row r="70" spans="1:6" ht="15.75" customHeight="1">
      <c r="A70" s="28">
        <v>2084057792</v>
      </c>
      <c r="B70" s="28" t="s">
        <v>20386</v>
      </c>
      <c r="C70" s="28" t="s">
        <v>20615</v>
      </c>
      <c r="D70" s="4" t="str">
        <f ca="1">IFERROR(__xludf.DUMMYFUNCTION("GOOGLETRANSLATE(B70,""ja"",""vi"")"),"Bông tai, bông tai")</f>
        <v>Bông tai, bông tai</v>
      </c>
      <c r="E70" s="4" t="str">
        <f ca="1">IFERROR(__xludf.DUMMYFUNCTION("GOOGLETRANSLATE(C70,""ja"",""vi"")"),"Loading...")</f>
        <v>Loading...</v>
      </c>
      <c r="F70" t="str">
        <f t="shared" ca="1" si="1"/>
        <v>"2084057792" : "Bông tai, bông tai",</v>
      </c>
    </row>
    <row r="71" spans="1:6" ht="15.75" customHeight="1">
      <c r="A71" s="28">
        <v>2084057795</v>
      </c>
      <c r="B71" s="28" t="s">
        <v>20373</v>
      </c>
      <c r="C71" s="28" t="s">
        <v>20619</v>
      </c>
      <c r="D71" s="4" t="str">
        <f ca="1">IFERROR(__xludf.DUMMYFUNCTION("GOOGLETRANSLATE(B71,""ja"",""vi"")"),"Vòng cổ, mặt dây chuyền, vòng cổ")</f>
        <v>Vòng cổ, mặt dây chuyền, vòng cổ</v>
      </c>
      <c r="E71" s="4" t="str">
        <f ca="1">IFERROR(__xludf.DUMMYFUNCTION("GOOGLETRANSLATE(C71,""ja"",""vi"")"),"Đấu giá&gt; phụ kiện, đồng hồ&gt; thương hiệu phụ kiện&gt; Chanel&gt; vòng cổ, mặt dây chuyền, vòng cổ")</f>
        <v>Đấu giá&gt; phụ kiện, đồng hồ&gt; thương hiệu phụ kiện&gt; Chanel&gt; vòng cổ, mặt dây chuyền, vòng cổ</v>
      </c>
      <c r="F71" t="str">
        <f t="shared" ca="1" si="1"/>
        <v>"2084057795" : "Vòng cổ, mặt dây chuyền, vòng cổ",</v>
      </c>
    </row>
    <row r="72" spans="1:6" ht="15.75" customHeight="1">
      <c r="A72" s="28">
        <v>2084057796</v>
      </c>
      <c r="B72" s="28" t="s">
        <v>18503</v>
      </c>
      <c r="C72" s="28" t="s">
        <v>20623</v>
      </c>
      <c r="D72" s="4" t="str">
        <f ca="1">IFERROR(__xludf.DUMMYFUNCTION("GOOGLETRANSLATE(B72,""ja"",""vi"")"),"Vòng đeo tay, vòng")</f>
        <v>Vòng đeo tay, vòng</v>
      </c>
      <c r="E72" s="4" t="str">
        <f ca="1">IFERROR(__xludf.DUMMYFUNCTION("GOOGLETRANSLATE(C72,""ja"",""vi"")"),"Loading...")</f>
        <v>Loading...</v>
      </c>
      <c r="F72" t="str">
        <f t="shared" ca="1" si="1"/>
        <v>"2084057796" : "Vòng đeo tay, vòng",</v>
      </c>
    </row>
    <row r="73" spans="1:6" ht="15.75" customHeight="1">
      <c r="A73" s="28">
        <v>2084057799</v>
      </c>
      <c r="B73" s="28" t="s">
        <v>18515</v>
      </c>
      <c r="C73" s="28" t="s">
        <v>20627</v>
      </c>
      <c r="D73" s="4" t="str">
        <f ca="1">IFERROR(__xludf.DUMMYFUNCTION("GOOGLETRANSLATE(B73,""ja"",""vi"")"),"trâm")</f>
        <v>trâm</v>
      </c>
      <c r="E73" s="4" t="str">
        <f ca="1">IFERROR(__xludf.DUMMYFUNCTION("GOOGLETRANSLATE(C73,""ja"",""vi"")"),"Loading...")</f>
        <v>Loading...</v>
      </c>
      <c r="F73" t="str">
        <f t="shared" ca="1" si="1"/>
        <v>"2084057799" : "trâm",</v>
      </c>
    </row>
    <row r="74" spans="1:6" ht="15.75" customHeight="1">
      <c r="A74" s="28">
        <v>2084057800</v>
      </c>
      <c r="B74" s="28" t="s">
        <v>18520</v>
      </c>
      <c r="C74" s="28" t="s">
        <v>20629</v>
      </c>
      <c r="D74" s="4" t="str">
        <f ca="1">IFERROR(__xludf.DUMMYFUNCTION("GOOGLETRANSLATE(B74,""ja"",""vi"")"),"phụ kiện tóc")</f>
        <v>phụ kiện tóc</v>
      </c>
      <c r="E74" s="4" t="str">
        <f ca="1">IFERROR(__xludf.DUMMYFUNCTION("GOOGLETRANSLATE(C74,""ja"",""vi"")"),"Loading...")</f>
        <v>Loading...</v>
      </c>
      <c r="F74" t="str">
        <f t="shared" ca="1" si="1"/>
        <v>"2084057800" : "phụ kiện tóc",</v>
      </c>
    </row>
    <row r="75" spans="1:6" ht="15.75" customHeight="1">
      <c r="A75" s="28">
        <v>2084057801</v>
      </c>
      <c r="B75" s="28" t="s">
        <v>18491</v>
      </c>
      <c r="C75" s="28" t="s">
        <v>20632</v>
      </c>
      <c r="D75" s="4" t="str">
        <f ca="1">IFERROR(__xludf.DUMMYFUNCTION("GOOGLETRANSLATE(B75,""ja"",""vi"")"),"vòng")</f>
        <v>vòng</v>
      </c>
      <c r="E75" s="4" t="str">
        <f ca="1">IFERROR(__xludf.DUMMYFUNCTION("GOOGLETRANSLATE(C75,""ja"",""vi"")"),"Loading...")</f>
        <v>Loading...</v>
      </c>
      <c r="F75" t="str">
        <f t="shared" ca="1" si="1"/>
        <v>"2084057801" : "vòng",</v>
      </c>
    </row>
    <row r="76" spans="1:6" ht="15.75" customHeight="1">
      <c r="A76" s="28">
        <v>2084051030</v>
      </c>
      <c r="B76" s="28" t="s">
        <v>7530</v>
      </c>
      <c r="C76" s="28" t="s">
        <v>20636</v>
      </c>
      <c r="D76" s="4" t="str">
        <f ca="1">IFERROR(__xludf.DUMMYFUNCTION("GOOGLETRANSLATE(B76,""ja"",""vi"")"),"Xem")</f>
        <v>Xem</v>
      </c>
      <c r="E76" s="4" t="str">
        <f ca="1">IFERROR(__xludf.DUMMYFUNCTION("GOOGLETRANSLATE(C76,""ja"",""vi"")"),"Loading...")</f>
        <v>Loading...</v>
      </c>
      <c r="F76" t="str">
        <f t="shared" ca="1" si="1"/>
        <v>"2084051030" : "Xem",</v>
      </c>
    </row>
    <row r="77" spans="1:6" ht="15.75" customHeight="1">
      <c r="A77" s="28">
        <v>2084057802</v>
      </c>
      <c r="B77" s="28" t="s">
        <v>46</v>
      </c>
      <c r="C77" s="28" t="s">
        <v>20639</v>
      </c>
      <c r="D77" s="4" t="str">
        <f ca="1">IFERROR(__xludf.DUMMYFUNCTION("GOOGLETRANSLATE(B77,""ja"",""vi"")"),"nếu không thì")</f>
        <v>nếu không thì</v>
      </c>
      <c r="E77" s="4" t="str">
        <f ca="1">IFERROR(__xludf.DUMMYFUNCTION("GOOGLETRANSLATE(C77,""ja"",""vi"")"),"Đấu giá&gt; phụ kiện, đồng hồ&gt; thương hiệu phụ kiện&gt; Chanel&gt; Khác")</f>
        <v>Đấu giá&gt; phụ kiện, đồng hồ&gt; thương hiệu phụ kiện&gt; Chanel&gt; Khác</v>
      </c>
      <c r="F77" t="str">
        <f t="shared" ca="1" si="1"/>
        <v>"2084057802" : "nếu không thì",</v>
      </c>
    </row>
    <row r="78" spans="1:6" ht="15.75" customHeight="1">
      <c r="A78" s="28">
        <v>2084057917</v>
      </c>
      <c r="B78" s="28" t="s">
        <v>18491</v>
      </c>
      <c r="C78" s="28" t="s">
        <v>20643</v>
      </c>
      <c r="D78" s="4" t="str">
        <f ca="1">IFERROR(__xludf.DUMMYFUNCTION("GOOGLETRANSLATE(B78,""ja"",""vi"")"),"vòng")</f>
        <v>vòng</v>
      </c>
      <c r="E78" s="4" t="str">
        <f ca="1">IFERROR(__xludf.DUMMYFUNCTION("GOOGLETRANSLATE(C78,""ja"",""vi"")"),"Đấu giá&gt; phụ kiện, đồng hồ&gt; thương hiệu phụ kiện&gt; CHAUMET&gt; Nhẫn")</f>
        <v>Đấu giá&gt; phụ kiện, đồng hồ&gt; thương hiệu phụ kiện&gt; CHAUMET&gt; Nhẫn</v>
      </c>
      <c r="F78" t="str">
        <f t="shared" ca="1" si="1"/>
        <v>"2084057917" : "vòng",</v>
      </c>
    </row>
    <row r="79" spans="1:6" ht="15.75" customHeight="1">
      <c r="A79" s="28">
        <v>2084057918</v>
      </c>
      <c r="B79" s="28" t="s">
        <v>46</v>
      </c>
      <c r="C79" s="28" t="s">
        <v>20647</v>
      </c>
      <c r="D79" s="4" t="str">
        <f ca="1">IFERROR(__xludf.DUMMYFUNCTION("GOOGLETRANSLATE(B79,""ja"",""vi"")"),"nếu không thì")</f>
        <v>nếu không thì</v>
      </c>
      <c r="E79" s="4" t="str">
        <f ca="1">IFERROR(__xludf.DUMMYFUNCTION("GOOGLETRANSLATE(C79,""ja"",""vi"")"),"Loading...")</f>
        <v>Loading...</v>
      </c>
      <c r="F79" t="str">
        <f t="shared" ca="1" si="1"/>
        <v>"2084057918" : "nếu không thì",</v>
      </c>
    </row>
    <row r="80" spans="1:6" ht="15.75" customHeight="1">
      <c r="A80" s="28">
        <v>2084057888</v>
      </c>
      <c r="B80" s="28" t="s">
        <v>20373</v>
      </c>
      <c r="C80" s="28" t="s">
        <v>20649</v>
      </c>
      <c r="D80" s="4" t="str">
        <f ca="1">IFERROR(__xludf.DUMMYFUNCTION("GOOGLETRANSLATE(B80,""ja"",""vi"")"),"Vòng cổ, mặt dây chuyền, vòng cổ")</f>
        <v>Vòng cổ, mặt dây chuyền, vòng cổ</v>
      </c>
      <c r="E80" s="4" t="str">
        <f ca="1">IFERROR(__xludf.DUMMYFUNCTION("GOOGLETRANSLATE(C80,""ja"",""vi"")"),"Loading...")</f>
        <v>Loading...</v>
      </c>
      <c r="F80" t="str">
        <f t="shared" ca="1" si="1"/>
        <v>"2084057888" : "Vòng cổ, mặt dây chuyền, vòng cổ",</v>
      </c>
    </row>
    <row r="81" spans="1:6" ht="15.75" customHeight="1">
      <c r="A81" s="28">
        <v>2084057889</v>
      </c>
      <c r="B81" s="28" t="s">
        <v>18491</v>
      </c>
      <c r="C81" s="28" t="s">
        <v>20652</v>
      </c>
      <c r="D81" s="4" t="str">
        <f ca="1">IFERROR(__xludf.DUMMYFUNCTION("GOOGLETRANSLATE(B81,""ja"",""vi"")"),"vòng")</f>
        <v>vòng</v>
      </c>
      <c r="E81" s="4" t="str">
        <f ca="1">IFERROR(__xludf.DUMMYFUNCTION("GOOGLETRANSLATE(C81,""ja"",""vi"")"),"Đấu giá&gt; phụ kiện, đồng hồ&gt; thương hiệu phụ kiện&gt; Chopard&gt; Nhẫn")</f>
        <v>Đấu giá&gt; phụ kiện, đồng hồ&gt; thương hiệu phụ kiện&gt; Chopard&gt; Nhẫn</v>
      </c>
      <c r="F81" t="str">
        <f t="shared" ca="1" si="1"/>
        <v>"2084057889" : "vòng",</v>
      </c>
    </row>
    <row r="82" spans="1:6" ht="15.75" customHeight="1">
      <c r="A82" s="28">
        <v>2084024543</v>
      </c>
      <c r="B82" s="28" t="s">
        <v>7530</v>
      </c>
      <c r="C82" s="28" t="s">
        <v>20656</v>
      </c>
      <c r="D82" s="4" t="str">
        <f ca="1">IFERROR(__xludf.DUMMYFUNCTION("GOOGLETRANSLATE(B82,""ja"",""vi"")"),"Xem")</f>
        <v>Xem</v>
      </c>
      <c r="E82" s="4" t="str">
        <f ca="1">IFERROR(__xludf.DUMMYFUNCTION("GOOGLETRANSLATE(C82,""ja"",""vi"")"),"Loading...")</f>
        <v>Loading...</v>
      </c>
      <c r="F82" t="str">
        <f t="shared" ca="1" si="1"/>
        <v>"2084024543" : "Xem",</v>
      </c>
    </row>
    <row r="83" spans="1:6" ht="15.75" customHeight="1">
      <c r="A83" s="28">
        <v>2084057890</v>
      </c>
      <c r="B83" s="28" t="s">
        <v>46</v>
      </c>
      <c r="C83" s="28" t="s">
        <v>20660</v>
      </c>
      <c r="D83" s="4" t="str">
        <f ca="1">IFERROR(__xludf.DUMMYFUNCTION("GOOGLETRANSLATE(B83,""ja"",""vi"")"),"nếu không thì")</f>
        <v>nếu không thì</v>
      </c>
      <c r="E83" s="4" t="str">
        <f ca="1">IFERROR(__xludf.DUMMYFUNCTION("GOOGLETRANSLATE(C83,""ja"",""vi"")"),"Loading...")</f>
        <v>Loading...</v>
      </c>
      <c r="F83" t="str">
        <f t="shared" ca="1" si="1"/>
        <v>"2084057890" : "nếu không thì",</v>
      </c>
    </row>
    <row r="84" spans="1:6" ht="15.75" customHeight="1">
      <c r="A84" s="28">
        <v>2084062114</v>
      </c>
      <c r="B84" s="28" t="s">
        <v>20386</v>
      </c>
      <c r="C84" s="28" t="s">
        <v>20666</v>
      </c>
      <c r="D84" s="4" t="str">
        <f ca="1">IFERROR(__xludf.DUMMYFUNCTION("GOOGLETRANSLATE(B84,""ja"",""vi"")"),"Bông tai, bông tai")</f>
        <v>Bông tai, bông tai</v>
      </c>
      <c r="E84" s="4" t="str">
        <f ca="1">IFERROR(__xludf.DUMMYFUNCTION("GOOGLETRANSLATE(C84,""ja"",""vi"")"),"Đấu giá&gt; phụ kiện, đồng hồ&gt; thương hiệu phụ kiện&gt; Givenchy&gt; bông tai, bông tai")</f>
        <v>Đấu giá&gt; phụ kiện, đồng hồ&gt; thương hiệu phụ kiện&gt; Givenchy&gt; bông tai, bông tai</v>
      </c>
      <c r="F84" t="str">
        <f t="shared" ca="1" si="1"/>
        <v>"2084062114" : "Bông tai, bông tai",</v>
      </c>
    </row>
    <row r="85" spans="1:6" ht="15.75" customHeight="1">
      <c r="A85" s="28">
        <v>2084062117</v>
      </c>
      <c r="B85" s="28" t="s">
        <v>18581</v>
      </c>
      <c r="C85" s="28" t="s">
        <v>20667</v>
      </c>
      <c r="D85" s="4" t="str">
        <f ca="1">IFERROR(__xludf.DUMMYFUNCTION("GOOGLETRANSLATE(B85,""ja"",""vi"")"),"còng")</f>
        <v>còng</v>
      </c>
      <c r="E85" s="4" t="str">
        <f ca="1">IFERROR(__xludf.DUMMYFUNCTION("GOOGLETRANSLATE(C85,""ja"",""vi"")"),"Đấu giá&gt; phụ kiện, đồng hồ&gt; thương hiệu phụ kiện&gt; Givenchy&gt; còng")</f>
        <v>Đấu giá&gt; phụ kiện, đồng hồ&gt; thương hiệu phụ kiện&gt; Givenchy&gt; còng</v>
      </c>
      <c r="F85" t="str">
        <f t="shared" ca="1" si="1"/>
        <v>"2084062117" : "còng",</v>
      </c>
    </row>
    <row r="86" spans="1:6" ht="15.75" customHeight="1">
      <c r="A86" s="28">
        <v>2084062115</v>
      </c>
      <c r="B86" s="28" t="s">
        <v>20373</v>
      </c>
      <c r="C86" s="28" t="s">
        <v>20673</v>
      </c>
      <c r="D86" s="4" t="str">
        <f ca="1">IFERROR(__xludf.DUMMYFUNCTION("GOOGLETRANSLATE(B86,""ja"",""vi"")"),"Vòng cổ, mặt dây chuyền, vòng cổ")</f>
        <v>Vòng cổ, mặt dây chuyền, vòng cổ</v>
      </c>
      <c r="E86" s="4" t="str">
        <f ca="1">IFERROR(__xludf.DUMMYFUNCTION("GOOGLETRANSLATE(C86,""ja"",""vi"")"),"Đấu giá&gt; phụ kiện, đồng hồ&gt; thương hiệu phụ kiện&gt; Givenchy&gt; vòng cổ, mặt dây chuyền, vòng cổ")</f>
        <v>Đấu giá&gt; phụ kiện, đồng hồ&gt; thương hiệu phụ kiện&gt; Givenchy&gt; vòng cổ, mặt dây chuyền, vòng cổ</v>
      </c>
      <c r="F86" t="str">
        <f t="shared" ca="1" si="1"/>
        <v>"2084062115" : "Vòng cổ, mặt dây chuyền, vòng cổ",</v>
      </c>
    </row>
    <row r="87" spans="1:6" ht="15.75" customHeight="1">
      <c r="A87" s="28">
        <v>2084062116</v>
      </c>
      <c r="B87" s="28" t="s">
        <v>18503</v>
      </c>
      <c r="C87" s="28" t="s">
        <v>20676</v>
      </c>
      <c r="D87" s="4" t="str">
        <f ca="1">IFERROR(__xludf.DUMMYFUNCTION("GOOGLETRANSLATE(B87,""ja"",""vi"")"),"Vòng đeo tay, vòng")</f>
        <v>Vòng đeo tay, vòng</v>
      </c>
      <c r="E87" s="4" t="str">
        <f ca="1">IFERROR(__xludf.DUMMYFUNCTION("GOOGLETRANSLATE(C87,""ja"",""vi"")"),"Loading...")</f>
        <v>Loading...</v>
      </c>
      <c r="F87" t="str">
        <f t="shared" ca="1" si="1"/>
        <v>"2084062116" : "Vòng đeo tay, vòng",</v>
      </c>
    </row>
    <row r="88" spans="1:6" ht="15.75" customHeight="1">
      <c r="A88" s="28">
        <v>2084062112</v>
      </c>
      <c r="B88" s="28" t="s">
        <v>7530</v>
      </c>
      <c r="C88" s="28" t="s">
        <v>20679</v>
      </c>
      <c r="D88" s="4" t="str">
        <f ca="1">IFERROR(__xludf.DUMMYFUNCTION("GOOGLETRANSLATE(B88,""ja"",""vi"")"),"Xem")</f>
        <v>Xem</v>
      </c>
      <c r="E88" s="4" t="str">
        <f ca="1">IFERROR(__xludf.DUMMYFUNCTION("GOOGLETRANSLATE(C88,""ja"",""vi"")"),"Đấu giá&gt; phụ kiện, đồng hồ&gt; thương hiệu phụ kiện&gt; Givenchy&gt; đồng hồ")</f>
        <v>Đấu giá&gt; phụ kiện, đồng hồ&gt; thương hiệu phụ kiện&gt; Givenchy&gt; đồng hồ</v>
      </c>
      <c r="F88" t="str">
        <f t="shared" ca="1" si="1"/>
        <v>"2084062112" : "Xem",</v>
      </c>
    </row>
    <row r="89" spans="1:6" ht="15.75" customHeight="1">
      <c r="A89" s="28">
        <v>2084062118</v>
      </c>
      <c r="B89" s="28" t="s">
        <v>46</v>
      </c>
      <c r="C89" s="28" t="s">
        <v>20684</v>
      </c>
      <c r="D89" s="4" t="str">
        <f ca="1">IFERROR(__xludf.DUMMYFUNCTION("GOOGLETRANSLATE(B89,""ja"",""vi"")"),"nếu không thì")</f>
        <v>nếu không thì</v>
      </c>
      <c r="E89" s="4" t="str">
        <f ca="1">IFERROR(__xludf.DUMMYFUNCTION("GOOGLETRANSLATE(C89,""ja"",""vi"")"),"Loading...")</f>
        <v>Loading...</v>
      </c>
      <c r="F89" t="str">
        <f t="shared" ca="1" si="1"/>
        <v>"2084062118" : "nếu không thì",</v>
      </c>
    </row>
    <row r="90" spans="1:6" ht="15.75" customHeight="1">
      <c r="A90" s="28">
        <v>2084211404</v>
      </c>
      <c r="B90" s="28" t="s">
        <v>18491</v>
      </c>
      <c r="C90" s="28" t="s">
        <v>20687</v>
      </c>
      <c r="D90" s="4" t="str">
        <f ca="1">IFERROR(__xludf.DUMMYFUNCTION("GOOGLETRANSLATE(B90,""ja"",""vi"")"),"vòng")</f>
        <v>vòng</v>
      </c>
      <c r="E90" s="4" t="str">
        <f ca="1">IFERROR(__xludf.DUMMYFUNCTION("GOOGLETRANSLATE(C90,""ja"",""vi"")"),"Đấu giá&gt; phụ kiện, đồng hồ&gt; thương hiệu phụ kiện&gt; mứt Home-made&gt; Nhẫn")</f>
        <v>Đấu giá&gt; phụ kiện, đồng hồ&gt; thương hiệu phụ kiện&gt; mứt Home-made&gt; Nhẫn</v>
      </c>
      <c r="F90" t="str">
        <f t="shared" ca="1" si="1"/>
        <v>"2084211404" : "vòng",</v>
      </c>
    </row>
    <row r="91" spans="1:6" ht="15.75" customHeight="1">
      <c r="A91" s="28">
        <v>2084211405</v>
      </c>
      <c r="B91" s="28" t="s">
        <v>46</v>
      </c>
      <c r="C91" s="28" t="s">
        <v>20691</v>
      </c>
      <c r="D91" s="4" t="str">
        <f ca="1">IFERROR(__xludf.DUMMYFUNCTION("GOOGLETRANSLATE(B91,""ja"",""vi"")"),"nếu không thì")</f>
        <v>nếu không thì</v>
      </c>
      <c r="E91" s="4" t="str">
        <f ca="1">IFERROR(__xludf.DUMMYFUNCTION("GOOGLETRANSLATE(C91,""ja"",""vi"")"),"Loading...")</f>
        <v>Loading...</v>
      </c>
      <c r="F91" t="str">
        <f t="shared" ca="1" si="1"/>
        <v>"2084211405" : "nếu không thì",</v>
      </c>
    </row>
    <row r="92" spans="1:6" ht="15.75" customHeight="1">
      <c r="A92" s="28">
        <v>2084195386</v>
      </c>
      <c r="B92" s="28" t="s">
        <v>20386</v>
      </c>
      <c r="C92" s="28" t="s">
        <v>20694</v>
      </c>
      <c r="D92" s="4" t="str">
        <f ca="1">IFERROR(__xludf.DUMMYFUNCTION("GOOGLETRANSLATE(B92,""ja"",""vi"")"),"Bông tai, bông tai")</f>
        <v>Bông tai, bông tai</v>
      </c>
      <c r="E92" s="4" t="str">
        <f ca="1">IFERROR(__xludf.DUMMYFUNCTION("GOOGLETRANSLATE(C92,""ja"",""vi"")"),"Đấu giá&gt; phụ kiện, đồng hồ&gt; thương hiệu phụ kiện&gt; George Jensen&gt; bông tai, bông tai")</f>
        <v>Đấu giá&gt; phụ kiện, đồng hồ&gt; thương hiệu phụ kiện&gt; George Jensen&gt; bông tai, bông tai</v>
      </c>
      <c r="F92" t="str">
        <f t="shared" ca="1" si="1"/>
        <v>"2084195386" : "Bông tai, bông tai",</v>
      </c>
    </row>
    <row r="93" spans="1:6" ht="15.75" customHeight="1">
      <c r="A93" s="28">
        <v>2084195387</v>
      </c>
      <c r="B93" s="28" t="s">
        <v>20373</v>
      </c>
      <c r="C93" s="28" t="s">
        <v>20697</v>
      </c>
      <c r="D93" s="4" t="str">
        <f ca="1">IFERROR(__xludf.DUMMYFUNCTION("GOOGLETRANSLATE(B93,""ja"",""vi"")"),"Vòng cổ, mặt dây chuyền, vòng cổ")</f>
        <v>Vòng cổ, mặt dây chuyền, vòng cổ</v>
      </c>
      <c r="E93" s="4" t="str">
        <f ca="1">IFERROR(__xludf.DUMMYFUNCTION("GOOGLETRANSLATE(C93,""ja"",""vi"")"),"Loading...")</f>
        <v>Loading...</v>
      </c>
      <c r="F93" t="str">
        <f t="shared" ca="1" si="1"/>
        <v>"2084195387" : "Vòng cổ, mặt dây chuyền, vòng cổ",</v>
      </c>
    </row>
    <row r="94" spans="1:6" ht="15.75" customHeight="1">
      <c r="A94" s="28">
        <v>2084195388</v>
      </c>
      <c r="B94" s="28" t="s">
        <v>18503</v>
      </c>
      <c r="C94" s="28" t="s">
        <v>20700</v>
      </c>
      <c r="D94" s="4" t="str">
        <f ca="1">IFERROR(__xludf.DUMMYFUNCTION("GOOGLETRANSLATE(B94,""ja"",""vi"")"),"Vòng đeo tay, vòng")</f>
        <v>Vòng đeo tay, vòng</v>
      </c>
      <c r="E94" s="4" t="str">
        <f ca="1">IFERROR(__xludf.DUMMYFUNCTION("GOOGLETRANSLATE(C94,""ja"",""vi"")"),"Loading...")</f>
        <v>Loading...</v>
      </c>
      <c r="F94" t="str">
        <f t="shared" ca="1" si="1"/>
        <v>"2084195388" : "Vòng đeo tay, vòng",</v>
      </c>
    </row>
    <row r="95" spans="1:6" ht="15.75" customHeight="1">
      <c r="A95" s="28">
        <v>2084195389</v>
      </c>
      <c r="B95" s="28" t="s">
        <v>18491</v>
      </c>
      <c r="C95" s="28" t="s">
        <v>20702</v>
      </c>
      <c r="D95" s="4" t="str">
        <f ca="1">IFERROR(__xludf.DUMMYFUNCTION("GOOGLETRANSLATE(B95,""ja"",""vi"")"),"vòng")</f>
        <v>vòng</v>
      </c>
      <c r="E95" s="4" t="str">
        <f ca="1">IFERROR(__xludf.DUMMYFUNCTION("GOOGLETRANSLATE(C95,""ja"",""vi"")"),"Đấu giá&gt; phụ kiện, đồng hồ&gt; thương hiệu phụ kiện&gt; George Jensen&gt; Nhẫn")</f>
        <v>Đấu giá&gt; phụ kiện, đồng hồ&gt; thương hiệu phụ kiện&gt; George Jensen&gt; Nhẫn</v>
      </c>
      <c r="F95" t="str">
        <f t="shared" ca="1" si="1"/>
        <v>"2084195389" : "vòng",</v>
      </c>
    </row>
    <row r="96" spans="1:6" ht="15.75" customHeight="1">
      <c r="A96" s="28">
        <v>2084195390</v>
      </c>
      <c r="B96" s="28" t="s">
        <v>46</v>
      </c>
      <c r="C96" s="28" t="s">
        <v>20704</v>
      </c>
      <c r="D96" s="4" t="str">
        <f ca="1">IFERROR(__xludf.DUMMYFUNCTION("GOOGLETRANSLATE(B96,""ja"",""vi"")"),"nếu không thì")</f>
        <v>nếu không thì</v>
      </c>
      <c r="E96" s="4" t="str">
        <f ca="1">IFERROR(__xludf.DUMMYFUNCTION("GOOGLETRANSLATE(C96,""ja"",""vi"")"),"Loading...")</f>
        <v>Loading...</v>
      </c>
      <c r="F96" t="str">
        <f t="shared" ca="1" si="1"/>
        <v>"2084195390" : "nếu không thì",</v>
      </c>
    </row>
    <row r="97" spans="1:6" ht="15.75" customHeight="1">
      <c r="A97" s="28">
        <v>2084057893</v>
      </c>
      <c r="B97" s="28" t="s">
        <v>20386</v>
      </c>
      <c r="C97" s="28" t="s">
        <v>20707</v>
      </c>
      <c r="D97" s="4" t="str">
        <f ca="1">IFERROR(__xludf.DUMMYFUNCTION("GOOGLETRANSLATE(B97,""ja"",""vi"")"),"Bông tai, bông tai")</f>
        <v>Bông tai, bông tai</v>
      </c>
      <c r="E97" s="4" t="str">
        <f ca="1">IFERROR(__xludf.DUMMYFUNCTION("GOOGLETRANSLATE(C97,""ja"",""vi"")"),"Đấu giá&gt; phụ kiện, đồng hồ&gt; thương hiệu phụ kiện&gt; đồ trang sức sao&gt; bông tai, bông tai")</f>
        <v>Đấu giá&gt; phụ kiện, đồng hồ&gt; thương hiệu phụ kiện&gt; đồ trang sức sao&gt; bông tai, bông tai</v>
      </c>
      <c r="F97" t="str">
        <f t="shared" ca="1" si="1"/>
        <v>"2084057893" : "Bông tai, bông tai",</v>
      </c>
    </row>
    <row r="98" spans="1:6" ht="15.75" customHeight="1">
      <c r="A98" s="28">
        <v>2084057894</v>
      </c>
      <c r="B98" s="28" t="s">
        <v>20373</v>
      </c>
      <c r="C98" s="28" t="s">
        <v>20708</v>
      </c>
      <c r="D98" s="4" t="str">
        <f ca="1">IFERROR(__xludf.DUMMYFUNCTION("GOOGLETRANSLATE(B98,""ja"",""vi"")"),"Vòng cổ, mặt dây chuyền, vòng cổ")</f>
        <v>Vòng cổ, mặt dây chuyền, vòng cổ</v>
      </c>
      <c r="E98" s="4" t="str">
        <f ca="1">IFERROR(__xludf.DUMMYFUNCTION("GOOGLETRANSLATE(C98,""ja"",""vi"")"),"Đấu giá&gt; phụ kiện, đồng hồ&gt; thương hiệu phụ kiện&gt; đồ trang sức sao&gt; vòng cổ, mặt dây chuyền, vòng cổ")</f>
        <v>Đấu giá&gt; phụ kiện, đồng hồ&gt; thương hiệu phụ kiện&gt; đồ trang sức sao&gt; vòng cổ, mặt dây chuyền, vòng cổ</v>
      </c>
      <c r="F98" t="str">
        <f t="shared" ca="1" si="1"/>
        <v>"2084057894" : "Vòng cổ, mặt dây chuyền, vòng cổ",</v>
      </c>
    </row>
    <row r="99" spans="1:6" ht="15.75" customHeight="1">
      <c r="A99" s="28">
        <v>2084057895</v>
      </c>
      <c r="B99" s="28" t="s">
        <v>18491</v>
      </c>
      <c r="C99" s="28" t="s">
        <v>20711</v>
      </c>
      <c r="D99" s="4" t="str">
        <f ca="1">IFERROR(__xludf.DUMMYFUNCTION("GOOGLETRANSLATE(B99,""ja"",""vi"")"),"vòng")</f>
        <v>vòng</v>
      </c>
      <c r="E99" s="4" t="str">
        <f ca="1">IFERROR(__xludf.DUMMYFUNCTION("GOOGLETRANSLATE(C99,""ja"",""vi"")"),"Đấu giá&gt; phụ kiện, đồng hồ&gt; thương hiệu phụ kiện&gt; đồ trang sức sao&gt; Nhẫn")</f>
        <v>Đấu giá&gt; phụ kiện, đồng hồ&gt; thương hiệu phụ kiện&gt; đồ trang sức sao&gt; Nhẫn</v>
      </c>
      <c r="F99" t="str">
        <f t="shared" ca="1" si="1"/>
        <v>"2084057895" : "vòng",</v>
      </c>
    </row>
    <row r="100" spans="1:6" ht="15.75" customHeight="1">
      <c r="A100" s="28">
        <v>2084057896</v>
      </c>
      <c r="B100" s="28" t="s">
        <v>46</v>
      </c>
      <c r="C100" s="28" t="s">
        <v>20714</v>
      </c>
      <c r="D100" s="4" t="str">
        <f ca="1">IFERROR(__xludf.DUMMYFUNCTION("GOOGLETRANSLATE(B100,""ja"",""vi"")"),"nếu không thì")</f>
        <v>nếu không thì</v>
      </c>
      <c r="E100" s="4" t="str">
        <f ca="1">IFERROR(__xludf.DUMMYFUNCTION("GOOGLETRANSLATE(C100,""ja"",""vi"")"),"Loading...")</f>
        <v>Loading...</v>
      </c>
      <c r="F100" t="str">
        <f t="shared" ca="1" si="1"/>
        <v>"2084057896" : "nếu không thì",</v>
      </c>
    </row>
    <row r="101" spans="1:6" ht="15.75" customHeight="1">
      <c r="A101" s="28">
        <v>2084212691</v>
      </c>
      <c r="B101" s="28" t="s">
        <v>20373</v>
      </c>
      <c r="C101" s="28" t="s">
        <v>20716</v>
      </c>
      <c r="D101" s="4" t="str">
        <f ca="1">IFERROR(__xludf.DUMMYFUNCTION("GOOGLETRANSLATE(B101,""ja"",""vi"")"),"Vòng cổ, mặt dây chuyền, vòng cổ")</f>
        <v>Vòng cổ, mặt dây chuyền, vòng cổ</v>
      </c>
      <c r="E101" s="4" t="str">
        <f ca="1">IFERROR(__xludf.DUMMYFUNCTION("GOOGLETRANSLATE(C101,""ja"",""vi"")"),"Đấu giá&gt; phụ kiện, đồng hồ&gt; thương hiệu phụ kiện&gt; Swarovski&gt; vòng cổ, mặt dây chuyền, vòng cổ")</f>
        <v>Đấu giá&gt; phụ kiện, đồng hồ&gt; thương hiệu phụ kiện&gt; Swarovski&gt; vòng cổ, mặt dây chuyền, vòng cổ</v>
      </c>
      <c r="F101" t="str">
        <f t="shared" ca="1" si="1"/>
        <v>"2084212691" : "Vòng cổ, mặt dây chuyền, vòng cổ",</v>
      </c>
    </row>
    <row r="102" spans="1:6" ht="15.75" customHeight="1">
      <c r="A102" s="28">
        <v>2084212692</v>
      </c>
      <c r="B102" s="28" t="s">
        <v>18491</v>
      </c>
      <c r="C102" s="28" t="s">
        <v>20718</v>
      </c>
      <c r="D102" s="4" t="str">
        <f ca="1">IFERROR(__xludf.DUMMYFUNCTION("GOOGLETRANSLATE(B102,""ja"",""vi"")"),"vòng")</f>
        <v>vòng</v>
      </c>
      <c r="E102" s="4" t="str">
        <f ca="1">IFERROR(__xludf.DUMMYFUNCTION("GOOGLETRANSLATE(C102,""ja"",""vi"")"),"Loading...")</f>
        <v>Loading...</v>
      </c>
      <c r="F102" t="str">
        <f t="shared" ca="1" si="1"/>
        <v>"2084212692" : "vòng",</v>
      </c>
    </row>
    <row r="103" spans="1:6" ht="15.75" customHeight="1">
      <c r="A103" s="28">
        <v>2084212693</v>
      </c>
      <c r="B103" s="28" t="s">
        <v>46</v>
      </c>
      <c r="C103" s="28" t="s">
        <v>20721</v>
      </c>
      <c r="D103" s="4" t="str">
        <f ca="1">IFERROR(__xludf.DUMMYFUNCTION("GOOGLETRANSLATE(B103,""ja"",""vi"")"),"nếu không thì")</f>
        <v>nếu không thì</v>
      </c>
      <c r="E103" s="4" t="str">
        <f ca="1">IFERROR(__xludf.DUMMYFUNCTION("GOOGLETRANSLATE(C103,""ja"",""vi"")"),"Loading...")</f>
        <v>Loading...</v>
      </c>
      <c r="F103" t="str">
        <f t="shared" ca="1" si="1"/>
        <v>"2084212693" : "nếu không thì",</v>
      </c>
    </row>
    <row r="104" spans="1:6" ht="15.75" customHeight="1">
      <c r="A104" s="28">
        <v>2084061873</v>
      </c>
      <c r="B104" s="28" t="s">
        <v>18581</v>
      </c>
      <c r="C104" s="28" t="s">
        <v>20724</v>
      </c>
      <c r="D104" s="4" t="str">
        <f ca="1">IFERROR(__xludf.DUMMYFUNCTION("GOOGLETRANSLATE(B104,""ja"",""vi"")"),"còng")</f>
        <v>còng</v>
      </c>
      <c r="E104" s="4" t="str">
        <f ca="1">IFERROR(__xludf.DUMMYFUNCTION("GOOGLETRANSLATE(C104,""ja"",""vi"")"),"Đấu giá&gt; phụ kiện, đồng hồ&gt; thương hiệu phụ kiện&gt; Tateoshian&gt; còng")</f>
        <v>Đấu giá&gt; phụ kiện, đồng hồ&gt; thương hiệu phụ kiện&gt; Tateoshian&gt; còng</v>
      </c>
      <c r="F104" t="str">
        <f t="shared" ca="1" si="1"/>
        <v>"2084061873" : "còng",</v>
      </c>
    </row>
    <row r="105" spans="1:6" ht="15.75" customHeight="1">
      <c r="A105" s="28">
        <v>2084061874</v>
      </c>
      <c r="B105" s="28" t="s">
        <v>46</v>
      </c>
      <c r="C105" s="28" t="s">
        <v>20726</v>
      </c>
      <c r="D105" s="4" t="str">
        <f ca="1">IFERROR(__xludf.DUMMYFUNCTION("GOOGLETRANSLATE(B105,""ja"",""vi"")"),"nếu không thì")</f>
        <v>nếu không thì</v>
      </c>
      <c r="E105" s="4" t="str">
        <f ca="1">IFERROR(__xludf.DUMMYFUNCTION("GOOGLETRANSLATE(C105,""ja"",""vi"")"),"Đấu giá&gt; phụ kiện, đồng hồ&gt; thương hiệu phụ kiện&gt; Tateoshian&gt; Khác")</f>
        <v>Đấu giá&gt; phụ kiện, đồng hồ&gt; thương hiệu phụ kiện&gt; Tateoshian&gt; Khác</v>
      </c>
      <c r="F105" t="str">
        <f t="shared" ca="1" si="1"/>
        <v>"2084061874" : "nếu không thì",</v>
      </c>
    </row>
    <row r="106" spans="1:6" ht="15.75" customHeight="1">
      <c r="A106" s="28">
        <v>2084211291</v>
      </c>
      <c r="B106" s="28" t="s">
        <v>18491</v>
      </c>
      <c r="C106" s="28" t="s">
        <v>20730</v>
      </c>
      <c r="D106" s="4" t="str">
        <f ca="1">IFERROR(__xludf.DUMMYFUNCTION("GOOGLETRANSLATE(B106,""ja"",""vi"")"),"vòng")</f>
        <v>vòng</v>
      </c>
      <c r="E106" s="4" t="str">
        <f ca="1">IFERROR(__xludf.DUMMYFUNCTION("GOOGLETRANSLATE(C106,""ja"",""vi"")"),"Đấu giá&gt; phụ kiện, đồng hồ&gt; thương hiệu phụ kiện&gt; Damiani&gt; Nhẫn")</f>
        <v>Đấu giá&gt; phụ kiện, đồng hồ&gt; thương hiệu phụ kiện&gt; Damiani&gt; Nhẫn</v>
      </c>
      <c r="F106" t="str">
        <f t="shared" ca="1" si="1"/>
        <v>"2084211291" : "vòng",</v>
      </c>
    </row>
    <row r="107" spans="1:6" ht="15.75" customHeight="1">
      <c r="A107" s="28">
        <v>2084211292</v>
      </c>
      <c r="B107" s="28" t="s">
        <v>46</v>
      </c>
      <c r="C107" s="28" t="s">
        <v>20733</v>
      </c>
      <c r="D107" s="4" t="str">
        <f ca="1">IFERROR(__xludf.DUMMYFUNCTION("GOOGLETRANSLATE(B107,""ja"",""vi"")"),"nếu không thì")</f>
        <v>nếu không thì</v>
      </c>
      <c r="E107" s="4" t="str">
        <f ca="1">IFERROR(__xludf.DUMMYFUNCTION("GOOGLETRANSLATE(C107,""ja"",""vi"")"),"Loading...")</f>
        <v>Loading...</v>
      </c>
      <c r="F107" t="str">
        <f t="shared" ca="1" si="1"/>
        <v>"2084211292" : "nếu không thì",</v>
      </c>
    </row>
    <row r="108" spans="1:6" ht="15.75" customHeight="1">
      <c r="A108" s="28">
        <v>2084061867</v>
      </c>
      <c r="B108" s="28" t="s">
        <v>18581</v>
      </c>
      <c r="C108" s="28" t="s">
        <v>20734</v>
      </c>
      <c r="D108" s="4" t="str">
        <f ca="1">IFERROR(__xludf.DUMMYFUNCTION("GOOGLETRANSLATE(B108,""ja"",""vi"")"),"còng")</f>
        <v>còng</v>
      </c>
      <c r="E108" s="4" t="str">
        <f ca="1">IFERROR(__xludf.DUMMYFUNCTION("GOOGLETRANSLATE(C108,""ja"",""vi"")"),"Đấu giá&gt; phụ kiện, đồng hồ&gt; thương hiệu phụ kiện&gt; Dunhill&gt; còng")</f>
        <v>Đấu giá&gt; phụ kiện, đồng hồ&gt; thương hiệu phụ kiện&gt; Dunhill&gt; còng</v>
      </c>
      <c r="F108" t="str">
        <f t="shared" ca="1" si="1"/>
        <v>"2084061867" : "còng",</v>
      </c>
    </row>
    <row r="109" spans="1:6" ht="15.75" customHeight="1">
      <c r="A109" s="28">
        <v>2084061868</v>
      </c>
      <c r="B109" s="28" t="s">
        <v>18579</v>
      </c>
      <c r="C109" s="28" t="s">
        <v>20737</v>
      </c>
      <c r="D109" s="4" t="str">
        <f ca="1">IFERROR(__xludf.DUMMYFUNCTION("GOOGLETRANSLATE(B109,""ja"",""vi"")"),"Taiping")</f>
        <v>Taiping</v>
      </c>
      <c r="E109" s="4" t="str">
        <f ca="1">IFERROR(__xludf.DUMMYFUNCTION("GOOGLETRANSLATE(C109,""ja"",""vi"")"),"Loading...")</f>
        <v>Loading...</v>
      </c>
      <c r="F109" t="str">
        <f t="shared" ca="1" si="1"/>
        <v>"2084061868" : "Taiping",</v>
      </c>
    </row>
    <row r="110" spans="1:6" ht="15.75" customHeight="1">
      <c r="A110" s="28">
        <v>2084051026</v>
      </c>
      <c r="B110" s="28" t="s">
        <v>7530</v>
      </c>
      <c r="C110" s="28" t="s">
        <v>20739</v>
      </c>
      <c r="D110" s="4" t="str">
        <f ca="1">IFERROR(__xludf.DUMMYFUNCTION("GOOGLETRANSLATE(B110,""ja"",""vi"")"),"Xem")</f>
        <v>Xem</v>
      </c>
      <c r="E110" s="4" t="str">
        <f ca="1">IFERROR(__xludf.DUMMYFUNCTION("GOOGLETRANSLATE(C110,""ja"",""vi"")"),"Loading...")</f>
        <v>Loading...</v>
      </c>
      <c r="F110" t="str">
        <f t="shared" ca="1" si="1"/>
        <v>"2084051026" : "Xem",</v>
      </c>
    </row>
    <row r="111" spans="1:6" ht="15.75" customHeight="1">
      <c r="A111" s="28">
        <v>2084061869</v>
      </c>
      <c r="B111" s="28" t="s">
        <v>46</v>
      </c>
      <c r="C111" s="28" t="s">
        <v>20741</v>
      </c>
      <c r="D111" s="4" t="str">
        <f ca="1">IFERROR(__xludf.DUMMYFUNCTION("GOOGLETRANSLATE(B111,""ja"",""vi"")"),"nếu không thì")</f>
        <v>nếu không thì</v>
      </c>
      <c r="E111" s="4" t="str">
        <f ca="1">IFERROR(__xludf.DUMMYFUNCTION("GOOGLETRANSLATE(C111,""ja"",""vi"")"),"Loading...")</f>
        <v>Loading...</v>
      </c>
      <c r="F111" t="str">
        <f t="shared" ca="1" si="1"/>
        <v>"2084061869" : "nếu không thì",</v>
      </c>
    </row>
    <row r="112" spans="1:6" ht="15.75" customHeight="1">
      <c r="A112" s="28">
        <v>2084052594</v>
      </c>
      <c r="B112" s="28" t="s">
        <v>20386</v>
      </c>
      <c r="C112" s="28" t="s">
        <v>20745</v>
      </c>
      <c r="D112" s="4" t="str">
        <f ca="1">IFERROR(__xludf.DUMMYFUNCTION("GOOGLETRANSLATE(B112,""ja"",""vi"")"),"Bông tai, bông tai")</f>
        <v>Bông tai, bông tai</v>
      </c>
      <c r="E112" s="4" t="str">
        <f ca="1">IFERROR(__xludf.DUMMYFUNCTION("GOOGLETRANSLATE(C112,""ja"",""vi"")"),"Loading...")</f>
        <v>Loading...</v>
      </c>
      <c r="F112" t="str">
        <f t="shared" ca="1" si="1"/>
        <v>"2084052594" : "Bông tai, bông tai",</v>
      </c>
    </row>
    <row r="113" spans="1:6" ht="15.75" customHeight="1">
      <c r="A113" s="28">
        <v>2084059819</v>
      </c>
      <c r="B113" s="28" t="s">
        <v>18581</v>
      </c>
      <c r="C113" s="28" t="s">
        <v>20750</v>
      </c>
      <c r="D113" s="4" t="str">
        <f ca="1">IFERROR(__xludf.DUMMYFUNCTION("GOOGLETRANSLATE(B113,""ja"",""vi"")"),"còng")</f>
        <v>còng</v>
      </c>
      <c r="E113" s="4" t="str">
        <f ca="1">IFERROR(__xludf.DUMMYFUNCTION("GOOGLETRANSLATE(C113,""ja"",""vi"")"),"Loading...")</f>
        <v>Loading...</v>
      </c>
      <c r="F113" t="str">
        <f t="shared" ca="1" si="1"/>
        <v>"2084059819" : "còng",</v>
      </c>
    </row>
    <row r="114" spans="1:6" ht="15.75" customHeight="1">
      <c r="A114" s="28">
        <v>2084052597</v>
      </c>
      <c r="B114" s="28" t="s">
        <v>20373</v>
      </c>
      <c r="C114" s="28" t="s">
        <v>20753</v>
      </c>
      <c r="D114" s="4" t="str">
        <f ca="1">IFERROR(__xludf.DUMMYFUNCTION("GOOGLETRANSLATE(B114,""ja"",""vi"")"),"Vòng cổ, mặt dây chuyền, vòng cổ")</f>
        <v>Vòng cổ, mặt dây chuyền, vòng cổ</v>
      </c>
      <c r="E114" s="4" t="str">
        <f ca="1">IFERROR(__xludf.DUMMYFUNCTION("GOOGLETRANSLATE(C114,""ja"",""vi"")"),"Loading...")</f>
        <v>Loading...</v>
      </c>
      <c r="F114" t="str">
        <f t="shared" ca="1" si="1"/>
        <v>"2084052597" : "Vòng cổ, mặt dây chuyền, vòng cổ",</v>
      </c>
    </row>
    <row r="115" spans="1:6" ht="15.75" customHeight="1">
      <c r="A115" s="28">
        <v>2084052601</v>
      </c>
      <c r="B115" s="28" t="s">
        <v>18503</v>
      </c>
      <c r="C115" s="28" t="s">
        <v>20758</v>
      </c>
      <c r="D115" s="4" t="str">
        <f ca="1">IFERROR(__xludf.DUMMYFUNCTION("GOOGLETRANSLATE(B115,""ja"",""vi"")"),"Vòng đeo tay, vòng")</f>
        <v>Vòng đeo tay, vòng</v>
      </c>
      <c r="E115" s="4" t="str">
        <f ca="1">IFERROR(__xludf.DUMMYFUNCTION("GOOGLETRANSLATE(C115,""ja"",""vi"")"),"Đấu giá&gt; phụ kiện, đồng hồ&gt; thương hiệu phụ kiện&gt; Tiffany&gt; vòng đeo tay, vòng")</f>
        <v>Đấu giá&gt; phụ kiện, đồng hồ&gt; thương hiệu phụ kiện&gt; Tiffany&gt; vòng đeo tay, vòng</v>
      </c>
      <c r="F115" t="str">
        <f t="shared" ca="1" si="1"/>
        <v>"2084052601" : "Vòng đeo tay, vòng",</v>
      </c>
    </row>
    <row r="116" spans="1:6" ht="15.75" customHeight="1">
      <c r="A116" s="28">
        <v>2084052605</v>
      </c>
      <c r="B116" s="28" t="s">
        <v>18491</v>
      </c>
      <c r="C116" s="28" t="s">
        <v>20762</v>
      </c>
      <c r="D116" s="4" t="str">
        <f ca="1">IFERROR(__xludf.DUMMYFUNCTION("GOOGLETRANSLATE(B116,""ja"",""vi"")"),"vòng")</f>
        <v>vòng</v>
      </c>
      <c r="E116" s="4" t="str">
        <f ca="1">IFERROR(__xludf.DUMMYFUNCTION("GOOGLETRANSLATE(C116,""ja"",""vi"")"),"Loading...")</f>
        <v>Loading...</v>
      </c>
      <c r="F116" t="str">
        <f t="shared" ca="1" si="1"/>
        <v>"2084052605" : "vòng",</v>
      </c>
    </row>
    <row r="117" spans="1:6" ht="15.75" customHeight="1">
      <c r="A117" s="28">
        <v>2084037794</v>
      </c>
      <c r="B117" s="28" t="s">
        <v>7699</v>
      </c>
      <c r="C117" s="28" t="s">
        <v>20766</v>
      </c>
      <c r="D117" s="4" t="str">
        <f ca="1">IFERROR(__xludf.DUMMYFUNCTION("GOOGLETRANSLATE(B117,""ja"",""vi"")"),"key Chains")</f>
        <v>key Chains</v>
      </c>
      <c r="E117" s="4" t="str">
        <f ca="1">IFERROR(__xludf.DUMMYFUNCTION("GOOGLETRANSLATE(C117,""ja"",""vi"")"),"Loading...")</f>
        <v>Loading...</v>
      </c>
      <c r="F117" t="str">
        <f t="shared" ca="1" si="1"/>
        <v>"2084037794" : "key Chains",</v>
      </c>
    </row>
    <row r="118" spans="1:6" ht="15.75" customHeight="1">
      <c r="A118" s="28">
        <v>2084024527</v>
      </c>
      <c r="B118" s="28" t="s">
        <v>7530</v>
      </c>
      <c r="C118" s="28" t="s">
        <v>20772</v>
      </c>
      <c r="D118" s="4" t="str">
        <f ca="1">IFERROR(__xludf.DUMMYFUNCTION("GOOGLETRANSLATE(B118,""ja"",""vi"")"),"Xem")</f>
        <v>Xem</v>
      </c>
      <c r="E118" s="4" t="str">
        <f ca="1">IFERROR(__xludf.DUMMYFUNCTION("GOOGLETRANSLATE(C118,""ja"",""vi"")"),"Đấu giá&gt; phụ kiện, đồng hồ&gt; thương hiệu phụ kiện&gt; Tiffany&gt; đồng hồ")</f>
        <v>Đấu giá&gt; phụ kiện, đồng hồ&gt; thương hiệu phụ kiện&gt; Tiffany&gt; đồng hồ</v>
      </c>
      <c r="F118" t="str">
        <f t="shared" ca="1" si="1"/>
        <v>"2084024527" : "Xem",</v>
      </c>
    </row>
    <row r="119" spans="1:6" ht="15.75" customHeight="1">
      <c r="A119" s="28">
        <v>2084052606</v>
      </c>
      <c r="B119" s="28" t="s">
        <v>46</v>
      </c>
      <c r="C119" s="28" t="s">
        <v>20775</v>
      </c>
      <c r="D119" s="4" t="str">
        <f ca="1">IFERROR(__xludf.DUMMYFUNCTION("GOOGLETRANSLATE(B119,""ja"",""vi"")"),"nếu không thì")</f>
        <v>nếu không thì</v>
      </c>
      <c r="E119" s="4" t="str">
        <f ca="1">IFERROR(__xludf.DUMMYFUNCTION("GOOGLETRANSLATE(C119,""ja"",""vi"")"),"Loading...")</f>
        <v>Loading...</v>
      </c>
      <c r="F119" t="str">
        <f t="shared" ca="1" si="1"/>
        <v>"2084052606" : "nếu không thì",</v>
      </c>
    </row>
    <row r="120" spans="1:6" ht="15.75" customHeight="1">
      <c r="A120" s="28">
        <v>2084211401</v>
      </c>
      <c r="B120" s="28" t="s">
        <v>18491</v>
      </c>
      <c r="C120" s="28" t="s">
        <v>20778</v>
      </c>
      <c r="D120" s="4" t="str">
        <f ca="1">IFERROR(__xludf.DUMMYFUNCTION("GOOGLETRANSLATE(B120,""ja"",""vi"")"),"vòng")</f>
        <v>vòng</v>
      </c>
      <c r="E120" s="4" t="str">
        <f ca="1">IFERROR(__xludf.DUMMYFUNCTION("GOOGLETRANSLATE(C120,""ja"",""vi"")"),"Đấu giá&gt; phụ kiện, đồng hồ&gt; thương hiệu phụ kiện&gt; nhân viên Travis&gt; Nhẫn")</f>
        <v>Đấu giá&gt; phụ kiện, đồng hồ&gt; thương hiệu phụ kiện&gt; nhân viên Travis&gt; Nhẫn</v>
      </c>
      <c r="F120" t="str">
        <f t="shared" ca="1" si="1"/>
        <v>"2084211401" : "vòng",</v>
      </c>
    </row>
    <row r="121" spans="1:6" ht="15.75" customHeight="1">
      <c r="A121" s="28">
        <v>2084211402</v>
      </c>
      <c r="B121" s="28" t="s">
        <v>46</v>
      </c>
      <c r="C121" s="28" t="s">
        <v>20781</v>
      </c>
      <c r="D121" s="4" t="str">
        <f ca="1">IFERROR(__xludf.DUMMYFUNCTION("GOOGLETRANSLATE(B121,""ja"",""vi"")"),"nếu không thì")</f>
        <v>nếu không thì</v>
      </c>
      <c r="E121" s="4" t="str">
        <f ca="1">IFERROR(__xludf.DUMMYFUNCTION("GOOGLETRANSLATE(C121,""ja"",""vi"")"),"Loading...")</f>
        <v>Loading...</v>
      </c>
      <c r="F121" t="str">
        <f t="shared" ca="1" si="1"/>
        <v>"2084211402" : "nếu không thì",</v>
      </c>
    </row>
    <row r="122" spans="1:6" ht="15.75" customHeight="1">
      <c r="A122" s="28">
        <v>2084059827</v>
      </c>
      <c r="B122" s="28" t="s">
        <v>20373</v>
      </c>
      <c r="C122" s="28" t="s">
        <v>20784</v>
      </c>
      <c r="D122" s="4" t="str">
        <f ca="1">IFERROR(__xludf.DUMMYFUNCTION("GOOGLETRANSLATE(B122,""ja"",""vi"")"),"Vòng cổ, mặt dây chuyền, vòng cổ")</f>
        <v>Vòng cổ, mặt dây chuyền, vòng cổ</v>
      </c>
      <c r="E122" s="4" t="str">
        <f ca="1">IFERROR(__xludf.DUMMYFUNCTION("GOOGLETRANSLATE(C122,""ja"",""vi"")"),"Đấu giá&gt; phụ kiện, đồng hồ&gt; thương hiệu phụ kiện&gt; Dolce &amp; Gabbana&gt; vòng cổ, mặt dây chuyền, vòng cổ")</f>
        <v>Đấu giá&gt; phụ kiện, đồng hồ&gt; thương hiệu phụ kiện&gt; Dolce &amp; Gabbana&gt; vòng cổ, mặt dây chuyền, vòng cổ</v>
      </c>
      <c r="F122" t="str">
        <f t="shared" ca="1" si="1"/>
        <v>"2084059827" : "Vòng cổ, mặt dây chuyền, vòng cổ",</v>
      </c>
    </row>
    <row r="123" spans="1:6" ht="15.75" customHeight="1">
      <c r="A123" s="28">
        <v>2084059828</v>
      </c>
      <c r="B123" s="28" t="s">
        <v>18491</v>
      </c>
      <c r="C123" s="28" t="s">
        <v>20787</v>
      </c>
      <c r="D123" s="4" t="str">
        <f ca="1">IFERROR(__xludf.DUMMYFUNCTION("GOOGLETRANSLATE(B123,""ja"",""vi"")"),"vòng")</f>
        <v>vòng</v>
      </c>
      <c r="E123" s="4" t="str">
        <f ca="1">IFERROR(__xludf.DUMMYFUNCTION("GOOGLETRANSLATE(C123,""ja"",""vi"")"),"Loading...")</f>
        <v>Loading...</v>
      </c>
      <c r="F123" t="str">
        <f t="shared" ca="1" si="1"/>
        <v>"2084059828" : "vòng",</v>
      </c>
    </row>
    <row r="124" spans="1:6" ht="15.75" customHeight="1">
      <c r="A124" s="28">
        <v>2084059829</v>
      </c>
      <c r="B124" s="28" t="s">
        <v>46</v>
      </c>
      <c r="C124" s="28" t="s">
        <v>20789</v>
      </c>
      <c r="D124" s="4" t="str">
        <f ca="1">IFERROR(__xludf.DUMMYFUNCTION("GOOGLETRANSLATE(B124,""ja"",""vi"")"),"nếu không thì")</f>
        <v>nếu không thì</v>
      </c>
      <c r="E124" s="4" t="str">
        <f ca="1">IFERROR(__xludf.DUMMYFUNCTION("GOOGLETRANSLATE(C124,""ja"",""vi"")"),"Đấu giá&gt; phụ kiện, đồng hồ&gt; thương hiệu phụ kiện&gt; Dolce &amp; Gabbana&gt; Khác")</f>
        <v>Đấu giá&gt; phụ kiện, đồng hồ&gt; thương hiệu phụ kiện&gt; Dolce &amp; Gabbana&gt; Khác</v>
      </c>
      <c r="F124" t="str">
        <f t="shared" ca="1" si="1"/>
        <v>"2084059829" : "nếu không thì",</v>
      </c>
    </row>
    <row r="125" spans="1:6" ht="15.75" customHeight="1">
      <c r="A125" s="28">
        <v>2084061901</v>
      </c>
      <c r="B125" s="28" t="s">
        <v>20386</v>
      </c>
      <c r="C125" s="28" t="s">
        <v>20791</v>
      </c>
      <c r="D125" s="4" t="str">
        <f ca="1">IFERROR(__xludf.DUMMYFUNCTION("GOOGLETRANSLATE(B125,""ja"",""vi"")"),"Bông tai, bông tai")</f>
        <v>Bông tai, bông tai</v>
      </c>
      <c r="E125" s="4" t="str">
        <f ca="1">IFERROR(__xludf.DUMMYFUNCTION("GOOGLETRANSLATE(C125,""ja"",""vi"")"),"Đấu giá&gt; phụ kiện, đồng hồ&gt; thương hiệu phụ kiện&gt; Tasaki Shinju Công ty TNHH&gt; bông tai, bông tai")</f>
        <v>Đấu giá&gt; phụ kiện, đồng hồ&gt; thương hiệu phụ kiện&gt; Tasaki Shinju Công ty TNHH&gt; bông tai, bông tai</v>
      </c>
      <c r="F125" t="str">
        <f t="shared" ca="1" si="1"/>
        <v>"2084061901" : "Bông tai, bông tai",</v>
      </c>
    </row>
    <row r="126" spans="1:6" ht="15.75" customHeight="1">
      <c r="A126" s="28">
        <v>2084061902</v>
      </c>
      <c r="B126" s="28" t="s">
        <v>20373</v>
      </c>
      <c r="C126" s="28" t="s">
        <v>20794</v>
      </c>
      <c r="D126" s="4" t="str">
        <f ca="1">IFERROR(__xludf.DUMMYFUNCTION("GOOGLETRANSLATE(B126,""ja"",""vi"")"),"Vòng cổ, mặt dây chuyền, vòng cổ")</f>
        <v>Vòng cổ, mặt dây chuyền, vòng cổ</v>
      </c>
      <c r="E126" s="4" t="str">
        <f ca="1">IFERROR(__xludf.DUMMYFUNCTION("GOOGLETRANSLATE(C126,""ja"",""vi"")"),"Đấu giá&gt; phụ kiện, đồng hồ&gt; thương hiệu phụ kiện&gt; Tasaki Shinju Công ty TNHH&gt; vòng cổ, mặt dây chuyền, vòng cổ")</f>
        <v>Đấu giá&gt; phụ kiện, đồng hồ&gt; thương hiệu phụ kiện&gt; Tasaki Shinju Công ty TNHH&gt; vòng cổ, mặt dây chuyền, vòng cổ</v>
      </c>
      <c r="F126" t="str">
        <f t="shared" ca="1" si="1"/>
        <v>"2084061902" : "Vòng cổ, mặt dây chuyền, vòng cổ",</v>
      </c>
    </row>
    <row r="127" spans="1:6" ht="15.75" customHeight="1">
      <c r="A127" s="28">
        <v>2084061903</v>
      </c>
      <c r="B127" s="28" t="s">
        <v>18503</v>
      </c>
      <c r="C127" s="28" t="s">
        <v>20797</v>
      </c>
      <c r="D127" s="4" t="str">
        <f ca="1">IFERROR(__xludf.DUMMYFUNCTION("GOOGLETRANSLATE(B127,""ja"",""vi"")"),"Vòng đeo tay, vòng")</f>
        <v>Vòng đeo tay, vòng</v>
      </c>
      <c r="E127" s="4" t="str">
        <f ca="1">IFERROR(__xludf.DUMMYFUNCTION("GOOGLETRANSLATE(C127,""ja"",""vi"")"),"Loading...")</f>
        <v>Loading...</v>
      </c>
      <c r="F127" t="str">
        <f t="shared" ca="1" si="1"/>
        <v>"2084061903" : "Vòng đeo tay, vòng",</v>
      </c>
    </row>
    <row r="128" spans="1:6" ht="15.75" customHeight="1">
      <c r="A128" s="28">
        <v>2084061904</v>
      </c>
      <c r="B128" s="28" t="s">
        <v>18491</v>
      </c>
      <c r="C128" s="28" t="s">
        <v>20798</v>
      </c>
      <c r="D128" s="4" t="str">
        <f ca="1">IFERROR(__xludf.DUMMYFUNCTION("GOOGLETRANSLATE(B128,""ja"",""vi"")"),"vòng")</f>
        <v>vòng</v>
      </c>
      <c r="E128" s="4" t="str">
        <f ca="1">IFERROR(__xludf.DUMMYFUNCTION("GOOGLETRANSLATE(C128,""ja"",""vi"")"),"Loading...")</f>
        <v>Loading...</v>
      </c>
      <c r="F128" t="str">
        <f t="shared" ca="1" si="1"/>
        <v>"2084061904" : "vòng",</v>
      </c>
    </row>
    <row r="129" spans="1:6" ht="15.75" customHeight="1">
      <c r="A129" s="28">
        <v>2084061905</v>
      </c>
      <c r="B129" s="28" t="s">
        <v>46</v>
      </c>
      <c r="C129" s="28" t="s">
        <v>20802</v>
      </c>
      <c r="D129" s="4" t="str">
        <f ca="1">IFERROR(__xludf.DUMMYFUNCTION("GOOGLETRANSLATE(B129,""ja"",""vi"")"),"nếu không thì")</f>
        <v>nếu không thì</v>
      </c>
      <c r="E129" s="4" t="str">
        <f ca="1">IFERROR(__xludf.DUMMYFUNCTION("GOOGLETRANSLATE(C129,""ja"",""vi"")"),"Đấu giá&gt; phụ kiện, đồng hồ&gt; thương hiệu phụ kiện&gt; Tasaki Shinju Công ty TNHH&gt; Khác")</f>
        <v>Đấu giá&gt; phụ kiện, đồng hồ&gt; thương hiệu phụ kiện&gt; Tasaki Shinju Công ty TNHH&gt; Khác</v>
      </c>
      <c r="F129" t="str">
        <f t="shared" ca="1" si="1"/>
        <v>"2084061905" : "nếu không thì",</v>
      </c>
    </row>
    <row r="130" spans="1:6" ht="15.75" customHeight="1">
      <c r="A130" s="28">
        <v>2084061783</v>
      </c>
      <c r="B130" s="28" t="s">
        <v>20373</v>
      </c>
      <c r="C130" s="28" t="s">
        <v>20804</v>
      </c>
      <c r="D130" s="4" t="str">
        <f ca="1">IFERROR(__xludf.DUMMYFUNCTION("GOOGLETRANSLATE(B130,""ja"",""vi"")"),"Vòng cổ, mặt dây chuyền, vòng cổ")</f>
        <v>Vòng cổ, mặt dây chuyền, vòng cổ</v>
      </c>
      <c r="E130" s="4" t="str">
        <f ca="1">IFERROR(__xludf.DUMMYFUNCTION("GOOGLETRANSLATE(C130,""ja"",""vi"")"),"Đấu giá&gt; phụ kiện, đồng hồ&gt; thương hiệu phụ kiện&gt; Số Nine&gt; vòng cổ, mặt dây chuyền, vòng cổ")</f>
        <v>Đấu giá&gt; phụ kiện, đồng hồ&gt; thương hiệu phụ kiện&gt; Số Nine&gt; vòng cổ, mặt dây chuyền, vòng cổ</v>
      </c>
      <c r="F130" t="str">
        <f t="shared" ca="1" si="1"/>
        <v>"2084061783" : "Vòng cổ, mặt dây chuyền, vòng cổ",</v>
      </c>
    </row>
    <row r="131" spans="1:6" ht="15.75" customHeight="1">
      <c r="A131" s="28">
        <v>2084061784</v>
      </c>
      <c r="B131" s="28" t="s">
        <v>18503</v>
      </c>
      <c r="C131" s="28" t="s">
        <v>20807</v>
      </c>
      <c r="D131" s="4" t="str">
        <f ca="1">IFERROR(__xludf.DUMMYFUNCTION("GOOGLETRANSLATE(B131,""ja"",""vi"")"),"Vòng đeo tay, vòng")</f>
        <v>Vòng đeo tay, vòng</v>
      </c>
      <c r="E131" s="4" t="str">
        <f ca="1">IFERROR(__xludf.DUMMYFUNCTION("GOOGLETRANSLATE(C131,""ja"",""vi"")"),"Loading...")</f>
        <v>Loading...</v>
      </c>
      <c r="F131" t="str">
        <f t="shared" ref="F131:F194" ca="1" si="2">CONCATENATE(CHAR(34)&amp;"",A131,""&amp;CHAR(34)," : ", CHAR(34)&amp;"",D131,""&amp;CHAR(34),",")</f>
        <v>"2084061784" : "Vòng đeo tay, vòng",</v>
      </c>
    </row>
    <row r="132" spans="1:6" ht="15.75" customHeight="1">
      <c r="A132" s="28">
        <v>2084061785</v>
      </c>
      <c r="B132" s="28" t="s">
        <v>18491</v>
      </c>
      <c r="C132" s="28" t="s">
        <v>20810</v>
      </c>
      <c r="D132" s="4" t="str">
        <f ca="1">IFERROR(__xludf.DUMMYFUNCTION("GOOGLETRANSLATE(B132,""ja"",""vi"")"),"vòng")</f>
        <v>vòng</v>
      </c>
      <c r="E132" s="4" t="str">
        <f ca="1">IFERROR(__xludf.DUMMYFUNCTION("GOOGLETRANSLATE(C132,""ja"",""vi"")"),"Loading...")</f>
        <v>Loading...</v>
      </c>
      <c r="F132" t="str">
        <f t="shared" ca="1" si="2"/>
        <v>"2084061785" : "vòng",</v>
      </c>
    </row>
    <row r="133" spans="1:6" ht="15.75" customHeight="1">
      <c r="A133" s="28">
        <v>2084061786</v>
      </c>
      <c r="B133" s="28" t="s">
        <v>46</v>
      </c>
      <c r="C133" s="28" t="s">
        <v>20813</v>
      </c>
      <c r="D133" s="4" t="str">
        <f ca="1">IFERROR(__xludf.DUMMYFUNCTION("GOOGLETRANSLATE(B133,""ja"",""vi"")"),"nếu không thì")</f>
        <v>nếu không thì</v>
      </c>
      <c r="E133" s="4" t="str">
        <f ca="1">IFERROR(__xludf.DUMMYFUNCTION("GOOGLETRANSLATE(C133,""ja"",""vi"")"),"Loading...")</f>
        <v>Loading...</v>
      </c>
      <c r="F133" t="str">
        <f t="shared" ca="1" si="2"/>
        <v>"2084061786" : "nếu không thì",</v>
      </c>
    </row>
    <row r="134" spans="1:6" ht="15.75" customHeight="1">
      <c r="A134" s="28">
        <v>2084057898</v>
      </c>
      <c r="B134" s="28" t="s">
        <v>20373</v>
      </c>
      <c r="C134" s="28" t="s">
        <v>20816</v>
      </c>
      <c r="D134" s="4" t="str">
        <f ca="1">IFERROR(__xludf.DUMMYFUNCTION("GOOGLETRANSLATE(B134,""ja"",""vi"")"),"Vòng cổ, mặt dây chuyền, vòng cổ")</f>
        <v>Vòng cổ, mặt dây chuyền, vòng cổ</v>
      </c>
      <c r="E134" s="4" t="str">
        <f ca="1">IFERROR(__xludf.DUMMYFUNCTION("GOOGLETRANSLATE(C134,""ja"",""vi"")"),"Loading...")</f>
        <v>Loading...</v>
      </c>
      <c r="F134" t="str">
        <f t="shared" ca="1" si="2"/>
        <v>"2084057898" : "Vòng cổ, mặt dây chuyền, vòng cổ",</v>
      </c>
    </row>
    <row r="135" spans="1:6" ht="15.75" customHeight="1">
      <c r="A135" s="28">
        <v>2084057899</v>
      </c>
      <c r="B135" s="28" t="s">
        <v>18491</v>
      </c>
      <c r="C135" s="28" t="s">
        <v>20819</v>
      </c>
      <c r="D135" s="4" t="str">
        <f ca="1">IFERROR(__xludf.DUMMYFUNCTION("GOOGLETRANSLATE(B135,""ja"",""vi"")"),"vòng")</f>
        <v>vòng</v>
      </c>
      <c r="E135" s="4" t="str">
        <f ca="1">IFERROR(__xludf.DUMMYFUNCTION("GOOGLETRANSLATE(C135,""ja"",""vi"")"),"Đấu giá&gt; phụ kiện, đồng hồ&gt; thương hiệu phụ kiện&gt; Nina Ricci&gt; Nhẫn")</f>
        <v>Đấu giá&gt; phụ kiện, đồng hồ&gt; thương hiệu phụ kiện&gt; Nina Ricci&gt; Nhẫn</v>
      </c>
      <c r="F135" t="str">
        <f t="shared" ca="1" si="2"/>
        <v>"2084057899" : "vòng",</v>
      </c>
    </row>
    <row r="136" spans="1:6" ht="15.75" customHeight="1">
      <c r="A136" s="28">
        <v>2084057900</v>
      </c>
      <c r="B136" s="28" t="s">
        <v>46</v>
      </c>
      <c r="C136" s="28" t="s">
        <v>20821</v>
      </c>
      <c r="D136" s="4" t="str">
        <f ca="1">IFERROR(__xludf.DUMMYFUNCTION("GOOGLETRANSLATE(B136,""ja"",""vi"")"),"nếu không thì")</f>
        <v>nếu không thì</v>
      </c>
      <c r="E136" s="4" t="str">
        <f ca="1">IFERROR(__xludf.DUMMYFUNCTION("GOOGLETRANSLATE(C136,""ja"",""vi"")"),"Đấu giá&gt; phụ kiện, đồng hồ&gt; thương hiệu phụ kiện&gt; Nina Ricci&gt; Khác")</f>
        <v>Đấu giá&gt; phụ kiện, đồng hồ&gt; thương hiệu phụ kiện&gt; Nina Ricci&gt; Khác</v>
      </c>
      <c r="F136" t="str">
        <f t="shared" ca="1" si="2"/>
        <v>"2084057900" : "nếu không thì",</v>
      </c>
    </row>
    <row r="137" spans="1:6" ht="15.75" customHeight="1">
      <c r="A137" s="28">
        <v>2084211288</v>
      </c>
      <c r="B137" s="28" t="s">
        <v>18491</v>
      </c>
      <c r="C137" s="28" t="s">
        <v>20823</v>
      </c>
      <c r="D137" s="4" t="str">
        <f ca="1">IFERROR(__xludf.DUMMYFUNCTION("GOOGLETRANSLATE(B137,""ja"",""vi"")"),"vòng")</f>
        <v>vòng</v>
      </c>
      <c r="E137" s="4" t="str">
        <f ca="1">IFERROR(__xludf.DUMMYFUNCTION("GOOGLETRANSLATE(C137,""ja"",""vi"")"),"Đấu giá&gt; phụ kiện, đồng hồ&gt; thương hiệu phụ kiện&gt; Harry Winston&gt; Nhẫn")</f>
        <v>Đấu giá&gt; phụ kiện, đồng hồ&gt; thương hiệu phụ kiện&gt; Harry Winston&gt; Nhẫn</v>
      </c>
      <c r="F137" t="str">
        <f t="shared" ca="1" si="2"/>
        <v>"2084211288" : "vòng",</v>
      </c>
    </row>
    <row r="138" spans="1:6" ht="15.75" customHeight="1">
      <c r="A138" s="28">
        <v>2084211289</v>
      </c>
      <c r="B138" s="28" t="s">
        <v>46</v>
      </c>
      <c r="C138" s="28" t="s">
        <v>20826</v>
      </c>
      <c r="D138" s="4" t="str">
        <f ca="1">IFERROR(__xludf.DUMMYFUNCTION("GOOGLETRANSLATE(B138,""ja"",""vi"")"),"nếu không thì")</f>
        <v>nếu không thì</v>
      </c>
      <c r="E138" s="4" t="str">
        <f ca="1">IFERROR(__xludf.DUMMYFUNCTION("GOOGLETRANSLATE(C138,""ja"",""vi"")"),"Loading...")</f>
        <v>Loading...</v>
      </c>
      <c r="F138" t="str">
        <f t="shared" ca="1" si="2"/>
        <v>"2084211289" : "nếu không thì",</v>
      </c>
    </row>
    <row r="139" spans="1:6" ht="15.75" customHeight="1">
      <c r="A139" s="28">
        <v>2084057902</v>
      </c>
      <c r="B139" s="28" t="s">
        <v>20373</v>
      </c>
      <c r="C139" s="28" t="s">
        <v>20829</v>
      </c>
      <c r="D139" s="4" t="str">
        <f ca="1">IFERROR(__xludf.DUMMYFUNCTION("GOOGLETRANSLATE(B139,""ja"",""vi"")"),"Vòng cổ, mặt dây chuyền, vòng cổ")</f>
        <v>Vòng cổ, mặt dây chuyền, vòng cổ</v>
      </c>
      <c r="E139" s="4" t="str">
        <f ca="1">IFERROR(__xludf.DUMMYFUNCTION("GOOGLETRANSLATE(C139,""ja"",""vi"")"),"Đấu giá&gt; phụ kiện, đồng hồ&gt; thương hiệu phụ kiện&gt; Baccarat&gt; vòng cổ, mặt dây chuyền, vòng cổ")</f>
        <v>Đấu giá&gt; phụ kiện, đồng hồ&gt; thương hiệu phụ kiện&gt; Baccarat&gt; vòng cổ, mặt dây chuyền, vòng cổ</v>
      </c>
      <c r="F139" t="str">
        <f t="shared" ca="1" si="2"/>
        <v>"2084057902" : "Vòng cổ, mặt dây chuyền, vòng cổ",</v>
      </c>
    </row>
    <row r="140" spans="1:6" ht="15.75" customHeight="1">
      <c r="A140" s="28">
        <v>2084057903</v>
      </c>
      <c r="B140" s="28" t="s">
        <v>46</v>
      </c>
      <c r="C140" s="28" t="s">
        <v>20832</v>
      </c>
      <c r="D140" s="4" t="str">
        <f ca="1">IFERROR(__xludf.DUMMYFUNCTION("GOOGLETRANSLATE(B140,""ja"",""vi"")"),"nếu không thì")</f>
        <v>nếu không thì</v>
      </c>
      <c r="E140" s="4" t="str">
        <f ca="1">IFERROR(__xludf.DUMMYFUNCTION("GOOGLETRANSLATE(C140,""ja"",""vi"")"),"Đấu giá&gt; phụ kiện, đồng hồ&gt; thương hiệu phụ kiện&gt; Baccarat&gt; Khác")</f>
        <v>Đấu giá&gt; phụ kiện, đồng hồ&gt; thương hiệu phụ kiện&gt; Baccarat&gt; Khác</v>
      </c>
      <c r="F140" t="str">
        <f t="shared" ca="1" si="2"/>
        <v>"2084057903" : "nếu không thì",</v>
      </c>
    </row>
    <row r="141" spans="1:6" ht="15.75" customHeight="1">
      <c r="A141" s="28">
        <v>2084195404</v>
      </c>
      <c r="B141" s="28" t="s">
        <v>20386</v>
      </c>
      <c r="C141" s="28" t="s">
        <v>20835</v>
      </c>
      <c r="D141" s="4" t="str">
        <f ca="1">IFERROR(__xludf.DUMMYFUNCTION("GOOGLETRANSLATE(B141,""ja"",""vi"")"),"Bông tai, bông tai")</f>
        <v>Bông tai, bông tai</v>
      </c>
      <c r="E141" s="4" t="str">
        <f ca="1">IFERROR(__xludf.DUMMYFUNCTION("GOOGLETRANSLATE(C141,""ja"",""vi"")"),"Loading...")</f>
        <v>Loading...</v>
      </c>
      <c r="F141" t="str">
        <f t="shared" ca="1" si="2"/>
        <v>"2084195404" : "Bông tai, bông tai",</v>
      </c>
    </row>
    <row r="142" spans="1:6" ht="15.75" customHeight="1">
      <c r="A142" s="28">
        <v>2084195405</v>
      </c>
      <c r="B142" s="28" t="s">
        <v>20373</v>
      </c>
      <c r="C142" s="28" t="s">
        <v>20838</v>
      </c>
      <c r="D142" s="4" t="str">
        <f ca="1">IFERROR(__xludf.DUMMYFUNCTION("GOOGLETRANSLATE(B142,""ja"",""vi"")"),"Vòng cổ, mặt dây chuyền, vòng cổ")</f>
        <v>Vòng cổ, mặt dây chuyền, vòng cổ</v>
      </c>
      <c r="E142" s="4" t="str">
        <f ca="1">IFERROR(__xludf.DUMMYFUNCTION("GOOGLETRANSLATE(C142,""ja"",""vi"")"),"Đấu giá&gt; phụ kiện, đồng hồ&gt; thương hiệu phụ kiện&gt; Bill Tường Da&gt; vòng cổ, mặt dây chuyền, vòng cổ")</f>
        <v>Đấu giá&gt; phụ kiện, đồng hồ&gt; thương hiệu phụ kiện&gt; Bill Tường Da&gt; vòng cổ, mặt dây chuyền, vòng cổ</v>
      </c>
      <c r="F142" t="str">
        <f t="shared" ca="1" si="2"/>
        <v>"2084195405" : "Vòng cổ, mặt dây chuyền, vòng cổ",</v>
      </c>
    </row>
    <row r="143" spans="1:6" ht="15.75" customHeight="1">
      <c r="A143" s="28">
        <v>2084195406</v>
      </c>
      <c r="B143" s="28" t="s">
        <v>18503</v>
      </c>
      <c r="C143" s="28" t="s">
        <v>20841</v>
      </c>
      <c r="D143" s="4" t="str">
        <f ca="1">IFERROR(__xludf.DUMMYFUNCTION("GOOGLETRANSLATE(B143,""ja"",""vi"")"),"Vòng đeo tay, vòng")</f>
        <v>Vòng đeo tay, vòng</v>
      </c>
      <c r="E143" s="4" t="str">
        <f ca="1">IFERROR(__xludf.DUMMYFUNCTION("GOOGLETRANSLATE(C143,""ja"",""vi"")"),"Đấu giá&gt; phụ kiện, đồng hồ&gt; thương hiệu phụ kiện&gt; Bill Tường Da&gt; vòng đeo tay, vòng")</f>
        <v>Đấu giá&gt; phụ kiện, đồng hồ&gt; thương hiệu phụ kiện&gt; Bill Tường Da&gt; vòng đeo tay, vòng</v>
      </c>
      <c r="F143" t="str">
        <f t="shared" ca="1" si="2"/>
        <v>"2084195406" : "Vòng đeo tay, vòng",</v>
      </c>
    </row>
    <row r="144" spans="1:6" ht="15.75" customHeight="1">
      <c r="A144" s="28">
        <v>2084195407</v>
      </c>
      <c r="B144" s="28" t="s">
        <v>18491</v>
      </c>
      <c r="C144" s="28" t="s">
        <v>20843</v>
      </c>
      <c r="D144" s="4" t="str">
        <f ca="1">IFERROR(__xludf.DUMMYFUNCTION("GOOGLETRANSLATE(B144,""ja"",""vi"")"),"vòng")</f>
        <v>vòng</v>
      </c>
      <c r="E144" s="4" t="str">
        <f ca="1">IFERROR(__xludf.DUMMYFUNCTION("GOOGLETRANSLATE(C144,""ja"",""vi"")"),"Loading...")</f>
        <v>Loading...</v>
      </c>
      <c r="F144" t="str">
        <f t="shared" ca="1" si="2"/>
        <v>"2084195407" : "vòng",</v>
      </c>
    </row>
    <row r="145" spans="1:6" ht="15.75" customHeight="1">
      <c r="A145" s="28">
        <v>2084195408</v>
      </c>
      <c r="B145" s="28" t="s">
        <v>46</v>
      </c>
      <c r="C145" s="28" t="s">
        <v>20845</v>
      </c>
      <c r="D145" s="4" t="str">
        <f ca="1">IFERROR(__xludf.DUMMYFUNCTION("GOOGLETRANSLATE(B145,""ja"",""vi"")"),"nếu không thì")</f>
        <v>nếu không thì</v>
      </c>
      <c r="E145" s="4" t="str">
        <f ca="1">IFERROR(__xludf.DUMMYFUNCTION("GOOGLETRANSLATE(C145,""ja"",""vi"")"),"Loading...")</f>
        <v>Loading...</v>
      </c>
      <c r="F145" t="str">
        <f t="shared" ca="1" si="2"/>
        <v>"2084195408" : "nếu không thì",</v>
      </c>
    </row>
    <row r="146" spans="1:6" ht="15.75" customHeight="1">
      <c r="A146" s="28">
        <v>2084211294</v>
      </c>
      <c r="B146" s="28" t="s">
        <v>18491</v>
      </c>
      <c r="C146" s="28" t="s">
        <v>20848</v>
      </c>
      <c r="D146" s="4" t="str">
        <f ca="1">IFERROR(__xludf.DUMMYFUNCTION("GOOGLETRANSLATE(B146,""ja"",""vi"")"),"vòng")</f>
        <v>vòng</v>
      </c>
      <c r="E146" s="4" t="str">
        <f ca="1">IFERROR(__xludf.DUMMYFUNCTION("GOOGLETRANSLATE(C146,""ja"",""vi"")"),"Loading...")</f>
        <v>Loading...</v>
      </c>
      <c r="F146" t="str">
        <f t="shared" ca="1" si="2"/>
        <v>"2084211294" : "vòng",</v>
      </c>
    </row>
    <row r="147" spans="1:6" ht="15.75" customHeight="1">
      <c r="A147" s="28">
        <v>2084024525</v>
      </c>
      <c r="B147" s="28" t="s">
        <v>7530</v>
      </c>
      <c r="C147" s="28" t="s">
        <v>20851</v>
      </c>
      <c r="D147" s="4" t="str">
        <f ca="1">IFERROR(__xludf.DUMMYFUNCTION("GOOGLETRANSLATE(B147,""ja"",""vi"")"),"Xem")</f>
        <v>Xem</v>
      </c>
      <c r="E147" s="4" t="str">
        <f ca="1">IFERROR(__xludf.DUMMYFUNCTION("GOOGLETRANSLATE(C147,""ja"",""vi"")"),"Loading...")</f>
        <v>Loading...</v>
      </c>
      <c r="F147" t="str">
        <f t="shared" ca="1" si="2"/>
        <v>"2084024525" : "Xem",</v>
      </c>
    </row>
    <row r="148" spans="1:6" ht="15.75" customHeight="1">
      <c r="A148" s="28">
        <v>2084211295</v>
      </c>
      <c r="B148" s="28" t="s">
        <v>46</v>
      </c>
      <c r="C148" s="28" t="s">
        <v>20854</v>
      </c>
      <c r="D148" s="4" t="str">
        <f ca="1">IFERROR(__xludf.DUMMYFUNCTION("GOOGLETRANSLATE(B148,""ja"",""vi"")"),"nếu không thì")</f>
        <v>nếu không thì</v>
      </c>
      <c r="E148" s="4" t="str">
        <f ca="1">IFERROR(__xludf.DUMMYFUNCTION("GOOGLETRANSLATE(C148,""ja"",""vi"")"),"Đấu giá&gt; phụ kiện, đồng hồ&gt; thương hiệu phụ kiện&gt; Piaget&gt; Khác")</f>
        <v>Đấu giá&gt; phụ kiện, đồng hồ&gt; thương hiệu phụ kiện&gt; Piaget&gt; Khác</v>
      </c>
      <c r="F148" t="str">
        <f t="shared" ca="1" si="2"/>
        <v>"2084211295" : "nếu không thì",</v>
      </c>
    </row>
    <row r="149" spans="1:6" ht="15.75" customHeight="1">
      <c r="A149" s="28">
        <v>2084057905</v>
      </c>
      <c r="B149" s="28" t="s">
        <v>20386</v>
      </c>
      <c r="C149" s="28" t="s">
        <v>20855</v>
      </c>
      <c r="D149" s="4" t="str">
        <f ca="1">IFERROR(__xludf.DUMMYFUNCTION("GOOGLETRANSLATE(B149,""ja"",""vi"")"),"Bông tai, bông tai")</f>
        <v>Bông tai, bông tai</v>
      </c>
      <c r="E149" s="4" t="str">
        <f ca="1">IFERROR(__xludf.DUMMYFUNCTION("GOOGLETRANSLATE(C149,""ja"",""vi"")"),"Loading...")</f>
        <v>Loading...</v>
      </c>
      <c r="F149" t="str">
        <f t="shared" ca="1" si="2"/>
        <v>"2084057905" : "Bông tai, bông tai",</v>
      </c>
    </row>
    <row r="150" spans="1:6" ht="15.75" customHeight="1">
      <c r="A150" s="28">
        <v>2084057906</v>
      </c>
      <c r="B150" s="28" t="s">
        <v>20373</v>
      </c>
      <c r="C150" s="28" t="s">
        <v>20858</v>
      </c>
      <c r="D150" s="4" t="str">
        <f ca="1">IFERROR(__xludf.DUMMYFUNCTION("GOOGLETRANSLATE(B150,""ja"",""vi"")"),"Vòng cổ, mặt dây chuyền, vòng cổ")</f>
        <v>Vòng cổ, mặt dây chuyền, vòng cổ</v>
      </c>
      <c r="E150" s="4" t="str">
        <f ca="1">IFERROR(__xludf.DUMMYFUNCTION("GOOGLETRANSLATE(C150,""ja"",""vi"")"),"Loading...")</f>
        <v>Loading...</v>
      </c>
      <c r="F150" t="str">
        <f t="shared" ca="1" si="2"/>
        <v>"2084057906" : "Vòng cổ, mặt dây chuyền, vòng cổ",</v>
      </c>
    </row>
    <row r="151" spans="1:6" ht="15.75" customHeight="1">
      <c r="A151" s="28">
        <v>2084057907</v>
      </c>
      <c r="B151" s="28" t="s">
        <v>18503</v>
      </c>
      <c r="C151" s="28" t="s">
        <v>20859</v>
      </c>
      <c r="D151" s="4" t="str">
        <f ca="1">IFERROR(__xludf.DUMMYFUNCTION("GOOGLETRANSLATE(B151,""ja"",""vi"")"),"Vòng đeo tay, vòng")</f>
        <v>Vòng đeo tay, vòng</v>
      </c>
      <c r="E151" s="4" t="str">
        <f ca="1">IFERROR(__xludf.DUMMYFUNCTION("GOOGLETRANSLATE(C151,""ja"",""vi"")"),"Đấu giá&gt; phụ kiện, đồng hồ&gt; thương hiệu phụ kiện&gt; FOLLI FOLLIE&gt; vòng đeo tay, vòng")</f>
        <v>Đấu giá&gt; phụ kiện, đồng hồ&gt; thương hiệu phụ kiện&gt; FOLLI FOLLIE&gt; vòng đeo tay, vòng</v>
      </c>
      <c r="F151" t="str">
        <f t="shared" ca="1" si="2"/>
        <v>"2084057907" : "Vòng đeo tay, vòng",</v>
      </c>
    </row>
    <row r="152" spans="1:6" ht="15.75" customHeight="1">
      <c r="A152" s="28">
        <v>2084057908</v>
      </c>
      <c r="B152" s="28" t="s">
        <v>18491</v>
      </c>
      <c r="C152" s="28" t="s">
        <v>20862</v>
      </c>
      <c r="D152" s="4" t="str">
        <f ca="1">IFERROR(__xludf.DUMMYFUNCTION("GOOGLETRANSLATE(B152,""ja"",""vi"")"),"vòng")</f>
        <v>vòng</v>
      </c>
      <c r="E152" s="4" t="str">
        <f ca="1">IFERROR(__xludf.DUMMYFUNCTION("GOOGLETRANSLATE(C152,""ja"",""vi"")"),"Đấu giá&gt; phụ kiện, đồng hồ&gt; thương hiệu phụ kiện&gt; FOLLI FOLLIE&gt; Nhẫn")</f>
        <v>Đấu giá&gt; phụ kiện, đồng hồ&gt; thương hiệu phụ kiện&gt; FOLLI FOLLIE&gt; Nhẫn</v>
      </c>
      <c r="F152" t="str">
        <f t="shared" ca="1" si="2"/>
        <v>"2084057908" : "vòng",</v>
      </c>
    </row>
    <row r="153" spans="1:6" ht="15.75" customHeight="1">
      <c r="A153" s="28">
        <v>2084210464</v>
      </c>
      <c r="B153" s="28" t="s">
        <v>7530</v>
      </c>
      <c r="C153" s="28" t="s">
        <v>20865</v>
      </c>
      <c r="D153" s="4" t="str">
        <f ca="1">IFERROR(__xludf.DUMMYFUNCTION("GOOGLETRANSLATE(B153,""ja"",""vi"")"),"Xem")</f>
        <v>Xem</v>
      </c>
      <c r="E153" s="4" t="str">
        <f ca="1">IFERROR(__xludf.DUMMYFUNCTION("GOOGLETRANSLATE(C153,""ja"",""vi"")"),"Đấu giá&gt; phụ kiện, đồng hồ&gt; thương hiệu phụ kiện&gt; FOLLI FOLLIE&gt; đồng hồ")</f>
        <v>Đấu giá&gt; phụ kiện, đồng hồ&gt; thương hiệu phụ kiện&gt; FOLLI FOLLIE&gt; đồng hồ</v>
      </c>
      <c r="F153" t="str">
        <f t="shared" ca="1" si="2"/>
        <v>"2084210464" : "Xem",</v>
      </c>
    </row>
    <row r="154" spans="1:6" ht="15.75" customHeight="1">
      <c r="A154" s="28">
        <v>2084057909</v>
      </c>
      <c r="B154" s="28" t="s">
        <v>46</v>
      </c>
      <c r="C154" s="28" t="s">
        <v>20866</v>
      </c>
      <c r="D154" s="4" t="str">
        <f ca="1">IFERROR(__xludf.DUMMYFUNCTION("GOOGLETRANSLATE(B154,""ja"",""vi"")"),"nếu không thì")</f>
        <v>nếu không thì</v>
      </c>
      <c r="E154" s="4" t="str">
        <f ca="1">IFERROR(__xludf.DUMMYFUNCTION("GOOGLETRANSLATE(C154,""ja"",""vi"")"),"Loading...")</f>
        <v>Loading...</v>
      </c>
      <c r="F154" t="str">
        <f t="shared" ca="1" si="2"/>
        <v>"2084057909" : "nếu không thì",</v>
      </c>
    </row>
    <row r="155" spans="1:6" ht="15.75" customHeight="1">
      <c r="A155" s="28">
        <v>2084211301</v>
      </c>
      <c r="B155" s="28" t="s">
        <v>18491</v>
      </c>
      <c r="C155" s="28" t="s">
        <v>20869</v>
      </c>
      <c r="D155" s="4" t="str">
        <f ca="1">IFERROR(__xludf.DUMMYFUNCTION("GOOGLETRANSLATE(B155,""ja"",""vi"")"),"vòng")</f>
        <v>vòng</v>
      </c>
      <c r="E155" s="4" t="str">
        <f ca="1">IFERROR(__xludf.DUMMYFUNCTION("GOOGLETRANSLATE(C155,""ja"",""vi"")"),"Loading...")</f>
        <v>Loading...</v>
      </c>
      <c r="F155" t="str">
        <f t="shared" ca="1" si="2"/>
        <v>"2084211301" : "vòng",</v>
      </c>
    </row>
    <row r="156" spans="1:6" ht="15.75" customHeight="1">
      <c r="A156" s="28">
        <v>2084211302</v>
      </c>
      <c r="B156" s="28" t="s">
        <v>46</v>
      </c>
      <c r="C156" s="28" t="s">
        <v>20872</v>
      </c>
      <c r="D156" s="4" t="str">
        <f ca="1">IFERROR(__xludf.DUMMYFUNCTION("GOOGLETRANSLATE(B156,""ja"",""vi"")"),"nếu không thì")</f>
        <v>nếu không thì</v>
      </c>
      <c r="E156" s="4" t="str">
        <f ca="1">IFERROR(__xludf.DUMMYFUNCTION("GOOGLETRANSLATE(C156,""ja"",""vi"")"),"Loading...")</f>
        <v>Loading...</v>
      </c>
      <c r="F156" t="str">
        <f t="shared" ca="1" si="2"/>
        <v>"2084211302" : "nếu không thì",</v>
      </c>
    </row>
    <row r="157" spans="1:6" ht="15.75" customHeight="1">
      <c r="A157" s="28">
        <v>2084052555</v>
      </c>
      <c r="B157" s="28" t="s">
        <v>20386</v>
      </c>
      <c r="C157" s="28" t="s">
        <v>20875</v>
      </c>
      <c r="D157" s="4" t="str">
        <f ca="1">IFERROR(__xludf.DUMMYFUNCTION("GOOGLETRANSLATE(B157,""ja"",""vi"")"),"Bông tai, bông tai")</f>
        <v>Bông tai, bông tai</v>
      </c>
      <c r="E157" s="4" t="str">
        <f ca="1">IFERROR(__xludf.DUMMYFUNCTION("GOOGLETRANSLATE(C157,""ja"",""vi"")"),"Loading...")</f>
        <v>Loading...</v>
      </c>
      <c r="F157" t="str">
        <f t="shared" ca="1" si="2"/>
        <v>"2084052555" : "Bông tai, bông tai",</v>
      </c>
    </row>
    <row r="158" spans="1:6" ht="15.75" customHeight="1">
      <c r="A158" s="28">
        <v>2084052556</v>
      </c>
      <c r="B158" s="28" t="s">
        <v>20373</v>
      </c>
      <c r="C158" s="28" t="s">
        <v>20876</v>
      </c>
      <c r="D158" s="4" t="str">
        <f ca="1">IFERROR(__xludf.DUMMYFUNCTION("GOOGLETRANSLATE(B158,""ja"",""vi"")"),"Vòng cổ, mặt dây chuyền, vòng cổ")</f>
        <v>Vòng cổ, mặt dây chuyền, vòng cổ</v>
      </c>
      <c r="E158" s="4" t="str">
        <f ca="1">IFERROR(__xludf.DUMMYFUNCTION("GOOGLETRANSLATE(C158,""ja"",""vi"")"),"Đấu giá&gt; phụ kiện, đồng hồ&gt; thương hiệu phụ kiện&gt; Bulgari&gt; vòng cổ, mặt dây chuyền, vòng cổ")</f>
        <v>Đấu giá&gt; phụ kiện, đồng hồ&gt; thương hiệu phụ kiện&gt; Bulgari&gt; vòng cổ, mặt dây chuyền, vòng cổ</v>
      </c>
      <c r="F158" t="str">
        <f t="shared" ca="1" si="2"/>
        <v>"2084052556" : "Vòng cổ, mặt dây chuyền, vòng cổ",</v>
      </c>
    </row>
    <row r="159" spans="1:6" ht="15.75" customHeight="1">
      <c r="A159" s="28">
        <v>2084052560</v>
      </c>
      <c r="B159" s="28" t="s">
        <v>18503</v>
      </c>
      <c r="C159" s="28" t="s">
        <v>20879</v>
      </c>
      <c r="D159" s="4" t="str">
        <f ca="1">IFERROR(__xludf.DUMMYFUNCTION("GOOGLETRANSLATE(B159,""ja"",""vi"")"),"Vòng đeo tay, vòng")</f>
        <v>Vòng đeo tay, vòng</v>
      </c>
      <c r="E159" s="4" t="str">
        <f ca="1">IFERROR(__xludf.DUMMYFUNCTION("GOOGLETRANSLATE(C159,""ja"",""vi"")"),"Loading...")</f>
        <v>Loading...</v>
      </c>
      <c r="F159" t="str">
        <f t="shared" ca="1" si="2"/>
        <v>"2084052560" : "Vòng đeo tay, vòng",</v>
      </c>
    </row>
    <row r="160" spans="1:6" ht="15.75" customHeight="1">
      <c r="A160" s="28">
        <v>2084052561</v>
      </c>
      <c r="B160" s="28" t="s">
        <v>18491</v>
      </c>
      <c r="C160" s="28" t="s">
        <v>20882</v>
      </c>
      <c r="D160" s="4" t="str">
        <f ca="1">IFERROR(__xludf.DUMMYFUNCTION("GOOGLETRANSLATE(B160,""ja"",""vi"")"),"vòng")</f>
        <v>vòng</v>
      </c>
      <c r="E160" s="4" t="str">
        <f ca="1">IFERROR(__xludf.DUMMYFUNCTION("GOOGLETRANSLATE(C160,""ja"",""vi"")"),"Loading...")</f>
        <v>Loading...</v>
      </c>
      <c r="F160" t="str">
        <f t="shared" ca="1" si="2"/>
        <v>"2084052561" : "vòng",</v>
      </c>
    </row>
    <row r="161" spans="1:6" ht="15.75" customHeight="1">
      <c r="A161" s="28">
        <v>2084052578</v>
      </c>
      <c r="B161" s="28" t="s">
        <v>7699</v>
      </c>
      <c r="C161" s="28" t="s">
        <v>20883</v>
      </c>
      <c r="D161" s="4" t="str">
        <f ca="1">IFERROR(__xludf.DUMMYFUNCTION("GOOGLETRANSLATE(B161,""ja"",""vi"")"),"key Chains")</f>
        <v>key Chains</v>
      </c>
      <c r="E161" s="4" t="str">
        <f ca="1">IFERROR(__xludf.DUMMYFUNCTION("GOOGLETRANSLATE(C161,""ja"",""vi"")"),"Loading...")</f>
        <v>Loading...</v>
      </c>
      <c r="F161" t="str">
        <f t="shared" ca="1" si="2"/>
        <v>"2084052578" : "key Chains",</v>
      </c>
    </row>
    <row r="162" spans="1:6" ht="15.75" customHeight="1">
      <c r="A162" s="28">
        <v>2084024506</v>
      </c>
      <c r="B162" s="28" t="s">
        <v>7530</v>
      </c>
      <c r="C162" s="28" t="s">
        <v>20886</v>
      </c>
      <c r="D162" s="4" t="str">
        <f ca="1">IFERROR(__xludf.DUMMYFUNCTION("GOOGLETRANSLATE(B162,""ja"",""vi"")"),"Xem")</f>
        <v>Xem</v>
      </c>
      <c r="E162" s="4" t="str">
        <f ca="1">IFERROR(__xludf.DUMMYFUNCTION("GOOGLETRANSLATE(C162,""ja"",""vi"")"),"Đấu giá&gt; phụ kiện, đồng hồ&gt; thương hiệu phụ kiện&gt; Bulgari&gt; đồng hồ")</f>
        <v>Đấu giá&gt; phụ kiện, đồng hồ&gt; thương hiệu phụ kiện&gt; Bulgari&gt; đồng hồ</v>
      </c>
      <c r="F162" t="str">
        <f t="shared" ca="1" si="2"/>
        <v>"2084024506" : "Xem",</v>
      </c>
    </row>
    <row r="163" spans="1:6" ht="15.75" customHeight="1">
      <c r="A163" s="28">
        <v>2084052562</v>
      </c>
      <c r="B163" s="28" t="s">
        <v>46</v>
      </c>
      <c r="C163" s="28" t="s">
        <v>20889</v>
      </c>
      <c r="D163" s="4" t="str">
        <f ca="1">IFERROR(__xludf.DUMMYFUNCTION("GOOGLETRANSLATE(B163,""ja"",""vi"")"),"nếu không thì")</f>
        <v>nếu không thì</v>
      </c>
      <c r="E163" s="4" t="str">
        <f ca="1">IFERROR(__xludf.DUMMYFUNCTION("GOOGLETRANSLATE(C163,""ja"",""vi"")"),"Loading...")</f>
        <v>Loading...</v>
      </c>
      <c r="F163" t="str">
        <f t="shared" ca="1" si="2"/>
        <v>"2084052562" : "nếu không thì",</v>
      </c>
    </row>
    <row r="164" spans="1:6" ht="15.75" customHeight="1">
      <c r="A164" s="28">
        <v>2084061860</v>
      </c>
      <c r="B164" s="28" t="s">
        <v>18581</v>
      </c>
      <c r="C164" s="28" t="s">
        <v>20892</v>
      </c>
      <c r="D164" s="4" t="str">
        <f ca="1">IFERROR(__xludf.DUMMYFUNCTION("GOOGLETRANSLATE(B164,""ja"",""vi"")"),"còng")</f>
        <v>còng</v>
      </c>
      <c r="E164" s="4" t="str">
        <f ca="1">IFERROR(__xludf.DUMMYFUNCTION("GOOGLETRANSLATE(C164,""ja"",""vi"")"),"Đấu giá&gt; phụ kiện, đồng hồ&gt; thương hiệu phụ kiện&gt; Paul Smith&gt; còng")</f>
        <v>Đấu giá&gt; phụ kiện, đồng hồ&gt; thương hiệu phụ kiện&gt; Paul Smith&gt; còng</v>
      </c>
      <c r="F164" t="str">
        <f t="shared" ca="1" si="2"/>
        <v>"2084061860" : "còng",</v>
      </c>
    </row>
    <row r="165" spans="1:6" ht="15.75" customHeight="1">
      <c r="A165" s="28">
        <v>2084061857</v>
      </c>
      <c r="B165" s="28" t="s">
        <v>20373</v>
      </c>
      <c r="C165" s="28" t="s">
        <v>20895</v>
      </c>
      <c r="D165" s="4" t="str">
        <f ca="1">IFERROR(__xludf.DUMMYFUNCTION("GOOGLETRANSLATE(B165,""ja"",""vi"")"),"Vòng cổ, mặt dây chuyền, vòng cổ")</f>
        <v>Vòng cổ, mặt dây chuyền, vòng cổ</v>
      </c>
      <c r="E165" s="4" t="str">
        <f ca="1">IFERROR(__xludf.DUMMYFUNCTION("GOOGLETRANSLATE(C165,""ja"",""vi"")"),"Loading...")</f>
        <v>Loading...</v>
      </c>
      <c r="F165" t="str">
        <f t="shared" ca="1" si="2"/>
        <v>"2084061857" : "Vòng cổ, mặt dây chuyền, vòng cổ",</v>
      </c>
    </row>
    <row r="166" spans="1:6" ht="15.75" customHeight="1">
      <c r="A166" s="28">
        <v>2084061858</v>
      </c>
      <c r="B166" s="28" t="s">
        <v>18503</v>
      </c>
      <c r="C166" s="28" t="s">
        <v>20898</v>
      </c>
      <c r="D166" s="4" t="str">
        <f ca="1">IFERROR(__xludf.DUMMYFUNCTION("GOOGLETRANSLATE(B166,""ja"",""vi"")"),"Vòng đeo tay, vòng")</f>
        <v>Vòng đeo tay, vòng</v>
      </c>
      <c r="E166" s="4" t="str">
        <f ca="1">IFERROR(__xludf.DUMMYFUNCTION("GOOGLETRANSLATE(C166,""ja"",""vi"")"),"Loading...")</f>
        <v>Loading...</v>
      </c>
      <c r="F166" t="str">
        <f t="shared" ca="1" si="2"/>
        <v>"2084061858" : "Vòng đeo tay, vòng",</v>
      </c>
    </row>
    <row r="167" spans="1:6" ht="15.75" customHeight="1">
      <c r="A167" s="28">
        <v>2084061859</v>
      </c>
      <c r="B167" s="28" t="s">
        <v>18491</v>
      </c>
      <c r="C167" s="28" t="s">
        <v>20902</v>
      </c>
      <c r="D167" s="4" t="str">
        <f ca="1">IFERROR(__xludf.DUMMYFUNCTION("GOOGLETRANSLATE(B167,""ja"",""vi"")"),"vòng")</f>
        <v>vòng</v>
      </c>
      <c r="E167" s="4" t="str">
        <f ca="1">IFERROR(__xludf.DUMMYFUNCTION("GOOGLETRANSLATE(C167,""ja"",""vi"")"),"Đấu giá&gt; phụ kiện, đồng hồ&gt; thương hiệu phụ kiện&gt; Paul Smith&gt; Nhẫn")</f>
        <v>Đấu giá&gt; phụ kiện, đồng hồ&gt; thương hiệu phụ kiện&gt; Paul Smith&gt; Nhẫn</v>
      </c>
      <c r="F167" t="str">
        <f t="shared" ca="1" si="2"/>
        <v>"2084061859" : "vòng",</v>
      </c>
    </row>
    <row r="168" spans="1:6" ht="15.75" customHeight="1">
      <c r="A168" s="28">
        <v>2084061863</v>
      </c>
      <c r="B168" s="28" t="s">
        <v>7530</v>
      </c>
      <c r="C168" s="28" t="s">
        <v>20906</v>
      </c>
      <c r="D168" s="4" t="str">
        <f ca="1">IFERROR(__xludf.DUMMYFUNCTION("GOOGLETRANSLATE(B168,""ja"",""vi"")"),"Xem")</f>
        <v>Xem</v>
      </c>
      <c r="E168" s="4" t="str">
        <f ca="1">IFERROR(__xludf.DUMMYFUNCTION("GOOGLETRANSLATE(C168,""ja"",""vi"")"),"Loading...")</f>
        <v>Loading...</v>
      </c>
      <c r="F168" t="str">
        <f t="shared" ca="1" si="2"/>
        <v>"2084061863" : "Xem",</v>
      </c>
    </row>
    <row r="169" spans="1:6" ht="15.75" customHeight="1">
      <c r="A169" s="28">
        <v>2084061861</v>
      </c>
      <c r="B169" s="28" t="s">
        <v>46</v>
      </c>
      <c r="C169" s="28" t="s">
        <v>20909</v>
      </c>
      <c r="D169" s="4" t="str">
        <f ca="1">IFERROR(__xludf.DUMMYFUNCTION("GOOGLETRANSLATE(B169,""ja"",""vi"")"),"nếu không thì")</f>
        <v>nếu không thì</v>
      </c>
      <c r="E169" s="4" t="str">
        <f ca="1">IFERROR(__xludf.DUMMYFUNCTION("GOOGLETRANSLATE(C169,""ja"",""vi"")"),"Đấu giá&gt; phụ kiện, đồng hồ&gt; thương hiệu phụ kiện&gt; Paul Smith&gt; Khác")</f>
        <v>Đấu giá&gt; phụ kiện, đồng hồ&gt; thương hiệu phụ kiện&gt; Paul Smith&gt; Khác</v>
      </c>
      <c r="F169" t="str">
        <f t="shared" ca="1" si="2"/>
        <v>"2084061861" : "nếu không thì",</v>
      </c>
    </row>
    <row r="170" spans="1:6" ht="15.75" customHeight="1">
      <c r="A170" s="28">
        <v>2084211298</v>
      </c>
      <c r="B170" s="28" t="s">
        <v>18491</v>
      </c>
      <c r="C170" s="28" t="s">
        <v>20912</v>
      </c>
      <c r="D170" s="4" t="str">
        <f ca="1">IFERROR(__xludf.DUMMYFUNCTION("GOOGLETRANSLATE(B170,""ja"",""vi"")"),"vòng")</f>
        <v>vòng</v>
      </c>
      <c r="E170" s="4" t="str">
        <f ca="1">IFERROR(__xludf.DUMMYFUNCTION("GOOGLETRANSLATE(C170,""ja"",""vi"")"),"Loading...")</f>
        <v>Loading...</v>
      </c>
      <c r="F170" t="str">
        <f t="shared" ca="1" si="2"/>
        <v>"2084211298" : "vòng",</v>
      </c>
    </row>
    <row r="171" spans="1:6" ht="15.75" customHeight="1">
      <c r="A171" s="28">
        <v>2084211299</v>
      </c>
      <c r="B171" s="28" t="s">
        <v>46</v>
      </c>
      <c r="C171" s="28" t="s">
        <v>20915</v>
      </c>
      <c r="D171" s="4" t="str">
        <f ca="1">IFERROR(__xludf.DUMMYFUNCTION("GOOGLETRANSLATE(B171,""ja"",""vi"")"),"nếu không thì")</f>
        <v>nếu không thì</v>
      </c>
      <c r="E171" s="4" t="str">
        <f ca="1">IFERROR(__xludf.DUMMYFUNCTION("GOOGLETRANSLATE(C171,""ja"",""vi"")"),"Loading...")</f>
        <v>Loading...</v>
      </c>
      <c r="F171" t="str">
        <f t="shared" ca="1" si="2"/>
        <v>"2084211299" : "nếu không thì",</v>
      </c>
    </row>
    <row r="172" spans="1:6" ht="15.75" customHeight="1">
      <c r="A172" s="28">
        <v>2084057881</v>
      </c>
      <c r="B172" s="28" t="s">
        <v>18491</v>
      </c>
      <c r="C172" s="28" t="s">
        <v>20918</v>
      </c>
      <c r="D172" s="4" t="str">
        <f ca="1">IFERROR(__xludf.DUMMYFUNCTION("GOOGLETRANSLATE(B172,""ja"",""vi"")"),"vòng")</f>
        <v>vòng</v>
      </c>
      <c r="E172" s="4" t="str">
        <f ca="1">IFERROR(__xludf.DUMMYFUNCTION("GOOGLETRANSLATE(C172,""ja"",""vi"")"),"Loading...")</f>
        <v>Loading...</v>
      </c>
      <c r="F172" t="str">
        <f t="shared" ca="1" si="2"/>
        <v>"2084057881" : "vòng",</v>
      </c>
    </row>
    <row r="173" spans="1:6" ht="15.75" customHeight="1">
      <c r="A173" s="28">
        <v>2084057882</v>
      </c>
      <c r="B173" s="28" t="s">
        <v>46</v>
      </c>
      <c r="C173" s="28" t="s">
        <v>20921</v>
      </c>
      <c r="D173" s="4" t="str">
        <f ca="1">IFERROR(__xludf.DUMMYFUNCTION("GOOGLETRANSLATE(B173,""ja"",""vi"")"),"nếu không thì")</f>
        <v>nếu không thì</v>
      </c>
      <c r="E173" s="4" t="str">
        <f ca="1">IFERROR(__xludf.DUMMYFUNCTION("GOOGLETRANSLATE(C173,""ja"",""vi"")"),"Loading...")</f>
        <v>Loading...</v>
      </c>
      <c r="F173" t="str">
        <f t="shared" ca="1" si="2"/>
        <v>"2084057882" : "nếu không thì",</v>
      </c>
    </row>
    <row r="174" spans="1:6" ht="15.75" customHeight="1">
      <c r="A174" s="28">
        <v>2084057884</v>
      </c>
      <c r="B174" s="28" t="s">
        <v>20373</v>
      </c>
      <c r="C174" s="28" t="s">
        <v>20922</v>
      </c>
      <c r="D174" s="4" t="str">
        <f ca="1">IFERROR(__xludf.DUMMYFUNCTION("GOOGLETRANSLATE(B174,""ja"",""vi"")"),"Vòng cổ, mặt dây chuyền, vòng cổ")</f>
        <v>Vòng cổ, mặt dây chuyền, vòng cổ</v>
      </c>
      <c r="E174" s="4" t="str">
        <f ca="1">IFERROR(__xludf.DUMMYFUNCTION("GOOGLETRANSLATE(C174,""ja"",""vi"")"),"Đấu giá&gt; phụ kiện, đồng hồ&gt; thương hiệu phụ kiện&gt; Vendome Aoyama&gt; vòng cổ, mặt dây chuyền, vòng cổ")</f>
        <v>Đấu giá&gt; phụ kiện, đồng hồ&gt; thương hiệu phụ kiện&gt; Vendome Aoyama&gt; vòng cổ, mặt dây chuyền, vòng cổ</v>
      </c>
      <c r="F174" t="str">
        <f t="shared" ca="1" si="2"/>
        <v>"2084057884" : "Vòng cổ, mặt dây chuyền, vòng cổ",</v>
      </c>
    </row>
    <row r="175" spans="1:6" ht="15.75" customHeight="1">
      <c r="A175" s="28">
        <v>2084057885</v>
      </c>
      <c r="B175" s="28" t="s">
        <v>18491</v>
      </c>
      <c r="C175" s="28" t="s">
        <v>20925</v>
      </c>
      <c r="D175" s="4" t="str">
        <f ca="1">IFERROR(__xludf.DUMMYFUNCTION("GOOGLETRANSLATE(B175,""ja"",""vi"")"),"vòng")</f>
        <v>vòng</v>
      </c>
      <c r="E175" s="4" t="str">
        <f ca="1">IFERROR(__xludf.DUMMYFUNCTION("GOOGLETRANSLATE(C175,""ja"",""vi"")"),"Loading...")</f>
        <v>Loading...</v>
      </c>
      <c r="F175" t="str">
        <f t="shared" ca="1" si="2"/>
        <v>"2084057885" : "vòng",</v>
      </c>
    </row>
    <row r="176" spans="1:6" ht="15.75" customHeight="1">
      <c r="A176" s="28">
        <v>2084057886</v>
      </c>
      <c r="B176" s="28" t="s">
        <v>46</v>
      </c>
      <c r="C176" s="28" t="s">
        <v>20926</v>
      </c>
      <c r="D176" s="4" t="str">
        <f ca="1">IFERROR(__xludf.DUMMYFUNCTION("GOOGLETRANSLATE(B176,""ja"",""vi"")"),"nếu không thì")</f>
        <v>nếu không thì</v>
      </c>
      <c r="E176" s="4" t="str">
        <f ca="1">IFERROR(__xludf.DUMMYFUNCTION("GOOGLETRANSLATE(C176,""ja"",""vi"")"),"Loading...")</f>
        <v>Loading...</v>
      </c>
      <c r="F176" t="str">
        <f t="shared" ca="1" si="2"/>
        <v>"2084057886" : "nếu không thì",</v>
      </c>
    </row>
    <row r="177" spans="1:6" ht="15.75" customHeight="1">
      <c r="A177" s="28">
        <v>2084061790</v>
      </c>
      <c r="B177" s="28" t="s">
        <v>20386</v>
      </c>
      <c r="C177" s="28" t="s">
        <v>20929</v>
      </c>
      <c r="D177" s="4" t="str">
        <f ca="1">IFERROR(__xludf.DUMMYFUNCTION("GOOGLETRANSLATE(B177,""ja"",""vi"")"),"Bông tai, bông tai")</f>
        <v>Bông tai, bông tai</v>
      </c>
      <c r="E177" s="4" t="str">
        <f ca="1">IFERROR(__xludf.DUMMYFUNCTION("GOOGLETRANSLATE(C177,""ja"",""vi"")"),"Đấu giá&gt; phụ kiện, đồng hồ&gt; thương hiệu phụ kiện&gt; Vivienne Westwood&gt; bông tai, bông tai")</f>
        <v>Đấu giá&gt; phụ kiện, đồng hồ&gt; thương hiệu phụ kiện&gt; Vivienne Westwood&gt; bông tai, bông tai</v>
      </c>
      <c r="F177" t="str">
        <f t="shared" ca="1" si="2"/>
        <v>"2084061790" : "Bông tai, bông tai",</v>
      </c>
    </row>
    <row r="178" spans="1:6" ht="15.75" customHeight="1">
      <c r="A178" s="28">
        <v>2084061791</v>
      </c>
      <c r="B178" s="28" t="s">
        <v>20373</v>
      </c>
      <c r="C178" s="28" t="s">
        <v>20932</v>
      </c>
      <c r="D178" s="4" t="str">
        <f ca="1">IFERROR(__xludf.DUMMYFUNCTION("GOOGLETRANSLATE(B178,""ja"",""vi"")"),"Vòng cổ, mặt dây chuyền, vòng cổ")</f>
        <v>Vòng cổ, mặt dây chuyền, vòng cổ</v>
      </c>
      <c r="E178" s="4" t="str">
        <f ca="1">IFERROR(__xludf.DUMMYFUNCTION("GOOGLETRANSLATE(C178,""ja"",""vi"")"),"Loading...")</f>
        <v>Loading...</v>
      </c>
      <c r="F178" t="str">
        <f t="shared" ca="1" si="2"/>
        <v>"2084061791" : "Vòng cổ, mặt dây chuyền, vòng cổ",</v>
      </c>
    </row>
    <row r="179" spans="1:6" ht="15.75" customHeight="1">
      <c r="A179" s="28">
        <v>2084061792</v>
      </c>
      <c r="B179" s="28" t="s">
        <v>18503</v>
      </c>
      <c r="C179" s="28" t="s">
        <v>20935</v>
      </c>
      <c r="D179" s="4" t="str">
        <f ca="1">IFERROR(__xludf.DUMMYFUNCTION("GOOGLETRANSLATE(B179,""ja"",""vi"")"),"Vòng đeo tay, vòng")</f>
        <v>Vòng đeo tay, vòng</v>
      </c>
      <c r="E179" s="4" t="str">
        <f ca="1">IFERROR(__xludf.DUMMYFUNCTION("GOOGLETRANSLATE(C179,""ja"",""vi"")"),"Đấu giá&gt; phụ kiện, đồng hồ&gt; thương hiệu phụ kiện&gt; Vivienne Westwood&gt; vòng đeo tay, vòng")</f>
        <v>Đấu giá&gt; phụ kiện, đồng hồ&gt; thương hiệu phụ kiện&gt; Vivienne Westwood&gt; vòng đeo tay, vòng</v>
      </c>
      <c r="F179" t="str">
        <f t="shared" ca="1" si="2"/>
        <v>"2084061792" : "Vòng đeo tay, vòng",</v>
      </c>
    </row>
    <row r="180" spans="1:6" ht="15.75" customHeight="1">
      <c r="A180" s="28">
        <v>2084061793</v>
      </c>
      <c r="B180" s="28" t="s">
        <v>18491</v>
      </c>
      <c r="C180" s="28" t="s">
        <v>20938</v>
      </c>
      <c r="D180" s="4" t="str">
        <f ca="1">IFERROR(__xludf.DUMMYFUNCTION("GOOGLETRANSLATE(B180,""ja"",""vi"")"),"vòng")</f>
        <v>vòng</v>
      </c>
      <c r="E180" s="4" t="str">
        <f ca="1">IFERROR(__xludf.DUMMYFUNCTION("GOOGLETRANSLATE(C180,""ja"",""vi"")"),"Đấu giá&gt; phụ kiện, đồng hồ&gt; thương hiệu phụ kiện&gt; Vivienne Westwood&gt; Nhẫn")</f>
        <v>Đấu giá&gt; phụ kiện, đồng hồ&gt; thương hiệu phụ kiện&gt; Vivienne Westwood&gt; Nhẫn</v>
      </c>
      <c r="F180" t="str">
        <f t="shared" ca="1" si="2"/>
        <v>"2084061793" : "vòng",</v>
      </c>
    </row>
    <row r="181" spans="1:6" ht="15.75" customHeight="1">
      <c r="A181" s="28">
        <v>2084024531</v>
      </c>
      <c r="B181" s="28" t="s">
        <v>7530</v>
      </c>
      <c r="C181" s="28" t="s">
        <v>20941</v>
      </c>
      <c r="D181" s="4" t="str">
        <f ca="1">IFERROR(__xludf.DUMMYFUNCTION("GOOGLETRANSLATE(B181,""ja"",""vi"")"),"Xem")</f>
        <v>Xem</v>
      </c>
      <c r="E181" s="4" t="str">
        <f ca="1">IFERROR(__xludf.DUMMYFUNCTION("GOOGLETRANSLATE(C181,""ja"",""vi"")"),"Đấu giá&gt; phụ kiện, đồng hồ&gt; thương hiệu phụ kiện&gt; Vivienne Westwood&gt; đồng hồ")</f>
        <v>Đấu giá&gt; phụ kiện, đồng hồ&gt; thương hiệu phụ kiện&gt; Vivienne Westwood&gt; đồng hồ</v>
      </c>
      <c r="F181" t="str">
        <f t="shared" ca="1" si="2"/>
        <v>"2084024531" : "Xem",</v>
      </c>
    </row>
    <row r="182" spans="1:6" ht="15.75" customHeight="1">
      <c r="A182" s="28">
        <v>2084061794</v>
      </c>
      <c r="B182" s="28" t="s">
        <v>46</v>
      </c>
      <c r="C182" s="28" t="s">
        <v>20942</v>
      </c>
      <c r="D182" s="4" t="str">
        <f ca="1">IFERROR(__xludf.DUMMYFUNCTION("GOOGLETRANSLATE(B182,""ja"",""vi"")"),"nếu không thì")</f>
        <v>nếu không thì</v>
      </c>
      <c r="E182" s="4" t="str">
        <f ca="1">IFERROR(__xludf.DUMMYFUNCTION("GOOGLETRANSLATE(C182,""ja"",""vi"")"),"Đấu giá&gt; phụ kiện, đồng hồ&gt; thương hiệu phụ kiện&gt; Vivienne Westwood&gt; Khác")</f>
        <v>Đấu giá&gt; phụ kiện, đồng hồ&gt; thương hiệu phụ kiện&gt; Vivienne Westwood&gt; Khác</v>
      </c>
      <c r="F182" t="str">
        <f t="shared" ca="1" si="2"/>
        <v>"2084061794" : "nếu không thì",</v>
      </c>
    </row>
    <row r="183" spans="1:6" ht="15.75" customHeight="1">
      <c r="A183" s="28">
        <v>2084061907</v>
      </c>
      <c r="B183" s="28" t="s">
        <v>20386</v>
      </c>
      <c r="C183" s="28" t="s">
        <v>20945</v>
      </c>
      <c r="D183" s="4" t="str">
        <f ca="1">IFERROR(__xludf.DUMMYFUNCTION("GOOGLETRANSLATE(B183,""ja"",""vi"")"),"Bông tai, bông tai")</f>
        <v>Bông tai, bông tai</v>
      </c>
      <c r="E183" s="4" t="str">
        <f ca="1">IFERROR(__xludf.DUMMYFUNCTION("GOOGLETRANSLATE(C183,""ja"",""vi"")"),"Loading...")</f>
        <v>Loading...</v>
      </c>
      <c r="F183" t="str">
        <f t="shared" ca="1" si="2"/>
        <v>"2084061907" : "Bông tai, bông tai",</v>
      </c>
    </row>
    <row r="184" spans="1:6" ht="15.75" customHeight="1">
      <c r="A184" s="28">
        <v>2084061908</v>
      </c>
      <c r="B184" s="28" t="s">
        <v>20373</v>
      </c>
      <c r="C184" s="28" t="s">
        <v>20948</v>
      </c>
      <c r="D184" s="4" t="str">
        <f ca="1">IFERROR(__xludf.DUMMYFUNCTION("GOOGLETRANSLATE(B184,""ja"",""vi"")"),"Vòng cổ, mặt dây chuyền, vòng cổ")</f>
        <v>Vòng cổ, mặt dây chuyền, vòng cổ</v>
      </c>
      <c r="E184" s="4" t="str">
        <f ca="1">IFERROR(__xludf.DUMMYFUNCTION("GOOGLETRANSLATE(C184,""ja"",""vi"")"),"Đấu giá&gt; phụ kiện, đồng hồ&gt; thương hiệu phụ kiện&gt; Mikimoto&gt; vòng cổ, mặt dây chuyền, vòng cổ")</f>
        <v>Đấu giá&gt; phụ kiện, đồng hồ&gt; thương hiệu phụ kiện&gt; Mikimoto&gt; vòng cổ, mặt dây chuyền, vòng cổ</v>
      </c>
      <c r="F184" t="str">
        <f t="shared" ca="1" si="2"/>
        <v>"2084061908" : "Vòng cổ, mặt dây chuyền, vòng cổ",</v>
      </c>
    </row>
    <row r="185" spans="1:6" ht="15.75" customHeight="1">
      <c r="A185" s="28">
        <v>2084061909</v>
      </c>
      <c r="B185" s="28" t="s">
        <v>18503</v>
      </c>
      <c r="C185" s="28" t="s">
        <v>20951</v>
      </c>
      <c r="D185" s="4" t="str">
        <f ca="1">IFERROR(__xludf.DUMMYFUNCTION("GOOGLETRANSLATE(B185,""ja"",""vi"")"),"Vòng đeo tay, vòng")</f>
        <v>Vòng đeo tay, vòng</v>
      </c>
      <c r="E185" s="4" t="str">
        <f ca="1">IFERROR(__xludf.DUMMYFUNCTION("GOOGLETRANSLATE(C185,""ja"",""vi"")"),"Loading...")</f>
        <v>Loading...</v>
      </c>
      <c r="F185" t="str">
        <f t="shared" ca="1" si="2"/>
        <v>"2084061909" : "Vòng đeo tay, vòng",</v>
      </c>
    </row>
    <row r="186" spans="1:6" ht="15.75" customHeight="1">
      <c r="A186" s="28">
        <v>2084061910</v>
      </c>
      <c r="B186" s="28" t="s">
        <v>18491</v>
      </c>
      <c r="C186" s="28" t="s">
        <v>20954</v>
      </c>
      <c r="D186" s="4" t="str">
        <f ca="1">IFERROR(__xludf.DUMMYFUNCTION("GOOGLETRANSLATE(B186,""ja"",""vi"")"),"vòng")</f>
        <v>vòng</v>
      </c>
      <c r="E186" s="4" t="str">
        <f ca="1">IFERROR(__xludf.DUMMYFUNCTION("GOOGLETRANSLATE(C186,""ja"",""vi"")"),"Đấu giá&gt; phụ kiện, đồng hồ&gt; thương hiệu phụ kiện&gt; Mikimoto&gt; Nhẫn")</f>
        <v>Đấu giá&gt; phụ kiện, đồng hồ&gt; thương hiệu phụ kiện&gt; Mikimoto&gt; Nhẫn</v>
      </c>
      <c r="F186" t="str">
        <f t="shared" ca="1" si="2"/>
        <v>"2084061910" : "vòng",</v>
      </c>
    </row>
    <row r="187" spans="1:6" ht="15.75" customHeight="1">
      <c r="A187" s="28">
        <v>2084061911</v>
      </c>
      <c r="B187" s="28" t="s">
        <v>46</v>
      </c>
      <c r="C187" s="28" t="s">
        <v>20957</v>
      </c>
      <c r="D187" s="4" t="str">
        <f ca="1">IFERROR(__xludf.DUMMYFUNCTION("GOOGLETRANSLATE(B187,""ja"",""vi"")"),"nếu không thì")</f>
        <v>nếu không thì</v>
      </c>
      <c r="E187" s="4" t="str">
        <f ca="1">IFERROR(__xludf.DUMMYFUNCTION("GOOGLETRANSLATE(C187,""ja"",""vi"")"),"Đấu giá&gt; phụ kiện, đồng hồ&gt; thương hiệu phụ kiện&gt; Mikimoto&gt; Khác")</f>
        <v>Đấu giá&gt; phụ kiện, đồng hồ&gt; thương hiệu phụ kiện&gt; Mikimoto&gt; Khác</v>
      </c>
      <c r="F187" t="str">
        <f t="shared" ca="1" si="2"/>
        <v>"2084061911" : "nếu không thì",</v>
      </c>
    </row>
    <row r="188" spans="1:6" ht="15.75" customHeight="1">
      <c r="A188" s="28">
        <v>2084224325</v>
      </c>
      <c r="B188" s="28" t="s">
        <v>20373</v>
      </c>
      <c r="C188" s="28" t="s">
        <v>20960</v>
      </c>
      <c r="D188" s="4" t="str">
        <f ca="1">IFERROR(__xludf.DUMMYFUNCTION("GOOGLETRANSLATE(B188,""ja"",""vi"")"),"Vòng cổ, mặt dây chuyền, vòng cổ")</f>
        <v>Vòng cổ, mặt dây chuyền, vòng cổ</v>
      </c>
      <c r="E188" s="4" t="str">
        <f ca="1">IFERROR(__xludf.DUMMYFUNCTION("GOOGLETRANSLATE(C188,""ja"",""vi"")"),"Đấu giá&gt; phụ kiện, đồng hồ&gt; thương hiệu phụ kiện&gt; Michael Negrin&gt; vòng cổ, mặt dây chuyền, vòng cổ")</f>
        <v>Đấu giá&gt; phụ kiện, đồng hồ&gt; thương hiệu phụ kiện&gt; Michael Negrin&gt; vòng cổ, mặt dây chuyền, vòng cổ</v>
      </c>
      <c r="F188" t="str">
        <f t="shared" ca="1" si="2"/>
        <v>"2084224325" : "Vòng cổ, mặt dây chuyền, vòng cổ",</v>
      </c>
    </row>
    <row r="189" spans="1:6" ht="15.75" customHeight="1">
      <c r="A189" s="28">
        <v>2084224326</v>
      </c>
      <c r="B189" s="28" t="s">
        <v>46</v>
      </c>
      <c r="C189" s="28" t="s">
        <v>20961</v>
      </c>
      <c r="D189" s="4" t="str">
        <f ca="1">IFERROR(__xludf.DUMMYFUNCTION("GOOGLETRANSLATE(B189,""ja"",""vi"")"),"nếu không thì")</f>
        <v>nếu không thì</v>
      </c>
      <c r="E189" s="4" t="str">
        <f ca="1">IFERROR(__xludf.DUMMYFUNCTION("GOOGLETRANSLATE(C189,""ja"",""vi"")"),"Đấu giá&gt; phụ kiện, đồng hồ&gt; thương hiệu phụ kiện&gt; Michael Negrin&gt; Khác")</f>
        <v>Đấu giá&gt; phụ kiện, đồng hồ&gt; thương hiệu phụ kiện&gt; Michael Negrin&gt; Khác</v>
      </c>
      <c r="F189" t="str">
        <f t="shared" ca="1" si="2"/>
        <v>"2084224326" : "nếu không thì",</v>
      </c>
    </row>
    <row r="190" spans="1:6" ht="15.75" customHeight="1">
      <c r="A190" s="28">
        <v>2084224322</v>
      </c>
      <c r="B190" s="28" t="s">
        <v>20386</v>
      </c>
      <c r="C190" s="28" t="s">
        <v>20964</v>
      </c>
      <c r="D190" s="4" t="str">
        <f ca="1">IFERROR(__xludf.DUMMYFUNCTION("GOOGLETRANSLATE(B190,""ja"",""vi"")"),"Bông tai, bông tai")</f>
        <v>Bông tai, bông tai</v>
      </c>
      <c r="E190" s="4" t="str">
        <f ca="1">IFERROR(__xludf.DUMMYFUNCTION("GOOGLETRANSLATE(C190,""ja"",""vi"")"),"Đấu giá&gt; phụ kiện, đồng hồ&gt; thương hiệu phụ kiện&gt; Miriam Haskell&gt; bông tai, bông tai")</f>
        <v>Đấu giá&gt; phụ kiện, đồng hồ&gt; thương hiệu phụ kiện&gt; Miriam Haskell&gt; bông tai, bông tai</v>
      </c>
      <c r="F190" t="str">
        <f t="shared" ca="1" si="2"/>
        <v>"2084224322" : "Bông tai, bông tai",</v>
      </c>
    </row>
    <row r="191" spans="1:6" ht="15.75" customHeight="1">
      <c r="A191" s="28">
        <v>2084224323</v>
      </c>
      <c r="B191" s="28" t="s">
        <v>46</v>
      </c>
      <c r="C191" s="28" t="s">
        <v>20967</v>
      </c>
      <c r="D191" s="4" t="str">
        <f ca="1">IFERROR(__xludf.DUMMYFUNCTION("GOOGLETRANSLATE(B191,""ja"",""vi"")"),"nếu không thì")</f>
        <v>nếu không thì</v>
      </c>
      <c r="E191" s="4" t="str">
        <f ca="1">IFERROR(__xludf.DUMMYFUNCTION("GOOGLETRANSLATE(C191,""ja"",""vi"")"),"Đấu giá&gt; phụ kiện, đồng hồ&gt; thương hiệu phụ kiện&gt; Miriam Haskell&gt; Khác")</f>
        <v>Đấu giá&gt; phụ kiện, đồng hồ&gt; thương hiệu phụ kiện&gt; Miriam Haskell&gt; Khác</v>
      </c>
      <c r="F191" t="str">
        <f t="shared" ca="1" si="2"/>
        <v>"2084224323" : "nếu không thì",</v>
      </c>
    </row>
    <row r="192" spans="1:6" ht="15.75" customHeight="1">
      <c r="A192" s="28">
        <v>2084057867</v>
      </c>
      <c r="B192" s="28" t="s">
        <v>20386</v>
      </c>
      <c r="C192" s="28" t="s">
        <v>20971</v>
      </c>
      <c r="D192" s="4" t="str">
        <f ca="1">IFERROR(__xludf.DUMMYFUNCTION("GOOGLETRANSLATE(B192,""ja"",""vi"")"),"Bông tai, bông tai")</f>
        <v>Bông tai, bông tai</v>
      </c>
      <c r="E192" s="4" t="str">
        <f ca="1">IFERROR(__xludf.DUMMYFUNCTION("GOOGLETRANSLATE(C192,""ja"",""vi"")"),"Đấu giá&gt; phụ kiện, đồng hồ&gt; thương hiệu phụ kiện&gt; 4 ℃&gt; bông tai, bông tai")</f>
        <v>Đấu giá&gt; phụ kiện, đồng hồ&gt; thương hiệu phụ kiện&gt; 4 ℃&gt; bông tai, bông tai</v>
      </c>
      <c r="F192" t="str">
        <f t="shared" ca="1" si="2"/>
        <v>"2084057867" : "Bông tai, bông tai",</v>
      </c>
    </row>
    <row r="193" spans="1:6" ht="15.75" customHeight="1">
      <c r="A193" s="28">
        <v>2084057870</v>
      </c>
      <c r="B193" s="28" t="s">
        <v>20373</v>
      </c>
      <c r="C193" s="28" t="s">
        <v>20975</v>
      </c>
      <c r="D193" s="4" t="str">
        <f ca="1">IFERROR(__xludf.DUMMYFUNCTION("GOOGLETRANSLATE(B193,""ja"",""vi"")"),"Vòng cổ, mặt dây chuyền, vòng cổ")</f>
        <v>Vòng cổ, mặt dây chuyền, vòng cổ</v>
      </c>
      <c r="E193" s="4" t="str">
        <f ca="1">IFERROR(__xludf.DUMMYFUNCTION("GOOGLETRANSLATE(C193,""ja"",""vi"")"),"Đấu giá&gt; phụ kiện, đồng hồ&gt; thương hiệu phụ kiện&gt; 4 ℃&gt; vòng cổ, mặt dây chuyền, vòng cổ")</f>
        <v>Đấu giá&gt; phụ kiện, đồng hồ&gt; thương hiệu phụ kiện&gt; 4 ℃&gt; vòng cổ, mặt dây chuyền, vòng cổ</v>
      </c>
      <c r="F193" t="str">
        <f t="shared" ca="1" si="2"/>
        <v>"2084057870" : "Vòng cổ, mặt dây chuyền, vòng cổ",</v>
      </c>
    </row>
    <row r="194" spans="1:6" ht="15.75" customHeight="1">
      <c r="A194" s="28">
        <v>2084057871</v>
      </c>
      <c r="B194" s="28" t="s">
        <v>18503</v>
      </c>
      <c r="C194" s="28" t="s">
        <v>20978</v>
      </c>
      <c r="D194" s="4" t="str">
        <f ca="1">IFERROR(__xludf.DUMMYFUNCTION("GOOGLETRANSLATE(B194,""ja"",""vi"")"),"Vòng đeo tay, vòng")</f>
        <v>Vòng đeo tay, vòng</v>
      </c>
      <c r="E194" s="4" t="str">
        <f ca="1">IFERROR(__xludf.DUMMYFUNCTION("GOOGLETRANSLATE(C194,""ja"",""vi"")"),"Đấu giá&gt; phụ kiện, đồng hồ&gt; thương hiệu phụ kiện&gt; 4 ℃&gt; vòng đeo tay, vòng")</f>
        <v>Đấu giá&gt; phụ kiện, đồng hồ&gt; thương hiệu phụ kiện&gt; 4 ℃&gt; vòng đeo tay, vòng</v>
      </c>
      <c r="F194" t="str">
        <f t="shared" ca="1" si="2"/>
        <v>"2084057871" : "Vòng đeo tay, vòng",</v>
      </c>
    </row>
    <row r="195" spans="1:6" ht="15.75" customHeight="1">
      <c r="A195" s="28">
        <v>2084057872</v>
      </c>
      <c r="B195" s="28" t="s">
        <v>18491</v>
      </c>
      <c r="C195" s="28" t="s">
        <v>20981</v>
      </c>
      <c r="D195" s="4" t="str">
        <f ca="1">IFERROR(__xludf.DUMMYFUNCTION("GOOGLETRANSLATE(B195,""ja"",""vi"")"),"vòng")</f>
        <v>vòng</v>
      </c>
      <c r="E195" s="4" t="str">
        <f ca="1">IFERROR(__xludf.DUMMYFUNCTION("GOOGLETRANSLATE(C195,""ja"",""vi"")"),"Loading...")</f>
        <v>Loading...</v>
      </c>
      <c r="F195" t="str">
        <f t="shared" ref="F195:F258" ca="1" si="3">CONCATENATE(CHAR(34)&amp;"",A195,""&amp;CHAR(34)," : ", CHAR(34)&amp;"",D195,""&amp;CHAR(34),",")</f>
        <v>"2084057872" : "vòng",</v>
      </c>
    </row>
    <row r="196" spans="1:6" ht="15.75" customHeight="1">
      <c r="A196" s="28">
        <v>2084057873</v>
      </c>
      <c r="B196" s="28" t="s">
        <v>46</v>
      </c>
      <c r="C196" s="28" t="s">
        <v>20984</v>
      </c>
      <c r="D196" s="4" t="str">
        <f ca="1">IFERROR(__xludf.DUMMYFUNCTION("GOOGLETRANSLATE(B196,""ja"",""vi"")"),"nếu không thì")</f>
        <v>nếu không thì</v>
      </c>
      <c r="E196" s="4" t="str">
        <f ca="1">IFERROR(__xludf.DUMMYFUNCTION("GOOGLETRANSLATE(C196,""ja"",""vi"")"),"Đấu giá&gt; phụ kiện, đồng hồ&gt; thương hiệu phụ kiện&gt; 4 ℃&gt; Khác")</f>
        <v>Đấu giá&gt; phụ kiện, đồng hồ&gt; thương hiệu phụ kiện&gt; 4 ℃&gt; Khác</v>
      </c>
      <c r="F196" t="str">
        <f t="shared" ca="1" si="3"/>
        <v>"2084057873" : "nếu không thì",</v>
      </c>
    </row>
    <row r="197" spans="1:6" ht="15.75" customHeight="1">
      <c r="A197" s="28">
        <v>2084061773</v>
      </c>
      <c r="B197" s="28" t="s">
        <v>20386</v>
      </c>
      <c r="C197" s="28" t="s">
        <v>20989</v>
      </c>
      <c r="D197" s="4" t="str">
        <f ca="1">IFERROR(__xludf.DUMMYFUNCTION("GOOGLETRANSLATE(B197,""ja"",""vi"")"),"Bông tai, bông tai")</f>
        <v>Bông tai, bông tai</v>
      </c>
      <c r="E197" s="4" t="str">
        <f ca="1">IFERROR(__xludf.DUMMYFUNCTION("GOOGLETRANSLATE(C197,""ja"",""vi"")"),"Loading...")</f>
        <v>Loading...</v>
      </c>
      <c r="F197" t="str">
        <f t="shared" ca="1" si="3"/>
        <v>"2084061773" : "Bông tai, bông tai",</v>
      </c>
    </row>
    <row r="198" spans="1:6" ht="15.75" customHeight="1">
      <c r="A198" s="28">
        <v>2084061774</v>
      </c>
      <c r="B198" s="28" t="s">
        <v>20373</v>
      </c>
      <c r="C198" s="28" t="s">
        <v>20992</v>
      </c>
      <c r="D198" s="4" t="str">
        <f ca="1">IFERROR(__xludf.DUMMYFUNCTION("GOOGLETRANSLATE(B198,""ja"",""vi"")"),"Vòng cổ, mặt dây chuyền, vòng cổ")</f>
        <v>Vòng cổ, mặt dây chuyền, vòng cổ</v>
      </c>
      <c r="E198" s="4" t="str">
        <f ca="1">IFERROR(__xludf.DUMMYFUNCTION("GOOGLETRANSLATE(C198,""ja"",""vi"")"),"Đấu giá&gt; phụ kiện, đồng hồ&gt; thương hiệu phụ kiện&gt; Louis Vuitton&gt; vòng cổ, mặt dây chuyền, vòng cổ")</f>
        <v>Đấu giá&gt; phụ kiện, đồng hồ&gt; thương hiệu phụ kiện&gt; Louis Vuitton&gt; vòng cổ, mặt dây chuyền, vòng cổ</v>
      </c>
      <c r="F198" t="str">
        <f t="shared" ca="1" si="3"/>
        <v>"2084061774" : "Vòng cổ, mặt dây chuyền, vòng cổ",</v>
      </c>
    </row>
    <row r="199" spans="1:6" ht="15.75" customHeight="1">
      <c r="A199" s="28">
        <v>2084061775</v>
      </c>
      <c r="B199" s="28" t="s">
        <v>18503</v>
      </c>
      <c r="C199" s="28" t="s">
        <v>20995</v>
      </c>
      <c r="D199" s="4" t="str">
        <f ca="1">IFERROR(__xludf.DUMMYFUNCTION("GOOGLETRANSLATE(B199,""ja"",""vi"")"),"Vòng đeo tay, vòng")</f>
        <v>Vòng đeo tay, vòng</v>
      </c>
      <c r="E199" s="4" t="str">
        <f ca="1">IFERROR(__xludf.DUMMYFUNCTION("GOOGLETRANSLATE(C199,""ja"",""vi"")"),"Đấu giá&gt; phụ kiện, đồng hồ&gt; thương hiệu phụ kiện&gt; Louis Vuitton&gt; vòng đeo tay, vòng")</f>
        <v>Đấu giá&gt; phụ kiện, đồng hồ&gt; thương hiệu phụ kiện&gt; Louis Vuitton&gt; vòng đeo tay, vòng</v>
      </c>
      <c r="F199" t="str">
        <f t="shared" ca="1" si="3"/>
        <v>"2084061775" : "Vòng đeo tay, vòng",</v>
      </c>
    </row>
    <row r="200" spans="1:6" ht="15.75" customHeight="1">
      <c r="A200" s="28">
        <v>2084061776</v>
      </c>
      <c r="B200" s="28" t="s">
        <v>18491</v>
      </c>
      <c r="C200" s="28" t="s">
        <v>20996</v>
      </c>
      <c r="D200" s="4" t="str">
        <f ca="1">IFERROR(__xludf.DUMMYFUNCTION("GOOGLETRANSLATE(B200,""ja"",""vi"")"),"vòng")</f>
        <v>vòng</v>
      </c>
      <c r="E200" s="4" t="str">
        <f ca="1">IFERROR(__xludf.DUMMYFUNCTION("GOOGLETRANSLATE(C200,""ja"",""vi"")"),"Loading...")</f>
        <v>Loading...</v>
      </c>
      <c r="F200" t="str">
        <f t="shared" ca="1" si="3"/>
        <v>"2084061776" : "vòng",</v>
      </c>
    </row>
    <row r="201" spans="1:6" ht="15.75" customHeight="1">
      <c r="A201" s="28">
        <v>2084051028</v>
      </c>
      <c r="B201" s="28" t="s">
        <v>7530</v>
      </c>
      <c r="C201" s="28" t="s">
        <v>20999</v>
      </c>
      <c r="D201" s="4" t="str">
        <f ca="1">IFERROR(__xludf.DUMMYFUNCTION("GOOGLETRANSLATE(B201,""ja"",""vi"")"),"Xem")</f>
        <v>Xem</v>
      </c>
      <c r="E201" s="4" t="str">
        <f ca="1">IFERROR(__xludf.DUMMYFUNCTION("GOOGLETRANSLATE(C201,""ja"",""vi"")"),"Đấu giá&gt; phụ kiện, đồng hồ&gt; thương hiệu phụ kiện&gt; Louis Vuitton&gt; đồng hồ")</f>
        <v>Đấu giá&gt; phụ kiện, đồng hồ&gt; thương hiệu phụ kiện&gt; Louis Vuitton&gt; đồng hồ</v>
      </c>
      <c r="F201" t="str">
        <f t="shared" ca="1" si="3"/>
        <v>"2084051028" : "Xem",</v>
      </c>
    </row>
    <row r="202" spans="1:6" ht="15.75" customHeight="1">
      <c r="A202" s="28">
        <v>2084061800</v>
      </c>
      <c r="B202" s="28" t="s">
        <v>7699</v>
      </c>
      <c r="C202" s="28" t="s">
        <v>21002</v>
      </c>
      <c r="D202" s="4" t="str">
        <f ca="1">IFERROR(__xludf.DUMMYFUNCTION("GOOGLETRANSLATE(B202,""ja"",""vi"")"),"key Chains")</f>
        <v>key Chains</v>
      </c>
      <c r="E202" s="4" t="str">
        <f ca="1">IFERROR(__xludf.DUMMYFUNCTION("GOOGLETRANSLATE(C202,""ja"",""vi"")"),"Loading...")</f>
        <v>Loading...</v>
      </c>
      <c r="F202" t="str">
        <f t="shared" ca="1" si="3"/>
        <v>"2084061800" : "key Chains",</v>
      </c>
    </row>
    <row r="203" spans="1:6" ht="15.75" customHeight="1">
      <c r="A203" s="28">
        <v>2084061777</v>
      </c>
      <c r="B203" s="28" t="s">
        <v>46</v>
      </c>
      <c r="C203" s="28" t="s">
        <v>21005</v>
      </c>
      <c r="D203" s="4" t="str">
        <f ca="1">IFERROR(__xludf.DUMMYFUNCTION("GOOGLETRANSLATE(B203,""ja"",""vi"")"),"nếu không thì")</f>
        <v>nếu không thì</v>
      </c>
      <c r="E203" s="4" t="str">
        <f ca="1">IFERROR(__xludf.DUMMYFUNCTION("GOOGLETRANSLATE(C203,""ja"",""vi"")"),"Loading...")</f>
        <v>Loading...</v>
      </c>
      <c r="F203" t="str">
        <f t="shared" ca="1" si="3"/>
        <v>"2084061777" : "nếu không thì",</v>
      </c>
    </row>
    <row r="204" spans="1:6" ht="15.75" customHeight="1">
      <c r="A204" s="28">
        <v>2084057911</v>
      </c>
      <c r="B204" s="28" t="s">
        <v>18491</v>
      </c>
      <c r="C204" s="28" t="s">
        <v>21007</v>
      </c>
      <c r="D204" s="4" t="str">
        <f ca="1">IFERROR(__xludf.DUMMYFUNCTION("GOOGLETRANSLATE(B204,""ja"",""vi"")"),"vòng")</f>
        <v>vòng</v>
      </c>
      <c r="E204" s="4" t="str">
        <f ca="1">IFERROR(__xludf.DUMMYFUNCTION("GOOGLETRANSLATE(C204,""ja"",""vi"")"),"Đấu giá&gt; phụ kiện, đồng hồ&gt; thương hiệu phụ kiện&gt; Leonard Kamuhoto, Ronwanzu&gt; Nhẫn")</f>
        <v>Đấu giá&gt; phụ kiện, đồng hồ&gt; thương hiệu phụ kiện&gt; Leonard Kamuhoto, Ronwanzu&gt; Nhẫn</v>
      </c>
      <c r="F204" t="str">
        <f t="shared" ca="1" si="3"/>
        <v>"2084057911" : "vòng",</v>
      </c>
    </row>
    <row r="205" spans="1:6" ht="15.75" customHeight="1">
      <c r="A205" s="28">
        <v>2084057912</v>
      </c>
      <c r="B205" s="28" t="s">
        <v>46</v>
      </c>
      <c r="C205" s="28" t="s">
        <v>21009</v>
      </c>
      <c r="D205" s="4" t="str">
        <f ca="1">IFERROR(__xludf.DUMMYFUNCTION("GOOGLETRANSLATE(B205,""ja"",""vi"")"),"nếu không thì")</f>
        <v>nếu không thì</v>
      </c>
      <c r="E205" s="4" t="str">
        <f ca="1">IFERROR(__xludf.DUMMYFUNCTION("GOOGLETRANSLATE(C205,""ja"",""vi"")"),"Đấu giá&gt; phụ kiện, đồng hồ&gt; thương hiệu phụ kiện&gt; Leonard Kamuhoto, Ronwanzu&gt; Khác")</f>
        <v>Đấu giá&gt; phụ kiện, đồng hồ&gt; thương hiệu phụ kiện&gt; Leonard Kamuhoto, Ronwanzu&gt; Khác</v>
      </c>
      <c r="F205" t="str">
        <f t="shared" ca="1" si="3"/>
        <v>"2084057912" : "nếu không thì",</v>
      </c>
    </row>
    <row r="206" spans="1:6" ht="15.75" customHeight="1">
      <c r="A206" s="28">
        <v>2084195395</v>
      </c>
      <c r="B206" s="28" t="s">
        <v>20386</v>
      </c>
      <c r="C206" s="28" t="s">
        <v>21012</v>
      </c>
      <c r="D206" s="4" t="str">
        <f ca="1">IFERROR(__xludf.DUMMYFUNCTION("GOOGLETRANSLATE(B206,""ja"",""vi"")"),"Bông tai, bông tai")</f>
        <v>Bông tai, bông tai</v>
      </c>
      <c r="E206" s="4" t="str">
        <f ca="1">IFERROR(__xludf.DUMMYFUNCTION("GOOGLETRANSLATE(C206,""ja"",""vi"")"),"Đấu giá&gt; phụ kiện, đồng hồ&gt; thương hiệu phụ kiện&gt; Royal Order&gt; bông tai, bông tai")</f>
        <v>Đấu giá&gt; phụ kiện, đồng hồ&gt; thương hiệu phụ kiện&gt; Royal Order&gt; bông tai, bông tai</v>
      </c>
      <c r="F206" t="str">
        <f t="shared" ca="1" si="3"/>
        <v>"2084195395" : "Bông tai, bông tai",</v>
      </c>
    </row>
    <row r="207" spans="1:6" ht="15.75" customHeight="1">
      <c r="A207" s="28">
        <v>2084195396</v>
      </c>
      <c r="B207" s="28" t="s">
        <v>20373</v>
      </c>
      <c r="C207" s="28" t="s">
        <v>21015</v>
      </c>
      <c r="D207" s="4" t="str">
        <f ca="1">IFERROR(__xludf.DUMMYFUNCTION("GOOGLETRANSLATE(B207,""ja"",""vi"")"),"Vòng cổ, mặt dây chuyền, vòng cổ")</f>
        <v>Vòng cổ, mặt dây chuyền, vòng cổ</v>
      </c>
      <c r="E207" s="4" t="str">
        <f ca="1">IFERROR(__xludf.DUMMYFUNCTION("GOOGLETRANSLATE(C207,""ja"",""vi"")"),"Đấu giá&gt; phụ kiện, đồng hồ&gt; thương hiệu phụ kiện&gt; Royal Order&gt; vòng cổ, mặt dây chuyền, vòng cổ")</f>
        <v>Đấu giá&gt; phụ kiện, đồng hồ&gt; thương hiệu phụ kiện&gt; Royal Order&gt; vòng cổ, mặt dây chuyền, vòng cổ</v>
      </c>
      <c r="F207" t="str">
        <f t="shared" ca="1" si="3"/>
        <v>"2084195396" : "Vòng cổ, mặt dây chuyền, vòng cổ",</v>
      </c>
    </row>
    <row r="208" spans="1:6" ht="15.75" customHeight="1">
      <c r="A208" s="28">
        <v>2084195397</v>
      </c>
      <c r="B208" s="28" t="s">
        <v>18503</v>
      </c>
      <c r="C208" s="28" t="s">
        <v>21016</v>
      </c>
      <c r="D208" s="4" t="str">
        <f ca="1">IFERROR(__xludf.DUMMYFUNCTION("GOOGLETRANSLATE(B208,""ja"",""vi"")"),"Vòng đeo tay, vòng")</f>
        <v>Vòng đeo tay, vòng</v>
      </c>
      <c r="E208" s="4" t="str">
        <f ca="1">IFERROR(__xludf.DUMMYFUNCTION("GOOGLETRANSLATE(C208,""ja"",""vi"")"),"Đấu giá&gt; phụ kiện, đồng hồ&gt; thương hiệu phụ kiện&gt; Royal Order&gt; vòng đeo tay, vòng")</f>
        <v>Đấu giá&gt; phụ kiện, đồng hồ&gt; thương hiệu phụ kiện&gt; Royal Order&gt; vòng đeo tay, vòng</v>
      </c>
      <c r="F208" t="str">
        <f t="shared" ca="1" si="3"/>
        <v>"2084195397" : "Vòng đeo tay, vòng",</v>
      </c>
    </row>
    <row r="209" spans="1:6" ht="15.75" customHeight="1">
      <c r="A209" s="28">
        <v>2084195398</v>
      </c>
      <c r="B209" s="28" t="s">
        <v>18491</v>
      </c>
      <c r="C209" s="28" t="s">
        <v>21019</v>
      </c>
      <c r="D209" s="4" t="str">
        <f ca="1">IFERROR(__xludf.DUMMYFUNCTION("GOOGLETRANSLATE(B209,""ja"",""vi"")"),"vòng")</f>
        <v>vòng</v>
      </c>
      <c r="E209" s="4" t="str">
        <f ca="1">IFERROR(__xludf.DUMMYFUNCTION("GOOGLETRANSLATE(C209,""ja"",""vi"")"),"Đấu giá&gt; phụ kiện, đồng hồ&gt; thương hiệu phụ kiện&gt; Royal Order&gt; Nhẫn")</f>
        <v>Đấu giá&gt; phụ kiện, đồng hồ&gt; thương hiệu phụ kiện&gt; Royal Order&gt; Nhẫn</v>
      </c>
      <c r="F209" t="str">
        <f t="shared" ca="1" si="3"/>
        <v>"2084195398" : "vòng",</v>
      </c>
    </row>
    <row r="210" spans="1:6" ht="15.75" customHeight="1">
      <c r="A210" s="28">
        <v>2084195399</v>
      </c>
      <c r="B210" s="28" t="s">
        <v>46</v>
      </c>
      <c r="C210" s="28" t="s">
        <v>21022</v>
      </c>
      <c r="D210" s="4" t="str">
        <f ca="1">IFERROR(__xludf.DUMMYFUNCTION("GOOGLETRANSLATE(B210,""ja"",""vi"")"),"nếu không thì")</f>
        <v>nếu không thì</v>
      </c>
      <c r="E210" s="4" t="str">
        <f ca="1">IFERROR(__xludf.DUMMYFUNCTION("GOOGLETRANSLATE(C210,""ja"",""vi"")"),"Loading...")</f>
        <v>Loading...</v>
      </c>
      <c r="F210" t="str">
        <f t="shared" ca="1" si="3"/>
        <v>"2084195399" : "nếu không thì",</v>
      </c>
    </row>
    <row r="211" spans="1:6" ht="15.75" customHeight="1">
      <c r="A211" s="28">
        <v>2084005359</v>
      </c>
      <c r="B211" s="28" t="s">
        <v>9286</v>
      </c>
      <c r="C211" s="28" t="s">
        <v>21023</v>
      </c>
      <c r="D211" s="4" t="str">
        <f ca="1">IFERROR(__xludf.DUMMYFUNCTION("GOOGLETRANSLATE(B211,""ja"",""vi"")"),"Đối với phụ nữ")</f>
        <v>Đối với phụ nữ</v>
      </c>
      <c r="E211" s="4" t="str">
        <f ca="1">IFERROR(__xludf.DUMMYFUNCTION("GOOGLETRANSLATE(C211,""ja"",""vi"")"),"Loading...")</f>
        <v>Loading...</v>
      </c>
      <c r="F211" t="str">
        <f t="shared" ca="1" si="3"/>
        <v>"2084005359" : "Đối với phụ nữ",</v>
      </c>
    </row>
    <row r="212" spans="1:6" ht="15.75" customHeight="1">
      <c r="A212" s="28">
        <v>2084005358</v>
      </c>
      <c r="B212" s="28" t="s">
        <v>9280</v>
      </c>
      <c r="C212" s="28" t="s">
        <v>21026</v>
      </c>
      <c r="D212" s="4" t="str">
        <f ca="1">IFERROR(__xludf.DUMMYFUNCTION("GOOGLETRANSLATE(B212,""ja"",""vi"")"),"Đối với nam giới")</f>
        <v>Đối với nam giới</v>
      </c>
      <c r="E212" s="4" t="str">
        <f ca="1">IFERROR(__xludf.DUMMYFUNCTION("GOOGLETRANSLATE(C212,""ja"",""vi"")"),"Đấu giá&gt; phụ kiện, đồng hồ&gt; thương hiệu phụ kiện&gt; Khác&gt; Đàn ông")</f>
        <v>Đấu giá&gt; phụ kiện, đồng hồ&gt; thương hiệu phụ kiện&gt; Khác&gt; Đàn ông</v>
      </c>
      <c r="F212" t="str">
        <f t="shared" ca="1" si="3"/>
        <v>"2084005358" : "Đối với nam giới",</v>
      </c>
    </row>
    <row r="213" spans="1:6" ht="15.75" customHeight="1">
      <c r="A213" s="28">
        <v>2084006476</v>
      </c>
      <c r="B213" s="28" t="s">
        <v>9298</v>
      </c>
      <c r="C213" s="28" t="s">
        <v>21031</v>
      </c>
      <c r="D213" s="4" t="str">
        <f ca="1">IFERROR(__xludf.DUMMYFUNCTION("GOOGLETRANSLATE(B213,""ja"",""vi"")"),"Đối với trẻ em")</f>
        <v>Đối với trẻ em</v>
      </c>
      <c r="E213" s="4" t="str">
        <f ca="1">IFERROR(__xludf.DUMMYFUNCTION("GOOGLETRANSLATE(C213,""ja"",""vi"")"),"Đấu giá&gt; phụ kiện, đồng hồ&gt; thương hiệu phụ kiện&gt; Khác&gt; cho trẻ em")</f>
        <v>Đấu giá&gt; phụ kiện, đồng hồ&gt; thương hiệu phụ kiện&gt; Khác&gt; cho trẻ em</v>
      </c>
      <c r="F213" t="str">
        <f t="shared" ca="1" si="3"/>
        <v>"2084006476" : "Đối với trẻ em",</v>
      </c>
    </row>
    <row r="214" spans="1:6" ht="15.75" customHeight="1">
      <c r="A214" s="28">
        <v>2084060086</v>
      </c>
      <c r="B214" s="28" t="s">
        <v>21032</v>
      </c>
      <c r="C214" s="28" t="s">
        <v>21033</v>
      </c>
      <c r="D214" s="4" t="str">
        <f ca="1">IFERROR(__xludf.DUMMYFUNCTION("GOOGLETRANSLATE(B214,""ja"",""vi"")"),"chỉ Chain")</f>
        <v>chỉ Chain</v>
      </c>
      <c r="E214" s="4" t="str">
        <f ca="1">IFERROR(__xludf.DUMMYFUNCTION("GOOGLETRANSLATE(C214,""ja"",""vi"")"),"chỉ Đấu giá&gt; Accessories, Đồng hồ&gt; nữ phụ kiện&gt; vòng cổ, mặt dây chuyền&gt; chuỗi")</f>
        <v>chỉ Đấu giá&gt; Accessories, Đồng hồ&gt; nữ phụ kiện&gt; vòng cổ, mặt dây chuyền&gt; chuỗi</v>
      </c>
      <c r="F214" t="str">
        <f t="shared" ca="1" si="3"/>
        <v>"2084060086" : "chỉ Chain",</v>
      </c>
    </row>
    <row r="215" spans="1:6" ht="15.75" customHeight="1">
      <c r="A215" s="28">
        <v>2084060087</v>
      </c>
      <c r="B215" s="28" t="s">
        <v>21036</v>
      </c>
      <c r="C215" s="28" t="s">
        <v>21037</v>
      </c>
      <c r="D215" s="4" t="str">
        <f ca="1">IFERROR(__xludf.DUMMYFUNCTION("GOOGLETRANSLATE(B215,""ja"",""vi"")"),"chỉ đầu, người đứng đầu")</f>
        <v>chỉ đầu, người đứng đầu</v>
      </c>
      <c r="E215" s="4" t="str">
        <f ca="1">IFERROR(__xludf.DUMMYFUNCTION("GOOGLETRANSLATE(C215,""ja"",""vi"")"),"chỉ Đấu giá&gt; Accessories, Đồng hồ&gt; nữ phụ kiện&gt; vòng cổ, mặt dây chuyền&gt; đầu, người đứng đầu")</f>
        <v>chỉ Đấu giá&gt; Accessories, Đồng hồ&gt; nữ phụ kiện&gt; vòng cổ, mặt dây chuyền&gt; đầu, người đứng đầu</v>
      </c>
      <c r="F215" t="str">
        <f t="shared" ca="1" si="3"/>
        <v>"2084060087" : "chỉ đầu, người đứng đầu",</v>
      </c>
    </row>
    <row r="216" spans="1:6" ht="15.75" customHeight="1">
      <c r="A216" s="28">
        <v>2084018129</v>
      </c>
      <c r="B216" s="28" t="s">
        <v>21039</v>
      </c>
      <c r="C216" s="28" t="s">
        <v>21041</v>
      </c>
      <c r="D216" s="4" t="str">
        <f ca="1">IFERROR(__xludf.DUMMYFUNCTION("GOOGLETRANSLATE(B216,""ja"",""vi"")"),"kim cương")</f>
        <v>kim cương</v>
      </c>
      <c r="E216" s="4" t="str">
        <f ca="1">IFERROR(__xludf.DUMMYFUNCTION("GOOGLETRANSLATE(C216,""ja"",""vi"")"),"Đấu giá&gt; Accessories, Đồng hồ&gt; dùng cho phụ nữ&gt; vòng cổ, mặt dây chuyền&gt; kim cương")</f>
        <v>Đấu giá&gt; Accessories, Đồng hồ&gt; dùng cho phụ nữ&gt; vòng cổ, mặt dây chuyền&gt; kim cương</v>
      </c>
      <c r="F216" t="str">
        <f t="shared" ca="1" si="3"/>
        <v>"2084018129" : "kim cương",</v>
      </c>
    </row>
    <row r="217" spans="1:6" ht="15.75" customHeight="1">
      <c r="A217" s="28">
        <v>2084005398</v>
      </c>
      <c r="B217" s="28" t="s">
        <v>21042</v>
      </c>
      <c r="C217" s="28" t="s">
        <v>21044</v>
      </c>
      <c r="D217" s="4" t="str">
        <f ca="1">IFERROR(__xludf.DUMMYFUNCTION("GOOGLETRANSLATE(B217,""ja"",""vi"")"),"ngọc trai")</f>
        <v>ngọc trai</v>
      </c>
      <c r="E217" s="4" t="str">
        <f ca="1">IFERROR(__xludf.DUMMYFUNCTION("GOOGLETRANSLATE(C217,""ja"",""vi"")"),"Đấu giá&gt; Accessories, Đồng hồ&gt; dùng cho phụ nữ&gt; vòng cổ, mặt dây chuyền&gt; ngọc trai")</f>
        <v>Đấu giá&gt; Accessories, Đồng hồ&gt; dùng cho phụ nữ&gt; vòng cổ, mặt dây chuyền&gt; ngọc trai</v>
      </c>
      <c r="F217" t="str">
        <f t="shared" ca="1" si="3"/>
        <v>"2084005398" : "ngọc trai",</v>
      </c>
    </row>
    <row r="218" spans="1:6" ht="15.75" customHeight="1">
      <c r="A218" s="28">
        <v>2084018121</v>
      </c>
      <c r="B218" s="28" t="s">
        <v>21046</v>
      </c>
      <c r="C218" s="28" t="s">
        <v>21048</v>
      </c>
      <c r="D218" s="4" t="str">
        <f ca="1">IFERROR(__xludf.DUMMYFUNCTION("GOOGLETRANSLATE(B218,""ja"",""vi"")"),"màu đá")</f>
        <v>màu đá</v>
      </c>
      <c r="E218" s="4" t="str">
        <f ca="1">IFERROR(__xludf.DUMMYFUNCTION("GOOGLETRANSLATE(C218,""ja"",""vi"")"),"Loading...")</f>
        <v>Loading...</v>
      </c>
      <c r="F218" t="str">
        <f t="shared" ca="1" si="3"/>
        <v>"2084018121" : "màu đá",</v>
      </c>
    </row>
    <row r="219" spans="1:6" ht="15.75" customHeight="1">
      <c r="A219" s="28">
        <v>2084018128</v>
      </c>
      <c r="B219" s="28" t="s">
        <v>21050</v>
      </c>
      <c r="C219" s="28" t="s">
        <v>21051</v>
      </c>
      <c r="D219" s="4" t="str">
        <f ca="1">IFERROR(__xludf.DUMMYFUNCTION("GOOGLETRANSLATE(B219,""ja"",""vi"")"),"đồ trang sức nhân tạo, rhinestone")</f>
        <v>đồ trang sức nhân tạo, rhinestone</v>
      </c>
      <c r="E219" s="4" t="str">
        <f ca="1">IFERROR(__xludf.DUMMYFUNCTION("GOOGLETRANSLATE(C219,""ja"",""vi"")"),"Đấu giá&gt; Accessories, Đồng hồ&gt; dùng cho phụ nữ&gt; vòng cổ, mặt dây chuyền&gt; đồ trang sức nhân tạo, rhinestone")</f>
        <v>Đấu giá&gt; Accessories, Đồng hồ&gt; dùng cho phụ nữ&gt; vòng cổ, mặt dây chuyền&gt; đồ trang sức nhân tạo, rhinestone</v>
      </c>
      <c r="F219" t="str">
        <f t="shared" ca="1" si="3"/>
        <v>"2084018128" : "đồ trang sức nhân tạo, rhinestone",</v>
      </c>
    </row>
    <row r="220" spans="1:6" ht="15.75" customHeight="1">
      <c r="A220" s="28">
        <v>2084005395</v>
      </c>
      <c r="B220" s="28" t="s">
        <v>21052</v>
      </c>
      <c r="C220" s="28" t="s">
        <v>21054</v>
      </c>
      <c r="D220" s="4" t="str">
        <f ca="1">IFERROR(__xludf.DUMMYFUNCTION("GOOGLETRANSLATE(B220,""ja"",""vi"")"),"vàng")</f>
        <v>vàng</v>
      </c>
      <c r="E220" s="4" t="str">
        <f ca="1">IFERROR(__xludf.DUMMYFUNCTION("GOOGLETRANSLATE(C220,""ja"",""vi"")"),"Đấu giá&gt; Accessories, Đồng hồ&gt; dùng cho phụ nữ&gt; vòng cổ, mặt dây chuyền&gt; Vàng")</f>
        <v>Đấu giá&gt; Accessories, Đồng hồ&gt; dùng cho phụ nữ&gt; vòng cổ, mặt dây chuyền&gt; Vàng</v>
      </c>
      <c r="F220" t="str">
        <f t="shared" ca="1" si="3"/>
        <v>"2084005395" : "vàng",</v>
      </c>
    </row>
    <row r="221" spans="1:6" ht="15.75" customHeight="1">
      <c r="A221" s="28">
        <v>2084005396</v>
      </c>
      <c r="B221" s="28" t="s">
        <v>21056</v>
      </c>
      <c r="C221" s="28" t="s">
        <v>21057</v>
      </c>
      <c r="D221" s="4" t="str">
        <f ca="1">IFERROR(__xludf.DUMMYFUNCTION("GOOGLETRANSLATE(B221,""ja"",""vi"")"),"bạc")</f>
        <v>bạc</v>
      </c>
      <c r="E221" s="4" t="str">
        <f ca="1">IFERROR(__xludf.DUMMYFUNCTION("GOOGLETRANSLATE(C221,""ja"",""vi"")"),"Đấu giá&gt; Accessories, Đồng hồ&gt; dùng cho phụ nữ&gt; vòng cổ, mặt dây chuyền&gt; Bạc")</f>
        <v>Đấu giá&gt; Accessories, Đồng hồ&gt; dùng cho phụ nữ&gt; vòng cổ, mặt dây chuyền&gt; Bạc</v>
      </c>
      <c r="F221" t="str">
        <f t="shared" ca="1" si="3"/>
        <v>"2084005396" : "bạc",</v>
      </c>
    </row>
    <row r="222" spans="1:6" ht="15.75" customHeight="1">
      <c r="A222" s="28">
        <v>2084005397</v>
      </c>
      <c r="B222" s="28" t="s">
        <v>7034</v>
      </c>
      <c r="C222" s="28" t="s">
        <v>21060</v>
      </c>
      <c r="D222" s="4" t="str">
        <f ca="1">IFERROR(__xludf.DUMMYFUNCTION("GOOGLETRANSLATE(B222,""ja"",""vi"")"),"bạch kim")</f>
        <v>bạch kim</v>
      </c>
      <c r="E222" s="4" t="str">
        <f ca="1">IFERROR(__xludf.DUMMYFUNCTION("GOOGLETRANSLATE(C222,""ja"",""vi"")"),"Loading...")</f>
        <v>Loading...</v>
      </c>
      <c r="F222" t="str">
        <f t="shared" ca="1" si="3"/>
        <v>"2084005397" : "bạch kim",</v>
      </c>
    </row>
    <row r="223" spans="1:6" ht="15.75" customHeight="1">
      <c r="A223" s="28">
        <v>2084005399</v>
      </c>
      <c r="B223" s="28" t="s">
        <v>21063</v>
      </c>
      <c r="C223" s="28" t="s">
        <v>21064</v>
      </c>
      <c r="D223" s="4" t="str">
        <f ca="1">IFERROR(__xludf.DUMMYFUNCTION("GOOGLETRANSLATE(B223,""ja"",""vi"")"),"Hạt, thủy tinh")</f>
        <v>Hạt, thủy tinh</v>
      </c>
      <c r="E223" s="4" t="str">
        <f ca="1">IFERROR(__xludf.DUMMYFUNCTION("GOOGLETRANSLATE(C223,""ja"",""vi"")"),"Loading...")</f>
        <v>Loading...</v>
      </c>
      <c r="F223" t="str">
        <f t="shared" ca="1" si="3"/>
        <v>"2084005399" : "Hạt, thủy tinh",</v>
      </c>
    </row>
    <row r="224" spans="1:6" ht="15.75" customHeight="1">
      <c r="A224" s="28">
        <v>2084018135</v>
      </c>
      <c r="B224" s="28" t="s">
        <v>21066</v>
      </c>
      <c r="C224" s="28" t="s">
        <v>21068</v>
      </c>
      <c r="D224" s="4" t="str">
        <f ca="1">IFERROR(__xludf.DUMMYFUNCTION("GOOGLETRANSLATE(B224,""ja"",""vi"")"),"nâu")</f>
        <v>nâu</v>
      </c>
      <c r="E224" s="4" t="str">
        <f ca="1">IFERROR(__xludf.DUMMYFUNCTION("GOOGLETRANSLATE(C224,""ja"",""vi"")"),"Loading...")</f>
        <v>Loading...</v>
      </c>
      <c r="F224" t="str">
        <f t="shared" ca="1" si="3"/>
        <v>"2084018135" : "nâu",</v>
      </c>
    </row>
    <row r="225" spans="1:6" ht="15.75" customHeight="1">
      <c r="A225" s="28">
        <v>2084018125</v>
      </c>
      <c r="B225" s="28" t="s">
        <v>21069</v>
      </c>
      <c r="C225" s="28" t="s">
        <v>21071</v>
      </c>
      <c r="D225" s="4" t="str">
        <f ca="1">IFERROR(__xludf.DUMMYFUNCTION("GOOGLETRANSLATE(B225,""ja"",""vi"")"),"San hô, san hô")</f>
        <v>San hô, san hô</v>
      </c>
      <c r="E225" s="4" t="str">
        <f ca="1">IFERROR(__xludf.DUMMYFUNCTION("GOOGLETRANSLATE(C225,""ja"",""vi"")"),"Loading...")</f>
        <v>Loading...</v>
      </c>
      <c r="F225" t="str">
        <f t="shared" ca="1" si="3"/>
        <v>"2084018125" : "San hô, san hô",</v>
      </c>
    </row>
    <row r="226" spans="1:6" ht="15.75" customHeight="1">
      <c r="A226" s="28">
        <v>2084006908</v>
      </c>
      <c r="B226" s="28" t="s">
        <v>21073</v>
      </c>
      <c r="C226" s="28" t="s">
        <v>21074</v>
      </c>
      <c r="D226" s="4" t="str">
        <f ca="1">IFERROR(__xludf.DUMMYFUNCTION("GOOGLETRANSLATE(B226,""ja"",""vi"")"),"từ tính")</f>
        <v>từ tính</v>
      </c>
      <c r="E226" s="4" t="str">
        <f ca="1">IFERROR(__xludf.DUMMYFUNCTION("GOOGLETRANSLATE(C226,""ja"",""vi"")"),"Loading...")</f>
        <v>Loading...</v>
      </c>
      <c r="F226" t="str">
        <f t="shared" ca="1" si="3"/>
        <v>"2084006908" : "từ tính",</v>
      </c>
    </row>
    <row r="227" spans="1:6" ht="15.75" customHeight="1">
      <c r="A227" s="28">
        <v>2084018122</v>
      </c>
      <c r="B227" s="28" t="s">
        <v>21077</v>
      </c>
      <c r="C227" s="28" t="s">
        <v>21078</v>
      </c>
      <c r="D227" s="4" t="str">
        <f ca="1">IFERROR(__xludf.DUMMYFUNCTION("GOOGLETRANSLATE(B227,""ja"",""vi"")"),"da")</f>
        <v>da</v>
      </c>
      <c r="E227" s="4" t="str">
        <f ca="1">IFERROR(__xludf.DUMMYFUNCTION("GOOGLETRANSLATE(C227,""ja"",""vi"")"),"Loading...")</f>
        <v>Loading...</v>
      </c>
      <c r="F227" t="str">
        <f t="shared" ca="1" si="3"/>
        <v>"2084018122" : "da",</v>
      </c>
    </row>
    <row r="228" spans="1:6" ht="15.75" customHeight="1">
      <c r="A228" s="28">
        <v>2084018138</v>
      </c>
      <c r="B228" s="28" t="s">
        <v>21081</v>
      </c>
      <c r="C228" s="28" t="s">
        <v>21082</v>
      </c>
      <c r="D228" s="4" t="str">
        <f ca="1">IFERROR(__xludf.DUMMYFUNCTION("GOOGLETRANSLATE(B228,""ja"",""vi"")"),"gỗ")</f>
        <v>gỗ</v>
      </c>
      <c r="E228" s="4" t="str">
        <f ca="1">IFERROR(__xludf.DUMMYFUNCTION("GOOGLETRANSLATE(C228,""ja"",""vi"")"),"Đấu giá&gt; Accessories, Đồng hồ&gt; nữ phụ kiện&gt; vòng cổ, mặt dây chuyền&gt; gỗ")</f>
        <v>Đấu giá&gt; Accessories, Đồng hồ&gt; nữ phụ kiện&gt; vòng cổ, mặt dây chuyền&gt; gỗ</v>
      </c>
      <c r="F228" t="str">
        <f t="shared" ca="1" si="3"/>
        <v>"2084018138" : "gỗ",</v>
      </c>
    </row>
    <row r="229" spans="1:6" ht="15.75" customHeight="1">
      <c r="A229" s="28">
        <v>2084005400</v>
      </c>
      <c r="B229" s="28" t="s">
        <v>46</v>
      </c>
      <c r="C229" s="28" t="s">
        <v>21085</v>
      </c>
      <c r="D229" s="4" t="str">
        <f ca="1">IFERROR(__xludf.DUMMYFUNCTION("GOOGLETRANSLATE(B229,""ja"",""vi"")"),"nếu không thì")</f>
        <v>nếu không thì</v>
      </c>
      <c r="E229" s="4" t="str">
        <f ca="1">IFERROR(__xludf.DUMMYFUNCTION("GOOGLETRANSLATE(C229,""ja"",""vi"")"),"Đấu giá&gt; Accessories, Đồng hồ&gt; dùng cho phụ nữ&gt; dây chuyền, mặt dây chuyền&gt; Khác")</f>
        <v>Đấu giá&gt; Accessories, Đồng hồ&gt; dùng cho phụ nữ&gt; dây chuyền, mặt dây chuyền&gt; Khác</v>
      </c>
      <c r="F229" t="str">
        <f t="shared" ca="1" si="3"/>
        <v>"2084005400" : "nếu không thì",</v>
      </c>
    </row>
    <row r="230" spans="1:6" ht="15.75" customHeight="1">
      <c r="A230" s="28">
        <v>2084060112</v>
      </c>
      <c r="B230" s="28" t="s">
        <v>21039</v>
      </c>
      <c r="C230" s="28" t="s">
        <v>21088</v>
      </c>
      <c r="D230" s="4" t="str">
        <f ca="1">IFERROR(__xludf.DUMMYFUNCTION("GOOGLETRANSLATE(B230,""ja"",""vi"")"),"kim cương")</f>
        <v>kim cương</v>
      </c>
      <c r="E230" s="4" t="str">
        <f ca="1">IFERROR(__xludf.DUMMYFUNCTION("GOOGLETRANSLATE(C230,""ja"",""vi"")"),"Loading...")</f>
        <v>Loading...</v>
      </c>
      <c r="F230" t="str">
        <f t="shared" ca="1" si="3"/>
        <v>"2084060112" : "kim cương",</v>
      </c>
    </row>
    <row r="231" spans="1:6" ht="15.75" customHeight="1">
      <c r="A231" s="28">
        <v>2084060155</v>
      </c>
      <c r="B231" s="28" t="s">
        <v>21042</v>
      </c>
      <c r="C231" s="28" t="s">
        <v>21090</v>
      </c>
      <c r="D231" s="4" t="str">
        <f ca="1">IFERROR(__xludf.DUMMYFUNCTION("GOOGLETRANSLATE(B231,""ja"",""vi"")"),"ngọc trai")</f>
        <v>ngọc trai</v>
      </c>
      <c r="E231" s="4" t="str">
        <f ca="1">IFERROR(__xludf.DUMMYFUNCTION("GOOGLETRANSLATE(C231,""ja"",""vi"")"),"Loading...")</f>
        <v>Loading...</v>
      </c>
      <c r="F231" t="str">
        <f t="shared" ca="1" si="3"/>
        <v>"2084060155" : "ngọc trai",</v>
      </c>
    </row>
    <row r="232" spans="1:6" ht="15.75" customHeight="1">
      <c r="A232" s="28">
        <v>2084060113</v>
      </c>
      <c r="B232" s="28" t="s">
        <v>21046</v>
      </c>
      <c r="C232" s="28" t="s">
        <v>21092</v>
      </c>
      <c r="D232" s="4" t="str">
        <f ca="1">IFERROR(__xludf.DUMMYFUNCTION("GOOGLETRANSLATE(B232,""ja"",""vi"")"),"màu đá")</f>
        <v>màu đá</v>
      </c>
      <c r="E232" s="4" t="str">
        <f ca="1">IFERROR(__xludf.DUMMYFUNCTION("GOOGLETRANSLATE(C232,""ja"",""vi"")"),"Loading...")</f>
        <v>Loading...</v>
      </c>
      <c r="F232" t="str">
        <f t="shared" ca="1" si="3"/>
        <v>"2084060113" : "màu đá",</v>
      </c>
    </row>
    <row r="233" spans="1:6" ht="15.75" customHeight="1">
      <c r="A233" s="28">
        <v>2084060138</v>
      </c>
      <c r="B233" s="28" t="s">
        <v>21050</v>
      </c>
      <c r="C233" s="28" t="s">
        <v>21095</v>
      </c>
      <c r="D233" s="4" t="str">
        <f ca="1">IFERROR(__xludf.DUMMYFUNCTION("GOOGLETRANSLATE(B233,""ja"",""vi"")"),"đồ trang sức nhân tạo, rhinestone")</f>
        <v>đồ trang sức nhân tạo, rhinestone</v>
      </c>
      <c r="E233" s="4" t="str">
        <f ca="1">IFERROR(__xludf.DUMMYFUNCTION("GOOGLETRANSLATE(C233,""ja"",""vi"")"),"Đấu giá&gt; Accessories, Đồng hồ&gt; dùng cho phụ nữ&gt; mặt dây chuyền hàng đầu, quyến rũ&gt; đồ trang sức nhân tạo, rhinestone")</f>
        <v>Đấu giá&gt; Accessories, Đồng hồ&gt; dùng cho phụ nữ&gt; mặt dây chuyền hàng đầu, quyến rũ&gt; đồ trang sức nhân tạo, rhinestone</v>
      </c>
      <c r="F233" t="str">
        <f t="shared" ca="1" si="3"/>
        <v>"2084060138" : "đồ trang sức nhân tạo, rhinestone",</v>
      </c>
    </row>
    <row r="234" spans="1:6" ht="15.75" customHeight="1">
      <c r="A234" s="28">
        <v>2084060146</v>
      </c>
      <c r="B234" s="28" t="s">
        <v>21052</v>
      </c>
      <c r="C234" s="28" t="s">
        <v>21098</v>
      </c>
      <c r="D234" s="4" t="str">
        <f ca="1">IFERROR(__xludf.DUMMYFUNCTION("GOOGLETRANSLATE(B234,""ja"",""vi"")"),"vàng")</f>
        <v>vàng</v>
      </c>
      <c r="E234" s="4" t="str">
        <f ca="1">IFERROR(__xludf.DUMMYFUNCTION("GOOGLETRANSLATE(C234,""ja"",""vi"")"),"Loading...")</f>
        <v>Loading...</v>
      </c>
      <c r="F234" t="str">
        <f t="shared" ca="1" si="3"/>
        <v>"2084060146" : "vàng",</v>
      </c>
    </row>
    <row r="235" spans="1:6" ht="15.75" customHeight="1">
      <c r="A235" s="28">
        <v>2084060152</v>
      </c>
      <c r="B235" s="28" t="s">
        <v>21056</v>
      </c>
      <c r="C235" s="28" t="s">
        <v>21101</v>
      </c>
      <c r="D235" s="4" t="str">
        <f ca="1">IFERROR(__xludf.DUMMYFUNCTION("GOOGLETRANSLATE(B235,""ja"",""vi"")"),"bạc")</f>
        <v>bạc</v>
      </c>
      <c r="E235" s="4" t="str">
        <f ca="1">IFERROR(__xludf.DUMMYFUNCTION("GOOGLETRANSLATE(C235,""ja"",""vi"")"),"Loading...")</f>
        <v>Loading...</v>
      </c>
      <c r="F235" t="str">
        <f t="shared" ca="1" si="3"/>
        <v>"2084060152" : "bạc",</v>
      </c>
    </row>
    <row r="236" spans="1:6" ht="15.75" customHeight="1">
      <c r="A236" s="28">
        <v>2084060154</v>
      </c>
      <c r="B236" s="28" t="s">
        <v>7034</v>
      </c>
      <c r="C236" s="28" t="s">
        <v>21104</v>
      </c>
      <c r="D236" s="4" t="str">
        <f ca="1">IFERROR(__xludf.DUMMYFUNCTION("GOOGLETRANSLATE(B236,""ja"",""vi"")"),"bạch kim")</f>
        <v>bạch kim</v>
      </c>
      <c r="E236" s="4" t="str">
        <f ca="1">IFERROR(__xludf.DUMMYFUNCTION("GOOGLETRANSLATE(C236,""ja"",""vi"")"),"Đấu giá&gt; Accessories, Đồng hồ&gt; dùng cho phụ nữ&gt; mặt dây chuyền hàng đầu, quyến rũ&gt; Platinum")</f>
        <v>Đấu giá&gt; Accessories, Đồng hồ&gt; dùng cho phụ nữ&gt; mặt dây chuyền hàng đầu, quyến rũ&gt; Platinum</v>
      </c>
      <c r="F236" t="str">
        <f t="shared" ca="1" si="3"/>
        <v>"2084060154" : "bạch kim",</v>
      </c>
    </row>
    <row r="237" spans="1:6" ht="15.75" customHeight="1">
      <c r="A237" s="28">
        <v>2084060153</v>
      </c>
      <c r="B237" s="28" t="s">
        <v>21063</v>
      </c>
      <c r="C237" s="28" t="s">
        <v>21107</v>
      </c>
      <c r="D237" s="4" t="str">
        <f ca="1">IFERROR(__xludf.DUMMYFUNCTION("GOOGLETRANSLATE(B237,""ja"",""vi"")"),"Hạt, thủy tinh")</f>
        <v>Hạt, thủy tinh</v>
      </c>
      <c r="E237" s="4" t="str">
        <f ca="1">IFERROR(__xludf.DUMMYFUNCTION("GOOGLETRANSLATE(C237,""ja"",""vi"")"),"Đấu giá&gt; Accessories, Đồng hồ&gt; dùng cho phụ nữ&gt; mặt dây chuyền hàng đầu, quyến rũ&gt; hạt, thủy tinh")</f>
        <v>Đấu giá&gt; Accessories, Đồng hồ&gt; dùng cho phụ nữ&gt; mặt dây chuyền hàng đầu, quyến rũ&gt; hạt, thủy tinh</v>
      </c>
      <c r="F237" t="str">
        <f t="shared" ca="1" si="3"/>
        <v>"2084060153" : "Hạt, thủy tinh",</v>
      </c>
    </row>
    <row r="238" spans="1:6" ht="15.75" customHeight="1">
      <c r="A238" s="28">
        <v>2084060144</v>
      </c>
      <c r="B238" s="28" t="s">
        <v>21066</v>
      </c>
      <c r="C238" s="28" t="s">
        <v>21109</v>
      </c>
      <c r="D238" s="4" t="str">
        <f ca="1">IFERROR(__xludf.DUMMYFUNCTION("GOOGLETRANSLATE(B238,""ja"",""vi"")"),"nâu")</f>
        <v>nâu</v>
      </c>
      <c r="E238" s="4" t="str">
        <f ca="1">IFERROR(__xludf.DUMMYFUNCTION("GOOGLETRANSLATE(C238,""ja"",""vi"")"),"Đấu giá&gt; Accessories, Đồng hồ&gt; dùng cho phụ nữ&gt; đầu mặt dây chuyền, quyến rũ&gt; nâu")</f>
        <v>Đấu giá&gt; Accessories, Đồng hồ&gt; dùng cho phụ nữ&gt; đầu mặt dây chuyền, quyến rũ&gt; nâu</v>
      </c>
      <c r="F238" t="str">
        <f t="shared" ca="1" si="3"/>
        <v>"2084060144" : "nâu",</v>
      </c>
    </row>
    <row r="239" spans="1:6" ht="15.75" customHeight="1">
      <c r="A239" s="28">
        <v>2084060145</v>
      </c>
      <c r="B239" s="28" t="s">
        <v>21069</v>
      </c>
      <c r="C239" s="28" t="s">
        <v>21113</v>
      </c>
      <c r="D239" s="4" t="str">
        <f ca="1">IFERROR(__xludf.DUMMYFUNCTION("GOOGLETRANSLATE(B239,""ja"",""vi"")"),"San hô, san hô")</f>
        <v>San hô, san hô</v>
      </c>
      <c r="E239" s="4" t="str">
        <f ca="1">IFERROR(__xludf.DUMMYFUNCTION("GOOGLETRANSLATE(C239,""ja"",""vi"")"),"Đấu giá&gt; Accessories, Đồng hồ&gt; dùng cho phụ nữ&gt; mặt dây chuyền hàng đầu, quyến rũ&gt; Coral, Coral")</f>
        <v>Đấu giá&gt; Accessories, Đồng hồ&gt; dùng cho phụ nữ&gt; mặt dây chuyền hàng đầu, quyến rũ&gt; Coral, Coral</v>
      </c>
      <c r="F239" t="str">
        <f t="shared" ca="1" si="3"/>
        <v>"2084060145" : "San hô, san hô",</v>
      </c>
    </row>
    <row r="240" spans="1:6" ht="15.75" customHeight="1">
      <c r="A240" s="28">
        <v>2084060156</v>
      </c>
      <c r="B240" s="28" t="s">
        <v>21077</v>
      </c>
      <c r="C240" s="28" t="s">
        <v>21116</v>
      </c>
      <c r="D240" s="4" t="str">
        <f ca="1">IFERROR(__xludf.DUMMYFUNCTION("GOOGLETRANSLATE(B240,""ja"",""vi"")"),"da")</f>
        <v>da</v>
      </c>
      <c r="E240" s="4" t="str">
        <f ca="1">IFERROR(__xludf.DUMMYFUNCTION("GOOGLETRANSLATE(C240,""ja"",""vi"")"),"Đấu giá&gt; Accessories, Đồng hồ&gt; dùng cho phụ nữ&gt; mặt dây chuyền hàng đầu, quyến rũ&gt; da")</f>
        <v>Đấu giá&gt; Accessories, Đồng hồ&gt; dùng cho phụ nữ&gt; mặt dây chuyền hàng đầu, quyến rũ&gt; da</v>
      </c>
      <c r="F240" t="str">
        <f t="shared" ca="1" si="3"/>
        <v>"2084060156" : "da",</v>
      </c>
    </row>
    <row r="241" spans="1:6" ht="15.75" customHeight="1">
      <c r="A241" s="28">
        <v>2084060157</v>
      </c>
      <c r="B241" s="28" t="s">
        <v>21081</v>
      </c>
      <c r="C241" s="28" t="s">
        <v>21119</v>
      </c>
      <c r="D241" s="4" t="str">
        <f ca="1">IFERROR(__xludf.DUMMYFUNCTION("GOOGLETRANSLATE(B241,""ja"",""vi"")"),"gỗ")</f>
        <v>gỗ</v>
      </c>
      <c r="E241" s="4" t="str">
        <f ca="1">IFERROR(__xludf.DUMMYFUNCTION("GOOGLETRANSLATE(C241,""ja"",""vi"")"),"Loading...")</f>
        <v>Loading...</v>
      </c>
      <c r="F241" t="str">
        <f t="shared" ca="1" si="3"/>
        <v>"2084060157" : "gỗ",</v>
      </c>
    </row>
    <row r="242" spans="1:6" ht="15.75" customHeight="1">
      <c r="A242" s="28">
        <v>2084060158</v>
      </c>
      <c r="B242" s="28" t="s">
        <v>46</v>
      </c>
      <c r="C242" s="28" t="s">
        <v>21124</v>
      </c>
      <c r="D242" s="4" t="str">
        <f ca="1">IFERROR(__xludf.DUMMYFUNCTION("GOOGLETRANSLATE(B242,""ja"",""vi"")"),"nếu không thì")</f>
        <v>nếu không thì</v>
      </c>
      <c r="E242" s="4" t="str">
        <f ca="1">IFERROR(__xludf.DUMMYFUNCTION("GOOGLETRANSLATE(C242,""ja"",""vi"")"),"Đấu giá&gt; Accessories, Đồng hồ&gt; dùng cho phụ nữ&gt; mặt dây chuyền hàng đầu, quyến rũ&gt; Khác")</f>
        <v>Đấu giá&gt; Accessories, Đồng hồ&gt; dùng cho phụ nữ&gt; mặt dây chuyền hàng đầu, quyến rũ&gt; Khác</v>
      </c>
      <c r="F242" t="str">
        <f t="shared" ca="1" si="3"/>
        <v>"2084060158" : "nếu không thì",</v>
      </c>
    </row>
    <row r="243" spans="1:6" ht="15.75" customHeight="1">
      <c r="A243" s="28">
        <v>2084060093</v>
      </c>
      <c r="B243" s="28" t="s">
        <v>21046</v>
      </c>
      <c r="C243" s="28" t="s">
        <v>21128</v>
      </c>
      <c r="D243" s="4" t="str">
        <f ca="1">IFERROR(__xludf.DUMMYFUNCTION("GOOGLETRANSLATE(B243,""ja"",""vi"")"),"màu đá")</f>
        <v>màu đá</v>
      </c>
      <c r="E243" s="4" t="str">
        <f ca="1">IFERROR(__xludf.DUMMYFUNCTION("GOOGLETRANSLATE(C243,""ja"",""vi"")"),"Đấu giá&gt; Accessories, Đồng hồ&gt; dùng cho phụ nữ&gt; vòng cổ (dây chuyền only)&gt; đá màu")</f>
        <v>Đấu giá&gt; Accessories, Đồng hồ&gt; dùng cho phụ nữ&gt; vòng cổ (dây chuyền only)&gt; đá màu</v>
      </c>
      <c r="F243" t="str">
        <f t="shared" ca="1" si="3"/>
        <v>"2084060093" : "màu đá",</v>
      </c>
    </row>
    <row r="244" spans="1:6" ht="15.75" customHeight="1">
      <c r="A244" s="28">
        <v>2084060094</v>
      </c>
      <c r="B244" s="28" t="s">
        <v>21050</v>
      </c>
      <c r="C244" s="28" t="s">
        <v>21132</v>
      </c>
      <c r="D244" s="4" t="str">
        <f ca="1">IFERROR(__xludf.DUMMYFUNCTION("GOOGLETRANSLATE(B244,""ja"",""vi"")"),"đồ trang sức nhân tạo, rhinestone")</f>
        <v>đồ trang sức nhân tạo, rhinestone</v>
      </c>
      <c r="E244" s="4" t="str">
        <f ca="1">IFERROR(__xludf.DUMMYFUNCTION("GOOGLETRANSLATE(C244,""ja"",""vi"")"),"Đấu giá&gt; Accessories, Đồng hồ&gt; dùng cho phụ nữ&gt; vòng cổ (dây chuyền only)&gt; đồ trang sức nhân tạo, rhinestone")</f>
        <v>Đấu giá&gt; Accessories, Đồng hồ&gt; dùng cho phụ nữ&gt; vòng cổ (dây chuyền only)&gt; đồ trang sức nhân tạo, rhinestone</v>
      </c>
      <c r="F244" t="str">
        <f t="shared" ca="1" si="3"/>
        <v>"2084060094" : "đồ trang sức nhân tạo, rhinestone",</v>
      </c>
    </row>
    <row r="245" spans="1:6" ht="15.75" customHeight="1">
      <c r="A245" s="28">
        <v>2084060096</v>
      </c>
      <c r="B245" s="28" t="s">
        <v>21052</v>
      </c>
      <c r="C245" s="28" t="s">
        <v>21135</v>
      </c>
      <c r="D245" s="4" t="str">
        <f ca="1">IFERROR(__xludf.DUMMYFUNCTION("GOOGLETRANSLATE(B245,""ja"",""vi"")"),"vàng")</f>
        <v>vàng</v>
      </c>
      <c r="E245" s="4" t="str">
        <f ca="1">IFERROR(__xludf.DUMMYFUNCTION("GOOGLETRANSLATE(C245,""ja"",""vi"")"),"Loading...")</f>
        <v>Loading...</v>
      </c>
      <c r="F245" t="str">
        <f t="shared" ca="1" si="3"/>
        <v>"2084060096" : "vàng",</v>
      </c>
    </row>
    <row r="246" spans="1:6" ht="15.75" customHeight="1">
      <c r="A246" s="28">
        <v>2084060102</v>
      </c>
      <c r="B246" s="28" t="s">
        <v>21056</v>
      </c>
      <c r="C246" s="28" t="s">
        <v>21137</v>
      </c>
      <c r="D246" s="4" t="str">
        <f ca="1">IFERROR(__xludf.DUMMYFUNCTION("GOOGLETRANSLATE(B246,""ja"",""vi"")"),"bạc")</f>
        <v>bạc</v>
      </c>
      <c r="E246" s="4" t="str">
        <f ca="1">IFERROR(__xludf.DUMMYFUNCTION("GOOGLETRANSLATE(C246,""ja"",""vi"")"),"Loading...")</f>
        <v>Loading...</v>
      </c>
      <c r="F246" t="str">
        <f t="shared" ca="1" si="3"/>
        <v>"2084060102" : "bạc",</v>
      </c>
    </row>
    <row r="247" spans="1:6" ht="15.75" customHeight="1">
      <c r="A247" s="28">
        <v>2084060104</v>
      </c>
      <c r="B247" s="28" t="s">
        <v>7034</v>
      </c>
      <c r="C247" s="28" t="s">
        <v>21139</v>
      </c>
      <c r="D247" s="4" t="str">
        <f ca="1">IFERROR(__xludf.DUMMYFUNCTION("GOOGLETRANSLATE(B247,""ja"",""vi"")"),"bạch kim")</f>
        <v>bạch kim</v>
      </c>
      <c r="E247" s="4" t="str">
        <f ca="1">IFERROR(__xludf.DUMMYFUNCTION("GOOGLETRANSLATE(C247,""ja"",""vi"")"),"Loading...")</f>
        <v>Loading...</v>
      </c>
      <c r="F247" t="str">
        <f t="shared" ca="1" si="3"/>
        <v>"2084060104" : "bạch kim",</v>
      </c>
    </row>
    <row r="248" spans="1:6" ht="15.75" customHeight="1">
      <c r="A248" s="28">
        <v>2084060103</v>
      </c>
      <c r="B248" s="28" t="s">
        <v>21063</v>
      </c>
      <c r="C248" s="28" t="s">
        <v>21142</v>
      </c>
      <c r="D248" s="4" t="str">
        <f ca="1">IFERROR(__xludf.DUMMYFUNCTION("GOOGLETRANSLATE(B248,""ja"",""vi"")"),"Hạt, thủy tinh")</f>
        <v>Hạt, thủy tinh</v>
      </c>
      <c r="E248" s="4" t="str">
        <f ca="1">IFERROR(__xludf.DUMMYFUNCTION("GOOGLETRANSLATE(C248,""ja"",""vi"")"),"Loading...")</f>
        <v>Loading...</v>
      </c>
      <c r="F248" t="str">
        <f t="shared" ca="1" si="3"/>
        <v>"2084060103" : "Hạt, thủy tinh",</v>
      </c>
    </row>
    <row r="249" spans="1:6" ht="15.75" customHeight="1">
      <c r="A249" s="28">
        <v>2084060095</v>
      </c>
      <c r="B249" s="28" t="s">
        <v>21069</v>
      </c>
      <c r="C249" s="28" t="s">
        <v>21145</v>
      </c>
      <c r="D249" s="4" t="str">
        <f ca="1">IFERROR(__xludf.DUMMYFUNCTION("GOOGLETRANSLATE(B249,""ja"",""vi"")"),"San hô, san hô")</f>
        <v>San hô, san hô</v>
      </c>
      <c r="E249" s="4" t="str">
        <f ca="1">IFERROR(__xludf.DUMMYFUNCTION("GOOGLETRANSLATE(C249,""ja"",""vi"")"),"Loading...")</f>
        <v>Loading...</v>
      </c>
      <c r="F249" t="str">
        <f t="shared" ca="1" si="3"/>
        <v>"2084060095" : "San hô, san hô",</v>
      </c>
    </row>
    <row r="250" spans="1:6" ht="15.75" customHeight="1">
      <c r="A250" s="28">
        <v>2084060105</v>
      </c>
      <c r="B250" s="28" t="s">
        <v>21073</v>
      </c>
      <c r="C250" s="28" t="s">
        <v>21149</v>
      </c>
      <c r="D250" s="4" t="str">
        <f ca="1">IFERROR(__xludf.DUMMYFUNCTION("GOOGLETRANSLATE(B250,""ja"",""vi"")"),"từ tính")</f>
        <v>từ tính</v>
      </c>
      <c r="E250" s="4" t="str">
        <f ca="1">IFERROR(__xludf.DUMMYFUNCTION("GOOGLETRANSLATE(C250,""ja"",""vi"")"),"Loading...")</f>
        <v>Loading...</v>
      </c>
      <c r="F250" t="str">
        <f t="shared" ca="1" si="3"/>
        <v>"2084060105" : "từ tính",</v>
      </c>
    </row>
    <row r="251" spans="1:6" ht="15.75" customHeight="1">
      <c r="A251" s="28">
        <v>2084060106</v>
      </c>
      <c r="B251" s="28" t="s">
        <v>21042</v>
      </c>
      <c r="C251" s="28" t="s">
        <v>21151</v>
      </c>
      <c r="D251" s="4" t="str">
        <f ca="1">IFERROR(__xludf.DUMMYFUNCTION("GOOGLETRANSLATE(B251,""ja"",""vi"")"),"ngọc trai")</f>
        <v>ngọc trai</v>
      </c>
      <c r="E251" s="4" t="str">
        <f ca="1">IFERROR(__xludf.DUMMYFUNCTION("GOOGLETRANSLATE(C251,""ja"",""vi"")"),"Đấu giá&gt; Accessories, Đồng hồ&gt; dùng cho phụ nữ&gt; vòng cổ (dây chuyền only)&gt; ngọc trai")</f>
        <v>Đấu giá&gt; Accessories, Đồng hồ&gt; dùng cho phụ nữ&gt; vòng cổ (dây chuyền only)&gt; ngọc trai</v>
      </c>
      <c r="F251" t="str">
        <f t="shared" ca="1" si="3"/>
        <v>"2084060106" : "ngọc trai",</v>
      </c>
    </row>
    <row r="252" spans="1:6" ht="15.75" customHeight="1">
      <c r="A252" s="28">
        <v>2084060107</v>
      </c>
      <c r="B252" s="28" t="s">
        <v>21077</v>
      </c>
      <c r="C252" s="28" t="s">
        <v>21154</v>
      </c>
      <c r="D252" s="4" t="str">
        <f ca="1">IFERROR(__xludf.DUMMYFUNCTION("GOOGLETRANSLATE(B252,""ja"",""vi"")"),"da")</f>
        <v>da</v>
      </c>
      <c r="E252" s="4" t="str">
        <f ca="1">IFERROR(__xludf.DUMMYFUNCTION("GOOGLETRANSLATE(C252,""ja"",""vi"")"),"Loading...")</f>
        <v>Loading...</v>
      </c>
      <c r="F252" t="str">
        <f t="shared" ca="1" si="3"/>
        <v>"2084060107" : "da",</v>
      </c>
    </row>
    <row r="253" spans="1:6" ht="15.75" customHeight="1">
      <c r="A253" s="28">
        <v>2084060108</v>
      </c>
      <c r="B253" s="28" t="s">
        <v>21081</v>
      </c>
      <c r="C253" s="28" t="s">
        <v>21159</v>
      </c>
      <c r="D253" s="4" t="str">
        <f ca="1">IFERROR(__xludf.DUMMYFUNCTION("GOOGLETRANSLATE(B253,""ja"",""vi"")"),"gỗ")</f>
        <v>gỗ</v>
      </c>
      <c r="E253" s="4" t="str">
        <f ca="1">IFERROR(__xludf.DUMMYFUNCTION("GOOGLETRANSLATE(C253,""ja"",""vi"")"),"Đấu giá&gt; Accessories, Đồng hồ&gt; dùng cho phụ nữ&gt; vòng cổ (dây chuyền only)&gt; gỗ")</f>
        <v>Đấu giá&gt; Accessories, Đồng hồ&gt; dùng cho phụ nữ&gt; vòng cổ (dây chuyền only)&gt; gỗ</v>
      </c>
      <c r="F253" t="str">
        <f t="shared" ca="1" si="3"/>
        <v>"2084060108" : "gỗ",</v>
      </c>
    </row>
    <row r="254" spans="1:6" ht="15.75" customHeight="1">
      <c r="A254" s="28">
        <v>2084060109</v>
      </c>
      <c r="B254" s="28" t="s">
        <v>46</v>
      </c>
      <c r="C254" s="28" t="s">
        <v>21164</v>
      </c>
      <c r="D254" s="4" t="str">
        <f ca="1">IFERROR(__xludf.DUMMYFUNCTION("GOOGLETRANSLATE(B254,""ja"",""vi"")"),"nếu không thì")</f>
        <v>nếu không thì</v>
      </c>
      <c r="E254" s="4" t="str">
        <f ca="1">IFERROR(__xludf.DUMMYFUNCTION("GOOGLETRANSLATE(C254,""ja"",""vi"")"),"Loading...")</f>
        <v>Loading...</v>
      </c>
      <c r="F254" t="str">
        <f t="shared" ca="1" si="3"/>
        <v>"2084060109" : "nếu không thì",</v>
      </c>
    </row>
    <row r="255" spans="1:6" ht="15.75" customHeight="1">
      <c r="A255" s="28">
        <v>2084018194</v>
      </c>
      <c r="B255" s="28" t="s">
        <v>21039</v>
      </c>
      <c r="C255" s="28" t="s">
        <v>21170</v>
      </c>
      <c r="D255" s="4" t="str">
        <f ca="1">IFERROR(__xludf.DUMMYFUNCTION("GOOGLETRANSLATE(B255,""ja"",""vi"")"),"kim cương")</f>
        <v>kim cương</v>
      </c>
      <c r="E255" s="4" t="str">
        <f ca="1">IFERROR(__xludf.DUMMYFUNCTION("GOOGLETRANSLATE(C255,""ja"",""vi"")"),"Đấu giá&gt; Accessories, Đồng hồ&gt; dùng cho phụ nữ&gt; choker&gt; kim cương")</f>
        <v>Đấu giá&gt; Accessories, Đồng hồ&gt; dùng cho phụ nữ&gt; choker&gt; kim cương</v>
      </c>
      <c r="F255" t="str">
        <f t="shared" ca="1" si="3"/>
        <v>"2084018194" : "kim cương",</v>
      </c>
    </row>
    <row r="256" spans="1:6" ht="15.75" customHeight="1">
      <c r="A256" s="28">
        <v>2084019055</v>
      </c>
      <c r="B256" s="28" t="s">
        <v>21042</v>
      </c>
      <c r="C256" s="28" t="s">
        <v>21173</v>
      </c>
      <c r="D256" s="4" t="str">
        <f ca="1">IFERROR(__xludf.DUMMYFUNCTION("GOOGLETRANSLATE(B256,""ja"",""vi"")"),"ngọc trai")</f>
        <v>ngọc trai</v>
      </c>
      <c r="E256" s="4" t="str">
        <f ca="1">IFERROR(__xludf.DUMMYFUNCTION("GOOGLETRANSLATE(C256,""ja"",""vi"")"),"Loading...")</f>
        <v>Loading...</v>
      </c>
      <c r="F256" t="str">
        <f t="shared" ca="1" si="3"/>
        <v>"2084019055" : "ngọc trai",</v>
      </c>
    </row>
    <row r="257" spans="1:6" ht="15.75" customHeight="1">
      <c r="A257" s="28">
        <v>2084018186</v>
      </c>
      <c r="B257" s="28" t="s">
        <v>21046</v>
      </c>
      <c r="C257" s="28" t="s">
        <v>21177</v>
      </c>
      <c r="D257" s="4" t="str">
        <f ca="1">IFERROR(__xludf.DUMMYFUNCTION("GOOGLETRANSLATE(B257,""ja"",""vi"")"),"màu đá")</f>
        <v>màu đá</v>
      </c>
      <c r="E257" s="4" t="str">
        <f ca="1">IFERROR(__xludf.DUMMYFUNCTION("GOOGLETRANSLATE(C257,""ja"",""vi"")"),"Loading...")</f>
        <v>Loading...</v>
      </c>
      <c r="F257" t="str">
        <f t="shared" ca="1" si="3"/>
        <v>"2084018186" : "màu đá",</v>
      </c>
    </row>
    <row r="258" spans="1:6" ht="15.75" customHeight="1">
      <c r="A258" s="28">
        <v>2084018193</v>
      </c>
      <c r="B258" s="28" t="s">
        <v>21050</v>
      </c>
      <c r="C258" s="28" t="s">
        <v>21178</v>
      </c>
      <c r="D258" s="4" t="str">
        <f ca="1">IFERROR(__xludf.DUMMYFUNCTION("GOOGLETRANSLATE(B258,""ja"",""vi"")"),"đồ trang sức nhân tạo, rhinestone")</f>
        <v>đồ trang sức nhân tạo, rhinestone</v>
      </c>
      <c r="E258" s="4" t="str">
        <f ca="1">IFERROR(__xludf.DUMMYFUNCTION("GOOGLETRANSLATE(C258,""ja"",""vi"")"),"Đấu giá&gt; Accessories, Đồng hồ&gt; dùng cho phụ nữ&gt; choker&gt; đồ trang sức nhân tạo, rhinestone")</f>
        <v>Đấu giá&gt; Accessories, Đồng hồ&gt; dùng cho phụ nữ&gt; choker&gt; đồ trang sức nhân tạo, rhinestone</v>
      </c>
      <c r="F258" t="str">
        <f t="shared" ca="1" si="3"/>
        <v>"2084018193" : "đồ trang sức nhân tạo, rhinestone",</v>
      </c>
    </row>
    <row r="259" spans="1:6" ht="15.75" customHeight="1">
      <c r="A259" s="28">
        <v>2084019053</v>
      </c>
      <c r="B259" s="28" t="s">
        <v>21052</v>
      </c>
      <c r="C259" s="28" t="s">
        <v>21182</v>
      </c>
      <c r="D259" s="4" t="str">
        <f ca="1">IFERROR(__xludf.DUMMYFUNCTION("GOOGLETRANSLATE(B259,""ja"",""vi"")"),"vàng")</f>
        <v>vàng</v>
      </c>
      <c r="E259" s="4" t="str">
        <f ca="1">IFERROR(__xludf.DUMMYFUNCTION("GOOGLETRANSLATE(C259,""ja"",""vi"")"),"Loading...")</f>
        <v>Loading...</v>
      </c>
      <c r="F259" t="str">
        <f t="shared" ref="F259:F322" ca="1" si="4">CONCATENATE(CHAR(34)&amp;"",A259,""&amp;CHAR(34)," : ", CHAR(34)&amp;"",D259,""&amp;CHAR(34),",")</f>
        <v>"2084019053" : "vàng",</v>
      </c>
    </row>
    <row r="260" spans="1:6" ht="15.75" customHeight="1">
      <c r="A260" s="28">
        <v>2084005392</v>
      </c>
      <c r="B260" s="28" t="s">
        <v>21056</v>
      </c>
      <c r="C260" s="28" t="s">
        <v>21184</v>
      </c>
      <c r="D260" s="4" t="str">
        <f ca="1">IFERROR(__xludf.DUMMYFUNCTION("GOOGLETRANSLATE(B260,""ja"",""vi"")"),"bạc")</f>
        <v>bạc</v>
      </c>
      <c r="E260" s="4" t="str">
        <f ca="1">IFERROR(__xludf.DUMMYFUNCTION("GOOGLETRANSLATE(C260,""ja"",""vi"")"),"Loading...")</f>
        <v>Loading...</v>
      </c>
      <c r="F260" t="str">
        <f t="shared" ca="1" si="4"/>
        <v>"2084005392" : "bạc",</v>
      </c>
    </row>
    <row r="261" spans="1:6" ht="15.75" customHeight="1">
      <c r="A261" s="28">
        <v>2084019054</v>
      </c>
      <c r="B261" s="28" t="s">
        <v>7034</v>
      </c>
      <c r="C261" s="28" t="s">
        <v>21187</v>
      </c>
      <c r="D261" s="4" t="str">
        <f ca="1">IFERROR(__xludf.DUMMYFUNCTION("GOOGLETRANSLATE(B261,""ja"",""vi"")"),"bạch kim")</f>
        <v>bạch kim</v>
      </c>
      <c r="E261" s="4" t="str">
        <f ca="1">IFERROR(__xludf.DUMMYFUNCTION("GOOGLETRANSLATE(C261,""ja"",""vi"")"),"Đấu giá&gt; Accessories, Đồng hồ&gt; dùng cho phụ nữ&gt; choker&gt; bạch kim")</f>
        <v>Đấu giá&gt; Accessories, Đồng hồ&gt; dùng cho phụ nữ&gt; choker&gt; bạch kim</v>
      </c>
      <c r="F261" t="str">
        <f t="shared" ca="1" si="4"/>
        <v>"2084019054" : "bạch kim",</v>
      </c>
    </row>
    <row r="262" spans="1:6" ht="15.75" customHeight="1">
      <c r="A262" s="28">
        <v>2084005393</v>
      </c>
      <c r="B262" s="28" t="s">
        <v>21063</v>
      </c>
      <c r="C262" s="28" t="s">
        <v>21190</v>
      </c>
      <c r="D262" s="4" t="str">
        <f ca="1">IFERROR(__xludf.DUMMYFUNCTION("GOOGLETRANSLATE(B262,""ja"",""vi"")"),"Hạt, thủy tinh")</f>
        <v>Hạt, thủy tinh</v>
      </c>
      <c r="E262" s="4" t="str">
        <f ca="1">IFERROR(__xludf.DUMMYFUNCTION("GOOGLETRANSLATE(C262,""ja"",""vi"")"),"Đấu giá&gt; Accessories, Đồng hồ&gt; dùng cho phụ nữ&gt; choker&gt; hạt, thủy tinh")</f>
        <v>Đấu giá&gt; Accessories, Đồng hồ&gt; dùng cho phụ nữ&gt; choker&gt; hạt, thủy tinh</v>
      </c>
      <c r="F262" t="str">
        <f t="shared" ca="1" si="4"/>
        <v>"2084005393" : "Hạt, thủy tinh",</v>
      </c>
    </row>
    <row r="263" spans="1:6" ht="15.75" customHeight="1">
      <c r="A263" s="28">
        <v>2084018178</v>
      </c>
      <c r="B263" s="28" t="s">
        <v>21066</v>
      </c>
      <c r="C263" s="28" t="s">
        <v>21192</v>
      </c>
      <c r="D263" s="4" t="str">
        <f ca="1">IFERROR(__xludf.DUMMYFUNCTION("GOOGLETRANSLATE(B263,""ja"",""vi"")"),"nâu")</f>
        <v>nâu</v>
      </c>
      <c r="E263" s="4" t="str">
        <f ca="1">IFERROR(__xludf.DUMMYFUNCTION("GOOGLETRANSLATE(C263,""ja"",""vi"")"),"Loading...")</f>
        <v>Loading...</v>
      </c>
      <c r="F263" t="str">
        <f t="shared" ca="1" si="4"/>
        <v>"2084018178" : "nâu",</v>
      </c>
    </row>
    <row r="264" spans="1:6" ht="15.75" customHeight="1">
      <c r="A264" s="28">
        <v>2084018190</v>
      </c>
      <c r="B264" s="28" t="s">
        <v>21069</v>
      </c>
      <c r="C264" s="28" t="s">
        <v>21196</v>
      </c>
      <c r="D264" s="4" t="str">
        <f ca="1">IFERROR(__xludf.DUMMYFUNCTION("GOOGLETRANSLATE(B264,""ja"",""vi"")"),"San hô, san hô")</f>
        <v>San hô, san hô</v>
      </c>
      <c r="E264" s="4" t="str">
        <f ca="1">IFERROR(__xludf.DUMMYFUNCTION("GOOGLETRANSLATE(C264,""ja"",""vi"")"),"Đấu giá&gt; Accessories, Đồng hồ&gt; dùng cho phụ nữ&gt; choker&gt; Coral, Coral")</f>
        <v>Đấu giá&gt; Accessories, Đồng hồ&gt; dùng cho phụ nữ&gt; choker&gt; Coral, Coral</v>
      </c>
      <c r="F264" t="str">
        <f t="shared" ca="1" si="4"/>
        <v>"2084018190" : "San hô, san hô",</v>
      </c>
    </row>
    <row r="265" spans="1:6" ht="15.75" customHeight="1">
      <c r="A265" s="28">
        <v>2084018187</v>
      </c>
      <c r="B265" s="28" t="s">
        <v>21077</v>
      </c>
      <c r="C265" s="28" t="s">
        <v>21200</v>
      </c>
      <c r="D265" s="4" t="str">
        <f ca="1">IFERROR(__xludf.DUMMYFUNCTION("GOOGLETRANSLATE(B265,""ja"",""vi"")"),"da")</f>
        <v>da</v>
      </c>
      <c r="E265" s="4" t="str">
        <f ca="1">IFERROR(__xludf.DUMMYFUNCTION("GOOGLETRANSLATE(C265,""ja"",""vi"")"),"Đấu giá&gt; Accessories, Đồng hồ&gt; dùng cho phụ nữ&gt; choker&gt; da")</f>
        <v>Đấu giá&gt; Accessories, Đồng hồ&gt; dùng cho phụ nữ&gt; choker&gt; da</v>
      </c>
      <c r="F265" t="str">
        <f t="shared" ca="1" si="4"/>
        <v>"2084018187" : "da",</v>
      </c>
    </row>
    <row r="266" spans="1:6" ht="15.75" customHeight="1">
      <c r="A266" s="28">
        <v>2084018170</v>
      </c>
      <c r="B266" s="28" t="s">
        <v>21081</v>
      </c>
      <c r="C266" s="28" t="s">
        <v>21203</v>
      </c>
      <c r="D266" s="4" t="str">
        <f ca="1">IFERROR(__xludf.DUMMYFUNCTION("GOOGLETRANSLATE(B266,""ja"",""vi"")"),"gỗ")</f>
        <v>gỗ</v>
      </c>
      <c r="E266" s="4" t="str">
        <f ca="1">IFERROR(__xludf.DUMMYFUNCTION("GOOGLETRANSLATE(C266,""ja"",""vi"")"),"Loading...")</f>
        <v>Loading...</v>
      </c>
      <c r="F266" t="str">
        <f t="shared" ca="1" si="4"/>
        <v>"2084018170" : "gỗ",</v>
      </c>
    </row>
    <row r="267" spans="1:6" ht="15.75" customHeight="1">
      <c r="A267" s="28">
        <v>2084005394</v>
      </c>
      <c r="B267" s="28" t="s">
        <v>46</v>
      </c>
      <c r="C267" s="28" t="s">
        <v>21205</v>
      </c>
      <c r="D267" s="4" t="str">
        <f ca="1">IFERROR(__xludf.DUMMYFUNCTION("GOOGLETRANSLATE(B267,""ja"",""vi"")"),"nếu không thì")</f>
        <v>nếu không thì</v>
      </c>
      <c r="E267" s="4" t="str">
        <f ca="1">IFERROR(__xludf.DUMMYFUNCTION("GOOGLETRANSLATE(C267,""ja"",""vi"")"),"Đấu giá&gt; Accessories, Đồng hồ&gt; nữ phụ kiện&gt; choker&gt; Khác")</f>
        <v>Đấu giá&gt; Accessories, Đồng hồ&gt; nữ phụ kiện&gt; choker&gt; Khác</v>
      </c>
      <c r="F267" t="str">
        <f t="shared" ca="1" si="4"/>
        <v>"2084005394" : "nếu không thì",</v>
      </c>
    </row>
    <row r="268" spans="1:6" ht="15.75" customHeight="1">
      <c r="A268" s="28">
        <v>2084005429</v>
      </c>
      <c r="B268" s="28" t="s">
        <v>21039</v>
      </c>
      <c r="C268" s="28" t="s">
        <v>21208</v>
      </c>
      <c r="D268" s="4" t="str">
        <f ca="1">IFERROR(__xludf.DUMMYFUNCTION("GOOGLETRANSLATE(B268,""ja"",""vi"")"),"kim cương")</f>
        <v>kim cương</v>
      </c>
      <c r="E268" s="4" t="str">
        <f ca="1">IFERROR(__xludf.DUMMYFUNCTION("GOOGLETRANSLATE(C268,""ja"",""vi"")"),"Loading...")</f>
        <v>Loading...</v>
      </c>
      <c r="F268" t="str">
        <f t="shared" ca="1" si="4"/>
        <v>"2084005429" : "kim cương",</v>
      </c>
    </row>
    <row r="269" spans="1:6" ht="15.75" customHeight="1">
      <c r="A269" s="28">
        <v>2084018293</v>
      </c>
      <c r="B269" s="28" t="s">
        <v>21046</v>
      </c>
      <c r="C269" s="28" t="s">
        <v>21210</v>
      </c>
      <c r="D269" s="4" t="str">
        <f ca="1">IFERROR(__xludf.DUMMYFUNCTION("GOOGLETRANSLATE(B269,""ja"",""vi"")"),"màu đá")</f>
        <v>màu đá</v>
      </c>
      <c r="E269" s="4" t="str">
        <f ca="1">IFERROR(__xludf.DUMMYFUNCTION("GOOGLETRANSLATE(C269,""ja"",""vi"")"),"Đấu giá&gt; Accessories, Đồng hồ&gt; dùng cho phụ nữ&gt; Nhẫn&gt; đá màu")</f>
        <v>Đấu giá&gt; Accessories, Đồng hồ&gt; dùng cho phụ nữ&gt; Nhẫn&gt; đá màu</v>
      </c>
      <c r="F269" t="str">
        <f t="shared" ca="1" si="4"/>
        <v>"2084018293" : "màu đá",</v>
      </c>
    </row>
    <row r="270" spans="1:6" ht="15.75" customHeight="1">
      <c r="A270" s="28">
        <v>2084005433</v>
      </c>
      <c r="B270" s="28" t="s">
        <v>21042</v>
      </c>
      <c r="C270" s="28" t="s">
        <v>21213</v>
      </c>
      <c r="D270" s="4" t="str">
        <f ca="1">IFERROR(__xludf.DUMMYFUNCTION("GOOGLETRANSLATE(B270,""ja"",""vi"")"),"ngọc trai")</f>
        <v>ngọc trai</v>
      </c>
      <c r="E270" s="4" t="str">
        <f ca="1">IFERROR(__xludf.DUMMYFUNCTION("GOOGLETRANSLATE(C270,""ja"",""vi"")"),"Đấu giá&gt; Accessories, Đồng hồ&gt; dùng cho phụ nữ&gt; Nhẫn&gt; Pearl")</f>
        <v>Đấu giá&gt; Accessories, Đồng hồ&gt; dùng cho phụ nữ&gt; Nhẫn&gt; Pearl</v>
      </c>
      <c r="F270" t="str">
        <f t="shared" ca="1" si="4"/>
        <v>"2084005433" : "ngọc trai",</v>
      </c>
    </row>
    <row r="271" spans="1:6" ht="15.75" customHeight="1">
      <c r="A271" s="28">
        <v>2084018300</v>
      </c>
      <c r="B271" s="28" t="s">
        <v>21050</v>
      </c>
      <c r="C271" s="28" t="s">
        <v>21214</v>
      </c>
      <c r="D271" s="4" t="str">
        <f ca="1">IFERROR(__xludf.DUMMYFUNCTION("GOOGLETRANSLATE(B271,""ja"",""vi"")"),"đồ trang sức nhân tạo, rhinestone")</f>
        <v>đồ trang sức nhân tạo, rhinestone</v>
      </c>
      <c r="E271" s="4" t="str">
        <f ca="1">IFERROR(__xludf.DUMMYFUNCTION("GOOGLETRANSLATE(C271,""ja"",""vi"")"),"Đấu giá&gt; Accessories, Đồng hồ&gt; dùng cho phụ nữ&gt; Nhẫn&gt; đồ trang sức nhân tạo, rhinestone")</f>
        <v>Đấu giá&gt; Accessories, Đồng hồ&gt; dùng cho phụ nữ&gt; Nhẫn&gt; đồ trang sức nhân tạo, rhinestone</v>
      </c>
      <c r="F271" t="str">
        <f t="shared" ca="1" si="4"/>
        <v>"2084018300" : "đồ trang sức nhân tạo, rhinestone",</v>
      </c>
    </row>
    <row r="272" spans="1:6" ht="15.75" customHeight="1">
      <c r="A272" s="28">
        <v>2084005426</v>
      </c>
      <c r="B272" s="28" t="s">
        <v>21052</v>
      </c>
      <c r="C272" s="28" t="s">
        <v>21218</v>
      </c>
      <c r="D272" s="4" t="str">
        <f ca="1">IFERROR(__xludf.DUMMYFUNCTION("GOOGLETRANSLATE(B272,""ja"",""vi"")"),"vàng")</f>
        <v>vàng</v>
      </c>
      <c r="E272" s="4" t="str">
        <f ca="1">IFERROR(__xludf.DUMMYFUNCTION("GOOGLETRANSLATE(C272,""ja"",""vi"")"),"Loading...")</f>
        <v>Loading...</v>
      </c>
      <c r="F272" t="str">
        <f t="shared" ca="1" si="4"/>
        <v>"2084005426" : "vàng",</v>
      </c>
    </row>
    <row r="273" spans="1:6" ht="15.75" customHeight="1">
      <c r="A273" s="28">
        <v>2084005427</v>
      </c>
      <c r="B273" s="28" t="s">
        <v>21056</v>
      </c>
      <c r="C273" s="28" t="s">
        <v>21222</v>
      </c>
      <c r="D273" s="4" t="str">
        <f ca="1">IFERROR(__xludf.DUMMYFUNCTION("GOOGLETRANSLATE(B273,""ja"",""vi"")"),"bạc")</f>
        <v>bạc</v>
      </c>
      <c r="E273" s="4" t="str">
        <f ca="1">IFERROR(__xludf.DUMMYFUNCTION("GOOGLETRANSLATE(C273,""ja"",""vi"")"),"Đấu giá&gt; Accessories, Đồng hồ&gt; dùng cho phụ nữ&gt; Nhẫn&gt; Bạc")</f>
        <v>Đấu giá&gt; Accessories, Đồng hồ&gt; dùng cho phụ nữ&gt; Nhẫn&gt; Bạc</v>
      </c>
      <c r="F273" t="str">
        <f t="shared" ca="1" si="4"/>
        <v>"2084005427" : "bạc",</v>
      </c>
    </row>
    <row r="274" spans="1:6" ht="15.75" customHeight="1">
      <c r="A274" s="28">
        <v>2084005428</v>
      </c>
      <c r="B274" s="28" t="s">
        <v>7034</v>
      </c>
      <c r="C274" s="28" t="s">
        <v>21225</v>
      </c>
      <c r="D274" s="4" t="str">
        <f ca="1">IFERROR(__xludf.DUMMYFUNCTION("GOOGLETRANSLATE(B274,""ja"",""vi"")"),"bạch kim")</f>
        <v>bạch kim</v>
      </c>
      <c r="E274" s="4" t="str">
        <f ca="1">IFERROR(__xludf.DUMMYFUNCTION("GOOGLETRANSLATE(C274,""ja"",""vi"")"),"Loading...")</f>
        <v>Loading...</v>
      </c>
      <c r="F274" t="str">
        <f t="shared" ca="1" si="4"/>
        <v>"2084005428" : "bạch kim",</v>
      </c>
    </row>
    <row r="275" spans="1:6" ht="15.75" customHeight="1">
      <c r="A275" s="28">
        <v>2084005434</v>
      </c>
      <c r="B275" s="28" t="s">
        <v>21063</v>
      </c>
      <c r="C275" s="28" t="s">
        <v>21227</v>
      </c>
      <c r="D275" s="4" t="str">
        <f ca="1">IFERROR(__xludf.DUMMYFUNCTION("GOOGLETRANSLATE(B275,""ja"",""vi"")"),"Hạt, thủy tinh")</f>
        <v>Hạt, thủy tinh</v>
      </c>
      <c r="E275" s="4" t="str">
        <f ca="1">IFERROR(__xludf.DUMMYFUNCTION("GOOGLETRANSLATE(C275,""ja"",""vi"")"),"Đấu giá&gt; Accessories, Đồng hồ&gt; dùng cho phụ nữ&gt; Nhẫn&gt; hạt, thủy tinh")</f>
        <v>Đấu giá&gt; Accessories, Đồng hồ&gt; dùng cho phụ nữ&gt; Nhẫn&gt; hạt, thủy tinh</v>
      </c>
      <c r="F275" t="str">
        <f t="shared" ca="1" si="4"/>
        <v>"2084005434" : "Hạt, thủy tinh",</v>
      </c>
    </row>
    <row r="276" spans="1:6" ht="15.75" customHeight="1">
      <c r="A276" s="28">
        <v>2084018294</v>
      </c>
      <c r="B276" s="28" t="s">
        <v>21077</v>
      </c>
      <c r="C276" s="28" t="s">
        <v>21232</v>
      </c>
      <c r="D276" s="4" t="str">
        <f ca="1">IFERROR(__xludf.DUMMYFUNCTION("GOOGLETRANSLATE(B276,""ja"",""vi"")"),"da")</f>
        <v>da</v>
      </c>
      <c r="E276" s="4" t="str">
        <f ca="1">IFERROR(__xludf.DUMMYFUNCTION("GOOGLETRANSLATE(C276,""ja"",""vi"")"),"Loading...")</f>
        <v>Loading...</v>
      </c>
      <c r="F276" t="str">
        <f t="shared" ca="1" si="4"/>
        <v>"2084018294" : "da",</v>
      </c>
    </row>
    <row r="277" spans="1:6" ht="15.75" customHeight="1">
      <c r="A277" s="28">
        <v>2084018283</v>
      </c>
      <c r="B277" s="28" t="s">
        <v>21081</v>
      </c>
      <c r="C277" s="28" t="s">
        <v>21234</v>
      </c>
      <c r="D277" s="4" t="str">
        <f ca="1">IFERROR(__xludf.DUMMYFUNCTION("GOOGLETRANSLATE(B277,""ja"",""vi"")"),"gỗ")</f>
        <v>gỗ</v>
      </c>
      <c r="E277" s="4" t="str">
        <f ca="1">IFERROR(__xludf.DUMMYFUNCTION("GOOGLETRANSLATE(C277,""ja"",""vi"")"),"Loading...")</f>
        <v>Loading...</v>
      </c>
      <c r="F277" t="str">
        <f t="shared" ca="1" si="4"/>
        <v>"2084018283" : "gỗ",</v>
      </c>
    </row>
    <row r="278" spans="1:6" ht="15.75" customHeight="1">
      <c r="A278" s="28">
        <v>2084018280</v>
      </c>
      <c r="B278" s="28" t="s">
        <v>21066</v>
      </c>
      <c r="C278" s="28" t="s">
        <v>21239</v>
      </c>
      <c r="D278" s="4" t="str">
        <f ca="1">IFERROR(__xludf.DUMMYFUNCTION("GOOGLETRANSLATE(B278,""ja"",""vi"")"),"nâu")</f>
        <v>nâu</v>
      </c>
      <c r="E278" s="4" t="str">
        <f ca="1">IFERROR(__xludf.DUMMYFUNCTION("GOOGLETRANSLATE(C278,""ja"",""vi"")"),"Loading...")</f>
        <v>Loading...</v>
      </c>
      <c r="F278" t="str">
        <f t="shared" ca="1" si="4"/>
        <v>"2084018280" : "nâu",</v>
      </c>
    </row>
    <row r="279" spans="1:6" ht="15.75" customHeight="1">
      <c r="A279" s="28">
        <v>2084018297</v>
      </c>
      <c r="B279" s="28" t="s">
        <v>21069</v>
      </c>
      <c r="C279" s="28" t="s">
        <v>21241</v>
      </c>
      <c r="D279" s="4" t="str">
        <f ca="1">IFERROR(__xludf.DUMMYFUNCTION("GOOGLETRANSLATE(B279,""ja"",""vi"")"),"San hô, san hô")</f>
        <v>San hô, san hô</v>
      </c>
      <c r="E279" s="4" t="str">
        <f ca="1">IFERROR(__xludf.DUMMYFUNCTION("GOOGLETRANSLATE(C279,""ja"",""vi"")"),"Đấu giá&gt; Accessories, Đồng hồ&gt; dùng cho phụ nữ&gt; Nhẫn&gt; Coral, Coral")</f>
        <v>Đấu giá&gt; Accessories, Đồng hồ&gt; dùng cho phụ nữ&gt; Nhẫn&gt; Coral, Coral</v>
      </c>
      <c r="F279" t="str">
        <f t="shared" ca="1" si="4"/>
        <v>"2084018297" : "San hô, san hô",</v>
      </c>
    </row>
    <row r="280" spans="1:6" ht="15.75" customHeight="1">
      <c r="A280" s="28">
        <v>2084005435</v>
      </c>
      <c r="B280" s="28" t="s">
        <v>46</v>
      </c>
      <c r="C280" s="28" t="s">
        <v>21243</v>
      </c>
      <c r="D280" s="4" t="str">
        <f ca="1">IFERROR(__xludf.DUMMYFUNCTION("GOOGLETRANSLATE(B280,""ja"",""vi"")"),"nếu không thì")</f>
        <v>nếu không thì</v>
      </c>
      <c r="E280" s="4" t="str">
        <f ca="1">IFERROR(__xludf.DUMMYFUNCTION("GOOGLETRANSLATE(C280,""ja"",""vi"")"),"Loading...")</f>
        <v>Loading...</v>
      </c>
      <c r="F280" t="str">
        <f t="shared" ca="1" si="4"/>
        <v>"2084005435" : "nếu không thì",</v>
      </c>
    </row>
    <row r="281" spans="1:6" ht="15.75" customHeight="1">
      <c r="A281" s="28">
        <v>2084005421</v>
      </c>
      <c r="B281" s="28" t="s">
        <v>21039</v>
      </c>
      <c r="C281" s="28" t="s">
        <v>21247</v>
      </c>
      <c r="D281" s="4" t="str">
        <f ca="1">IFERROR(__xludf.DUMMYFUNCTION("GOOGLETRANSLATE(B281,""ja"",""vi"")"),"kim cương")</f>
        <v>kim cương</v>
      </c>
      <c r="E281" s="4" t="str">
        <f ca="1">IFERROR(__xludf.DUMMYFUNCTION("GOOGLETRANSLATE(C281,""ja"",""vi"")"),"Đấu giá&gt; Accessories, Đồng hồ&gt; nữ phụ kiện&gt; bông tai&gt; kim cương")</f>
        <v>Đấu giá&gt; Accessories, Đồng hồ&gt; nữ phụ kiện&gt; bông tai&gt; kim cương</v>
      </c>
      <c r="F281" t="str">
        <f t="shared" ca="1" si="4"/>
        <v>"2084005421" : "kim cương",</v>
      </c>
    </row>
    <row r="282" spans="1:6" ht="15.75" customHeight="1">
      <c r="A282" s="28">
        <v>2084007992</v>
      </c>
      <c r="B282" s="28" t="s">
        <v>21046</v>
      </c>
      <c r="C282" s="28" t="s">
        <v>21250</v>
      </c>
      <c r="D282" s="4" t="str">
        <f ca="1">IFERROR(__xludf.DUMMYFUNCTION("GOOGLETRANSLATE(B282,""ja"",""vi"")"),"màu đá")</f>
        <v>màu đá</v>
      </c>
      <c r="E282" s="4" t="str">
        <f ca="1">IFERROR(__xludf.DUMMYFUNCTION("GOOGLETRANSLATE(C282,""ja"",""vi"")"),"Đấu giá&gt; Accessories, Đồng hồ&gt; phụ kiện&gt; bông tai&gt; đá màu của phụ nữ")</f>
        <v>Đấu giá&gt; Accessories, Đồng hồ&gt; phụ kiện&gt; bông tai&gt; đá màu của phụ nữ</v>
      </c>
      <c r="F282" t="str">
        <f t="shared" ca="1" si="4"/>
        <v>"2084007992" : "màu đá",</v>
      </c>
    </row>
    <row r="283" spans="1:6" ht="15.75" customHeight="1">
      <c r="A283" s="28">
        <v>2084005422</v>
      </c>
      <c r="B283" s="28" t="s">
        <v>21042</v>
      </c>
      <c r="C283" s="28" t="s">
        <v>21253</v>
      </c>
      <c r="D283" s="4" t="str">
        <f ca="1">IFERROR(__xludf.DUMMYFUNCTION("GOOGLETRANSLATE(B283,""ja"",""vi"")"),"ngọc trai")</f>
        <v>ngọc trai</v>
      </c>
      <c r="E283" s="4" t="str">
        <f ca="1">IFERROR(__xludf.DUMMYFUNCTION("GOOGLETRANSLATE(C283,""ja"",""vi"")"),"Đấu giá&gt; Accessories, Đồng hồ&gt; Phụ kiện nữ&gt; Bông tai&gt; ngọc trai")</f>
        <v>Đấu giá&gt; Accessories, Đồng hồ&gt; Phụ kiện nữ&gt; Bông tai&gt; ngọc trai</v>
      </c>
      <c r="F283" t="str">
        <f t="shared" ca="1" si="4"/>
        <v>"2084005422" : "ngọc trai",</v>
      </c>
    </row>
    <row r="284" spans="1:6" ht="15.75" customHeight="1">
      <c r="A284" s="28">
        <v>2084008086</v>
      </c>
      <c r="B284" s="28" t="s">
        <v>21050</v>
      </c>
      <c r="C284" s="28" t="s">
        <v>21256</v>
      </c>
      <c r="D284" s="4" t="str">
        <f ca="1">IFERROR(__xludf.DUMMYFUNCTION("GOOGLETRANSLATE(B284,""ja"",""vi"")"),"đồ trang sức nhân tạo, rhinestone")</f>
        <v>đồ trang sức nhân tạo, rhinestone</v>
      </c>
      <c r="E284" s="4" t="str">
        <f ca="1">IFERROR(__xludf.DUMMYFUNCTION("GOOGLETRANSLATE(C284,""ja"",""vi"")"),"Đấu giá&gt; Accessories, Đồng hồ&gt; dùng cho phụ nữ&gt; bông tai&gt; đồ trang sức nhân tạo, rhinestone")</f>
        <v>Đấu giá&gt; Accessories, Đồng hồ&gt; dùng cho phụ nữ&gt; bông tai&gt; đồ trang sức nhân tạo, rhinestone</v>
      </c>
      <c r="F284" t="str">
        <f t="shared" ca="1" si="4"/>
        <v>"2084008086" : "đồ trang sức nhân tạo, rhinestone",</v>
      </c>
    </row>
    <row r="285" spans="1:6" ht="15.75" customHeight="1">
      <c r="A285" s="28">
        <v>2084005418</v>
      </c>
      <c r="B285" s="28" t="s">
        <v>21052</v>
      </c>
      <c r="C285" s="28" t="s">
        <v>21257</v>
      </c>
      <c r="D285" s="4" t="str">
        <f ca="1">IFERROR(__xludf.DUMMYFUNCTION("GOOGLETRANSLATE(B285,""ja"",""vi"")"),"vàng")</f>
        <v>vàng</v>
      </c>
      <c r="E285" s="4" t="str">
        <f ca="1">IFERROR(__xludf.DUMMYFUNCTION("GOOGLETRANSLATE(C285,""ja"",""vi"")"),"Loading...")</f>
        <v>Loading...</v>
      </c>
      <c r="F285" t="str">
        <f t="shared" ca="1" si="4"/>
        <v>"2084005418" : "vàng",</v>
      </c>
    </row>
    <row r="286" spans="1:6" ht="15.75" customHeight="1">
      <c r="A286" s="28">
        <v>2084005419</v>
      </c>
      <c r="B286" s="28" t="s">
        <v>21056</v>
      </c>
      <c r="C286" s="28" t="s">
        <v>21260</v>
      </c>
      <c r="D286" s="4" t="str">
        <f ca="1">IFERROR(__xludf.DUMMYFUNCTION("GOOGLETRANSLATE(B286,""ja"",""vi"")"),"bạc")</f>
        <v>bạc</v>
      </c>
      <c r="E286" s="4" t="str">
        <f ca="1">IFERROR(__xludf.DUMMYFUNCTION("GOOGLETRANSLATE(C286,""ja"",""vi"")"),"Loading...")</f>
        <v>Loading...</v>
      </c>
      <c r="F286" t="str">
        <f t="shared" ca="1" si="4"/>
        <v>"2084005419" : "bạc",</v>
      </c>
    </row>
    <row r="287" spans="1:6" ht="15.75" customHeight="1">
      <c r="A287" s="28">
        <v>2084005420</v>
      </c>
      <c r="B287" s="28" t="s">
        <v>7034</v>
      </c>
      <c r="C287" s="28" t="s">
        <v>21263</v>
      </c>
      <c r="D287" s="4" t="str">
        <f ca="1">IFERROR(__xludf.DUMMYFUNCTION("GOOGLETRANSLATE(B287,""ja"",""vi"")"),"bạch kim")</f>
        <v>bạch kim</v>
      </c>
      <c r="E287" s="4" t="str">
        <f ca="1">IFERROR(__xludf.DUMMYFUNCTION("GOOGLETRANSLATE(C287,""ja"",""vi"")"),"Đấu giá&gt; Accessories, Đồng hồ&gt; dùng cho phụ nữ&gt; Bông tai&gt; Platinum")</f>
        <v>Đấu giá&gt; Accessories, Đồng hồ&gt; dùng cho phụ nữ&gt; Bông tai&gt; Platinum</v>
      </c>
      <c r="F287" t="str">
        <f t="shared" ca="1" si="4"/>
        <v>"2084005420" : "bạch kim",</v>
      </c>
    </row>
    <row r="288" spans="1:6" ht="15.75" customHeight="1">
      <c r="A288" s="28">
        <v>2084007985</v>
      </c>
      <c r="B288" s="28" t="s">
        <v>21063</v>
      </c>
      <c r="C288" s="28" t="s">
        <v>21266</v>
      </c>
      <c r="D288" s="4" t="str">
        <f ca="1">IFERROR(__xludf.DUMMYFUNCTION("GOOGLETRANSLATE(B288,""ja"",""vi"")"),"Hạt, thủy tinh")</f>
        <v>Hạt, thủy tinh</v>
      </c>
      <c r="E288" s="4" t="str">
        <f ca="1">IFERROR(__xludf.DUMMYFUNCTION("GOOGLETRANSLATE(C288,""ja"",""vi"")"),"Đấu giá&gt; Accessories, Đồng hồ&gt; nữ phụ kiện&gt; bông tai&gt; hạt, thủy tinh")</f>
        <v>Đấu giá&gt; Accessories, Đồng hồ&gt; nữ phụ kiện&gt; bông tai&gt; hạt, thủy tinh</v>
      </c>
      <c r="F288" t="str">
        <f t="shared" ca="1" si="4"/>
        <v>"2084007985" : "Hạt, thủy tinh",</v>
      </c>
    </row>
    <row r="289" spans="1:6" ht="15.75" customHeight="1">
      <c r="A289" s="28">
        <v>2084008006</v>
      </c>
      <c r="B289" s="28" t="s">
        <v>21069</v>
      </c>
      <c r="C289" s="28" t="s">
        <v>21269</v>
      </c>
      <c r="D289" s="4" t="str">
        <f ca="1">IFERROR(__xludf.DUMMYFUNCTION("GOOGLETRANSLATE(B289,""ja"",""vi"")"),"San hô, san hô")</f>
        <v>San hô, san hô</v>
      </c>
      <c r="E289" s="4" t="str">
        <f ca="1">IFERROR(__xludf.DUMMYFUNCTION("GOOGLETRANSLATE(C289,""ja"",""vi"")"),"Loading...")</f>
        <v>Loading...</v>
      </c>
      <c r="F289" t="str">
        <f t="shared" ca="1" si="4"/>
        <v>"2084008006" : "San hô, san hô",</v>
      </c>
    </row>
    <row r="290" spans="1:6" ht="15.75" customHeight="1">
      <c r="A290" s="28">
        <v>2084008002</v>
      </c>
      <c r="B290" s="28" t="s">
        <v>21066</v>
      </c>
      <c r="C290" s="28" t="s">
        <v>21272</v>
      </c>
      <c r="D290" s="4" t="str">
        <f ca="1">IFERROR(__xludf.DUMMYFUNCTION("GOOGLETRANSLATE(B290,""ja"",""vi"")"),"nâu")</f>
        <v>nâu</v>
      </c>
      <c r="E290" s="4" t="str">
        <f ca="1">IFERROR(__xludf.DUMMYFUNCTION("GOOGLETRANSLATE(C290,""ja"",""vi"")"),"Đấu giá&gt; Accessories, Đồng hồ&gt; dùng cho phụ nữ&gt; bông tai&gt; nâu")</f>
        <v>Đấu giá&gt; Accessories, Đồng hồ&gt; dùng cho phụ nữ&gt; bông tai&gt; nâu</v>
      </c>
      <c r="F290" t="str">
        <f t="shared" ca="1" si="4"/>
        <v>"2084008002" : "nâu",</v>
      </c>
    </row>
    <row r="291" spans="1:6" ht="15.75" customHeight="1">
      <c r="A291" s="28">
        <v>2084019046</v>
      </c>
      <c r="B291" s="28" t="s">
        <v>21077</v>
      </c>
      <c r="C291" s="28" t="s">
        <v>21274</v>
      </c>
      <c r="D291" s="4" t="str">
        <f ca="1">IFERROR(__xludf.DUMMYFUNCTION("GOOGLETRANSLATE(B291,""ja"",""vi"")"),"da")</f>
        <v>da</v>
      </c>
      <c r="E291" s="4" t="str">
        <f ca="1">IFERROR(__xludf.DUMMYFUNCTION("GOOGLETRANSLATE(C291,""ja"",""vi"")"),"Loading...")</f>
        <v>Loading...</v>
      </c>
      <c r="F291" t="str">
        <f t="shared" ca="1" si="4"/>
        <v>"2084019046" : "da",</v>
      </c>
    </row>
    <row r="292" spans="1:6" ht="15.75" customHeight="1">
      <c r="A292" s="28">
        <v>2084019045</v>
      </c>
      <c r="B292" s="28" t="s">
        <v>21081</v>
      </c>
      <c r="C292" s="28" t="s">
        <v>21276</v>
      </c>
      <c r="D292" s="4" t="str">
        <f ca="1">IFERROR(__xludf.DUMMYFUNCTION("GOOGLETRANSLATE(B292,""ja"",""vi"")"),"gỗ")</f>
        <v>gỗ</v>
      </c>
      <c r="E292" s="4" t="str">
        <f ca="1">IFERROR(__xludf.DUMMYFUNCTION("GOOGLETRANSLATE(C292,""ja"",""vi"")"),"Loading...")</f>
        <v>Loading...</v>
      </c>
      <c r="F292" t="str">
        <f t="shared" ca="1" si="4"/>
        <v>"2084019045" : "gỗ",</v>
      </c>
    </row>
    <row r="293" spans="1:6" ht="15.75" customHeight="1">
      <c r="A293" s="28">
        <v>2084062057</v>
      </c>
      <c r="B293" s="28" t="s">
        <v>21279</v>
      </c>
      <c r="C293" s="28" t="s">
        <v>21280</v>
      </c>
      <c r="D293" s="4" t="str">
        <f ca="1">IFERROR(__xludf.DUMMYFUNCTION("GOOGLETRANSLATE(B293,""ja"",""vi"")"),"catch")</f>
        <v>catch</v>
      </c>
      <c r="E293" s="4" t="str">
        <f ca="1">IFERROR(__xludf.DUMMYFUNCTION("GOOGLETRANSLATE(C293,""ja"",""vi"")"),"Loading...")</f>
        <v>Loading...</v>
      </c>
      <c r="F293" t="str">
        <f t="shared" ca="1" si="4"/>
        <v>"2084062057" : "catch",</v>
      </c>
    </row>
    <row r="294" spans="1:6" ht="15.75" customHeight="1">
      <c r="A294" s="28">
        <v>2084005423</v>
      </c>
      <c r="B294" s="28" t="s">
        <v>46</v>
      </c>
      <c r="C294" s="28" t="s">
        <v>21283</v>
      </c>
      <c r="D294" s="4" t="str">
        <f ca="1">IFERROR(__xludf.DUMMYFUNCTION("GOOGLETRANSLATE(B294,""ja"",""vi"")"),"nếu không thì")</f>
        <v>nếu không thì</v>
      </c>
      <c r="E294" s="4" t="str">
        <f ca="1">IFERROR(__xludf.DUMMYFUNCTION("GOOGLETRANSLATE(C294,""ja"",""vi"")"),"Đấu giá&gt; Accessories, Đồng hồ&gt; dùng cho phụ nữ&gt; Bông tai&gt; Khác")</f>
        <v>Đấu giá&gt; Accessories, Đồng hồ&gt; dùng cho phụ nữ&gt; Bông tai&gt; Khác</v>
      </c>
      <c r="F294" t="str">
        <f t="shared" ca="1" si="4"/>
        <v>"2084005423" : "nếu không thì",</v>
      </c>
    </row>
    <row r="295" spans="1:6" ht="15.75" customHeight="1">
      <c r="A295" s="28">
        <v>2084005414</v>
      </c>
      <c r="B295" s="28" t="s">
        <v>21039</v>
      </c>
      <c r="C295" s="28" t="s">
        <v>21286</v>
      </c>
      <c r="D295" s="4" t="str">
        <f ca="1">IFERROR(__xludf.DUMMYFUNCTION("GOOGLETRANSLATE(B295,""ja"",""vi"")"),"kim cương")</f>
        <v>kim cương</v>
      </c>
      <c r="E295" s="4" t="str">
        <f ca="1">IFERROR(__xludf.DUMMYFUNCTION("GOOGLETRANSLATE(C295,""ja"",""vi"")"),"Loading...")</f>
        <v>Loading...</v>
      </c>
      <c r="F295" t="str">
        <f t="shared" ca="1" si="4"/>
        <v>"2084005414" : "kim cương",</v>
      </c>
    </row>
    <row r="296" spans="1:6" ht="15.75" customHeight="1">
      <c r="A296" s="28">
        <v>2084005415</v>
      </c>
      <c r="B296" s="28" t="s">
        <v>21042</v>
      </c>
      <c r="C296" s="28" t="s">
        <v>21289</v>
      </c>
      <c r="D296" s="4" t="str">
        <f ca="1">IFERROR(__xludf.DUMMYFUNCTION("GOOGLETRANSLATE(B296,""ja"",""vi"")"),"ngọc trai")</f>
        <v>ngọc trai</v>
      </c>
      <c r="E296" s="4" t="str">
        <f ca="1">IFERROR(__xludf.DUMMYFUNCTION("GOOGLETRANSLATE(C296,""ja"",""vi"")"),"Đấu giá&gt; Accessories, Đồng hồ&gt; dùng cho phụ nữ&gt; Bông tai&gt; ngọc trai")</f>
        <v>Đấu giá&gt; Accessories, Đồng hồ&gt; dùng cho phụ nữ&gt; Bông tai&gt; ngọc trai</v>
      </c>
      <c r="F296" t="str">
        <f t="shared" ca="1" si="4"/>
        <v>"2084005415" : "ngọc trai",</v>
      </c>
    </row>
    <row r="297" spans="1:6" ht="15.75" customHeight="1">
      <c r="A297" s="28">
        <v>2084007978</v>
      </c>
      <c r="B297" s="28" t="s">
        <v>21046</v>
      </c>
      <c r="C297" s="28" t="s">
        <v>21291</v>
      </c>
      <c r="D297" s="4" t="str">
        <f ca="1">IFERROR(__xludf.DUMMYFUNCTION("GOOGLETRANSLATE(B297,""ja"",""vi"")"),"màu đá")</f>
        <v>màu đá</v>
      </c>
      <c r="E297" s="4" t="str">
        <f ca="1">IFERROR(__xludf.DUMMYFUNCTION("GOOGLETRANSLATE(C297,""ja"",""vi"")"),"Loading...")</f>
        <v>Loading...</v>
      </c>
      <c r="F297" t="str">
        <f t="shared" ca="1" si="4"/>
        <v>"2084007978" : "màu đá",</v>
      </c>
    </row>
    <row r="298" spans="1:6" ht="15.75" customHeight="1">
      <c r="A298" s="28">
        <v>2084008080</v>
      </c>
      <c r="B298" s="28" t="s">
        <v>21050</v>
      </c>
      <c r="C298" s="28" t="s">
        <v>21293</v>
      </c>
      <c r="D298" s="4" t="str">
        <f ca="1">IFERROR(__xludf.DUMMYFUNCTION("GOOGLETRANSLATE(B298,""ja"",""vi"")"),"đồ trang sức nhân tạo, rhinestone")</f>
        <v>đồ trang sức nhân tạo, rhinestone</v>
      </c>
      <c r="E298" s="4" t="str">
        <f ca="1">IFERROR(__xludf.DUMMYFUNCTION("GOOGLETRANSLATE(C298,""ja"",""vi"")"),"Đấu giá&gt; Accessories, Đồng hồ&gt; dùng cho phụ nữ&gt; bông tai&gt; đồ trang sức nhân tạo, rhinestone")</f>
        <v>Đấu giá&gt; Accessories, Đồng hồ&gt; dùng cho phụ nữ&gt; bông tai&gt; đồ trang sức nhân tạo, rhinestone</v>
      </c>
      <c r="F298" t="str">
        <f t="shared" ca="1" si="4"/>
        <v>"2084008080" : "đồ trang sức nhân tạo, rhinestone",</v>
      </c>
    </row>
    <row r="299" spans="1:6" ht="15.75" customHeight="1">
      <c r="A299" s="28">
        <v>2084005411</v>
      </c>
      <c r="B299" s="28" t="s">
        <v>21052</v>
      </c>
      <c r="C299" s="28" t="s">
        <v>21296</v>
      </c>
      <c r="D299" s="4" t="str">
        <f ca="1">IFERROR(__xludf.DUMMYFUNCTION("GOOGLETRANSLATE(B299,""ja"",""vi"")"),"vàng")</f>
        <v>vàng</v>
      </c>
      <c r="E299" s="4" t="str">
        <f ca="1">IFERROR(__xludf.DUMMYFUNCTION("GOOGLETRANSLATE(C299,""ja"",""vi"")"),"Đấu giá&gt; Accessories, Đồng hồ&gt; dùng cho phụ nữ&gt; Bông tai&gt; Vàng")</f>
        <v>Đấu giá&gt; Accessories, Đồng hồ&gt; dùng cho phụ nữ&gt; Bông tai&gt; Vàng</v>
      </c>
      <c r="F299" t="str">
        <f t="shared" ca="1" si="4"/>
        <v>"2084005411" : "vàng",</v>
      </c>
    </row>
    <row r="300" spans="1:6" ht="15.75" customHeight="1">
      <c r="A300" s="28">
        <v>2084005412</v>
      </c>
      <c r="B300" s="28" t="s">
        <v>21056</v>
      </c>
      <c r="C300" s="28" t="s">
        <v>21299</v>
      </c>
      <c r="D300" s="4" t="str">
        <f ca="1">IFERROR(__xludf.DUMMYFUNCTION("GOOGLETRANSLATE(B300,""ja"",""vi"")"),"bạc")</f>
        <v>bạc</v>
      </c>
      <c r="E300" s="4" t="str">
        <f ca="1">IFERROR(__xludf.DUMMYFUNCTION("GOOGLETRANSLATE(C300,""ja"",""vi"")"),"Đấu giá&gt; Accessories, Đồng hồ&gt; dùng cho phụ nữ&gt; Bông tai&gt; Bạc")</f>
        <v>Đấu giá&gt; Accessories, Đồng hồ&gt; dùng cho phụ nữ&gt; Bông tai&gt; Bạc</v>
      </c>
      <c r="F300" t="str">
        <f t="shared" ca="1" si="4"/>
        <v>"2084005412" : "bạc",</v>
      </c>
    </row>
    <row r="301" spans="1:6" ht="15.75" customHeight="1">
      <c r="A301" s="28">
        <v>2084005413</v>
      </c>
      <c r="B301" s="28" t="s">
        <v>7034</v>
      </c>
      <c r="C301" s="28" t="s">
        <v>21301</v>
      </c>
      <c r="D301" s="4" t="str">
        <f ca="1">IFERROR(__xludf.DUMMYFUNCTION("GOOGLETRANSLATE(B301,""ja"",""vi"")"),"bạch kim")</f>
        <v>bạch kim</v>
      </c>
      <c r="E301" s="4" t="str">
        <f ca="1">IFERROR(__xludf.DUMMYFUNCTION("GOOGLETRANSLATE(C301,""ja"",""vi"")"),"Loading...")</f>
        <v>Loading...</v>
      </c>
      <c r="F301" t="str">
        <f t="shared" ca="1" si="4"/>
        <v>"2084005413" : "bạch kim",</v>
      </c>
    </row>
    <row r="302" spans="1:6" ht="15.75" customHeight="1">
      <c r="A302" s="28">
        <v>2084008001</v>
      </c>
      <c r="B302" s="28" t="s">
        <v>21066</v>
      </c>
      <c r="C302" s="28" t="s">
        <v>21303</v>
      </c>
      <c r="D302" s="4" t="str">
        <f ca="1">IFERROR(__xludf.DUMMYFUNCTION("GOOGLETRANSLATE(B302,""ja"",""vi"")"),"nâu")</f>
        <v>nâu</v>
      </c>
      <c r="E302" s="4" t="str">
        <f ca="1">IFERROR(__xludf.DUMMYFUNCTION("GOOGLETRANSLATE(C302,""ja"",""vi"")"),"Loading...")</f>
        <v>Loading...</v>
      </c>
      <c r="F302" t="str">
        <f t="shared" ca="1" si="4"/>
        <v>"2084008001" : "nâu",</v>
      </c>
    </row>
    <row r="303" spans="1:6" ht="15.75" customHeight="1">
      <c r="A303" s="28">
        <v>2084008060</v>
      </c>
      <c r="B303" s="28" t="s">
        <v>21069</v>
      </c>
      <c r="C303" s="28" t="s">
        <v>21306</v>
      </c>
      <c r="D303" s="4" t="str">
        <f ca="1">IFERROR(__xludf.DUMMYFUNCTION("GOOGLETRANSLATE(B303,""ja"",""vi"")"),"San hô, san hô")</f>
        <v>San hô, san hô</v>
      </c>
      <c r="E303" s="4" t="str">
        <f ca="1">IFERROR(__xludf.DUMMYFUNCTION("GOOGLETRANSLATE(C303,""ja"",""vi"")"),"Loading...")</f>
        <v>Loading...</v>
      </c>
      <c r="F303" t="str">
        <f t="shared" ca="1" si="4"/>
        <v>"2084008060" : "San hô, san hô",</v>
      </c>
    </row>
    <row r="304" spans="1:6" ht="15.75" customHeight="1">
      <c r="A304" s="28">
        <v>2084007984</v>
      </c>
      <c r="B304" s="28" t="s">
        <v>21063</v>
      </c>
      <c r="C304" s="28" t="s">
        <v>21309</v>
      </c>
      <c r="D304" s="4" t="str">
        <f ca="1">IFERROR(__xludf.DUMMYFUNCTION("GOOGLETRANSLATE(B304,""ja"",""vi"")"),"Hạt, thủy tinh")</f>
        <v>Hạt, thủy tinh</v>
      </c>
      <c r="E304" s="4" t="str">
        <f ca="1">IFERROR(__xludf.DUMMYFUNCTION("GOOGLETRANSLATE(C304,""ja"",""vi"")"),"Đấu giá&gt; Accessories, Đồng hồ&gt; nữ phụ kiện&gt; bông tai&gt; hạt, thủy tinh")</f>
        <v>Đấu giá&gt; Accessories, Đồng hồ&gt; nữ phụ kiện&gt; bông tai&gt; hạt, thủy tinh</v>
      </c>
      <c r="F304" t="str">
        <f t="shared" ca="1" si="4"/>
        <v>"2084007984" : "Hạt, thủy tinh",</v>
      </c>
    </row>
    <row r="305" spans="1:6" ht="15.75" customHeight="1">
      <c r="A305" s="28">
        <v>2084019044</v>
      </c>
      <c r="B305" s="28" t="s">
        <v>21077</v>
      </c>
      <c r="C305" s="28" t="s">
        <v>21311</v>
      </c>
      <c r="D305" s="4" t="str">
        <f ca="1">IFERROR(__xludf.DUMMYFUNCTION("GOOGLETRANSLATE(B305,""ja"",""vi"")"),"da")</f>
        <v>da</v>
      </c>
      <c r="E305" s="4" t="str">
        <f ca="1">IFERROR(__xludf.DUMMYFUNCTION("GOOGLETRANSLATE(C305,""ja"",""vi"")"),"Loading...")</f>
        <v>Loading...</v>
      </c>
      <c r="F305" t="str">
        <f t="shared" ca="1" si="4"/>
        <v>"2084019044" : "da",</v>
      </c>
    </row>
    <row r="306" spans="1:6" ht="15.75" customHeight="1">
      <c r="A306" s="28">
        <v>2084019043</v>
      </c>
      <c r="B306" s="28" t="s">
        <v>21081</v>
      </c>
      <c r="C306" s="28" t="s">
        <v>21313</v>
      </c>
      <c r="D306" s="4" t="str">
        <f ca="1">IFERROR(__xludf.DUMMYFUNCTION("GOOGLETRANSLATE(B306,""ja"",""vi"")"),"gỗ")</f>
        <v>gỗ</v>
      </c>
      <c r="E306" s="4" t="str">
        <f ca="1">IFERROR(__xludf.DUMMYFUNCTION("GOOGLETRANSLATE(C306,""ja"",""vi"")"),"Đấu giá&gt; Accessories, Đồng hồ&gt; dùng cho phụ nữ&gt; Bông tai&gt; gỗ")</f>
        <v>Đấu giá&gt; Accessories, Đồng hồ&gt; dùng cho phụ nữ&gt; Bông tai&gt; gỗ</v>
      </c>
      <c r="F306" t="str">
        <f t="shared" ca="1" si="4"/>
        <v>"2084019043" : "gỗ",</v>
      </c>
    </row>
    <row r="307" spans="1:6" ht="15.75" customHeight="1">
      <c r="A307" s="28">
        <v>2084005416</v>
      </c>
      <c r="B307" s="28" t="s">
        <v>46</v>
      </c>
      <c r="C307" s="28" t="s">
        <v>21315</v>
      </c>
      <c r="D307" s="4" t="str">
        <f ca="1">IFERROR(__xludf.DUMMYFUNCTION("GOOGLETRANSLATE(B307,""ja"",""vi"")"),"nếu không thì")</f>
        <v>nếu không thì</v>
      </c>
      <c r="E307" s="4" t="str">
        <f ca="1">IFERROR(__xludf.DUMMYFUNCTION("GOOGLETRANSLATE(C307,""ja"",""vi"")"),"Loading...")</f>
        <v>Loading...</v>
      </c>
      <c r="F307" t="str">
        <f t="shared" ca="1" si="4"/>
        <v>"2084005416" : "nếu không thì",</v>
      </c>
    </row>
    <row r="308" spans="1:6" ht="15.75" customHeight="1">
      <c r="A308" s="28">
        <v>2084005367</v>
      </c>
      <c r="B308" s="28" t="s">
        <v>21316</v>
      </c>
      <c r="C308" s="28" t="s">
        <v>21317</v>
      </c>
      <c r="D308" s="4" t="str">
        <f ca="1">IFERROR(__xludf.DUMMYFUNCTION("GOOGLETRANSLATE(B308,""ja"",""vi"")"),"vòng tay")</f>
        <v>vòng tay</v>
      </c>
      <c r="E308" s="4" t="str">
        <f ca="1">IFERROR(__xludf.DUMMYFUNCTION("GOOGLETRANSLATE(C308,""ja"",""vi"")"),"Loading...")</f>
        <v>Loading...</v>
      </c>
      <c r="F308" t="str">
        <f t="shared" ca="1" si="4"/>
        <v>"2084005367" : "vòng tay",</v>
      </c>
    </row>
    <row r="309" spans="1:6" ht="15.75" customHeight="1">
      <c r="A309" s="28">
        <v>2084005366</v>
      </c>
      <c r="B309" s="28" t="s">
        <v>21319</v>
      </c>
      <c r="C309" s="28" t="s">
        <v>21320</v>
      </c>
      <c r="D309" s="4" t="str">
        <f ca="1">IFERROR(__xludf.DUMMYFUNCTION("GOOGLETRANSLATE(B309,""ja"",""vi"")"),"vòng tay")</f>
        <v>vòng tay</v>
      </c>
      <c r="E309" s="4" t="str">
        <f ca="1">IFERROR(__xludf.DUMMYFUNCTION("GOOGLETRANSLATE(C309,""ja"",""vi"")"),"Loading...")</f>
        <v>Loading...</v>
      </c>
      <c r="F309" t="str">
        <f t="shared" ca="1" si="4"/>
        <v>"2084005366" : "vòng tay",</v>
      </c>
    </row>
    <row r="310" spans="1:6" ht="15.75" customHeight="1">
      <c r="A310" s="28">
        <v>2084061234</v>
      </c>
      <c r="B310" s="28" t="s">
        <v>15017</v>
      </c>
      <c r="C310" s="28" t="s">
        <v>21322</v>
      </c>
      <c r="D310" s="4" t="str">
        <f ca="1">IFERROR(__xludf.DUMMYFUNCTION("GOOGLETRANSLATE(B310,""ja"",""vi"")"),"tràng hạt")</f>
        <v>tràng hạt</v>
      </c>
      <c r="E310" s="4" t="str">
        <f ca="1">IFERROR(__xludf.DUMMYFUNCTION("GOOGLETRANSLATE(C310,""ja"",""vi"")"),"Đấu giá&gt; Accessories, Đồng hồ&gt; dùng cho phụ nữ&gt; vòng đeo tay, vòng&gt; Mân Côi")</f>
        <v>Đấu giá&gt; Accessories, Đồng hồ&gt; dùng cho phụ nữ&gt; vòng đeo tay, vòng&gt; Mân Côi</v>
      </c>
      <c r="F310" t="str">
        <f t="shared" ca="1" si="4"/>
        <v>"2084061234" : "tràng hạt",</v>
      </c>
    </row>
    <row r="311" spans="1:6" ht="15.75" customHeight="1">
      <c r="A311" s="28">
        <v>2084005368</v>
      </c>
      <c r="B311" s="28" t="s">
        <v>46</v>
      </c>
      <c r="C311" s="28" t="s">
        <v>21324</v>
      </c>
      <c r="D311" s="4" t="str">
        <f ca="1">IFERROR(__xludf.DUMMYFUNCTION("GOOGLETRANSLATE(B311,""ja"",""vi"")"),"nếu không thì")</f>
        <v>nếu không thì</v>
      </c>
      <c r="E311" s="4" t="str">
        <f ca="1">IFERROR(__xludf.DUMMYFUNCTION("GOOGLETRANSLATE(C311,""ja"",""vi"")"),"Loading...")</f>
        <v>Loading...</v>
      </c>
      <c r="F311" t="str">
        <f t="shared" ca="1" si="4"/>
        <v>"2084005368" : "nếu không thì",</v>
      </c>
    </row>
    <row r="312" spans="1:6" ht="15.75" customHeight="1">
      <c r="A312" s="28">
        <v>2084062564</v>
      </c>
      <c r="B312" s="28" t="s">
        <v>21042</v>
      </c>
      <c r="C312" s="28" t="s">
        <v>21326</v>
      </c>
      <c r="D312" s="4" t="str">
        <f ca="1">IFERROR(__xludf.DUMMYFUNCTION("GOOGLETRANSLATE(B312,""ja"",""vi"")"),"ngọc trai")</f>
        <v>ngọc trai</v>
      </c>
      <c r="E312" s="4" t="str">
        <f ca="1">IFERROR(__xludf.DUMMYFUNCTION("GOOGLETRANSLATE(C312,""ja"",""vi"")"),"Đấu giá&gt; Accessories, Đồng hồ&gt; dùng cho phụ nữ&gt; vòng chân&gt; ngọc trai")</f>
        <v>Đấu giá&gt; Accessories, Đồng hồ&gt; dùng cho phụ nữ&gt; vòng chân&gt; ngọc trai</v>
      </c>
      <c r="F312" t="str">
        <f t="shared" ca="1" si="4"/>
        <v>"2084062564" : "ngọc trai",</v>
      </c>
    </row>
    <row r="313" spans="1:6" ht="15.75" customHeight="1">
      <c r="A313" s="28">
        <v>2084062554</v>
      </c>
      <c r="B313" s="28" t="s">
        <v>21046</v>
      </c>
      <c r="C313" s="28" t="s">
        <v>21327</v>
      </c>
      <c r="D313" s="4" t="str">
        <f ca="1">IFERROR(__xludf.DUMMYFUNCTION("GOOGLETRANSLATE(B313,""ja"",""vi"")"),"màu đá")</f>
        <v>màu đá</v>
      </c>
      <c r="E313" s="4" t="str">
        <f ca="1">IFERROR(__xludf.DUMMYFUNCTION("GOOGLETRANSLATE(C313,""ja"",""vi"")"),"Loading...")</f>
        <v>Loading...</v>
      </c>
      <c r="F313" t="str">
        <f t="shared" ca="1" si="4"/>
        <v>"2084062554" : "màu đá",</v>
      </c>
    </row>
    <row r="314" spans="1:6" ht="15.75" customHeight="1">
      <c r="A314" s="28">
        <v>2084062555</v>
      </c>
      <c r="B314" s="28" t="s">
        <v>21050</v>
      </c>
      <c r="C314" s="28" t="s">
        <v>21329</v>
      </c>
      <c r="D314" s="4" t="str">
        <f ca="1">IFERROR(__xludf.DUMMYFUNCTION("GOOGLETRANSLATE(B314,""ja"",""vi"")"),"đồ trang sức nhân tạo, rhinestone")</f>
        <v>đồ trang sức nhân tạo, rhinestone</v>
      </c>
      <c r="E314" s="4" t="str">
        <f ca="1">IFERROR(__xludf.DUMMYFUNCTION("GOOGLETRANSLATE(C314,""ja"",""vi"")"),"Đấu giá&gt; Accessories, Đồng hồ&gt; dùng cho phụ nữ&gt; vòng chân&gt; đồ trang sức nhân tạo, rhinestone")</f>
        <v>Đấu giá&gt; Accessories, Đồng hồ&gt; dùng cho phụ nữ&gt; vòng chân&gt; đồ trang sức nhân tạo, rhinestone</v>
      </c>
      <c r="F314" t="str">
        <f t="shared" ca="1" si="4"/>
        <v>"2084062555" : "đồ trang sức nhân tạo, rhinestone",</v>
      </c>
    </row>
    <row r="315" spans="1:6" ht="15.75" customHeight="1">
      <c r="A315" s="28">
        <v>2084062557</v>
      </c>
      <c r="B315" s="28" t="s">
        <v>21052</v>
      </c>
      <c r="C315" s="28" t="s">
        <v>21331</v>
      </c>
      <c r="D315" s="4" t="str">
        <f ca="1">IFERROR(__xludf.DUMMYFUNCTION("GOOGLETRANSLATE(B315,""ja"",""vi"")"),"vàng")</f>
        <v>vàng</v>
      </c>
      <c r="E315" s="4" t="str">
        <f ca="1">IFERROR(__xludf.DUMMYFUNCTION("GOOGLETRANSLATE(C315,""ja"",""vi"")"),"Loading...")</f>
        <v>Loading...</v>
      </c>
      <c r="F315" t="str">
        <f t="shared" ca="1" si="4"/>
        <v>"2084062557" : "vàng",</v>
      </c>
    </row>
    <row r="316" spans="1:6" ht="15.75" customHeight="1">
      <c r="A316" s="28">
        <v>2084062561</v>
      </c>
      <c r="B316" s="28" t="s">
        <v>21056</v>
      </c>
      <c r="C316" s="28" t="s">
        <v>21333</v>
      </c>
      <c r="D316" s="4" t="str">
        <f ca="1">IFERROR(__xludf.DUMMYFUNCTION("GOOGLETRANSLATE(B316,""ja"",""vi"")"),"bạc")</f>
        <v>bạc</v>
      </c>
      <c r="E316" s="4" t="str">
        <f ca="1">IFERROR(__xludf.DUMMYFUNCTION("GOOGLETRANSLATE(C316,""ja"",""vi"")"),"Đấu giá&gt; Accessories, Đồng hồ&gt; dùng cho phụ nữ&gt; vòng chân&gt; Bạc")</f>
        <v>Đấu giá&gt; Accessories, Đồng hồ&gt; dùng cho phụ nữ&gt; vòng chân&gt; Bạc</v>
      </c>
      <c r="F316" t="str">
        <f t="shared" ca="1" si="4"/>
        <v>"2084062561" : "bạc",</v>
      </c>
    </row>
    <row r="317" spans="1:6" ht="15.75" customHeight="1">
      <c r="A317" s="28">
        <v>2084062563</v>
      </c>
      <c r="B317" s="28" t="s">
        <v>7034</v>
      </c>
      <c r="C317" s="28" t="s">
        <v>21335</v>
      </c>
      <c r="D317" s="4" t="str">
        <f ca="1">IFERROR(__xludf.DUMMYFUNCTION("GOOGLETRANSLATE(B317,""ja"",""vi"")"),"bạch kim")</f>
        <v>bạch kim</v>
      </c>
      <c r="E317" s="4" t="str">
        <f ca="1">IFERROR(__xludf.DUMMYFUNCTION("GOOGLETRANSLATE(C317,""ja"",""vi"")"),"Đấu giá&gt; Accessories, Đồng hồ&gt; dùng cho phụ nữ&gt; vòng chân&gt; Platinum")</f>
        <v>Đấu giá&gt; Accessories, Đồng hồ&gt; dùng cho phụ nữ&gt; vòng chân&gt; Platinum</v>
      </c>
      <c r="F317" t="str">
        <f t="shared" ca="1" si="4"/>
        <v>"2084062563" : "bạch kim",</v>
      </c>
    </row>
    <row r="318" spans="1:6" ht="15.75" customHeight="1">
      <c r="A318" s="28">
        <v>2084062562</v>
      </c>
      <c r="B318" s="28" t="s">
        <v>21063</v>
      </c>
      <c r="C318" s="28" t="s">
        <v>21336</v>
      </c>
      <c r="D318" s="4" t="str">
        <f ca="1">IFERROR(__xludf.DUMMYFUNCTION("GOOGLETRANSLATE(B318,""ja"",""vi"")"),"Hạt, thủy tinh")</f>
        <v>Hạt, thủy tinh</v>
      </c>
      <c r="E318" s="4" t="str">
        <f ca="1">IFERROR(__xludf.DUMMYFUNCTION("GOOGLETRANSLATE(C318,""ja"",""vi"")"),"Loading...")</f>
        <v>Loading...</v>
      </c>
      <c r="F318" t="str">
        <f t="shared" ca="1" si="4"/>
        <v>"2084062562" : "Hạt, thủy tinh",</v>
      </c>
    </row>
    <row r="319" spans="1:6" ht="15.75" customHeight="1">
      <c r="A319" s="28">
        <v>2084062556</v>
      </c>
      <c r="B319" s="28" t="s">
        <v>21069</v>
      </c>
      <c r="C319" s="28" t="s">
        <v>21338</v>
      </c>
      <c r="D319" s="4" t="str">
        <f ca="1">IFERROR(__xludf.DUMMYFUNCTION("GOOGLETRANSLATE(B319,""ja"",""vi"")"),"San hô, san hô")</f>
        <v>San hô, san hô</v>
      </c>
      <c r="E319" s="4" t="str">
        <f ca="1">IFERROR(__xludf.DUMMYFUNCTION("GOOGLETRANSLATE(C319,""ja"",""vi"")"),"Loading...")</f>
        <v>Loading...</v>
      </c>
      <c r="F319" t="str">
        <f t="shared" ca="1" si="4"/>
        <v>"2084062556" : "San hô, san hô",</v>
      </c>
    </row>
    <row r="320" spans="1:6" ht="15.75" customHeight="1">
      <c r="A320" s="28">
        <v>2084062565</v>
      </c>
      <c r="B320" s="28" t="s">
        <v>21077</v>
      </c>
      <c r="C320" s="28" t="s">
        <v>21339</v>
      </c>
      <c r="D320" s="4" t="str">
        <f ca="1">IFERROR(__xludf.DUMMYFUNCTION("GOOGLETRANSLATE(B320,""ja"",""vi"")"),"da")</f>
        <v>da</v>
      </c>
      <c r="E320" s="4" t="str">
        <f ca="1">IFERROR(__xludf.DUMMYFUNCTION("GOOGLETRANSLATE(C320,""ja"",""vi"")"),"Loading...")</f>
        <v>Loading...</v>
      </c>
      <c r="F320" t="str">
        <f t="shared" ca="1" si="4"/>
        <v>"2084062565" : "da",</v>
      </c>
    </row>
    <row r="321" spans="1:6" ht="15.75" customHeight="1">
      <c r="A321" s="28">
        <v>2084062566</v>
      </c>
      <c r="B321" s="28" t="s">
        <v>46</v>
      </c>
      <c r="C321" s="28" t="s">
        <v>21341</v>
      </c>
      <c r="D321" s="4" t="str">
        <f ca="1">IFERROR(__xludf.DUMMYFUNCTION("GOOGLETRANSLATE(B321,""ja"",""vi"")"),"nếu không thì")</f>
        <v>nếu không thì</v>
      </c>
      <c r="E321" s="4" t="str">
        <f ca="1">IFERROR(__xludf.DUMMYFUNCTION("GOOGLETRANSLATE(C321,""ja"",""vi"")"),"Đấu giá&gt; Accessories, Đồng hồ&gt; dùng cho phụ nữ&gt; vòng chân&gt; Khác")</f>
        <v>Đấu giá&gt; Accessories, Đồng hồ&gt; dùng cho phụ nữ&gt; vòng chân&gt; Khác</v>
      </c>
      <c r="F321" t="str">
        <f t="shared" ca="1" si="4"/>
        <v>"2084062566" : "nếu không thì",</v>
      </c>
    </row>
    <row r="322" spans="1:6" ht="15.75" customHeight="1">
      <c r="A322" s="18">
        <v>2084049301</v>
      </c>
      <c r="B322" s="18" t="s">
        <v>21343</v>
      </c>
      <c r="C322" s="18" t="s">
        <v>21344</v>
      </c>
      <c r="D322" s="4" t="str">
        <f ca="1">IFERROR(__xludf.DUMMYFUNCTION("GOOGLETRANSLATE(B322,""ja"",""vi"")"),"ngọc thạch màu lục")</f>
        <v>ngọc thạch màu lục</v>
      </c>
      <c r="E322" s="4" t="str">
        <f ca="1">IFERROR(__xludf.DUMMYFUNCTION("GOOGLETRANSLATE(C322,""ja"",""vi"")"),"Loading...")</f>
        <v>Loading...</v>
      </c>
      <c r="F322" t="str">
        <f t="shared" ca="1" si="4"/>
        <v>"2084049301" : "ngọc thạch màu lục",</v>
      </c>
    </row>
    <row r="323" spans="1:6" ht="15.75" customHeight="1">
      <c r="A323" s="18">
        <v>2084049302</v>
      </c>
      <c r="B323" s="18" t="s">
        <v>21345</v>
      </c>
      <c r="C323" s="18" t="s">
        <v>21347</v>
      </c>
      <c r="D323" s="4" t="str">
        <f ca="1">IFERROR(__xludf.DUMMYFUNCTION("GOOGLETRANSLATE(B323,""ja"",""vi"")"),"loại đá a pa tít")</f>
        <v>loại đá a pa tít</v>
      </c>
      <c r="E323" s="4" t="str">
        <f ca="1">IFERROR(__xludf.DUMMYFUNCTION("GOOGLETRANSLATE(C323,""ja"",""vi"")"),"Đấu giá&gt; Accessories, Đồng hồ&gt; dùng cho phụ nữ&gt; đá trần truồng, Ruth&gt; apatit")</f>
        <v>Đấu giá&gt; Accessories, Đồng hồ&gt; dùng cho phụ nữ&gt; đá trần truồng, Ruth&gt; apatit</v>
      </c>
      <c r="F323" t="str">
        <f t="shared" ref="F323:F386" ca="1" si="5">CONCATENATE(CHAR(34)&amp;"",A323,""&amp;CHAR(34)," : ", CHAR(34)&amp;"",D323,""&amp;CHAR(34),",")</f>
        <v>"2084049302" : "loại đá a pa tít",</v>
      </c>
    </row>
    <row r="324" spans="1:6" ht="15.75" customHeight="1">
      <c r="A324" s="18">
        <v>2084049303</v>
      </c>
      <c r="B324" s="18" t="s">
        <v>21348</v>
      </c>
      <c r="C324" s="18" t="s">
        <v>21349</v>
      </c>
      <c r="D324" s="4" t="str">
        <f ca="1">IFERROR(__xludf.DUMMYFUNCTION("GOOGLETRANSLATE(B324,""ja"",""vi"")"),"thạch anh tím")</f>
        <v>thạch anh tím</v>
      </c>
      <c r="E324" s="4" t="str">
        <f ca="1">IFERROR(__xludf.DUMMYFUNCTION("GOOGLETRANSLATE(C324,""ja"",""vi"")"),"Đấu giá&gt; Accessories, Đồng hồ&gt; dùng cho phụ nữ&gt; đá trần truồng, lỏng lẻo&gt; thạch anh tím")</f>
        <v>Đấu giá&gt; Accessories, Đồng hồ&gt; dùng cho phụ nữ&gt; đá trần truồng, lỏng lẻo&gt; thạch anh tím</v>
      </c>
      <c r="F324" t="str">
        <f t="shared" ca="1" si="5"/>
        <v>"2084049303" : "thạch anh tím",</v>
      </c>
    </row>
    <row r="325" spans="1:6" ht="15.75" customHeight="1">
      <c r="A325" s="18">
        <v>2084049304</v>
      </c>
      <c r="B325" s="18" t="s">
        <v>21351</v>
      </c>
      <c r="C325" s="18" t="s">
        <v>21352</v>
      </c>
      <c r="D325" s="4" t="str">
        <f ca="1">IFERROR(__xludf.DUMMYFUNCTION("GOOGLETRANSLATE(B325,""ja"",""vi"")"),"Alexandrite")</f>
        <v>Alexandrite</v>
      </c>
      <c r="E325" s="4" t="str">
        <f ca="1">IFERROR(__xludf.DUMMYFUNCTION("GOOGLETRANSLATE(C325,""ja"",""vi"")"),"Đấu giá&gt; Accessories, Đồng hồ&gt; dùng cho phụ nữ&gt; đá trần truồng, Ruth&gt; alexandrit")</f>
        <v>Đấu giá&gt; Accessories, Đồng hồ&gt; dùng cho phụ nữ&gt; đá trần truồng, Ruth&gt; alexandrit</v>
      </c>
      <c r="F325" t="str">
        <f t="shared" ca="1" si="5"/>
        <v>"2084049304" : "Alexandrite",</v>
      </c>
    </row>
    <row r="326" spans="1:6" ht="15.75" customHeight="1">
      <c r="A326" s="18">
        <v>2084049305</v>
      </c>
      <c r="B326" s="18" t="s">
        <v>21354</v>
      </c>
      <c r="C326" s="18" t="s">
        <v>21355</v>
      </c>
      <c r="D326" s="4" t="str">
        <f ca="1">IFERROR(__xludf.DUMMYFUNCTION("GOOGLETRANSLATE(B326,""ja"",""vi"")"),"Amber, hổ phách")</f>
        <v>Amber, hổ phách</v>
      </c>
      <c r="E326" s="4" t="str">
        <f ca="1">IFERROR(__xludf.DUMMYFUNCTION("GOOGLETRANSLATE(C326,""ja"",""vi"")"),"Loading...")</f>
        <v>Loading...</v>
      </c>
      <c r="F326" t="str">
        <f t="shared" ca="1" si="5"/>
        <v>"2084049305" : "Amber, hổ phách",</v>
      </c>
    </row>
    <row r="327" spans="1:6" ht="15.75" customHeight="1">
      <c r="A327" s="18">
        <v>2084049306</v>
      </c>
      <c r="B327" s="18" t="s">
        <v>21357</v>
      </c>
      <c r="C327" s="18" t="s">
        <v>21358</v>
      </c>
      <c r="D327" s="4" t="str">
        <f ca="1">IFERROR(__xludf.DUMMYFUNCTION("GOOGLETRANSLATE(B327,""ja"",""vi"")"),"ngọc lục bảo")</f>
        <v>ngọc lục bảo</v>
      </c>
      <c r="E327" s="4" t="str">
        <f ca="1">IFERROR(__xludf.DUMMYFUNCTION("GOOGLETRANSLATE(C327,""ja"",""vi"")"),"Đấu giá&gt; Accessories, Đồng hồ&gt; dùng cho phụ nữ&gt; đá trần truồng, Ruth&gt; Emerald")</f>
        <v>Đấu giá&gt; Accessories, Đồng hồ&gt; dùng cho phụ nữ&gt; đá trần truồng, Ruth&gt; Emerald</v>
      </c>
      <c r="F327" t="str">
        <f t="shared" ca="1" si="5"/>
        <v>"2084049306" : "ngọc lục bảo",</v>
      </c>
    </row>
    <row r="328" spans="1:6" ht="15.75" customHeight="1">
      <c r="A328" s="18">
        <v>2084052375</v>
      </c>
      <c r="B328" s="18" t="s">
        <v>21359</v>
      </c>
      <c r="C328" s="18" t="s">
        <v>21361</v>
      </c>
      <c r="D328" s="4" t="str">
        <f ca="1">IFERROR(__xludf.DUMMYFUNCTION("GOOGLETRANSLATE(B328,""ja"",""vi"")"),"mã não có vân")</f>
        <v>mã não có vân</v>
      </c>
      <c r="E328" s="4" t="str">
        <f ca="1">IFERROR(__xludf.DUMMYFUNCTION("GOOGLETRANSLATE(C328,""ja"",""vi"")"),"Đấu giá&gt; Accessories, Đồng hồ&gt; dùng cho phụ nữ&gt; đá trần truồng, lỏng lẻo&gt; onyx")</f>
        <v>Đấu giá&gt; Accessories, Đồng hồ&gt; dùng cho phụ nữ&gt; đá trần truồng, lỏng lẻo&gt; onyx</v>
      </c>
      <c r="F328" t="str">
        <f t="shared" ca="1" si="5"/>
        <v>"2084052375" : "mã não có vân",</v>
      </c>
    </row>
    <row r="329" spans="1:6" ht="15.75" customHeight="1">
      <c r="A329" s="18">
        <v>2084049307</v>
      </c>
      <c r="B329" s="18" t="s">
        <v>21362</v>
      </c>
      <c r="C329" s="18" t="s">
        <v>21363</v>
      </c>
      <c r="D329" s="4" t="str">
        <f ca="1">IFERROR(__xludf.DUMMYFUNCTION("GOOGLETRANSLATE(B329,""ja"",""vi"")"),"ngọc mắt mèo")</f>
        <v>ngọc mắt mèo</v>
      </c>
      <c r="E329" s="4" t="str">
        <f ca="1">IFERROR(__xludf.DUMMYFUNCTION("GOOGLETRANSLATE(C329,""ja"",""vi"")"),"Loading...")</f>
        <v>Loading...</v>
      </c>
      <c r="F329" t="str">
        <f t="shared" ca="1" si="5"/>
        <v>"2084049307" : "ngọc mắt mèo",</v>
      </c>
    </row>
    <row r="330" spans="1:6" ht="15.75" customHeight="1">
      <c r="A330" s="18">
        <v>2084049308</v>
      </c>
      <c r="B330" s="18" t="s">
        <v>21365</v>
      </c>
      <c r="C330" s="18" t="s">
        <v>21366</v>
      </c>
      <c r="D330" s="4" t="str">
        <f ca="1">IFERROR(__xludf.DUMMYFUNCTION("GOOGLETRANSLATE(B330,""ja"",""vi"")"),"cái róc rách")</f>
        <v>cái róc rách</v>
      </c>
      <c r="E330" s="4" t="str">
        <f ca="1">IFERROR(__xludf.DUMMYFUNCTION("GOOGLETRANSLATE(C330,""ja"",""vi"")"),"Đấu giá&gt; Accessories, Đồng hồ&gt; dùng cho phụ nữ&gt; đá trần truồng, Ruth&gt; garnet")</f>
        <v>Đấu giá&gt; Accessories, Đồng hồ&gt; dùng cho phụ nữ&gt; đá trần truồng, Ruth&gt; garnet</v>
      </c>
      <c r="F330" t="str">
        <f t="shared" ca="1" si="5"/>
        <v>"2084049308" : "cái róc rách",</v>
      </c>
    </row>
    <row r="331" spans="1:6" ht="15.75" customHeight="1">
      <c r="A331" s="18">
        <v>2084049309</v>
      </c>
      <c r="B331" s="18" t="s">
        <v>21368</v>
      </c>
      <c r="C331" s="18" t="s">
        <v>21369</v>
      </c>
      <c r="D331" s="4" t="str">
        <f ca="1">IFERROR(__xludf.DUMMYFUNCTION("GOOGLETRANSLATE(B331,""ja"",""vi"")"),"Cat's mắt, cat's mắt")</f>
        <v>Cat's mắt, cat's mắt</v>
      </c>
      <c r="E331" s="4" t="str">
        <f ca="1">IFERROR(__xludf.DUMMYFUNCTION("GOOGLETRANSLATE(C331,""ja"",""vi"")"),"Loading...")</f>
        <v>Loading...</v>
      </c>
      <c r="F331" t="str">
        <f t="shared" ca="1" si="5"/>
        <v>"2084049309" : "Cat's mắt, cat's mắt",</v>
      </c>
    </row>
    <row r="332" spans="1:6" ht="15.75" customHeight="1">
      <c r="A332" s="18">
        <v>2084052762</v>
      </c>
      <c r="B332" s="18" t="s">
        <v>21370</v>
      </c>
      <c r="C332" s="18" t="s">
        <v>21371</v>
      </c>
      <c r="D332" s="4" t="str">
        <f ca="1">IFERROR(__xludf.DUMMYFUNCTION("GOOGLETRANSLATE(B332,""ja"",""vi"")"),"Cubic zirconia")</f>
        <v>Cubic zirconia</v>
      </c>
      <c r="E332" s="4" t="str">
        <f ca="1">IFERROR(__xludf.DUMMYFUNCTION("GOOGLETRANSLATE(C332,""ja"",""vi"")"),"Đấu giá&gt; Accessories, Đồng hồ&gt; dùng cho phụ nữ&gt; đá trần truồng, Ruth&gt; khối zirconia")</f>
        <v>Đấu giá&gt; Accessories, Đồng hồ&gt; dùng cho phụ nữ&gt; đá trần truồng, Ruth&gt; khối zirconia</v>
      </c>
      <c r="F332" t="str">
        <f t="shared" ca="1" si="5"/>
        <v>"2084052762" : "Cubic zirconia",</v>
      </c>
    </row>
    <row r="333" spans="1:6" ht="15.75" customHeight="1">
      <c r="A333" s="18">
        <v>2084049310</v>
      </c>
      <c r="B333" s="18" t="s">
        <v>21373</v>
      </c>
      <c r="C333" s="18" t="s">
        <v>21374</v>
      </c>
      <c r="D333" s="4" t="str">
        <f ca="1">IFERROR(__xludf.DUMMYFUNCTION("GOOGLETRANSLATE(B333,""ja"",""vi"")"),"Pha lê, pha lê")</f>
        <v>Pha lê, pha lê</v>
      </c>
      <c r="E333" s="4" t="str">
        <f ca="1">IFERROR(__xludf.DUMMYFUNCTION("GOOGLETRANSLATE(C333,""ja"",""vi"")"),"Đấu giá&gt; Accessories, Đồng hồ&gt; dùng cho phụ nữ&gt; đá trần truồng, Ruth&gt; pha lê, pha lê")</f>
        <v>Đấu giá&gt; Accessories, Đồng hồ&gt; dùng cho phụ nữ&gt; đá trần truồng, Ruth&gt; pha lê, pha lê</v>
      </c>
      <c r="F333" t="str">
        <f t="shared" ca="1" si="5"/>
        <v>"2084049310" : "Pha lê, pha lê",</v>
      </c>
    </row>
    <row r="334" spans="1:6" ht="15.75" customHeight="1">
      <c r="A334" s="18">
        <v>2084049311</v>
      </c>
      <c r="B334" s="18" t="s">
        <v>21376</v>
      </c>
      <c r="C334" s="18" t="s">
        <v>21377</v>
      </c>
      <c r="D334" s="4" t="str">
        <f ca="1">IFERROR(__xludf.DUMMYFUNCTION("GOOGLETRANSLATE(B334,""ja"",""vi"")"),"mã nảo có vân")</f>
        <v>mã nảo có vân</v>
      </c>
      <c r="E334" s="4" t="str">
        <f ca="1">IFERROR(__xludf.DUMMYFUNCTION("GOOGLETRANSLATE(C334,""ja"",""vi"")"),"Loading...")</f>
        <v>Loading...</v>
      </c>
      <c r="F334" t="str">
        <f t="shared" ca="1" si="5"/>
        <v>"2084049311" : "mã nảo có vân",</v>
      </c>
    </row>
    <row r="335" spans="1:6" ht="15.75" customHeight="1">
      <c r="A335" s="18">
        <v>2084049312</v>
      </c>
      <c r="B335" s="18" t="s">
        <v>21379</v>
      </c>
      <c r="C335" s="18" t="s">
        <v>21380</v>
      </c>
      <c r="D335" s="4" t="str">
        <f ca="1">IFERROR(__xludf.DUMMYFUNCTION("GOOGLETRANSLATE(B335,""ja"",""vi"")"),"xa phia")</f>
        <v>xa phia</v>
      </c>
      <c r="E335" s="4" t="str">
        <f ca="1">IFERROR(__xludf.DUMMYFUNCTION("GOOGLETRANSLATE(C335,""ja"",""vi"")"),"Loading...")</f>
        <v>Loading...</v>
      </c>
      <c r="F335" t="str">
        <f t="shared" ca="1" si="5"/>
        <v>"2084049312" : "xa phia",</v>
      </c>
    </row>
    <row r="336" spans="1:6" ht="15.75" customHeight="1">
      <c r="A336" s="18">
        <v>2084050465</v>
      </c>
      <c r="B336" s="18" t="s">
        <v>21382</v>
      </c>
      <c r="C336" s="18" t="s">
        <v>21383</v>
      </c>
      <c r="D336" s="4" t="str">
        <f ca="1">IFERROR(__xludf.DUMMYFUNCTION("GOOGLETRANSLATE(B336,""ja"",""vi"")"),"màu vỏ chanh")</f>
        <v>màu vỏ chanh</v>
      </c>
      <c r="E336" s="4" t="str">
        <f ca="1">IFERROR(__xludf.DUMMYFUNCTION("GOOGLETRANSLATE(C336,""ja"",""vi"")"),"Đấu giá&gt; Accessories, Đồng hồ&gt; dùng cho phụ nữ&gt; đá trần truồng, Ruth&gt; Citrine")</f>
        <v>Đấu giá&gt; Accessories, Đồng hồ&gt; dùng cho phụ nữ&gt; đá trần truồng, Ruth&gt; Citrine</v>
      </c>
      <c r="F336" t="str">
        <f t="shared" ca="1" si="5"/>
        <v>"2084050465" : "màu vỏ chanh",</v>
      </c>
    </row>
    <row r="337" spans="1:6" ht="15.75" customHeight="1">
      <c r="A337" s="18">
        <v>2084052376</v>
      </c>
      <c r="B337" s="18" t="s">
        <v>21384</v>
      </c>
      <c r="C337" s="18" t="s">
        <v>21385</v>
      </c>
      <c r="D337" s="4" t="str">
        <f ca="1">IFERROR(__xludf.DUMMYFUNCTION("GOOGLETRANSLATE(B337,""ja"",""vi"")"),"đá phong tỉn")</f>
        <v>đá phong tỉn</v>
      </c>
      <c r="E337" s="4" t="str">
        <f ca="1">IFERROR(__xludf.DUMMYFUNCTION("GOOGLETRANSLATE(C337,""ja"",""vi"")"),"Đấu giá&gt; Accessories, Đồng hồ&gt; dùng cho phụ nữ&gt; đá trần truồng, Ruth&gt; zircon")</f>
        <v>Đấu giá&gt; Accessories, Đồng hồ&gt; dùng cho phụ nữ&gt; đá trần truồng, Ruth&gt; zircon</v>
      </c>
      <c r="F337" t="str">
        <f t="shared" ca="1" si="5"/>
        <v>"2084052376" : "đá phong tỉn",</v>
      </c>
    </row>
    <row r="338" spans="1:6" ht="15.75" customHeight="1">
      <c r="A338" s="18">
        <v>2084050466</v>
      </c>
      <c r="B338" s="18" t="s">
        <v>21387</v>
      </c>
      <c r="C338" s="18" t="s">
        <v>21388</v>
      </c>
      <c r="D338" s="4" t="str">
        <f ca="1">IFERROR(__xludf.DUMMYFUNCTION("GOOGLETRANSLATE(B338,""ja"",""vi"")"),"thứ ngọc hồng bảo")</f>
        <v>thứ ngọc hồng bảo</v>
      </c>
      <c r="E338" s="4" t="str">
        <f ca="1">IFERROR(__xludf.DUMMYFUNCTION("GOOGLETRANSLATE(C338,""ja"",""vi"")"),"Đấu giá&gt; Accessories, Đồng hồ&gt; dùng cho phụ nữ&gt; đá trần truồng, Ruth&gt; spinen")</f>
        <v>Đấu giá&gt; Accessories, Đồng hồ&gt; dùng cho phụ nữ&gt; đá trần truồng, Ruth&gt; spinen</v>
      </c>
      <c r="F338" t="str">
        <f t="shared" ca="1" si="5"/>
        <v>"2084050466" : "thứ ngọc hồng bảo",</v>
      </c>
    </row>
    <row r="339" spans="1:6" ht="15.75" customHeight="1">
      <c r="A339" s="18">
        <v>2084049313</v>
      </c>
      <c r="B339" s="18" t="s">
        <v>21390</v>
      </c>
      <c r="C339" s="18" t="s">
        <v>21391</v>
      </c>
      <c r="D339" s="4" t="str">
        <f ca="1">IFERROR(__xludf.DUMMYFUNCTION("GOOGLETRANSLATE(B339,""ja"",""vi"")"),"Tanzanite")</f>
        <v>Tanzanite</v>
      </c>
      <c r="E339" s="4" t="str">
        <f ca="1">IFERROR(__xludf.DUMMYFUNCTION("GOOGLETRANSLATE(C339,""ja"",""vi"")"),"Đấu giá&gt; Accessories, Đồng hồ&gt; dùng cho phụ nữ&gt; đá trần truồng, lỏng lẻo&gt; tanzanite")</f>
        <v>Đấu giá&gt; Accessories, Đồng hồ&gt; dùng cho phụ nữ&gt; đá trần truồng, lỏng lẻo&gt; tanzanite</v>
      </c>
      <c r="F339" t="str">
        <f t="shared" ca="1" si="5"/>
        <v>"2084049313" : "Tanzanite",</v>
      </c>
    </row>
    <row r="340" spans="1:6" ht="15.75" customHeight="1">
      <c r="A340" s="18">
        <v>2084049300</v>
      </c>
      <c r="B340" s="18" t="s">
        <v>21039</v>
      </c>
      <c r="C340" s="18" t="s">
        <v>21394</v>
      </c>
      <c r="D340" s="4" t="str">
        <f ca="1">IFERROR(__xludf.DUMMYFUNCTION("GOOGLETRANSLATE(B340,""ja"",""vi"")"),"kim cương")</f>
        <v>kim cương</v>
      </c>
      <c r="E340" s="4" t="str">
        <f ca="1">IFERROR(__xludf.DUMMYFUNCTION("GOOGLETRANSLATE(C340,""ja"",""vi"")"),"Loading...")</f>
        <v>Loading...</v>
      </c>
      <c r="F340" t="str">
        <f t="shared" ca="1" si="5"/>
        <v>"2084049300" : "kim cương",</v>
      </c>
    </row>
    <row r="341" spans="1:6" ht="15.75" customHeight="1">
      <c r="A341" s="18">
        <v>2084049314</v>
      </c>
      <c r="B341" s="18" t="s">
        <v>21395</v>
      </c>
      <c r="C341" s="18" t="s">
        <v>21396</v>
      </c>
      <c r="D341" s="4" t="str">
        <f ca="1">IFERROR(__xludf.DUMMYFUNCTION("GOOGLETRANSLATE(B341,""ja"",""vi"")"),"hoàng ngọc")</f>
        <v>hoàng ngọc</v>
      </c>
      <c r="E341" s="4" t="str">
        <f ca="1">IFERROR(__xludf.DUMMYFUNCTION("GOOGLETRANSLATE(C341,""ja"",""vi"")"),"Đấu giá&gt; Accessories, Đồng hồ&gt; dùng cho phụ nữ&gt; đá trần truồng, Ruth&gt; topaz")</f>
        <v>Đấu giá&gt; Accessories, Đồng hồ&gt; dùng cho phụ nữ&gt; đá trần truồng, Ruth&gt; topaz</v>
      </c>
      <c r="F341" t="str">
        <f t="shared" ca="1" si="5"/>
        <v>"2084049314" : "hoàng ngọc",</v>
      </c>
    </row>
    <row r="342" spans="1:6" ht="15.75" customHeight="1">
      <c r="A342" s="18">
        <v>2084049315</v>
      </c>
      <c r="B342" s="18" t="s">
        <v>21398</v>
      </c>
      <c r="C342" s="18" t="s">
        <v>21399</v>
      </c>
      <c r="D342" s="4" t="str">
        <f ca="1">IFERROR(__xludf.DUMMYFUNCTION("GOOGLETRANSLATE(B342,""ja"",""vi"")"),"ngọc lam")</f>
        <v>ngọc lam</v>
      </c>
      <c r="E342" s="4" t="str">
        <f ca="1">IFERROR(__xludf.DUMMYFUNCTION("GOOGLETRANSLATE(C342,""ja"",""vi"")"),"Đấu giá&gt; Accessories, Đồng hồ&gt; dùng cho phụ nữ&gt; đá trần truồng, Ruth&gt; màu ngọc lam")</f>
        <v>Đấu giá&gt; Accessories, Đồng hồ&gt; dùng cho phụ nữ&gt; đá trần truồng, Ruth&gt; màu ngọc lam</v>
      </c>
      <c r="F342" t="str">
        <f t="shared" ca="1" si="5"/>
        <v>"2084049315" : "ngọc lam",</v>
      </c>
    </row>
    <row r="343" spans="1:6" ht="15.75" customHeight="1">
      <c r="A343" s="18">
        <v>2084049316</v>
      </c>
      <c r="B343" s="18" t="s">
        <v>21401</v>
      </c>
      <c r="C343" s="18" t="s">
        <v>21402</v>
      </c>
      <c r="D343" s="4" t="str">
        <f ca="1">IFERROR(__xludf.DUMMYFUNCTION("GOOGLETRANSLATE(B343,""ja"",""vi"")"),"đá nhiệt điện")</f>
        <v>đá nhiệt điện</v>
      </c>
      <c r="E343" s="4" t="str">
        <f ca="1">IFERROR(__xludf.DUMMYFUNCTION("GOOGLETRANSLATE(C343,""ja"",""vi"")"),"Loading...")</f>
        <v>Loading...</v>
      </c>
      <c r="F343" t="str">
        <f t="shared" ca="1" si="5"/>
        <v>"2084049316" : "đá nhiệt điện",</v>
      </c>
    </row>
    <row r="344" spans="1:6" ht="15.75" customHeight="1">
      <c r="A344" s="18">
        <v>2084049317</v>
      </c>
      <c r="B344" s="18" t="s">
        <v>21403</v>
      </c>
      <c r="C344" s="18" t="s">
        <v>21405</v>
      </c>
      <c r="D344" s="4" t="str">
        <f ca="1">IFERROR(__xludf.DUMMYFUNCTION("GOOGLETRANSLATE(B344,""ja"",""vi"")"),"ngọc bích")</f>
        <v>ngọc bích</v>
      </c>
      <c r="E344" s="4" t="str">
        <f ca="1">IFERROR(__xludf.DUMMYFUNCTION("GOOGLETRANSLATE(C344,""ja"",""vi"")"),"Loading...")</f>
        <v>Loading...</v>
      </c>
      <c r="F344" t="str">
        <f t="shared" ca="1" si="5"/>
        <v>"2084049317" : "ngọc bích",</v>
      </c>
    </row>
    <row r="345" spans="1:6" ht="15.75" customHeight="1">
      <c r="A345" s="18">
        <v>2084049318</v>
      </c>
      <c r="B345" s="18" t="s">
        <v>21406</v>
      </c>
      <c r="C345" s="18" t="s">
        <v>21407</v>
      </c>
      <c r="D345" s="4" t="str">
        <f ca="1">IFERROR(__xludf.DUMMYFUNCTION("GOOGLETRANSLATE(B345,""ja"",""vi"")"),"đá ngọc thạch vàng lục")</f>
        <v>đá ngọc thạch vàng lục</v>
      </c>
      <c r="E345" s="4" t="str">
        <f ca="1">IFERROR(__xludf.DUMMYFUNCTION("GOOGLETRANSLATE(C345,""ja"",""vi"")"),"Loading...")</f>
        <v>Loading...</v>
      </c>
      <c r="F345" t="str">
        <f t="shared" ca="1" si="5"/>
        <v>"2084049318" : "đá ngọc thạch vàng lục",</v>
      </c>
    </row>
    <row r="346" spans="1:6" ht="15.75" customHeight="1">
      <c r="A346" s="18">
        <v>2084049319</v>
      </c>
      <c r="B346" s="18" t="s">
        <v>12557</v>
      </c>
      <c r="C346" s="18" t="s">
        <v>21409</v>
      </c>
      <c r="D346" s="4" t="str">
        <f ca="1">IFERROR(__xludf.DUMMYFUNCTION("GOOGLETRANSLATE(B346,""ja"",""vi"")"),"Moonstone")</f>
        <v>Moonstone</v>
      </c>
      <c r="E346" s="4" t="str">
        <f ca="1">IFERROR(__xludf.DUMMYFUNCTION("GOOGLETRANSLATE(C346,""ja"",""vi"")"),"Loading...")</f>
        <v>Loading...</v>
      </c>
      <c r="F346" t="str">
        <f t="shared" ca="1" si="5"/>
        <v>"2084049319" : "Moonstone",</v>
      </c>
    </row>
    <row r="347" spans="1:6" ht="15.75" customHeight="1">
      <c r="A347" s="18">
        <v>2084049320</v>
      </c>
      <c r="B347" s="18" t="s">
        <v>21411</v>
      </c>
      <c r="C347" s="18" t="s">
        <v>21412</v>
      </c>
      <c r="D347" s="4" t="str">
        <f ca="1">IFERROR(__xludf.DUMMYFUNCTION("GOOGLETRANSLATE(B347,""ja"",""vi"")"),"Lapis lazuli, lapis lazuli")</f>
        <v>Lapis lazuli, lapis lazuli</v>
      </c>
      <c r="E347" s="4" t="str">
        <f ca="1">IFERROR(__xludf.DUMMYFUNCTION("GOOGLETRANSLATE(C347,""ja"",""vi"")"),"Đấu giá&gt; Accessories, Đồng hồ&gt; dùng cho phụ nữ&gt; đá trần truồng, Ruth&gt; lapis lazuli, lapis lazuli")</f>
        <v>Đấu giá&gt; Accessories, Đồng hồ&gt; dùng cho phụ nữ&gt; đá trần truồng, Ruth&gt; lapis lazuli, lapis lazuli</v>
      </c>
      <c r="F347" t="str">
        <f t="shared" ca="1" si="5"/>
        <v>"2084049320" : "Lapis lazuli, lapis lazuli",</v>
      </c>
    </row>
    <row r="348" spans="1:6" ht="15.75" customHeight="1">
      <c r="A348" s="18">
        <v>2084049323</v>
      </c>
      <c r="B348" s="18" t="s">
        <v>21414</v>
      </c>
      <c r="C348" s="18" t="s">
        <v>21415</v>
      </c>
      <c r="D348" s="4" t="str">
        <f ca="1">IFERROR(__xludf.DUMMYFUNCTION("GOOGLETRANSLATE(B348,""ja"",""vi"")"),"hồng ngọc")</f>
        <v>hồng ngọc</v>
      </c>
      <c r="E348" s="4" t="str">
        <f ca="1">IFERROR(__xludf.DUMMYFUNCTION("GOOGLETRANSLATE(C348,""ja"",""vi"")"),"Đấu giá&gt; Accessories, Đồng hồ&gt; dùng cho phụ nữ&gt; đá trần truồng, Ruth&gt; ruby")</f>
        <v>Đấu giá&gt; Accessories, Đồng hồ&gt; dùng cho phụ nữ&gt; đá trần truồng, Ruth&gt; ruby</v>
      </c>
      <c r="F348" t="str">
        <f t="shared" ca="1" si="5"/>
        <v>"2084049323" : "hồng ngọc",</v>
      </c>
    </row>
    <row r="349" spans="1:6" ht="15.75" customHeight="1">
      <c r="A349" s="18">
        <v>2084049299</v>
      </c>
      <c r="B349" s="18" t="s">
        <v>21042</v>
      </c>
      <c r="C349" s="18" t="s">
        <v>21416</v>
      </c>
      <c r="D349" s="4" t="str">
        <f ca="1">IFERROR(__xludf.DUMMYFUNCTION("GOOGLETRANSLATE(B349,""ja"",""vi"")"),"ngọc trai")</f>
        <v>ngọc trai</v>
      </c>
      <c r="E349" s="4" t="str">
        <f ca="1">IFERROR(__xludf.DUMMYFUNCTION("GOOGLETRANSLATE(C349,""ja"",""vi"")"),"Loading...")</f>
        <v>Loading...</v>
      </c>
      <c r="F349" t="str">
        <f t="shared" ca="1" si="5"/>
        <v>"2084049299" : "ngọc trai",</v>
      </c>
    </row>
    <row r="350" spans="1:6" ht="15.75" customHeight="1">
      <c r="A350" s="18">
        <v>2084049321</v>
      </c>
      <c r="B350" s="18" t="s">
        <v>21050</v>
      </c>
      <c r="C350" s="18" t="s">
        <v>21418</v>
      </c>
      <c r="D350" s="4" t="str">
        <f ca="1">IFERROR(__xludf.DUMMYFUNCTION("GOOGLETRANSLATE(B350,""ja"",""vi"")"),"đồ trang sức nhân tạo, rhinestone")</f>
        <v>đồ trang sức nhân tạo, rhinestone</v>
      </c>
      <c r="E350" s="4" t="str">
        <f ca="1">IFERROR(__xludf.DUMMYFUNCTION("GOOGLETRANSLATE(C350,""ja"",""vi"")"),"Đấu giá&gt; Accessories, Đồng hồ&gt; dùng cho phụ nữ&gt; đá trần truồng, lỏng lẻo&gt; đồ trang sức nhân tạo, rhinestone")</f>
        <v>Đấu giá&gt; Accessories, Đồng hồ&gt; dùng cho phụ nữ&gt; đá trần truồng, lỏng lẻo&gt; đồ trang sức nhân tạo, rhinestone</v>
      </c>
      <c r="F350" t="str">
        <f t="shared" ca="1" si="5"/>
        <v>"2084049321" : "đồ trang sức nhân tạo, rhinestone",</v>
      </c>
    </row>
    <row r="351" spans="1:6" ht="15.75" customHeight="1">
      <c r="A351" s="18">
        <v>2084049322</v>
      </c>
      <c r="B351" s="18" t="s">
        <v>46</v>
      </c>
      <c r="C351" s="18" t="s">
        <v>21420</v>
      </c>
      <c r="D351" s="4" t="str">
        <f ca="1">IFERROR(__xludf.DUMMYFUNCTION("GOOGLETRANSLATE(B351,""ja"",""vi"")"),"nếu không thì")</f>
        <v>nếu không thì</v>
      </c>
      <c r="E351" s="4" t="str">
        <f ca="1">IFERROR(__xludf.DUMMYFUNCTION("GOOGLETRANSLATE(C351,""ja"",""vi"")"),"Đấu giá&gt; Accessories, Đồng hồ&gt; dùng cho phụ nữ&gt; đá trần truồng, Ruth&gt; Khác")</f>
        <v>Đấu giá&gt; Accessories, Đồng hồ&gt; dùng cho phụ nữ&gt; đá trần truồng, Ruth&gt; Khác</v>
      </c>
      <c r="F351" t="str">
        <f t="shared" ca="1" si="5"/>
        <v>"2084049322" : "nếu không thì",</v>
      </c>
    </row>
    <row r="352" spans="1:6" ht="15.75" customHeight="1">
      <c r="A352" s="18">
        <v>2084018264</v>
      </c>
      <c r="B352" s="18" t="s">
        <v>21039</v>
      </c>
      <c r="C352" s="18" t="s">
        <v>21422</v>
      </c>
      <c r="D352" s="4" t="str">
        <f ca="1">IFERROR(__xludf.DUMMYFUNCTION("GOOGLETRANSLATE(B352,""ja"",""vi"")"),"kim cương")</f>
        <v>kim cương</v>
      </c>
      <c r="E352" s="4" t="str">
        <f ca="1">IFERROR(__xludf.DUMMYFUNCTION("GOOGLETRANSLATE(C352,""ja"",""vi"")"),"Đấu giá&gt; Accessories, Đồng hồ&gt; dùng cho phụ nữ&gt; trâm&gt; kim cương")</f>
        <v>Đấu giá&gt; Accessories, Đồng hồ&gt; dùng cho phụ nữ&gt; trâm&gt; kim cương</v>
      </c>
      <c r="F352" t="str">
        <f t="shared" ca="1" si="5"/>
        <v>"2084018264" : "kim cương",</v>
      </c>
    </row>
    <row r="353" spans="1:6" ht="15.75" customHeight="1">
      <c r="A353" s="18">
        <v>2084018256</v>
      </c>
      <c r="B353" s="18" t="s">
        <v>21046</v>
      </c>
      <c r="C353" s="18" t="s">
        <v>21424</v>
      </c>
      <c r="D353" s="4" t="str">
        <f ca="1">IFERROR(__xludf.DUMMYFUNCTION("GOOGLETRANSLATE(B353,""ja"",""vi"")"),"màu đá")</f>
        <v>màu đá</v>
      </c>
      <c r="E353" s="4" t="str">
        <f ca="1">IFERROR(__xludf.DUMMYFUNCTION("GOOGLETRANSLATE(C353,""ja"",""vi"")"),"Đấu giá&gt; Accessories, Đồng hồ&gt; phụ kiện&gt; trâm&gt; đá màu của phụ nữ")</f>
        <v>Đấu giá&gt; Accessories, Đồng hồ&gt; phụ kiện&gt; trâm&gt; đá màu của phụ nữ</v>
      </c>
      <c r="F353" t="str">
        <f t="shared" ca="1" si="5"/>
        <v>"2084018256" : "màu đá",</v>
      </c>
    </row>
    <row r="354" spans="1:6" ht="15.75" customHeight="1">
      <c r="A354" s="18">
        <v>2084018263</v>
      </c>
      <c r="B354" s="18" t="s">
        <v>21050</v>
      </c>
      <c r="C354" s="18" t="s">
        <v>21426</v>
      </c>
      <c r="D354" s="4" t="str">
        <f ca="1">IFERROR(__xludf.DUMMYFUNCTION("GOOGLETRANSLATE(B354,""ja"",""vi"")"),"đồ trang sức nhân tạo, rhinestone")</f>
        <v>đồ trang sức nhân tạo, rhinestone</v>
      </c>
      <c r="E354" s="4" t="str">
        <f ca="1">IFERROR(__xludf.DUMMYFUNCTION("GOOGLETRANSLATE(C354,""ja"",""vi"")"),"Đấu giá&gt; Accessories, Đồng hồ&gt; nữ phụ kiện&gt; trâm&gt; đồ trang sức nhân tạo, rhinestone")</f>
        <v>Đấu giá&gt; Accessories, Đồng hồ&gt; nữ phụ kiện&gt; trâm&gt; đồ trang sức nhân tạo, rhinestone</v>
      </c>
      <c r="F354" t="str">
        <f t="shared" ca="1" si="5"/>
        <v>"2084018263" : "đồ trang sức nhân tạo, rhinestone",</v>
      </c>
    </row>
    <row r="355" spans="1:6" ht="15.75" customHeight="1">
      <c r="A355" s="18">
        <v>2084018268</v>
      </c>
      <c r="B355" s="18" t="s">
        <v>21063</v>
      </c>
      <c r="C355" s="18" t="s">
        <v>21428</v>
      </c>
      <c r="D355" s="4" t="str">
        <f ca="1">IFERROR(__xludf.DUMMYFUNCTION("GOOGLETRANSLATE(B355,""ja"",""vi"")"),"Hạt, thủy tinh")</f>
        <v>Hạt, thủy tinh</v>
      </c>
      <c r="E355" s="4" t="str">
        <f ca="1">IFERROR(__xludf.DUMMYFUNCTION("GOOGLETRANSLATE(C355,""ja"",""vi"")"),"Loading...")</f>
        <v>Loading...</v>
      </c>
      <c r="F355" t="str">
        <f t="shared" ca="1" si="5"/>
        <v>"2084018268" : "Hạt, thủy tinh",</v>
      </c>
    </row>
    <row r="356" spans="1:6" ht="15.75" customHeight="1">
      <c r="A356" s="18">
        <v>2084018270</v>
      </c>
      <c r="B356" s="18" t="s">
        <v>21066</v>
      </c>
      <c r="C356" s="18" t="s">
        <v>21429</v>
      </c>
      <c r="D356" s="4" t="str">
        <f ca="1">IFERROR(__xludf.DUMMYFUNCTION("GOOGLETRANSLATE(B356,""ja"",""vi"")"),"nâu")</f>
        <v>nâu</v>
      </c>
      <c r="E356" s="4" t="str">
        <f ca="1">IFERROR(__xludf.DUMMYFUNCTION("GOOGLETRANSLATE(C356,""ja"",""vi"")"),"Đấu giá&gt; Accessories, Đồng hồ&gt; dùng cho phụ nữ&gt; trâm&gt; nâu")</f>
        <v>Đấu giá&gt; Accessories, Đồng hồ&gt; dùng cho phụ nữ&gt; trâm&gt; nâu</v>
      </c>
      <c r="F356" t="str">
        <f t="shared" ca="1" si="5"/>
        <v>"2084018270" : "nâu",</v>
      </c>
    </row>
    <row r="357" spans="1:6" ht="15.75" customHeight="1">
      <c r="A357" s="18">
        <v>2084005379</v>
      </c>
      <c r="B357" s="18" t="s">
        <v>21431</v>
      </c>
      <c r="C357" s="18" t="s">
        <v>21432</v>
      </c>
      <c r="D357" s="4" t="str">
        <f ca="1">IFERROR(__xludf.DUMMYFUNCTION("GOOGLETRANSLATE(B357,""ja"",""vi"")"),"Cameo")</f>
        <v>Cameo</v>
      </c>
      <c r="E357" s="4" t="str">
        <f ca="1">IFERROR(__xludf.DUMMYFUNCTION("GOOGLETRANSLATE(C357,""ja"",""vi"")"),"Đấu giá&gt; Accessories, Đồng hồ&gt; dùng cho phụ nữ&gt; trâm&gt; Cameo")</f>
        <v>Đấu giá&gt; Accessories, Đồng hồ&gt; dùng cho phụ nữ&gt; trâm&gt; Cameo</v>
      </c>
      <c r="F357" t="str">
        <f t="shared" ca="1" si="5"/>
        <v>"2084005379" : "Cameo",</v>
      </c>
    </row>
    <row r="358" spans="1:6" ht="15.75" customHeight="1">
      <c r="A358" s="18">
        <v>2084052753</v>
      </c>
      <c r="B358" s="18" t="s">
        <v>21370</v>
      </c>
      <c r="C358" s="18" t="s">
        <v>21434</v>
      </c>
      <c r="D358" s="4" t="str">
        <f ca="1">IFERROR(__xludf.DUMMYFUNCTION("GOOGLETRANSLATE(B358,""ja"",""vi"")"),"Cubic zirconia")</f>
        <v>Cubic zirconia</v>
      </c>
      <c r="E358" s="4" t="str">
        <f ca="1">IFERROR(__xludf.DUMMYFUNCTION("GOOGLETRANSLATE(C358,""ja"",""vi"")"),"Loading...")</f>
        <v>Loading...</v>
      </c>
      <c r="F358" t="str">
        <f t="shared" ca="1" si="5"/>
        <v>"2084052753" : "Cubic zirconia",</v>
      </c>
    </row>
    <row r="359" spans="1:6" ht="15.75" customHeight="1">
      <c r="A359" s="18">
        <v>2084018260</v>
      </c>
      <c r="B359" s="18" t="s">
        <v>21069</v>
      </c>
      <c r="C359" s="18" t="s">
        <v>21435</v>
      </c>
      <c r="D359" s="4" t="str">
        <f ca="1">IFERROR(__xludf.DUMMYFUNCTION("GOOGLETRANSLATE(B359,""ja"",""vi"")"),"San hô, san hô")</f>
        <v>San hô, san hô</v>
      </c>
      <c r="E359" s="4" t="str">
        <f ca="1">IFERROR(__xludf.DUMMYFUNCTION("GOOGLETRANSLATE(C359,""ja"",""vi"")"),"Loading...")</f>
        <v>Loading...</v>
      </c>
      <c r="F359" t="str">
        <f t="shared" ca="1" si="5"/>
        <v>"2084018260" : "San hô, san hô",</v>
      </c>
    </row>
    <row r="360" spans="1:6" ht="15.75" customHeight="1">
      <c r="A360" s="18">
        <v>2084005376</v>
      </c>
      <c r="B360" s="18" t="s">
        <v>21052</v>
      </c>
      <c r="C360" s="18" t="s">
        <v>21437</v>
      </c>
      <c r="D360" s="4" t="str">
        <f ca="1">IFERROR(__xludf.DUMMYFUNCTION("GOOGLETRANSLATE(B360,""ja"",""vi"")"),"vàng")</f>
        <v>vàng</v>
      </c>
      <c r="E360" s="4" t="str">
        <f ca="1">IFERROR(__xludf.DUMMYFUNCTION("GOOGLETRANSLATE(C360,""ja"",""vi"")"),"Loading...")</f>
        <v>Loading...</v>
      </c>
      <c r="F360" t="str">
        <f t="shared" ca="1" si="5"/>
        <v>"2084005376" : "vàng",</v>
      </c>
    </row>
    <row r="361" spans="1:6" ht="15.75" customHeight="1">
      <c r="A361" s="18">
        <v>2084005377</v>
      </c>
      <c r="B361" s="18" t="s">
        <v>21056</v>
      </c>
      <c r="C361" s="18" t="s">
        <v>21439</v>
      </c>
      <c r="D361" s="4" t="str">
        <f ca="1">IFERROR(__xludf.DUMMYFUNCTION("GOOGLETRANSLATE(B361,""ja"",""vi"")"),"bạc")</f>
        <v>bạc</v>
      </c>
      <c r="E361" s="4" t="str">
        <f ca="1">IFERROR(__xludf.DUMMYFUNCTION("GOOGLETRANSLATE(C361,""ja"",""vi"")"),"Đấu giá&gt; Accessories, Đồng hồ&gt; nữ phụ kiện&gt; trâm&gt; Bạc")</f>
        <v>Đấu giá&gt; Accessories, Đồng hồ&gt; nữ phụ kiện&gt; trâm&gt; Bạc</v>
      </c>
      <c r="F361" t="str">
        <f t="shared" ca="1" si="5"/>
        <v>"2084005377" : "bạc",</v>
      </c>
    </row>
    <row r="362" spans="1:6" ht="15.75" customHeight="1">
      <c r="A362" s="18">
        <v>2084019062</v>
      </c>
      <c r="B362" s="18" t="s">
        <v>7034</v>
      </c>
      <c r="C362" s="18" t="s">
        <v>21440</v>
      </c>
      <c r="D362" s="4" t="str">
        <f ca="1">IFERROR(__xludf.DUMMYFUNCTION("GOOGLETRANSLATE(B362,""ja"",""vi"")"),"bạch kim")</f>
        <v>bạch kim</v>
      </c>
      <c r="E362" s="4" t="str">
        <f ca="1">IFERROR(__xludf.DUMMYFUNCTION("GOOGLETRANSLATE(C362,""ja"",""vi"")"),"Đấu giá&gt; Accessories, Đồng hồ&gt; dùng cho phụ nữ&gt; trâm&gt; Platinum")</f>
        <v>Đấu giá&gt; Accessories, Đồng hồ&gt; dùng cho phụ nữ&gt; trâm&gt; Platinum</v>
      </c>
      <c r="F362" t="str">
        <f t="shared" ca="1" si="5"/>
        <v>"2084019062" : "bạch kim",</v>
      </c>
    </row>
    <row r="363" spans="1:6" ht="15.75" customHeight="1">
      <c r="A363" s="18">
        <v>2084052757</v>
      </c>
      <c r="B363" s="18" t="s">
        <v>21442</v>
      </c>
      <c r="C363" s="18" t="s">
        <v>21444</v>
      </c>
      <c r="D363" s="4" t="str">
        <f ca="1">IFERROR(__xludf.DUMMYFUNCTION("GOOGLETRANSLATE(B363,""ja"",""vi"")"),"vàng trắng")</f>
        <v>vàng trắng</v>
      </c>
      <c r="E363" s="4" t="str">
        <f ca="1">IFERROR(__xludf.DUMMYFUNCTION("GOOGLETRANSLATE(C363,""ja"",""vi"")"),"Đấu giá&gt; Accessories, Đồng hồ&gt; dùng cho phụ nữ&gt; trâm&gt; vàng trắng")</f>
        <v>Đấu giá&gt; Accessories, Đồng hồ&gt; dùng cho phụ nữ&gt; trâm&gt; vàng trắng</v>
      </c>
      <c r="F363" t="str">
        <f t="shared" ca="1" si="5"/>
        <v>"2084052757" : "vàng trắng",</v>
      </c>
    </row>
    <row r="364" spans="1:6" ht="15.75" customHeight="1">
      <c r="A364" s="18">
        <v>2084005378</v>
      </c>
      <c r="B364" s="18" t="s">
        <v>21042</v>
      </c>
      <c r="C364" s="18" t="s">
        <v>21445</v>
      </c>
      <c r="D364" s="4" t="str">
        <f ca="1">IFERROR(__xludf.DUMMYFUNCTION("GOOGLETRANSLATE(B364,""ja"",""vi"")"),"ngọc trai")</f>
        <v>ngọc trai</v>
      </c>
      <c r="E364" s="4" t="str">
        <f ca="1">IFERROR(__xludf.DUMMYFUNCTION("GOOGLETRANSLATE(C364,""ja"",""vi"")"),"Loading...")</f>
        <v>Loading...</v>
      </c>
      <c r="F364" t="str">
        <f t="shared" ca="1" si="5"/>
        <v>"2084005378" : "ngọc trai",</v>
      </c>
    </row>
    <row r="365" spans="1:6" ht="15.75" customHeight="1">
      <c r="A365" s="18">
        <v>2084018257</v>
      </c>
      <c r="B365" s="18" t="s">
        <v>21077</v>
      </c>
      <c r="C365" s="18" t="s">
        <v>21447</v>
      </c>
      <c r="D365" s="4" t="str">
        <f ca="1">IFERROR(__xludf.DUMMYFUNCTION("GOOGLETRANSLATE(B365,""ja"",""vi"")"),"da")</f>
        <v>da</v>
      </c>
      <c r="E365" s="4" t="str">
        <f ca="1">IFERROR(__xludf.DUMMYFUNCTION("GOOGLETRANSLATE(C365,""ja"",""vi"")"),"Đấu giá&gt; Accessories, Đồng hồ&gt; dùng cho phụ nữ&gt; trâm&gt; da")</f>
        <v>Đấu giá&gt; Accessories, Đồng hồ&gt; dùng cho phụ nữ&gt; trâm&gt; da</v>
      </c>
      <c r="F365" t="str">
        <f t="shared" ca="1" si="5"/>
        <v>"2084018257" : "da",</v>
      </c>
    </row>
    <row r="366" spans="1:6" ht="15.75" customHeight="1">
      <c r="A366" s="18">
        <v>2084018273</v>
      </c>
      <c r="B366" s="18" t="s">
        <v>21081</v>
      </c>
      <c r="C366" s="18" t="s">
        <v>21449</v>
      </c>
      <c r="D366" s="4" t="str">
        <f ca="1">IFERROR(__xludf.DUMMYFUNCTION("GOOGLETRANSLATE(B366,""ja"",""vi"")"),"gỗ")</f>
        <v>gỗ</v>
      </c>
      <c r="E366" s="4" t="str">
        <f ca="1">IFERROR(__xludf.DUMMYFUNCTION("GOOGLETRANSLATE(C366,""ja"",""vi"")"),"Loading...")</f>
        <v>Loading...</v>
      </c>
      <c r="F366" t="str">
        <f t="shared" ca="1" si="5"/>
        <v>"2084018273" : "gỗ",</v>
      </c>
    </row>
    <row r="367" spans="1:6" ht="15.75" customHeight="1">
      <c r="A367" s="18">
        <v>2084005380</v>
      </c>
      <c r="B367" s="18" t="s">
        <v>46</v>
      </c>
      <c r="C367" s="18" t="s">
        <v>21451</v>
      </c>
      <c r="D367" s="4" t="str">
        <f ca="1">IFERROR(__xludf.DUMMYFUNCTION("GOOGLETRANSLATE(B367,""ja"",""vi"")"),"nếu không thì")</f>
        <v>nếu không thì</v>
      </c>
      <c r="E367" s="4" t="str">
        <f ca="1">IFERROR(__xludf.DUMMYFUNCTION("GOOGLETRANSLATE(C367,""ja"",""vi"")"),"Đấu giá&gt; Accessories, Đồng hồ&gt; dùng cho phụ nữ&gt; trâm&gt; Khác")</f>
        <v>Đấu giá&gt; Accessories, Đồng hồ&gt; dùng cho phụ nữ&gt; trâm&gt; Khác</v>
      </c>
      <c r="F367" t="str">
        <f t="shared" ca="1" si="5"/>
        <v>"2084005380" : "nếu không thì",</v>
      </c>
    </row>
    <row r="368" spans="1:6" ht="15.75" customHeight="1">
      <c r="A368" s="18">
        <v>2084007438</v>
      </c>
      <c r="B368" s="18" t="s">
        <v>18603</v>
      </c>
      <c r="C368" s="18" t="s">
        <v>21453</v>
      </c>
      <c r="D368" s="4" t="str">
        <f ca="1">IFERROR(__xludf.DUMMYFUNCTION("GOOGLETRANSLATE(B368,""ja"",""vi"")"),"tóc giả")</f>
        <v>tóc giả</v>
      </c>
      <c r="E368" s="4" t="str">
        <f ca="1">IFERROR(__xludf.DUMMYFUNCTION("GOOGLETRANSLATE(C368,""ja"",""vi"")"),"Loading...")</f>
        <v>Loading...</v>
      </c>
      <c r="F368" t="str">
        <f t="shared" ca="1" si="5"/>
        <v>"2084007438" : "tóc giả",</v>
      </c>
    </row>
    <row r="369" spans="1:6" ht="15.75" customHeight="1">
      <c r="A369" s="18">
        <v>2084220966</v>
      </c>
      <c r="B369" s="18" t="s">
        <v>21455</v>
      </c>
      <c r="C369" s="18" t="s">
        <v>21456</v>
      </c>
      <c r="D369" s="4" t="str">
        <f ca="1">IFERROR(__xludf.DUMMYFUNCTION("GOOGLETRANSLATE(B369,""ja"",""vi"")"),"chải")</f>
        <v>chải</v>
      </c>
      <c r="E369" s="4" t="str">
        <f ca="1">IFERROR(__xludf.DUMMYFUNCTION("GOOGLETRANSLATE(C369,""ja"",""vi"")"),"Loading...")</f>
        <v>Loading...</v>
      </c>
      <c r="F369" t="str">
        <f t="shared" ca="1" si="5"/>
        <v>"2084220966" : "chải",</v>
      </c>
    </row>
    <row r="370" spans="1:6" ht="15.75" customHeight="1">
      <c r="A370" s="18">
        <v>2084059825</v>
      </c>
      <c r="B370" s="18" t="s">
        <v>10840</v>
      </c>
      <c r="C370" s="18" t="s">
        <v>21458</v>
      </c>
      <c r="D370" s="4" t="str">
        <f ca="1">IFERROR(__xludf.DUMMYFUNCTION("GOOGLETRANSLATE(B370,""ja"",""vi"")"),"vương miện của vua")</f>
        <v>vương miện của vua</v>
      </c>
      <c r="E370" s="4" t="str">
        <f ca="1">IFERROR(__xludf.DUMMYFUNCTION("GOOGLETRANSLATE(C370,""ja"",""vi"")"),"Loading...")</f>
        <v>Loading...</v>
      </c>
      <c r="F370" t="str">
        <f t="shared" ca="1" si="5"/>
        <v>"2084059825" : "vương miện của vua",</v>
      </c>
    </row>
    <row r="371" spans="1:6" ht="15.75" customHeight="1">
      <c r="A371" s="18">
        <v>2084005385</v>
      </c>
      <c r="B371" s="18" t="s">
        <v>18625</v>
      </c>
      <c r="C371" s="18" t="s">
        <v>21459</v>
      </c>
      <c r="D371" s="4" t="str">
        <f ca="1">IFERROR(__xludf.DUMMYFUNCTION("GOOGLETRANSLATE(B371,""ja"",""vi"")"),"Valletta")</f>
        <v>Valletta</v>
      </c>
      <c r="E371" s="4" t="str">
        <f ca="1">IFERROR(__xludf.DUMMYFUNCTION("GOOGLETRANSLATE(C371,""ja"",""vi"")"),"Loading...")</f>
        <v>Loading...</v>
      </c>
      <c r="F371" t="str">
        <f t="shared" ca="1" si="5"/>
        <v>"2084005385" : "Valletta",</v>
      </c>
    </row>
    <row r="372" spans="1:6" ht="15.75" customHeight="1">
      <c r="A372" s="18">
        <v>2084236841</v>
      </c>
      <c r="B372" s="18" t="s">
        <v>16199</v>
      </c>
      <c r="C372" s="18" t="s">
        <v>21461</v>
      </c>
      <c r="D372" s="4" t="str">
        <f ca="1">IFERROR(__xludf.DUMMYFUNCTION("GOOGLETRANSLATE(B372,""ja"",""vi"")"),"nối tóc")</f>
        <v>nối tóc</v>
      </c>
      <c r="E372" s="4" t="str">
        <f ca="1">IFERROR(__xludf.DUMMYFUNCTION("GOOGLETRANSLATE(C372,""ja"",""vi"")"),"Đấu giá&gt; Accessories, Đồng hồ&gt; dùng cho phụ nữ&gt; Phụ kiện tóc&gt; mở rộng tóc")</f>
        <v>Đấu giá&gt; Accessories, Đồng hồ&gt; dùng cho phụ nữ&gt; Phụ kiện tóc&gt; mở rộng tóc</v>
      </c>
      <c r="F372" t="str">
        <f t="shared" ca="1" si="5"/>
        <v>"2084236841" : "nối tóc",</v>
      </c>
    </row>
    <row r="373" spans="1:6" ht="15.75" customHeight="1">
      <c r="A373" s="18">
        <v>2084019052</v>
      </c>
      <c r="B373" s="18" t="s">
        <v>18627</v>
      </c>
      <c r="C373" s="18" t="s">
        <v>21463</v>
      </c>
      <c r="D373" s="4" t="str">
        <f ca="1">IFERROR(__xludf.DUMMYFUNCTION("GOOGLETRANSLATE(B373,""ja"",""vi"")"),"Tóc, Chou")</f>
        <v>Tóc, Chou</v>
      </c>
      <c r="E373" s="4" t="str">
        <f ca="1">IFERROR(__xludf.DUMMYFUNCTION("GOOGLETRANSLATE(C373,""ja"",""vi"")"),"Loading...")</f>
        <v>Loading...</v>
      </c>
      <c r="F373" t="str">
        <f t="shared" ca="1" si="5"/>
        <v>"2084019052" : "Tóc, Chou",</v>
      </c>
    </row>
    <row r="374" spans="1:6" ht="15.75" customHeight="1">
      <c r="A374" s="18">
        <v>2084019051</v>
      </c>
      <c r="B374" s="18" t="s">
        <v>18630</v>
      </c>
      <c r="C374" s="18" t="s">
        <v>21465</v>
      </c>
      <c r="D374" s="4" t="str">
        <f ca="1">IFERROR(__xludf.DUMMYFUNCTION("GOOGLETRANSLATE(B374,""ja"",""vi"")"),"dây buộc tóc, Katyusha")</f>
        <v>dây buộc tóc, Katyusha</v>
      </c>
      <c r="E374" s="4" t="str">
        <f ca="1">IFERROR(__xludf.DUMMYFUNCTION("GOOGLETRANSLATE(C374,""ja"",""vi"")"),"Loading...")</f>
        <v>Loading...</v>
      </c>
      <c r="F374" t="str">
        <f t="shared" ca="1" si="5"/>
        <v>"2084019051" : "dây buộc tóc, Katyusha",</v>
      </c>
    </row>
    <row r="375" spans="1:6" ht="15.75" customHeight="1">
      <c r="A375" s="18">
        <v>2084005386</v>
      </c>
      <c r="B375" s="18" t="s">
        <v>18632</v>
      </c>
      <c r="C375" s="18" t="s">
        <v>21467</v>
      </c>
      <c r="D375" s="4" t="str">
        <f ca="1">IFERROR(__xludf.DUMMYFUNCTION("GOOGLETRANSLATE(B375,""ja"",""vi"")"),"kẹp tóc")</f>
        <v>kẹp tóc</v>
      </c>
      <c r="E375" s="4" t="str">
        <f ca="1">IFERROR(__xludf.DUMMYFUNCTION("GOOGLETRANSLATE(C375,""ja"",""vi"")"),"Đấu giá&gt; Accessories, Đồng hồ&gt; dùng cho phụ nữ&gt; Phụ kiện tóc&gt; kẹp tóc")</f>
        <v>Đấu giá&gt; Accessories, Đồng hồ&gt; dùng cho phụ nữ&gt; Phụ kiện tóc&gt; kẹp tóc</v>
      </c>
      <c r="F375" t="str">
        <f t="shared" ca="1" si="5"/>
        <v>"2084005386" : "kẹp tóc",</v>
      </c>
    </row>
    <row r="376" spans="1:6" ht="15.75" customHeight="1">
      <c r="A376" s="18">
        <v>2084048833</v>
      </c>
      <c r="B376" s="18" t="s">
        <v>17825</v>
      </c>
      <c r="C376" s="18" t="s">
        <v>21468</v>
      </c>
      <c r="D376" s="4" t="str">
        <f ca="1">IFERROR(__xludf.DUMMYFUNCTION("GOOGLETRANSLATE(B376,""ja"",""vi"")"),"kẹp tóc")</f>
        <v>kẹp tóc</v>
      </c>
      <c r="E376" s="4" t="str">
        <f ca="1">IFERROR(__xludf.DUMMYFUNCTION("GOOGLETRANSLATE(C376,""ja"",""vi"")"),"Loading...")</f>
        <v>Loading...</v>
      </c>
      <c r="F376" t="str">
        <f t="shared" ca="1" si="5"/>
        <v>"2084048833" : "kẹp tóc",</v>
      </c>
    </row>
    <row r="377" spans="1:6" ht="15.75" customHeight="1">
      <c r="A377" s="18">
        <v>2084005387</v>
      </c>
      <c r="B377" s="18" t="s">
        <v>46</v>
      </c>
      <c r="C377" s="18" t="s">
        <v>21470</v>
      </c>
      <c r="D377" s="4" t="str">
        <f ca="1">IFERROR(__xludf.DUMMYFUNCTION("GOOGLETRANSLATE(B377,""ja"",""vi"")"),"nếu không thì")</f>
        <v>nếu không thì</v>
      </c>
      <c r="E377" s="4" t="str">
        <f ca="1">IFERROR(__xludf.DUMMYFUNCTION("GOOGLETRANSLATE(C377,""ja"",""vi"")"),"Loading...")</f>
        <v>Loading...</v>
      </c>
      <c r="F377" t="str">
        <f t="shared" ca="1" si="5"/>
        <v>"2084005387" : "nếu không thì",</v>
      </c>
    </row>
    <row r="378" spans="1:6" ht="15.75" customHeight="1">
      <c r="A378" s="18">
        <v>2084062543</v>
      </c>
      <c r="B378" s="18" t="s">
        <v>21472</v>
      </c>
      <c r="C378" s="18" t="s">
        <v>21473</v>
      </c>
      <c r="D378" s="4" t="str">
        <f ca="1">IFERROR(__xludf.DUMMYFUNCTION("GOOGLETRANSLATE(B378,""ja"",""vi"")"),"trái cam")</f>
        <v>trái cam</v>
      </c>
      <c r="E378" s="4" t="str">
        <f ca="1">IFERROR(__xludf.DUMMYFUNCTION("GOOGLETRANSLATE(C378,""ja"",""vi"")"),"Loading...")</f>
        <v>Loading...</v>
      </c>
      <c r="F378" t="str">
        <f t="shared" ca="1" si="5"/>
        <v>"2084062543" : "trái cam",</v>
      </c>
    </row>
    <row r="379" spans="1:6" ht="15.75" customHeight="1">
      <c r="A379" s="18">
        <v>2084062536</v>
      </c>
      <c r="B379" s="18" t="s">
        <v>21475</v>
      </c>
      <c r="C379" s="18" t="s">
        <v>21476</v>
      </c>
      <c r="D379" s="4" t="str">
        <f ca="1">IFERROR(__xludf.DUMMYFUNCTION("GOOGLETRANSLATE(B379,""ja"",""vi"")"),"màu hồng")</f>
        <v>màu hồng</v>
      </c>
      <c r="E379" s="4" t="str">
        <f ca="1">IFERROR(__xludf.DUMMYFUNCTION("GOOGLETRANSLATE(C379,""ja"",""vi"")"),"Đấu giá&gt; Accessories, Đồng hồ&gt; dùng cho phụ nữ&gt; corsage&gt; hồng")</f>
        <v>Đấu giá&gt; Accessories, Đồng hồ&gt; dùng cho phụ nữ&gt; corsage&gt; hồng</v>
      </c>
      <c r="F379" t="str">
        <f t="shared" ca="1" si="5"/>
        <v>"2084062536" : "màu hồng",</v>
      </c>
    </row>
    <row r="380" spans="1:6" ht="15.75" customHeight="1">
      <c r="A380" s="18">
        <v>2084062540</v>
      </c>
      <c r="B380" s="18" t="s">
        <v>21478</v>
      </c>
      <c r="C380" s="18" t="s">
        <v>21479</v>
      </c>
      <c r="D380" s="4" t="str">
        <f ca="1">IFERROR(__xludf.DUMMYFUNCTION("GOOGLETRANSLATE(B380,""ja"",""vi"")"),"vàng")</f>
        <v>vàng</v>
      </c>
      <c r="E380" s="4" t="str">
        <f ca="1">IFERROR(__xludf.DUMMYFUNCTION("GOOGLETRANSLATE(C380,""ja"",""vi"")"),"Loading...")</f>
        <v>Loading...</v>
      </c>
      <c r="F380" t="str">
        <f t="shared" ca="1" si="5"/>
        <v>"2084062540" : "vàng",</v>
      </c>
    </row>
    <row r="381" spans="1:6" ht="15.75" customHeight="1">
      <c r="A381" s="18">
        <v>2084062539</v>
      </c>
      <c r="B381" s="18" t="s">
        <v>21481</v>
      </c>
      <c r="C381" s="18" t="s">
        <v>21482</v>
      </c>
      <c r="D381" s="4" t="str">
        <f ca="1">IFERROR(__xludf.DUMMYFUNCTION("GOOGLETRANSLATE(B381,""ja"",""vi"")"),"đen")</f>
        <v>đen</v>
      </c>
      <c r="E381" s="4" t="str">
        <f ca="1">IFERROR(__xludf.DUMMYFUNCTION("GOOGLETRANSLATE(C381,""ja"",""vi"")"),"Đấu giá&gt; Accessories, Đồng hồ&gt; dùng cho phụ nữ&gt; corsage&gt; đen")</f>
        <v>Đấu giá&gt; Accessories, Đồng hồ&gt; dùng cho phụ nữ&gt; corsage&gt; đen</v>
      </c>
      <c r="F381" t="str">
        <f t="shared" ca="1" si="5"/>
        <v>"2084062539" : "đen",</v>
      </c>
    </row>
    <row r="382" spans="1:6" ht="15.75" customHeight="1">
      <c r="A382" s="18">
        <v>2084062538</v>
      </c>
      <c r="B382" s="18" t="s">
        <v>21483</v>
      </c>
      <c r="C382" s="18" t="s">
        <v>21484</v>
      </c>
      <c r="D382" s="4" t="str">
        <f ca="1">IFERROR(__xludf.DUMMYFUNCTION("GOOGLETRANSLATE(B382,""ja"",""vi"")"),"Violet")</f>
        <v>Violet</v>
      </c>
      <c r="E382" s="4" t="str">
        <f ca="1">IFERROR(__xludf.DUMMYFUNCTION("GOOGLETRANSLATE(C382,""ja"",""vi"")"),"Đấu giá&gt; Accessories, Đồng hồ&gt; dùng cho phụ nữ&gt; corsage&gt; Tím")</f>
        <v>Đấu giá&gt; Accessories, Đồng hồ&gt; dùng cho phụ nữ&gt; corsage&gt; Tím</v>
      </c>
      <c r="F382" t="str">
        <f t="shared" ca="1" si="5"/>
        <v>"2084062538" : "Violet",</v>
      </c>
    </row>
    <row r="383" spans="1:6" ht="15.75" customHeight="1">
      <c r="A383" s="18">
        <v>2084062541</v>
      </c>
      <c r="B383" s="18" t="s">
        <v>21486</v>
      </c>
      <c r="C383" s="18" t="s">
        <v>21487</v>
      </c>
      <c r="D383" s="4" t="str">
        <f ca="1">IFERROR(__xludf.DUMMYFUNCTION("GOOGLETRANSLATE(B383,""ja"",""vi"")"),"xanh")</f>
        <v>xanh</v>
      </c>
      <c r="E383" s="4" t="str">
        <f ca="1">IFERROR(__xludf.DUMMYFUNCTION("GOOGLETRANSLATE(C383,""ja"",""vi"")"),"Loading...")</f>
        <v>Loading...</v>
      </c>
      <c r="F383" t="str">
        <f t="shared" ca="1" si="5"/>
        <v>"2084062541" : "xanh",</v>
      </c>
    </row>
    <row r="384" spans="1:6" ht="15.75" customHeight="1">
      <c r="A384" s="18">
        <v>2084062537</v>
      </c>
      <c r="B384" s="18" t="s">
        <v>21488</v>
      </c>
      <c r="C384" s="18" t="s">
        <v>21490</v>
      </c>
      <c r="D384" s="4" t="str">
        <f ca="1">IFERROR(__xludf.DUMMYFUNCTION("GOOGLETRANSLATE(B384,""ja"",""vi"")"),"đỏ")</f>
        <v>đỏ</v>
      </c>
      <c r="E384" s="4" t="str">
        <f ca="1">IFERROR(__xludf.DUMMYFUNCTION("GOOGLETRANSLATE(C384,""ja"",""vi"")"),"Đấu giá&gt; Accessories, Đồng hồ&gt; dùng cho phụ nữ&gt; corsage&gt; đỏ")</f>
        <v>Đấu giá&gt; Accessories, Đồng hồ&gt; dùng cho phụ nữ&gt; corsage&gt; đỏ</v>
      </c>
      <c r="F384" t="str">
        <f t="shared" ca="1" si="5"/>
        <v>"2084062537" : "đỏ",</v>
      </c>
    </row>
    <row r="385" spans="1:6" ht="15.75" customHeight="1">
      <c r="A385" s="18">
        <v>2084062643</v>
      </c>
      <c r="B385" s="18" t="s">
        <v>19912</v>
      </c>
      <c r="C385" s="18" t="s">
        <v>21491</v>
      </c>
      <c r="D385" s="4" t="str">
        <f ca="1">IFERROR(__xludf.DUMMYFUNCTION("GOOGLETRANSLATE(B385,""ja"",""vi"")"),"trà")</f>
        <v>trà</v>
      </c>
      <c r="E385" s="4" t="str">
        <f ca="1">IFERROR(__xludf.DUMMYFUNCTION("GOOGLETRANSLATE(C385,""ja"",""vi"")"),"Loading...")</f>
        <v>Loading...</v>
      </c>
      <c r="F385" t="str">
        <f t="shared" ca="1" si="5"/>
        <v>"2084062643" : "trà",</v>
      </c>
    </row>
    <row r="386" spans="1:6" ht="15.75" customHeight="1">
      <c r="A386" s="18">
        <v>2084062535</v>
      </c>
      <c r="B386" s="18" t="s">
        <v>21493</v>
      </c>
      <c r="C386" s="18" t="s">
        <v>21494</v>
      </c>
      <c r="D386" s="4" t="str">
        <f ca="1">IFERROR(__xludf.DUMMYFUNCTION("GOOGLETRANSLATE(B386,""ja"",""vi"")"),"trắng")</f>
        <v>trắng</v>
      </c>
      <c r="E386" s="4" t="str">
        <f ca="1">IFERROR(__xludf.DUMMYFUNCTION("GOOGLETRANSLATE(C386,""ja"",""vi"")"),"Loading...")</f>
        <v>Loading...</v>
      </c>
      <c r="F386" t="str">
        <f t="shared" ca="1" si="5"/>
        <v>"2084062535" : "trắng",</v>
      </c>
    </row>
    <row r="387" spans="1:6" ht="15.75" customHeight="1">
      <c r="A387" s="18">
        <v>2084062542</v>
      </c>
      <c r="B387" s="18" t="s">
        <v>21495</v>
      </c>
      <c r="C387" s="18" t="s">
        <v>21496</v>
      </c>
      <c r="D387" s="4" t="str">
        <f ca="1">IFERROR(__xludf.DUMMYFUNCTION("GOOGLETRANSLATE(B387,""ja"",""vi"")"),"cây xanh")</f>
        <v>cây xanh</v>
      </c>
      <c r="E387" s="4" t="str">
        <f ca="1">IFERROR(__xludf.DUMMYFUNCTION("GOOGLETRANSLATE(C387,""ja"",""vi"")"),"Loading...")</f>
        <v>Loading...</v>
      </c>
      <c r="F387" t="str">
        <f t="shared" ref="F387:F450" ca="1" si="6">CONCATENATE(CHAR(34)&amp;"",A387,""&amp;CHAR(34)," : ", CHAR(34)&amp;"",D387,""&amp;CHAR(34),",")</f>
        <v>"2084062542" : "cây xanh",</v>
      </c>
    </row>
    <row r="388" spans="1:6" ht="15.75" customHeight="1">
      <c r="A388" s="18">
        <v>2084062544</v>
      </c>
      <c r="B388" s="18" t="s">
        <v>46</v>
      </c>
      <c r="C388" s="18" t="s">
        <v>21498</v>
      </c>
      <c r="D388" s="4" t="str">
        <f ca="1">IFERROR(__xludf.DUMMYFUNCTION("GOOGLETRANSLATE(B388,""ja"",""vi"")"),"nếu không thì")</f>
        <v>nếu không thì</v>
      </c>
      <c r="E388" s="4" t="str">
        <f ca="1">IFERROR(__xludf.DUMMYFUNCTION("GOOGLETRANSLATE(C388,""ja"",""vi"")"),"Loading...")</f>
        <v>Loading...</v>
      </c>
      <c r="F388" t="str">
        <f t="shared" ca="1" si="6"/>
        <v>"2084062544" : "nếu không thì",</v>
      </c>
    </row>
    <row r="389" spans="1:6" ht="15.75" customHeight="1">
      <c r="A389" s="18">
        <v>2084062550</v>
      </c>
      <c r="B389" s="18" t="s">
        <v>21052</v>
      </c>
      <c r="C389" s="18" t="s">
        <v>21500</v>
      </c>
      <c r="D389" s="4" t="str">
        <f ca="1">IFERROR(__xludf.DUMMYFUNCTION("GOOGLETRANSLATE(B389,""ja"",""vi"")"),"vàng")</f>
        <v>vàng</v>
      </c>
      <c r="E389" s="4" t="str">
        <f ca="1">IFERROR(__xludf.DUMMYFUNCTION("GOOGLETRANSLATE(C389,""ja"",""vi"")"),"Đấu giá&gt; Accessories, Đồng hồ&gt; dùng cho phụ nữ&gt; Body Piercing&gt; Vàng")</f>
        <v>Đấu giá&gt; Accessories, Đồng hồ&gt; dùng cho phụ nữ&gt; Body Piercing&gt; Vàng</v>
      </c>
      <c r="F389" t="str">
        <f t="shared" ca="1" si="6"/>
        <v>"2084062550" : "vàng",</v>
      </c>
    </row>
    <row r="390" spans="1:6" ht="15.75" customHeight="1">
      <c r="A390" s="18">
        <v>2084062549</v>
      </c>
      <c r="B390" s="18" t="s">
        <v>21056</v>
      </c>
      <c r="C390" s="18" t="s">
        <v>21502</v>
      </c>
      <c r="D390" s="4" t="str">
        <f ca="1">IFERROR(__xludf.DUMMYFUNCTION("GOOGLETRANSLATE(B390,""ja"",""vi"")"),"bạc")</f>
        <v>bạc</v>
      </c>
      <c r="E390" s="4" t="str">
        <f ca="1">IFERROR(__xludf.DUMMYFUNCTION("GOOGLETRANSLATE(C390,""ja"",""vi"")"),"Loading...")</f>
        <v>Loading...</v>
      </c>
      <c r="F390" t="str">
        <f t="shared" ca="1" si="6"/>
        <v>"2084062549" : "bạc",</v>
      </c>
    </row>
    <row r="391" spans="1:6" ht="15.75" customHeight="1">
      <c r="A391" s="18">
        <v>2084062545</v>
      </c>
      <c r="B391" s="18" t="s">
        <v>21503</v>
      </c>
      <c r="C391" s="18" t="s">
        <v>21504</v>
      </c>
      <c r="D391" s="4" t="str">
        <f ca="1">IFERROR(__xludf.DUMMYFUNCTION("GOOGLETRANSLATE(B391,""ja"",""vi"")"),"không gỉ")</f>
        <v>không gỉ</v>
      </c>
      <c r="E391" s="4" t="str">
        <f ca="1">IFERROR(__xludf.DUMMYFUNCTION("GOOGLETRANSLATE(C391,""ja"",""vi"")"),"Đấu giá&gt; Accessories, Đồng hồ&gt; dùng cho phụ nữ&gt; Body Piercing&gt; không gỉ")</f>
        <v>Đấu giá&gt; Accessories, Đồng hồ&gt; dùng cho phụ nữ&gt; Body Piercing&gt; không gỉ</v>
      </c>
      <c r="F391" t="str">
        <f t="shared" ca="1" si="6"/>
        <v>"2084062545" : "không gỉ",</v>
      </c>
    </row>
    <row r="392" spans="1:6" ht="15.75" customHeight="1">
      <c r="A392" s="18">
        <v>2084062552</v>
      </c>
      <c r="B392" s="18" t="s">
        <v>21506</v>
      </c>
      <c r="C392" s="18" t="s">
        <v>21507</v>
      </c>
      <c r="D392" s="4" t="str">
        <f ca="1">IFERROR(__xludf.DUMMYFUNCTION("GOOGLETRANSLATE(B392,""ja"",""vi"")"),"Titanium")</f>
        <v>Titanium</v>
      </c>
      <c r="E392" s="4" t="str">
        <f ca="1">IFERROR(__xludf.DUMMYFUNCTION("GOOGLETRANSLATE(C392,""ja"",""vi"")"),"Đấu giá&gt; Accessories, Đồng hồ&gt; dùng cho phụ nữ&gt; Body Piercing&gt; titan")</f>
        <v>Đấu giá&gt; Accessories, Đồng hồ&gt; dùng cho phụ nữ&gt; Body Piercing&gt; titan</v>
      </c>
      <c r="F392" t="str">
        <f t="shared" ca="1" si="6"/>
        <v>"2084062552" : "Titanium",</v>
      </c>
    </row>
    <row r="393" spans="1:6" ht="15.75" customHeight="1">
      <c r="A393" s="18">
        <v>2084062551</v>
      </c>
      <c r="B393" s="18" t="s">
        <v>21509</v>
      </c>
      <c r="C393" s="18" t="s">
        <v>21510</v>
      </c>
      <c r="D393" s="4" t="str">
        <f ca="1">IFERROR(__xludf.DUMMYFUNCTION("GOOGLETRANSLATE(B393,""ja"",""vi"")"),"nhựa thông")</f>
        <v>nhựa thông</v>
      </c>
      <c r="E393" s="4" t="str">
        <f ca="1">IFERROR(__xludf.DUMMYFUNCTION("GOOGLETRANSLATE(C393,""ja"",""vi"")"),"Đấu giá&gt; Accessories, Đồng hồ&gt; dùng cho phụ nữ&gt; Body Piercing&gt; nhựa")</f>
        <v>Đấu giá&gt; Accessories, Đồng hồ&gt; dùng cho phụ nữ&gt; Body Piercing&gt; nhựa</v>
      </c>
      <c r="F393" t="str">
        <f t="shared" ca="1" si="6"/>
        <v>"2084062551" : "nhựa thông",</v>
      </c>
    </row>
    <row r="394" spans="1:6" ht="15.75" customHeight="1">
      <c r="A394" s="18">
        <v>2084062553</v>
      </c>
      <c r="B394" s="18" t="s">
        <v>46</v>
      </c>
      <c r="C394" s="18" t="s">
        <v>21512</v>
      </c>
      <c r="D394" s="4" t="str">
        <f ca="1">IFERROR(__xludf.DUMMYFUNCTION("GOOGLETRANSLATE(B394,""ja"",""vi"")"),"nếu không thì")</f>
        <v>nếu không thì</v>
      </c>
      <c r="E394" s="4" t="str">
        <f ca="1">IFERROR(__xludf.DUMMYFUNCTION("GOOGLETRANSLATE(C394,""ja"",""vi"")"),"Đấu giá&gt; Accessories, Đồng hồ&gt; dùng cho phụ nữ&gt; Body Piercing&gt; Khác")</f>
        <v>Đấu giá&gt; Accessories, Đồng hồ&gt; dùng cho phụ nữ&gt; Body Piercing&gt; Khác</v>
      </c>
      <c r="F394" t="str">
        <f t="shared" ca="1" si="6"/>
        <v>"2084062553" : "nếu không thì",</v>
      </c>
    </row>
    <row r="395" spans="1:6" ht="15.75" customHeight="1">
      <c r="A395" s="18">
        <v>2084060112</v>
      </c>
      <c r="B395" s="18" t="s">
        <v>21039</v>
      </c>
      <c r="C395" s="18" t="s">
        <v>21088</v>
      </c>
      <c r="D395" s="4" t="str">
        <f ca="1">IFERROR(__xludf.DUMMYFUNCTION("GOOGLETRANSLATE(B395,""ja"",""vi"")"),"kim cương")</f>
        <v>kim cương</v>
      </c>
      <c r="E395" s="4" t="str">
        <f ca="1">IFERROR(__xludf.DUMMYFUNCTION("GOOGLETRANSLATE(C395,""ja"",""vi"")"),"Loading...")</f>
        <v>Loading...</v>
      </c>
      <c r="F395" t="str">
        <f t="shared" ca="1" si="6"/>
        <v>"2084060112" : "kim cương",</v>
      </c>
    </row>
    <row r="396" spans="1:6" ht="15.75" customHeight="1">
      <c r="A396" s="18">
        <v>2084060155</v>
      </c>
      <c r="B396" s="18" t="s">
        <v>21042</v>
      </c>
      <c r="C396" s="18" t="s">
        <v>21090</v>
      </c>
      <c r="D396" s="4" t="str">
        <f ca="1">IFERROR(__xludf.DUMMYFUNCTION("GOOGLETRANSLATE(B396,""ja"",""vi"")"),"ngọc trai")</f>
        <v>ngọc trai</v>
      </c>
      <c r="E396" s="4" t="str">
        <f ca="1">IFERROR(__xludf.DUMMYFUNCTION("GOOGLETRANSLATE(C396,""ja"",""vi"")"),"Loading...")</f>
        <v>Loading...</v>
      </c>
      <c r="F396" t="str">
        <f t="shared" ca="1" si="6"/>
        <v>"2084060155" : "ngọc trai",</v>
      </c>
    </row>
    <row r="397" spans="1:6" ht="15.75" customHeight="1">
      <c r="A397" s="18">
        <v>2084060113</v>
      </c>
      <c r="B397" s="18" t="s">
        <v>21046</v>
      </c>
      <c r="C397" s="18" t="s">
        <v>21092</v>
      </c>
      <c r="D397" s="4" t="str">
        <f ca="1">IFERROR(__xludf.DUMMYFUNCTION("GOOGLETRANSLATE(B397,""ja"",""vi"")"),"màu đá")</f>
        <v>màu đá</v>
      </c>
      <c r="E397" s="4" t="str">
        <f ca="1">IFERROR(__xludf.DUMMYFUNCTION("GOOGLETRANSLATE(C397,""ja"",""vi"")"),"Loading...")</f>
        <v>Loading...</v>
      </c>
      <c r="F397" t="str">
        <f t="shared" ca="1" si="6"/>
        <v>"2084060113" : "màu đá",</v>
      </c>
    </row>
    <row r="398" spans="1:6" ht="15.75" customHeight="1">
      <c r="A398" s="18">
        <v>2084060138</v>
      </c>
      <c r="B398" s="18" t="s">
        <v>21050</v>
      </c>
      <c r="C398" s="18" t="s">
        <v>21095</v>
      </c>
      <c r="D398" s="4" t="str">
        <f ca="1">IFERROR(__xludf.DUMMYFUNCTION("GOOGLETRANSLATE(B398,""ja"",""vi"")"),"đồ trang sức nhân tạo, rhinestone")</f>
        <v>đồ trang sức nhân tạo, rhinestone</v>
      </c>
      <c r="E398" s="4" t="str">
        <f ca="1">IFERROR(__xludf.DUMMYFUNCTION("GOOGLETRANSLATE(C398,""ja"",""vi"")"),"Đấu giá&gt; Accessories, Đồng hồ&gt; dùng cho phụ nữ&gt; mặt dây chuyền hàng đầu, quyến rũ&gt; đồ trang sức nhân tạo, rhinestone")</f>
        <v>Đấu giá&gt; Accessories, Đồng hồ&gt; dùng cho phụ nữ&gt; mặt dây chuyền hàng đầu, quyến rũ&gt; đồ trang sức nhân tạo, rhinestone</v>
      </c>
      <c r="F398" t="str">
        <f t="shared" ca="1" si="6"/>
        <v>"2084060138" : "đồ trang sức nhân tạo, rhinestone",</v>
      </c>
    </row>
    <row r="399" spans="1:6" ht="15.75" customHeight="1">
      <c r="A399" s="18">
        <v>2084060146</v>
      </c>
      <c r="B399" s="18" t="s">
        <v>21052</v>
      </c>
      <c r="C399" s="18" t="s">
        <v>21098</v>
      </c>
      <c r="D399" s="4" t="str">
        <f ca="1">IFERROR(__xludf.DUMMYFUNCTION("GOOGLETRANSLATE(B399,""ja"",""vi"")"),"vàng")</f>
        <v>vàng</v>
      </c>
      <c r="E399" s="4" t="str">
        <f ca="1">IFERROR(__xludf.DUMMYFUNCTION("GOOGLETRANSLATE(C399,""ja"",""vi"")"),"Loading...")</f>
        <v>Loading...</v>
      </c>
      <c r="F399" t="str">
        <f t="shared" ca="1" si="6"/>
        <v>"2084060146" : "vàng",</v>
      </c>
    </row>
    <row r="400" spans="1:6" ht="15.75" customHeight="1">
      <c r="A400" s="18">
        <v>2084060152</v>
      </c>
      <c r="B400" s="18" t="s">
        <v>21056</v>
      </c>
      <c r="C400" s="18" t="s">
        <v>21101</v>
      </c>
      <c r="D400" s="4" t="str">
        <f ca="1">IFERROR(__xludf.DUMMYFUNCTION("GOOGLETRANSLATE(B400,""ja"",""vi"")"),"bạc")</f>
        <v>bạc</v>
      </c>
      <c r="E400" s="4" t="str">
        <f ca="1">IFERROR(__xludf.DUMMYFUNCTION("GOOGLETRANSLATE(C400,""ja"",""vi"")"),"Loading...")</f>
        <v>Loading...</v>
      </c>
      <c r="F400" t="str">
        <f t="shared" ca="1" si="6"/>
        <v>"2084060152" : "bạc",</v>
      </c>
    </row>
    <row r="401" spans="1:6" ht="15.75" customHeight="1">
      <c r="A401" s="18">
        <v>2084060154</v>
      </c>
      <c r="B401" s="18" t="s">
        <v>7034</v>
      </c>
      <c r="C401" s="18" t="s">
        <v>21104</v>
      </c>
      <c r="D401" s="4" t="str">
        <f ca="1">IFERROR(__xludf.DUMMYFUNCTION("GOOGLETRANSLATE(B401,""ja"",""vi"")"),"bạch kim")</f>
        <v>bạch kim</v>
      </c>
      <c r="E401" s="4" t="str">
        <f ca="1">IFERROR(__xludf.DUMMYFUNCTION("GOOGLETRANSLATE(C401,""ja"",""vi"")"),"Đấu giá&gt; Accessories, Đồng hồ&gt; dùng cho phụ nữ&gt; mặt dây chuyền hàng đầu, quyến rũ&gt; Platinum")</f>
        <v>Đấu giá&gt; Accessories, Đồng hồ&gt; dùng cho phụ nữ&gt; mặt dây chuyền hàng đầu, quyến rũ&gt; Platinum</v>
      </c>
      <c r="F401" t="str">
        <f t="shared" ca="1" si="6"/>
        <v>"2084060154" : "bạch kim",</v>
      </c>
    </row>
    <row r="402" spans="1:6" ht="15.75" customHeight="1">
      <c r="A402" s="18">
        <v>2084060153</v>
      </c>
      <c r="B402" s="18" t="s">
        <v>21063</v>
      </c>
      <c r="C402" s="18" t="s">
        <v>21107</v>
      </c>
      <c r="D402" s="4" t="str">
        <f ca="1">IFERROR(__xludf.DUMMYFUNCTION("GOOGLETRANSLATE(B402,""ja"",""vi"")"),"Hạt, thủy tinh")</f>
        <v>Hạt, thủy tinh</v>
      </c>
      <c r="E402" s="4" t="str">
        <f ca="1">IFERROR(__xludf.DUMMYFUNCTION("GOOGLETRANSLATE(C402,""ja"",""vi"")"),"Đấu giá&gt; Accessories, Đồng hồ&gt; dùng cho phụ nữ&gt; mặt dây chuyền hàng đầu, quyến rũ&gt; hạt, thủy tinh")</f>
        <v>Đấu giá&gt; Accessories, Đồng hồ&gt; dùng cho phụ nữ&gt; mặt dây chuyền hàng đầu, quyến rũ&gt; hạt, thủy tinh</v>
      </c>
      <c r="F402" t="str">
        <f t="shared" ca="1" si="6"/>
        <v>"2084060153" : "Hạt, thủy tinh",</v>
      </c>
    </row>
    <row r="403" spans="1:6" ht="15.75" customHeight="1">
      <c r="A403" s="18">
        <v>2084060144</v>
      </c>
      <c r="B403" s="18" t="s">
        <v>21066</v>
      </c>
      <c r="C403" s="18" t="s">
        <v>21109</v>
      </c>
      <c r="D403" s="4" t="str">
        <f ca="1">IFERROR(__xludf.DUMMYFUNCTION("GOOGLETRANSLATE(B403,""ja"",""vi"")"),"nâu")</f>
        <v>nâu</v>
      </c>
      <c r="E403" s="4" t="str">
        <f ca="1">IFERROR(__xludf.DUMMYFUNCTION("GOOGLETRANSLATE(C403,""ja"",""vi"")"),"Đấu giá&gt; Accessories, Đồng hồ&gt; dùng cho phụ nữ&gt; đầu mặt dây chuyền, quyến rũ&gt; nâu")</f>
        <v>Đấu giá&gt; Accessories, Đồng hồ&gt; dùng cho phụ nữ&gt; đầu mặt dây chuyền, quyến rũ&gt; nâu</v>
      </c>
      <c r="F403" t="str">
        <f t="shared" ca="1" si="6"/>
        <v>"2084060144" : "nâu",</v>
      </c>
    </row>
    <row r="404" spans="1:6" ht="15.75" customHeight="1">
      <c r="A404" s="18">
        <v>2084060145</v>
      </c>
      <c r="B404" s="18" t="s">
        <v>21069</v>
      </c>
      <c r="C404" s="18" t="s">
        <v>21113</v>
      </c>
      <c r="D404" s="4" t="str">
        <f ca="1">IFERROR(__xludf.DUMMYFUNCTION("GOOGLETRANSLATE(B404,""ja"",""vi"")"),"San hô, san hô")</f>
        <v>San hô, san hô</v>
      </c>
      <c r="E404" s="4" t="str">
        <f ca="1">IFERROR(__xludf.DUMMYFUNCTION("GOOGLETRANSLATE(C404,""ja"",""vi"")"),"Đấu giá&gt; Accessories, Đồng hồ&gt; dùng cho phụ nữ&gt; mặt dây chuyền hàng đầu, quyến rũ&gt; Coral, Coral")</f>
        <v>Đấu giá&gt; Accessories, Đồng hồ&gt; dùng cho phụ nữ&gt; mặt dây chuyền hàng đầu, quyến rũ&gt; Coral, Coral</v>
      </c>
      <c r="F404" t="str">
        <f t="shared" ca="1" si="6"/>
        <v>"2084060145" : "San hô, san hô",</v>
      </c>
    </row>
    <row r="405" spans="1:6" ht="15.75" customHeight="1">
      <c r="A405" s="18">
        <v>2084060156</v>
      </c>
      <c r="B405" s="18" t="s">
        <v>21077</v>
      </c>
      <c r="C405" s="18" t="s">
        <v>21116</v>
      </c>
      <c r="D405" s="4" t="str">
        <f ca="1">IFERROR(__xludf.DUMMYFUNCTION("GOOGLETRANSLATE(B405,""ja"",""vi"")"),"da")</f>
        <v>da</v>
      </c>
      <c r="E405" s="4" t="str">
        <f ca="1">IFERROR(__xludf.DUMMYFUNCTION("GOOGLETRANSLATE(C405,""ja"",""vi"")"),"Đấu giá&gt; Accessories, Đồng hồ&gt; dùng cho phụ nữ&gt; mặt dây chuyền hàng đầu, quyến rũ&gt; da")</f>
        <v>Đấu giá&gt; Accessories, Đồng hồ&gt; dùng cho phụ nữ&gt; mặt dây chuyền hàng đầu, quyến rũ&gt; da</v>
      </c>
      <c r="F405" t="str">
        <f t="shared" ca="1" si="6"/>
        <v>"2084060156" : "da",</v>
      </c>
    </row>
    <row r="406" spans="1:6" ht="15.75" customHeight="1">
      <c r="A406" s="18">
        <v>2084060157</v>
      </c>
      <c r="B406" s="18" t="s">
        <v>21081</v>
      </c>
      <c r="C406" s="18" t="s">
        <v>21119</v>
      </c>
      <c r="D406" s="4" t="str">
        <f ca="1">IFERROR(__xludf.DUMMYFUNCTION("GOOGLETRANSLATE(B406,""ja"",""vi"")"),"gỗ")</f>
        <v>gỗ</v>
      </c>
      <c r="E406" s="4" t="str">
        <f ca="1">IFERROR(__xludf.DUMMYFUNCTION("GOOGLETRANSLATE(C406,""ja"",""vi"")"),"Loading...")</f>
        <v>Loading...</v>
      </c>
      <c r="F406" t="str">
        <f t="shared" ca="1" si="6"/>
        <v>"2084060157" : "gỗ",</v>
      </c>
    </row>
    <row r="407" spans="1:6" ht="15.75" customHeight="1">
      <c r="A407" s="18">
        <v>2084060158</v>
      </c>
      <c r="B407" s="18" t="s">
        <v>46</v>
      </c>
      <c r="C407" s="18" t="s">
        <v>21124</v>
      </c>
      <c r="D407" s="4" t="str">
        <f ca="1">IFERROR(__xludf.DUMMYFUNCTION("GOOGLETRANSLATE(B407,""ja"",""vi"")"),"nếu không thì")</f>
        <v>nếu không thì</v>
      </c>
      <c r="E407" s="4" t="str">
        <f ca="1">IFERROR(__xludf.DUMMYFUNCTION("GOOGLETRANSLATE(C407,""ja"",""vi"")"),"Đấu giá&gt; Accessories, Đồng hồ&gt; dùng cho phụ nữ&gt; mặt dây chuyền hàng đầu, quyến rũ&gt; Khác")</f>
        <v>Đấu giá&gt; Accessories, Đồng hồ&gt; dùng cho phụ nữ&gt; mặt dây chuyền hàng đầu, quyến rũ&gt; Khác</v>
      </c>
      <c r="F407" t="str">
        <f t="shared" ca="1" si="6"/>
        <v>"2084060158" : "nếu không thì",</v>
      </c>
    </row>
    <row r="408" spans="1:6" ht="15.75" customHeight="1">
      <c r="A408" s="18">
        <v>2084040535</v>
      </c>
      <c r="B408" s="18" t="s">
        <v>2241</v>
      </c>
      <c r="C408" s="18" t="s">
        <v>21522</v>
      </c>
      <c r="D408" s="4" t="str">
        <f ca="1">IFERROR(__xludf.DUMMYFUNCTION("GOOGLETRANSLATE(B408,""ja"",""vi"")"),"chung")</f>
        <v>chung</v>
      </c>
      <c r="E408" s="4" t="str">
        <f ca="1">IFERROR(__xludf.DUMMYFUNCTION("GOOGLETRANSLATE(C408,""ja"",""vi"")"),"Loading...")</f>
        <v>Loading...</v>
      </c>
      <c r="F408" t="str">
        <f t="shared" ca="1" si="6"/>
        <v>"2084040535" : "chung",</v>
      </c>
    </row>
    <row r="409" spans="1:6" ht="15.75" customHeight="1">
      <c r="A409" s="18">
        <v>2084040536</v>
      </c>
      <c r="B409" s="18" t="s">
        <v>21524</v>
      </c>
      <c r="C409" s="18" t="s">
        <v>21525</v>
      </c>
      <c r="D409" s="4" t="str">
        <f ca="1">IFERROR(__xludf.DUMMYFUNCTION("GOOGLETRANSLATE(B409,""ja"",""vi"")"),"dây đeo cổ")</f>
        <v>dây đeo cổ</v>
      </c>
      <c r="E409" s="4" t="str">
        <f ca="1">IFERROR(__xludf.DUMMYFUNCTION("GOOGLETRANSLATE(C409,""ja"",""vi"")"),"Đấu giá&gt; thiết bị điện tử tiêu dùng, AV, camera&gt; điện thoại di động, điện thoại thông minh&gt; phụ kiện&gt; dây đeo&gt; dây đeo cổ")</f>
        <v>Đấu giá&gt; thiết bị điện tử tiêu dùng, AV, camera&gt; điện thoại di động, điện thoại thông minh&gt; phụ kiện&gt; dây đeo&gt; dây đeo cổ</v>
      </c>
      <c r="F409" t="str">
        <f t="shared" ca="1" si="6"/>
        <v>"2084040536" : "dây đeo cổ",</v>
      </c>
    </row>
    <row r="410" spans="1:6" ht="15.75" customHeight="1">
      <c r="A410" s="18">
        <v>2084040533</v>
      </c>
      <c r="B410" s="18" t="s">
        <v>4452</v>
      </c>
      <c r="C410" s="18" t="s">
        <v>21527</v>
      </c>
      <c r="D410" s="4" t="str">
        <f ca="1">IFERROR(__xludf.DUMMYFUNCTION("GOOGLETRANSLATE(B410,""ja"",""vi"")"),"nhân vật")</f>
        <v>nhân vật</v>
      </c>
      <c r="E410" s="4" t="str">
        <f ca="1">IFERROR(__xludf.DUMMYFUNCTION("GOOGLETRANSLATE(C410,""ja"",""vi"")"),"Loading...")</f>
        <v>Loading...</v>
      </c>
      <c r="F410" t="str">
        <f t="shared" ca="1" si="6"/>
        <v>"2084040533" : "nhân vật",</v>
      </c>
    </row>
    <row r="411" spans="1:6" ht="15.75" customHeight="1">
      <c r="A411" s="18">
        <v>2084040532</v>
      </c>
      <c r="B411" s="18" t="s">
        <v>7507</v>
      </c>
      <c r="C411" s="18" t="s">
        <v>21529</v>
      </c>
      <c r="D411" s="4" t="str">
        <f ca="1">IFERROR(__xludf.DUMMYFUNCTION("GOOGLETRANSLATE(B411,""ja"",""vi"")"),"Truyện tranh, hoạt hình")</f>
        <v>Truyện tranh, hoạt hình</v>
      </c>
      <c r="E411" s="4" t="str">
        <f ca="1">IFERROR(__xludf.DUMMYFUNCTION("GOOGLETRANSLATE(C411,""ja"",""vi"")"),"Loading...")</f>
        <v>Loading...</v>
      </c>
      <c r="F411" t="str">
        <f t="shared" ca="1" si="6"/>
        <v>"2084040532" : "Truyện tranh, hoạt hình",</v>
      </c>
    </row>
    <row r="412" spans="1:6" ht="15.75" customHeight="1">
      <c r="A412" s="18">
        <v>2084040530</v>
      </c>
      <c r="B412" s="18" t="s">
        <v>7985</v>
      </c>
      <c r="C412" s="18" t="s">
        <v>21530</v>
      </c>
      <c r="D412" s="4" t="str">
        <f ca="1">IFERROR(__xludf.DUMMYFUNCTION("GOOGLETRANSLATE(B412,""ja"",""vi"")"),"Talent, nhạc sĩ")</f>
        <v>Talent, nhạc sĩ</v>
      </c>
      <c r="E412" s="4" t="str">
        <f ca="1">IFERROR(__xludf.DUMMYFUNCTION("GOOGLETRANSLATE(C412,""ja"",""vi"")"),"Loading...")</f>
        <v>Loading...</v>
      </c>
      <c r="F412" t="str">
        <f t="shared" ca="1" si="6"/>
        <v>"2084040530" : "Talent, nhạc sĩ",</v>
      </c>
    </row>
    <row r="413" spans="1:6" ht="15.75" customHeight="1">
      <c r="A413" s="18">
        <v>2084236963</v>
      </c>
      <c r="B413" s="18" t="s">
        <v>7989</v>
      </c>
      <c r="C413" s="18" t="s">
        <v>21532</v>
      </c>
      <c r="D413" s="4" t="str">
        <f ca="1">IFERROR(__xludf.DUMMYFUNCTION("GOOGLETRANSLATE(B413,""ja"",""vi"")"),"làm bằng tay")</f>
        <v>làm bằng tay</v>
      </c>
      <c r="E413" s="4" t="str">
        <f ca="1">IFERROR(__xludf.DUMMYFUNCTION("GOOGLETRANSLATE(C413,""ja"",""vi"")"),"Đấu giá&gt; thiết bị điện tử tiêu dùng, AV, camera&gt; điện thoại di động, điện thoại thông minh&gt; phụ kiện&gt; dây đeo&gt; handmade")</f>
        <v>Đấu giá&gt; thiết bị điện tử tiêu dùng, AV, camera&gt; điện thoại di động, điện thoại thông minh&gt; phụ kiện&gt; dây đeo&gt; handmade</v>
      </c>
      <c r="F413" t="str">
        <f t="shared" ca="1" si="6"/>
        <v>"2084236963" : "làm bằng tay",</v>
      </c>
    </row>
    <row r="414" spans="1:6" ht="15.75" customHeight="1">
      <c r="A414" s="18">
        <v>2084040537</v>
      </c>
      <c r="B414" s="18" t="s">
        <v>7987</v>
      </c>
      <c r="C414" s="18" t="s">
        <v>21534</v>
      </c>
      <c r="D414" s="4" t="str">
        <f ca="1">IFERROR(__xludf.DUMMYFUNCTION("GOOGLETRANSLATE(B414,""ja"",""vi"")"),"Nhãn hiệu")</f>
        <v>Nhãn hiệu</v>
      </c>
      <c r="E414" s="4" t="str">
        <f ca="1">IFERROR(__xludf.DUMMYFUNCTION("GOOGLETRANSLATE(C414,""ja"",""vi"")"),"Đấu giá&gt; thiết bị điện tử tiêu dùng, AV, camera&gt; điện thoại di động, điện thoại thông minh&gt; phụ kiện&gt; dây đeo&gt; thương hiệu")</f>
        <v>Đấu giá&gt; thiết bị điện tử tiêu dùng, AV, camera&gt; điện thoại di động, điện thoại thông minh&gt; phụ kiện&gt; dây đeo&gt; thương hiệu</v>
      </c>
      <c r="F414" t="str">
        <f t="shared" ca="1" si="6"/>
        <v>"2084040537" : "Nhãn hiệu",</v>
      </c>
    </row>
    <row r="415" spans="1:6" ht="15.75" customHeight="1">
      <c r="A415" s="18">
        <v>2084062957</v>
      </c>
      <c r="B415" s="18" t="s">
        <v>18786</v>
      </c>
      <c r="C415" s="18" t="s">
        <v>21536</v>
      </c>
      <c r="D415" s="4" t="str">
        <f ca="1">IFERROR(__xludf.DUMMYFUNCTION("GOOGLETRANSLATE(B415,""ja"",""vi"")"),"Lưu trữ nói chung trường hợp")</f>
        <v>Lưu trữ nói chung trường hợp</v>
      </c>
      <c r="E415" s="4" t="str">
        <f ca="1">IFERROR(__xludf.DUMMYFUNCTION("GOOGLETRANSLATE(C415,""ja"",""vi"")"),"Đấu giá&gt; Accessories, Đồng hồ&gt; dùng cho phụ nữ&gt; Phụ kiện Các trường hợp&gt; trường hợp lưu trữ chung")</f>
        <v>Đấu giá&gt; Accessories, Đồng hồ&gt; dùng cho phụ nữ&gt; Phụ kiện Các trường hợp&gt; trường hợp lưu trữ chung</v>
      </c>
      <c r="F415" t="str">
        <f t="shared" ca="1" si="6"/>
        <v>"2084062957" : "Lưu trữ nói chung trường hợp",</v>
      </c>
    </row>
    <row r="416" spans="1:6" ht="15.75" customHeight="1">
      <c r="A416" s="18">
        <v>2084062960</v>
      </c>
      <c r="B416" s="18" t="s">
        <v>21538</v>
      </c>
      <c r="C416" s="18" t="s">
        <v>21539</v>
      </c>
      <c r="D416" s="4" t="str">
        <f ca="1">IFERROR(__xludf.DUMMYFUNCTION("GOOGLETRANSLATE(B416,""ja"",""vi"")"),"Quà tặng, cho hiện tại")</f>
        <v>Quà tặng, cho hiện tại</v>
      </c>
      <c r="E416" s="4" t="str">
        <f ca="1">IFERROR(__xludf.DUMMYFUNCTION("GOOGLETRANSLATE(C416,""ja"",""vi"")"),"Loading...")</f>
        <v>Loading...</v>
      </c>
      <c r="F416" t="str">
        <f t="shared" ca="1" si="6"/>
        <v>"2084062960" : "Quà tặng, cho hiện tại",</v>
      </c>
    </row>
    <row r="417" spans="1:6" ht="15.75" customHeight="1">
      <c r="A417" s="18">
        <v>2084062961</v>
      </c>
      <c r="B417" s="18" t="s">
        <v>21540</v>
      </c>
      <c r="C417" s="18" t="s">
        <v>21541</v>
      </c>
      <c r="D417" s="4" t="str">
        <f ca="1">IFERROR(__xludf.DUMMYFUNCTION("GOOGLETRANSLATE(B417,""ja"",""vi"")"),"để trưng bày")</f>
        <v>để trưng bày</v>
      </c>
      <c r="E417" s="4" t="str">
        <f ca="1">IFERROR(__xludf.DUMMYFUNCTION("GOOGLETRANSLATE(C417,""ja"",""vi"")"),"Đấu giá&gt; Accessories, Đồng hồ&gt; dùng cho phụ nữ&gt; Phụ kiện Các trường hợp&gt; để hiển thị")</f>
        <v>Đấu giá&gt; Accessories, Đồng hồ&gt; dùng cho phụ nữ&gt; Phụ kiện Các trường hợp&gt; để hiển thị</v>
      </c>
      <c r="F417" t="str">
        <f t="shared" ca="1" si="6"/>
        <v>"2084062961" : "để trưng bày",</v>
      </c>
    </row>
    <row r="418" spans="1:6" ht="15.75" customHeight="1">
      <c r="A418" s="18">
        <v>2084062962</v>
      </c>
      <c r="B418" s="18" t="s">
        <v>18801</v>
      </c>
      <c r="C418" s="18" t="s">
        <v>21544</v>
      </c>
      <c r="D418" s="4" t="str">
        <f ca="1">IFERROR(__xludf.DUMMYFUNCTION("GOOGLETRANSLATE(B418,""ja"",""vi"")"),"di động")</f>
        <v>di động</v>
      </c>
      <c r="E418" s="4" t="str">
        <f ca="1">IFERROR(__xludf.DUMMYFUNCTION("GOOGLETRANSLATE(C418,""ja"",""vi"")"),"Loading...")</f>
        <v>Loading...</v>
      </c>
      <c r="F418" t="str">
        <f t="shared" ca="1" si="6"/>
        <v>"2084062962" : "di động",</v>
      </c>
    </row>
    <row r="419" spans="1:6" ht="15.75" customHeight="1">
      <c r="A419" s="18">
        <v>2084223356</v>
      </c>
      <c r="B419" s="18" t="s">
        <v>21046</v>
      </c>
      <c r="C419" s="18" t="s">
        <v>21546</v>
      </c>
      <c r="D419" s="4" t="str">
        <f ca="1">IFERROR(__xludf.DUMMYFUNCTION("GOOGLETRANSLATE(B419,""ja"",""vi"")"),"màu đá")</f>
        <v>màu đá</v>
      </c>
      <c r="E419" s="4" t="str">
        <f ca="1">IFERROR(__xludf.DUMMYFUNCTION("GOOGLETRANSLATE(C419,""ja"",""vi"")"),"Loading...")</f>
        <v>Loading...</v>
      </c>
      <c r="F419" t="str">
        <f t="shared" ca="1" si="6"/>
        <v>"2084223356" : "màu đá",</v>
      </c>
    </row>
    <row r="420" spans="1:6" ht="15.75" customHeight="1">
      <c r="A420" s="18">
        <v>2084049295</v>
      </c>
      <c r="B420" s="18" t="s">
        <v>21052</v>
      </c>
      <c r="C420" s="18" t="s">
        <v>21547</v>
      </c>
      <c r="D420" s="4" t="str">
        <f ca="1">IFERROR(__xludf.DUMMYFUNCTION("GOOGLETRANSLATE(B420,""ja"",""vi"")"),"vàng")</f>
        <v>vàng</v>
      </c>
      <c r="E420" s="4" t="str">
        <f ca="1">IFERROR(__xludf.DUMMYFUNCTION("GOOGLETRANSLATE(C420,""ja"",""vi"")"),"Loading...")</f>
        <v>Loading...</v>
      </c>
      <c r="F420" t="str">
        <f t="shared" ca="1" si="6"/>
        <v>"2084049295" : "vàng",</v>
      </c>
    </row>
    <row r="421" spans="1:6" ht="15.75" customHeight="1">
      <c r="A421" s="18">
        <v>2084049296</v>
      </c>
      <c r="B421" s="18" t="s">
        <v>21056</v>
      </c>
      <c r="C421" s="18" t="s">
        <v>21549</v>
      </c>
      <c r="D421" s="4" t="str">
        <f ca="1">IFERROR(__xludf.DUMMYFUNCTION("GOOGLETRANSLATE(B421,""ja"",""vi"")"),"bạc")</f>
        <v>bạc</v>
      </c>
      <c r="E421" s="4" t="str">
        <f ca="1">IFERROR(__xludf.DUMMYFUNCTION("GOOGLETRANSLATE(C421,""ja"",""vi"")"),"Đấu giá&gt; Accessories, Đồng hồ&gt; nam Phụ kiện&gt; Mặt dây&gt; Bạc")</f>
        <v>Đấu giá&gt; Accessories, Đồng hồ&gt; nam Phụ kiện&gt; Mặt dây&gt; Bạc</v>
      </c>
      <c r="F421" t="str">
        <f t="shared" ca="1" si="6"/>
        <v>"2084049296" : "bạc",</v>
      </c>
    </row>
    <row r="422" spans="1:6" ht="15.75" customHeight="1">
      <c r="A422" s="18">
        <v>2084049297</v>
      </c>
      <c r="B422" s="18" t="s">
        <v>7034</v>
      </c>
      <c r="C422" s="18" t="s">
        <v>21551</v>
      </c>
      <c r="D422" s="4" t="str">
        <f ca="1">IFERROR(__xludf.DUMMYFUNCTION("GOOGLETRANSLATE(B422,""ja"",""vi"")"),"bạch kim")</f>
        <v>bạch kim</v>
      </c>
      <c r="E422" s="4" t="str">
        <f ca="1">IFERROR(__xludf.DUMMYFUNCTION("GOOGLETRANSLATE(C422,""ja"",""vi"")"),"Đấu giá&gt; Accessories, Đồng hồ&gt; Phụ kiện nam&gt; Mặt dây&gt; Platinum")</f>
        <v>Đấu giá&gt; Accessories, Đồng hồ&gt; Phụ kiện nam&gt; Mặt dây&gt; Platinum</v>
      </c>
      <c r="F422" t="str">
        <f t="shared" ca="1" si="6"/>
        <v>"2084049297" : "bạch kim",</v>
      </c>
    </row>
    <row r="423" spans="1:6" ht="15.75" customHeight="1">
      <c r="A423" s="18">
        <v>2084223357</v>
      </c>
      <c r="B423" s="18" t="s">
        <v>21077</v>
      </c>
      <c r="C423" s="18" t="s">
        <v>21553</v>
      </c>
      <c r="D423" s="4" t="str">
        <f ca="1">IFERROR(__xludf.DUMMYFUNCTION("GOOGLETRANSLATE(B423,""ja"",""vi"")"),"da")</f>
        <v>da</v>
      </c>
      <c r="E423" s="4" t="str">
        <f ca="1">IFERROR(__xludf.DUMMYFUNCTION("GOOGLETRANSLATE(C423,""ja"",""vi"")"),"Loading...")</f>
        <v>Loading...</v>
      </c>
      <c r="F423" t="str">
        <f t="shared" ca="1" si="6"/>
        <v>"2084223357" : "da",</v>
      </c>
    </row>
    <row r="424" spans="1:6" ht="15.75" customHeight="1">
      <c r="A424" s="18">
        <v>2084049298</v>
      </c>
      <c r="B424" s="18" t="s">
        <v>46</v>
      </c>
      <c r="C424" s="18" t="s">
        <v>21554</v>
      </c>
      <c r="D424" s="4" t="str">
        <f ca="1">IFERROR(__xludf.DUMMYFUNCTION("GOOGLETRANSLATE(B424,""ja"",""vi"")"),"nếu không thì")</f>
        <v>nếu không thì</v>
      </c>
      <c r="E424" s="4" t="str">
        <f ca="1">IFERROR(__xludf.DUMMYFUNCTION("GOOGLETRANSLATE(C424,""ja"",""vi"")"),"Đấu giá&gt; Accessories, Đồng hồ&gt; Phụ kiện nam&gt; Mặt dây&gt; Khác")</f>
        <v>Đấu giá&gt; Accessories, Đồng hồ&gt; Phụ kiện nam&gt; Mặt dây&gt; Khác</v>
      </c>
      <c r="F424" t="str">
        <f t="shared" ca="1" si="6"/>
        <v>"2084049298" : "nếu không thì",</v>
      </c>
    </row>
    <row r="425" spans="1:6" ht="15.75" customHeight="1">
      <c r="A425" s="18">
        <v>2084052632</v>
      </c>
      <c r="B425" s="18" t="s">
        <v>21316</v>
      </c>
      <c r="C425" s="24" t="s">
        <v>21556</v>
      </c>
      <c r="D425" s="4" t="str">
        <f ca="1">IFERROR(__xludf.DUMMYFUNCTION("GOOGLETRANSLATE(B425,""ja"",""vi"")"),"vòng tay")</f>
        <v>vòng tay</v>
      </c>
      <c r="E425" s="4" t="str">
        <f ca="1">IFERROR(__xludf.DUMMYFUNCTION("GOOGLETRANSLATE(C425,""ja"",""vi"")"),"Đấu giá&gt; Accessories, Đồng hồ&gt; Phụ kiện nam&gt; vòng đeo tay, vòng&gt; bangle")</f>
        <v>Đấu giá&gt; Accessories, Đồng hồ&gt; Phụ kiện nam&gt; vòng đeo tay, vòng&gt; bangle</v>
      </c>
      <c r="F425" t="str">
        <f t="shared" ca="1" si="6"/>
        <v>"2084052632" : "vòng tay",</v>
      </c>
    </row>
    <row r="426" spans="1:6" ht="15.75" customHeight="1">
      <c r="A426" s="18">
        <v>2084052631</v>
      </c>
      <c r="B426" s="18" t="s">
        <v>21319</v>
      </c>
      <c r="C426" s="24" t="s">
        <v>21557</v>
      </c>
      <c r="D426" s="4" t="str">
        <f ca="1">IFERROR(__xludf.DUMMYFUNCTION("GOOGLETRANSLATE(B426,""ja"",""vi"")"),"vòng tay")</f>
        <v>vòng tay</v>
      </c>
      <c r="E426" s="4" t="str">
        <f ca="1">IFERROR(__xludf.DUMMYFUNCTION("GOOGLETRANSLATE(C426,""ja"",""vi"")"),"Đấu giá&gt; Accessories, Đồng hồ&gt; Phụ kiện nam&gt; vòng đeo tay, vòng&gt; vòng đeo tay")</f>
        <v>Đấu giá&gt; Accessories, Đồng hồ&gt; Phụ kiện nam&gt; vòng đeo tay, vòng&gt; vòng đeo tay</v>
      </c>
      <c r="F426" t="str">
        <f t="shared" ca="1" si="6"/>
        <v>"2084052631" : "vòng tay",</v>
      </c>
    </row>
    <row r="427" spans="1:6" ht="15.75" customHeight="1">
      <c r="A427" s="18">
        <v>2084061234</v>
      </c>
      <c r="B427" s="18" t="s">
        <v>15017</v>
      </c>
      <c r="C427" s="24" t="s">
        <v>21559</v>
      </c>
      <c r="D427" s="4" t="str">
        <f ca="1">IFERROR(__xludf.DUMMYFUNCTION("GOOGLETRANSLATE(B427,""ja"",""vi"")"),"tràng hạt")</f>
        <v>tràng hạt</v>
      </c>
      <c r="E427" s="4" t="str">
        <f ca="1">IFERROR(__xludf.DUMMYFUNCTION("GOOGLETRANSLATE(C427,""ja"",""vi"")"),"Loading...")</f>
        <v>Loading...</v>
      </c>
      <c r="F427" t="str">
        <f t="shared" ca="1" si="6"/>
        <v>"2084061234" : "tràng hạt",</v>
      </c>
    </row>
    <row r="428" spans="1:6" ht="15.75" customHeight="1">
      <c r="A428" s="18">
        <v>2084052636</v>
      </c>
      <c r="B428" s="18" t="s">
        <v>46</v>
      </c>
      <c r="C428" s="24" t="s">
        <v>21561</v>
      </c>
      <c r="D428" s="4" t="str">
        <f ca="1">IFERROR(__xludf.DUMMYFUNCTION("GOOGLETRANSLATE(B428,""ja"",""vi"")"),"nếu không thì")</f>
        <v>nếu không thì</v>
      </c>
      <c r="E428" s="4" t="str">
        <f ca="1">IFERROR(__xludf.DUMMYFUNCTION("GOOGLETRANSLATE(C428,""ja"",""vi"")"),"Đấu giá&gt; Accessories, Đồng hồ&gt; nam Phụ kiện&gt; vòng đeo tay, vòng&gt; Khác")</f>
        <v>Đấu giá&gt; Accessories, Đồng hồ&gt; nam Phụ kiện&gt; vòng đeo tay, vòng&gt; Khác</v>
      </c>
      <c r="F428" t="str">
        <f t="shared" ca="1" si="6"/>
        <v>"2084052636" : "nếu không thì",</v>
      </c>
    </row>
    <row r="429" spans="1:6" ht="15.75" customHeight="1">
      <c r="A429" s="18">
        <v>2084049291</v>
      </c>
      <c r="B429" s="18" t="s">
        <v>21052</v>
      </c>
      <c r="C429" s="18" t="s">
        <v>21562</v>
      </c>
      <c r="D429" s="4" t="str">
        <f ca="1">IFERROR(__xludf.DUMMYFUNCTION("GOOGLETRANSLATE(B429,""ja"",""vi"")"),"vàng")</f>
        <v>vàng</v>
      </c>
      <c r="E429" s="4" t="str">
        <f ca="1">IFERROR(__xludf.DUMMYFUNCTION("GOOGLETRANSLATE(C429,""ja"",""vi"")"),"Loading...")</f>
        <v>Loading...</v>
      </c>
      <c r="F429" t="str">
        <f t="shared" ca="1" si="6"/>
        <v>"2084049291" : "vàng",</v>
      </c>
    </row>
    <row r="430" spans="1:6" ht="15.75" customHeight="1">
      <c r="A430" s="18">
        <v>2084049292</v>
      </c>
      <c r="B430" s="18" t="s">
        <v>21056</v>
      </c>
      <c r="C430" s="18" t="s">
        <v>21564</v>
      </c>
      <c r="D430" s="4" t="str">
        <f ca="1">IFERROR(__xludf.DUMMYFUNCTION("GOOGLETRANSLATE(B430,""ja"",""vi"")"),"bạc")</f>
        <v>bạc</v>
      </c>
      <c r="E430" s="4" t="str">
        <f ca="1">IFERROR(__xludf.DUMMYFUNCTION("GOOGLETRANSLATE(C430,""ja"",""vi"")"),"Đấu giá&gt; Accessories, Đồng hồ&gt; nam Phụ kiện&gt; Nhẫn&gt; Bạc")</f>
        <v>Đấu giá&gt; Accessories, Đồng hồ&gt; nam Phụ kiện&gt; Nhẫn&gt; Bạc</v>
      </c>
      <c r="F430" t="str">
        <f t="shared" ca="1" si="6"/>
        <v>"2084049292" : "bạc",</v>
      </c>
    </row>
    <row r="431" spans="1:6" ht="15.75" customHeight="1">
      <c r="A431" s="18">
        <v>2084049293</v>
      </c>
      <c r="B431" s="18" t="s">
        <v>7034</v>
      </c>
      <c r="C431" s="18" t="s">
        <v>21565</v>
      </c>
      <c r="D431" s="4" t="str">
        <f ca="1">IFERROR(__xludf.DUMMYFUNCTION("GOOGLETRANSLATE(B431,""ja"",""vi"")"),"bạch kim")</f>
        <v>bạch kim</v>
      </c>
      <c r="E431" s="4" t="str">
        <f ca="1">IFERROR(__xludf.DUMMYFUNCTION("GOOGLETRANSLATE(C431,""ja"",""vi"")"),"Đấu giá&gt; Accessories, Đồng hồ&gt; nam Phụ kiện&gt; Nhẫn&gt; Platinum")</f>
        <v>Đấu giá&gt; Accessories, Đồng hồ&gt; nam Phụ kiện&gt; Nhẫn&gt; Platinum</v>
      </c>
      <c r="F431" t="str">
        <f t="shared" ca="1" si="6"/>
        <v>"2084049293" : "bạch kim",</v>
      </c>
    </row>
    <row r="432" spans="1:6" ht="15.75" customHeight="1">
      <c r="A432" s="18">
        <v>2084052576</v>
      </c>
      <c r="B432" s="18" t="s">
        <v>9947</v>
      </c>
      <c r="C432" s="18" t="s">
        <v>21567</v>
      </c>
      <c r="D432" s="4" t="str">
        <f ca="1">IFERROR(__xludf.DUMMYFUNCTION("GOOGLETRANSLATE(B432,""ja"",""vi"")"),"Chrome Hearts")</f>
        <v>Chrome Hearts</v>
      </c>
      <c r="E432" s="4" t="str">
        <f ca="1">IFERROR(__xludf.DUMMYFUNCTION("GOOGLETRANSLATE(C432,""ja"",""vi"")"),"Đấu giá&gt; Accessories, Đồng hồ&gt; nam Phụ kiện&gt; Nhẫn&gt; Hearts Chrome")</f>
        <v>Đấu giá&gt; Accessories, Đồng hồ&gt; nam Phụ kiện&gt; Nhẫn&gt; Hearts Chrome</v>
      </c>
      <c r="F432" t="str">
        <f t="shared" ca="1" si="6"/>
        <v>"2084052576" : "Chrome Hearts",</v>
      </c>
    </row>
    <row r="433" spans="1:6" ht="15.75" customHeight="1">
      <c r="A433" s="18">
        <v>2084049294</v>
      </c>
      <c r="B433" s="18" t="s">
        <v>46</v>
      </c>
      <c r="C433" s="18" t="s">
        <v>21568</v>
      </c>
      <c r="D433" s="4" t="str">
        <f ca="1">IFERROR(__xludf.DUMMYFUNCTION("GOOGLETRANSLATE(B433,""ja"",""vi"")"),"nếu không thì")</f>
        <v>nếu không thì</v>
      </c>
      <c r="E433" s="4" t="str">
        <f ca="1">IFERROR(__xludf.DUMMYFUNCTION("GOOGLETRANSLATE(C433,""ja"",""vi"")"),"Đấu giá&gt; Accessories, Đồng hồ&gt; nam Phụ kiện&gt; Nhẫn&gt; Khác")</f>
        <v>Đấu giá&gt; Accessories, Đồng hồ&gt; nam Phụ kiện&gt; Nhẫn&gt; Khác</v>
      </c>
      <c r="F433" t="str">
        <f t="shared" ca="1" si="6"/>
        <v>"2084049294" : "nếu không thì",</v>
      </c>
    </row>
    <row r="434" spans="1:6" ht="15.75" customHeight="1">
      <c r="A434" s="18">
        <v>2084062589</v>
      </c>
      <c r="B434" s="18" t="s">
        <v>21570</v>
      </c>
      <c r="C434" s="18" t="s">
        <v>21571</v>
      </c>
      <c r="D434" s="4" t="str">
        <f ca="1">IFERROR(__xludf.DUMMYFUNCTION("GOOGLETRANSLATE(B434,""ja"",""vi"")"),"chuỗi Wallet")</f>
        <v>chuỗi Wallet</v>
      </c>
      <c r="E434" s="4" t="str">
        <f ca="1">IFERROR(__xludf.DUMMYFUNCTION("GOOGLETRANSLATE(C434,""ja"",""vi"")"),"Loading...")</f>
        <v>Loading...</v>
      </c>
      <c r="F434" t="str">
        <f t="shared" ca="1" si="6"/>
        <v>"2084062589" : "chuỗi Wallet",</v>
      </c>
    </row>
    <row r="435" spans="1:6" ht="15.75" customHeight="1">
      <c r="A435" s="18">
        <v>2084062588</v>
      </c>
      <c r="B435" s="18" t="s">
        <v>21572</v>
      </c>
      <c r="C435" s="18" t="s">
        <v>21574</v>
      </c>
      <c r="D435" s="4" t="str">
        <f ca="1">IFERROR(__xludf.DUMMYFUNCTION("GOOGLETRANSLATE(B435,""ja"",""vi"")"),"dây đeo chìa khóa")</f>
        <v>dây đeo chìa khóa</v>
      </c>
      <c r="E435" s="4" t="str">
        <f ca="1">IFERROR(__xludf.DUMMYFUNCTION("GOOGLETRANSLATE(C435,""ja"",""vi"")"),"Loading...")</f>
        <v>Loading...</v>
      </c>
      <c r="F435" t="str">
        <f t="shared" ca="1" si="6"/>
        <v>"2084062588" : "dây đeo chìa khóa",</v>
      </c>
    </row>
    <row r="436" spans="1:6" ht="15.75" customHeight="1">
      <c r="A436" s="18">
        <v>40427</v>
      </c>
      <c r="B436" s="18" t="s">
        <v>7699</v>
      </c>
      <c r="C436" s="18" t="s">
        <v>21575</v>
      </c>
      <c r="D436" s="4" t="str">
        <f ca="1">IFERROR(__xludf.DUMMYFUNCTION("GOOGLETRANSLATE(B436,""ja"",""vi"")"),"key Chains")</f>
        <v>key Chains</v>
      </c>
      <c r="E436" s="4" t="str">
        <f ca="1">IFERROR(__xludf.DUMMYFUNCTION("GOOGLETRANSLATE(C436,""ja"",""vi"")"),"Loading...")</f>
        <v>Loading...</v>
      </c>
      <c r="F436" t="str">
        <f t="shared" ca="1" si="6"/>
        <v>"40427" : "key Chains",</v>
      </c>
    </row>
    <row r="437" spans="1:6" ht="15.75" customHeight="1">
      <c r="A437" s="18">
        <v>2084062597</v>
      </c>
      <c r="B437" s="18" t="s">
        <v>21046</v>
      </c>
      <c r="C437" s="18" t="s">
        <v>21578</v>
      </c>
      <c r="D437" s="4" t="str">
        <f ca="1">IFERROR(__xludf.DUMMYFUNCTION("GOOGLETRANSLATE(B437,""ja"",""vi"")"),"màu đá")</f>
        <v>màu đá</v>
      </c>
      <c r="E437" s="4" t="str">
        <f ca="1">IFERROR(__xludf.DUMMYFUNCTION("GOOGLETRANSLATE(C437,""ja"",""vi"")"),"Đấu giá&gt; Accessories, Đồng hồ&gt; nam Phụ kiện&gt; Taiping&gt; đá màu")</f>
        <v>Đấu giá&gt; Accessories, Đồng hồ&gt; nam Phụ kiện&gt; Taiping&gt; đá màu</v>
      </c>
      <c r="F437" t="str">
        <f t="shared" ca="1" si="6"/>
        <v>"2084062597" : "màu đá",</v>
      </c>
    </row>
    <row r="438" spans="1:6" ht="15.75" customHeight="1">
      <c r="A438" s="18">
        <v>2084062593</v>
      </c>
      <c r="B438" s="18" t="s">
        <v>21052</v>
      </c>
      <c r="C438" s="18" t="s">
        <v>21580</v>
      </c>
      <c r="D438" s="4" t="str">
        <f ca="1">IFERROR(__xludf.DUMMYFUNCTION("GOOGLETRANSLATE(B438,""ja"",""vi"")"),"vàng")</f>
        <v>vàng</v>
      </c>
      <c r="E438" s="4" t="str">
        <f ca="1">IFERROR(__xludf.DUMMYFUNCTION("GOOGLETRANSLATE(C438,""ja"",""vi"")"),"Đấu giá&gt; Accessories, Đồng hồ&gt; Phụ kiện nam&gt; Taiping&gt; Vàng")</f>
        <v>Đấu giá&gt; Accessories, Đồng hồ&gt; Phụ kiện nam&gt; Taiping&gt; Vàng</v>
      </c>
      <c r="F438" t="str">
        <f t="shared" ca="1" si="6"/>
        <v>"2084062593" : "vàng",</v>
      </c>
    </row>
    <row r="439" spans="1:6" ht="15.75" customHeight="1">
      <c r="A439" s="18">
        <v>2084062591</v>
      </c>
      <c r="B439" s="18" t="s">
        <v>21056</v>
      </c>
      <c r="C439" s="18" t="s">
        <v>21581</v>
      </c>
      <c r="D439" s="4" t="str">
        <f ca="1">IFERROR(__xludf.DUMMYFUNCTION("GOOGLETRANSLATE(B439,""ja"",""vi"")"),"bạc")</f>
        <v>bạc</v>
      </c>
      <c r="E439" s="4" t="str">
        <f ca="1">IFERROR(__xludf.DUMMYFUNCTION("GOOGLETRANSLATE(C439,""ja"",""vi"")"),"Đấu giá&gt; Accessories, Đồng hồ&gt; nam Phụ kiện&gt; Taiping&gt; Bạc")</f>
        <v>Đấu giá&gt; Accessories, Đồng hồ&gt; nam Phụ kiện&gt; Taiping&gt; Bạc</v>
      </c>
      <c r="F439" t="str">
        <f t="shared" ca="1" si="6"/>
        <v>"2084062591" : "bạc",</v>
      </c>
    </row>
    <row r="440" spans="1:6" ht="15.75" customHeight="1">
      <c r="A440" s="18">
        <v>2084062598</v>
      </c>
      <c r="B440" s="18" t="s">
        <v>21039</v>
      </c>
      <c r="C440" s="18" t="s">
        <v>21583</v>
      </c>
      <c r="D440" s="4" t="str">
        <f ca="1">IFERROR(__xludf.DUMMYFUNCTION("GOOGLETRANSLATE(B440,""ja"",""vi"")"),"kim cương")</f>
        <v>kim cương</v>
      </c>
      <c r="E440" s="4" t="str">
        <f ca="1">IFERROR(__xludf.DUMMYFUNCTION("GOOGLETRANSLATE(C440,""ja"",""vi"")"),"Đấu giá&gt; Accessories, Đồng hồ&gt; Phụ kiện nam&gt; cái kẹp cà vạt&gt; kim cương")</f>
        <v>Đấu giá&gt; Accessories, Đồng hồ&gt; Phụ kiện nam&gt; cái kẹp cà vạt&gt; kim cương</v>
      </c>
      <c r="F440" t="str">
        <f t="shared" ca="1" si="6"/>
        <v>"2084062598" : "kim cương",</v>
      </c>
    </row>
    <row r="441" spans="1:6" ht="15.75" customHeight="1">
      <c r="A441" s="18">
        <v>2084062592</v>
      </c>
      <c r="B441" s="18" t="s">
        <v>7034</v>
      </c>
      <c r="C441" s="18" t="s">
        <v>21585</v>
      </c>
      <c r="D441" s="4" t="str">
        <f ca="1">IFERROR(__xludf.DUMMYFUNCTION("GOOGLETRANSLATE(B441,""ja"",""vi"")"),"bạch kim")</f>
        <v>bạch kim</v>
      </c>
      <c r="E441" s="4" t="str">
        <f ca="1">IFERROR(__xludf.DUMMYFUNCTION("GOOGLETRANSLATE(C441,""ja"",""vi"")"),"Loading...")</f>
        <v>Loading...</v>
      </c>
      <c r="F441" t="str">
        <f t="shared" ca="1" si="6"/>
        <v>"2084062592" : "bạch kim",</v>
      </c>
    </row>
    <row r="442" spans="1:6" ht="15.75" customHeight="1">
      <c r="A442" s="18">
        <v>2084062599</v>
      </c>
      <c r="B442" s="18" t="s">
        <v>21042</v>
      </c>
      <c r="C442" s="18" t="s">
        <v>21587</v>
      </c>
      <c r="D442" s="4" t="str">
        <f ca="1">IFERROR(__xludf.DUMMYFUNCTION("GOOGLETRANSLATE(B442,""ja"",""vi"")"),"ngọc trai")</f>
        <v>ngọc trai</v>
      </c>
      <c r="E442" s="4" t="str">
        <f ca="1">IFERROR(__xludf.DUMMYFUNCTION("GOOGLETRANSLATE(C442,""ja"",""vi"")"),"Loading...")</f>
        <v>Loading...</v>
      </c>
      <c r="F442" t="str">
        <f t="shared" ca="1" si="6"/>
        <v>"2084062599" : "ngọc trai",</v>
      </c>
    </row>
    <row r="443" spans="1:6" ht="15.75" customHeight="1">
      <c r="A443" s="18">
        <v>2084062600</v>
      </c>
      <c r="B443" s="18" t="s">
        <v>46</v>
      </c>
      <c r="C443" s="18" t="s">
        <v>21588</v>
      </c>
      <c r="D443" s="4" t="str">
        <f ca="1">IFERROR(__xludf.DUMMYFUNCTION("GOOGLETRANSLATE(B443,""ja"",""vi"")"),"nếu không thì")</f>
        <v>nếu không thì</v>
      </c>
      <c r="E443" s="4" t="str">
        <f ca="1">IFERROR(__xludf.DUMMYFUNCTION("GOOGLETRANSLATE(C443,""ja"",""vi"")"),"Loading...")</f>
        <v>Loading...</v>
      </c>
      <c r="F443" t="str">
        <f t="shared" ca="1" si="6"/>
        <v>"2084062600" : "nếu không thì",</v>
      </c>
    </row>
    <row r="444" spans="1:6" ht="15.75" customHeight="1">
      <c r="A444" s="18">
        <v>2084062586</v>
      </c>
      <c r="B444" s="18" t="s">
        <v>21066</v>
      </c>
      <c r="C444" s="18" t="s">
        <v>21590</v>
      </c>
      <c r="D444" s="4" t="str">
        <f ca="1">IFERROR(__xludf.DUMMYFUNCTION("GOOGLETRANSLATE(B444,""ja"",""vi"")"),"nâu")</f>
        <v>nâu</v>
      </c>
      <c r="E444" s="4" t="str">
        <f ca="1">IFERROR(__xludf.DUMMYFUNCTION("GOOGLETRANSLATE(C444,""ja"",""vi"")"),"Loading...")</f>
        <v>Loading...</v>
      </c>
      <c r="F444" t="str">
        <f t="shared" ca="1" si="6"/>
        <v>"2084062586" : "nâu",</v>
      </c>
    </row>
    <row r="445" spans="1:6" ht="15.75" customHeight="1">
      <c r="A445" s="18">
        <v>2084062584</v>
      </c>
      <c r="B445" s="18" t="s">
        <v>21046</v>
      </c>
      <c r="C445" s="18" t="s">
        <v>21592</v>
      </c>
      <c r="D445" s="4" t="str">
        <f ca="1">IFERROR(__xludf.DUMMYFUNCTION("GOOGLETRANSLATE(B445,""ja"",""vi"")"),"màu đá")</f>
        <v>màu đá</v>
      </c>
      <c r="E445" s="4" t="str">
        <f ca="1">IFERROR(__xludf.DUMMYFUNCTION("GOOGLETRANSLATE(C445,""ja"",""vi"")"),"Loading...")</f>
        <v>Loading...</v>
      </c>
      <c r="F445" t="str">
        <f t="shared" ca="1" si="6"/>
        <v>"2084062584" : "màu đá",</v>
      </c>
    </row>
    <row r="446" spans="1:6" ht="15.75" customHeight="1">
      <c r="A446" s="18">
        <v>2084062580</v>
      </c>
      <c r="B446" s="18" t="s">
        <v>21052</v>
      </c>
      <c r="C446" s="18" t="s">
        <v>21595</v>
      </c>
      <c r="D446" s="4" t="str">
        <f ca="1">IFERROR(__xludf.DUMMYFUNCTION("GOOGLETRANSLATE(B446,""ja"",""vi"")"),"vàng")</f>
        <v>vàng</v>
      </c>
      <c r="E446" s="4" t="str">
        <f ca="1">IFERROR(__xludf.DUMMYFUNCTION("GOOGLETRANSLATE(C446,""ja"",""vi"")"),"Loading...")</f>
        <v>Loading...</v>
      </c>
      <c r="F446" t="str">
        <f t="shared" ca="1" si="6"/>
        <v>"2084062580" : "vàng",</v>
      </c>
    </row>
    <row r="447" spans="1:6" ht="15.75" customHeight="1">
      <c r="A447" s="18">
        <v>2084062578</v>
      </c>
      <c r="B447" s="18" t="s">
        <v>21056</v>
      </c>
      <c r="C447" s="18" t="s">
        <v>21599</v>
      </c>
      <c r="D447" s="4" t="str">
        <f ca="1">IFERROR(__xludf.DUMMYFUNCTION("GOOGLETRANSLATE(B447,""ja"",""vi"")"),"bạc")</f>
        <v>bạc</v>
      </c>
      <c r="E447" s="4" t="str">
        <f ca="1">IFERROR(__xludf.DUMMYFUNCTION("GOOGLETRANSLATE(C447,""ja"",""vi"")"),"Loading...")</f>
        <v>Loading...</v>
      </c>
      <c r="F447" t="str">
        <f t="shared" ca="1" si="6"/>
        <v>"2084062578" : "bạc",</v>
      </c>
    </row>
    <row r="448" spans="1:6" ht="15.75" customHeight="1">
      <c r="A448" s="18">
        <v>2084062585</v>
      </c>
      <c r="B448" s="18" t="s">
        <v>21039</v>
      </c>
      <c r="C448" s="18" t="s">
        <v>21601</v>
      </c>
      <c r="D448" s="4" t="str">
        <f ca="1">IFERROR(__xludf.DUMMYFUNCTION("GOOGLETRANSLATE(B448,""ja"",""vi"")"),"kim cương")</f>
        <v>kim cương</v>
      </c>
      <c r="E448" s="4" t="str">
        <f ca="1">IFERROR(__xludf.DUMMYFUNCTION("GOOGLETRANSLATE(C448,""ja"",""vi"")"),"Loading...")</f>
        <v>Loading...</v>
      </c>
      <c r="F448" t="str">
        <f t="shared" ca="1" si="6"/>
        <v>"2084062585" : "kim cương",</v>
      </c>
    </row>
    <row r="449" spans="1:6" ht="15.75" customHeight="1">
      <c r="A449" s="18">
        <v>2084062579</v>
      </c>
      <c r="B449" s="18" t="s">
        <v>7034</v>
      </c>
      <c r="C449" s="18" t="s">
        <v>21605</v>
      </c>
      <c r="D449" s="4" t="str">
        <f ca="1">IFERROR(__xludf.DUMMYFUNCTION("GOOGLETRANSLATE(B449,""ja"",""vi"")"),"bạch kim")</f>
        <v>bạch kim</v>
      </c>
      <c r="E449" s="4" t="str">
        <f ca="1">IFERROR(__xludf.DUMMYFUNCTION("GOOGLETRANSLATE(C449,""ja"",""vi"")"),"Loading...")</f>
        <v>Loading...</v>
      </c>
      <c r="F449" t="str">
        <f t="shared" ca="1" si="6"/>
        <v>"2084062579" : "bạch kim",</v>
      </c>
    </row>
    <row r="450" spans="1:6" ht="15.75" customHeight="1">
      <c r="A450" s="18">
        <v>2084062587</v>
      </c>
      <c r="B450" s="18" t="s">
        <v>46</v>
      </c>
      <c r="C450" s="18" t="s">
        <v>21610</v>
      </c>
      <c r="D450" s="4" t="str">
        <f ca="1">IFERROR(__xludf.DUMMYFUNCTION("GOOGLETRANSLATE(B450,""ja"",""vi"")"),"nếu không thì")</f>
        <v>nếu không thì</v>
      </c>
      <c r="E450" s="4" t="str">
        <f ca="1">IFERROR(__xludf.DUMMYFUNCTION("GOOGLETRANSLATE(C450,""ja"",""vi"")"),"Loading...")</f>
        <v>Loading...</v>
      </c>
      <c r="F450" t="str">
        <f t="shared" ca="1" si="6"/>
        <v>"2084062587" : "nếu không thì",</v>
      </c>
    </row>
    <row r="451" spans="1:6" ht="15.75" customHeight="1">
      <c r="A451" s="18">
        <v>2084062573</v>
      </c>
      <c r="B451" s="18" t="s">
        <v>21046</v>
      </c>
      <c r="C451" s="18" t="s">
        <v>21611</v>
      </c>
      <c r="D451" s="4" t="str">
        <f ca="1">IFERROR(__xludf.DUMMYFUNCTION("GOOGLETRANSLATE(B451,""ja"",""vi"")"),"màu đá")</f>
        <v>màu đá</v>
      </c>
      <c r="E451" s="4" t="str">
        <f ca="1">IFERROR(__xludf.DUMMYFUNCTION("GOOGLETRANSLATE(C451,""ja"",""vi"")"),"Loading...")</f>
        <v>Loading...</v>
      </c>
      <c r="F451" t="str">
        <f t="shared" ref="F451:F514" ca="1" si="7">CONCATENATE(CHAR(34)&amp;"",A451,""&amp;CHAR(34)," : ", CHAR(34)&amp;"",D451,""&amp;CHAR(34),",")</f>
        <v>"2084062573" : "màu đá",</v>
      </c>
    </row>
    <row r="452" spans="1:6" ht="15.75" customHeight="1">
      <c r="A452" s="18">
        <v>2084062569</v>
      </c>
      <c r="B452" s="18" t="s">
        <v>21052</v>
      </c>
      <c r="C452" s="18" t="s">
        <v>21612</v>
      </c>
      <c r="D452" s="4" t="str">
        <f ca="1">IFERROR(__xludf.DUMMYFUNCTION("GOOGLETRANSLATE(B452,""ja"",""vi"")"),"vàng")</f>
        <v>vàng</v>
      </c>
      <c r="E452" s="4" t="str">
        <f ca="1">IFERROR(__xludf.DUMMYFUNCTION("GOOGLETRANSLATE(C452,""ja"",""vi"")"),"Loading...")</f>
        <v>Loading...</v>
      </c>
      <c r="F452" t="str">
        <f t="shared" ca="1" si="7"/>
        <v>"2084062569" : "vàng",</v>
      </c>
    </row>
    <row r="453" spans="1:6" ht="15.75" customHeight="1">
      <c r="A453" s="18">
        <v>2084062567</v>
      </c>
      <c r="B453" s="18" t="s">
        <v>21056</v>
      </c>
      <c r="C453" s="18" t="s">
        <v>21613</v>
      </c>
      <c r="D453" s="4" t="str">
        <f ca="1">IFERROR(__xludf.DUMMYFUNCTION("GOOGLETRANSLATE(B453,""ja"",""vi"")"),"bạc")</f>
        <v>bạc</v>
      </c>
      <c r="E453" s="4" t="str">
        <f ca="1">IFERROR(__xludf.DUMMYFUNCTION("GOOGLETRANSLATE(C453,""ja"",""vi"")"),"Đấu giá&gt; Accessories, Đồng hồ&gt; Phụ kiện nam&gt; Bông tai&gt; Bạc")</f>
        <v>Đấu giá&gt; Accessories, Đồng hồ&gt; Phụ kiện nam&gt; Bông tai&gt; Bạc</v>
      </c>
      <c r="F453" t="str">
        <f t="shared" ca="1" si="7"/>
        <v>"2084062567" : "bạc",</v>
      </c>
    </row>
    <row r="454" spans="1:6" ht="15.75" customHeight="1">
      <c r="A454" s="18">
        <v>2084062577</v>
      </c>
      <c r="B454" s="18" t="s">
        <v>21039</v>
      </c>
      <c r="C454" s="18" t="s">
        <v>21614</v>
      </c>
      <c r="D454" s="4" t="str">
        <f ca="1">IFERROR(__xludf.DUMMYFUNCTION("GOOGLETRANSLATE(B454,""ja"",""vi"")"),"kim cương")</f>
        <v>kim cương</v>
      </c>
      <c r="E454" s="4" t="str">
        <f ca="1">IFERROR(__xludf.DUMMYFUNCTION("GOOGLETRANSLATE(C454,""ja"",""vi"")"),"Đấu giá&gt; Accessories, Đồng hồ&gt; Phụ kiện nam&gt; bông tai&gt; kim cương")</f>
        <v>Đấu giá&gt; Accessories, Đồng hồ&gt; Phụ kiện nam&gt; bông tai&gt; kim cương</v>
      </c>
      <c r="F454" t="str">
        <f t="shared" ca="1" si="7"/>
        <v>"2084062577" : "kim cương",</v>
      </c>
    </row>
    <row r="455" spans="1:6" ht="15.75" customHeight="1">
      <c r="A455" s="18">
        <v>2084062568</v>
      </c>
      <c r="B455" s="18" t="s">
        <v>7034</v>
      </c>
      <c r="C455" s="18" t="s">
        <v>21615</v>
      </c>
      <c r="D455" s="4" t="str">
        <f ca="1">IFERROR(__xludf.DUMMYFUNCTION("GOOGLETRANSLATE(B455,""ja"",""vi"")"),"bạch kim")</f>
        <v>bạch kim</v>
      </c>
      <c r="E455" s="4" t="str">
        <f ca="1">IFERROR(__xludf.DUMMYFUNCTION("GOOGLETRANSLATE(C455,""ja"",""vi"")"),"Đấu giá&gt; Accessories, Đồng hồ&gt; Phụ kiện nam&gt; Bông tai&gt; Platinum")</f>
        <v>Đấu giá&gt; Accessories, Đồng hồ&gt; Phụ kiện nam&gt; Bông tai&gt; Platinum</v>
      </c>
      <c r="F455" t="str">
        <f t="shared" ca="1" si="7"/>
        <v>"2084062568" : "bạch kim",</v>
      </c>
    </row>
    <row r="456" spans="1:6" ht="15.75" customHeight="1">
      <c r="A456" s="18">
        <v>2084062574</v>
      </c>
      <c r="B456" s="18" t="s">
        <v>21050</v>
      </c>
      <c r="C456" s="18" t="s">
        <v>21616</v>
      </c>
      <c r="D456" s="4" t="str">
        <f ca="1">IFERROR(__xludf.DUMMYFUNCTION("GOOGLETRANSLATE(B456,""ja"",""vi"")"),"đồ trang sức nhân tạo, rhinestone")</f>
        <v>đồ trang sức nhân tạo, rhinestone</v>
      </c>
      <c r="E456" s="4" t="str">
        <f ca="1">IFERROR(__xludf.DUMMYFUNCTION("GOOGLETRANSLATE(C456,""ja"",""vi"")"),"Đấu giá&gt; Accessories, Đồng hồ&gt; Phụ kiện nam&gt; bông tai&gt; đồ trang sức nhân tạo, rhinestone")</f>
        <v>Đấu giá&gt; Accessories, Đồng hồ&gt; Phụ kiện nam&gt; bông tai&gt; đồ trang sức nhân tạo, rhinestone</v>
      </c>
      <c r="F456" t="str">
        <f t="shared" ca="1" si="7"/>
        <v>"2084062574" : "đồ trang sức nhân tạo, rhinestone",</v>
      </c>
    </row>
    <row r="457" spans="1:6" ht="15.75" customHeight="1">
      <c r="A457" s="18">
        <v>2084062576</v>
      </c>
      <c r="B457" s="18" t="s">
        <v>46</v>
      </c>
      <c r="C457" s="18" t="s">
        <v>21617</v>
      </c>
      <c r="D457" s="4" t="str">
        <f ca="1">IFERROR(__xludf.DUMMYFUNCTION("GOOGLETRANSLATE(B457,""ja"",""vi"")"),"nếu không thì")</f>
        <v>nếu không thì</v>
      </c>
      <c r="E457" s="4" t="str">
        <f ca="1">IFERROR(__xludf.DUMMYFUNCTION("GOOGLETRANSLATE(C457,""ja"",""vi"")"),"Đấu giá&gt; Accessories, Đồng hồ&gt; Phụ kiện nam&gt; Bông tai&gt; Khác")</f>
        <v>Đấu giá&gt; Accessories, Đồng hồ&gt; Phụ kiện nam&gt; Bông tai&gt; Khác</v>
      </c>
      <c r="F457" t="str">
        <f t="shared" ca="1" si="7"/>
        <v>"2084062576" : "nếu không thì",</v>
      </c>
    </row>
    <row r="458" spans="1:6" ht="15.75" customHeight="1">
      <c r="A458" s="18">
        <v>2084064167</v>
      </c>
      <c r="B458" s="18" t="s">
        <v>21052</v>
      </c>
      <c r="C458" s="18" t="s">
        <v>21618</v>
      </c>
      <c r="D458" s="4" t="str">
        <f ca="1">IFERROR(__xludf.DUMMYFUNCTION("GOOGLETRANSLATE(B458,""ja"",""vi"")"),"vàng")</f>
        <v>vàng</v>
      </c>
      <c r="E458" s="4" t="str">
        <f ca="1">IFERROR(__xludf.DUMMYFUNCTION("GOOGLETRANSLATE(C458,""ja"",""vi"")"),"Đấu giá&gt; Accessories, Đồng hồ&gt; Phụ kiện nam&gt; Body Piercing&gt; Vàng")</f>
        <v>Đấu giá&gt; Accessories, Đồng hồ&gt; Phụ kiện nam&gt; Body Piercing&gt; Vàng</v>
      </c>
      <c r="F458" t="str">
        <f t="shared" ca="1" si="7"/>
        <v>"2084064167" : "vàng",</v>
      </c>
    </row>
    <row r="459" spans="1:6" ht="15.75" customHeight="1">
      <c r="A459" s="18">
        <v>2084064166</v>
      </c>
      <c r="B459" s="18" t="s">
        <v>21056</v>
      </c>
      <c r="C459" s="18" t="s">
        <v>21619</v>
      </c>
      <c r="D459" s="4" t="str">
        <f ca="1">IFERROR(__xludf.DUMMYFUNCTION("GOOGLETRANSLATE(B459,""ja"",""vi"")"),"bạc")</f>
        <v>bạc</v>
      </c>
      <c r="E459" s="4" t="str">
        <f ca="1">IFERROR(__xludf.DUMMYFUNCTION("GOOGLETRANSLATE(C459,""ja"",""vi"")"),"Đấu giá&gt; Accessories, Đồng hồ&gt; Phụ kiện nam&gt; Body Piercing&gt; Bạc")</f>
        <v>Đấu giá&gt; Accessories, Đồng hồ&gt; Phụ kiện nam&gt; Body Piercing&gt; Bạc</v>
      </c>
      <c r="F459" t="str">
        <f t="shared" ca="1" si="7"/>
        <v>"2084064166" : "bạc",</v>
      </c>
    </row>
    <row r="460" spans="1:6" ht="15.75" customHeight="1">
      <c r="A460" s="18">
        <v>2084064162</v>
      </c>
      <c r="B460" s="18" t="s">
        <v>21503</v>
      </c>
      <c r="C460" s="18" t="s">
        <v>21620</v>
      </c>
      <c r="D460" s="4" t="str">
        <f ca="1">IFERROR(__xludf.DUMMYFUNCTION("GOOGLETRANSLATE(B460,""ja"",""vi"")"),"không gỉ")</f>
        <v>không gỉ</v>
      </c>
      <c r="E460" s="4" t="str">
        <f ca="1">IFERROR(__xludf.DUMMYFUNCTION("GOOGLETRANSLATE(C460,""ja"",""vi"")"),"Loading...")</f>
        <v>Loading...</v>
      </c>
      <c r="F460" t="str">
        <f t="shared" ca="1" si="7"/>
        <v>"2084064162" : "không gỉ",</v>
      </c>
    </row>
    <row r="461" spans="1:6" ht="15.75" customHeight="1">
      <c r="A461" s="18">
        <v>2084064169</v>
      </c>
      <c r="B461" s="18" t="s">
        <v>21506</v>
      </c>
      <c r="C461" s="18" t="s">
        <v>21621</v>
      </c>
      <c r="D461" s="4" t="str">
        <f ca="1">IFERROR(__xludf.DUMMYFUNCTION("GOOGLETRANSLATE(B461,""ja"",""vi"")"),"Titanium")</f>
        <v>Titanium</v>
      </c>
      <c r="E461" s="4" t="str">
        <f ca="1">IFERROR(__xludf.DUMMYFUNCTION("GOOGLETRANSLATE(C461,""ja"",""vi"")"),"Đấu giá&gt; Accessories, Đồng hồ&gt; Phụ kiện nam&gt; Body Piercing&gt; titan")</f>
        <v>Đấu giá&gt; Accessories, Đồng hồ&gt; Phụ kiện nam&gt; Body Piercing&gt; titan</v>
      </c>
      <c r="F461" t="str">
        <f t="shared" ca="1" si="7"/>
        <v>"2084064169" : "Titanium",</v>
      </c>
    </row>
    <row r="462" spans="1:6" ht="15.75" customHeight="1">
      <c r="A462" s="18">
        <v>2084064168</v>
      </c>
      <c r="B462" s="18" t="s">
        <v>21509</v>
      </c>
      <c r="C462" s="18" t="s">
        <v>21622</v>
      </c>
      <c r="D462" s="4" t="str">
        <f ca="1">IFERROR(__xludf.DUMMYFUNCTION("GOOGLETRANSLATE(B462,""ja"",""vi"")"),"nhựa thông")</f>
        <v>nhựa thông</v>
      </c>
      <c r="E462" s="4" t="str">
        <f ca="1">IFERROR(__xludf.DUMMYFUNCTION("GOOGLETRANSLATE(C462,""ja"",""vi"")"),"Loading...")</f>
        <v>Loading...</v>
      </c>
      <c r="F462" t="str">
        <f t="shared" ca="1" si="7"/>
        <v>"2084064168" : "nhựa thông",</v>
      </c>
    </row>
    <row r="463" spans="1:6" ht="15.75" customHeight="1">
      <c r="A463" s="18">
        <v>2084064170</v>
      </c>
      <c r="B463" s="18" t="s">
        <v>46</v>
      </c>
      <c r="C463" s="18" t="s">
        <v>21623</v>
      </c>
      <c r="D463" s="4" t="str">
        <f ca="1">IFERROR(__xludf.DUMMYFUNCTION("GOOGLETRANSLATE(B463,""ja"",""vi"")"),"nếu không thì")</f>
        <v>nếu không thì</v>
      </c>
      <c r="E463" s="4" t="str">
        <f ca="1">IFERROR(__xludf.DUMMYFUNCTION("GOOGLETRANSLATE(C463,""ja"",""vi"")"),"Loading...")</f>
        <v>Loading...</v>
      </c>
      <c r="F463" t="str">
        <f t="shared" ca="1" si="7"/>
        <v>"2084064170" : "nếu không thì",</v>
      </c>
    </row>
    <row r="464" spans="1:6" ht="15.75" customHeight="1">
      <c r="A464" s="18">
        <v>2084037556</v>
      </c>
      <c r="B464" s="18" t="s">
        <v>2241</v>
      </c>
      <c r="C464" s="18" t="s">
        <v>7982</v>
      </c>
      <c r="D464" s="4" t="str">
        <f ca="1">IFERROR(__xludf.DUMMYFUNCTION("GOOGLETRANSLATE(B464,""ja"",""vi"")"),"chung")</f>
        <v>chung</v>
      </c>
      <c r="E464" s="4" t="str">
        <f ca="1">IFERROR(__xludf.DUMMYFUNCTION("GOOGLETRANSLATE(C464,""ja"",""vi"")"),"Đấu giá&gt; cổ, bộ sưu tập&gt; hàng linh tinh&gt; móc chìa khóa&gt; chung")</f>
        <v>Đấu giá&gt; cổ, bộ sưu tập&gt; hàng linh tinh&gt; móc chìa khóa&gt; chung</v>
      </c>
      <c r="F464" t="str">
        <f t="shared" ca="1" si="7"/>
        <v>"2084037556" : "chung",</v>
      </c>
    </row>
    <row r="465" spans="1:6" ht="15.75" customHeight="1">
      <c r="A465" s="18">
        <v>2084037554</v>
      </c>
      <c r="B465" s="18" t="s">
        <v>4452</v>
      </c>
      <c r="C465" s="18" t="s">
        <v>7983</v>
      </c>
      <c r="D465" s="4" t="str">
        <f ca="1">IFERROR(__xludf.DUMMYFUNCTION("GOOGLETRANSLATE(B465,""ja"",""vi"")"),"nhân vật")</f>
        <v>nhân vật</v>
      </c>
      <c r="E465" s="4" t="str">
        <f ca="1">IFERROR(__xludf.DUMMYFUNCTION("GOOGLETRANSLATE(C465,""ja"",""vi"")"),"Đấu giá&gt; cổ, bộ sưu tập&gt; hàng linh tinh&gt; móc chìa khóa&gt; Character")</f>
        <v>Đấu giá&gt; cổ, bộ sưu tập&gt; hàng linh tinh&gt; móc chìa khóa&gt; Character</v>
      </c>
      <c r="F465" t="str">
        <f t="shared" ca="1" si="7"/>
        <v>"2084037554" : "nhân vật",</v>
      </c>
    </row>
    <row r="466" spans="1:6" ht="15.75" customHeight="1">
      <c r="A466" s="18">
        <v>2084037544</v>
      </c>
      <c r="B466" s="18" t="s">
        <v>4455</v>
      </c>
      <c r="C466" s="18" t="s">
        <v>7984</v>
      </c>
      <c r="D466" s="4" t="str">
        <f ca="1">IFERROR(__xludf.DUMMYFUNCTION("GOOGLETRANSLATE(B466,""ja"",""vi"")"),"Truyện tranh, hoạt hình")</f>
        <v>Truyện tranh, hoạt hình</v>
      </c>
      <c r="E466" s="4" t="str">
        <f ca="1">IFERROR(__xludf.DUMMYFUNCTION("GOOGLETRANSLATE(C466,""ja"",""vi"")"),"Đấu giá&gt; cổ, bộ sưu tập&gt; hàng linh tinh&gt; móc chìa khóa&gt; truyện tranh, hoạt hình")</f>
        <v>Đấu giá&gt; cổ, bộ sưu tập&gt; hàng linh tinh&gt; móc chìa khóa&gt; truyện tranh, hoạt hình</v>
      </c>
      <c r="F466" t="str">
        <f t="shared" ca="1" si="7"/>
        <v>"2084037544" : "Truyện tranh, hoạt hình",</v>
      </c>
    </row>
    <row r="467" spans="1:6" ht="15.75" customHeight="1">
      <c r="A467" s="18">
        <v>2084037536</v>
      </c>
      <c r="B467" s="18" t="s">
        <v>7985</v>
      </c>
      <c r="C467" s="18" t="s">
        <v>7986</v>
      </c>
      <c r="D467" s="4" t="str">
        <f ca="1">IFERROR(__xludf.DUMMYFUNCTION("GOOGLETRANSLATE(B467,""ja"",""vi"")"),"Talent, nhạc sĩ")</f>
        <v>Talent, nhạc sĩ</v>
      </c>
      <c r="E467" s="4" t="str">
        <f ca="1">IFERROR(__xludf.DUMMYFUNCTION("GOOGLETRANSLATE(C467,""ja"",""vi"")"),"Đấu giá&gt; cổ, bộ sưu tập&gt; hàng linh tinh&gt; móc chìa khóa&gt; tài năng, nhạc sĩ")</f>
        <v>Đấu giá&gt; cổ, bộ sưu tập&gt; hàng linh tinh&gt; móc chìa khóa&gt; tài năng, nhạc sĩ</v>
      </c>
      <c r="F467" t="str">
        <f t="shared" ca="1" si="7"/>
        <v>"2084037536" : "Talent, nhạc sĩ",</v>
      </c>
    </row>
    <row r="468" spans="1:6" ht="15.75" customHeight="1">
      <c r="A468" s="18">
        <v>2084037538</v>
      </c>
      <c r="B468" s="18" t="s">
        <v>7987</v>
      </c>
      <c r="C468" s="18" t="s">
        <v>7988</v>
      </c>
      <c r="D468" s="4" t="str">
        <f ca="1">IFERROR(__xludf.DUMMYFUNCTION("GOOGLETRANSLATE(B468,""ja"",""vi"")"),"Nhãn hiệu")</f>
        <v>Nhãn hiệu</v>
      </c>
      <c r="E468" s="4" t="str">
        <f ca="1">IFERROR(__xludf.DUMMYFUNCTION("GOOGLETRANSLATE(C468,""ja"",""vi"")"),"Đấu giá&gt; cổ, bộ sưu tập&gt; hàng linh tinh&gt; móc chìa khóa&gt; thương hiệu")</f>
        <v>Đấu giá&gt; cổ, bộ sưu tập&gt; hàng linh tinh&gt; móc chìa khóa&gt; thương hiệu</v>
      </c>
      <c r="F468" t="str">
        <f t="shared" ca="1" si="7"/>
        <v>"2084037538" : "Nhãn hiệu",</v>
      </c>
    </row>
    <row r="469" spans="1:6" ht="15.75" customHeight="1">
      <c r="A469" s="18">
        <v>2084236962</v>
      </c>
      <c r="B469" s="18" t="s">
        <v>7989</v>
      </c>
      <c r="C469" s="18" t="s">
        <v>7990</v>
      </c>
      <c r="D469" s="4" t="str">
        <f ca="1">IFERROR(__xludf.DUMMYFUNCTION("GOOGLETRANSLATE(B469,""ja"",""vi"")"),"làm bằng tay")</f>
        <v>làm bằng tay</v>
      </c>
      <c r="E469" s="4" t="str">
        <f ca="1">IFERROR(__xludf.DUMMYFUNCTION("GOOGLETRANSLATE(C469,""ja"",""vi"")"),"Đấu giá&gt; cổ, bộ sưu tập&gt; hàng linh tinh&gt; móc chìa khóa&gt; handmade")</f>
        <v>Đấu giá&gt; cổ, bộ sưu tập&gt; hàng linh tinh&gt; móc chìa khóa&gt; handmade</v>
      </c>
      <c r="F469" t="str">
        <f t="shared" ca="1" si="7"/>
        <v>"2084236962" : "làm bằng tay",</v>
      </c>
    </row>
    <row r="470" spans="1:6" ht="15.75" customHeight="1">
      <c r="A470" s="18">
        <v>2084019981</v>
      </c>
      <c r="B470" s="18" t="s">
        <v>5031</v>
      </c>
      <c r="C470" s="18" t="s">
        <v>7991</v>
      </c>
      <c r="D470" s="4" t="str">
        <f ca="1">IFERROR(__xludf.DUMMYFUNCTION("GOOGLETRANSLATE(B470,""ja"",""vi"")"),"xe mô tô")</f>
        <v>xe mô tô</v>
      </c>
      <c r="E470" s="4" t="str">
        <f ca="1">IFERROR(__xludf.DUMMYFUNCTION("GOOGLETRANSLATE(C470,""ja"",""vi"")"),"Đấu giá&gt; cổ, bộ sưu tập&gt; hàng linh tinh&gt; móc chìa khóa&gt; xe máy")</f>
        <v>Đấu giá&gt; cổ, bộ sưu tập&gt; hàng linh tinh&gt; móc chìa khóa&gt; xe máy</v>
      </c>
      <c r="F470" t="str">
        <f t="shared" ca="1" si="7"/>
        <v>"2084019981" : "xe mô tô",</v>
      </c>
    </row>
    <row r="471" spans="1:6" ht="15.75" customHeight="1">
      <c r="A471" s="18">
        <v>2084005812</v>
      </c>
      <c r="B471" s="18" t="s">
        <v>4496</v>
      </c>
      <c r="C471" s="18" t="s">
        <v>7992</v>
      </c>
      <c r="D471" s="4" t="str">
        <f ca="1">IFERROR(__xludf.DUMMYFUNCTION("GOOGLETRANSLATE(B471,""ja"",""vi"")"),"xe hơi")</f>
        <v>xe hơi</v>
      </c>
      <c r="E471" s="4" t="str">
        <f ca="1">IFERROR(__xludf.DUMMYFUNCTION("GOOGLETRANSLATE(C471,""ja"",""vi"")"),"Đấu giá&gt; cổ, bộ sưu tập&gt; hàng linh tinh&gt; móc chìa khóa&gt; Ô tô")</f>
        <v>Đấu giá&gt; cổ, bộ sưu tập&gt; hàng linh tinh&gt; móc chìa khóa&gt; Ô tô</v>
      </c>
      <c r="F471" t="str">
        <f t="shared" ca="1" si="7"/>
        <v>"2084005812" : "xe hơi",</v>
      </c>
    </row>
    <row r="472" spans="1:6" ht="15.75" customHeight="1">
      <c r="A472" s="18">
        <v>2084062603</v>
      </c>
      <c r="B472" s="18" t="s">
        <v>21046</v>
      </c>
      <c r="C472" s="18" t="s">
        <v>21624</v>
      </c>
      <c r="D472" s="4" t="str">
        <f ca="1">IFERROR(__xludf.DUMMYFUNCTION("GOOGLETRANSLATE(B472,""ja"",""vi"")"),"màu đá")</f>
        <v>màu đá</v>
      </c>
      <c r="E472" s="4" t="str">
        <f ca="1">IFERROR(__xludf.DUMMYFUNCTION("GOOGLETRANSLATE(C472,""ja"",""vi"")"),"Loading...")</f>
        <v>Loading...</v>
      </c>
      <c r="F472" t="str">
        <f t="shared" ca="1" si="7"/>
        <v>"2084062603" : "màu đá",</v>
      </c>
    </row>
    <row r="473" spans="1:6" ht="15.75" customHeight="1">
      <c r="A473" s="18">
        <v>2084223351</v>
      </c>
      <c r="B473" s="18" t="s">
        <v>21052</v>
      </c>
      <c r="C473" s="18" t="s">
        <v>21625</v>
      </c>
      <c r="D473" s="4" t="str">
        <f ca="1">IFERROR(__xludf.DUMMYFUNCTION("GOOGLETRANSLATE(B473,""ja"",""vi"")"),"vàng")</f>
        <v>vàng</v>
      </c>
      <c r="E473" s="4" t="str">
        <f ca="1">IFERROR(__xludf.DUMMYFUNCTION("GOOGLETRANSLATE(C473,""ja"",""vi"")"),"Đấu giá&gt; Accessories, Đồng hồ&gt; Phụ kiện nam&gt; choker&gt; Vàng")</f>
        <v>Đấu giá&gt; Accessories, Đồng hồ&gt; Phụ kiện nam&gt; choker&gt; Vàng</v>
      </c>
      <c r="F473" t="str">
        <f t="shared" ca="1" si="7"/>
        <v>"2084223351" : "vàng",</v>
      </c>
    </row>
    <row r="474" spans="1:6" ht="15.75" customHeight="1">
      <c r="A474" s="18">
        <v>2084062601</v>
      </c>
      <c r="B474" s="18" t="s">
        <v>21056</v>
      </c>
      <c r="C474" s="18" t="s">
        <v>21626</v>
      </c>
      <c r="D474" s="4" t="str">
        <f ca="1">IFERROR(__xludf.DUMMYFUNCTION("GOOGLETRANSLATE(B474,""ja"",""vi"")"),"bạc")</f>
        <v>bạc</v>
      </c>
      <c r="E474" s="4" t="str">
        <f ca="1">IFERROR(__xludf.DUMMYFUNCTION("GOOGLETRANSLATE(C474,""ja"",""vi"")"),"Loading...")</f>
        <v>Loading...</v>
      </c>
      <c r="F474" t="str">
        <f t="shared" ca="1" si="7"/>
        <v>"2084062601" : "bạc",</v>
      </c>
    </row>
    <row r="475" spans="1:6" ht="15.75" customHeight="1">
      <c r="A475" s="18">
        <v>2084223350</v>
      </c>
      <c r="B475" s="18" t="s">
        <v>7034</v>
      </c>
      <c r="C475" s="18" t="s">
        <v>21627</v>
      </c>
      <c r="D475" s="4" t="str">
        <f ca="1">IFERROR(__xludf.DUMMYFUNCTION("GOOGLETRANSLATE(B475,""ja"",""vi"")"),"bạch kim")</f>
        <v>bạch kim</v>
      </c>
      <c r="E475" s="4" t="str">
        <f ca="1">IFERROR(__xludf.DUMMYFUNCTION("GOOGLETRANSLATE(C475,""ja"",""vi"")"),"Loading...")</f>
        <v>Loading...</v>
      </c>
      <c r="F475" t="str">
        <f t="shared" ca="1" si="7"/>
        <v>"2084223350" : "bạch kim",</v>
      </c>
    </row>
    <row r="476" spans="1:6" ht="15.75" customHeight="1">
      <c r="A476" s="18">
        <v>2084062602</v>
      </c>
      <c r="B476" s="18" t="s">
        <v>21077</v>
      </c>
      <c r="C476" s="18" t="s">
        <v>21628</v>
      </c>
      <c r="D476" s="4" t="str">
        <f ca="1">IFERROR(__xludf.DUMMYFUNCTION("GOOGLETRANSLATE(B476,""ja"",""vi"")"),"da")</f>
        <v>da</v>
      </c>
      <c r="E476" s="4" t="str">
        <f ca="1">IFERROR(__xludf.DUMMYFUNCTION("GOOGLETRANSLATE(C476,""ja"",""vi"")"),"Đấu giá&gt; Accessories, Đồng hồ&gt; Phụ kiện nam&gt; choker&gt; da")</f>
        <v>Đấu giá&gt; Accessories, Đồng hồ&gt; Phụ kiện nam&gt; choker&gt; da</v>
      </c>
      <c r="F476" t="str">
        <f t="shared" ca="1" si="7"/>
        <v>"2084062602" : "da",</v>
      </c>
    </row>
    <row r="477" spans="1:6" ht="15.75" customHeight="1">
      <c r="A477" s="18">
        <v>2084062604</v>
      </c>
      <c r="B477" s="18" t="s">
        <v>46</v>
      </c>
      <c r="C477" s="18" t="s">
        <v>21629</v>
      </c>
      <c r="D477" s="4" t="str">
        <f ca="1">IFERROR(__xludf.DUMMYFUNCTION("GOOGLETRANSLATE(B477,""ja"",""vi"")"),"nếu không thì")</f>
        <v>nếu không thì</v>
      </c>
      <c r="E477" s="4" t="str">
        <f ca="1">IFERROR(__xludf.DUMMYFUNCTION("GOOGLETRANSLATE(C477,""ja"",""vi"")"),"Loading...")</f>
        <v>Loading...</v>
      </c>
      <c r="F477" t="str">
        <f t="shared" ca="1" si="7"/>
        <v>"2084062604" : "nếu không thì",</v>
      </c>
    </row>
    <row r="478" spans="1:6" ht="15.75" customHeight="1">
      <c r="A478" s="18">
        <v>42530</v>
      </c>
      <c r="B478" s="18" t="s">
        <v>21630</v>
      </c>
      <c r="C478" s="18" t="s">
        <v>21631</v>
      </c>
      <c r="D478" s="4" t="str">
        <f ca="1">IFERROR(__xludf.DUMMYFUNCTION("GOOGLETRANSLATE(B478,""ja"",""vi"")"),"Zippo")</f>
        <v>Zippo</v>
      </c>
      <c r="E478" s="4" t="str">
        <f ca="1">IFERROR(__xludf.DUMMYFUNCTION("GOOGLETRANSLATE(C478,""ja"",""vi"")"),"Loading...")</f>
        <v>Loading...</v>
      </c>
      <c r="F478" t="str">
        <f t="shared" ca="1" si="7"/>
        <v>"42530" : "Zippo",</v>
      </c>
    </row>
    <row r="479" spans="1:6" ht="15.75" customHeight="1">
      <c r="A479" s="18">
        <v>2084037485</v>
      </c>
      <c r="B479" s="18" t="s">
        <v>9658</v>
      </c>
      <c r="C479" s="18" t="s">
        <v>21632</v>
      </c>
      <c r="D479" s="4" t="str">
        <f ca="1">IFERROR(__xludf.DUMMYFUNCTION("GOOGLETRANSLATE(B479,""ja"",""vi"")"),"Cartier")</f>
        <v>Cartier</v>
      </c>
      <c r="E479" s="4" t="str">
        <f ca="1">IFERROR(__xludf.DUMMYFUNCTION("GOOGLETRANSLATE(C479,""ja"",""vi"")"),"Đấu giá&gt; cổ, bộ sưu tập&gt; hàng linh tinh&gt; hàng hút thuốc&gt; nhẹ hơn&gt; Cartier")</f>
        <v>Đấu giá&gt; cổ, bộ sưu tập&gt; hàng linh tinh&gt; hàng hút thuốc&gt; nhẹ hơn&gt; Cartier</v>
      </c>
      <c r="F479" t="str">
        <f t="shared" ca="1" si="7"/>
        <v>"2084037485" : "Cartier",</v>
      </c>
    </row>
    <row r="480" spans="1:6" ht="15.75" customHeight="1">
      <c r="A480" s="18">
        <v>2084037477</v>
      </c>
      <c r="B480" s="18" t="s">
        <v>10762</v>
      </c>
      <c r="C480" s="18" t="s">
        <v>21635</v>
      </c>
      <c r="D480" s="4" t="str">
        <f ca="1">IFERROR(__xludf.DUMMYFUNCTION("GOOGLETRANSLATE(B480,""ja"",""vi"")"),"Dunhill")</f>
        <v>Dunhill</v>
      </c>
      <c r="E480" s="4" t="str">
        <f ca="1">IFERROR(__xludf.DUMMYFUNCTION("GOOGLETRANSLATE(C480,""ja"",""vi"")"),"Đấu giá&gt; cổ, bộ sưu tập&gt; hàng linh tinh&gt; hàng hút thuốc&gt; nhẹ hơn&gt; Dunhill")</f>
        <v>Đấu giá&gt; cổ, bộ sưu tập&gt; hàng linh tinh&gt; hàng hút thuốc&gt; nhẹ hơn&gt; Dunhill</v>
      </c>
      <c r="F480" t="str">
        <f t="shared" ca="1" si="7"/>
        <v>"2084037477" : "Dunhill",</v>
      </c>
    </row>
    <row r="481" spans="1:6" ht="15.75" customHeight="1">
      <c r="A481" s="18">
        <v>2084037475</v>
      </c>
      <c r="B481" s="18" t="s">
        <v>21638</v>
      </c>
      <c r="C481" s="18" t="s">
        <v>21639</v>
      </c>
      <c r="D481" s="4" t="str">
        <f ca="1">IFERROR(__xludf.DUMMYFUNCTION("GOOGLETRANSLATE(B481,""ja"",""vi"")"),"DuPont")</f>
        <v>DuPont</v>
      </c>
      <c r="E481" s="4" t="str">
        <f ca="1">IFERROR(__xludf.DUMMYFUNCTION("GOOGLETRANSLATE(C481,""ja"",""vi"")"),"Loading...")</f>
        <v>Loading...</v>
      </c>
      <c r="F481" t="str">
        <f t="shared" ca="1" si="7"/>
        <v>"2084037475" : "DuPont",</v>
      </c>
    </row>
    <row r="482" spans="1:6" ht="15.75" customHeight="1">
      <c r="A482" s="18">
        <v>2084037487</v>
      </c>
      <c r="B482" s="18" t="s">
        <v>21641</v>
      </c>
      <c r="C482" s="18" t="s">
        <v>21643</v>
      </c>
      <c r="D482" s="4" t="str">
        <f ca="1">IFERROR(__xludf.DUMMYFUNCTION("GOOGLETRANSLATE(B482,""ja"",""vi"")"),"Ronson")</f>
        <v>Ronson</v>
      </c>
      <c r="E482" s="4" t="str">
        <f ca="1">IFERROR(__xludf.DUMMYFUNCTION("GOOGLETRANSLATE(C482,""ja"",""vi"")"),"Loading...")</f>
        <v>Loading...</v>
      </c>
      <c r="F482" t="str">
        <f t="shared" ca="1" si="7"/>
        <v>"2084037487" : "Ronson",</v>
      </c>
    </row>
    <row r="483" spans="1:6" ht="15.75" customHeight="1">
      <c r="A483" s="18">
        <v>42531</v>
      </c>
      <c r="B483" s="18" t="s">
        <v>2241</v>
      </c>
      <c r="C483" s="18" t="s">
        <v>21648</v>
      </c>
      <c r="D483" s="4" t="str">
        <f ca="1">IFERROR(__xludf.DUMMYFUNCTION("GOOGLETRANSLATE(B483,""ja"",""vi"")"),"chung")</f>
        <v>chung</v>
      </c>
      <c r="E483" s="4" t="str">
        <f ca="1">IFERROR(__xludf.DUMMYFUNCTION("GOOGLETRANSLATE(C483,""ja"",""vi"")"),"Loading...")</f>
        <v>Loading...</v>
      </c>
      <c r="F483" t="str">
        <f t="shared" ca="1" si="7"/>
        <v>"42531" : "chung",</v>
      </c>
    </row>
    <row r="484" spans="1:6" ht="15.75" customHeight="1">
      <c r="A484" s="18">
        <v>2084040535</v>
      </c>
      <c r="B484" s="18" t="s">
        <v>2241</v>
      </c>
      <c r="C484" s="18" t="s">
        <v>21522</v>
      </c>
      <c r="D484" s="4" t="str">
        <f ca="1">IFERROR(__xludf.DUMMYFUNCTION("GOOGLETRANSLATE(B484,""ja"",""vi"")"),"chung")</f>
        <v>chung</v>
      </c>
      <c r="E484" s="4" t="str">
        <f ca="1">IFERROR(__xludf.DUMMYFUNCTION("GOOGLETRANSLATE(C484,""ja"",""vi"")"),"Loading...")</f>
        <v>Loading...</v>
      </c>
      <c r="F484" t="str">
        <f t="shared" ca="1" si="7"/>
        <v>"2084040535" : "chung",</v>
      </c>
    </row>
    <row r="485" spans="1:6" ht="15.75" customHeight="1">
      <c r="A485" s="18">
        <v>2084040536</v>
      </c>
      <c r="B485" s="18" t="s">
        <v>21524</v>
      </c>
      <c r="C485" s="18" t="s">
        <v>21525</v>
      </c>
      <c r="D485" s="4" t="str">
        <f ca="1">IFERROR(__xludf.DUMMYFUNCTION("GOOGLETRANSLATE(B485,""ja"",""vi"")"),"dây đeo cổ")</f>
        <v>dây đeo cổ</v>
      </c>
      <c r="E485" s="4" t="str">
        <f ca="1">IFERROR(__xludf.DUMMYFUNCTION("GOOGLETRANSLATE(C485,""ja"",""vi"")"),"Đấu giá&gt; thiết bị điện tử tiêu dùng, AV, camera&gt; điện thoại di động, điện thoại thông minh&gt; phụ kiện&gt; dây đeo&gt; dây đeo cổ")</f>
        <v>Đấu giá&gt; thiết bị điện tử tiêu dùng, AV, camera&gt; điện thoại di động, điện thoại thông minh&gt; phụ kiện&gt; dây đeo&gt; dây đeo cổ</v>
      </c>
      <c r="F485" t="str">
        <f t="shared" ca="1" si="7"/>
        <v>"2084040536" : "dây đeo cổ",</v>
      </c>
    </row>
    <row r="486" spans="1:6" ht="15.75" customHeight="1">
      <c r="A486" s="18">
        <v>2084040533</v>
      </c>
      <c r="B486" s="18" t="s">
        <v>4452</v>
      </c>
      <c r="C486" s="18" t="s">
        <v>21527</v>
      </c>
      <c r="D486" s="4" t="str">
        <f ca="1">IFERROR(__xludf.DUMMYFUNCTION("GOOGLETRANSLATE(B486,""ja"",""vi"")"),"nhân vật")</f>
        <v>nhân vật</v>
      </c>
      <c r="E486" s="4" t="str">
        <f ca="1">IFERROR(__xludf.DUMMYFUNCTION("GOOGLETRANSLATE(C486,""ja"",""vi"")"),"Loading...")</f>
        <v>Loading...</v>
      </c>
      <c r="F486" t="str">
        <f t="shared" ca="1" si="7"/>
        <v>"2084040533" : "nhân vật",</v>
      </c>
    </row>
    <row r="487" spans="1:6" ht="15.75" customHeight="1">
      <c r="A487" s="18">
        <v>2084040532</v>
      </c>
      <c r="B487" s="18" t="s">
        <v>7507</v>
      </c>
      <c r="C487" s="18" t="s">
        <v>21529</v>
      </c>
      <c r="D487" s="4" t="str">
        <f ca="1">IFERROR(__xludf.DUMMYFUNCTION("GOOGLETRANSLATE(B487,""ja"",""vi"")"),"Truyện tranh, hoạt hình")</f>
        <v>Truyện tranh, hoạt hình</v>
      </c>
      <c r="E487" s="4" t="str">
        <f ca="1">IFERROR(__xludf.DUMMYFUNCTION("GOOGLETRANSLATE(C487,""ja"",""vi"")"),"Loading...")</f>
        <v>Loading...</v>
      </c>
      <c r="F487" t="str">
        <f t="shared" ca="1" si="7"/>
        <v>"2084040532" : "Truyện tranh, hoạt hình",</v>
      </c>
    </row>
    <row r="488" spans="1:6" ht="15.75" customHeight="1">
      <c r="A488" s="18">
        <v>2084040530</v>
      </c>
      <c r="B488" s="18" t="s">
        <v>7985</v>
      </c>
      <c r="C488" s="18" t="s">
        <v>21530</v>
      </c>
      <c r="D488" s="4" t="str">
        <f ca="1">IFERROR(__xludf.DUMMYFUNCTION("GOOGLETRANSLATE(B488,""ja"",""vi"")"),"Talent, nhạc sĩ")</f>
        <v>Talent, nhạc sĩ</v>
      </c>
      <c r="E488" s="4" t="str">
        <f ca="1">IFERROR(__xludf.DUMMYFUNCTION("GOOGLETRANSLATE(C488,""ja"",""vi"")"),"Loading...")</f>
        <v>Loading...</v>
      </c>
      <c r="F488" t="str">
        <f t="shared" ca="1" si="7"/>
        <v>"2084040530" : "Talent, nhạc sĩ",</v>
      </c>
    </row>
    <row r="489" spans="1:6" ht="15.75" customHeight="1">
      <c r="A489" s="18">
        <v>2084236963</v>
      </c>
      <c r="B489" s="18" t="s">
        <v>7989</v>
      </c>
      <c r="C489" s="18" t="s">
        <v>21532</v>
      </c>
      <c r="D489" s="4" t="str">
        <f ca="1">IFERROR(__xludf.DUMMYFUNCTION("GOOGLETRANSLATE(B489,""ja"",""vi"")"),"làm bằng tay")</f>
        <v>làm bằng tay</v>
      </c>
      <c r="E489" s="4" t="str">
        <f ca="1">IFERROR(__xludf.DUMMYFUNCTION("GOOGLETRANSLATE(C489,""ja"",""vi"")"),"Đấu giá&gt; thiết bị điện tử tiêu dùng, AV, camera&gt; điện thoại di động, điện thoại thông minh&gt; phụ kiện&gt; dây đeo&gt; handmade")</f>
        <v>Đấu giá&gt; thiết bị điện tử tiêu dùng, AV, camera&gt; điện thoại di động, điện thoại thông minh&gt; phụ kiện&gt; dây đeo&gt; handmade</v>
      </c>
      <c r="F489" t="str">
        <f t="shared" ca="1" si="7"/>
        <v>"2084236963" : "làm bằng tay",</v>
      </c>
    </row>
    <row r="490" spans="1:6" ht="15.75" customHeight="1">
      <c r="A490" s="18">
        <v>2084040537</v>
      </c>
      <c r="B490" s="18" t="s">
        <v>7987</v>
      </c>
      <c r="C490" s="18" t="s">
        <v>21534</v>
      </c>
      <c r="D490" s="4" t="str">
        <f ca="1">IFERROR(__xludf.DUMMYFUNCTION("GOOGLETRANSLATE(B490,""ja"",""vi"")"),"Nhãn hiệu")</f>
        <v>Nhãn hiệu</v>
      </c>
      <c r="E490" s="4" t="str">
        <f ca="1">IFERROR(__xludf.DUMMYFUNCTION("GOOGLETRANSLATE(C490,""ja"",""vi"")"),"Đấu giá&gt; thiết bị điện tử tiêu dùng, AV, camera&gt; điện thoại di động, điện thoại thông minh&gt; phụ kiện&gt; dây đeo&gt; thương hiệu")</f>
        <v>Đấu giá&gt; thiết bị điện tử tiêu dùng, AV, camera&gt; điện thoại di động, điện thoại thông minh&gt; phụ kiện&gt; dây đeo&gt; thương hiệu</v>
      </c>
      <c r="F490" t="str">
        <f t="shared" ca="1" si="7"/>
        <v>"2084040537" : "Nhãn hiệu",</v>
      </c>
    </row>
    <row r="491" spans="1:6" ht="15.75" customHeight="1">
      <c r="A491" s="18">
        <v>2084306948</v>
      </c>
      <c r="B491" s="18" t="s">
        <v>15403</v>
      </c>
      <c r="C491" s="18" t="s">
        <v>15405</v>
      </c>
      <c r="D491" s="4" t="str">
        <f ca="1">IFERROR(__xludf.DUMMYFUNCTION("GOOGLETRANSLATE(B491,""ja"",""vi"")"),"Silicon Case")</f>
        <v>Silicon Case</v>
      </c>
      <c r="E491" s="4" t="str">
        <f ca="1">IFERROR(__xludf.DUMMYFUNCTION("GOOGLETRANSLATE(C491,""ja"",""vi"")"),"Đấu giá&gt; thiết bị điện tử tiêu dùng, AV, camera&gt; điện thoại di động, điện thoại thông minh&gt; Accessories&gt; Case&gt; trường hợp silicon")</f>
        <v>Đấu giá&gt; thiết bị điện tử tiêu dùng, AV, camera&gt; điện thoại di động, điện thoại thông minh&gt; Accessories&gt; Case&gt; trường hợp silicon</v>
      </c>
      <c r="F491" t="str">
        <f t="shared" ca="1" si="7"/>
        <v>"2084306948" : "Silicon Case",</v>
      </c>
    </row>
    <row r="492" spans="1:6" ht="15.75" customHeight="1">
      <c r="A492" s="18">
        <v>2084306949</v>
      </c>
      <c r="B492" s="18" t="s">
        <v>15406</v>
      </c>
      <c r="C492" s="18" t="s">
        <v>15408</v>
      </c>
      <c r="D492" s="4" t="str">
        <f ca="1">IFERROR(__xludf.DUMMYFUNCTION("GOOGLETRANSLATE(B492,""ja"",""vi"")"),"Trường hợp khó khăn")</f>
        <v>Trường hợp khó khăn</v>
      </c>
      <c r="E492" s="4" t="str">
        <f ca="1">IFERROR(__xludf.DUMMYFUNCTION("GOOGLETRANSLATE(C492,""ja"",""vi"")"),"Đấu giá&gt; thiết bị điện tử tiêu dùng, AV, camera&gt; điện thoại di động, điện thoại thông minh&gt; Accessories&gt; Case&gt; Case cứng")</f>
        <v>Đấu giá&gt; thiết bị điện tử tiêu dùng, AV, camera&gt; điện thoại di động, điện thoại thông minh&gt; Accessories&gt; Case&gt; Case cứng</v>
      </c>
      <c r="F492" t="str">
        <f t="shared" ca="1" si="7"/>
        <v>"2084306949" : "Trường hợp khó khăn",</v>
      </c>
    </row>
    <row r="493" spans="1:6" ht="15.75" customHeight="1">
      <c r="A493" s="18">
        <v>2084306950</v>
      </c>
      <c r="B493" s="18" t="s">
        <v>15409</v>
      </c>
      <c r="C493" s="18" t="s">
        <v>15411</v>
      </c>
      <c r="D493" s="4" t="str">
        <f ca="1">IFERROR(__xludf.DUMMYFUNCTION("GOOGLETRANSLATE(B493,""ja"",""vi"")"),"Leather Case")</f>
        <v>Leather Case</v>
      </c>
      <c r="E493" s="4" t="str">
        <f ca="1">IFERROR(__xludf.DUMMYFUNCTION("GOOGLETRANSLATE(C493,""ja"",""vi"")"),"Đấu giá&gt; thiết bị điện tử tiêu dùng, AV, camera&gt; điện thoại di động, điện thoại thông minh&gt; Accessories&gt; Case&gt; Leather Case")</f>
        <v>Đấu giá&gt; thiết bị điện tử tiêu dùng, AV, camera&gt; điện thoại di động, điện thoại thông minh&gt; Accessories&gt; Case&gt; Leather Case</v>
      </c>
      <c r="F493" t="str">
        <f t="shared" ca="1" si="7"/>
        <v>"2084306950" : "Leather Case",</v>
      </c>
    </row>
    <row r="494" spans="1:6" ht="15.75" customHeight="1">
      <c r="A494" s="18">
        <v>2084263726</v>
      </c>
      <c r="B494" s="18" t="s">
        <v>3697</v>
      </c>
      <c r="C494" s="18" t="s">
        <v>15413</v>
      </c>
      <c r="D494" s="4" t="str">
        <f ca="1">IFERROR(__xludf.DUMMYFUNCTION("GOOGLETRANSLATE(B494,""ja"",""vi"")"),"Trường hợp cho iPhone")</f>
        <v>Trường hợp cho iPhone</v>
      </c>
      <c r="E494" s="4" t="str">
        <f ca="1">IFERROR(__xludf.DUMMYFUNCTION("GOOGLETRANSLATE(C494,""ja"",""vi"")"),"Đấu giá&gt; thiết bị điện tử tiêu dùng, AV, camera&gt; điện thoại di động, điện thoại thông minh&gt; Accessories&gt; Case&gt; Case cho iPhone")</f>
        <v>Đấu giá&gt; thiết bị điện tử tiêu dùng, AV, camera&gt; điện thoại di động, điện thoại thông minh&gt; Accessories&gt; Case&gt; Case cho iPhone</v>
      </c>
      <c r="F494" t="str">
        <f t="shared" ca="1" si="7"/>
        <v>"2084263726" : "Trường hợp cho iPhone",</v>
      </c>
    </row>
    <row r="495" spans="1:6" ht="15.75" customHeight="1">
      <c r="A495" s="18">
        <v>2084306951</v>
      </c>
      <c r="B495" s="18" t="s">
        <v>46</v>
      </c>
      <c r="C495" s="18" t="s">
        <v>15415</v>
      </c>
      <c r="D495" s="4" t="str">
        <f ca="1">IFERROR(__xludf.DUMMYFUNCTION("GOOGLETRANSLATE(B495,""ja"",""vi"")"),"nếu không thì")</f>
        <v>nếu không thì</v>
      </c>
      <c r="E495" s="4" t="str">
        <f ca="1">IFERROR(__xludf.DUMMYFUNCTION("GOOGLETRANSLATE(C495,""ja"",""vi"")"),"Đấu giá&gt; thiết bị điện tử tiêu dùng, AV, camera&gt; điện thoại di động, điện thoại thông minh&gt; Accessories&gt; Case&gt; Khác")</f>
        <v>Đấu giá&gt; thiết bị điện tử tiêu dùng, AV, camera&gt; điện thoại di động, điện thoại thông minh&gt; Accessories&gt; Case&gt; Khác</v>
      </c>
      <c r="F495" t="str">
        <f t="shared" ca="1" si="7"/>
        <v>"2084306951" : "nếu không thì",</v>
      </c>
    </row>
    <row r="496" spans="1:6" ht="15.75" customHeight="1">
      <c r="A496" s="18">
        <v>2084049301</v>
      </c>
      <c r="B496" s="18" t="s">
        <v>21343</v>
      </c>
      <c r="C496" s="18" t="s">
        <v>21344</v>
      </c>
      <c r="D496" s="4" t="str">
        <f ca="1">IFERROR(__xludf.DUMMYFUNCTION("GOOGLETRANSLATE(B496,""ja"",""vi"")"),"ngọc thạch màu lục")</f>
        <v>ngọc thạch màu lục</v>
      </c>
      <c r="E496" s="4" t="str">
        <f ca="1">IFERROR(__xludf.DUMMYFUNCTION("GOOGLETRANSLATE(C496,""ja"",""vi"")"),"Loading...")</f>
        <v>Loading...</v>
      </c>
      <c r="F496" t="str">
        <f t="shared" ca="1" si="7"/>
        <v>"2084049301" : "ngọc thạch màu lục",</v>
      </c>
    </row>
    <row r="497" spans="1:6" ht="15.75" customHeight="1">
      <c r="A497" s="18">
        <v>2084049302</v>
      </c>
      <c r="B497" s="18" t="s">
        <v>21345</v>
      </c>
      <c r="C497" s="18" t="s">
        <v>21347</v>
      </c>
      <c r="D497" s="4" t="str">
        <f ca="1">IFERROR(__xludf.DUMMYFUNCTION("GOOGLETRANSLATE(B497,""ja"",""vi"")"),"loại đá a pa tít")</f>
        <v>loại đá a pa tít</v>
      </c>
      <c r="E497" s="4" t="str">
        <f ca="1">IFERROR(__xludf.DUMMYFUNCTION("GOOGLETRANSLATE(C497,""ja"",""vi"")"),"Đấu giá&gt; Accessories, Đồng hồ&gt; dùng cho phụ nữ&gt; đá trần truồng, Ruth&gt; apatit")</f>
        <v>Đấu giá&gt; Accessories, Đồng hồ&gt; dùng cho phụ nữ&gt; đá trần truồng, Ruth&gt; apatit</v>
      </c>
      <c r="F497" t="str">
        <f t="shared" ca="1" si="7"/>
        <v>"2084049302" : "loại đá a pa tít",</v>
      </c>
    </row>
    <row r="498" spans="1:6" ht="15.75" customHeight="1">
      <c r="A498" s="18">
        <v>2084049303</v>
      </c>
      <c r="B498" s="18" t="s">
        <v>21348</v>
      </c>
      <c r="C498" s="18" t="s">
        <v>21349</v>
      </c>
      <c r="D498" s="4" t="str">
        <f ca="1">IFERROR(__xludf.DUMMYFUNCTION("GOOGLETRANSLATE(B498,""ja"",""vi"")"),"thạch anh tím")</f>
        <v>thạch anh tím</v>
      </c>
      <c r="E498" s="4" t="str">
        <f ca="1">IFERROR(__xludf.DUMMYFUNCTION("GOOGLETRANSLATE(C498,""ja"",""vi"")"),"Đấu giá&gt; Accessories, Đồng hồ&gt; dùng cho phụ nữ&gt; đá trần truồng, lỏng lẻo&gt; thạch anh tím")</f>
        <v>Đấu giá&gt; Accessories, Đồng hồ&gt; dùng cho phụ nữ&gt; đá trần truồng, lỏng lẻo&gt; thạch anh tím</v>
      </c>
      <c r="F498" t="str">
        <f t="shared" ca="1" si="7"/>
        <v>"2084049303" : "thạch anh tím",</v>
      </c>
    </row>
    <row r="499" spans="1:6" ht="15.75" customHeight="1">
      <c r="A499" s="18">
        <v>2084049304</v>
      </c>
      <c r="B499" s="18" t="s">
        <v>21351</v>
      </c>
      <c r="C499" s="18" t="s">
        <v>21352</v>
      </c>
      <c r="D499" s="4" t="str">
        <f ca="1">IFERROR(__xludf.DUMMYFUNCTION("GOOGLETRANSLATE(B499,""ja"",""vi"")"),"Alexandrite")</f>
        <v>Alexandrite</v>
      </c>
      <c r="E499" s="4" t="str">
        <f ca="1">IFERROR(__xludf.DUMMYFUNCTION("GOOGLETRANSLATE(C499,""ja"",""vi"")"),"Đấu giá&gt; Accessories, Đồng hồ&gt; dùng cho phụ nữ&gt; đá trần truồng, Ruth&gt; alexandrit")</f>
        <v>Đấu giá&gt; Accessories, Đồng hồ&gt; dùng cho phụ nữ&gt; đá trần truồng, Ruth&gt; alexandrit</v>
      </c>
      <c r="F499" t="str">
        <f t="shared" ca="1" si="7"/>
        <v>"2084049304" : "Alexandrite",</v>
      </c>
    </row>
    <row r="500" spans="1:6" ht="15.75" customHeight="1">
      <c r="A500" s="18">
        <v>2084049305</v>
      </c>
      <c r="B500" s="18" t="s">
        <v>21354</v>
      </c>
      <c r="C500" s="18" t="s">
        <v>21355</v>
      </c>
      <c r="D500" s="4" t="str">
        <f ca="1">IFERROR(__xludf.DUMMYFUNCTION("GOOGLETRANSLATE(B500,""ja"",""vi"")"),"Amber, hổ phách")</f>
        <v>Amber, hổ phách</v>
      </c>
      <c r="E500" s="4" t="str">
        <f ca="1">IFERROR(__xludf.DUMMYFUNCTION("GOOGLETRANSLATE(C500,""ja"",""vi"")"),"Loading...")</f>
        <v>Loading...</v>
      </c>
      <c r="F500" t="str">
        <f t="shared" ca="1" si="7"/>
        <v>"2084049305" : "Amber, hổ phách",</v>
      </c>
    </row>
    <row r="501" spans="1:6" ht="15.75" customHeight="1">
      <c r="A501" s="18">
        <v>2084049306</v>
      </c>
      <c r="B501" s="18" t="s">
        <v>21357</v>
      </c>
      <c r="C501" s="18" t="s">
        <v>21358</v>
      </c>
      <c r="D501" s="4" t="str">
        <f ca="1">IFERROR(__xludf.DUMMYFUNCTION("GOOGLETRANSLATE(B501,""ja"",""vi"")"),"ngọc lục bảo")</f>
        <v>ngọc lục bảo</v>
      </c>
      <c r="E501" s="4" t="str">
        <f ca="1">IFERROR(__xludf.DUMMYFUNCTION("GOOGLETRANSLATE(C501,""ja"",""vi"")"),"Đấu giá&gt; Accessories, Đồng hồ&gt; dùng cho phụ nữ&gt; đá trần truồng, Ruth&gt; Emerald")</f>
        <v>Đấu giá&gt; Accessories, Đồng hồ&gt; dùng cho phụ nữ&gt; đá trần truồng, Ruth&gt; Emerald</v>
      </c>
      <c r="F501" t="str">
        <f t="shared" ca="1" si="7"/>
        <v>"2084049306" : "ngọc lục bảo",</v>
      </c>
    </row>
    <row r="502" spans="1:6" ht="15.75" customHeight="1">
      <c r="A502" s="18">
        <v>2084052375</v>
      </c>
      <c r="B502" s="18" t="s">
        <v>21359</v>
      </c>
      <c r="C502" s="18" t="s">
        <v>21361</v>
      </c>
      <c r="D502" s="4" t="str">
        <f ca="1">IFERROR(__xludf.DUMMYFUNCTION("GOOGLETRANSLATE(B502,""ja"",""vi"")"),"mã não có vân")</f>
        <v>mã não có vân</v>
      </c>
      <c r="E502" s="4" t="str">
        <f ca="1">IFERROR(__xludf.DUMMYFUNCTION("GOOGLETRANSLATE(C502,""ja"",""vi"")"),"Đấu giá&gt; Accessories, Đồng hồ&gt; dùng cho phụ nữ&gt; đá trần truồng, lỏng lẻo&gt; onyx")</f>
        <v>Đấu giá&gt; Accessories, Đồng hồ&gt; dùng cho phụ nữ&gt; đá trần truồng, lỏng lẻo&gt; onyx</v>
      </c>
      <c r="F502" t="str">
        <f t="shared" ca="1" si="7"/>
        <v>"2084052375" : "mã não có vân",</v>
      </c>
    </row>
    <row r="503" spans="1:6" ht="15.75" customHeight="1">
      <c r="A503" s="18">
        <v>2084049307</v>
      </c>
      <c r="B503" s="18" t="s">
        <v>21362</v>
      </c>
      <c r="C503" s="18" t="s">
        <v>21363</v>
      </c>
      <c r="D503" s="4" t="str">
        <f ca="1">IFERROR(__xludf.DUMMYFUNCTION("GOOGLETRANSLATE(B503,""ja"",""vi"")"),"ngọc mắt mèo")</f>
        <v>ngọc mắt mèo</v>
      </c>
      <c r="E503" s="4" t="str">
        <f ca="1">IFERROR(__xludf.DUMMYFUNCTION("GOOGLETRANSLATE(C503,""ja"",""vi"")"),"Loading...")</f>
        <v>Loading...</v>
      </c>
      <c r="F503" t="str">
        <f t="shared" ca="1" si="7"/>
        <v>"2084049307" : "ngọc mắt mèo",</v>
      </c>
    </row>
    <row r="504" spans="1:6" ht="15.75" customHeight="1">
      <c r="A504" s="18">
        <v>2084049308</v>
      </c>
      <c r="B504" s="18" t="s">
        <v>21365</v>
      </c>
      <c r="C504" s="18" t="s">
        <v>21366</v>
      </c>
      <c r="D504" s="4" t="str">
        <f ca="1">IFERROR(__xludf.DUMMYFUNCTION("GOOGLETRANSLATE(B504,""ja"",""vi"")"),"cái róc rách")</f>
        <v>cái róc rách</v>
      </c>
      <c r="E504" s="4" t="str">
        <f ca="1">IFERROR(__xludf.DUMMYFUNCTION("GOOGLETRANSLATE(C504,""ja"",""vi"")"),"Đấu giá&gt; Accessories, Đồng hồ&gt; dùng cho phụ nữ&gt; đá trần truồng, Ruth&gt; garnet")</f>
        <v>Đấu giá&gt; Accessories, Đồng hồ&gt; dùng cho phụ nữ&gt; đá trần truồng, Ruth&gt; garnet</v>
      </c>
      <c r="F504" t="str">
        <f t="shared" ca="1" si="7"/>
        <v>"2084049308" : "cái róc rách",</v>
      </c>
    </row>
    <row r="505" spans="1:6" ht="15.75" customHeight="1">
      <c r="A505" s="18">
        <v>2084049309</v>
      </c>
      <c r="B505" s="18" t="s">
        <v>21368</v>
      </c>
      <c r="C505" s="18" t="s">
        <v>21369</v>
      </c>
      <c r="D505" s="4" t="str">
        <f ca="1">IFERROR(__xludf.DUMMYFUNCTION("GOOGLETRANSLATE(B505,""ja"",""vi"")"),"Cat's mắt, cat's mắt")</f>
        <v>Cat's mắt, cat's mắt</v>
      </c>
      <c r="E505" s="4" t="str">
        <f ca="1">IFERROR(__xludf.DUMMYFUNCTION("GOOGLETRANSLATE(C505,""ja"",""vi"")"),"Loading...")</f>
        <v>Loading...</v>
      </c>
      <c r="F505" t="str">
        <f t="shared" ca="1" si="7"/>
        <v>"2084049309" : "Cat's mắt, cat's mắt",</v>
      </c>
    </row>
    <row r="506" spans="1:6" ht="15.75" customHeight="1">
      <c r="A506" s="18">
        <v>2084052762</v>
      </c>
      <c r="B506" s="18" t="s">
        <v>21370</v>
      </c>
      <c r="C506" s="18" t="s">
        <v>21371</v>
      </c>
      <c r="D506" s="4" t="str">
        <f ca="1">IFERROR(__xludf.DUMMYFUNCTION("GOOGLETRANSLATE(B506,""ja"",""vi"")"),"Cubic zirconia")</f>
        <v>Cubic zirconia</v>
      </c>
      <c r="E506" s="4" t="str">
        <f ca="1">IFERROR(__xludf.DUMMYFUNCTION("GOOGLETRANSLATE(C506,""ja"",""vi"")"),"Đấu giá&gt; Accessories, Đồng hồ&gt; dùng cho phụ nữ&gt; đá trần truồng, Ruth&gt; khối zirconia")</f>
        <v>Đấu giá&gt; Accessories, Đồng hồ&gt; dùng cho phụ nữ&gt; đá trần truồng, Ruth&gt; khối zirconia</v>
      </c>
      <c r="F506" t="str">
        <f t="shared" ca="1" si="7"/>
        <v>"2084052762" : "Cubic zirconia",</v>
      </c>
    </row>
    <row r="507" spans="1:6" ht="15.75" customHeight="1">
      <c r="A507" s="18">
        <v>2084049310</v>
      </c>
      <c r="B507" s="18" t="s">
        <v>21373</v>
      </c>
      <c r="C507" s="18" t="s">
        <v>21374</v>
      </c>
      <c r="D507" s="4" t="str">
        <f ca="1">IFERROR(__xludf.DUMMYFUNCTION("GOOGLETRANSLATE(B507,""ja"",""vi"")"),"Pha lê, pha lê")</f>
        <v>Pha lê, pha lê</v>
      </c>
      <c r="E507" s="4" t="str">
        <f ca="1">IFERROR(__xludf.DUMMYFUNCTION("GOOGLETRANSLATE(C507,""ja"",""vi"")"),"Đấu giá&gt; Accessories, Đồng hồ&gt; dùng cho phụ nữ&gt; đá trần truồng, Ruth&gt; pha lê, pha lê")</f>
        <v>Đấu giá&gt; Accessories, Đồng hồ&gt; dùng cho phụ nữ&gt; đá trần truồng, Ruth&gt; pha lê, pha lê</v>
      </c>
      <c r="F507" t="str">
        <f t="shared" ca="1" si="7"/>
        <v>"2084049310" : "Pha lê, pha lê",</v>
      </c>
    </row>
    <row r="508" spans="1:6" ht="15.75" customHeight="1">
      <c r="A508" s="18">
        <v>2084049311</v>
      </c>
      <c r="B508" s="18" t="s">
        <v>21376</v>
      </c>
      <c r="C508" s="18" t="s">
        <v>21377</v>
      </c>
      <c r="D508" s="4" t="str">
        <f ca="1">IFERROR(__xludf.DUMMYFUNCTION("GOOGLETRANSLATE(B508,""ja"",""vi"")"),"mã nảo có vân")</f>
        <v>mã nảo có vân</v>
      </c>
      <c r="E508" s="4" t="str">
        <f ca="1">IFERROR(__xludf.DUMMYFUNCTION("GOOGLETRANSLATE(C508,""ja"",""vi"")"),"Loading...")</f>
        <v>Loading...</v>
      </c>
      <c r="F508" t="str">
        <f t="shared" ca="1" si="7"/>
        <v>"2084049311" : "mã nảo có vân",</v>
      </c>
    </row>
    <row r="509" spans="1:6" ht="15.75" customHeight="1">
      <c r="A509" s="18">
        <v>2084049312</v>
      </c>
      <c r="B509" s="18" t="s">
        <v>21379</v>
      </c>
      <c r="C509" s="18" t="s">
        <v>21380</v>
      </c>
      <c r="D509" s="4" t="str">
        <f ca="1">IFERROR(__xludf.DUMMYFUNCTION("GOOGLETRANSLATE(B509,""ja"",""vi"")"),"xa phia")</f>
        <v>xa phia</v>
      </c>
      <c r="E509" s="4" t="str">
        <f ca="1">IFERROR(__xludf.DUMMYFUNCTION("GOOGLETRANSLATE(C509,""ja"",""vi"")"),"Loading...")</f>
        <v>Loading...</v>
      </c>
      <c r="F509" t="str">
        <f t="shared" ca="1" si="7"/>
        <v>"2084049312" : "xa phia",</v>
      </c>
    </row>
    <row r="510" spans="1:6" ht="15.75" customHeight="1">
      <c r="A510" s="18">
        <v>2084050465</v>
      </c>
      <c r="B510" s="18" t="s">
        <v>21382</v>
      </c>
      <c r="C510" s="18" t="s">
        <v>21383</v>
      </c>
      <c r="D510" s="4" t="str">
        <f ca="1">IFERROR(__xludf.DUMMYFUNCTION("GOOGLETRANSLATE(B510,""ja"",""vi"")"),"màu vỏ chanh")</f>
        <v>màu vỏ chanh</v>
      </c>
      <c r="E510" s="4" t="str">
        <f ca="1">IFERROR(__xludf.DUMMYFUNCTION("GOOGLETRANSLATE(C510,""ja"",""vi"")"),"Đấu giá&gt; Accessories, Đồng hồ&gt; dùng cho phụ nữ&gt; đá trần truồng, Ruth&gt; Citrine")</f>
        <v>Đấu giá&gt; Accessories, Đồng hồ&gt; dùng cho phụ nữ&gt; đá trần truồng, Ruth&gt; Citrine</v>
      </c>
      <c r="F510" t="str">
        <f t="shared" ca="1" si="7"/>
        <v>"2084050465" : "màu vỏ chanh",</v>
      </c>
    </row>
    <row r="511" spans="1:6" ht="15.75" customHeight="1">
      <c r="A511" s="18">
        <v>2084052376</v>
      </c>
      <c r="B511" s="18" t="s">
        <v>21384</v>
      </c>
      <c r="C511" s="18" t="s">
        <v>21385</v>
      </c>
      <c r="D511" s="4" t="str">
        <f ca="1">IFERROR(__xludf.DUMMYFUNCTION("GOOGLETRANSLATE(B511,""ja"",""vi"")"),"đá phong tỉn")</f>
        <v>đá phong tỉn</v>
      </c>
      <c r="E511" s="4" t="str">
        <f ca="1">IFERROR(__xludf.DUMMYFUNCTION("GOOGLETRANSLATE(C511,""ja"",""vi"")"),"Đấu giá&gt; Accessories, Đồng hồ&gt; dùng cho phụ nữ&gt; đá trần truồng, Ruth&gt; zircon")</f>
        <v>Đấu giá&gt; Accessories, Đồng hồ&gt; dùng cho phụ nữ&gt; đá trần truồng, Ruth&gt; zircon</v>
      </c>
      <c r="F511" t="str">
        <f t="shared" ca="1" si="7"/>
        <v>"2084052376" : "đá phong tỉn",</v>
      </c>
    </row>
    <row r="512" spans="1:6" ht="15.75" customHeight="1">
      <c r="A512" s="18">
        <v>2084050466</v>
      </c>
      <c r="B512" s="18" t="s">
        <v>21387</v>
      </c>
      <c r="C512" s="18" t="s">
        <v>21388</v>
      </c>
      <c r="D512" s="4" t="str">
        <f ca="1">IFERROR(__xludf.DUMMYFUNCTION("GOOGLETRANSLATE(B512,""ja"",""vi"")"),"thứ ngọc hồng bảo")</f>
        <v>thứ ngọc hồng bảo</v>
      </c>
      <c r="E512" s="4" t="str">
        <f ca="1">IFERROR(__xludf.DUMMYFUNCTION("GOOGLETRANSLATE(C512,""ja"",""vi"")"),"Đấu giá&gt; Accessories, Đồng hồ&gt; dùng cho phụ nữ&gt; đá trần truồng, Ruth&gt; spinen")</f>
        <v>Đấu giá&gt; Accessories, Đồng hồ&gt; dùng cho phụ nữ&gt; đá trần truồng, Ruth&gt; spinen</v>
      </c>
      <c r="F512" t="str">
        <f t="shared" ca="1" si="7"/>
        <v>"2084050466" : "thứ ngọc hồng bảo",</v>
      </c>
    </row>
    <row r="513" spans="1:6" ht="15.75" customHeight="1">
      <c r="A513" s="18">
        <v>2084049313</v>
      </c>
      <c r="B513" s="18" t="s">
        <v>21390</v>
      </c>
      <c r="C513" s="18" t="s">
        <v>21391</v>
      </c>
      <c r="D513" s="4" t="str">
        <f ca="1">IFERROR(__xludf.DUMMYFUNCTION("GOOGLETRANSLATE(B513,""ja"",""vi"")"),"Tanzanite")</f>
        <v>Tanzanite</v>
      </c>
      <c r="E513" s="4" t="str">
        <f ca="1">IFERROR(__xludf.DUMMYFUNCTION("GOOGLETRANSLATE(C513,""ja"",""vi"")"),"Đấu giá&gt; Accessories, Đồng hồ&gt; dùng cho phụ nữ&gt; đá trần truồng, lỏng lẻo&gt; tanzanite")</f>
        <v>Đấu giá&gt; Accessories, Đồng hồ&gt; dùng cho phụ nữ&gt; đá trần truồng, lỏng lẻo&gt; tanzanite</v>
      </c>
      <c r="F513" t="str">
        <f t="shared" ca="1" si="7"/>
        <v>"2084049313" : "Tanzanite",</v>
      </c>
    </row>
    <row r="514" spans="1:6" ht="15.75" customHeight="1">
      <c r="A514" s="18">
        <v>2084049300</v>
      </c>
      <c r="B514" s="18" t="s">
        <v>21039</v>
      </c>
      <c r="C514" s="18" t="s">
        <v>21394</v>
      </c>
      <c r="D514" s="4" t="str">
        <f ca="1">IFERROR(__xludf.DUMMYFUNCTION("GOOGLETRANSLATE(B514,""ja"",""vi"")"),"kim cương")</f>
        <v>kim cương</v>
      </c>
      <c r="E514" s="4" t="str">
        <f ca="1">IFERROR(__xludf.DUMMYFUNCTION("GOOGLETRANSLATE(C514,""ja"",""vi"")"),"Loading...")</f>
        <v>Loading...</v>
      </c>
      <c r="F514" t="str">
        <f t="shared" ca="1" si="7"/>
        <v>"2084049300" : "kim cương",</v>
      </c>
    </row>
    <row r="515" spans="1:6" ht="15.75" customHeight="1">
      <c r="A515" s="18">
        <v>2084049314</v>
      </c>
      <c r="B515" s="18" t="s">
        <v>21395</v>
      </c>
      <c r="C515" s="18" t="s">
        <v>21396</v>
      </c>
      <c r="D515" s="4" t="str">
        <f ca="1">IFERROR(__xludf.DUMMYFUNCTION("GOOGLETRANSLATE(B515,""ja"",""vi"")"),"hoàng ngọc")</f>
        <v>hoàng ngọc</v>
      </c>
      <c r="E515" s="4" t="str">
        <f ca="1">IFERROR(__xludf.DUMMYFUNCTION("GOOGLETRANSLATE(C515,""ja"",""vi"")"),"Đấu giá&gt; Accessories, Đồng hồ&gt; dùng cho phụ nữ&gt; đá trần truồng, Ruth&gt; topaz")</f>
        <v>Đấu giá&gt; Accessories, Đồng hồ&gt; dùng cho phụ nữ&gt; đá trần truồng, Ruth&gt; topaz</v>
      </c>
      <c r="F515" t="str">
        <f t="shared" ref="F515:F578" ca="1" si="8">CONCATENATE(CHAR(34)&amp;"",A515,""&amp;CHAR(34)," : ", CHAR(34)&amp;"",D515,""&amp;CHAR(34),",")</f>
        <v>"2084049314" : "hoàng ngọc",</v>
      </c>
    </row>
    <row r="516" spans="1:6" ht="15.75" customHeight="1">
      <c r="A516" s="18">
        <v>2084049315</v>
      </c>
      <c r="B516" s="18" t="s">
        <v>21398</v>
      </c>
      <c r="C516" s="18" t="s">
        <v>21399</v>
      </c>
      <c r="D516" s="4" t="str">
        <f ca="1">IFERROR(__xludf.DUMMYFUNCTION("GOOGLETRANSLATE(B516,""ja"",""vi"")"),"ngọc lam")</f>
        <v>ngọc lam</v>
      </c>
      <c r="E516" s="4" t="str">
        <f ca="1">IFERROR(__xludf.DUMMYFUNCTION("GOOGLETRANSLATE(C516,""ja"",""vi"")"),"Đấu giá&gt; Accessories, Đồng hồ&gt; dùng cho phụ nữ&gt; đá trần truồng, Ruth&gt; màu ngọc lam")</f>
        <v>Đấu giá&gt; Accessories, Đồng hồ&gt; dùng cho phụ nữ&gt; đá trần truồng, Ruth&gt; màu ngọc lam</v>
      </c>
      <c r="F516" t="str">
        <f t="shared" ca="1" si="8"/>
        <v>"2084049315" : "ngọc lam",</v>
      </c>
    </row>
    <row r="517" spans="1:6" ht="15.75" customHeight="1">
      <c r="A517" s="18">
        <v>2084049316</v>
      </c>
      <c r="B517" s="18" t="s">
        <v>21401</v>
      </c>
      <c r="C517" s="18" t="s">
        <v>21402</v>
      </c>
      <c r="D517" s="4" t="str">
        <f ca="1">IFERROR(__xludf.DUMMYFUNCTION("GOOGLETRANSLATE(B517,""ja"",""vi"")"),"đá nhiệt điện")</f>
        <v>đá nhiệt điện</v>
      </c>
      <c r="E517" s="4" t="str">
        <f ca="1">IFERROR(__xludf.DUMMYFUNCTION("GOOGLETRANSLATE(C517,""ja"",""vi"")"),"Loading...")</f>
        <v>Loading...</v>
      </c>
      <c r="F517" t="str">
        <f t="shared" ca="1" si="8"/>
        <v>"2084049316" : "đá nhiệt điện",</v>
      </c>
    </row>
    <row r="518" spans="1:6" ht="15.75" customHeight="1">
      <c r="A518" s="18">
        <v>2084049317</v>
      </c>
      <c r="B518" s="18" t="s">
        <v>21403</v>
      </c>
      <c r="C518" s="18" t="s">
        <v>21405</v>
      </c>
      <c r="D518" s="4" t="str">
        <f ca="1">IFERROR(__xludf.DUMMYFUNCTION("GOOGLETRANSLATE(B518,""ja"",""vi"")"),"ngọc bích")</f>
        <v>ngọc bích</v>
      </c>
      <c r="E518" s="4" t="str">
        <f ca="1">IFERROR(__xludf.DUMMYFUNCTION("GOOGLETRANSLATE(C518,""ja"",""vi"")"),"Loading...")</f>
        <v>Loading...</v>
      </c>
      <c r="F518" t="str">
        <f t="shared" ca="1" si="8"/>
        <v>"2084049317" : "ngọc bích",</v>
      </c>
    </row>
    <row r="519" spans="1:6" ht="15.75" customHeight="1">
      <c r="A519" s="18">
        <v>2084049318</v>
      </c>
      <c r="B519" s="18" t="s">
        <v>21406</v>
      </c>
      <c r="C519" s="18" t="s">
        <v>21407</v>
      </c>
      <c r="D519" s="4" t="str">
        <f ca="1">IFERROR(__xludf.DUMMYFUNCTION("GOOGLETRANSLATE(B519,""ja"",""vi"")"),"đá ngọc thạch vàng lục")</f>
        <v>đá ngọc thạch vàng lục</v>
      </c>
      <c r="E519" s="4" t="str">
        <f ca="1">IFERROR(__xludf.DUMMYFUNCTION("GOOGLETRANSLATE(C519,""ja"",""vi"")"),"Loading...")</f>
        <v>Loading...</v>
      </c>
      <c r="F519" t="str">
        <f t="shared" ca="1" si="8"/>
        <v>"2084049318" : "đá ngọc thạch vàng lục",</v>
      </c>
    </row>
    <row r="520" spans="1:6" ht="15.75" customHeight="1">
      <c r="A520" s="18">
        <v>2084049319</v>
      </c>
      <c r="B520" s="18" t="s">
        <v>12557</v>
      </c>
      <c r="C520" s="18" t="s">
        <v>21409</v>
      </c>
      <c r="D520" s="4" t="str">
        <f ca="1">IFERROR(__xludf.DUMMYFUNCTION("GOOGLETRANSLATE(B520,""ja"",""vi"")"),"Moonstone")</f>
        <v>Moonstone</v>
      </c>
      <c r="E520" s="4" t="str">
        <f ca="1">IFERROR(__xludf.DUMMYFUNCTION("GOOGLETRANSLATE(C520,""ja"",""vi"")"),"Loading...")</f>
        <v>Loading...</v>
      </c>
      <c r="F520" t="str">
        <f t="shared" ca="1" si="8"/>
        <v>"2084049319" : "Moonstone",</v>
      </c>
    </row>
    <row r="521" spans="1:6" ht="15.75" customHeight="1">
      <c r="A521" s="18">
        <v>2084049320</v>
      </c>
      <c r="B521" s="18" t="s">
        <v>21411</v>
      </c>
      <c r="C521" s="18" t="s">
        <v>21412</v>
      </c>
      <c r="D521" s="4" t="str">
        <f ca="1">IFERROR(__xludf.DUMMYFUNCTION("GOOGLETRANSLATE(B521,""ja"",""vi"")"),"Lapis lazuli, lapis lazuli")</f>
        <v>Lapis lazuli, lapis lazuli</v>
      </c>
      <c r="E521" s="4" t="str">
        <f ca="1">IFERROR(__xludf.DUMMYFUNCTION("GOOGLETRANSLATE(C521,""ja"",""vi"")"),"Đấu giá&gt; Accessories, Đồng hồ&gt; dùng cho phụ nữ&gt; đá trần truồng, Ruth&gt; lapis lazuli, lapis lazuli")</f>
        <v>Đấu giá&gt; Accessories, Đồng hồ&gt; dùng cho phụ nữ&gt; đá trần truồng, Ruth&gt; lapis lazuli, lapis lazuli</v>
      </c>
      <c r="F521" t="str">
        <f t="shared" ca="1" si="8"/>
        <v>"2084049320" : "Lapis lazuli, lapis lazuli",</v>
      </c>
    </row>
    <row r="522" spans="1:6" ht="15.75" customHeight="1">
      <c r="A522" s="18">
        <v>2084049323</v>
      </c>
      <c r="B522" s="18" t="s">
        <v>21414</v>
      </c>
      <c r="C522" s="18" t="s">
        <v>21415</v>
      </c>
      <c r="D522" s="4" t="str">
        <f ca="1">IFERROR(__xludf.DUMMYFUNCTION("GOOGLETRANSLATE(B522,""ja"",""vi"")"),"hồng ngọc")</f>
        <v>hồng ngọc</v>
      </c>
      <c r="E522" s="4" t="str">
        <f ca="1">IFERROR(__xludf.DUMMYFUNCTION("GOOGLETRANSLATE(C522,""ja"",""vi"")"),"Đấu giá&gt; Accessories, Đồng hồ&gt; dùng cho phụ nữ&gt; đá trần truồng, Ruth&gt; ruby")</f>
        <v>Đấu giá&gt; Accessories, Đồng hồ&gt; dùng cho phụ nữ&gt; đá trần truồng, Ruth&gt; ruby</v>
      </c>
      <c r="F522" t="str">
        <f t="shared" ca="1" si="8"/>
        <v>"2084049323" : "hồng ngọc",</v>
      </c>
    </row>
    <row r="523" spans="1:6" ht="15.75" customHeight="1">
      <c r="A523" s="18">
        <v>2084049299</v>
      </c>
      <c r="B523" s="18" t="s">
        <v>21042</v>
      </c>
      <c r="C523" s="18" t="s">
        <v>21416</v>
      </c>
      <c r="D523" s="4" t="str">
        <f ca="1">IFERROR(__xludf.DUMMYFUNCTION("GOOGLETRANSLATE(B523,""ja"",""vi"")"),"ngọc trai")</f>
        <v>ngọc trai</v>
      </c>
      <c r="E523" s="4" t="str">
        <f ca="1">IFERROR(__xludf.DUMMYFUNCTION("GOOGLETRANSLATE(C523,""ja"",""vi"")"),"Loading...")</f>
        <v>Loading...</v>
      </c>
      <c r="F523" t="str">
        <f t="shared" ca="1" si="8"/>
        <v>"2084049299" : "ngọc trai",</v>
      </c>
    </row>
    <row r="524" spans="1:6" ht="15.75" customHeight="1">
      <c r="A524" s="18">
        <v>2084049321</v>
      </c>
      <c r="B524" s="18" t="s">
        <v>21050</v>
      </c>
      <c r="C524" s="18" t="s">
        <v>21418</v>
      </c>
      <c r="D524" s="4" t="str">
        <f ca="1">IFERROR(__xludf.DUMMYFUNCTION("GOOGLETRANSLATE(B524,""ja"",""vi"")"),"đồ trang sức nhân tạo, rhinestone")</f>
        <v>đồ trang sức nhân tạo, rhinestone</v>
      </c>
      <c r="E524" s="4" t="str">
        <f ca="1">IFERROR(__xludf.DUMMYFUNCTION("GOOGLETRANSLATE(C524,""ja"",""vi"")"),"Đấu giá&gt; Accessories, Đồng hồ&gt; dùng cho phụ nữ&gt; đá trần truồng, lỏng lẻo&gt; đồ trang sức nhân tạo, rhinestone")</f>
        <v>Đấu giá&gt; Accessories, Đồng hồ&gt; dùng cho phụ nữ&gt; đá trần truồng, lỏng lẻo&gt; đồ trang sức nhân tạo, rhinestone</v>
      </c>
      <c r="F524" t="str">
        <f t="shared" ca="1" si="8"/>
        <v>"2084049321" : "đồ trang sức nhân tạo, rhinestone",</v>
      </c>
    </row>
    <row r="525" spans="1:6" ht="15.75" customHeight="1">
      <c r="A525" s="18">
        <v>2084049322</v>
      </c>
      <c r="B525" s="18" t="s">
        <v>46</v>
      </c>
      <c r="C525" s="18" t="s">
        <v>21420</v>
      </c>
      <c r="D525" s="4" t="str">
        <f ca="1">IFERROR(__xludf.DUMMYFUNCTION("GOOGLETRANSLATE(B525,""ja"",""vi"")"),"nếu không thì")</f>
        <v>nếu không thì</v>
      </c>
      <c r="E525" s="4" t="str">
        <f ca="1">IFERROR(__xludf.DUMMYFUNCTION("GOOGLETRANSLATE(C525,""ja"",""vi"")"),"Đấu giá&gt; Accessories, Đồng hồ&gt; dùng cho phụ nữ&gt; đá trần truồng, Ruth&gt; Khác")</f>
        <v>Đấu giá&gt; Accessories, Đồng hồ&gt; dùng cho phụ nữ&gt; đá trần truồng, Ruth&gt; Khác</v>
      </c>
      <c r="F525" t="str">
        <f t="shared" ca="1" si="8"/>
        <v>"2084049322" : "nếu không thì",</v>
      </c>
    </row>
    <row r="526" spans="1:6" ht="15.75" customHeight="1">
      <c r="A526" s="18">
        <v>2084063352</v>
      </c>
      <c r="B526" s="18" t="s">
        <v>21739</v>
      </c>
      <c r="C526" s="18" t="s">
        <v>21743</v>
      </c>
      <c r="D526" s="4" t="str">
        <f ca="1">IFERROR(__xludf.DUMMYFUNCTION("GOOGLETRANSLATE(B526,""ja"",""vi"")"),"động vật")</f>
        <v>động vật</v>
      </c>
      <c r="E526" s="4" t="str">
        <f ca="1">IFERROR(__xludf.DUMMYFUNCTION("GOOGLETRANSLATE(C526,""ja"",""vi"")"),"Đấu giá&gt; phụ kiện, đồng hồ&gt; phụ kiện dành cho trẻ em&gt; tóc đàn hồi, Chou&gt; Animal")</f>
        <v>Đấu giá&gt; phụ kiện, đồng hồ&gt; phụ kiện dành cho trẻ em&gt; tóc đàn hồi, Chou&gt; Animal</v>
      </c>
      <c r="F526" t="str">
        <f t="shared" ca="1" si="8"/>
        <v>"2084063352" : "động vật",</v>
      </c>
    </row>
    <row r="527" spans="1:6" ht="15.75" customHeight="1">
      <c r="A527" s="18">
        <v>2084063351</v>
      </c>
      <c r="B527" s="18" t="s">
        <v>4452</v>
      </c>
      <c r="C527" s="18" t="s">
        <v>21747</v>
      </c>
      <c r="D527" s="4" t="str">
        <f ca="1">IFERROR(__xludf.DUMMYFUNCTION("GOOGLETRANSLATE(B527,""ja"",""vi"")"),"nhân vật")</f>
        <v>nhân vật</v>
      </c>
      <c r="E527" s="4" t="str">
        <f ca="1">IFERROR(__xludf.DUMMYFUNCTION("GOOGLETRANSLATE(C527,""ja"",""vi"")"),"Loading...")</f>
        <v>Loading...</v>
      </c>
      <c r="F527" t="str">
        <f t="shared" ca="1" si="8"/>
        <v>"2084063351" : "nhân vật",</v>
      </c>
    </row>
    <row r="528" spans="1:6" ht="15.75" customHeight="1">
      <c r="A528" s="18">
        <v>2084063350</v>
      </c>
      <c r="B528" s="18" t="s">
        <v>21750</v>
      </c>
      <c r="C528" s="18" t="s">
        <v>21752</v>
      </c>
      <c r="D528" s="4" t="str">
        <f ca="1">IFERROR(__xludf.DUMMYFUNCTION("GOOGLETRANSLATE(B528,""ja"",""vi"")"),"hoa")</f>
        <v>hoa</v>
      </c>
      <c r="E528" s="4" t="str">
        <f ca="1">IFERROR(__xludf.DUMMYFUNCTION("GOOGLETRANSLATE(C528,""ja"",""vi"")"),"Đấu giá&gt; phụ kiện, đồng hồ&gt; phụ kiện dành cho trẻ em&gt; tóc đàn hồi, Chou&gt; Flower")</f>
        <v>Đấu giá&gt; phụ kiện, đồng hồ&gt; phụ kiện dành cho trẻ em&gt; tóc đàn hồi, Chou&gt; Flower</v>
      </c>
      <c r="F528" t="str">
        <f t="shared" ca="1" si="8"/>
        <v>"2084063350" : "hoa",</v>
      </c>
    </row>
    <row r="529" spans="1:6" ht="15.75" customHeight="1">
      <c r="A529" s="18">
        <v>2084063349</v>
      </c>
      <c r="B529" s="18" t="s">
        <v>21754</v>
      </c>
      <c r="C529" s="18" t="s">
        <v>21756</v>
      </c>
      <c r="D529" s="4" t="str">
        <f ca="1">IFERROR(__xludf.DUMMYFUNCTION("GOOGLETRANSLATE(B529,""ja"",""vi"")"),"quả")</f>
        <v>quả</v>
      </c>
      <c r="E529" s="4" t="str">
        <f ca="1">IFERROR(__xludf.DUMMYFUNCTION("GOOGLETRANSLATE(C529,""ja"",""vi"")"),"Loading...")</f>
        <v>Loading...</v>
      </c>
      <c r="F529" t="str">
        <f t="shared" ca="1" si="8"/>
        <v>"2084063349" : "quả",</v>
      </c>
    </row>
    <row r="530" spans="1:6" ht="15.75" customHeight="1">
      <c r="A530" s="18">
        <v>2084063348</v>
      </c>
      <c r="B530" s="18" t="s">
        <v>16266</v>
      </c>
      <c r="C530" s="18" t="s">
        <v>21758</v>
      </c>
      <c r="D530" s="4" t="str">
        <f ca="1">IFERROR(__xludf.DUMMYFUNCTION("GOOGLETRANSLATE(B530,""ja"",""vi"")"),"dây băng")</f>
        <v>dây băng</v>
      </c>
      <c r="E530" s="4" t="str">
        <f ca="1">IFERROR(__xludf.DUMMYFUNCTION("GOOGLETRANSLATE(C530,""ja"",""vi"")"),"Đấu giá&gt; phụ kiện, đồng hồ&gt; phụ kiện dành cho trẻ em&gt; tóc đàn hồi, Chou&gt; ruy băng")</f>
        <v>Đấu giá&gt; phụ kiện, đồng hồ&gt; phụ kiện dành cho trẻ em&gt; tóc đàn hồi, Chou&gt; ruy băng</v>
      </c>
      <c r="F530" t="str">
        <f t="shared" ca="1" si="8"/>
        <v>"2084063348" : "dây băng",</v>
      </c>
    </row>
    <row r="531" spans="1:6" ht="15.75" customHeight="1">
      <c r="A531" s="18">
        <v>2084063353</v>
      </c>
      <c r="B531" s="18" t="s">
        <v>46</v>
      </c>
      <c r="C531" s="18" t="s">
        <v>21761</v>
      </c>
      <c r="D531" s="4" t="str">
        <f ca="1">IFERROR(__xludf.DUMMYFUNCTION("GOOGLETRANSLATE(B531,""ja"",""vi"")"),"nếu không thì")</f>
        <v>nếu không thì</v>
      </c>
      <c r="E531" s="4" t="str">
        <f ca="1">IFERROR(__xludf.DUMMYFUNCTION("GOOGLETRANSLATE(C531,""ja"",""vi"")"),"Loading...")</f>
        <v>Loading...</v>
      </c>
      <c r="F531" t="str">
        <f t="shared" ca="1" si="8"/>
        <v>"2084063353" : "nếu không thì",</v>
      </c>
    </row>
    <row r="532" spans="1:6" ht="15.75" customHeight="1">
      <c r="A532" s="18">
        <v>2084252432</v>
      </c>
      <c r="B532" s="18" t="s">
        <v>21764</v>
      </c>
      <c r="C532" s="18" t="s">
        <v>21765</v>
      </c>
      <c r="D532" s="4" t="str">
        <f ca="1">IFERROR(__xludf.DUMMYFUNCTION("GOOGLETRANSLATE(B532,""ja"",""vi"")"),"FHB")</f>
        <v>FHB</v>
      </c>
      <c r="E532" s="4" t="str">
        <f ca="1">IFERROR(__xludf.DUMMYFUNCTION("GOOGLETRANSLATE(C532,""ja"",""vi"")"),"Loading...")</f>
        <v>Loading...</v>
      </c>
      <c r="F532" t="str">
        <f t="shared" ca="1" si="8"/>
        <v>"2084252432" : "FHB",</v>
      </c>
    </row>
    <row r="533" spans="1:6" ht="15.75" customHeight="1">
      <c r="A533" s="18">
        <v>2084041627</v>
      </c>
      <c r="B533" s="18" t="s">
        <v>21768</v>
      </c>
      <c r="C533" s="18" t="s">
        <v>21770</v>
      </c>
      <c r="D533" s="4" t="str">
        <f ca="1">IFERROR(__xludf.DUMMYFUNCTION("GOOGLETRANSLATE(B533,""ja"",""vi"")"),"IWC")</f>
        <v>IWC</v>
      </c>
      <c r="E533" s="4" t="str">
        <f ca="1">IFERROR(__xludf.DUMMYFUNCTION("GOOGLETRANSLATE(C533,""ja"",""vi"")"),"Loading...")</f>
        <v>Loading...</v>
      </c>
      <c r="F533" t="str">
        <f t="shared" ca="1" si="8"/>
        <v>"2084041627" : "IWC",</v>
      </c>
    </row>
    <row r="534" spans="1:6" ht="15.75" customHeight="1">
      <c r="A534" s="18">
        <v>2084252426</v>
      </c>
      <c r="B534" s="18" t="s">
        <v>21773</v>
      </c>
      <c r="C534" s="18" t="s">
        <v>21774</v>
      </c>
      <c r="D534" s="4" t="str">
        <f ca="1">IFERROR(__xludf.DUMMYFUNCTION("GOOGLETRANSLATE(B534,""ja"",""vi"")"),"Aqua bí quyết đánh dấu")</f>
        <v>Aqua bí quyết đánh dấu</v>
      </c>
      <c r="E534" s="4" t="str">
        <f ca="1">IFERROR(__xludf.DUMMYFUNCTION("GOOGLETRANSLATE(C534,""ja"",""vi"")"),"Loading...")</f>
        <v>Loading...</v>
      </c>
      <c r="F534" t="str">
        <f t="shared" ca="1" si="8"/>
        <v>"2084252426" : "Aqua bí quyết đánh dấu",</v>
      </c>
    </row>
    <row r="535" spans="1:6" ht="15.75" customHeight="1">
      <c r="A535" s="18">
        <v>2084301267</v>
      </c>
      <c r="B535" s="18" t="s">
        <v>8755</v>
      </c>
      <c r="C535" s="18" t="s">
        <v>21778</v>
      </c>
      <c r="D535" s="4" t="str">
        <f ca="1">IFERROR(__xludf.DUMMYFUNCTION("GOOGLETRANSLATE(B535,""ja"",""vi"")"),"Adidas")</f>
        <v>Adidas</v>
      </c>
      <c r="E535" s="4" t="str">
        <f ca="1">IFERROR(__xludf.DUMMYFUNCTION("GOOGLETRANSLATE(C535,""ja"",""vi"")"),"Đấu giá&gt; phụ kiện, đồng hồ&gt; thương hiệu đồng hồ đeo tay&gt; sub-row&gt; Adidas")</f>
        <v>Đấu giá&gt; phụ kiện, đồng hồ&gt; thương hiệu đồng hồ đeo tay&gt; sub-row&gt; Adidas</v>
      </c>
      <c r="F535" t="str">
        <f t="shared" ca="1" si="8"/>
        <v>"2084301267" : "Adidas",</v>
      </c>
    </row>
    <row r="536" spans="1:6" ht="15.75" customHeight="1">
      <c r="A536" s="18">
        <v>2084024511</v>
      </c>
      <c r="B536" s="18" t="s">
        <v>8809</v>
      </c>
      <c r="C536" s="18" t="s">
        <v>21781</v>
      </c>
      <c r="D536" s="4" t="str">
        <f ca="1">IFERROR(__xludf.DUMMYFUNCTION("GOOGLETRANSLATE(B536,""ja"",""vi"")"),"Aniesube")</f>
        <v>Aniesube</v>
      </c>
      <c r="E536" s="4" t="str">
        <f ca="1">IFERROR(__xludf.DUMMYFUNCTION("GOOGLETRANSLATE(C536,""ja"",""vi"")"),"Đấu giá&gt; phụ kiện, đồng hồ&gt; thương hiệu đồng hồ đeo tay&gt; sub-row&gt; Aniesube")</f>
        <v>Đấu giá&gt; phụ kiện, đồng hồ&gt; thương hiệu đồng hồ đeo tay&gt; sub-row&gt; Aniesube</v>
      </c>
      <c r="F536" t="str">
        <f t="shared" ca="1" si="8"/>
        <v>"2084024511" : "Aniesube",</v>
      </c>
    </row>
    <row r="537" spans="1:6" ht="15.75" customHeight="1">
      <c r="A537" s="18">
        <v>2084024528</v>
      </c>
      <c r="B537" s="18" t="s">
        <v>21784</v>
      </c>
      <c r="C537" s="18" t="s">
        <v>21787</v>
      </c>
      <c r="D537" s="4" t="str">
        <f ca="1">IFERROR(__xludf.DUMMYFUNCTION("GOOGLETRANSLATE(B537,""ja"",""vi"")"),"Alain Silberstein")</f>
        <v>Alain Silberstein</v>
      </c>
      <c r="E537" s="4" t="str">
        <f ca="1">IFERROR(__xludf.DUMMYFUNCTION("GOOGLETRANSLATE(C537,""ja"",""vi"")"),"Loading...")</f>
        <v>Loading...</v>
      </c>
      <c r="F537" t="str">
        <f t="shared" ca="1" si="8"/>
        <v>"2084024528" : "Alain Silberstein",</v>
      </c>
    </row>
    <row r="538" spans="1:6" ht="15.75" customHeight="1">
      <c r="A538" s="18">
        <v>2084252427</v>
      </c>
      <c r="B538" s="18" t="s">
        <v>21788</v>
      </c>
      <c r="C538" s="18" t="s">
        <v>21791</v>
      </c>
      <c r="D538" s="4" t="str">
        <f ca="1">IFERROR(__xludf.DUMMYFUNCTION("GOOGLETRANSLATE(B538,""ja"",""vi"")"),"Alpina")</f>
        <v>Alpina</v>
      </c>
      <c r="E538" s="4" t="str">
        <f ca="1">IFERROR(__xludf.DUMMYFUNCTION("GOOGLETRANSLATE(C538,""ja"",""vi"")"),"Đấu giá&gt; phụ kiện, đồng hồ&gt; thương hiệu đồng hồ đeo tay&gt; sub-row&gt; Alpina")</f>
        <v>Đấu giá&gt; phụ kiện, đồng hồ&gt; thương hiệu đồng hồ đeo tay&gt; sub-row&gt; Alpina</v>
      </c>
      <c r="F538" t="str">
        <f t="shared" ca="1" si="8"/>
        <v>"2084252427" : "Alpina",</v>
      </c>
    </row>
    <row r="539" spans="1:6" ht="15.75" customHeight="1">
      <c r="A539" s="18">
        <v>2084217132</v>
      </c>
      <c r="B539" s="18" t="s">
        <v>8916</v>
      </c>
      <c r="C539" s="18" t="s">
        <v>21795</v>
      </c>
      <c r="D539" s="4" t="str">
        <f ca="1">IFERROR(__xludf.DUMMYFUNCTION("GOOGLETRANSLATE(B539,""ja"",""vi"")"),"Armani")</f>
        <v>Armani</v>
      </c>
      <c r="E539" s="4" t="str">
        <f ca="1">IFERROR(__xludf.DUMMYFUNCTION("GOOGLETRANSLATE(C539,""ja"",""vi"")"),"Đấu giá&gt; phụ kiện, đồng hồ&gt; thương hiệu đồng hồ đeo tay&gt; sub-row&gt; Armani")</f>
        <v>Đấu giá&gt; phụ kiện, đồng hồ&gt; thương hiệu đồng hồ đeo tay&gt; sub-row&gt; Armani</v>
      </c>
      <c r="F539" t="str">
        <f t="shared" ca="1" si="8"/>
        <v>"2084217132" : "Armani",</v>
      </c>
    </row>
    <row r="540" spans="1:6" ht="15.75" customHeight="1">
      <c r="A540" s="18">
        <v>2084301268</v>
      </c>
      <c r="B540" s="18" t="s">
        <v>21799</v>
      </c>
      <c r="C540" s="18" t="s">
        <v>21800</v>
      </c>
      <c r="D540" s="4" t="str">
        <f ca="1">IFERROR(__xludf.DUMMYFUNCTION("GOOGLETRANSLATE(B540,""ja"",""vi"")"),"Anne Clark")</f>
        <v>Anne Clark</v>
      </c>
      <c r="E540" s="4" t="str">
        <f ca="1">IFERROR(__xludf.DUMMYFUNCTION("GOOGLETRANSLATE(C540,""ja"",""vi"")"),"Loading...")</f>
        <v>Loading...</v>
      </c>
      <c r="F540" t="str">
        <f t="shared" ca="1" si="8"/>
        <v>"2084301268" : "Anne Clark",</v>
      </c>
    </row>
    <row r="541" spans="1:6" ht="15.75" customHeight="1">
      <c r="A541" s="18">
        <v>2084206922</v>
      </c>
      <c r="B541" s="18" t="s">
        <v>21801</v>
      </c>
      <c r="C541" s="18" t="s">
        <v>21802</v>
      </c>
      <c r="D541" s="4" t="str">
        <f ca="1">IFERROR(__xludf.DUMMYFUNCTION("GOOGLETRANSLATE(B541,""ja"",""vi"")"),"Wenger")</f>
        <v>Wenger</v>
      </c>
      <c r="E541" s="4" t="str">
        <f ca="1">IFERROR(__xludf.DUMMYFUNCTION("GOOGLETRANSLATE(C541,""ja"",""vi"")"),"Đấu giá&gt; phụ kiện, đồng hồ&gt; thương hiệu đồng hồ đeo tay&gt; sub-row&gt; Wenger")</f>
        <v>Đấu giá&gt; phụ kiện, đồng hồ&gt; thương hiệu đồng hồ đeo tay&gt; sub-row&gt; Wenger</v>
      </c>
      <c r="F541" t="str">
        <f t="shared" ca="1" si="8"/>
        <v>"2084206922" : "Wenger",</v>
      </c>
    </row>
    <row r="542" spans="1:6" ht="15.75" customHeight="1">
      <c r="A542" s="18">
        <v>2084024540</v>
      </c>
      <c r="B542" s="18" t="s">
        <v>21803</v>
      </c>
      <c r="C542" s="18" t="s">
        <v>21804</v>
      </c>
      <c r="D542" s="4" t="str">
        <f ca="1">IFERROR(__xludf.DUMMYFUNCTION("GOOGLETRANSLATE(B542,""ja"",""vi"")"),"Waltham")</f>
        <v>Waltham</v>
      </c>
      <c r="E542" s="4" t="str">
        <f ca="1">IFERROR(__xludf.DUMMYFUNCTION("GOOGLETRANSLATE(C542,""ja"",""vi"")"),"Loading...")</f>
        <v>Loading...</v>
      </c>
      <c r="F542" t="str">
        <f t="shared" ca="1" si="8"/>
        <v>"2084024540" : "Waltham",</v>
      </c>
    </row>
    <row r="543" spans="1:6" ht="15.75" customHeight="1">
      <c r="A543" s="18">
        <v>2084212696</v>
      </c>
      <c r="B543" s="18" t="s">
        <v>21805</v>
      </c>
      <c r="C543" s="18" t="s">
        <v>21806</v>
      </c>
      <c r="D543" s="4" t="str">
        <f ca="1">IFERROR(__xludf.DUMMYFUNCTION("GOOGLETRANSLATE(B543,""ja"",""vi"")"),"Hublot")</f>
        <v>Hublot</v>
      </c>
      <c r="E543" s="4" t="str">
        <f ca="1">IFERROR(__xludf.DUMMYFUNCTION("GOOGLETRANSLATE(C543,""ja"",""vi"")"),"Loading...")</f>
        <v>Loading...</v>
      </c>
      <c r="F543" t="str">
        <f t="shared" ca="1" si="8"/>
        <v>"2084212696" : "Hublot",</v>
      </c>
    </row>
    <row r="544" spans="1:6" ht="15.75" customHeight="1">
      <c r="A544" s="18">
        <v>2084229202</v>
      </c>
      <c r="B544" s="18" t="s">
        <v>21807</v>
      </c>
      <c r="C544" s="18" t="s">
        <v>21808</v>
      </c>
      <c r="D544" s="4" t="str">
        <f ca="1">IFERROR(__xludf.DUMMYFUNCTION("GOOGLETRANSLATE(B544,""ja"",""vi"")"),"Eterna")</f>
        <v>Eterna</v>
      </c>
      <c r="E544" s="4" t="str">
        <f ca="1">IFERROR(__xludf.DUMMYFUNCTION("GOOGLETRANSLATE(C544,""ja"",""vi"")"),"Đấu giá&gt; phụ kiện, đồng hồ&gt; thương hiệu đồng hồ đeo tay&gt; sub-row&gt; Eterna")</f>
        <v>Đấu giá&gt; phụ kiện, đồng hồ&gt; thương hiệu đồng hồ đeo tay&gt; sub-row&gt; Eterna</v>
      </c>
      <c r="F544" t="str">
        <f t="shared" ca="1" si="8"/>
        <v>"2084229202" : "Eterna",</v>
      </c>
    </row>
    <row r="545" spans="1:6" ht="15.75" customHeight="1">
      <c r="A545" s="18">
        <v>2084252430</v>
      </c>
      <c r="B545" s="18" t="s">
        <v>21809</v>
      </c>
      <c r="C545" s="18" t="s">
        <v>21810</v>
      </c>
      <c r="D545" s="4" t="str">
        <f ca="1">IFERROR(__xludf.DUMMYFUNCTION("GOOGLETRANSLATE(B545,""ja"",""vi"")"),"Edox")</f>
        <v>Edox</v>
      </c>
      <c r="E545" s="4" t="str">
        <f ca="1">IFERROR(__xludf.DUMMYFUNCTION("GOOGLETRANSLATE(C545,""ja"",""vi"")"),"Loading...")</f>
        <v>Loading...</v>
      </c>
      <c r="F545" t="str">
        <f t="shared" ca="1" si="8"/>
        <v>"2084252430" : "Edox",</v>
      </c>
    </row>
    <row r="546" spans="1:6" ht="15.75" customHeight="1">
      <c r="A546" s="18">
        <v>2084252431</v>
      </c>
      <c r="B546" s="18" t="s">
        <v>21813</v>
      </c>
      <c r="C546" s="18" t="s">
        <v>21814</v>
      </c>
      <c r="D546" s="4" t="str">
        <f ca="1">IFERROR(__xludf.DUMMYFUNCTION("GOOGLETRANSLATE(B546,""ja"",""vi"")"),"Enika")</f>
        <v>Enika</v>
      </c>
      <c r="E546" s="4" t="str">
        <f ca="1">IFERROR(__xludf.DUMMYFUNCTION("GOOGLETRANSLATE(C546,""ja"",""vi"")"),"Đấu giá&gt; phụ kiện, đồng hồ&gt; thương hiệu đồng hồ đeo tay&gt; sub-row&gt; Enika")</f>
        <v>Đấu giá&gt; phụ kiện, đồng hồ&gt; thương hiệu đồng hồ đeo tay&gt; sub-row&gt; Enika</v>
      </c>
      <c r="F546" t="str">
        <f t="shared" ca="1" si="8"/>
        <v>"2084252431" : "Enika",</v>
      </c>
    </row>
    <row r="547" spans="1:6" ht="15.75" customHeight="1">
      <c r="A547" s="18">
        <v>2084252433</v>
      </c>
      <c r="B547" s="18" t="s">
        <v>21818</v>
      </c>
      <c r="C547" s="18" t="s">
        <v>21819</v>
      </c>
      <c r="D547" s="4" t="str">
        <f ca="1">IFERROR(__xludf.DUMMYFUNCTION("GOOGLETRANSLATE(B547,""ja"",""vi"")"),"Eberhardt")</f>
        <v>Eberhardt</v>
      </c>
      <c r="E547" s="4" t="str">
        <f ca="1">IFERROR(__xludf.DUMMYFUNCTION("GOOGLETRANSLATE(C547,""ja"",""vi"")"),"Đấu giá&gt; phụ kiện, đồng hồ&gt; thương hiệu đồng hồ đeo tay&gt; sub-row&gt; Eberhardt")</f>
        <v>Đấu giá&gt; phụ kiện, đồng hồ&gt; thương hiệu đồng hồ đeo tay&gt; sub-row&gt; Eberhardt</v>
      </c>
      <c r="F547" t="str">
        <f t="shared" ca="1" si="8"/>
        <v>"2084252433" : "Eberhardt",</v>
      </c>
    </row>
    <row r="548" spans="1:6" ht="15.75" customHeight="1">
      <c r="A548" s="18">
        <v>2084024549</v>
      </c>
      <c r="B548" s="18" t="s">
        <v>21823</v>
      </c>
      <c r="C548" s="18" t="s">
        <v>21824</v>
      </c>
      <c r="D548" s="4" t="str">
        <f ca="1">IFERROR(__xludf.DUMMYFUNCTION("GOOGLETRANSLATE(B548,""ja"",""vi"")"),"Ebel")</f>
        <v>Ebel</v>
      </c>
      <c r="E548" s="4" t="str">
        <f ca="1">IFERROR(__xludf.DUMMYFUNCTION("GOOGLETRANSLATE(C548,""ja"",""vi"")"),"Đấu giá&gt; phụ kiện, đồng hồ&gt; thương hiệu đồng hồ đeo tay&gt; sub-row&gt; Ebel")</f>
        <v>Đấu giá&gt; phụ kiện, đồng hồ&gt; thương hiệu đồng hồ đeo tay&gt; sub-row&gt; Ebel</v>
      </c>
      <c r="F548" t="str">
        <f t="shared" ca="1" si="8"/>
        <v>"2084024549" : "Ebel",</v>
      </c>
    </row>
    <row r="549" spans="1:6" ht="15.75" customHeight="1">
      <c r="A549" s="18">
        <v>2084060211</v>
      </c>
      <c r="B549" s="18" t="s">
        <v>21826</v>
      </c>
      <c r="C549" s="18" t="s">
        <v>21828</v>
      </c>
      <c r="D549" s="4" t="str">
        <f ca="1">IFERROR(__xludf.DUMMYFUNCTION("GOOGLETRANSLATE(B549,""ja"",""vi"")"),"anh hùng ca")</f>
        <v>anh hùng ca</v>
      </c>
      <c r="E549" s="4" t="str">
        <f ca="1">IFERROR(__xludf.DUMMYFUNCTION("GOOGLETRANSLATE(C549,""ja"",""vi"")"),"Đấu giá&gt; phụ kiện, đồng hồ&gt; thương hiệu đồng hồ đeo tay&gt; sub-row&gt; anh hùng ca")</f>
        <v>Đấu giá&gt; phụ kiện, đồng hồ&gt; thương hiệu đồng hồ đeo tay&gt; sub-row&gt; anh hùng ca</v>
      </c>
      <c r="F549" t="str">
        <f t="shared" ca="1" si="8"/>
        <v>"2084060211" : "anh hùng ca",</v>
      </c>
    </row>
    <row r="550" spans="1:6" ht="15.75" customHeight="1">
      <c r="A550" s="18">
        <v>2084024513</v>
      </c>
      <c r="B550" s="18" t="s">
        <v>21830</v>
      </c>
      <c r="C550" s="18" t="s">
        <v>21832</v>
      </c>
      <c r="D550" s="4" t="str">
        <f ca="1">IFERROR(__xludf.DUMMYFUNCTION("GOOGLETRANSLATE(B550,""ja"",""vi"")"),"Elgin")</f>
        <v>Elgin</v>
      </c>
      <c r="E550" s="4" t="str">
        <f ca="1">IFERROR(__xludf.DUMMYFUNCTION("GOOGLETRANSLATE(C550,""ja"",""vi"")"),"Đấu giá&gt; phụ kiện, đồng hồ&gt; thương hiệu đồng hồ đeo tay&gt; sub-row&gt; Elgin")</f>
        <v>Đấu giá&gt; phụ kiện, đồng hồ&gt; thương hiệu đồng hồ đeo tay&gt; sub-row&gt; Elgin</v>
      </c>
      <c r="F550" t="str">
        <f t="shared" ca="1" si="8"/>
        <v>"2084024513" : "Elgin",</v>
      </c>
    </row>
    <row r="551" spans="1:6" ht="15.75" customHeight="1">
      <c r="A551" s="18">
        <v>2084024510</v>
      </c>
      <c r="B551" s="18" t="s">
        <v>9475</v>
      </c>
      <c r="C551" s="18" t="s">
        <v>21834</v>
      </c>
      <c r="D551" s="4" t="str">
        <f ca="1">IFERROR(__xludf.DUMMYFUNCTION("GOOGLETRANSLATE(B551,""ja"",""vi"")"),"Hermes")</f>
        <v>Hermes</v>
      </c>
      <c r="E551" s="4" t="str">
        <f ca="1">IFERROR(__xludf.DUMMYFUNCTION("GOOGLETRANSLATE(C551,""ja"",""vi"")"),"Loading...")</f>
        <v>Loading...</v>
      </c>
      <c r="F551" t="str">
        <f t="shared" ca="1" si="8"/>
        <v>"2084024510" : "Hermes",</v>
      </c>
    </row>
    <row r="552" spans="1:6" ht="15.75" customHeight="1">
      <c r="A552" s="18">
        <v>2084024547</v>
      </c>
      <c r="B552" s="18" t="s">
        <v>21838</v>
      </c>
      <c r="C552" s="18" t="s">
        <v>21839</v>
      </c>
      <c r="D552" s="4" t="str">
        <f ca="1">IFERROR(__xludf.DUMMYFUNCTION("GOOGLETRANSLATE(B552,""ja"",""vi"")"),"Audemars Piguet")</f>
        <v>Audemars Piguet</v>
      </c>
      <c r="E552" s="4" t="str">
        <f ca="1">IFERROR(__xludf.DUMMYFUNCTION("GOOGLETRANSLATE(C552,""ja"",""vi"")"),"Đấu giá&gt; phụ kiện, đồng hồ&gt; thương hiệu đồng hồ đeo tay&gt; sub-row&gt; Audemars Piguet")</f>
        <v>Đấu giá&gt; phụ kiện, đồng hồ&gt; thương hiệu đồng hồ đeo tay&gt; sub-row&gt; Audemars Piguet</v>
      </c>
      <c r="F552" t="str">
        <f t="shared" ca="1" si="8"/>
        <v>"2084024547" : "Audemars Piguet",</v>
      </c>
    </row>
    <row r="553" spans="1:6" ht="15.75" customHeight="1">
      <c r="A553" s="18">
        <v>2084024522</v>
      </c>
      <c r="B553" s="18" t="s">
        <v>21842</v>
      </c>
      <c r="C553" s="18" t="s">
        <v>21844</v>
      </c>
      <c r="D553" s="4" t="str">
        <f ca="1">IFERROR(__xludf.DUMMYFUNCTION("GOOGLETRANSLATE(B553,""ja"",""vi"")"),"Officine Panerai")</f>
        <v>Officine Panerai</v>
      </c>
      <c r="E553" s="4" t="str">
        <f ca="1">IFERROR(__xludf.DUMMYFUNCTION("GOOGLETRANSLATE(C553,""ja"",""vi"")"),"Đấu giá&gt; phụ kiện, đồng hồ&gt; thương hiệu đồng hồ đeo tay&gt; sub-row&gt; Officine Panerai")</f>
        <v>Đấu giá&gt; phụ kiện, đồng hồ&gt; thương hiệu đồng hồ đeo tay&gt; sub-row&gt; Officine Panerai</v>
      </c>
      <c r="F553" t="str">
        <f t="shared" ca="1" si="8"/>
        <v>"2084024522" : "Officine Panerai",</v>
      </c>
    </row>
    <row r="554" spans="1:6" ht="15.75" customHeight="1">
      <c r="A554" s="18">
        <v>2084024504</v>
      </c>
      <c r="B554" s="18" t="s">
        <v>12274</v>
      </c>
      <c r="C554" s="18" t="s">
        <v>21846</v>
      </c>
      <c r="D554" s="4" t="str">
        <f ca="1">IFERROR(__xludf.DUMMYFUNCTION("GOOGLETRANSLATE(B554,""ja"",""vi"")"),"Omega")</f>
        <v>Omega</v>
      </c>
      <c r="E554" s="4" t="str">
        <f ca="1">IFERROR(__xludf.DUMMYFUNCTION("GOOGLETRANSLATE(C554,""ja"",""vi"")"),"Đấu giá&gt; phụ kiện, đồng hồ&gt; thương hiệu đồng hồ đeo tay&gt; sub-row&gt; omega")</f>
        <v>Đấu giá&gt; phụ kiện, đồng hồ&gt; thương hiệu đồng hồ đeo tay&gt; sub-row&gt; omega</v>
      </c>
      <c r="F554" t="str">
        <f t="shared" ca="1" si="8"/>
        <v>"2084024504" : "Omega",</v>
      </c>
    </row>
    <row r="555" spans="1:6" ht="15.75" customHeight="1">
      <c r="A555" s="18">
        <v>2084024514</v>
      </c>
      <c r="B555" s="18" t="s">
        <v>21847</v>
      </c>
      <c r="C555" s="18" t="s">
        <v>21848</v>
      </c>
      <c r="D555" s="4" t="str">
        <f ca="1">IFERROR(__xludf.DUMMYFUNCTION("GOOGLETRANSLATE(B555,""ja"",""vi"")"),"phương đông")</f>
        <v>phương đông</v>
      </c>
      <c r="E555" s="4" t="str">
        <f ca="1">IFERROR(__xludf.DUMMYFUNCTION("GOOGLETRANSLATE(C555,""ja"",""vi"")"),"Loading...")</f>
        <v>Loading...</v>
      </c>
      <c r="F555" t="str">
        <f t="shared" ca="1" si="8"/>
        <v>"2084024514" : "phương đông",</v>
      </c>
    </row>
    <row r="556" spans="1:6" ht="15.75" customHeight="1">
      <c r="A556" s="18">
        <v>2084024537</v>
      </c>
      <c r="B556" s="18" t="s">
        <v>21850</v>
      </c>
      <c r="C556" s="18" t="s">
        <v>21851</v>
      </c>
      <c r="D556" s="4" t="str">
        <f ca="1">IFERROR(__xludf.DUMMYFUNCTION("GOOGLETRANSLATE(B556,""ja"",""vi"")"),"Oris")</f>
        <v>Oris</v>
      </c>
      <c r="E556" s="4" t="str">
        <f ca="1">IFERROR(__xludf.DUMMYFUNCTION("GOOGLETRANSLATE(C556,""ja"",""vi"")"),"Loading...")</f>
        <v>Loading...</v>
      </c>
      <c r="F556" t="str">
        <f t="shared" ca="1" si="8"/>
        <v>"2084024537" : "Oris",</v>
      </c>
    </row>
    <row r="557" spans="1:6" ht="15.75" customHeight="1">
      <c r="A557" s="18">
        <v>2084252428</v>
      </c>
      <c r="B557" s="18" t="s">
        <v>21852</v>
      </c>
      <c r="C557" s="18" t="s">
        <v>21854</v>
      </c>
      <c r="D557" s="4" t="str">
        <f ca="1">IFERROR(__xludf.DUMMYFUNCTION("GOOGLETRANSLATE(B557,""ja"",""vi"")"),"Vulcan")</f>
        <v>Vulcan</v>
      </c>
      <c r="E557" s="4" t="str">
        <f ca="1">IFERROR(__xludf.DUMMYFUNCTION("GOOGLETRANSLATE(C557,""ja"",""vi"")"),"Loading...")</f>
        <v>Loading...</v>
      </c>
      <c r="F557" t="str">
        <f t="shared" ca="1" si="8"/>
        <v>"2084252428" : "Vulcan",</v>
      </c>
    </row>
    <row r="558" spans="1:6" ht="15.75" customHeight="1">
      <c r="A558" s="18">
        <v>2084252429</v>
      </c>
      <c r="B558" s="18" t="s">
        <v>21855</v>
      </c>
      <c r="C558" s="18" t="s">
        <v>21856</v>
      </c>
      <c r="D558" s="4" t="str">
        <f ca="1">IFERROR(__xludf.DUMMYFUNCTION("GOOGLETRANSLATE(B558,""ja"",""vi"")"),"Van Cleef &amp; Arpels")</f>
        <v>Van Cleef &amp; Arpels</v>
      </c>
      <c r="E558" s="4" t="str">
        <f ca="1">IFERROR(__xludf.DUMMYFUNCTION("GOOGLETRANSLATE(C558,""ja"",""vi"")"),"Loading...")</f>
        <v>Loading...</v>
      </c>
      <c r="F558" t="str">
        <f t="shared" ca="1" si="8"/>
        <v>"2084252429" : "Van Cleef &amp; Arpels",</v>
      </c>
    </row>
    <row r="559" spans="1:6" ht="15.75" customHeight="1">
      <c r="A559" s="18">
        <v>2084024531</v>
      </c>
      <c r="B559" s="18" t="s">
        <v>13594</v>
      </c>
      <c r="C559" s="18" t="s">
        <v>21860</v>
      </c>
      <c r="D559" s="4" t="str">
        <f ca="1">IFERROR(__xludf.DUMMYFUNCTION("GOOGLETRANSLATE(B559,""ja"",""vi"")"),"Vivienne Westwood")</f>
        <v>Vivienne Westwood</v>
      </c>
      <c r="E559" s="4" t="str">
        <f ca="1">IFERROR(__xludf.DUMMYFUNCTION("GOOGLETRANSLATE(C559,""ja"",""vi"")"),"Loading...")</f>
        <v>Loading...</v>
      </c>
      <c r="F559" t="str">
        <f t="shared" ca="1" si="8"/>
        <v>"2084024531" : "Vivienne Westwood",</v>
      </c>
    </row>
    <row r="560" spans="1:6" ht="15.75" customHeight="1">
      <c r="A560" s="18">
        <v>2084224440</v>
      </c>
      <c r="B560" s="18" t="s">
        <v>9191</v>
      </c>
      <c r="C560" s="18" t="s">
        <v>21863</v>
      </c>
      <c r="D560" s="4" t="str">
        <f ca="1">IFERROR(__xludf.DUMMYFUNCTION("GOOGLETRANSLATE(B560,""ja"",""vi"")"),"Versace")</f>
        <v>Versace</v>
      </c>
      <c r="E560" s="4" t="str">
        <f ca="1">IFERROR(__xludf.DUMMYFUNCTION("GOOGLETRANSLATE(C560,""ja"",""vi"")"),"Đấu giá&gt; phụ kiện, đồng hồ&gt; thương hiệu đồng hồ đeo tay&gt; sub-row&gt; Versace")</f>
        <v>Đấu giá&gt; phụ kiện, đồng hồ&gt; thương hiệu đồng hồ đeo tay&gt; sub-row&gt; Versace</v>
      </c>
      <c r="F560" t="str">
        <f t="shared" ca="1" si="8"/>
        <v>"2084224440" : "Versace",</v>
      </c>
    </row>
    <row r="561" spans="1:6" ht="15.75" customHeight="1">
      <c r="A561" s="18">
        <v>2084284920</v>
      </c>
      <c r="B561" s="18" t="s">
        <v>46</v>
      </c>
      <c r="C561" s="18" t="s">
        <v>21868</v>
      </c>
      <c r="D561" s="4" t="str">
        <f ca="1">IFERROR(__xludf.DUMMYFUNCTION("GOOGLETRANSLATE(B561,""ja"",""vi"")"),"nếu không thì")</f>
        <v>nếu không thì</v>
      </c>
      <c r="E561" s="4" t="str">
        <f ca="1">IFERROR(__xludf.DUMMYFUNCTION("GOOGLETRANSLATE(C561,""ja"",""vi"")"),"Đấu giá&gt; phụ kiện, đồng hồ&gt; thương hiệu đồng hồ đeo tay&gt; sub-Line&gt; Khác")</f>
        <v>Đấu giá&gt; phụ kiện, đồng hồ&gt; thương hiệu đồng hồ đeo tay&gt; sub-Line&gt; Khác</v>
      </c>
      <c r="F561" t="str">
        <f t="shared" ca="1" si="8"/>
        <v>"2084284920" : "nếu không thì",</v>
      </c>
    </row>
    <row r="562" spans="1:6" ht="15.75" customHeight="1">
      <c r="A562" s="18">
        <v>2084032114</v>
      </c>
      <c r="B562" s="18" t="s">
        <v>1806</v>
      </c>
      <c r="C562" s="18" t="s">
        <v>21871</v>
      </c>
      <c r="D562" s="4" t="str">
        <f ca="1">IFERROR(__xludf.DUMMYFUNCTION("GOOGLETRANSLATE(B562,""ja"",""vi"")"),"Casio")</f>
        <v>Casio</v>
      </c>
      <c r="E562" s="4" t="str">
        <f ca="1">IFERROR(__xludf.DUMMYFUNCTION("GOOGLETRANSLATE(C562,""ja"",""vi"")"),"Loading...")</f>
        <v>Loading...</v>
      </c>
      <c r="F562" t="str">
        <f t="shared" ca="1" si="8"/>
        <v>"2084032114" : "Casio",</v>
      </c>
    </row>
    <row r="563" spans="1:6" ht="15.75" customHeight="1">
      <c r="A563" s="18">
        <v>2084024507</v>
      </c>
      <c r="B563" s="18" t="s">
        <v>9658</v>
      </c>
      <c r="C563" s="18" t="s">
        <v>21874</v>
      </c>
      <c r="D563" s="4" t="str">
        <f ca="1">IFERROR(__xludf.DUMMYFUNCTION("GOOGLETRANSLATE(B563,""ja"",""vi"")"),"Cartier")</f>
        <v>Cartier</v>
      </c>
      <c r="E563" s="4" t="str">
        <f ca="1">IFERROR(__xludf.DUMMYFUNCTION("GOOGLETRANSLATE(C563,""ja"",""vi"")"),"Loading...")</f>
        <v>Loading...</v>
      </c>
      <c r="F563" t="str">
        <f t="shared" ca="1" si="8"/>
        <v>"2084024507" : "Cartier",</v>
      </c>
    </row>
    <row r="564" spans="1:6" ht="15.75" customHeight="1">
      <c r="A564" s="18">
        <v>2084207495</v>
      </c>
      <c r="B564" s="18" t="s">
        <v>19687</v>
      </c>
      <c r="C564" s="18" t="s">
        <v>21876</v>
      </c>
      <c r="D564" s="4" t="str">
        <f ca="1">IFERROR(__xludf.DUMMYFUNCTION("GOOGLETRANSLATE(B564,""ja"",""vi"")"),"Calvin Klein")</f>
        <v>Calvin Klein</v>
      </c>
      <c r="E564" s="4" t="str">
        <f ca="1">IFERROR(__xludf.DUMMYFUNCTION("GOOGLETRANSLATE(C564,""ja"",""vi"")"),"Đấu giá&gt; phụ kiện, đồng hồ&gt; thương hiệu đồng hồ đeo tay&gt; hoặc hàng&gt; Calvin Klein")</f>
        <v>Đấu giá&gt; phụ kiện, đồng hồ&gt; thương hiệu đồng hồ đeo tay&gt; hoặc hàng&gt; Calvin Klein</v>
      </c>
      <c r="F564" t="str">
        <f t="shared" ca="1" si="8"/>
        <v>"2084207495" : "Calvin Klein",</v>
      </c>
    </row>
    <row r="565" spans="1:6" ht="15.75" customHeight="1">
      <c r="A565" s="18">
        <v>2084252434</v>
      </c>
      <c r="B565" s="18" t="s">
        <v>18241</v>
      </c>
      <c r="C565" s="18" t="s">
        <v>21877</v>
      </c>
      <c r="D565" s="4" t="str">
        <f ca="1">IFERROR(__xludf.DUMMYFUNCTION("GOOGLETRANSLATE(B565,""ja"",""vi"")"),"Carrera y Carrera")</f>
        <v>Carrera y Carrera</v>
      </c>
      <c r="E565" s="4" t="str">
        <f ca="1">IFERROR(__xludf.DUMMYFUNCTION("GOOGLETRANSLATE(C565,""ja"",""vi"")"),"Loading...")</f>
        <v>Loading...</v>
      </c>
      <c r="F565" t="str">
        <f t="shared" ca="1" si="8"/>
        <v>"2084252434" : "Carrera y Carrera",</v>
      </c>
    </row>
    <row r="566" spans="1:6" ht="15.75" customHeight="1">
      <c r="A566" s="18">
        <v>2084301265</v>
      </c>
      <c r="B566" s="18" t="s">
        <v>21880</v>
      </c>
      <c r="C566" s="18" t="s">
        <v>21881</v>
      </c>
      <c r="D566" s="4" t="str">
        <f ca="1">IFERROR(__xludf.DUMMYFUNCTION("GOOGLETRANSLATE(B566,""ja"",""vi"")"),"Gagamirano")</f>
        <v>Gagamirano</v>
      </c>
      <c r="E566" s="4" t="str">
        <f ca="1">IFERROR(__xludf.DUMMYFUNCTION("GOOGLETRANSLATE(C566,""ja"",""vi"")"),"Đấu giá&gt; phụ kiện, đồng hồ&gt; thương hiệu đồng hồ đeo tay&gt; hoặc hàng&gt; Gagamirano")</f>
        <v>Đấu giá&gt; phụ kiện, đồng hồ&gt; thương hiệu đồng hồ đeo tay&gt; hoặc hàng&gt; Gagamirano</v>
      </c>
      <c r="F566" t="str">
        <f t="shared" ca="1" si="8"/>
        <v>"2084301265" : "Gagamirano",</v>
      </c>
    </row>
    <row r="567" spans="1:6" ht="15.75" customHeight="1">
      <c r="A567" s="18">
        <v>2084252435</v>
      </c>
      <c r="B567" s="18" t="s">
        <v>21882</v>
      </c>
      <c r="C567" s="18" t="s">
        <v>21884</v>
      </c>
      <c r="D567" s="4" t="str">
        <f ca="1">IFERROR(__xludf.DUMMYFUNCTION("GOOGLETRANSLATE(B567,""ja"",""vi"")"),"Guy Laroche")</f>
        <v>Guy Laroche</v>
      </c>
      <c r="E567" s="4" t="str">
        <f ca="1">IFERROR(__xludf.DUMMYFUNCTION("GOOGLETRANSLATE(C567,""ja"",""vi"")"),"Loading...")</f>
        <v>Loading...</v>
      </c>
      <c r="F567" t="str">
        <f t="shared" ca="1" si="8"/>
        <v>"2084252435" : "Guy Laroche",</v>
      </c>
    </row>
    <row r="568" spans="1:6" ht="15.75" customHeight="1">
      <c r="A568" s="18">
        <v>2084024535</v>
      </c>
      <c r="B568" s="18" t="s">
        <v>9858</v>
      </c>
      <c r="C568" s="18" t="s">
        <v>21886</v>
      </c>
      <c r="D568" s="4" t="str">
        <f ca="1">IFERROR(__xludf.DUMMYFUNCTION("GOOGLETRANSLATE(B568,""ja"",""vi"")"),"Christian Dior")</f>
        <v>Christian Dior</v>
      </c>
      <c r="E568" s="4" t="str">
        <f ca="1">IFERROR(__xludf.DUMMYFUNCTION("GOOGLETRANSLATE(C568,""ja"",""vi"")"),"Đấu giá&gt; phụ kiện, đồng hồ&gt; thương hiệu đồng hồ đeo tay&gt; hoặc hàng&gt; Christian Dior")</f>
        <v>Đấu giá&gt; phụ kiện, đồng hồ&gt; thương hiệu đồng hồ đeo tay&gt; hoặc hàng&gt; Christian Dior</v>
      </c>
      <c r="F568" t="str">
        <f t="shared" ca="1" si="8"/>
        <v>"2084024535" : "Christian Dior",</v>
      </c>
    </row>
    <row r="569" spans="1:6" ht="15.75" customHeight="1">
      <c r="A569" s="18">
        <v>2084214585</v>
      </c>
      <c r="B569" s="18" t="s">
        <v>9921</v>
      </c>
      <c r="C569" s="18" t="s">
        <v>21889</v>
      </c>
      <c r="D569" s="4" t="str">
        <f ca="1">IFERROR(__xludf.DUMMYFUNCTION("GOOGLETRANSLATE(B569,""ja"",""vi"")"),"Courreges")</f>
        <v>Courreges</v>
      </c>
      <c r="E569" s="4" t="str">
        <f ca="1">IFERROR(__xludf.DUMMYFUNCTION("GOOGLETRANSLATE(C569,""ja"",""vi"")"),"Loading...")</f>
        <v>Loading...</v>
      </c>
      <c r="F569" t="str">
        <f t="shared" ca="1" si="8"/>
        <v>"2084214585" : "Courreges",</v>
      </c>
    </row>
    <row r="570" spans="1:6" ht="15.75" customHeight="1">
      <c r="A570" s="18">
        <v>2084252438</v>
      </c>
      <c r="B570" s="18" t="s">
        <v>21891</v>
      </c>
      <c r="C570" s="18" t="s">
        <v>21892</v>
      </c>
      <c r="D570" s="4" t="str">
        <f ca="1">IFERROR(__xludf.DUMMYFUNCTION("GOOGLETRANSLATE(B570,""ja"",""vi"")"),"Chronoswiss")</f>
        <v>Chronoswiss</v>
      </c>
      <c r="E570" s="4" t="str">
        <f ca="1">IFERROR(__xludf.DUMMYFUNCTION("GOOGLETRANSLATE(C570,""ja"",""vi"")"),"Loading...")</f>
        <v>Loading...</v>
      </c>
      <c r="F570" t="str">
        <f t="shared" ca="1" si="8"/>
        <v>"2084252438" : "Chronoswiss",</v>
      </c>
    </row>
    <row r="571" spans="1:6" ht="15.75" customHeight="1">
      <c r="A571" s="18">
        <v>2084024509</v>
      </c>
      <c r="B571" s="18" t="s">
        <v>9815</v>
      </c>
      <c r="C571" s="18" t="s">
        <v>21894</v>
      </c>
      <c r="D571" s="4" t="str">
        <f ca="1">IFERROR(__xludf.DUMMYFUNCTION("GOOGLETRANSLATE(B571,""ja"",""vi"")"),"Gucci")</f>
        <v>Gucci</v>
      </c>
      <c r="E571" s="4" t="str">
        <f ca="1">IFERROR(__xludf.DUMMYFUNCTION("GOOGLETRANSLATE(C571,""ja"",""vi"")"),"Đấu giá&gt; phụ kiện, đồng hồ&gt; thương hiệu đồng hồ đeo tay&gt; hoặc hàng&gt; Gucci")</f>
        <v>Đấu giá&gt; phụ kiện, đồng hồ&gt; thương hiệu đồng hồ đeo tay&gt; hoặc hàng&gt; Gucci</v>
      </c>
      <c r="F571" t="str">
        <f t="shared" ca="1" si="8"/>
        <v>"2084024509" : "Gucci",</v>
      </c>
    </row>
    <row r="572" spans="1:6" ht="15.75" customHeight="1">
      <c r="A572" s="18">
        <v>2084252436</v>
      </c>
      <c r="B572" s="18" t="s">
        <v>21899</v>
      </c>
      <c r="C572" s="18" t="s">
        <v>21900</v>
      </c>
      <c r="D572" s="4" t="str">
        <f ca="1">IFERROR(__xludf.DUMMYFUNCTION("GOOGLETRANSLATE(B572,""ja"",""vi"")"),"Graham")</f>
        <v>Graham</v>
      </c>
      <c r="E572" s="4" t="str">
        <f ca="1">IFERROR(__xludf.DUMMYFUNCTION("GOOGLETRANSLATE(C572,""ja"",""vi"")"),"Loading...")</f>
        <v>Loading...</v>
      </c>
      <c r="F572" t="str">
        <f t="shared" ca="1" si="8"/>
        <v>"2084252436" : "Graham",</v>
      </c>
    </row>
    <row r="573" spans="1:6" ht="15.75" customHeight="1">
      <c r="A573" s="18">
        <v>2084252437</v>
      </c>
      <c r="B573" s="18" t="s">
        <v>21904</v>
      </c>
      <c r="C573" s="18" t="s">
        <v>21905</v>
      </c>
      <c r="D573" s="4" t="str">
        <f ca="1">IFERROR(__xludf.DUMMYFUNCTION("GOOGLETRANSLATE(B573,""ja"",""vi"")"),"Gurimorudi")</f>
        <v>Gurimorudi</v>
      </c>
      <c r="E573" s="4" t="str">
        <f ca="1">IFERROR(__xludf.DUMMYFUNCTION("GOOGLETRANSLATE(C573,""ja"",""vi"")"),"Đấu giá&gt; Accessories, Đồng hồ&gt; Đồng hồ&gt; hoặc hàng&gt; Gurimorudi")</f>
        <v>Đấu giá&gt; Accessories, Đồng hồ&gt; Đồng hồ&gt; hoặc hàng&gt; Gurimorudi</v>
      </c>
      <c r="F573" t="str">
        <f t="shared" ca="1" si="8"/>
        <v>"2084252437" : "Gurimorudi",</v>
      </c>
    </row>
    <row r="574" spans="1:6" ht="15.75" customHeight="1">
      <c r="A574" s="18">
        <v>2084024542</v>
      </c>
      <c r="B574" s="18" t="s">
        <v>10036</v>
      </c>
      <c r="C574" s="18" t="s">
        <v>21910</v>
      </c>
      <c r="D574" s="4" t="str">
        <f ca="1">IFERROR(__xludf.DUMMYFUNCTION("GOOGLETRANSLATE(B574,""ja"",""vi"")"),"huấn luyện viên")</f>
        <v>huấn luyện viên</v>
      </c>
      <c r="E574" s="4" t="str">
        <f ca="1">IFERROR(__xludf.DUMMYFUNCTION("GOOGLETRANSLATE(C574,""ja"",""vi"")"),"Đấu giá&gt; phụ kiện, đồng hồ&gt; thương hiệu đồng hồ đeo tay&gt; hoặc hàng&gt; HLV")</f>
        <v>Đấu giá&gt; phụ kiện, đồng hồ&gt; thương hiệu đồng hồ đeo tay&gt; hoặc hàng&gt; HLV</v>
      </c>
      <c r="F574" t="str">
        <f t="shared" ca="1" si="8"/>
        <v>"2084024542" : "huấn luyện viên",</v>
      </c>
    </row>
    <row r="575" spans="1:6" ht="15.75" customHeight="1">
      <c r="A575" s="18">
        <v>2084024526</v>
      </c>
      <c r="B575" s="18" t="s">
        <v>21913</v>
      </c>
      <c r="C575" s="18" t="s">
        <v>21914</v>
      </c>
      <c r="D575" s="4" t="str">
        <f ca="1">IFERROR(__xludf.DUMMYFUNCTION("GOOGLETRANSLATE(B575,""ja"",""vi"")"),"Corum")</f>
        <v>Corum</v>
      </c>
      <c r="E575" s="4" t="str">
        <f ca="1">IFERROR(__xludf.DUMMYFUNCTION("GOOGLETRANSLATE(C575,""ja"",""vi"")"),"Đấu giá&gt; phụ kiện, đồng hồ&gt; thương hiệu đồng hồ đeo tay&gt; hoặc hàng&gt; Corum")</f>
        <v>Đấu giá&gt; phụ kiện, đồng hồ&gt; thương hiệu đồng hồ đeo tay&gt; hoặc hàng&gt; Corum</v>
      </c>
      <c r="F575" t="str">
        <f t="shared" ca="1" si="8"/>
        <v>"2084024526" : "Corum",</v>
      </c>
    </row>
    <row r="576" spans="1:6" ht="15.75" customHeight="1">
      <c r="A576" s="18">
        <v>2084252439</v>
      </c>
      <c r="B576" s="18" t="s">
        <v>21918</v>
      </c>
      <c r="C576" s="18" t="s">
        <v>21919</v>
      </c>
      <c r="D576" s="4" t="str">
        <f ca="1">IFERROR(__xludf.DUMMYFUNCTION("GOOGLETRANSLATE(B576,""ja"",""vi"")"),"Concorde")</f>
        <v>Concorde</v>
      </c>
      <c r="E576" s="4" t="str">
        <f ca="1">IFERROR(__xludf.DUMMYFUNCTION("GOOGLETRANSLATE(C576,""ja"",""vi"")"),"Đấu giá&gt; phụ kiện, đồng hồ&gt; thương hiệu đồng hồ đeo tay&gt; hoặc hàng&gt; Concorde")</f>
        <v>Đấu giá&gt; phụ kiện, đồng hồ&gt; thương hiệu đồng hồ đeo tay&gt; hoặc hàng&gt; Concorde</v>
      </c>
      <c r="F576" t="str">
        <f t="shared" ca="1" si="8"/>
        <v>"2084252439" : "Concorde",</v>
      </c>
    </row>
    <row r="577" spans="1:6" ht="15.75" customHeight="1">
      <c r="A577" s="18">
        <v>2084284927</v>
      </c>
      <c r="B577" s="18" t="s">
        <v>46</v>
      </c>
      <c r="C577" s="18" t="s">
        <v>21923</v>
      </c>
      <c r="D577" s="4" t="str">
        <f ca="1">IFERROR(__xludf.DUMMYFUNCTION("GOOGLETRANSLATE(B577,""ja"",""vi"")"),"nếu không thì")</f>
        <v>nếu không thì</v>
      </c>
      <c r="E577" s="4" t="str">
        <f ca="1">IFERROR(__xludf.DUMMYFUNCTION("GOOGLETRANSLATE(C577,""ja"",""vi"")"),"Loading...")</f>
        <v>Loading...</v>
      </c>
      <c r="F577" t="str">
        <f t="shared" ca="1" si="8"/>
        <v>"2084284927" : "nếu không thì",</v>
      </c>
    </row>
    <row r="578" spans="1:6" ht="15.75" customHeight="1">
      <c r="A578" s="18">
        <v>2084005347</v>
      </c>
      <c r="B578" s="18" t="s">
        <v>6196</v>
      </c>
      <c r="C578" s="18" t="s">
        <v>21926</v>
      </c>
      <c r="D578" s="4" t="str">
        <f ca="1">IFERROR(__xludf.DUMMYFUNCTION("GOOGLETRANSLATE(B578,""ja"",""vi"")"),"SWATCH")</f>
        <v>SWATCH</v>
      </c>
      <c r="E578" s="4" t="str">
        <f ca="1">IFERROR(__xludf.DUMMYFUNCTION("GOOGLETRANSLATE(C578,""ja"",""vi"")"),"Loading...")</f>
        <v>Loading...</v>
      </c>
      <c r="F578" t="str">
        <f t="shared" ca="1" si="8"/>
        <v>"2084005347" : "SWATCH",</v>
      </c>
    </row>
    <row r="579" spans="1:6" ht="15.75" customHeight="1">
      <c r="A579" s="18">
        <v>2084252440</v>
      </c>
      <c r="B579" s="18" t="s">
        <v>21928</v>
      </c>
      <c r="C579" s="18" t="s">
        <v>21929</v>
      </c>
      <c r="D579" s="4" t="str">
        <f ca="1">IFERROR(__xludf.DUMMYFUNCTION("GOOGLETRANSLATE(B579,""ja"",""vi"")"),"Sarkar")</f>
        <v>Sarkar</v>
      </c>
      <c r="E579" s="4" t="str">
        <f ca="1">IFERROR(__xludf.DUMMYFUNCTION("GOOGLETRANSLATE(C579,""ja"",""vi"")"),"Đấu giá&gt; phụ kiện, đồng hồ&gt; thương hiệu đồng hồ đeo tay&gt; chữ s&gt; Sarkar")</f>
        <v>Đấu giá&gt; phụ kiện, đồng hồ&gt; thương hiệu đồng hồ đeo tay&gt; chữ s&gt; Sarkar</v>
      </c>
      <c r="F579" t="str">
        <f t="shared" ref="F579:F642" ca="1" si="9">CONCATENATE(CHAR(34)&amp;"",A579,""&amp;CHAR(34)," : ", CHAR(34)&amp;"",D579,""&amp;CHAR(34),",")</f>
        <v>"2084252440" : "Sarkar",</v>
      </c>
    </row>
    <row r="580" spans="1:6" ht="15.75" customHeight="1">
      <c r="A580" s="18">
        <v>2084301269</v>
      </c>
      <c r="B580" s="18" t="s">
        <v>11572</v>
      </c>
      <c r="C580" s="18" t="s">
        <v>21933</v>
      </c>
      <c r="D580" s="4" t="str">
        <f ca="1">IFERROR(__xludf.DUMMYFUNCTION("GOOGLETRANSLATE(B580,""ja"",""vi"")"),"Cima")</f>
        <v>Cima</v>
      </c>
      <c r="E580" s="4" t="str">
        <f ca="1">IFERROR(__xludf.DUMMYFUNCTION("GOOGLETRANSLATE(C580,""ja"",""vi"")"),"Đấu giá&gt; phụ kiện, đồng hồ&gt; thương hiệu đồng hồ đeo tay&gt; chữ s&gt; Cima")</f>
        <v>Đấu giá&gt; phụ kiện, đồng hồ&gt; thương hiệu đồng hồ đeo tay&gt; chữ s&gt; Cima</v>
      </c>
      <c r="F580" t="str">
        <f t="shared" ca="1" si="9"/>
        <v>"2084301269" : "Cima",</v>
      </c>
    </row>
    <row r="581" spans="1:6" ht="15.75" customHeight="1">
      <c r="A581" s="18">
        <v>2084024505</v>
      </c>
      <c r="B581" s="18" t="s">
        <v>4583</v>
      </c>
      <c r="C581" s="18" t="s">
        <v>21937</v>
      </c>
      <c r="D581" s="4" t="str">
        <f ca="1">IFERROR(__xludf.DUMMYFUNCTION("GOOGLETRANSLATE(B581,""ja"",""vi"")"),"công dân")</f>
        <v>công dân</v>
      </c>
      <c r="E581" s="4" t="str">
        <f ca="1">IFERROR(__xludf.DUMMYFUNCTION("GOOGLETRANSLATE(C581,""ja"",""vi"")"),"Loading...")</f>
        <v>Loading...</v>
      </c>
      <c r="F581" t="str">
        <f t="shared" ca="1" si="9"/>
        <v>"2084024505" : "công dân",</v>
      </c>
    </row>
    <row r="582" spans="1:6" ht="15.75" customHeight="1">
      <c r="A582" s="18">
        <v>2084051030</v>
      </c>
      <c r="B582" s="18" t="s">
        <v>10288</v>
      </c>
      <c r="C582" s="18" t="s">
        <v>21940</v>
      </c>
      <c r="D582" s="4" t="str">
        <f ca="1">IFERROR(__xludf.DUMMYFUNCTION("GOOGLETRANSLATE(B582,""ja"",""vi"")"),"Chanel")</f>
        <v>Chanel</v>
      </c>
      <c r="E582" s="4" t="str">
        <f ca="1">IFERROR(__xludf.DUMMYFUNCTION("GOOGLETRANSLATE(C582,""ja"",""vi"")"),"Đấu giá&gt; phụ kiện, đồng hồ&gt; thương hiệu đồng hồ đeo tay&gt; chữ s&gt; Chanel")</f>
        <v>Đấu giá&gt; phụ kiện, đồng hồ&gt; thương hiệu đồng hồ đeo tay&gt; chữ s&gt; Chanel</v>
      </c>
      <c r="F582" t="str">
        <f t="shared" ca="1" si="9"/>
        <v>"2084051030" : "Chanel",</v>
      </c>
    </row>
    <row r="583" spans="1:6" ht="15.75" customHeight="1">
      <c r="A583" s="18">
        <v>2084024552</v>
      </c>
      <c r="B583" s="18" t="s">
        <v>21942</v>
      </c>
      <c r="C583" s="18" t="s">
        <v>21943</v>
      </c>
      <c r="D583" s="4" t="str">
        <f ca="1">IFERROR(__xludf.DUMMYFUNCTION("GOOGLETRANSLATE(B583,""ja"",""vi"")"),"Charriol")</f>
        <v>Charriol</v>
      </c>
      <c r="E583" s="4" t="str">
        <f ca="1">IFERROR(__xludf.DUMMYFUNCTION("GOOGLETRANSLATE(C583,""ja"",""vi"")"),"Đấu giá&gt; phụ kiện, đồng hồ&gt; thương hiệu đồng hồ đeo tay&gt; chữ s&gt; Charriol")</f>
        <v>Đấu giá&gt; phụ kiện, đồng hồ&gt; thương hiệu đồng hồ đeo tay&gt; chữ s&gt; Charriol</v>
      </c>
      <c r="F583" t="str">
        <f t="shared" ca="1" si="9"/>
        <v>"2084024552" : "Charriol",</v>
      </c>
    </row>
    <row r="584" spans="1:6" ht="15.75" customHeight="1">
      <c r="A584" s="18">
        <v>2084024539</v>
      </c>
      <c r="B584" s="18" t="s">
        <v>10290</v>
      </c>
      <c r="C584" s="18" t="s">
        <v>21946</v>
      </c>
      <c r="D584" s="4" t="str">
        <f ca="1">IFERROR(__xludf.DUMMYFUNCTION("GOOGLETRANSLATE(B584,""ja"",""vi"")"),"Charles Jourdan")</f>
        <v>Charles Jourdan</v>
      </c>
      <c r="E584" s="4" t="str">
        <f ca="1">IFERROR(__xludf.DUMMYFUNCTION("GOOGLETRANSLATE(C584,""ja"",""vi"")"),"Đấu giá&gt; phụ kiện, đồng hồ&gt; thương hiệu đồng hồ đeo tay&gt; chữ s&gt; Charles Jourdan")</f>
        <v>Đấu giá&gt; phụ kiện, đồng hồ&gt; thương hiệu đồng hồ đeo tay&gt; chữ s&gt; Charles Jourdan</v>
      </c>
      <c r="F584" t="str">
        <f t="shared" ca="1" si="9"/>
        <v>"2084024539" : "Charles Jourdan",</v>
      </c>
    </row>
    <row r="585" spans="1:6" ht="15.75" customHeight="1">
      <c r="A585" s="18">
        <v>2084224442</v>
      </c>
      <c r="B585" s="18" t="s">
        <v>18281</v>
      </c>
      <c r="C585" s="18" t="s">
        <v>21949</v>
      </c>
      <c r="D585" s="4" t="str">
        <f ca="1">IFERROR(__xludf.DUMMYFUNCTION("GOOGLETRANSLATE(B585,""ja"",""vi"")"),"CHAUMET")</f>
        <v>CHAUMET</v>
      </c>
      <c r="E585" s="4" t="str">
        <f ca="1">IFERROR(__xludf.DUMMYFUNCTION("GOOGLETRANSLATE(C585,""ja"",""vi"")"),"Đấu giá&gt; phụ kiện, đồng hồ&gt; thương hiệu đồng hồ đeo tay&gt; chữ s&gt; CHAUMET")</f>
        <v>Đấu giá&gt; phụ kiện, đồng hồ&gt; thương hiệu đồng hồ đeo tay&gt; chữ s&gt; CHAUMET</v>
      </c>
      <c r="F585" t="str">
        <f t="shared" ca="1" si="9"/>
        <v>"2084224442" : "CHAUMET",</v>
      </c>
    </row>
    <row r="586" spans="1:6" ht="15.75" customHeight="1">
      <c r="A586" s="18">
        <v>2084024543</v>
      </c>
      <c r="B586" s="18" t="s">
        <v>18284</v>
      </c>
      <c r="C586" s="18" t="s">
        <v>21952</v>
      </c>
      <c r="D586" s="4" t="str">
        <f ca="1">IFERROR(__xludf.DUMMYFUNCTION("GOOGLETRANSLATE(B586,""ja"",""vi"")"),"Chopard")</f>
        <v>Chopard</v>
      </c>
      <c r="E586" s="4" t="str">
        <f ca="1">IFERROR(__xludf.DUMMYFUNCTION("GOOGLETRANSLATE(C586,""ja"",""vi"")"),"Đấu giá&gt; phụ kiện, đồng hồ&gt; thương hiệu đồng hồ đeo tay&gt; chữ s&gt; Chopard")</f>
        <v>Đấu giá&gt; phụ kiện, đồng hồ&gt; thương hiệu đồng hồ đeo tay&gt; chữ s&gt; Chopard</v>
      </c>
      <c r="F586" t="str">
        <f t="shared" ca="1" si="9"/>
        <v>"2084024543" : "Chopard",</v>
      </c>
    </row>
    <row r="587" spans="1:6" ht="15.75" customHeight="1">
      <c r="A587" s="18">
        <v>2084252441</v>
      </c>
      <c r="B587" s="18" t="s">
        <v>21954</v>
      </c>
      <c r="C587" s="18" t="s">
        <v>21956</v>
      </c>
      <c r="D587" s="4" t="str">
        <f ca="1">IFERROR(__xludf.DUMMYFUNCTION("GOOGLETRANSLATE(B587,""ja"",""vi"")"),"Jacob")</f>
        <v>Jacob</v>
      </c>
      <c r="E587" s="4" t="str">
        <f ca="1">IFERROR(__xludf.DUMMYFUNCTION("GOOGLETRANSLATE(C587,""ja"",""vi"")"),"Đấu giá&gt; phụ kiện, đồng hồ&gt; thương hiệu đồng hồ đeo tay&gt; chữ s&gt; Jacob")</f>
        <v>Đấu giá&gt; phụ kiện, đồng hồ&gt; thương hiệu đồng hồ đeo tay&gt; chữ s&gt; Jacob</v>
      </c>
      <c r="F587" t="str">
        <f t="shared" ca="1" si="9"/>
        <v>"2084252441" : "Jacob",</v>
      </c>
    </row>
    <row r="588" spans="1:6" ht="15.75" customHeight="1">
      <c r="A588" s="18">
        <v>2084024534</v>
      </c>
      <c r="B588" s="18" t="s">
        <v>21957</v>
      </c>
      <c r="C588" s="18" t="s">
        <v>21958</v>
      </c>
      <c r="D588" s="4" t="str">
        <f ca="1">IFERROR(__xludf.DUMMYFUNCTION("GOOGLETRANSLATE(B588,""ja"",""vi"")"),"Gerald Genta")</f>
        <v>Gerald Genta</v>
      </c>
      <c r="E588" s="4" t="str">
        <f ca="1">IFERROR(__xludf.DUMMYFUNCTION("GOOGLETRANSLATE(C588,""ja"",""vi"")"),"Đấu giá&gt; phụ kiện, đồng hồ&gt; thương hiệu đồng hồ đeo tay&gt; chữ s&gt; Gerald Genta")</f>
        <v>Đấu giá&gt; phụ kiện, đồng hồ&gt; thương hiệu đồng hồ đeo tay&gt; chữ s&gt; Gerald Genta</v>
      </c>
      <c r="F588" t="str">
        <f t="shared" ca="1" si="9"/>
        <v>"2084024534" : "Gerald Genta",</v>
      </c>
    </row>
    <row r="589" spans="1:6" ht="15.75" customHeight="1">
      <c r="A589" s="18">
        <v>2084062112</v>
      </c>
      <c r="B589" s="18" t="s">
        <v>10250</v>
      </c>
      <c r="C589" s="18" t="s">
        <v>21961</v>
      </c>
      <c r="D589" s="4" t="str">
        <f ca="1">IFERROR(__xludf.DUMMYFUNCTION("GOOGLETRANSLATE(B589,""ja"",""vi"")"),"Givenchy")</f>
        <v>Givenchy</v>
      </c>
      <c r="E589" s="4" t="str">
        <f ca="1">IFERROR(__xludf.DUMMYFUNCTION("GOOGLETRANSLATE(C589,""ja"",""vi"")"),"Loading...")</f>
        <v>Loading...</v>
      </c>
      <c r="F589" t="str">
        <f t="shared" ca="1" si="9"/>
        <v>"2084062112" : "Givenchy",</v>
      </c>
    </row>
    <row r="590" spans="1:6" ht="15.75" customHeight="1">
      <c r="A590" s="18">
        <v>2084024520</v>
      </c>
      <c r="B590" s="18" t="s">
        <v>21964</v>
      </c>
      <c r="C590" s="18" t="s">
        <v>21965</v>
      </c>
      <c r="D590" s="4" t="str">
        <f ca="1">IFERROR(__xludf.DUMMYFUNCTION("GOOGLETRANSLATE(B590,""ja"",""vi"")"),"Jaeger-LeCoultre")</f>
        <v>Jaeger-LeCoultre</v>
      </c>
      <c r="E590" s="4" t="str">
        <f ca="1">IFERROR(__xludf.DUMMYFUNCTION("GOOGLETRANSLATE(C590,""ja"",""vi"")"),"Đấu giá&gt; phụ kiện, đồng hồ&gt; thương hiệu đồng hồ đeo tay&gt; chữ s&gt; Jaeger-LeCoultre")</f>
        <v>Đấu giá&gt; phụ kiện, đồng hồ&gt; thương hiệu đồng hồ đeo tay&gt; chữ s&gt; Jaeger-LeCoultre</v>
      </c>
      <c r="F590" t="str">
        <f t="shared" ca="1" si="9"/>
        <v>"2084024520" : "Jaeger-LeCoultre",</v>
      </c>
    </row>
    <row r="591" spans="1:6" ht="15.75" customHeight="1">
      <c r="A591" s="18">
        <v>2084024532</v>
      </c>
      <c r="B591" s="18" t="s">
        <v>21968</v>
      </c>
      <c r="C591" s="18" t="s">
        <v>21969</v>
      </c>
      <c r="D591" s="4" t="str">
        <f ca="1">IFERROR(__xludf.DUMMYFUNCTION("GOOGLETRANSLATE(B591,""ja"",""vi"")"),"Girard-Perregaux")</f>
        <v>Girard-Perregaux</v>
      </c>
      <c r="E591" s="4" t="str">
        <f ca="1">IFERROR(__xludf.DUMMYFUNCTION("GOOGLETRANSLATE(C591,""ja"",""vi"")"),"Loading...")</f>
        <v>Loading...</v>
      </c>
      <c r="F591" t="str">
        <f t="shared" ca="1" si="9"/>
        <v>"2084024532" : "Girard-Perregaux",</v>
      </c>
    </row>
    <row r="592" spans="1:6" ht="15.75" customHeight="1">
      <c r="A592" s="18">
        <v>2084051027</v>
      </c>
      <c r="B592" s="18" t="s">
        <v>19491</v>
      </c>
      <c r="C592" s="18" t="s">
        <v>21971</v>
      </c>
      <c r="D592" s="4" t="str">
        <f ca="1">IFERROR(__xludf.DUMMYFUNCTION("GOOGLETRANSLATE(B592,""ja"",""vi"")"),"gin")</f>
        <v>gin</v>
      </c>
      <c r="E592" s="4" t="str">
        <f ca="1">IFERROR(__xludf.DUMMYFUNCTION("GOOGLETRANSLATE(C592,""ja"",""vi"")"),"Loading...")</f>
        <v>Loading...</v>
      </c>
      <c r="F592" t="str">
        <f t="shared" ca="1" si="9"/>
        <v>"2084051027" : "gin",</v>
      </c>
    </row>
    <row r="593" spans="1:6" ht="15.75" customHeight="1">
      <c r="A593" s="18">
        <v>2084252442</v>
      </c>
      <c r="B593" s="18" t="s">
        <v>21973</v>
      </c>
      <c r="C593" s="18" t="s">
        <v>21974</v>
      </c>
      <c r="D593" s="4" t="str">
        <f ca="1">IFERROR(__xludf.DUMMYFUNCTION("GOOGLETRANSLATE(B593,""ja"",""vi"")"),"Thụy Sĩ quân")</f>
        <v>Thụy Sĩ quân</v>
      </c>
      <c r="E593" s="4" t="str">
        <f ca="1">IFERROR(__xludf.DUMMYFUNCTION("GOOGLETRANSLATE(C593,""ja"",""vi"")"),"Đấu giá&gt; phụ kiện, đồng hồ&gt; thương hiệu đồng hồ đeo tay&gt; chữ s&gt; Thụy Sĩ Quân")</f>
        <v>Đấu giá&gt; phụ kiện, đồng hồ&gt; thương hiệu đồng hồ đeo tay&gt; chữ s&gt; Thụy Sĩ Quân</v>
      </c>
      <c r="F593" t="str">
        <f t="shared" ca="1" si="9"/>
        <v>"2084252442" : "Thụy Sĩ quân",</v>
      </c>
    </row>
    <row r="594" spans="1:6" ht="15.75" customHeight="1">
      <c r="A594" s="18">
        <v>2084226881</v>
      </c>
      <c r="B594" s="18" t="s">
        <v>21977</v>
      </c>
      <c r="C594" s="18" t="s">
        <v>21979</v>
      </c>
      <c r="D594" s="4" t="str">
        <f ca="1">IFERROR(__xludf.DUMMYFUNCTION("GOOGLETRANSLATE(B594,""ja"",""vi"")"),"Skagen")</f>
        <v>Skagen</v>
      </c>
      <c r="E594" s="4" t="str">
        <f ca="1">IFERROR(__xludf.DUMMYFUNCTION("GOOGLETRANSLATE(C594,""ja"",""vi"")"),"Đấu giá&gt; phụ kiện, đồng hồ&gt; thương hiệu đồng hồ đeo tay&gt; chữ s&gt; Skagen")</f>
        <v>Đấu giá&gt; phụ kiện, đồng hồ&gt; thương hiệu đồng hồ đeo tay&gt; chữ s&gt; Skagen</v>
      </c>
      <c r="F594" t="str">
        <f t="shared" ca="1" si="9"/>
        <v>"2084226881" : "Skagen",</v>
      </c>
    </row>
    <row r="595" spans="1:6" ht="15.75" customHeight="1">
      <c r="A595" s="18">
        <v>2084252443</v>
      </c>
      <c r="B595" s="18" t="s">
        <v>21981</v>
      </c>
      <c r="C595" s="18" t="s">
        <v>21983</v>
      </c>
      <c r="D595" s="4" t="str">
        <f ca="1">IFERROR(__xludf.DUMMYFUNCTION("GOOGLETRANSLATE(B595,""ja"",""vi"")"),"bão")</f>
        <v>bão</v>
      </c>
      <c r="E595" s="4" t="str">
        <f ca="1">IFERROR(__xludf.DUMMYFUNCTION("GOOGLETRANSLATE(C595,""ja"",""vi"")"),"Loading...")</f>
        <v>Loading...</v>
      </c>
      <c r="F595" t="str">
        <f t="shared" ca="1" si="9"/>
        <v>"2084252443" : "bão",</v>
      </c>
    </row>
    <row r="596" spans="1:6" ht="15.75" customHeight="1">
      <c r="A596" s="18">
        <v>2084062073</v>
      </c>
      <c r="B596" s="18" t="s">
        <v>21987</v>
      </c>
      <c r="C596" s="18" t="s">
        <v>21988</v>
      </c>
      <c r="D596" s="4" t="str">
        <f ca="1">IFERROR(__xludf.DUMMYFUNCTION("GOOGLETRANSLATE(B596,""ja"",""vi"")"),"Suunto")</f>
        <v>Suunto</v>
      </c>
      <c r="E596" s="4" t="str">
        <f ca="1">IFERROR(__xludf.DUMMYFUNCTION("GOOGLETRANSLATE(C596,""ja"",""vi"")"),"Đấu giá&gt; phụ kiện, đồng hồ&gt; thương hiệu đồng hồ đeo tay&gt; chữ s&gt; Suunto")</f>
        <v>Đấu giá&gt; phụ kiện, đồng hồ&gt; thương hiệu đồng hồ đeo tay&gt; chữ s&gt; Suunto</v>
      </c>
      <c r="F596" t="str">
        <f t="shared" ca="1" si="9"/>
        <v>"2084062073" : "Suunto",</v>
      </c>
    </row>
    <row r="597" spans="1:6" ht="15.75" customHeight="1">
      <c r="A597" s="18">
        <v>2084024503</v>
      </c>
      <c r="B597" s="18" t="s">
        <v>4283</v>
      </c>
      <c r="C597" s="18" t="s">
        <v>21991</v>
      </c>
      <c r="D597" s="4" t="str">
        <f ca="1">IFERROR(__xludf.DUMMYFUNCTION("GOOGLETRANSLATE(B597,""ja"",""vi"")"),"Seiko")</f>
        <v>Seiko</v>
      </c>
      <c r="E597" s="4" t="str">
        <f ca="1">IFERROR(__xludf.DUMMYFUNCTION("GOOGLETRANSLATE(C597,""ja"",""vi"")"),"Đấu giá&gt; phụ kiện, đồng hồ&gt; thương hiệu đồng hồ đeo tay&gt; chữ s&gt; Seiko")</f>
        <v>Đấu giá&gt; phụ kiện, đồng hồ&gt; thương hiệu đồng hồ đeo tay&gt; chữ s&gt; Seiko</v>
      </c>
      <c r="F597" t="str">
        <f t="shared" ca="1" si="9"/>
        <v>"2084024503" : "Seiko",</v>
      </c>
    </row>
    <row r="598" spans="1:6" ht="15.75" customHeight="1">
      <c r="A598" s="18">
        <v>2084024516</v>
      </c>
      <c r="B598" s="18" t="s">
        <v>21993</v>
      </c>
      <c r="C598" s="18" t="s">
        <v>21995</v>
      </c>
      <c r="D598" s="4" t="str">
        <f ca="1">IFERROR(__xludf.DUMMYFUNCTION("GOOGLETRANSLATE(B598,""ja"",""vi"")"),"khu vực")</f>
        <v>khu vực</v>
      </c>
      <c r="E598" s="4" t="str">
        <f ca="1">IFERROR(__xludf.DUMMYFUNCTION("GOOGLETRANSLATE(C598,""ja"",""vi"")"),"Đấu giá&gt; phụ kiện, đồng hồ&gt; thương hiệu đồng hồ đeo tay&gt; chữ s&gt; ngành")</f>
        <v>Đấu giá&gt; phụ kiện, đồng hồ&gt; thương hiệu đồng hồ đeo tay&gt; chữ s&gt; ngành</v>
      </c>
      <c r="F598" t="str">
        <f t="shared" ca="1" si="9"/>
        <v>"2084024516" : "khu vực",</v>
      </c>
    </row>
    <row r="599" spans="1:6" ht="15.75" customHeight="1">
      <c r="A599" s="18">
        <v>2084252445</v>
      </c>
      <c r="B599" s="18" t="s">
        <v>9119</v>
      </c>
      <c r="C599" s="18" t="s">
        <v>21997</v>
      </c>
      <c r="D599" s="4" t="str">
        <f ca="1">IFERROR(__xludf.DUMMYFUNCTION("GOOGLETRANSLATE(B599,""ja"",""vi"")"),"thế kỷ")</f>
        <v>thế kỷ</v>
      </c>
      <c r="E599" s="4" t="str">
        <f ca="1">IFERROR(__xludf.DUMMYFUNCTION("GOOGLETRANSLATE(C599,""ja"",""vi"")"),"Loading...")</f>
        <v>Loading...</v>
      </c>
      <c r="F599" t="str">
        <f t="shared" ca="1" si="9"/>
        <v>"2084252445" : "thế kỷ",</v>
      </c>
    </row>
    <row r="600" spans="1:6" ht="15.75" customHeight="1">
      <c r="A600" s="18">
        <v>2084024517</v>
      </c>
      <c r="B600" s="18" t="s">
        <v>21999</v>
      </c>
      <c r="C600" s="18" t="s">
        <v>22000</v>
      </c>
      <c r="D600" s="4" t="str">
        <f ca="1">IFERROR(__xludf.DUMMYFUNCTION("GOOGLETRANSLATE(B600,""ja"",""vi"")"),"thiên đình")</f>
        <v>thiên đình</v>
      </c>
      <c r="E600" s="4" t="str">
        <f ca="1">IFERROR(__xludf.DUMMYFUNCTION("GOOGLETRANSLATE(C600,""ja"",""vi"")"),"Loading...")</f>
        <v>Loading...</v>
      </c>
      <c r="F600" t="str">
        <f t="shared" ca="1" si="9"/>
        <v>"2084024517" : "thiên đình",</v>
      </c>
    </row>
    <row r="601" spans="1:6" ht="15.75" customHeight="1">
      <c r="A601" s="18">
        <v>2084252444</v>
      </c>
      <c r="B601" s="18" t="s">
        <v>22003</v>
      </c>
      <c r="C601" s="18" t="s">
        <v>22004</v>
      </c>
      <c r="D601" s="4" t="str">
        <f ca="1">IFERROR(__xludf.DUMMYFUNCTION("GOOGLETRANSLATE(B601,""ja"",""vi"")"),"Zeno")</f>
        <v>Zeno</v>
      </c>
      <c r="E601" s="4" t="str">
        <f ca="1">IFERROR(__xludf.DUMMYFUNCTION("GOOGLETRANSLATE(C601,""ja"",""vi"")"),"Đấu giá&gt; phụ kiện, đồng hồ&gt; thương hiệu đồng hồ đeo tay&gt; chữ s&gt; Zeno")</f>
        <v>Đấu giá&gt; phụ kiện, đồng hồ&gt; thương hiệu đồng hồ đeo tay&gt; chữ s&gt; Zeno</v>
      </c>
      <c r="F601" t="str">
        <f t="shared" ca="1" si="9"/>
        <v>"2084252444" : "Zeno",</v>
      </c>
    </row>
    <row r="602" spans="1:6" ht="15.75" customHeight="1">
      <c r="A602" s="18">
        <v>2084224444</v>
      </c>
      <c r="B602" s="18" t="s">
        <v>22007</v>
      </c>
      <c r="C602" s="18" t="s">
        <v>22008</v>
      </c>
      <c r="D602" s="4" t="str">
        <f ca="1">IFERROR(__xludf.DUMMYFUNCTION("GOOGLETRANSLATE(B602,""ja"",""vi"")"),"hoàng đạo")</f>
        <v>hoàng đạo</v>
      </c>
      <c r="E602" s="4" t="str">
        <f ca="1">IFERROR(__xludf.DUMMYFUNCTION("GOOGLETRANSLATE(C602,""ja"",""vi"")"),"Loading...")</f>
        <v>Loading...</v>
      </c>
      <c r="F602" t="str">
        <f t="shared" ca="1" si="9"/>
        <v>"2084224444" : "hoàng đạo",</v>
      </c>
    </row>
    <row r="603" spans="1:6" ht="15.75" customHeight="1">
      <c r="A603" s="18">
        <v>2084284934</v>
      </c>
      <c r="B603" s="18" t="s">
        <v>46</v>
      </c>
      <c r="C603" s="18" t="s">
        <v>22012</v>
      </c>
      <c r="D603" s="4" t="str">
        <f ca="1">IFERROR(__xludf.DUMMYFUNCTION("GOOGLETRANSLATE(B603,""ja"",""vi"")"),"nếu không thì")</f>
        <v>nếu không thì</v>
      </c>
      <c r="E603" s="4" t="str">
        <f ca="1">IFERROR(__xludf.DUMMYFUNCTION("GOOGLETRANSLATE(C603,""ja"",""vi"")"),"Đấu giá&gt; phụ kiện, đồng hồ&gt; thương hiệu đồng hồ đeo tay&gt; chữ s&gt; Khác")</f>
        <v>Đấu giá&gt; phụ kiện, đồng hồ&gt; thương hiệu đồng hồ đeo tay&gt; chữ s&gt; Khác</v>
      </c>
      <c r="F603" t="str">
        <f t="shared" ca="1" si="9"/>
        <v>"2084284934" : "nếu không thì",</v>
      </c>
    </row>
    <row r="604" spans="1:6" ht="15.75" customHeight="1">
      <c r="A604" s="18">
        <v>2084024538</v>
      </c>
      <c r="B604" s="18" t="s">
        <v>22014</v>
      </c>
      <c r="C604" s="18" t="s">
        <v>22015</v>
      </c>
      <c r="D604" s="4" t="str">
        <f ca="1">IFERROR(__xludf.DUMMYFUNCTION("GOOGLETRANSLATE(B604,""ja"",""vi"")"),"Timex")</f>
        <v>Timex</v>
      </c>
      <c r="E604" s="4" t="str">
        <f ca="1">IFERROR(__xludf.DUMMYFUNCTION("GOOGLETRANSLATE(C604,""ja"",""vi"")"),"Đấu giá&gt; phụ kiện, đồng hồ&gt; thương hiệu đồng hồ đeo tay&gt; Tagyo&gt; Timex")</f>
        <v>Đấu giá&gt; phụ kiện, đồng hồ&gt; thương hiệu đồng hồ đeo tay&gt; Tagyo&gt; Timex</v>
      </c>
      <c r="F604" t="str">
        <f t="shared" ca="1" si="9"/>
        <v>"2084024538" : "Timex",</v>
      </c>
    </row>
    <row r="605" spans="1:6" ht="15.75" customHeight="1">
      <c r="A605" s="18">
        <v>2084024508</v>
      </c>
      <c r="B605" s="18" t="s">
        <v>22018</v>
      </c>
      <c r="C605" s="18" t="s">
        <v>22019</v>
      </c>
      <c r="D605" s="4" t="str">
        <f ca="1">IFERROR(__xludf.DUMMYFUNCTION("GOOGLETRANSLATE(B605,""ja"",""vi"")"),"TAG Heuer")</f>
        <v>TAG Heuer</v>
      </c>
      <c r="E605" s="4" t="str">
        <f ca="1">IFERROR(__xludf.DUMMYFUNCTION("GOOGLETRANSLATE(C605,""ja"",""vi"")"),"Loading...")</f>
        <v>Loading...</v>
      </c>
      <c r="F605" t="str">
        <f t="shared" ca="1" si="9"/>
        <v>"2084024508" : "TAG Heuer",</v>
      </c>
    </row>
    <row r="606" spans="1:6" ht="15.75" customHeight="1">
      <c r="A606" s="18">
        <v>2084252448</v>
      </c>
      <c r="B606" s="18" t="s">
        <v>22022</v>
      </c>
      <c r="C606" s="18" t="s">
        <v>22023</v>
      </c>
      <c r="D606" s="4" t="str">
        <f ca="1">IFERROR(__xludf.DUMMYFUNCTION("GOOGLETRANSLATE(B606,""ja"",""vi"")"),"Tovar")</f>
        <v>Tovar</v>
      </c>
      <c r="E606" s="4" t="str">
        <f ca="1">IFERROR(__xludf.DUMMYFUNCTION("GOOGLETRANSLATE(C606,""ja"",""vi"")"),"Loading...")</f>
        <v>Loading...</v>
      </c>
      <c r="F606" t="str">
        <f t="shared" ca="1" si="9"/>
        <v>"2084252448" : "Tovar",</v>
      </c>
    </row>
    <row r="607" spans="1:6" ht="15.75" customHeight="1">
      <c r="A607" s="18">
        <v>2084229195</v>
      </c>
      <c r="B607" s="18" t="s">
        <v>22027</v>
      </c>
      <c r="C607" s="18" t="s">
        <v>22028</v>
      </c>
      <c r="D607" s="4" t="str">
        <f ca="1">IFERROR(__xludf.DUMMYFUNCTION("GOOGLETRANSLATE(B607,""ja"",""vi"")"),"Derby &amp; Shall Den Blanc")</f>
        <v>Derby &amp; Shall Den Blanc</v>
      </c>
      <c r="E607" s="4" t="str">
        <f ca="1">IFERROR(__xludf.DUMMYFUNCTION("GOOGLETRANSLATE(C607,""ja"",""vi"")"),"Đấu giá&gt; phụ kiện, đồng hồ&gt; thương hiệu đồng hồ đeo tay&gt; Tagyo&gt; Derby &amp; Charlottenburg Den Blanc")</f>
        <v>Đấu giá&gt; phụ kiện, đồng hồ&gt; thương hiệu đồng hồ đeo tay&gt; Tagyo&gt; Derby &amp; Charlottenburg Den Blanc</v>
      </c>
      <c r="F607" t="str">
        <f t="shared" ca="1" si="9"/>
        <v>"2084229195" : "Derby &amp; Shall Den Blanc",</v>
      </c>
    </row>
    <row r="608" spans="1:6" ht="15.75" customHeight="1">
      <c r="A608" s="18">
        <v>2084252446</v>
      </c>
      <c r="B608" s="18" t="s">
        <v>22031</v>
      </c>
      <c r="C608" s="18" t="s">
        <v>22032</v>
      </c>
      <c r="D608" s="4" t="str">
        <f ca="1">IFERROR(__xludf.DUMMYFUNCTION("GOOGLETRANSLATE(B608,""ja"",""vi"")"),"Daniel Jean Richard")</f>
        <v>Daniel Jean Richard</v>
      </c>
      <c r="E608" s="4" t="str">
        <f ca="1">IFERROR(__xludf.DUMMYFUNCTION("GOOGLETRANSLATE(C608,""ja"",""vi"")"),"Loading...")</f>
        <v>Loading...</v>
      </c>
      <c r="F608" t="str">
        <f t="shared" ca="1" si="9"/>
        <v>"2084252446" : "Daniel Jean Richard",</v>
      </c>
    </row>
    <row r="609" spans="1:6" ht="15.75" customHeight="1">
      <c r="A609" s="18">
        <v>2084252447</v>
      </c>
      <c r="B609" s="18" t="s">
        <v>22035</v>
      </c>
      <c r="C609" s="18" t="s">
        <v>22037</v>
      </c>
      <c r="D609" s="4" t="str">
        <f ca="1">IFERROR(__xludf.DUMMYFUNCTION("GOOGLETRANSLATE(B609,""ja"",""vi"")"),"Daniel Roth")</f>
        <v>Daniel Roth</v>
      </c>
      <c r="E609" s="4" t="str">
        <f ca="1">IFERROR(__xludf.DUMMYFUNCTION("GOOGLETRANSLATE(C609,""ja"",""vi"")"),"Loading...")</f>
        <v>Loading...</v>
      </c>
      <c r="F609" t="str">
        <f t="shared" ca="1" si="9"/>
        <v>"2084252447" : "Daniel Roth",</v>
      </c>
    </row>
    <row r="610" spans="1:6" ht="15.75" customHeight="1">
      <c r="A610" s="18">
        <v>2084051026</v>
      </c>
      <c r="B610" s="18" t="s">
        <v>10762</v>
      </c>
      <c r="C610" s="18" t="s">
        <v>22039</v>
      </c>
      <c r="D610" s="4" t="str">
        <f ca="1">IFERROR(__xludf.DUMMYFUNCTION("GOOGLETRANSLATE(B610,""ja"",""vi"")"),"Dunhill")</f>
        <v>Dunhill</v>
      </c>
      <c r="E610" s="4" t="str">
        <f ca="1">IFERROR(__xludf.DUMMYFUNCTION("GOOGLETRANSLATE(C610,""ja"",""vi"")"),"Loading...")</f>
        <v>Loading...</v>
      </c>
      <c r="F610" t="str">
        <f t="shared" ca="1" si="9"/>
        <v>"2084051026" : "Dunhill",</v>
      </c>
    </row>
    <row r="611" spans="1:6" ht="15.75" customHeight="1">
      <c r="A611" s="18">
        <v>2084024515</v>
      </c>
      <c r="B611" s="18" t="s">
        <v>22042</v>
      </c>
      <c r="C611" s="18" t="s">
        <v>22044</v>
      </c>
      <c r="D611" s="4" t="str">
        <f ca="1">IFERROR(__xludf.DUMMYFUNCTION("GOOGLETRANSLATE(B611,""ja"",""vi"")"),"Tudor")</f>
        <v>Tudor</v>
      </c>
      <c r="E611" s="4" t="str">
        <f ca="1">IFERROR(__xludf.DUMMYFUNCTION("GOOGLETRANSLATE(C611,""ja"",""vi"")"),"Đấu giá&gt; phụ kiện, đồng hồ&gt; thương hiệu đồng hồ đeo tay&gt; Tagyo&gt; Tudor")</f>
        <v>Đấu giá&gt; phụ kiện, đồng hồ&gt; thương hiệu đồng hồ đeo tay&gt; Tagyo&gt; Tudor</v>
      </c>
      <c r="F611" t="str">
        <f t="shared" ca="1" si="9"/>
        <v>"2084024515" : "Tudor",</v>
      </c>
    </row>
    <row r="612" spans="1:6" ht="15.75" customHeight="1">
      <c r="A612" s="18">
        <v>2084243550</v>
      </c>
      <c r="B612" s="18" t="s">
        <v>22047</v>
      </c>
      <c r="C612" s="18" t="s">
        <v>22048</v>
      </c>
      <c r="D612" s="4" t="str">
        <f ca="1">IFERROR(__xludf.DUMMYFUNCTION("GOOGLETRANSLATE(B612,""ja"",""vi"")"),"Chuchima")</f>
        <v>Chuchima</v>
      </c>
      <c r="E612" s="4" t="str">
        <f ca="1">IFERROR(__xludf.DUMMYFUNCTION("GOOGLETRANSLATE(C612,""ja"",""vi"")"),"Đấu giá&gt; phụ kiện, đồng hồ&gt; thương hiệu đồng hồ đeo tay&gt; Tagyo&gt; Chuchima")</f>
        <v>Đấu giá&gt; phụ kiện, đồng hồ&gt; thương hiệu đồng hồ đeo tay&gt; Tagyo&gt; Chuchima</v>
      </c>
      <c r="F612" t="str">
        <f t="shared" ca="1" si="9"/>
        <v>"2084243550" : "Chuchima",</v>
      </c>
    </row>
    <row r="613" spans="1:6" ht="15.75" customHeight="1">
      <c r="A613" s="18">
        <v>2084061410</v>
      </c>
      <c r="B613" s="18" t="s">
        <v>22050</v>
      </c>
      <c r="C613" s="18" t="s">
        <v>22052</v>
      </c>
      <c r="D613" s="4" t="str">
        <f ca="1">IFERROR(__xludf.DUMMYFUNCTION("GOOGLETRANSLATE(B613,""ja"",""vi"")"),"Tissot")</f>
        <v>Tissot</v>
      </c>
      <c r="E613" s="4" t="str">
        <f ca="1">IFERROR(__xludf.DUMMYFUNCTION("GOOGLETRANSLATE(C613,""ja"",""vi"")"),"Đấu giá&gt; phụ kiện, đồng hồ&gt; thương hiệu đồng hồ đeo tay&gt; Tagyo&gt; Tissot")</f>
        <v>Đấu giá&gt; phụ kiện, đồng hồ&gt; thương hiệu đồng hồ đeo tay&gt; Tagyo&gt; Tissot</v>
      </c>
      <c r="F613" t="str">
        <f t="shared" ca="1" si="9"/>
        <v>"2084061410" : "Tissot",</v>
      </c>
    </row>
    <row r="614" spans="1:6" ht="15.75" customHeight="1">
      <c r="A614" s="18">
        <v>2084024527</v>
      </c>
      <c r="B614" s="18" t="s">
        <v>10898</v>
      </c>
      <c r="C614" s="18" t="s">
        <v>22055</v>
      </c>
      <c r="D614" s="4" t="str">
        <f ca="1">IFERROR(__xludf.DUMMYFUNCTION("GOOGLETRANSLATE(B614,""ja"",""vi"")"),"vải mõng")</f>
        <v>vải mõng</v>
      </c>
      <c r="E614" s="4" t="str">
        <f ca="1">IFERROR(__xludf.DUMMYFUNCTION("GOOGLETRANSLATE(C614,""ja"",""vi"")"),"Đấu giá&gt; phụ kiện, đồng hồ&gt; thương hiệu đồng hồ đeo tay&gt; Tagyo&gt; Tiffany")</f>
        <v>Đấu giá&gt; phụ kiện, đồng hồ&gt; thương hiệu đồng hồ đeo tay&gt; Tagyo&gt; Tiffany</v>
      </c>
      <c r="F614" t="str">
        <f t="shared" ca="1" si="9"/>
        <v>"2084024527" : "vải mõng",</v>
      </c>
    </row>
    <row r="615" spans="1:6" ht="15.75" customHeight="1">
      <c r="A615" s="18">
        <v>2084214351</v>
      </c>
      <c r="B615" s="18" t="s">
        <v>22058</v>
      </c>
      <c r="C615" s="18" t="s">
        <v>22059</v>
      </c>
      <c r="D615" s="4" t="str">
        <f ca="1">IFERROR(__xludf.DUMMYFUNCTION("GOOGLETRANSLATE(B615,""ja"",""vi"")"),"Technos")</f>
        <v>Technos</v>
      </c>
      <c r="E615" s="4" t="str">
        <f ca="1">IFERROR(__xludf.DUMMYFUNCTION("GOOGLETRANSLATE(C615,""ja"",""vi"")"),"Đấu giá&gt; phụ kiện, đồng hồ&gt; thương hiệu đồng hồ đeo tay&gt; Tagyo&gt; Technos")</f>
        <v>Đấu giá&gt; phụ kiện, đồng hồ&gt; thương hiệu đồng hồ đeo tay&gt; Tagyo&gt; Technos</v>
      </c>
      <c r="F615" t="str">
        <f t="shared" ca="1" si="9"/>
        <v>"2084214351" : "Technos",</v>
      </c>
    </row>
    <row r="616" spans="1:6" ht="15.75" customHeight="1">
      <c r="A616" s="18">
        <v>2084252449</v>
      </c>
      <c r="B616" s="18" t="s">
        <v>22063</v>
      </c>
      <c r="C616" s="18" t="s">
        <v>22064</v>
      </c>
      <c r="D616" s="4" t="str">
        <f ca="1">IFERROR(__xludf.DUMMYFUNCTION("GOOGLETRANSLATE(B616,""ja"",""vi"")"),"Techno Marine")</f>
        <v>Techno Marine</v>
      </c>
      <c r="E616" s="4" t="str">
        <f ca="1">IFERROR(__xludf.DUMMYFUNCTION("GOOGLETRANSLATE(C616,""ja"",""vi"")"),"Loading...")</f>
        <v>Loading...</v>
      </c>
      <c r="F616" t="str">
        <f t="shared" ca="1" si="9"/>
        <v>"2084252449" : "Techno Marine",</v>
      </c>
    </row>
    <row r="617" spans="1:6" ht="15.75" customHeight="1">
      <c r="A617" s="18">
        <v>2084301270</v>
      </c>
      <c r="B617" s="18" t="s">
        <v>22068</v>
      </c>
      <c r="C617" s="18" t="s">
        <v>22069</v>
      </c>
      <c r="D617" s="4" t="str">
        <f ca="1">IFERROR(__xludf.DUMMYFUNCTION("GOOGLETRANSLATE(B617,""ja"",""vi"")"),"Tendence")</f>
        <v>Tendence</v>
      </c>
      <c r="E617" s="4" t="str">
        <f ca="1">IFERROR(__xludf.DUMMYFUNCTION("GOOGLETRANSLATE(C617,""ja"",""vi"")"),"Đấu giá&gt; phụ kiện, đồng hồ&gt; thương hiệu đồng hồ đeo tay&gt; Tagyo&gt; Tendence")</f>
        <v>Đấu giá&gt; phụ kiện, đồng hồ&gt; thương hiệu đồng hồ đeo tay&gt; Tagyo&gt; Tendence</v>
      </c>
      <c r="F617" t="str">
        <f t="shared" ca="1" si="9"/>
        <v>"2084301270" : "Tendence",</v>
      </c>
    </row>
    <row r="618" spans="1:6" ht="15.75" customHeight="1">
      <c r="A618" s="18">
        <v>2084024553</v>
      </c>
      <c r="B618" s="18" t="s">
        <v>22072</v>
      </c>
      <c r="C618" s="18" t="s">
        <v>22074</v>
      </c>
      <c r="D618" s="4" t="str">
        <f ca="1">IFERROR(__xludf.DUMMYFUNCTION("GOOGLETRANSLATE(B618,""ja"",""vi"")"),"Dee cáp N. Wye")</f>
        <v>Dee cáp N. Wye</v>
      </c>
      <c r="E618" s="4" t="str">
        <f ca="1">IFERROR(__xludf.DUMMYFUNCTION("GOOGLETRANSLATE(C618,""ja"",""vi"")"),"Loading...")</f>
        <v>Loading...</v>
      </c>
      <c r="F618" t="str">
        <f t="shared" ca="1" si="9"/>
        <v>"2084024553" : "Dee cáp N. Wye",</v>
      </c>
    </row>
    <row r="619" spans="1:6" ht="15.75" customHeight="1">
      <c r="A619" s="18">
        <v>2084216389</v>
      </c>
      <c r="B619" s="18" t="s">
        <v>10883</v>
      </c>
      <c r="C619" s="18" t="s">
        <v>22076</v>
      </c>
      <c r="D619" s="4" t="str">
        <f ca="1">IFERROR(__xludf.DUMMYFUNCTION("GOOGLETRANSLATE(B619,""ja"",""vi"")"),"dầu diesel")</f>
        <v>dầu diesel</v>
      </c>
      <c r="E619" s="4" t="str">
        <f ca="1">IFERROR(__xludf.DUMMYFUNCTION("GOOGLETRANSLATE(C619,""ja"",""vi"")"),"Đấu giá&gt; phụ kiện, đồng hồ&gt; thương hiệu đồng hồ đeo tay&gt; Tagyo&gt; diesel")</f>
        <v>Đấu giá&gt; phụ kiện, đồng hồ&gt; thương hiệu đồng hồ đeo tay&gt; Tagyo&gt; diesel</v>
      </c>
      <c r="F619" t="str">
        <f t="shared" ca="1" si="9"/>
        <v>"2084216389" : "dầu diesel",</v>
      </c>
    </row>
    <row r="620" spans="1:6" ht="15.75" customHeight="1">
      <c r="A620" s="18">
        <v>2084252450</v>
      </c>
      <c r="B620" s="18" t="s">
        <v>22078</v>
      </c>
      <c r="C620" s="18" t="s">
        <v>22080</v>
      </c>
      <c r="D620" s="4" t="str">
        <f ca="1">IFERROR(__xludf.DUMMYFUNCTION("GOOGLETRANSLATE(B620,""ja"",""vi"")"),"Toni Bruno Lamborghini")</f>
        <v>Toni Bruno Lamborghini</v>
      </c>
      <c r="E620" s="4" t="str">
        <f ca="1">IFERROR(__xludf.DUMMYFUNCTION("GOOGLETRANSLATE(C620,""ja"",""vi"")"),"Loading...")</f>
        <v>Loading...</v>
      </c>
      <c r="F620" t="str">
        <f t="shared" ca="1" si="9"/>
        <v>"2084252450" : "Toni Bruno Lamborghini",</v>
      </c>
    </row>
    <row r="621" spans="1:6" ht="15.75" customHeight="1">
      <c r="A621" s="18">
        <v>2084206919</v>
      </c>
      <c r="B621" s="18" t="s">
        <v>11111</v>
      </c>
      <c r="C621" s="18" t="s">
        <v>22083</v>
      </c>
      <c r="D621" s="4" t="str">
        <f ca="1">IFERROR(__xludf.DUMMYFUNCTION("GOOGLETRANSLATE(B621,""ja"",""vi"")"),"Dolce &amp; Gabbana")</f>
        <v>Dolce &amp; Gabbana</v>
      </c>
      <c r="E621" s="4" t="str">
        <f ca="1">IFERROR(__xludf.DUMMYFUNCTION("GOOGLETRANSLATE(C621,""ja"",""vi"")"),"Loading...")</f>
        <v>Loading...</v>
      </c>
      <c r="F621" t="str">
        <f t="shared" ca="1" si="9"/>
        <v>"2084206919" : "Dolce &amp; Gabbana",</v>
      </c>
    </row>
    <row r="622" spans="1:6" ht="15.75" customHeight="1">
      <c r="A622" s="18">
        <v>2084284941</v>
      </c>
      <c r="B622" s="18" t="s">
        <v>46</v>
      </c>
      <c r="C622" s="18" t="s">
        <v>22087</v>
      </c>
      <c r="D622" s="4" t="str">
        <f ca="1">IFERROR(__xludf.DUMMYFUNCTION("GOOGLETRANSLATE(B622,""ja"",""vi"")"),"nếu không thì")</f>
        <v>nếu không thì</v>
      </c>
      <c r="E622" s="4" t="str">
        <f ca="1">IFERROR(__xludf.DUMMYFUNCTION("GOOGLETRANSLATE(C622,""ja"",""vi"")"),"Đấu giá&gt; phụ kiện, đồng hồ&gt; thương hiệu đồng hồ đeo tay&gt; Tagyo&gt; Khác")</f>
        <v>Đấu giá&gt; phụ kiện, đồng hồ&gt; thương hiệu đồng hồ đeo tay&gt; Tagyo&gt; Khác</v>
      </c>
      <c r="F622" t="str">
        <f t="shared" ca="1" si="9"/>
        <v>"2084284941" : "nếu không thì",</v>
      </c>
    </row>
    <row r="623" spans="1:6" ht="15.75" customHeight="1">
      <c r="A623" s="18">
        <v>2084216392</v>
      </c>
      <c r="B623" s="18" t="s">
        <v>11145</v>
      </c>
      <c r="C623" s="18" t="s">
        <v>22091</v>
      </c>
      <c r="D623" s="4" t="str">
        <f ca="1">IFERROR(__xludf.DUMMYFUNCTION("GOOGLETRANSLATE(B623,""ja"",""vi"")"),"Nike")</f>
        <v>Nike</v>
      </c>
      <c r="E623" s="4" t="str">
        <f ca="1">IFERROR(__xludf.DUMMYFUNCTION("GOOGLETRANSLATE(C623,""ja"",""vi"")"),"Đấu giá&gt; phụ kiện, đồng hồ&gt; thương hiệu đồng hồ đeo tay&gt; một dòng&gt; Nike")</f>
        <v>Đấu giá&gt; phụ kiện, đồng hồ&gt; thương hiệu đồng hồ đeo tay&gt; một dòng&gt; Nike</v>
      </c>
      <c r="F623" t="str">
        <f t="shared" ca="1" si="9"/>
        <v>"2084216392" : "Nike",</v>
      </c>
    </row>
    <row r="624" spans="1:6" ht="15.75" customHeight="1">
      <c r="A624" s="18">
        <v>2084212695</v>
      </c>
      <c r="B624" s="18" t="s">
        <v>11231</v>
      </c>
      <c r="C624" s="18" t="s">
        <v>22093</v>
      </c>
      <c r="D624" s="4" t="str">
        <f ca="1">IFERROR(__xludf.DUMMYFUNCTION("GOOGLETRANSLATE(B624,""ja"",""vi"")"),"Nixon")</f>
        <v>Nixon</v>
      </c>
      <c r="E624" s="4" t="str">
        <f ca="1">IFERROR(__xludf.DUMMYFUNCTION("GOOGLETRANSLATE(C624,""ja"",""vi"")"),"Loading...")</f>
        <v>Loading...</v>
      </c>
      <c r="F624" t="str">
        <f t="shared" ca="1" si="9"/>
        <v>"2084212695" : "Nixon",</v>
      </c>
    </row>
    <row r="625" spans="1:6" ht="15.75" customHeight="1">
      <c r="A625" s="18">
        <v>2084243531</v>
      </c>
      <c r="B625" s="18" t="s">
        <v>22098</v>
      </c>
      <c r="C625" s="18" t="s">
        <v>22099</v>
      </c>
      <c r="D625" s="4" t="str">
        <f ca="1">IFERROR(__xludf.DUMMYFUNCTION("GOOGLETRANSLATE(B625,""ja"",""vi"")"),"Nomos")</f>
        <v>Nomos</v>
      </c>
      <c r="E625" s="4" t="str">
        <f ca="1">IFERROR(__xludf.DUMMYFUNCTION("GOOGLETRANSLATE(C625,""ja"",""vi"")"),"Loading...")</f>
        <v>Loading...</v>
      </c>
      <c r="F625" t="str">
        <f t="shared" ca="1" si="9"/>
        <v>"2084243531" : "Nomos",</v>
      </c>
    </row>
    <row r="626" spans="1:6" ht="15.75" customHeight="1">
      <c r="A626" s="18">
        <v>2084284955</v>
      </c>
      <c r="B626" s="18" t="s">
        <v>46</v>
      </c>
      <c r="C626" s="18" t="s">
        <v>22103</v>
      </c>
      <c r="D626" s="4" t="str">
        <f ca="1">IFERROR(__xludf.DUMMYFUNCTION("GOOGLETRANSLATE(B626,""ja"",""vi"")"),"nếu không thì")</f>
        <v>nếu không thì</v>
      </c>
      <c r="E626" s="4" t="str">
        <f ca="1">IFERROR(__xludf.DUMMYFUNCTION("GOOGLETRANSLATE(C626,""ja"",""vi"")"),"Đấu giá&gt; phụ kiện, đồng hồ&gt; thương hiệu đồng hồ đeo tay&gt; một dòng&gt; Khác")</f>
        <v>Đấu giá&gt; phụ kiện, đồng hồ&gt; thương hiệu đồng hồ đeo tay&gt; một dòng&gt; Khác</v>
      </c>
      <c r="F626" t="str">
        <f t="shared" ca="1" si="9"/>
        <v>"2084284955" : "nếu không thì",</v>
      </c>
    </row>
    <row r="627" spans="1:6" ht="15.75" customHeight="1">
      <c r="A627" s="18">
        <v>2084041630</v>
      </c>
      <c r="B627" s="18" t="s">
        <v>22105</v>
      </c>
      <c r="C627" s="18" t="s">
        <v>22108</v>
      </c>
      <c r="D627" s="4" t="str">
        <f ca="1">IFERROR(__xludf.DUMMYFUNCTION("GOOGLETRANSLATE(B627,""ja"",""vi"")"),"Hamilton")</f>
        <v>Hamilton</v>
      </c>
      <c r="E627" s="4" t="str">
        <f ca="1">IFERROR(__xludf.DUMMYFUNCTION("GOOGLETRANSLATE(C627,""ja"",""vi"")"),"Loading...")</f>
        <v>Loading...</v>
      </c>
      <c r="F627" t="str">
        <f t="shared" ca="1" si="9"/>
        <v>"2084041630" : "Hamilton",</v>
      </c>
    </row>
    <row r="628" spans="1:6" ht="15.75" customHeight="1">
      <c r="A628" s="18">
        <v>2084252452</v>
      </c>
      <c r="B628" s="18" t="s">
        <v>18371</v>
      </c>
      <c r="C628" s="18" t="s">
        <v>22111</v>
      </c>
      <c r="D628" s="4" t="str">
        <f ca="1">IFERROR(__xludf.DUMMYFUNCTION("GOOGLETRANSLATE(B628,""ja"",""vi"")"),"Harry Winston")</f>
        <v>Harry Winston</v>
      </c>
      <c r="E628" s="4" t="str">
        <f ca="1">IFERROR(__xludf.DUMMYFUNCTION("GOOGLETRANSLATE(C628,""ja"",""vi"")"),"Loading...")</f>
        <v>Loading...</v>
      </c>
      <c r="F628" t="str">
        <f t="shared" ca="1" si="9"/>
        <v>"2084252452" : "Harry Winston",</v>
      </c>
    </row>
    <row r="629" spans="1:6" ht="15.75" customHeight="1">
      <c r="A629" s="18">
        <v>2084024536</v>
      </c>
      <c r="B629" s="18" t="s">
        <v>22113</v>
      </c>
      <c r="C629" s="18" t="s">
        <v>22115</v>
      </c>
      <c r="D629" s="4" t="str">
        <f ca="1">IFERROR(__xludf.DUMMYFUNCTION("GOOGLETRANSLATE(B629,""ja"",""vi"")"),"săn thế giới")</f>
        <v>săn thế giới</v>
      </c>
      <c r="E629" s="4" t="str">
        <f ca="1">IFERROR(__xludf.DUMMYFUNCTION("GOOGLETRANSLATE(C629,""ja"",""vi"")"),"Đấu giá&gt; phụ kiện, đồng hồ&gt; thương hiệu đồng hồ đeo tay&gt; row&gt; Săn Thế giới")</f>
        <v>Đấu giá&gt; phụ kiện, đồng hồ&gt; thương hiệu đồng hồ đeo tay&gt; row&gt; Săn Thế giới</v>
      </c>
      <c r="F629" t="str">
        <f t="shared" ca="1" si="9"/>
        <v>"2084024536" : "săn thế giới",</v>
      </c>
    </row>
    <row r="630" spans="1:6" ht="15.75" customHeight="1">
      <c r="A630" s="18">
        <v>2084252451</v>
      </c>
      <c r="B630" s="18" t="s">
        <v>11443</v>
      </c>
      <c r="C630" s="18" t="s">
        <v>22118</v>
      </c>
      <c r="D630" s="4" t="str">
        <f ca="1">IFERROR(__xludf.DUMMYFUNCTION("GOOGLETRANSLATE(B630,""ja"",""vi"")"),"chổ lồi ở cây")</f>
        <v>chổ lồi ở cây</v>
      </c>
      <c r="E630" s="4" t="str">
        <f ca="1">IFERROR(__xludf.DUMMYFUNCTION("GOOGLETRANSLATE(C630,""ja"",""vi"")"),"Loading...")</f>
        <v>Loading...</v>
      </c>
      <c r="F630" t="str">
        <f t="shared" ca="1" si="9"/>
        <v>"2084252451" : "chổ lồi ở cây",</v>
      </c>
    </row>
    <row r="631" spans="1:6" ht="15.75" customHeight="1">
      <c r="A631" s="18">
        <v>2084024551</v>
      </c>
      <c r="B631" s="18" t="s">
        <v>11508</v>
      </c>
      <c r="C631" s="18" t="s">
        <v>22122</v>
      </c>
      <c r="D631" s="4" t="str">
        <f ca="1">IFERROR(__xludf.DUMMYFUNCTION("GOOGLETRANSLATE(B631,""ja"",""vi"")"),"Barry")</f>
        <v>Barry</v>
      </c>
      <c r="E631" s="4" t="str">
        <f ca="1">IFERROR(__xludf.DUMMYFUNCTION("GOOGLETRANSLATE(C631,""ja"",""vi"")"),"Đấu giá&gt; phụ kiện, đồng hồ&gt; thương hiệu đồng hồ đeo tay&gt; row&gt; Barry")</f>
        <v>Đấu giá&gt; phụ kiện, đồng hồ&gt; thương hiệu đồng hồ đeo tay&gt; row&gt; Barry</v>
      </c>
      <c r="F631" t="str">
        <f t="shared" ca="1" si="9"/>
        <v>"2084024551" : "Barry",</v>
      </c>
    </row>
    <row r="632" spans="1:6" ht="15.75" customHeight="1">
      <c r="A632" s="18">
        <v>2084024524</v>
      </c>
      <c r="B632" s="18" t="s">
        <v>11529</v>
      </c>
      <c r="C632" s="18" t="s">
        <v>22126</v>
      </c>
      <c r="D632" s="4" t="str">
        <f ca="1">IFERROR(__xludf.DUMMYFUNCTION("GOOGLETRANSLATE(B632,""ja"",""vi"")"),"Valentino")</f>
        <v>Valentino</v>
      </c>
      <c r="E632" s="4" t="str">
        <f ca="1">IFERROR(__xludf.DUMMYFUNCTION("GOOGLETRANSLATE(C632,""ja"",""vi"")"),"Đấu giá&gt; phụ kiện, đồng hồ&gt; thương hiệu đồng hồ đeo tay&gt; row&gt; Valentino")</f>
        <v>Đấu giá&gt; phụ kiện, đồng hồ&gt; thương hiệu đồng hồ đeo tay&gt; row&gt; Valentino</v>
      </c>
      <c r="F632" t="str">
        <f t="shared" ca="1" si="9"/>
        <v>"2084024524" : "Valentino",</v>
      </c>
    </row>
    <row r="633" spans="1:6" ht="15.75" customHeight="1">
      <c r="A633" s="18">
        <v>2084024523</v>
      </c>
      <c r="B633" s="18" t="s">
        <v>22130</v>
      </c>
      <c r="C633" s="18" t="s">
        <v>22131</v>
      </c>
      <c r="D633" s="4" t="str">
        <f ca="1">IFERROR(__xludf.DUMMYFUNCTION("GOOGLETRANSLATE(B633,""ja"",""vi"")"),"Patek Philippe")</f>
        <v>Patek Philippe</v>
      </c>
      <c r="E633" s="4" t="str">
        <f ca="1">IFERROR(__xludf.DUMMYFUNCTION("GOOGLETRANSLATE(C633,""ja"",""vi"")"),"Loading...")</f>
        <v>Loading...</v>
      </c>
      <c r="F633" t="str">
        <f t="shared" ca="1" si="9"/>
        <v>"2084024523" : "Patek Philippe",</v>
      </c>
    </row>
    <row r="634" spans="1:6" ht="15.75" customHeight="1">
      <c r="A634" s="18">
        <v>2084024522</v>
      </c>
      <c r="B634" s="18" t="s">
        <v>22135</v>
      </c>
      <c r="C634" s="18" t="s">
        <v>22136</v>
      </c>
      <c r="D634" s="4" t="str">
        <f ca="1">IFERROR(__xludf.DUMMYFUNCTION("GOOGLETRANSLATE(B634,""ja"",""vi"")"),"Panerai")</f>
        <v>Panerai</v>
      </c>
      <c r="E634" s="4" t="str">
        <f ca="1">IFERROR(__xludf.DUMMYFUNCTION("GOOGLETRANSLATE(C634,""ja"",""vi"")"),"Đấu giá&gt; phụ kiện, đồng hồ&gt; thương hiệu đồng hồ đeo tay&gt; row&gt; Panerai")</f>
        <v>Đấu giá&gt; phụ kiện, đồng hồ&gt; thương hiệu đồng hồ đeo tay&gt; row&gt; Panerai</v>
      </c>
      <c r="F634" t="str">
        <f t="shared" ca="1" si="9"/>
        <v>"2084024522" : "Panerai",</v>
      </c>
    </row>
    <row r="635" spans="1:6" ht="15.75" customHeight="1">
      <c r="A635" s="18">
        <v>2084024546</v>
      </c>
      <c r="B635" s="18" t="s">
        <v>10037</v>
      </c>
      <c r="C635" s="18" t="s">
        <v>22140</v>
      </c>
      <c r="D635" s="4" t="str">
        <f ca="1">IFERROR(__xludf.DUMMYFUNCTION("GOOGLETRANSLATE(B635,""ja"",""vi"")"),"Victorinox")</f>
        <v>Victorinox</v>
      </c>
      <c r="E635" s="4" t="str">
        <f ca="1">IFERROR(__xludf.DUMMYFUNCTION("GOOGLETRANSLATE(C635,""ja"",""vi"")"),"Loading...")</f>
        <v>Loading...</v>
      </c>
      <c r="F635" t="str">
        <f t="shared" ca="1" si="9"/>
        <v>"2084024546" : "Victorinox",</v>
      </c>
    </row>
    <row r="636" spans="1:6" ht="15.75" customHeight="1">
      <c r="A636" s="18">
        <v>2084024525</v>
      </c>
      <c r="B636" s="18" t="s">
        <v>18383</v>
      </c>
      <c r="C636" s="18" t="s">
        <v>22143</v>
      </c>
      <c r="D636" s="4" t="str">
        <f ca="1">IFERROR(__xludf.DUMMYFUNCTION("GOOGLETRANSLATE(B636,""ja"",""vi"")"),"Piaget")</f>
        <v>Piaget</v>
      </c>
      <c r="E636" s="4" t="str">
        <f ca="1">IFERROR(__xludf.DUMMYFUNCTION("GOOGLETRANSLATE(C636,""ja"",""vi"")"),"Đấu giá&gt; phụ kiện, đồng hồ&gt; thương hiệu đồng hồ đeo tay&gt; row&gt; Piaget")</f>
        <v>Đấu giá&gt; phụ kiện, đồng hồ&gt; thương hiệu đồng hồ đeo tay&gt; row&gt; Piaget</v>
      </c>
      <c r="F636" t="str">
        <f t="shared" ca="1" si="9"/>
        <v>"2084024525" : "Piaget",</v>
      </c>
    </row>
    <row r="637" spans="1:6" ht="15.75" customHeight="1">
      <c r="A637" s="18">
        <v>2084024548</v>
      </c>
      <c r="B637" s="18" t="s">
        <v>22148</v>
      </c>
      <c r="C637" s="18" t="s">
        <v>22149</v>
      </c>
      <c r="D637" s="4" t="str">
        <f ca="1">IFERROR(__xludf.DUMMYFUNCTION("GOOGLETRANSLATE(B637,""ja"",""vi"")"),"Pierre Cardin")</f>
        <v>Pierre Cardin</v>
      </c>
      <c r="E637" s="4" t="str">
        <f ca="1">IFERROR(__xludf.DUMMYFUNCTION("GOOGLETRANSLATE(C637,""ja"",""vi"")"),"Đấu giá&gt; phụ kiện, đồng hồ&gt; thương hiệu đồng hồ đeo tay&gt; row&gt; Pierre Cardin")</f>
        <v>Đấu giá&gt; phụ kiện, đồng hồ&gt; thương hiệu đồng hồ đeo tay&gt; row&gt; Pierre Cardin</v>
      </c>
      <c r="F637" t="str">
        <f t="shared" ca="1" si="9"/>
        <v>"2084024548" : "Pierre Cardin",</v>
      </c>
    </row>
    <row r="638" spans="1:6" ht="15.75" customHeight="1">
      <c r="A638" s="18">
        <v>2084024518</v>
      </c>
      <c r="B638" s="18" t="s">
        <v>11843</v>
      </c>
      <c r="C638" s="18" t="s">
        <v>22153</v>
      </c>
      <c r="D638" s="4" t="str">
        <f ca="1">IFERROR(__xludf.DUMMYFUNCTION("GOOGLETRANSLATE(B638,""ja"",""vi"")"),"Fendi")</f>
        <v>Fendi</v>
      </c>
      <c r="E638" s="4" t="str">
        <f ca="1">IFERROR(__xludf.DUMMYFUNCTION("GOOGLETRANSLATE(C638,""ja"",""vi"")"),"Đấu giá&gt; phụ kiện, đồng hồ&gt; thương hiệu đồng hồ đeo tay&gt; row&gt; Fendi")</f>
        <v>Đấu giá&gt; phụ kiện, đồng hồ&gt; thương hiệu đồng hồ đeo tay&gt; row&gt; Fendi</v>
      </c>
      <c r="F638" t="str">
        <f t="shared" ca="1" si="9"/>
        <v>"2084024518" : "Fendi",</v>
      </c>
    </row>
    <row r="639" spans="1:6" ht="15.75" customHeight="1">
      <c r="A639" s="18">
        <v>2084024541</v>
      </c>
      <c r="B639" s="18" t="s">
        <v>22156</v>
      </c>
      <c r="C639" s="18" t="s">
        <v>22157</v>
      </c>
      <c r="D639" s="4" t="str">
        <f ca="1">IFERROR(__xludf.DUMMYFUNCTION("GOOGLETRANSLATE(B639,""ja"",""vi"")"),"hóa thạch")</f>
        <v>hóa thạch</v>
      </c>
      <c r="E639" s="4" t="str">
        <f ca="1">IFERROR(__xludf.DUMMYFUNCTION("GOOGLETRANSLATE(C639,""ja"",""vi"")"),"Loading...")</f>
        <v>Loading...</v>
      </c>
      <c r="F639" t="str">
        <f t="shared" ca="1" si="9"/>
        <v>"2084024541" : "hóa thạch",</v>
      </c>
    </row>
    <row r="640" spans="1:6" ht="15.75" customHeight="1">
      <c r="A640" s="18">
        <v>2084210464</v>
      </c>
      <c r="B640" s="18" t="s">
        <v>18388</v>
      </c>
      <c r="C640" s="18" t="s">
        <v>22161</v>
      </c>
      <c r="D640" s="4" t="str">
        <f ca="1">IFERROR(__xludf.DUMMYFUNCTION("GOOGLETRANSLATE(B640,""ja"",""vi"")"),"follie FOLLI")</f>
        <v>follie FOLLI</v>
      </c>
      <c r="E640" s="4" t="str">
        <f ca="1">IFERROR(__xludf.DUMMYFUNCTION("GOOGLETRANSLATE(C640,""ja"",""vi"")"),"Đấu giá&gt; phụ kiện, đồng hồ&gt; thương hiệu đồng hồ đeo tay&gt; row&gt; FOLLI FOLLIE")</f>
        <v>Đấu giá&gt; phụ kiện, đồng hồ&gt; thương hiệu đồng hồ đeo tay&gt; row&gt; FOLLI FOLLIE</v>
      </c>
      <c r="F640" t="str">
        <f t="shared" ca="1" si="9"/>
        <v>"2084210464" : "follie FOLLI",</v>
      </c>
    </row>
    <row r="641" spans="1:6" ht="15.75" customHeight="1">
      <c r="A641" s="18">
        <v>2084252453</v>
      </c>
      <c r="B641" s="18" t="s">
        <v>22162</v>
      </c>
      <c r="C641" s="18" t="s">
        <v>22164</v>
      </c>
      <c r="D641" s="4" t="str">
        <f ca="1">IFERROR(__xludf.DUMMYFUNCTION("GOOGLETRANSLATE(B641,""ja"",""vi"")"),"Fortis")</f>
        <v>Fortis</v>
      </c>
      <c r="E641" s="4" t="str">
        <f ca="1">IFERROR(__xludf.DUMMYFUNCTION("GOOGLETRANSLATE(C641,""ja"",""vi"")"),"Loading...")</f>
        <v>Loading...</v>
      </c>
      <c r="F641" t="str">
        <f t="shared" ca="1" si="9"/>
        <v>"2084252453" : "Fortis",</v>
      </c>
    </row>
    <row r="642" spans="1:6" ht="15.75" customHeight="1">
      <c r="A642" s="18">
        <v>2084024544</v>
      </c>
      <c r="B642" s="18" t="s">
        <v>22166</v>
      </c>
      <c r="C642" s="18" t="s">
        <v>22167</v>
      </c>
      <c r="D642" s="4" t="str">
        <f ca="1">IFERROR(__xludf.DUMMYFUNCTION("GOOGLETRANSLATE(B642,""ja"",""vi"")"),"Franck Muller")</f>
        <v>Franck Muller</v>
      </c>
      <c r="E642" s="4" t="str">
        <f ca="1">IFERROR(__xludf.DUMMYFUNCTION("GOOGLETRANSLATE(C642,""ja"",""vi"")"),"Loading...")</f>
        <v>Loading...</v>
      </c>
      <c r="F642" t="str">
        <f t="shared" ca="1" si="9"/>
        <v>"2084024544" : "Franck Muller",</v>
      </c>
    </row>
    <row r="643" spans="1:6" ht="15.75" customHeight="1">
      <c r="A643" s="18">
        <v>2084252454</v>
      </c>
      <c r="B643" s="18" t="s">
        <v>22170</v>
      </c>
      <c r="C643" s="18" t="s">
        <v>22171</v>
      </c>
      <c r="D643" s="4" t="str">
        <f ca="1">IFERROR(__xludf.DUMMYFUNCTION("GOOGLETRANSLATE(B643,""ja"",""vi"")"),"Liên tục Frédérique")</f>
        <v>Liên tục Frédérique</v>
      </c>
      <c r="E643" s="4" t="str">
        <f ca="1">IFERROR(__xludf.DUMMYFUNCTION("GOOGLETRANSLATE(C643,""ja"",""vi"")"),"Loading...")</f>
        <v>Loading...</v>
      </c>
      <c r="F643" t="str">
        <f t="shared" ref="F643:F706" ca="1" si="10">CONCATENATE(CHAR(34)&amp;"",A643,""&amp;CHAR(34)," : ", CHAR(34)&amp;"",D643,""&amp;CHAR(34),",")</f>
        <v>"2084252454" : "Liên tục Frédérique",</v>
      </c>
    </row>
    <row r="644" spans="1:6" ht="15.75" customHeight="1">
      <c r="A644" s="18">
        <v>2084024512</v>
      </c>
      <c r="B644" s="18" t="s">
        <v>22172</v>
      </c>
      <c r="C644" s="18" t="s">
        <v>22173</v>
      </c>
      <c r="D644" s="4" t="str">
        <f ca="1">IFERROR(__xludf.DUMMYFUNCTION("GOOGLETRANSLATE(B644,""ja"",""vi"")"),"Breitling")</f>
        <v>Breitling</v>
      </c>
      <c r="E644" s="4" t="str">
        <f ca="1">IFERROR(__xludf.DUMMYFUNCTION("GOOGLETRANSLATE(C644,""ja"",""vi"")"),"Đấu giá&gt; phụ kiện, đồng hồ&gt; thương hiệu đồng hồ đeo tay&gt; row&gt; Breitling")</f>
        <v>Đấu giá&gt; phụ kiện, đồng hồ&gt; thương hiệu đồng hồ đeo tay&gt; row&gt; Breitling</v>
      </c>
      <c r="F644" t="str">
        <f t="shared" ca="1" si="10"/>
        <v>"2084024512" : "Breitling",</v>
      </c>
    </row>
    <row r="645" spans="1:6" ht="15.75" customHeight="1">
      <c r="A645" s="18">
        <v>2084024545</v>
      </c>
      <c r="B645" s="18" t="s">
        <v>22174</v>
      </c>
      <c r="C645" s="18" t="s">
        <v>22175</v>
      </c>
      <c r="D645" s="4" t="str">
        <f ca="1">IFERROR(__xludf.DUMMYFUNCTION("GOOGLETRANSLATE(B645,""ja"",""vi"")"),"Blancpain")</f>
        <v>Blancpain</v>
      </c>
      <c r="E645" s="4" t="str">
        <f ca="1">IFERROR(__xludf.DUMMYFUNCTION("GOOGLETRANSLATE(C645,""ja"",""vi"")"),"Đấu giá&gt; phụ kiện, đồng hồ&gt; thương hiệu đồng hồ đeo tay&gt; row&gt; Blancpain")</f>
        <v>Đấu giá&gt; phụ kiện, đồng hồ&gt; thương hiệu đồng hồ đeo tay&gt; row&gt; Blancpain</v>
      </c>
      <c r="F645" t="str">
        <f t="shared" ca="1" si="10"/>
        <v>"2084024545" : "Blancpain",</v>
      </c>
    </row>
    <row r="646" spans="1:6" ht="15.75" customHeight="1">
      <c r="A646" s="18">
        <v>2084024506</v>
      </c>
      <c r="B646" s="18" t="s">
        <v>11984</v>
      </c>
      <c r="C646" s="18" t="s">
        <v>22176</v>
      </c>
      <c r="D646" s="4" t="str">
        <f ca="1">IFERROR(__xludf.DUMMYFUNCTION("GOOGLETRANSLATE(B646,""ja"",""vi"")"),"Bulgari")</f>
        <v>Bulgari</v>
      </c>
      <c r="E646" s="4" t="str">
        <f ca="1">IFERROR(__xludf.DUMMYFUNCTION("GOOGLETRANSLATE(C646,""ja"",""vi"")"),"Đấu giá&gt; phụ kiện, đồng hồ&gt; thương hiệu đồng hồ đeo tay&gt; row&gt; Bulgari")</f>
        <v>Đấu giá&gt; phụ kiện, đồng hồ&gt; thương hiệu đồng hồ đeo tay&gt; row&gt; Bulgari</v>
      </c>
      <c r="F646" t="str">
        <f t="shared" ca="1" si="10"/>
        <v>"2084024506" : "Bulgari",</v>
      </c>
    </row>
    <row r="647" spans="1:6" ht="15.75" customHeight="1">
      <c r="A647" s="18">
        <v>2084301271</v>
      </c>
      <c r="B647" s="18" t="s">
        <v>22177</v>
      </c>
      <c r="C647" s="18" t="s">
        <v>22178</v>
      </c>
      <c r="D647" s="4" t="str">
        <f ca="1">IFERROR(__xludf.DUMMYFUNCTION("GOOGLETRANSLATE(B647,""ja"",""vi"")"),"Burukkiana")</f>
        <v>Burukkiana</v>
      </c>
      <c r="E647" s="4" t="str">
        <f ca="1">IFERROR(__xludf.DUMMYFUNCTION("GOOGLETRANSLATE(C647,""ja"",""vi"")"),"Loading...")</f>
        <v>Loading...</v>
      </c>
      <c r="F647" t="str">
        <f t="shared" ca="1" si="10"/>
        <v>"2084301271" : "Burukkiana",</v>
      </c>
    </row>
    <row r="648" spans="1:6" ht="15.75" customHeight="1">
      <c r="A648" s="18">
        <v>2084024521</v>
      </c>
      <c r="B648" s="18" t="s">
        <v>22179</v>
      </c>
      <c r="C648" s="18" t="s">
        <v>22180</v>
      </c>
      <c r="D648" s="4" t="str">
        <f ca="1">IFERROR(__xludf.DUMMYFUNCTION("GOOGLETRANSLATE(B648,""ja"",""vi"")"),"Breguet")</f>
        <v>Breguet</v>
      </c>
      <c r="E648" s="4" t="str">
        <f ca="1">IFERROR(__xludf.DUMMYFUNCTION("GOOGLETRANSLATE(C648,""ja"",""vi"")"),"Loading...")</f>
        <v>Loading...</v>
      </c>
      <c r="F648" t="str">
        <f t="shared" ca="1" si="10"/>
        <v>"2084024521" : "Breguet",</v>
      </c>
    </row>
    <row r="649" spans="1:6" ht="15.75" customHeight="1">
      <c r="A649" s="18">
        <v>2084024529</v>
      </c>
      <c r="B649" s="18" t="s">
        <v>22181</v>
      </c>
      <c r="C649" s="18" t="s">
        <v>22182</v>
      </c>
      <c r="D649" s="4" t="str">
        <f ca="1">IFERROR(__xludf.DUMMYFUNCTION("GOOGLETRANSLATE(B649,""ja"",""vi"")"),"Bulova")</f>
        <v>Bulova</v>
      </c>
      <c r="E649" s="4" t="str">
        <f ca="1">IFERROR(__xludf.DUMMYFUNCTION("GOOGLETRANSLATE(C649,""ja"",""vi"")"),"Loading...")</f>
        <v>Loading...</v>
      </c>
      <c r="F649" t="str">
        <f t="shared" ca="1" si="10"/>
        <v>"2084024529" : "Bulova",</v>
      </c>
    </row>
    <row r="650" spans="1:6" ht="15.75" customHeight="1">
      <c r="A650" s="18">
        <v>2084243530</v>
      </c>
      <c r="B650" s="18" t="s">
        <v>22183</v>
      </c>
      <c r="C650" s="18" t="s">
        <v>22184</v>
      </c>
      <c r="D650" s="4" t="str">
        <f ca="1">IFERROR(__xludf.DUMMYFUNCTION("GOOGLETRANSLATE(B650,""ja"",""vi"")"),"Beda &amp; Company")</f>
        <v>Beda &amp; Company</v>
      </c>
      <c r="E650" s="4" t="str">
        <f ca="1">IFERROR(__xludf.DUMMYFUNCTION("GOOGLETRANSLATE(C650,""ja"",""vi"")"),"Đấu giá&gt; phụ kiện, đồng hồ&gt; thương hiệu đồng hồ đeo tay&gt; row&gt; Beda &amp; Company")</f>
        <v>Đấu giá&gt; phụ kiện, đồng hồ&gt; thương hiệu đồng hồ đeo tay&gt; row&gt; Beda &amp; Company</v>
      </c>
      <c r="F650" t="str">
        <f t="shared" ca="1" si="10"/>
        <v>"2084243530" : "Beda &amp; Company",</v>
      </c>
    </row>
    <row r="651" spans="1:6" ht="15.75" customHeight="1">
      <c r="A651" s="18">
        <v>2084252456</v>
      </c>
      <c r="B651" s="18" t="s">
        <v>22185</v>
      </c>
      <c r="C651" s="18" t="s">
        <v>22187</v>
      </c>
      <c r="D651" s="4" t="str">
        <f ca="1">IFERROR(__xludf.DUMMYFUNCTION("GOOGLETRANSLATE(B651,""ja"",""vi"")"),"Bell &amp; Ross")</f>
        <v>Bell &amp; Ross</v>
      </c>
      <c r="E651" s="4" t="str">
        <f ca="1">IFERROR(__xludf.DUMMYFUNCTION("GOOGLETRANSLATE(C651,""ja"",""vi"")"),"Đấu giá&gt; phụ kiện, đồng hồ&gt; thương hiệu đồng hồ đeo tay&gt; row&gt; Bell &amp; Ross")</f>
        <v>Đấu giá&gt; phụ kiện, đồng hồ&gt; thương hiệu đồng hồ đeo tay&gt; row&gt; Bell &amp; Ross</v>
      </c>
      <c r="F651" t="str">
        <f t="shared" ca="1" si="10"/>
        <v>"2084252456" : "Bell &amp; Ross",</v>
      </c>
    </row>
    <row r="652" spans="1:6" ht="15.75" customHeight="1">
      <c r="A652" s="18">
        <v>2084252455</v>
      </c>
      <c r="B652" s="18" t="s">
        <v>22188</v>
      </c>
      <c r="C652" s="18" t="s">
        <v>22189</v>
      </c>
      <c r="D652" s="4" t="str">
        <f ca="1">IFERROR(__xludf.DUMMYFUNCTION("GOOGLETRANSLATE(B652,""ja"",""vi"")"),"Pekine")</f>
        <v>Pekine</v>
      </c>
      <c r="E652" s="4" t="str">
        <f ca="1">IFERROR(__xludf.DUMMYFUNCTION("GOOGLETRANSLATE(C652,""ja"",""vi"")"),"Đấu giá&gt; phụ kiện, đồng hồ&gt; thương hiệu đồng hồ đeo tay&gt; row&gt; Pekine")</f>
        <v>Đấu giá&gt; phụ kiện, đồng hồ&gt; thương hiệu đồng hồ đeo tay&gt; row&gt; Pekine</v>
      </c>
      <c r="F652" t="str">
        <f t="shared" ca="1" si="10"/>
        <v>"2084252455" : "Pekine",</v>
      </c>
    </row>
    <row r="653" spans="1:6" ht="15.75" customHeight="1">
      <c r="A653" s="18">
        <v>2084193069</v>
      </c>
      <c r="B653" s="18" t="s">
        <v>22191</v>
      </c>
      <c r="C653" s="18" t="s">
        <v>22192</v>
      </c>
      <c r="D653" s="4" t="str">
        <f ca="1">IFERROR(__xludf.DUMMYFUNCTION("GOOGLETRANSLATE(B653,""ja"",""vi"")"),"Baume &amp; Mercier")</f>
        <v>Baume &amp; Mercier</v>
      </c>
      <c r="E653" s="4" t="str">
        <f ca="1">IFERROR(__xludf.DUMMYFUNCTION("GOOGLETRANSLATE(C653,""ja"",""vi"")"),"Loading...")</f>
        <v>Loading...</v>
      </c>
      <c r="F653" t="str">
        <f t="shared" ca="1" si="10"/>
        <v>"2084193069" : "Baume &amp; Mercier",</v>
      </c>
    </row>
    <row r="654" spans="1:6" ht="15.75" customHeight="1">
      <c r="A654" s="18">
        <v>2084252457</v>
      </c>
      <c r="B654" s="18" t="s">
        <v>22193</v>
      </c>
      <c r="C654" s="18" t="s">
        <v>22194</v>
      </c>
      <c r="D654" s="4" t="str">
        <f ca="1">IFERROR(__xludf.DUMMYFUNCTION("GOOGLETRANSLATE(B654,""ja"",""vi"")"),"bóng Xem")</f>
        <v>bóng Xem</v>
      </c>
      <c r="E654" s="4" t="str">
        <f ca="1">IFERROR(__xludf.DUMMYFUNCTION("GOOGLETRANSLATE(C654,""ja"",""vi"")"),"Loading...")</f>
        <v>Loading...</v>
      </c>
      <c r="F654" t="str">
        <f t="shared" ca="1" si="10"/>
        <v>"2084252457" : "bóng Xem",</v>
      </c>
    </row>
    <row r="655" spans="1:6" ht="15.75" customHeight="1">
      <c r="A655" s="18">
        <v>2084061863</v>
      </c>
      <c r="B655" s="18" t="s">
        <v>12242</v>
      </c>
      <c r="C655" s="18" t="s">
        <v>22196</v>
      </c>
      <c r="D655" s="4" t="str">
        <f ca="1">IFERROR(__xludf.DUMMYFUNCTION("GOOGLETRANSLATE(B655,""ja"",""vi"")"),"Paul Smith")</f>
        <v>Paul Smith</v>
      </c>
      <c r="E655" s="4" t="str">
        <f ca="1">IFERROR(__xludf.DUMMYFUNCTION("GOOGLETRANSLATE(C655,""ja"",""vi"")"),"Loading...")</f>
        <v>Loading...</v>
      </c>
      <c r="F655" t="str">
        <f t="shared" ca="1" si="10"/>
        <v>"2084061863" : "Paul Smith",</v>
      </c>
    </row>
    <row r="656" spans="1:6" ht="15.75" customHeight="1">
      <c r="A656" s="18">
        <v>2084216393</v>
      </c>
      <c r="B656" s="18" t="s">
        <v>12263</v>
      </c>
      <c r="C656" s="18" t="s">
        <v>22198</v>
      </c>
      <c r="D656" s="4" t="str">
        <f ca="1">IFERROR(__xludf.DUMMYFUNCTION("GOOGLETRANSLATE(B656,""ja"",""vi"")"),"cảnh sát")</f>
        <v>cảnh sát</v>
      </c>
      <c r="E656" s="4" t="str">
        <f ca="1">IFERROR(__xludf.DUMMYFUNCTION("GOOGLETRANSLATE(C656,""ja"",""vi"")"),"Loading...")</f>
        <v>Loading...</v>
      </c>
      <c r="F656" t="str">
        <f t="shared" ca="1" si="10"/>
        <v>"2084216393" : "cảnh sát",</v>
      </c>
    </row>
    <row r="657" spans="1:6" ht="15.75" customHeight="1">
      <c r="A657" s="18">
        <v>2084024533</v>
      </c>
      <c r="B657" s="18" t="s">
        <v>22199</v>
      </c>
      <c r="C657" s="18" t="s">
        <v>22201</v>
      </c>
      <c r="D657" s="4" t="str">
        <f ca="1">IFERROR(__xludf.DUMMYFUNCTION("GOOGLETRANSLATE(B657,""ja"",""vi"")"),"Porsche Design")</f>
        <v>Porsche Design</v>
      </c>
      <c r="E657" s="4" t="str">
        <f ca="1">IFERROR(__xludf.DUMMYFUNCTION("GOOGLETRANSLATE(C657,""ja"",""vi"")"),"Đấu giá&gt; phụ kiện, đồng hồ&gt; thương hiệu đồng hồ đeo tay&gt; row&gt; Porsche Design")</f>
        <v>Đấu giá&gt; phụ kiện, đồng hồ&gt; thương hiệu đồng hồ đeo tay&gt; row&gt; Porsche Design</v>
      </c>
      <c r="F657" t="str">
        <f t="shared" ca="1" si="10"/>
        <v>"2084024533" : "Porsche Design",</v>
      </c>
    </row>
    <row r="658" spans="1:6" ht="15.75" customHeight="1">
      <c r="A658" s="18">
        <v>2084024530</v>
      </c>
      <c r="B658" s="18" t="s">
        <v>22203</v>
      </c>
      <c r="C658" s="18" t="s">
        <v>22204</v>
      </c>
      <c r="D658" s="4" t="str">
        <f ca="1">IFERROR(__xludf.DUMMYFUNCTION("GOOGLETRANSLATE(B658,""ja"",""vi"")"),"Vacheron Constantin")</f>
        <v>Vacheron Constantin</v>
      </c>
      <c r="E658" s="4" t="str">
        <f ca="1">IFERROR(__xludf.DUMMYFUNCTION("GOOGLETRANSLATE(C658,""ja"",""vi"")"),"Đấu giá&gt; phụ kiện, đồng hồ&gt; thương hiệu đồng hồ đeo tay&gt; row&gt; Vacheron Constantin")</f>
        <v>Đấu giá&gt; phụ kiện, đồng hồ&gt; thương hiệu đồng hồ đeo tay&gt; row&gt; Vacheron Constantin</v>
      </c>
      <c r="F658" t="str">
        <f t="shared" ca="1" si="10"/>
        <v>"2084024530" : "Vacheron Constantin",</v>
      </c>
    </row>
    <row r="659" spans="1:6" ht="15.75" customHeight="1">
      <c r="A659" s="18">
        <v>2084024531</v>
      </c>
      <c r="B659" s="18" t="s">
        <v>13594</v>
      </c>
      <c r="C659" s="18" t="s">
        <v>22206</v>
      </c>
      <c r="D659" s="4" t="str">
        <f ca="1">IFERROR(__xludf.DUMMYFUNCTION("GOOGLETRANSLATE(B659,""ja"",""vi"")"),"Vivienne Westwood")</f>
        <v>Vivienne Westwood</v>
      </c>
      <c r="E659" s="4" t="str">
        <f ca="1">IFERROR(__xludf.DUMMYFUNCTION("GOOGLETRANSLATE(C659,""ja"",""vi"")"),"Đấu giá&gt; phụ kiện, đồng hồ&gt; thương hiệu đồng hồ đeo tay&gt; row&gt; Vivienne Westwood")</f>
        <v>Đấu giá&gt; phụ kiện, đồng hồ&gt; thương hiệu đồng hồ đeo tay&gt; row&gt; Vivienne Westwood</v>
      </c>
      <c r="F659" t="str">
        <f t="shared" ca="1" si="10"/>
        <v>"2084024531" : "Vivienne Westwood",</v>
      </c>
    </row>
    <row r="660" spans="1:6" ht="15.75" customHeight="1">
      <c r="A660" s="18">
        <v>2084284962</v>
      </c>
      <c r="B660" s="18" t="s">
        <v>46</v>
      </c>
      <c r="C660" s="18" t="s">
        <v>22207</v>
      </c>
      <c r="D660" s="4" t="str">
        <f ca="1">IFERROR(__xludf.DUMMYFUNCTION("GOOGLETRANSLATE(B660,""ja"",""vi"")"),"nếu không thì")</f>
        <v>nếu không thì</v>
      </c>
      <c r="E660" s="4" t="str">
        <f ca="1">IFERROR(__xludf.DUMMYFUNCTION("GOOGLETRANSLATE(C660,""ja"",""vi"")"),"Loading...")</f>
        <v>Loading...</v>
      </c>
      <c r="F660" t="str">
        <f t="shared" ca="1" si="10"/>
        <v>"2084284962" : "nếu không thì",</v>
      </c>
    </row>
    <row r="661" spans="1:6" ht="15.75" customHeight="1">
      <c r="A661" s="18">
        <v>2084301272</v>
      </c>
      <c r="B661" s="18" t="s">
        <v>22209</v>
      </c>
      <c r="C661" s="18" t="s">
        <v>22210</v>
      </c>
      <c r="D661" s="4" t="str">
        <f ca="1">IFERROR(__xludf.DUMMYFUNCTION("GOOGLETRANSLATE(B661,""ja"",""vi"")"),"Marc by Marc Jacobs")</f>
        <v>Marc by Marc Jacobs</v>
      </c>
      <c r="E661" s="4" t="str">
        <f ca="1">IFERROR(__xludf.DUMMYFUNCTION("GOOGLETRANSLATE(C661,""ja"",""vi"")"),"Loading...")</f>
        <v>Loading...</v>
      </c>
      <c r="F661" t="str">
        <f t="shared" ca="1" si="10"/>
        <v>"2084301272" : "Marc by Marc Jacobs",</v>
      </c>
    </row>
    <row r="662" spans="1:6" ht="15.75" customHeight="1">
      <c r="A662" s="18">
        <v>2084252458</v>
      </c>
      <c r="B662" s="18" t="s">
        <v>22212</v>
      </c>
      <c r="C662" s="18" t="s">
        <v>22213</v>
      </c>
      <c r="D662" s="4" t="str">
        <f ca="1">IFERROR(__xludf.DUMMYFUNCTION("GOOGLETRANSLATE(B662,""ja"",""vi"")"),"Mühle Glashütte")</f>
        <v>Mühle Glashütte</v>
      </c>
      <c r="E662" s="4" t="str">
        <f ca="1">IFERROR(__xludf.DUMMYFUNCTION("GOOGLETRANSLATE(C662,""ja"",""vi"")"),"Loading...")</f>
        <v>Loading...</v>
      </c>
      <c r="F662" t="str">
        <f t="shared" ca="1" si="10"/>
        <v>"2084252458" : "Mühle Glashütte",</v>
      </c>
    </row>
    <row r="663" spans="1:6" ht="15.75" customHeight="1">
      <c r="A663" s="18">
        <v>2084229197</v>
      </c>
      <c r="B663" s="18" t="s">
        <v>22215</v>
      </c>
      <c r="C663" s="18" t="s">
        <v>22216</v>
      </c>
      <c r="D663" s="4" t="str">
        <f ca="1">IFERROR(__xludf.DUMMYFUNCTION("GOOGLETRANSLATE(B663,""ja"",""vi"")"),"Maurice Lacroix")</f>
        <v>Maurice Lacroix</v>
      </c>
      <c r="E663" s="4" t="str">
        <f ca="1">IFERROR(__xludf.DUMMYFUNCTION("GOOGLETRANSLATE(C663,""ja"",""vi"")"),"Loading...")</f>
        <v>Loading...</v>
      </c>
      <c r="F663" t="str">
        <f t="shared" ca="1" si="10"/>
        <v>"2084229197" : "Maurice Lacroix",</v>
      </c>
    </row>
    <row r="664" spans="1:6" ht="15.75" customHeight="1">
      <c r="A664" s="18">
        <v>2084252459</v>
      </c>
      <c r="B664" s="18" t="s">
        <v>22218</v>
      </c>
      <c r="C664" s="18" t="s">
        <v>22219</v>
      </c>
      <c r="D664" s="4" t="str">
        <f ca="1">IFERROR(__xludf.DUMMYFUNCTION("GOOGLETRANSLATE(B664,""ja"",""vi"")"),"Movado")</f>
        <v>Movado</v>
      </c>
      <c r="E664" s="4" t="str">
        <f ca="1">IFERROR(__xludf.DUMMYFUNCTION("GOOGLETRANSLATE(C664,""ja"",""vi"")"),"Loading...")</f>
        <v>Loading...</v>
      </c>
      <c r="F664" t="str">
        <f t="shared" ca="1" si="10"/>
        <v>"2084252459" : "Movado",</v>
      </c>
    </row>
    <row r="665" spans="1:6" ht="15.75" customHeight="1">
      <c r="A665" s="18">
        <v>2084252460</v>
      </c>
      <c r="B665" s="18" t="s">
        <v>22220</v>
      </c>
      <c r="C665" s="18" t="s">
        <v>22221</v>
      </c>
      <c r="D665" s="4" t="str">
        <f ca="1">IFERROR(__xludf.DUMMYFUNCTION("GOOGLETRANSLATE(B665,""ja"",""vi"")"),"Mondaine")</f>
        <v>Mondaine</v>
      </c>
      <c r="E665" s="4" t="str">
        <f ca="1">IFERROR(__xludf.DUMMYFUNCTION("GOOGLETRANSLATE(C665,""ja"",""vi"")"),"Đấu giá&gt; phụ kiện, đồng hồ&gt; thương hiệu đồng hồ đeo tay&gt; hoặc dòng, hoặc hàng&gt; Mondaine")</f>
        <v>Đấu giá&gt; phụ kiện, đồng hồ&gt; thương hiệu đồng hồ đeo tay&gt; hoặc dòng, hoặc hàng&gt; Mondaine</v>
      </c>
      <c r="F665" t="str">
        <f t="shared" ca="1" si="10"/>
        <v>"2084252460" : "Mondaine",</v>
      </c>
    </row>
    <row r="666" spans="1:6" ht="15.75" customHeight="1">
      <c r="A666" s="18">
        <v>2084229201</v>
      </c>
      <c r="B666" s="18" t="s">
        <v>22223</v>
      </c>
      <c r="C666" s="18" t="s">
        <v>22224</v>
      </c>
      <c r="D666" s="4" t="str">
        <f ca="1">IFERROR(__xludf.DUMMYFUNCTION("GOOGLETRANSLATE(B666,""ja"",""vi"")"),"Mont Blanc")</f>
        <v>Mont Blanc</v>
      </c>
      <c r="E666" s="4" t="str">
        <f ca="1">IFERROR(__xludf.DUMMYFUNCTION("GOOGLETRANSLATE(C666,""ja"",""vi"")"),"Đấu giá&gt; phụ kiện, đồng hồ&gt; thương hiệu đồng hồ đeo tay&gt; hoặc dòng, hoặc hàng&gt; Mont Blanc")</f>
        <v>Đấu giá&gt; phụ kiện, đồng hồ&gt; thương hiệu đồng hồ đeo tay&gt; hoặc dòng, hoặc hàng&gt; Mont Blanc</v>
      </c>
      <c r="F666" t="str">
        <f t="shared" ca="1" si="10"/>
        <v>"2084229201" : "Mont Blanc",</v>
      </c>
    </row>
    <row r="667" spans="1:6" ht="15.75" customHeight="1">
      <c r="A667" s="18">
        <v>2084041631</v>
      </c>
      <c r="B667" s="18" t="s">
        <v>22226</v>
      </c>
      <c r="C667" s="18" t="s">
        <v>22227</v>
      </c>
      <c r="D667" s="4" t="str">
        <f ca="1">IFERROR(__xludf.DUMMYFUNCTION("GOOGLETRANSLATE(B667,""ja"",""vi"")"),"Ulysse Nardin")</f>
        <v>Ulysse Nardin</v>
      </c>
      <c r="E667" s="4" t="str">
        <f ca="1">IFERROR(__xludf.DUMMYFUNCTION("GOOGLETRANSLATE(C667,""ja"",""vi"")"),"Đấu giá&gt; phụ kiện, đồng hồ&gt; thương hiệu đồng hồ đeo tay&gt; hoặc dòng, hoặc hàng&gt; Ulysse Nardin")</f>
        <v>Đấu giá&gt; phụ kiện, đồng hồ&gt; thương hiệu đồng hồ đeo tay&gt; hoặc dòng, hoặc hàng&gt; Ulysse Nardin</v>
      </c>
      <c r="F667" t="str">
        <f t="shared" ca="1" si="10"/>
        <v>"2084041631" : "Ulysse Nardin",</v>
      </c>
    </row>
    <row r="668" spans="1:6" ht="15.75" customHeight="1">
      <c r="A668" s="18">
        <v>2084252935</v>
      </c>
      <c r="B668" s="18" t="s">
        <v>22229</v>
      </c>
      <c r="C668" s="18" t="s">
        <v>22230</v>
      </c>
      <c r="D668" s="4" t="str">
        <f ca="1">IFERROR(__xludf.DUMMYFUNCTION("GOOGLETRANSLATE(B668,""ja"",""vi"")"),"Junghans")</f>
        <v>Junghans</v>
      </c>
      <c r="E668" s="4" t="str">
        <f ca="1">IFERROR(__xludf.DUMMYFUNCTION("GOOGLETRANSLATE(C668,""ja"",""vi"")"),"Đấu giá&gt; phụ kiện, đồng hồ&gt; thương hiệu đồng hồ đeo tay&gt; hoặc dòng, hoặc hàng&gt; Junghans")</f>
        <v>Đấu giá&gt; phụ kiện, đồng hồ&gt; thương hiệu đồng hồ đeo tay&gt; hoặc dòng, hoặc hàng&gt; Junghans</v>
      </c>
      <c r="F668" t="str">
        <f t="shared" ca="1" si="10"/>
        <v>"2084252935" : "Junghans",</v>
      </c>
    </row>
    <row r="669" spans="1:6" ht="15.75" customHeight="1">
      <c r="A669" s="18">
        <v>2084284969</v>
      </c>
      <c r="B669" s="18" t="s">
        <v>46</v>
      </c>
      <c r="C669" s="18" t="s">
        <v>22232</v>
      </c>
      <c r="D669" s="4" t="str">
        <f ca="1">IFERROR(__xludf.DUMMYFUNCTION("GOOGLETRANSLATE(B669,""ja"",""vi"")"),"nếu không thì")</f>
        <v>nếu không thì</v>
      </c>
      <c r="E669" s="4" t="str">
        <f ca="1">IFERROR(__xludf.DUMMYFUNCTION("GOOGLETRANSLATE(C669,""ja"",""vi"")"),"Loading...")</f>
        <v>Loading...</v>
      </c>
      <c r="F669" t="str">
        <f t="shared" ca="1" si="10"/>
        <v>"2084284969" : "nếu không thì",</v>
      </c>
    </row>
    <row r="670" spans="1:6" ht="15.75" customHeight="1">
      <c r="A670" s="18">
        <v>2084024519</v>
      </c>
      <c r="B670" s="18" t="s">
        <v>22233</v>
      </c>
      <c r="C670" s="18" t="s">
        <v>22234</v>
      </c>
      <c r="D670" s="4" t="str">
        <f ca="1">IFERROR(__xludf.DUMMYFUNCTION("GOOGLETRANSLATE(B670,""ja"",""vi"")"),"Rado")</f>
        <v>Rado</v>
      </c>
      <c r="E670" s="4" t="str">
        <f ca="1">IFERROR(__xludf.DUMMYFUNCTION("GOOGLETRANSLATE(C670,""ja"",""vi"")"),"Đấu giá&gt; phụ kiện, đồng hồ&gt; thương hiệu đồng hồ đeo tay&gt; Racovian&gt; Rado")</f>
        <v>Đấu giá&gt; phụ kiện, đồng hồ&gt; thương hiệu đồng hồ đeo tay&gt; Racovian&gt; Rado</v>
      </c>
      <c r="F670" t="str">
        <f t="shared" ca="1" si="10"/>
        <v>"2084024519" : "Rado",</v>
      </c>
    </row>
    <row r="671" spans="1:6" ht="15.75" customHeight="1">
      <c r="A671" s="18">
        <v>2084054102</v>
      </c>
      <c r="B671" s="18" t="s">
        <v>22235</v>
      </c>
      <c r="C671" s="18" t="s">
        <v>22236</v>
      </c>
      <c r="D671" s="4" t="str">
        <f ca="1">IFERROR(__xludf.DUMMYFUNCTION("GOOGLETRANSLATE(B671,""ja"",""vi"")"),"Lancaster")</f>
        <v>Lancaster</v>
      </c>
      <c r="E671" s="4" t="str">
        <f ca="1">IFERROR(__xludf.DUMMYFUNCTION("GOOGLETRANSLATE(C671,""ja"",""vi"")"),"Đấu giá&gt; phụ kiện, đồng hồ&gt; thương hiệu đồng hồ đeo tay&gt; Racovian&gt; Lancaster")</f>
        <v>Đấu giá&gt; phụ kiện, đồng hồ&gt; thương hiệu đồng hồ đeo tay&gt; Racovian&gt; Lancaster</v>
      </c>
      <c r="F671" t="str">
        <f t="shared" ca="1" si="10"/>
        <v>"2084054102" : "Lancaster",</v>
      </c>
    </row>
    <row r="672" spans="1:6" ht="15.75" customHeight="1">
      <c r="A672" s="18">
        <v>2084054101</v>
      </c>
      <c r="B672" s="18" t="s">
        <v>22237</v>
      </c>
      <c r="C672" s="18" t="s">
        <v>22238</v>
      </c>
      <c r="D672" s="4" t="str">
        <f ca="1">IFERROR(__xludf.DUMMYFUNCTION("GOOGLETRANSLATE(B672,""ja"",""vi"")"),"Lange &amp; Sohne")</f>
        <v>Lange &amp; Sohne</v>
      </c>
      <c r="E672" s="4" t="str">
        <f ca="1">IFERROR(__xludf.DUMMYFUNCTION("GOOGLETRANSLATE(C672,""ja"",""vi"")"),"Đấu giá&gt; phụ kiện, đồng hồ&gt; thương hiệu đồng hồ đeo tay&gt; Racovian&gt; Lange &amp; Sohne")</f>
        <v>Đấu giá&gt; phụ kiện, đồng hồ&gt; thương hiệu đồng hồ đeo tay&gt; Racovian&gt; Lange &amp; Sohne</v>
      </c>
      <c r="F672" t="str">
        <f t="shared" ca="1" si="10"/>
        <v>"2084054101" : "Lange &amp; Sohne",</v>
      </c>
    </row>
    <row r="673" spans="1:6" ht="15.75" customHeight="1">
      <c r="A673" s="18">
        <v>2084252461</v>
      </c>
      <c r="B673" s="18" t="s">
        <v>22239</v>
      </c>
      <c r="C673" s="18" t="s">
        <v>22240</v>
      </c>
      <c r="D673" s="4" t="str">
        <f ca="1">IFERROR(__xludf.DUMMYFUNCTION("GOOGLETRANSLATE(B673,""ja"",""vi"")"),"Ritomoratino")</f>
        <v>Ritomoratino</v>
      </c>
      <c r="E673" s="4" t="str">
        <f ca="1">IFERROR(__xludf.DUMMYFUNCTION("GOOGLETRANSLATE(C673,""ja"",""vi"")"),"Đấu giá&gt; phụ kiện, đồng hồ&gt; thương hiệu đồng hồ đeo tay&gt; Racovian&gt; Ritomoratino")</f>
        <v>Đấu giá&gt; phụ kiện, đồng hồ&gt; thương hiệu đồng hồ đeo tay&gt; Racovian&gt; Ritomoratino</v>
      </c>
      <c r="F673" t="str">
        <f t="shared" ca="1" si="10"/>
        <v>"2084252461" : "Ritomoratino",</v>
      </c>
    </row>
    <row r="674" spans="1:6" ht="15.75" customHeight="1">
      <c r="A674" s="18">
        <v>2084051028</v>
      </c>
      <c r="B674" s="18" t="s">
        <v>12897</v>
      </c>
      <c r="C674" s="18" t="s">
        <v>22241</v>
      </c>
      <c r="D674" s="4" t="str">
        <f ca="1">IFERROR(__xludf.DUMMYFUNCTION("GOOGLETRANSLATE(B674,""ja"",""vi"")"),"Louis Vuitton")</f>
        <v>Louis Vuitton</v>
      </c>
      <c r="E674" s="4" t="str">
        <f ca="1">IFERROR(__xludf.DUMMYFUNCTION("GOOGLETRANSLATE(C674,""ja"",""vi"")"),"Đấu giá&gt; phụ kiện, đồng hồ&gt; thương hiệu đồng hồ đeo tay&gt; Racovian&gt; Louis Vuitton")</f>
        <v>Đấu giá&gt; phụ kiện, đồng hồ&gt; thương hiệu đồng hồ đeo tay&gt; Racovian&gt; Louis Vuitton</v>
      </c>
      <c r="F674" t="str">
        <f t="shared" ca="1" si="10"/>
        <v>"2084051028" : "Louis Vuitton",</v>
      </c>
    </row>
    <row r="675" spans="1:6" ht="15.75" customHeight="1">
      <c r="A675" s="18">
        <v>2084051029</v>
      </c>
      <c r="B675" s="18" t="s">
        <v>6229</v>
      </c>
      <c r="C675" s="18" t="s">
        <v>22242</v>
      </c>
      <c r="D675" s="4" t="str">
        <f ca="1">IFERROR(__xludf.DUMMYFUNCTION("GOOGLETRANSLATE(B675,""ja"",""vi"")"),"Luminox")</f>
        <v>Luminox</v>
      </c>
      <c r="E675" s="4" t="str">
        <f ca="1">IFERROR(__xludf.DUMMYFUNCTION("GOOGLETRANSLATE(C675,""ja"",""vi"")"),"Loading...")</f>
        <v>Loading...</v>
      </c>
      <c r="F675" t="str">
        <f t="shared" ca="1" si="10"/>
        <v>"2084051029" : "Luminox",</v>
      </c>
    </row>
    <row r="676" spans="1:6" ht="15.75" customHeight="1">
      <c r="A676" s="18">
        <v>2084024550</v>
      </c>
      <c r="B676" s="18" t="s">
        <v>22243</v>
      </c>
      <c r="C676" s="18" t="s">
        <v>22244</v>
      </c>
      <c r="D676" s="4" t="str">
        <f ca="1">IFERROR(__xludf.DUMMYFUNCTION("GOOGLETRANSLATE(B676,""ja"",""vi"")"),"Revue Thommen")</f>
        <v>Revue Thommen</v>
      </c>
      <c r="E676" s="4" t="str">
        <f ca="1">IFERROR(__xludf.DUMMYFUNCTION("GOOGLETRANSLATE(C676,""ja"",""vi"")"),"Loading...")</f>
        <v>Loading...</v>
      </c>
      <c r="F676" t="str">
        <f t="shared" ca="1" si="10"/>
        <v>"2084024550" : "Revue Thommen",</v>
      </c>
    </row>
    <row r="677" spans="1:6" ht="15.75" customHeight="1">
      <c r="A677" s="18">
        <v>2084252462</v>
      </c>
      <c r="B677" s="18" t="s">
        <v>22245</v>
      </c>
      <c r="C677" s="18" t="s">
        <v>22246</v>
      </c>
      <c r="D677" s="4" t="str">
        <f ca="1">IFERROR(__xludf.DUMMYFUNCTION("GOOGLETRANSLATE(B677,""ja"",""vi"")"),"quay")</f>
        <v>quay</v>
      </c>
      <c r="E677" s="4" t="str">
        <f ca="1">IFERROR(__xludf.DUMMYFUNCTION("GOOGLETRANSLATE(C677,""ja"",""vi"")"),"Đấu giá&gt; phụ kiện, đồng hồ&gt; thương hiệu đồng hồ đeo tay&gt; Racovian&gt; Rotary")</f>
        <v>Đấu giá&gt; phụ kiện, đồng hồ&gt; thương hiệu đồng hồ đeo tay&gt; Racovian&gt; Rotary</v>
      </c>
      <c r="F677" t="str">
        <f t="shared" ca="1" si="10"/>
        <v>"2084252462" : "quay",</v>
      </c>
    </row>
    <row r="678" spans="1:6" ht="15.75" customHeight="1">
      <c r="A678" s="18">
        <v>2084224441</v>
      </c>
      <c r="B678" s="18" t="s">
        <v>22247</v>
      </c>
      <c r="C678" s="18" t="s">
        <v>22248</v>
      </c>
      <c r="D678" s="4" t="str">
        <f ca="1">IFERROR(__xludf.DUMMYFUNCTION("GOOGLETRANSLATE(B678,""ja"",""vi"")"),"Roger Dubuis")</f>
        <v>Roger Dubuis</v>
      </c>
      <c r="E678" s="4" t="str">
        <f ca="1">IFERROR(__xludf.DUMMYFUNCTION("GOOGLETRANSLATE(C678,""ja"",""vi"")"),"Đấu giá&gt; phụ kiện, đồng hồ&gt; thương hiệu đồng hồ đeo tay&gt; Racovian&gt; Roger Dubuis")</f>
        <v>Đấu giá&gt; phụ kiện, đồng hồ&gt; thương hiệu đồng hồ đeo tay&gt; Racovian&gt; Roger Dubuis</v>
      </c>
      <c r="F678" t="str">
        <f t="shared" ca="1" si="10"/>
        <v>"2084224441" : "Roger Dubuis",</v>
      </c>
    </row>
    <row r="679" spans="1:6" ht="15.75" customHeight="1">
      <c r="A679" s="18">
        <v>40504</v>
      </c>
      <c r="B679" s="18" t="s">
        <v>22249</v>
      </c>
      <c r="C679" s="18" t="s">
        <v>22250</v>
      </c>
      <c r="D679" s="4" t="str">
        <f ca="1">IFERROR(__xludf.DUMMYFUNCTION("GOOGLETRANSLATE(B679,""ja"",""vi"")"),"Rolex")</f>
        <v>Rolex</v>
      </c>
      <c r="E679" s="4" t="str">
        <f ca="1">IFERROR(__xludf.DUMMYFUNCTION("GOOGLETRANSLATE(C679,""ja"",""vi"")"),"Đấu giá&gt; phụ kiện, đồng hồ&gt; thương hiệu đồng hồ đeo tay&gt; Racovian&gt; Rolex")</f>
        <v>Đấu giá&gt; phụ kiện, đồng hồ&gt; thương hiệu đồng hồ đeo tay&gt; Racovian&gt; Rolex</v>
      </c>
      <c r="F679" t="str">
        <f t="shared" ca="1" si="10"/>
        <v>"40504" : "Rolex",</v>
      </c>
    </row>
    <row r="680" spans="1:6" ht="15.75" customHeight="1">
      <c r="A680" s="18">
        <v>2084041628</v>
      </c>
      <c r="B680" s="18" t="s">
        <v>22251</v>
      </c>
      <c r="C680" s="18" t="s">
        <v>22252</v>
      </c>
      <c r="D680" s="4" t="str">
        <f ca="1">IFERROR(__xludf.DUMMYFUNCTION("GOOGLETRANSLATE(B680,""ja"",""vi"")"),"Longines")</f>
        <v>Longines</v>
      </c>
      <c r="E680" s="4" t="str">
        <f ca="1">IFERROR(__xludf.DUMMYFUNCTION("GOOGLETRANSLATE(C680,""ja"",""vi"")"),"Loading...")</f>
        <v>Loading...</v>
      </c>
      <c r="F680" t="str">
        <f t="shared" ca="1" si="10"/>
        <v>"2084041628" : "Longines",</v>
      </c>
    </row>
    <row r="681" spans="1:6" ht="15.75" customHeight="1">
      <c r="A681" s="18">
        <v>2084284948</v>
      </c>
      <c r="B681" s="18" t="s">
        <v>46</v>
      </c>
      <c r="C681" s="18" t="s">
        <v>22253</v>
      </c>
      <c r="D681" s="4" t="str">
        <f ca="1">IFERROR(__xludf.DUMMYFUNCTION("GOOGLETRANSLATE(B681,""ja"",""vi"")"),"nếu không thì")</f>
        <v>nếu không thì</v>
      </c>
      <c r="E681" s="4" t="str">
        <f ca="1">IFERROR(__xludf.DUMMYFUNCTION("GOOGLETRANSLATE(C681,""ja"",""vi"")"),"Đấu giá&gt; phụ kiện, đồng hồ&gt; thương hiệu đồng hồ đeo tay&gt; Racovian&gt; Khác")</f>
        <v>Đấu giá&gt; phụ kiện, đồng hồ&gt; thương hiệu đồng hồ đeo tay&gt; Racovian&gt; Khác</v>
      </c>
      <c r="F681" t="str">
        <f t="shared" ca="1" si="10"/>
        <v>"2084284948" : "nếu không thì",</v>
      </c>
    </row>
    <row r="682" spans="1:6" ht="15.75" customHeight="1">
      <c r="A682" s="18">
        <v>2084053680</v>
      </c>
      <c r="B682" s="18" t="s">
        <v>22254</v>
      </c>
      <c r="C682" s="18" t="s">
        <v>22255</v>
      </c>
      <c r="D682" s="4" t="str">
        <f ca="1">IFERROR(__xludf.DUMMYFUNCTION("GOOGLETRANSLATE(B682,""ja"",""vi"")"),"2 kim (giờ, phút)")</f>
        <v>2 kim (giờ, phút)</v>
      </c>
      <c r="E682" s="4" t="str">
        <f ca="1">IFERROR(__xludf.DUMMYFUNCTION("GOOGLETRANSLATE(C682,""ja"",""vi"")"),"Đấu giá&gt; Accessories, Đồng hồ&gt; Đồng hồ nam&gt; Analog (Quartz)&gt; 2 kim (giờ, phút)")</f>
        <v>Đấu giá&gt; Accessories, Đồng hồ&gt; Đồng hồ nam&gt; Analog (Quartz)&gt; 2 kim (giờ, phút)</v>
      </c>
      <c r="F682" t="str">
        <f t="shared" ca="1" si="10"/>
        <v>"2084053680" : "2 kim (giờ, phút)",</v>
      </c>
    </row>
    <row r="683" spans="1:6" ht="15.75" customHeight="1">
      <c r="A683" s="18">
        <v>2084053681</v>
      </c>
      <c r="B683" s="18" t="s">
        <v>22256</v>
      </c>
      <c r="C683" s="18" t="s">
        <v>22257</v>
      </c>
      <c r="D683" s="4" t="str">
        <f ca="1">IFERROR(__xludf.DUMMYFUNCTION("GOOGLETRANSLATE(B683,""ja"",""vi"")"),"2 kim + Lịch")</f>
        <v>2 kim + Lịch</v>
      </c>
      <c r="E683" s="4" t="str">
        <f ca="1">IFERROR(__xludf.DUMMYFUNCTION("GOOGLETRANSLATE(C683,""ja"",""vi"")"),"Đấu giá&gt; Accessories, Đồng hồ&gt; Đồng hồ nam&gt; Analog (Quartz)&gt; 2 kim + Lịch")</f>
        <v>Đấu giá&gt; Accessories, Đồng hồ&gt; Đồng hồ nam&gt; Analog (Quartz)&gt; 2 kim + Lịch</v>
      </c>
      <c r="F683" t="str">
        <f t="shared" ca="1" si="10"/>
        <v>"2084053681" : "2 kim + Lịch",</v>
      </c>
    </row>
    <row r="684" spans="1:6" ht="15.75" customHeight="1">
      <c r="A684" s="18">
        <v>2084053678</v>
      </c>
      <c r="B684" s="18" t="s">
        <v>22258</v>
      </c>
      <c r="C684" s="18" t="s">
        <v>22259</v>
      </c>
      <c r="D684" s="4" t="str">
        <f ca="1">IFERROR(__xludf.DUMMYFUNCTION("GOOGLETRANSLATE(B684,""ja"",""vi"")"),"3 tay (giờ, phút, giây)")</f>
        <v>3 tay (giờ, phút, giây)</v>
      </c>
      <c r="E684" s="4" t="str">
        <f ca="1">IFERROR(__xludf.DUMMYFUNCTION("GOOGLETRANSLATE(C684,""ja"",""vi"")"),"Loading...")</f>
        <v>Loading...</v>
      </c>
      <c r="F684" t="str">
        <f t="shared" ca="1" si="10"/>
        <v>"2084053678" : "3 tay (giờ, phút, giây)",</v>
      </c>
    </row>
    <row r="685" spans="1:6" ht="15.75" customHeight="1">
      <c r="A685" s="18">
        <v>2084053679</v>
      </c>
      <c r="B685" s="18" t="s">
        <v>22260</v>
      </c>
      <c r="C685" s="18" t="s">
        <v>22261</v>
      </c>
      <c r="D685" s="4" t="str">
        <f ca="1">IFERROR(__xludf.DUMMYFUNCTION("GOOGLETRANSLATE(B685,""ja"",""vi"")"),"3 tay + lịch")</f>
        <v>3 tay + lịch</v>
      </c>
      <c r="E685" s="4" t="str">
        <f ca="1">IFERROR(__xludf.DUMMYFUNCTION("GOOGLETRANSLATE(C685,""ja"",""vi"")"),"Đấu giá&gt; Accessories, Đồng hồ&gt; Đồng hồ nam&gt; analog (loại thạch anh)&gt; 3 tay + lịch")</f>
        <v>Đấu giá&gt; Accessories, Đồng hồ&gt; Đồng hồ nam&gt; analog (loại thạch anh)&gt; 3 tay + lịch</v>
      </c>
      <c r="F685" t="str">
        <f t="shared" ca="1" si="10"/>
        <v>"2084053679" : "3 tay + lịch",</v>
      </c>
    </row>
    <row r="686" spans="1:6" ht="15.75" customHeight="1">
      <c r="A686" s="18">
        <v>2084053682</v>
      </c>
      <c r="B686" s="18" t="s">
        <v>22262</v>
      </c>
      <c r="C686" s="18" t="s">
        <v>22263</v>
      </c>
      <c r="D686" s="4" t="str">
        <f ca="1">IFERROR(__xludf.DUMMYFUNCTION("GOOGLETRANSLATE(B686,""ja"",""vi"")"),"thi kế")</f>
        <v>thi kế</v>
      </c>
      <c r="E686" s="4" t="str">
        <f ca="1">IFERROR(__xludf.DUMMYFUNCTION("GOOGLETRANSLATE(C686,""ja"",""vi"")"),"Loading...")</f>
        <v>Loading...</v>
      </c>
      <c r="F686" t="str">
        <f t="shared" ca="1" si="10"/>
        <v>"2084053682" : "thi kế",</v>
      </c>
    </row>
    <row r="687" spans="1:6" ht="15.75" customHeight="1">
      <c r="A687" s="18">
        <v>2084053683</v>
      </c>
      <c r="B687" s="18" t="s">
        <v>22264</v>
      </c>
      <c r="C687" s="18" t="s">
        <v>22265</v>
      </c>
      <c r="D687" s="4" t="str">
        <f ca="1">IFERROR(__xludf.DUMMYFUNCTION("GOOGLETRANSLATE(B687,""ja"",""vi"")"),"Chronograph + lịch")</f>
        <v>Chronograph + lịch</v>
      </c>
      <c r="E687" s="4" t="str">
        <f ca="1">IFERROR(__xludf.DUMMYFUNCTION("GOOGLETRANSLATE(C687,""ja"",""vi"")"),"Loading...")</f>
        <v>Loading...</v>
      </c>
      <c r="F687" t="str">
        <f t="shared" ca="1" si="10"/>
        <v>"2084053683" : "Chronograph + lịch",</v>
      </c>
    </row>
    <row r="688" spans="1:6" ht="15.75" customHeight="1">
      <c r="A688" s="18">
        <v>2084053684</v>
      </c>
      <c r="B688" s="18" t="s">
        <v>46</v>
      </c>
      <c r="C688" s="18" t="s">
        <v>22266</v>
      </c>
      <c r="D688" s="4" t="str">
        <f ca="1">IFERROR(__xludf.DUMMYFUNCTION("GOOGLETRANSLATE(B688,""ja"",""vi"")"),"nếu không thì")</f>
        <v>nếu không thì</v>
      </c>
      <c r="E688" s="4" t="str">
        <f ca="1">IFERROR(__xludf.DUMMYFUNCTION("GOOGLETRANSLATE(C688,""ja"",""vi"")"),"Đấu giá&gt; Accessories, Đồng hồ&gt; Đồng hồ nam&gt; Analog (Quartz)&gt; Khác")</f>
        <v>Đấu giá&gt; Accessories, Đồng hồ&gt; Đồng hồ nam&gt; Analog (Quartz)&gt; Khác</v>
      </c>
      <c r="F688" t="str">
        <f t="shared" ca="1" si="10"/>
        <v>"2084053684" : "nếu không thì",</v>
      </c>
    </row>
    <row r="689" spans="1:6" ht="15.75" customHeight="1">
      <c r="A689" s="18">
        <v>2084053687</v>
      </c>
      <c r="B689" s="18" t="s">
        <v>22254</v>
      </c>
      <c r="C689" s="18" t="s">
        <v>22267</v>
      </c>
      <c r="D689" s="4" t="str">
        <f ca="1">IFERROR(__xludf.DUMMYFUNCTION("GOOGLETRANSLATE(B689,""ja"",""vi"")"),"2 kim (giờ, phút)")</f>
        <v>2 kim (giờ, phút)</v>
      </c>
      <c r="E689" s="4" t="str">
        <f ca="1">IFERROR(__xludf.DUMMYFUNCTION("GOOGLETRANSLATE(C689,""ja"",""vi"")"),"Đấu giá&gt; Accessories, Đồng hồ&gt; Đồng hồ nam&gt; Analog (Tự động)&gt; 2 kim (giờ, phút)")</f>
        <v>Đấu giá&gt; Accessories, Đồng hồ&gt; Đồng hồ nam&gt; Analog (Tự động)&gt; 2 kim (giờ, phút)</v>
      </c>
      <c r="F689" t="str">
        <f t="shared" ca="1" si="10"/>
        <v>"2084053687" : "2 kim (giờ, phút)",</v>
      </c>
    </row>
    <row r="690" spans="1:6" ht="15.75" customHeight="1">
      <c r="A690" s="18">
        <v>2084053688</v>
      </c>
      <c r="B690" s="18" t="s">
        <v>22256</v>
      </c>
      <c r="C690" s="18" t="s">
        <v>22268</v>
      </c>
      <c r="D690" s="4" t="str">
        <f ca="1">IFERROR(__xludf.DUMMYFUNCTION("GOOGLETRANSLATE(B690,""ja"",""vi"")"),"2 kim + Lịch")</f>
        <v>2 kim + Lịch</v>
      </c>
      <c r="E690" s="4" t="str">
        <f ca="1">IFERROR(__xludf.DUMMYFUNCTION("GOOGLETRANSLATE(C690,""ja"",""vi"")"),"Đấu giá&gt; Accessories, Đồng hồ&gt; Đồng hồ nam&gt; Analog (Tự động)&gt; 2 kim + Lịch")</f>
        <v>Đấu giá&gt; Accessories, Đồng hồ&gt; Đồng hồ nam&gt; Analog (Tự động)&gt; 2 kim + Lịch</v>
      </c>
      <c r="F690" t="str">
        <f t="shared" ca="1" si="10"/>
        <v>"2084053688" : "2 kim + Lịch",</v>
      </c>
    </row>
    <row r="691" spans="1:6" ht="15.75" customHeight="1">
      <c r="A691" s="18">
        <v>2084053685</v>
      </c>
      <c r="B691" s="18" t="s">
        <v>22258</v>
      </c>
      <c r="C691" s="18" t="s">
        <v>22269</v>
      </c>
      <c r="D691" s="4" t="str">
        <f ca="1">IFERROR(__xludf.DUMMYFUNCTION("GOOGLETRANSLATE(B691,""ja"",""vi"")"),"3 tay (giờ, phút, giây)")</f>
        <v>3 tay (giờ, phút, giây)</v>
      </c>
      <c r="E691" s="4" t="str">
        <f ca="1">IFERROR(__xludf.DUMMYFUNCTION("GOOGLETRANSLATE(C691,""ja"",""vi"")"),"Đấu giá&gt; Accessories, Đồng hồ&gt; Đồng hồ nam&gt; Analog (Tự động)&gt; 3 tay (giờ, phút, giây)")</f>
        <v>Đấu giá&gt; Accessories, Đồng hồ&gt; Đồng hồ nam&gt; Analog (Tự động)&gt; 3 tay (giờ, phút, giây)</v>
      </c>
      <c r="F691" t="str">
        <f t="shared" ca="1" si="10"/>
        <v>"2084053685" : "3 tay (giờ, phút, giây)",</v>
      </c>
    </row>
    <row r="692" spans="1:6" ht="15.75" customHeight="1">
      <c r="A692" s="18">
        <v>2084053686</v>
      </c>
      <c r="B692" s="18" t="s">
        <v>22260</v>
      </c>
      <c r="C692" s="18" t="s">
        <v>22270</v>
      </c>
      <c r="D692" s="4" t="str">
        <f ca="1">IFERROR(__xludf.DUMMYFUNCTION("GOOGLETRANSLATE(B692,""ja"",""vi"")"),"3 tay + lịch")</f>
        <v>3 tay + lịch</v>
      </c>
      <c r="E692" s="4" t="str">
        <f ca="1">IFERROR(__xludf.DUMMYFUNCTION("GOOGLETRANSLATE(C692,""ja"",""vi"")"),"Loading...")</f>
        <v>Loading...</v>
      </c>
      <c r="F692" t="str">
        <f t="shared" ca="1" si="10"/>
        <v>"2084053686" : "3 tay + lịch",</v>
      </c>
    </row>
    <row r="693" spans="1:6" ht="15.75" customHeight="1">
      <c r="A693" s="18">
        <v>2084053689</v>
      </c>
      <c r="B693" s="18" t="s">
        <v>22262</v>
      </c>
      <c r="C693" s="18" t="s">
        <v>22271</v>
      </c>
      <c r="D693" s="4" t="str">
        <f ca="1">IFERROR(__xludf.DUMMYFUNCTION("GOOGLETRANSLATE(B693,""ja"",""vi"")"),"thi kế")</f>
        <v>thi kế</v>
      </c>
      <c r="E693" s="4" t="str">
        <f ca="1">IFERROR(__xludf.DUMMYFUNCTION("GOOGLETRANSLATE(C693,""ja"",""vi"")"),"Đấu giá&gt; Accessories, Đồng hồ&gt; Đồng hồ nam&gt; Analog (Automatic)&gt; chronograph")</f>
        <v>Đấu giá&gt; Accessories, Đồng hồ&gt; Đồng hồ nam&gt; Analog (Automatic)&gt; chronograph</v>
      </c>
      <c r="F693" t="str">
        <f t="shared" ca="1" si="10"/>
        <v>"2084053689" : "thi kế",</v>
      </c>
    </row>
    <row r="694" spans="1:6" ht="15.75" customHeight="1">
      <c r="A694" s="18">
        <v>2084053690</v>
      </c>
      <c r="B694" s="18" t="s">
        <v>22264</v>
      </c>
      <c r="C694" s="18" t="s">
        <v>22272</v>
      </c>
      <c r="D694" s="4" t="str">
        <f ca="1">IFERROR(__xludf.DUMMYFUNCTION("GOOGLETRANSLATE(B694,""ja"",""vi"")"),"Chronograph + lịch")</f>
        <v>Chronograph + lịch</v>
      </c>
      <c r="E694" s="4" t="str">
        <f ca="1">IFERROR(__xludf.DUMMYFUNCTION("GOOGLETRANSLATE(C694,""ja"",""vi"")"),"Đấu giá&gt; Accessories, Đồng hồ&gt; Đồng hồ nam&gt; Analog (Automatic)&gt; chronograph + lịch")</f>
        <v>Đấu giá&gt; Accessories, Đồng hồ&gt; Đồng hồ nam&gt; Analog (Automatic)&gt; chronograph + lịch</v>
      </c>
      <c r="F694" t="str">
        <f t="shared" ca="1" si="10"/>
        <v>"2084053690" : "Chronograph + lịch",</v>
      </c>
    </row>
    <row r="695" spans="1:6" ht="15.75" customHeight="1">
      <c r="A695" s="18">
        <v>2084053691</v>
      </c>
      <c r="B695" s="18" t="s">
        <v>46</v>
      </c>
      <c r="C695" s="18" t="s">
        <v>22273</v>
      </c>
      <c r="D695" s="4" t="str">
        <f ca="1">IFERROR(__xludf.DUMMYFUNCTION("GOOGLETRANSLATE(B695,""ja"",""vi"")"),"nếu không thì")</f>
        <v>nếu không thì</v>
      </c>
      <c r="E695" s="4" t="str">
        <f ca="1">IFERROR(__xludf.DUMMYFUNCTION("GOOGLETRANSLATE(C695,""ja"",""vi"")"),"Đấu giá&gt; Accessories, Đồng hồ&gt; Đồng hồ nam&gt; Analog (Automatic)&gt; Khác")</f>
        <v>Đấu giá&gt; Accessories, Đồng hồ&gt; Đồng hồ nam&gt; Analog (Automatic)&gt; Khác</v>
      </c>
      <c r="F695" t="str">
        <f t="shared" ca="1" si="10"/>
        <v>"2084053691" : "nếu không thì",</v>
      </c>
    </row>
    <row r="696" spans="1:6" ht="15.75" customHeight="1">
      <c r="A696" s="18">
        <v>2084223446</v>
      </c>
      <c r="B696" s="18" t="s">
        <v>22274</v>
      </c>
      <c r="C696" s="18" t="s">
        <v>22275</v>
      </c>
      <c r="D696" s="4" t="str">
        <f ca="1">IFERROR(__xludf.DUMMYFUNCTION("GOOGLETRANSLATE(B696,""ja"",""vi"")"),"đồng hồ đài phát thanh")</f>
        <v>đồng hồ đài phát thanh</v>
      </c>
      <c r="E696" s="4" t="str">
        <f ca="1">IFERROR(__xludf.DUMMYFUNCTION("GOOGLETRANSLATE(C696,""ja"",""vi"")"),"Đấu giá&gt; Accessories, Đồng hồ&gt; Đồng hồ nam&gt; Digital&gt; đồng hồ đài phát thanh")</f>
        <v>Đấu giá&gt; Accessories, Đồng hồ&gt; Đồng hồ nam&gt; Digital&gt; đồng hồ đài phát thanh</v>
      </c>
      <c r="F696" t="str">
        <f t="shared" ca="1" si="10"/>
        <v>"2084223446" : "đồng hồ đài phát thanh",</v>
      </c>
    </row>
    <row r="697" spans="1:6" ht="15.75" customHeight="1">
      <c r="A697" s="18">
        <v>2084032114</v>
      </c>
      <c r="B697" s="18" t="s">
        <v>1806</v>
      </c>
      <c r="C697" s="18" t="s">
        <v>22276</v>
      </c>
      <c r="D697" s="4" t="str">
        <f ca="1">IFERROR(__xludf.DUMMYFUNCTION("GOOGLETRANSLATE(B697,""ja"",""vi"")"),"Casio")</f>
        <v>Casio</v>
      </c>
      <c r="E697" s="4" t="str">
        <f ca="1">IFERROR(__xludf.DUMMYFUNCTION("GOOGLETRANSLATE(C697,""ja"",""vi"")"),"Đấu giá&gt; Accessories, Đồng hồ&gt; Đồng hồ nam&gt; Digital&gt; Casio")</f>
        <v>Đấu giá&gt; Accessories, Đồng hồ&gt; Đồng hồ nam&gt; Digital&gt; Casio</v>
      </c>
      <c r="F697" t="str">
        <f t="shared" ca="1" si="10"/>
        <v>"2084032114" : "Casio",</v>
      </c>
    </row>
    <row r="698" spans="1:6" ht="15.75" customHeight="1">
      <c r="A698" s="18">
        <v>2084062073</v>
      </c>
      <c r="B698" s="18" t="s">
        <v>21987</v>
      </c>
      <c r="C698" s="18" t="s">
        <v>22277</v>
      </c>
      <c r="D698" s="4" t="str">
        <f ca="1">IFERROR(__xludf.DUMMYFUNCTION("GOOGLETRANSLATE(B698,""ja"",""vi"")"),"Suunto")</f>
        <v>Suunto</v>
      </c>
      <c r="E698" s="4" t="str">
        <f ca="1">IFERROR(__xludf.DUMMYFUNCTION("GOOGLETRANSLATE(C698,""ja"",""vi"")"),"Loading...")</f>
        <v>Loading...</v>
      </c>
      <c r="F698" t="str">
        <f t="shared" ca="1" si="10"/>
        <v>"2084062073" : "Suunto",</v>
      </c>
    </row>
    <row r="699" spans="1:6" ht="15.75" customHeight="1">
      <c r="A699" s="18">
        <v>2084223447</v>
      </c>
      <c r="B699" s="18" t="s">
        <v>46</v>
      </c>
      <c r="C699" s="18" t="s">
        <v>22278</v>
      </c>
      <c r="D699" s="4" t="str">
        <f ca="1">IFERROR(__xludf.DUMMYFUNCTION("GOOGLETRANSLATE(B699,""ja"",""vi"")"),"nếu không thì")</f>
        <v>nếu không thì</v>
      </c>
      <c r="E699" s="4" t="str">
        <f ca="1">IFERROR(__xludf.DUMMYFUNCTION("GOOGLETRANSLATE(C699,""ja"",""vi"")"),"Đấu giá&gt; Accessories, Đồng hồ&gt; Đồng hồ nam&gt; kỹ thuật số&gt; Khác")</f>
        <v>Đấu giá&gt; Accessories, Đồng hồ&gt; Đồng hồ nam&gt; kỹ thuật số&gt; Khác</v>
      </c>
      <c r="F699" t="str">
        <f t="shared" ca="1" si="10"/>
        <v>"2084223447" : "nếu không thì",</v>
      </c>
    </row>
    <row r="700" spans="1:6" ht="15.75" customHeight="1">
      <c r="A700" s="18">
        <v>2084024485</v>
      </c>
      <c r="B700" s="18" t="s">
        <v>22279</v>
      </c>
      <c r="C700" s="18" t="s">
        <v>22280</v>
      </c>
      <c r="D700" s="4" t="str">
        <f ca="1">IFERROR(__xludf.DUMMYFUNCTION("GOOGLETRANSLATE(B700,""ja"",""vi"")"),".BEAT")</f>
        <v>.BEAT</v>
      </c>
      <c r="E700" s="4" t="str">
        <f ca="1">IFERROR(__xludf.DUMMYFUNCTION("GOOGLETRANSLATE(C700,""ja"",""vi"")"),"Đấu giá&gt; phụ kiện, đồng hồ&gt; thương hiệu đồng hồ đeo tay&gt; chữ s&gt; SWATCH&gt; .BEAT")</f>
        <v>Đấu giá&gt; phụ kiện, đồng hồ&gt; thương hiệu đồng hồ đeo tay&gt; chữ s&gt; SWATCH&gt; .BEAT</v>
      </c>
      <c r="F700" t="str">
        <f t="shared" ca="1" si="10"/>
        <v>"2084024485" : ".BEAT",</v>
      </c>
    </row>
    <row r="701" spans="1:6" ht="15.75" customHeight="1">
      <c r="A701" s="18">
        <v>2084024483</v>
      </c>
      <c r="B701" s="18" t="s">
        <v>22281</v>
      </c>
      <c r="C701" s="18" t="s">
        <v>22282</v>
      </c>
      <c r="D701" s="4" t="str">
        <f ca="1">IFERROR(__xludf.DUMMYFUNCTION("GOOGLETRANSLATE(B701,""ja"",""vi"")"),"TRUY CẬP")</f>
        <v>TRUY CẬP</v>
      </c>
      <c r="E701" s="4" t="str">
        <f ca="1">IFERROR(__xludf.DUMMYFUNCTION("GOOGLETRANSLATE(C701,""ja"",""vi"")"),"Đấu giá&gt; phụ kiện, đồng hồ&gt; thương hiệu đồng hồ đeo tay&gt; chữ s&gt; SWATCH&gt; TRUY CẬP")</f>
        <v>Đấu giá&gt; phụ kiện, đồng hồ&gt; thương hiệu đồng hồ đeo tay&gt; chữ s&gt; SWATCH&gt; TRUY CẬP</v>
      </c>
      <c r="F701" t="str">
        <f t="shared" ca="1" si="10"/>
        <v>"2084024483" : "TRUY CẬP",</v>
      </c>
    </row>
    <row r="702" spans="1:6" ht="15.75" customHeight="1">
      <c r="A702" s="18">
        <v>2084024477</v>
      </c>
      <c r="B702" s="18" t="s">
        <v>22283</v>
      </c>
      <c r="C702" s="18" t="s">
        <v>22284</v>
      </c>
      <c r="D702" s="4" t="str">
        <f ca="1">IFERROR(__xludf.DUMMYFUNCTION("GOOGLETRANSLATE(B702,""ja"",""vi"")"),"AQUACHRONO")</f>
        <v>AQUACHRONO</v>
      </c>
      <c r="E702" s="4" t="str">
        <f ca="1">IFERROR(__xludf.DUMMYFUNCTION("GOOGLETRANSLATE(C702,""ja"",""vi"")"),"Đấu giá&gt; phụ kiện, đồng hồ&gt; thương hiệu đồng hồ đeo tay&gt; chữ s&gt; SWATCH&gt; AQUACHRONO")</f>
        <v>Đấu giá&gt; phụ kiện, đồng hồ&gt; thương hiệu đồng hồ đeo tay&gt; chữ s&gt; SWATCH&gt; AQUACHRONO</v>
      </c>
      <c r="F702" t="str">
        <f t="shared" ca="1" si="10"/>
        <v>"2084024477" : "AQUACHRONO",</v>
      </c>
    </row>
    <row r="703" spans="1:6" ht="15.75" customHeight="1">
      <c r="A703" s="18">
        <v>2084024480</v>
      </c>
      <c r="B703" s="18" t="s">
        <v>22285</v>
      </c>
      <c r="C703" s="18" t="s">
        <v>22286</v>
      </c>
      <c r="D703" s="4" t="str">
        <f ca="1">IFERROR(__xludf.DUMMYFUNCTION("GOOGLETRANSLATE(B703,""ja"",""vi"")"),"TỰ ĐỘNG")</f>
        <v>TỰ ĐỘNG</v>
      </c>
      <c r="E703" s="4" t="str">
        <f ca="1">IFERROR(__xludf.DUMMYFUNCTION("GOOGLETRANSLATE(C703,""ja"",""vi"")"),"Đấu giá&gt; phụ kiện, đồng hồ&gt; thương hiệu đồng hồ đeo tay&gt; chữ s&gt; SWATCH&gt; TỰ ĐỘNG")</f>
        <v>Đấu giá&gt; phụ kiện, đồng hồ&gt; thương hiệu đồng hồ đeo tay&gt; chữ s&gt; SWATCH&gt; TỰ ĐỘNG</v>
      </c>
      <c r="F703" t="str">
        <f t="shared" ca="1" si="10"/>
        <v>"2084024480" : "TỰ ĐỘNG",</v>
      </c>
    </row>
    <row r="704" spans="1:6" ht="15.75" customHeight="1">
      <c r="A704" s="18">
        <v>2084024476</v>
      </c>
      <c r="B704" s="18" t="s">
        <v>22287</v>
      </c>
      <c r="C704" s="18" t="s">
        <v>22288</v>
      </c>
      <c r="D704" s="4" t="str">
        <f ca="1">IFERROR(__xludf.DUMMYFUNCTION("GOOGLETRANSLATE(B704,""ja"",""vi"")"),"CHRONO")</f>
        <v>CHRONO</v>
      </c>
      <c r="E704" s="4" t="str">
        <f ca="1">IFERROR(__xludf.DUMMYFUNCTION("GOOGLETRANSLATE(C704,""ja"",""vi"")"),"Loading...")</f>
        <v>Loading...</v>
      </c>
      <c r="F704" t="str">
        <f t="shared" ca="1" si="10"/>
        <v>"2084024476" : "CHRONO",</v>
      </c>
    </row>
    <row r="705" spans="1:6" ht="15.75" customHeight="1">
      <c r="A705" s="18">
        <v>2084024486</v>
      </c>
      <c r="B705" s="18" t="s">
        <v>22289</v>
      </c>
      <c r="C705" s="18" t="s">
        <v>22290</v>
      </c>
      <c r="D705" s="4" t="str">
        <f ca="1">IFERROR(__xludf.DUMMYFUNCTION("GOOGLETRANSLATE(B705,""ja"",""vi"")"),"trớ trêu")</f>
        <v>trớ trêu</v>
      </c>
      <c r="E705" s="4" t="str">
        <f ca="1">IFERROR(__xludf.DUMMYFUNCTION("GOOGLETRANSLATE(C705,""ja"",""vi"")"),"Đấu giá&gt; phụ kiện, đồng hồ&gt; thương hiệu đồng hồ đeo tay&gt; chữ s&gt; SWATCH&gt; trớ trêu")</f>
        <v>Đấu giá&gt; phụ kiện, đồng hồ&gt; thương hiệu đồng hồ đeo tay&gt; chữ s&gt; SWATCH&gt; trớ trêu</v>
      </c>
      <c r="F705" t="str">
        <f t="shared" ca="1" si="10"/>
        <v>"2084024486" : "trớ trêu",</v>
      </c>
    </row>
    <row r="706" spans="1:6" ht="15.75" customHeight="1">
      <c r="A706" s="18">
        <v>2084024479</v>
      </c>
      <c r="B706" s="18" t="s">
        <v>22291</v>
      </c>
      <c r="C706" s="18" t="s">
        <v>22292</v>
      </c>
      <c r="D706" s="4" t="str">
        <f ca="1">IFERROR(__xludf.DUMMYFUNCTION("GOOGLETRANSLATE(B706,""ja"",""vi"")"),"MUSICALL")</f>
        <v>MUSICALL</v>
      </c>
      <c r="E706" s="4" t="str">
        <f ca="1">IFERROR(__xludf.DUMMYFUNCTION("GOOGLETRANSLATE(C706,""ja"",""vi"")"),"Đấu giá&gt; phụ kiện, đồng hồ&gt; thương hiệu đồng hồ đeo tay&gt; chữ s&gt; SWATCH&gt; MUSICALL")</f>
        <v>Đấu giá&gt; phụ kiện, đồng hồ&gt; thương hiệu đồng hồ đeo tay&gt; chữ s&gt; SWATCH&gt; MUSICALL</v>
      </c>
      <c r="F706" t="str">
        <f t="shared" ca="1" si="10"/>
        <v>"2084024479" : "MUSICALL",</v>
      </c>
    </row>
    <row r="707" spans="1:6" ht="15.75" customHeight="1">
      <c r="A707" s="18">
        <v>2084024481</v>
      </c>
      <c r="B707" s="18" t="s">
        <v>22293</v>
      </c>
      <c r="C707" s="18" t="s">
        <v>22294</v>
      </c>
      <c r="D707" s="4" t="str">
        <f ca="1">IFERROR(__xludf.DUMMYFUNCTION("GOOGLETRANSLATE(B707,""ja"",""vi"")"),"POP SWATCH")</f>
        <v>POP SWATCH</v>
      </c>
      <c r="E707" s="4" t="str">
        <f ca="1">IFERROR(__xludf.DUMMYFUNCTION("GOOGLETRANSLATE(C707,""ja"",""vi"")"),"Loading...")</f>
        <v>Loading...</v>
      </c>
      <c r="F707" t="str">
        <f t="shared" ref="F707:F770" ca="1" si="11">CONCATENATE(CHAR(34)&amp;"",A707,""&amp;CHAR(34)," : ", CHAR(34)&amp;"",D707,""&amp;CHAR(34),",")</f>
        <v>"2084024481" : "POP SWATCH",</v>
      </c>
    </row>
    <row r="708" spans="1:6" ht="15.75" customHeight="1">
      <c r="A708" s="18">
        <v>2084024475</v>
      </c>
      <c r="B708" s="18" t="s">
        <v>22295</v>
      </c>
      <c r="C708" s="18" t="s">
        <v>22296</v>
      </c>
      <c r="D708" s="4" t="str">
        <f ca="1">IFERROR(__xludf.DUMMYFUNCTION("GOOGLETRANSLATE(B708,""ja"",""vi"")"),"SCUBA200")</f>
        <v>SCUBA200</v>
      </c>
      <c r="E708" s="4" t="str">
        <f ca="1">IFERROR(__xludf.DUMMYFUNCTION("GOOGLETRANSLATE(C708,""ja"",""vi"")"),"Loading...")</f>
        <v>Loading...</v>
      </c>
      <c r="F708" t="str">
        <f t="shared" ca="1" si="11"/>
        <v>"2084024475" : "SCUBA200",</v>
      </c>
    </row>
    <row r="709" spans="1:6" ht="15.75" customHeight="1">
      <c r="A709" s="18">
        <v>2084024484</v>
      </c>
      <c r="B709" s="18" t="s">
        <v>22297</v>
      </c>
      <c r="C709" s="18" t="s">
        <v>22298</v>
      </c>
      <c r="D709" s="4" t="str">
        <f ca="1">IFERROR(__xludf.DUMMYFUNCTION("GOOGLETRANSLATE(B709,""ja"",""vi"")"),"DA")</f>
        <v>DA</v>
      </c>
      <c r="E709" s="4" t="str">
        <f ca="1">IFERROR(__xludf.DUMMYFUNCTION("GOOGLETRANSLATE(C709,""ja"",""vi"")"),"Đấu giá&gt; phụ kiện, đồng hồ&gt; thương hiệu đồng hồ đeo tay&gt; chữ s&gt; SWATCH&gt; DA")</f>
        <v>Đấu giá&gt; phụ kiện, đồng hồ&gt; thương hiệu đồng hồ đeo tay&gt; chữ s&gt; SWATCH&gt; DA</v>
      </c>
      <c r="F709" t="str">
        <f t="shared" ca="1" si="11"/>
        <v>"2084024484" : "DA",</v>
      </c>
    </row>
    <row r="710" spans="1:6" ht="15.75" customHeight="1">
      <c r="A710" s="18">
        <v>2084024478</v>
      </c>
      <c r="B710" s="18" t="s">
        <v>22299</v>
      </c>
      <c r="C710" s="18" t="s">
        <v>22300</v>
      </c>
      <c r="D710" s="4" t="str">
        <f ca="1">IFERROR(__xludf.DUMMYFUNCTION("GOOGLETRANSLATE(B710,""ja"",""vi"")"),"SOLAR")</f>
        <v>SOLAR</v>
      </c>
      <c r="E710" s="4" t="str">
        <f ca="1">IFERROR(__xludf.DUMMYFUNCTION("GOOGLETRANSLATE(C710,""ja"",""vi"")"),"Đấu giá&gt; phụ kiện, đồng hồ&gt; thương hiệu đồng hồ đeo tay&gt; chữ s&gt; SWATCH&gt; SOLAR")</f>
        <v>Đấu giá&gt; phụ kiện, đồng hồ&gt; thương hiệu đồng hồ đeo tay&gt; chữ s&gt; SWATCH&gt; SOLAR</v>
      </c>
      <c r="F710" t="str">
        <f t="shared" ca="1" si="11"/>
        <v>"2084024478" : "SOLAR",</v>
      </c>
    </row>
    <row r="711" spans="1:6" ht="15.75" customHeight="1">
      <c r="A711" s="18">
        <v>2084024474</v>
      </c>
      <c r="B711" s="18" t="s">
        <v>22304</v>
      </c>
      <c r="C711" s="18" t="s">
        <v>22305</v>
      </c>
      <c r="D711" s="4" t="str">
        <f ca="1">IFERROR(__xludf.DUMMYFUNCTION("GOOGLETRANSLATE(B711,""ja"",""vi"")"),"TIÊU CHUẨN")</f>
        <v>TIÊU CHUẨN</v>
      </c>
      <c r="E711" s="4" t="str">
        <f ca="1">IFERROR(__xludf.DUMMYFUNCTION("GOOGLETRANSLATE(C711,""ja"",""vi"")"),"Loading...")</f>
        <v>Loading...</v>
      </c>
      <c r="F711" t="str">
        <f t="shared" ca="1" si="11"/>
        <v>"2084024474" : "TIÊU CHUẨN",</v>
      </c>
    </row>
    <row r="712" spans="1:6" ht="15.75" customHeight="1">
      <c r="A712" s="18">
        <v>2084024482</v>
      </c>
      <c r="B712" s="18" t="s">
        <v>22308</v>
      </c>
      <c r="C712" s="18" t="s">
        <v>22310</v>
      </c>
      <c r="D712" s="4" t="str">
        <f ca="1">IFERROR(__xludf.DUMMYFUNCTION("GOOGLETRANSLATE(B712,""ja"",""vi"")"),"DỪNG XEM")</f>
        <v>DỪNG XEM</v>
      </c>
      <c r="E712" s="4" t="str">
        <f ca="1">IFERROR(__xludf.DUMMYFUNCTION("GOOGLETRANSLATE(C712,""ja"",""vi"")"),"Loading...")</f>
        <v>Loading...</v>
      </c>
      <c r="F712" t="str">
        <f t="shared" ca="1" si="11"/>
        <v>"2084024482" : "DỪNG XEM",</v>
      </c>
    </row>
    <row r="713" spans="1:6" ht="15.75" customHeight="1">
      <c r="A713" s="18">
        <v>2084024488</v>
      </c>
      <c r="B713" s="18" t="s">
        <v>46</v>
      </c>
      <c r="C713" s="18" t="s">
        <v>22314</v>
      </c>
      <c r="D713" s="4" t="str">
        <f ca="1">IFERROR(__xludf.DUMMYFUNCTION("GOOGLETRANSLATE(B713,""ja"",""vi"")"),"nếu không thì")</f>
        <v>nếu không thì</v>
      </c>
      <c r="E713" s="4" t="str">
        <f ca="1">IFERROR(__xludf.DUMMYFUNCTION("GOOGLETRANSLATE(C713,""ja"",""vi"")"),"Loading...")</f>
        <v>Loading...</v>
      </c>
      <c r="F713" t="str">
        <f t="shared" ca="1" si="11"/>
        <v>"2084024488" : "nếu không thì",</v>
      </c>
    </row>
    <row r="714" spans="1:6" ht="15.75" customHeight="1">
      <c r="A714" s="18">
        <v>2084005346</v>
      </c>
      <c r="B714" s="18" t="s">
        <v>22316</v>
      </c>
      <c r="C714" s="18" t="s">
        <v>22318</v>
      </c>
      <c r="D714" s="4" t="str">
        <f ca="1">IFERROR(__xludf.DUMMYFUNCTION("GOOGLETRANSLATE(B714,""ja"",""vi"")"),"G-SHOCK")</f>
        <v>G-SHOCK</v>
      </c>
      <c r="E714" s="4" t="str">
        <f ca="1">IFERROR(__xludf.DUMMYFUNCTION("GOOGLETRANSLATE(C714,""ja"",""vi"")"),"Đấu giá&gt; phụ kiện, đồng hồ&gt; thương hiệu đồng hồ đeo tay&gt; hoặc hàng&gt; Casio&gt; G-SHOCK")</f>
        <v>Đấu giá&gt; phụ kiện, đồng hồ&gt; thương hiệu đồng hồ đeo tay&gt; hoặc hàng&gt; Casio&gt; G-SHOCK</v>
      </c>
      <c r="F714" t="str">
        <f t="shared" ca="1" si="11"/>
        <v>"2084005346" : "G-SHOCK",</v>
      </c>
    </row>
    <row r="715" spans="1:6" ht="15.75" customHeight="1">
      <c r="A715" s="18">
        <v>2084032115</v>
      </c>
      <c r="B715" s="18" t="s">
        <v>22320</v>
      </c>
      <c r="C715" s="18" t="s">
        <v>22322</v>
      </c>
      <c r="D715" s="4" t="str">
        <f ca="1">IFERROR(__xludf.DUMMYFUNCTION("GOOGLETRANSLATE(B715,""ja"",""vi"")"),"Baby-G")</f>
        <v>Baby-G</v>
      </c>
      <c r="E715" s="4" t="str">
        <f ca="1">IFERROR(__xludf.DUMMYFUNCTION("GOOGLETRANSLATE(C715,""ja"",""vi"")"),"Loading...")</f>
        <v>Loading...</v>
      </c>
      <c r="F715" t="str">
        <f t="shared" ca="1" si="11"/>
        <v>"2084032115" : "Baby-G",</v>
      </c>
    </row>
    <row r="716" spans="1:6" ht="15.75" customHeight="1">
      <c r="A716" s="18">
        <v>2084032116</v>
      </c>
      <c r="B716" s="18" t="s">
        <v>22324</v>
      </c>
      <c r="C716" s="18" t="s">
        <v>22325</v>
      </c>
      <c r="D716" s="4" t="str">
        <f ca="1">IFERROR(__xludf.DUMMYFUNCTION("GOOGLETRANSLATE(B716,""ja"",""vi"")"),"PRO TREK")</f>
        <v>PRO TREK</v>
      </c>
      <c r="E716" s="4" t="str">
        <f ca="1">IFERROR(__xludf.DUMMYFUNCTION("GOOGLETRANSLATE(C716,""ja"",""vi"")"),"Loading...")</f>
        <v>Loading...</v>
      </c>
      <c r="F716" t="str">
        <f t="shared" ca="1" si="11"/>
        <v>"2084032116" : "PRO TREK",</v>
      </c>
    </row>
    <row r="717" spans="1:6" ht="15.75" customHeight="1">
      <c r="A717" s="18">
        <v>2084310827</v>
      </c>
      <c r="B717" s="18" t="s">
        <v>22329</v>
      </c>
      <c r="C717" s="18" t="s">
        <v>22330</v>
      </c>
      <c r="D717" s="4" t="str">
        <f ca="1">IFERROR(__xludf.DUMMYFUNCTION("GOOGLETRANSLATE(B717,""ja"",""vi"")"),"lâu đài")</f>
        <v>lâu đài</v>
      </c>
      <c r="E717" s="4" t="str">
        <f ca="1">IFERROR(__xludf.DUMMYFUNCTION("GOOGLETRANSLATE(C717,""ja"",""vi"")"),"Loading...")</f>
        <v>Loading...</v>
      </c>
      <c r="F717" t="str">
        <f t="shared" ca="1" si="11"/>
        <v>"2084310827" : "lâu đài",</v>
      </c>
    </row>
    <row r="718" spans="1:6" ht="15.75" customHeight="1">
      <c r="A718" s="18">
        <v>2084211406</v>
      </c>
      <c r="B718" s="18" t="s">
        <v>22333</v>
      </c>
      <c r="C718" s="18" t="s">
        <v>22334</v>
      </c>
      <c r="D718" s="4" t="str">
        <f ca="1">IFERROR(__xludf.DUMMYFUNCTION("GOOGLETRANSLATE(B718,""ja"",""vi"")"),"Oceanus")</f>
        <v>Oceanus</v>
      </c>
      <c r="E718" s="4" t="str">
        <f ca="1">IFERROR(__xludf.DUMMYFUNCTION("GOOGLETRANSLATE(C718,""ja"",""vi"")"),"Loading...")</f>
        <v>Loading...</v>
      </c>
      <c r="F718" t="str">
        <f t="shared" ca="1" si="11"/>
        <v>"2084211406" : "Oceanus",</v>
      </c>
    </row>
    <row r="719" spans="1:6" ht="15.75" customHeight="1">
      <c r="A719" s="18">
        <v>2084226882</v>
      </c>
      <c r="B719" s="18" t="s">
        <v>22338</v>
      </c>
      <c r="C719" s="18" t="s">
        <v>22339</v>
      </c>
      <c r="D719" s="4" t="str">
        <f ca="1">IFERROR(__xludf.DUMMYFUNCTION("GOOGLETRANSLATE(B719,""ja"",""vi"")"),"ngân hàng dữ liệu")</f>
        <v>ngân hàng dữ liệu</v>
      </c>
      <c r="E719" s="4" t="str">
        <f ca="1">IFERROR(__xludf.DUMMYFUNCTION("GOOGLETRANSLATE(C719,""ja"",""vi"")"),"Loading...")</f>
        <v>Loading...</v>
      </c>
      <c r="F719" t="str">
        <f t="shared" ca="1" si="11"/>
        <v>"2084226882" : "ngân hàng dữ liệu",</v>
      </c>
    </row>
    <row r="720" spans="1:6" ht="15.75" customHeight="1">
      <c r="A720" s="18">
        <v>2084310829</v>
      </c>
      <c r="B720" s="18" t="s">
        <v>1612</v>
      </c>
      <c r="C720" s="18" t="s">
        <v>22343</v>
      </c>
      <c r="D720" s="4" t="str">
        <f ca="1">IFERROR(__xludf.DUMMYFUNCTION("GOOGLETRANSLATE(B720,""ja"",""vi"")"),"bộ phận")</f>
        <v>bộ phận</v>
      </c>
      <c r="E720" s="4" t="str">
        <f ca="1">IFERROR(__xludf.DUMMYFUNCTION("GOOGLETRANSLATE(C720,""ja"",""vi"")"),"Loading...")</f>
        <v>Loading...</v>
      </c>
      <c r="F720" t="str">
        <f t="shared" ca="1" si="11"/>
        <v>"2084310829" : "bộ phận",</v>
      </c>
    </row>
    <row r="721" spans="1:6" ht="15.75" customHeight="1">
      <c r="A721" s="18">
        <v>2084310828</v>
      </c>
      <c r="B721" s="18" t="s">
        <v>22347</v>
      </c>
      <c r="C721" s="18" t="s">
        <v>22348</v>
      </c>
      <c r="D721" s="4" t="str">
        <f ca="1">IFERROR(__xludf.DUMMYFUNCTION("GOOGLETRANSLATE(B721,""ja"",""vi"")"),"Belt, vòng đeo tay")</f>
        <v>Belt, vòng đeo tay</v>
      </c>
      <c r="E721" s="4" t="str">
        <f ca="1">IFERROR(__xludf.DUMMYFUNCTION("GOOGLETRANSLATE(C721,""ja"",""vi"")"),"Loading...")</f>
        <v>Loading...</v>
      </c>
      <c r="F721" t="str">
        <f t="shared" ca="1" si="11"/>
        <v>"2084310828" : "Belt, vòng đeo tay",</v>
      </c>
    </row>
    <row r="722" spans="1:6" ht="15.75" customHeight="1">
      <c r="A722" s="18">
        <v>2084032138</v>
      </c>
      <c r="B722" s="18" t="s">
        <v>46</v>
      </c>
      <c r="C722" s="18" t="s">
        <v>22354</v>
      </c>
      <c r="D722" s="4" t="str">
        <f ca="1">IFERROR(__xludf.DUMMYFUNCTION("GOOGLETRANSLATE(B722,""ja"",""vi"")"),"nếu không thì")</f>
        <v>nếu không thì</v>
      </c>
      <c r="E722" s="4" t="str">
        <f ca="1">IFERROR(__xludf.DUMMYFUNCTION("GOOGLETRANSLATE(C722,""ja"",""vi"")"),"Loading...")</f>
        <v>Loading...</v>
      </c>
      <c r="F722" t="str">
        <f t="shared" ca="1" si="11"/>
        <v>"2084032138" : "nếu không thì",</v>
      </c>
    </row>
    <row r="723" spans="1:6" ht="15.75" customHeight="1">
      <c r="A723" s="18">
        <v>2084209455</v>
      </c>
      <c r="B723" s="18" t="s">
        <v>22358</v>
      </c>
      <c r="C723" s="18" t="s">
        <v>22359</v>
      </c>
      <c r="D723" s="4" t="str">
        <f ca="1">IFERROR(__xludf.DUMMYFUNCTION("GOOGLETRANSLATE(B723,""ja"",""vi"")"),"Atessa")</f>
        <v>Atessa</v>
      </c>
      <c r="E723" s="4" t="str">
        <f ca="1">IFERROR(__xludf.DUMMYFUNCTION("GOOGLETRANSLATE(C723,""ja"",""vi"")"),"Loading...")</f>
        <v>Loading...</v>
      </c>
      <c r="F723" t="str">
        <f t="shared" ca="1" si="11"/>
        <v>"2084209455" : "Atessa",</v>
      </c>
    </row>
    <row r="724" spans="1:6" ht="15.75" customHeight="1">
      <c r="A724" s="18">
        <v>2084209458</v>
      </c>
      <c r="B724" s="18" t="s">
        <v>22364</v>
      </c>
      <c r="C724" s="18" t="s">
        <v>22366</v>
      </c>
      <c r="D724" s="4" t="str">
        <f ca="1">IFERROR(__xludf.DUMMYFUNCTION("GOOGLETRANSLATE(B724,""ja"",""vi"")"),"Wicca")</f>
        <v>Wicca</v>
      </c>
      <c r="E724" s="4" t="str">
        <f ca="1">IFERROR(__xludf.DUMMYFUNCTION("GOOGLETRANSLATE(C724,""ja"",""vi"")"),"Đấu giá&gt; phụ kiện, đồng hồ&gt; thương hiệu đồng hồ đeo tay&gt; chữ s&gt; Citizen&gt; Wicca")</f>
        <v>Đấu giá&gt; phụ kiện, đồng hồ&gt; thương hiệu đồng hồ đeo tay&gt; chữ s&gt; Citizen&gt; Wicca</v>
      </c>
      <c r="F724" t="str">
        <f t="shared" ca="1" si="11"/>
        <v>"2084209458" : "Wicca",</v>
      </c>
    </row>
    <row r="725" spans="1:6" ht="15.75" customHeight="1">
      <c r="A725" s="18">
        <v>2084209454</v>
      </c>
      <c r="B725" s="18" t="s">
        <v>22370</v>
      </c>
      <c r="C725" s="18" t="s">
        <v>22372</v>
      </c>
      <c r="D725" s="4" t="str">
        <f ca="1">IFERROR(__xludf.DUMMYFUNCTION("GOOGLETRANSLATE(B725,""ja"",""vi"")"),"vượt quá")</f>
        <v>vượt quá</v>
      </c>
      <c r="E725" s="4" t="str">
        <f ca="1">IFERROR(__xludf.DUMMYFUNCTION("GOOGLETRANSLATE(C725,""ja"",""vi"")"),"Loading...")</f>
        <v>Loading...</v>
      </c>
      <c r="F725" t="str">
        <f t="shared" ca="1" si="11"/>
        <v>"2084209454" : "vượt quá",</v>
      </c>
    </row>
    <row r="726" spans="1:6" ht="15.75" customHeight="1">
      <c r="A726" s="18">
        <v>2084314563</v>
      </c>
      <c r="B726" s="18" t="s">
        <v>22374</v>
      </c>
      <c r="C726" s="18" t="s">
        <v>22376</v>
      </c>
      <c r="D726" s="4" t="str">
        <f ca="1">IFERROR(__xludf.DUMMYFUNCTION("GOOGLETRANSLATE(B726,""ja"",""vi"")"),"Hàng đợi và đợi")</f>
        <v>Hàng đợi và đợi</v>
      </c>
      <c r="E726" s="4" t="str">
        <f ca="1">IFERROR(__xludf.DUMMYFUNCTION("GOOGLETRANSLATE(C726,""ja"",""vi"")"),"Đấu giá&gt; phụ kiện, đồng hồ&gt; đồng hồ đeo tay thương hiệu&gt; chữ s&gt; Citizen&gt; hàng đợi và đợi")</f>
        <v>Đấu giá&gt; phụ kiện, đồng hồ&gt; đồng hồ đeo tay thương hiệu&gt; chữ s&gt; Citizen&gt; hàng đợi và đợi</v>
      </c>
      <c r="F726" t="str">
        <f t="shared" ca="1" si="11"/>
        <v>"2084314563" : "Hàng đợi và đợi",</v>
      </c>
    </row>
    <row r="727" spans="1:6" ht="15.75" customHeight="1">
      <c r="A727" s="18">
        <v>2084209457</v>
      </c>
      <c r="B727" s="18" t="s">
        <v>22378</v>
      </c>
      <c r="C727" s="18" t="s">
        <v>22379</v>
      </c>
      <c r="D727" s="4" t="str">
        <f ca="1">IFERROR(__xludf.DUMMYFUNCTION("GOOGLETRANSLATE(B727,""ja"",""vi"")"),"Cross-Sea")</f>
        <v>Cross-Sea</v>
      </c>
      <c r="E727" s="4" t="str">
        <f ca="1">IFERROR(__xludf.DUMMYFUNCTION("GOOGLETRANSLATE(C727,""ja"",""vi"")"),"Loading...")</f>
        <v>Loading...</v>
      </c>
      <c r="F727" t="str">
        <f t="shared" ca="1" si="11"/>
        <v>"2084209457" : "Cross-Sea",</v>
      </c>
    </row>
    <row r="728" spans="1:6" ht="15.75" customHeight="1">
      <c r="A728" s="18">
        <v>2084314561</v>
      </c>
      <c r="B728" s="18" t="s">
        <v>22382</v>
      </c>
      <c r="C728" s="18" t="s">
        <v>22385</v>
      </c>
      <c r="D728" s="4" t="str">
        <f ca="1">IFERROR(__xludf.DUMMYFUNCTION("GOOGLETRANSLATE(B728,""ja"",""vi"")"),"Citizen Collection")</f>
        <v>Citizen Collection</v>
      </c>
      <c r="E728" s="4" t="str">
        <f ca="1">IFERROR(__xludf.DUMMYFUNCTION("GOOGLETRANSLATE(C728,""ja"",""vi"")"),"Loading...")</f>
        <v>Loading...</v>
      </c>
      <c r="F728" t="str">
        <f t="shared" ca="1" si="11"/>
        <v>"2084314561" : "Citizen Collection",</v>
      </c>
    </row>
    <row r="729" spans="1:6" ht="15.75" customHeight="1">
      <c r="A729" s="18">
        <v>2084209456</v>
      </c>
      <c r="B729" s="18" t="s">
        <v>22389</v>
      </c>
      <c r="C729" s="18" t="s">
        <v>22391</v>
      </c>
      <c r="D729" s="4" t="str">
        <f ca="1">IFERROR(__xludf.DUMMYFUNCTION("GOOGLETRANSLATE(B729,""ja"",""vi"")"),"Promaster")</f>
        <v>Promaster</v>
      </c>
      <c r="E729" s="4" t="str">
        <f ca="1">IFERROR(__xludf.DUMMYFUNCTION("GOOGLETRANSLATE(C729,""ja"",""vi"")"),"Đấu giá&gt; phụ kiện, đồng hồ&gt; thương hiệu đồng hồ đeo tay&gt; chữ s&gt; Citizen&gt; Promaster")</f>
        <v>Đấu giá&gt; phụ kiện, đồng hồ&gt; thương hiệu đồng hồ đeo tay&gt; chữ s&gt; Citizen&gt; Promaster</v>
      </c>
      <c r="F729" t="str">
        <f t="shared" ca="1" si="11"/>
        <v>"2084209456" : "Promaster",</v>
      </c>
    </row>
    <row r="730" spans="1:6" ht="15.75" customHeight="1">
      <c r="A730" s="18">
        <v>2084314562</v>
      </c>
      <c r="B730" s="18" t="s">
        <v>22394</v>
      </c>
      <c r="C730" s="18" t="s">
        <v>22395</v>
      </c>
      <c r="D730" s="4" t="str">
        <f ca="1">IFERROR(__xludf.DUMMYFUNCTION("GOOGLETRANSLATE(B730,""ja"",""vi"")"),"Regno")</f>
        <v>Regno</v>
      </c>
      <c r="E730" s="4" t="str">
        <f ca="1">IFERROR(__xludf.DUMMYFUNCTION("GOOGLETRANSLATE(C730,""ja"",""vi"")"),"Loading...")</f>
        <v>Loading...</v>
      </c>
      <c r="F730" t="str">
        <f t="shared" ca="1" si="11"/>
        <v>"2084314562" : "Regno",</v>
      </c>
    </row>
    <row r="731" spans="1:6" ht="15.75" customHeight="1">
      <c r="A731" s="18">
        <v>2084209459</v>
      </c>
      <c r="B731" s="18" t="s">
        <v>46</v>
      </c>
      <c r="C731" s="18" t="s">
        <v>22398</v>
      </c>
      <c r="D731" s="4" t="str">
        <f ca="1">IFERROR(__xludf.DUMMYFUNCTION("GOOGLETRANSLATE(B731,""ja"",""vi"")"),"nếu không thì")</f>
        <v>nếu không thì</v>
      </c>
      <c r="E731" s="4" t="str">
        <f ca="1">IFERROR(__xludf.DUMMYFUNCTION("GOOGLETRANSLATE(C731,""ja"",""vi"")"),"Đấu giá&gt; phụ kiện, đồng hồ&gt; thương hiệu đồng hồ đeo tay&gt; chữ s&gt; Citizen&gt; Khác")</f>
        <v>Đấu giá&gt; phụ kiện, đồng hồ&gt; thương hiệu đồng hồ đeo tay&gt; chữ s&gt; Citizen&gt; Khác</v>
      </c>
      <c r="F731" t="str">
        <f t="shared" ca="1" si="11"/>
        <v>"2084209459" : "nếu không thì",</v>
      </c>
    </row>
    <row r="732" spans="1:6" ht="15.75" customHeight="1">
      <c r="A732" s="18">
        <v>2084217133</v>
      </c>
      <c r="B732" s="18" t="s">
        <v>22402</v>
      </c>
      <c r="C732" s="18" t="s">
        <v>22403</v>
      </c>
      <c r="D732" s="4" t="str">
        <f ca="1">IFERROR(__xludf.DUMMYFUNCTION("GOOGLETRANSLATE(B732,""ja"",""vi"")"),"Alba")</f>
        <v>Alba</v>
      </c>
      <c r="E732" s="4" t="str">
        <f ca="1">IFERROR(__xludf.DUMMYFUNCTION("GOOGLETRANSLATE(C732,""ja"",""vi"")"),"Loading...")</f>
        <v>Loading...</v>
      </c>
      <c r="F732" t="str">
        <f t="shared" ca="1" si="11"/>
        <v>"2084217133" : "Alba",</v>
      </c>
    </row>
    <row r="733" spans="1:6" ht="15.75" customHeight="1">
      <c r="A733" s="18">
        <v>2084211410</v>
      </c>
      <c r="B733" s="18" t="s">
        <v>14078</v>
      </c>
      <c r="C733" s="18" t="s">
        <v>22406</v>
      </c>
      <c r="D733" s="4" t="str">
        <f ca="1">IFERROR(__xludf.DUMMYFUNCTION("GOOGLETRANSLATE(B733,""ja"",""vi"")"),"bộ phận đánh lửa")</f>
        <v>bộ phận đánh lửa</v>
      </c>
      <c r="E733" s="4" t="str">
        <f ca="1">IFERROR(__xludf.DUMMYFUNCTION("GOOGLETRANSLATE(C733,""ja"",""vi"")"),"Loading...")</f>
        <v>Loading...</v>
      </c>
      <c r="F733" t="str">
        <f t="shared" ca="1" si="11"/>
        <v>"2084211410" : "bộ phận đánh lửa",</v>
      </c>
    </row>
    <row r="734" spans="1:6" ht="15.75" customHeight="1">
      <c r="A734" s="18">
        <v>2084053756</v>
      </c>
      <c r="B734" s="18" t="s">
        <v>22410</v>
      </c>
      <c r="C734" s="18" t="s">
        <v>22411</v>
      </c>
      <c r="D734" s="4" t="str">
        <f ca="1">IFERROR(__xludf.DUMMYFUNCTION("GOOGLETRANSLATE(B734,""ja"",""vi"")"),"Aix Celine")</f>
        <v>Aix Celine</v>
      </c>
      <c r="E734" s="4" t="str">
        <f ca="1">IFERROR(__xludf.DUMMYFUNCTION("GOOGLETRANSLATE(C734,""ja"",""vi"")"),"Loading...")</f>
        <v>Loading...</v>
      </c>
      <c r="F734" t="str">
        <f t="shared" ca="1" si="11"/>
        <v>"2084053756" : "Aix Celine",</v>
      </c>
    </row>
    <row r="735" spans="1:6" ht="15.75" customHeight="1">
      <c r="A735" s="18">
        <v>2084054005</v>
      </c>
      <c r="B735" s="18" t="s">
        <v>22415</v>
      </c>
      <c r="C735" s="18" t="s">
        <v>22416</v>
      </c>
      <c r="D735" s="4" t="str">
        <f ca="1">IFERROR(__xludf.DUMMYFUNCTION("GOOGLETRANSLATE(B735,""ja"",""vi"")"),"căn nguyên")</f>
        <v>căn nguyên</v>
      </c>
      <c r="E735" s="4" t="str">
        <f ca="1">IFERROR(__xludf.DUMMYFUNCTION("GOOGLETRANSLATE(C735,""ja"",""vi"")"),"Đấu giá&gt; phụ kiện, đồng hồ&gt; thương hiệu đồng hồ đeo tay&gt; chữ s&gt; Seiko&gt; nôi")</f>
        <v>Đấu giá&gt; phụ kiện, đồng hồ&gt; thương hiệu đồng hồ đeo tay&gt; chữ s&gt; Seiko&gt; nôi</v>
      </c>
      <c r="F735" t="str">
        <f t="shared" ca="1" si="11"/>
        <v>"2084054005" : "căn nguyên",</v>
      </c>
    </row>
    <row r="736" spans="1:6" ht="15.75" customHeight="1">
      <c r="A736" s="18">
        <v>2084053754</v>
      </c>
      <c r="B736" s="18" t="s">
        <v>22419</v>
      </c>
      <c r="C736" s="18" t="s">
        <v>22420</v>
      </c>
      <c r="D736" s="4" t="str">
        <f ca="1">IFERROR(__xludf.DUMMYFUNCTION("GOOGLETRANSLATE(B736,""ja"",""vi"")"),"Đại Seiko")</f>
        <v>Đại Seiko</v>
      </c>
      <c r="E736" s="4" t="str">
        <f ca="1">IFERROR(__xludf.DUMMYFUNCTION("GOOGLETRANSLATE(C736,""ja"",""vi"")"),"Loading...")</f>
        <v>Loading...</v>
      </c>
      <c r="F736" t="str">
        <f t="shared" ca="1" si="11"/>
        <v>"2084053754" : "Đại Seiko",</v>
      </c>
    </row>
    <row r="737" spans="1:6" ht="15.75" customHeight="1">
      <c r="A737" s="18">
        <v>2084211407</v>
      </c>
      <c r="B737" s="18" t="s">
        <v>22424</v>
      </c>
      <c r="C737" s="18" t="s">
        <v>22425</v>
      </c>
      <c r="D737" s="4" t="str">
        <f ca="1">IFERROR(__xludf.DUMMYFUNCTION("GOOGLETRANSLATE(B737,""ja"",""vi"")"),"thần linh")</f>
        <v>thần linh</v>
      </c>
      <c r="E737" s="4" t="str">
        <f ca="1">IFERROR(__xludf.DUMMYFUNCTION("GOOGLETRANSLATE(C737,""ja"",""vi"")"),"Loading...")</f>
        <v>Loading...</v>
      </c>
      <c r="F737" t="str">
        <f t="shared" ca="1" si="11"/>
        <v>"2084211407" : "thần linh",</v>
      </c>
    </row>
    <row r="738" spans="1:6" ht="15.75" customHeight="1">
      <c r="A738" s="18">
        <v>2084053755</v>
      </c>
      <c r="B738" s="18" t="s">
        <v>22427</v>
      </c>
      <c r="C738" s="18" t="s">
        <v>22428</v>
      </c>
      <c r="D738" s="4" t="str">
        <f ca="1">IFERROR(__xludf.DUMMYFUNCTION("GOOGLETRANSLATE(B738,""ja"",""vi"")"),"Dolce")</f>
        <v>Dolce</v>
      </c>
      <c r="E738" s="4" t="str">
        <f ca="1">IFERROR(__xludf.DUMMYFUNCTION("GOOGLETRANSLATE(C738,""ja"",""vi"")"),"Đấu giá&gt; phụ kiện, đồng hồ&gt; thương hiệu đồng hồ đeo tay&gt; chữ s&gt; Seiko&gt; Dolce")</f>
        <v>Đấu giá&gt; phụ kiện, đồng hồ&gt; thương hiệu đồng hồ đeo tay&gt; chữ s&gt; Seiko&gt; Dolce</v>
      </c>
      <c r="F738" t="str">
        <f t="shared" ca="1" si="11"/>
        <v>"2084053755" : "Dolce",</v>
      </c>
    </row>
    <row r="739" spans="1:6" ht="15.75" customHeight="1">
      <c r="A739" s="18">
        <v>2084053758</v>
      </c>
      <c r="B739" s="18" t="s">
        <v>22430</v>
      </c>
      <c r="C739" s="18" t="s">
        <v>22431</v>
      </c>
      <c r="D739" s="4" t="str">
        <f ca="1">IFERROR(__xludf.DUMMYFUNCTION("GOOGLETRANSLATE(B739,""ja"",""vi"")"),"brights")</f>
        <v>brights</v>
      </c>
      <c r="E739" s="4" t="str">
        <f ca="1">IFERROR(__xludf.DUMMYFUNCTION("GOOGLETRANSLATE(C739,""ja"",""vi"")"),"Đấu giá&gt; phụ kiện, đồng hồ&gt; thương hiệu đồng hồ đeo tay&gt; chữ s&gt; Seiko&gt; brights")</f>
        <v>Đấu giá&gt; phụ kiện, đồng hồ&gt; thương hiệu đồng hồ đeo tay&gt; chữ s&gt; Seiko&gt; brights</v>
      </c>
      <c r="F739" t="str">
        <f t="shared" ca="1" si="11"/>
        <v>"2084053758" : "brights",</v>
      </c>
    </row>
    <row r="740" spans="1:6" ht="15.75" customHeight="1">
      <c r="A740" s="18">
        <v>2084211409</v>
      </c>
      <c r="B740" s="18" t="s">
        <v>22433</v>
      </c>
      <c r="C740" s="18" t="s">
        <v>22434</v>
      </c>
      <c r="D740" s="4" t="str">
        <f ca="1">IFERROR(__xludf.DUMMYFUNCTION("GOOGLETRANSLATE(B740,""ja"",""vi"")"),"PROSPEX")</f>
        <v>PROSPEX</v>
      </c>
      <c r="E740" s="4" t="str">
        <f ca="1">IFERROR(__xludf.DUMMYFUNCTION("GOOGLETRANSLATE(C740,""ja"",""vi"")"),"Đấu giá&gt; phụ kiện, đồng hồ&gt; thương hiệu đồng hồ đeo tay&gt; chữ s&gt; Seiko&gt; PROSPEX")</f>
        <v>Đấu giá&gt; phụ kiện, đồng hồ&gt; thương hiệu đồng hồ đeo tay&gt; chữ s&gt; Seiko&gt; PROSPEX</v>
      </c>
      <c r="F740" t="str">
        <f t="shared" ca="1" si="11"/>
        <v>"2084211409" : "PROSPEX",</v>
      </c>
    </row>
    <row r="741" spans="1:6" ht="15.75" customHeight="1">
      <c r="A741" s="18">
        <v>2084053757</v>
      </c>
      <c r="B741" s="18" t="s">
        <v>22435</v>
      </c>
      <c r="C741" s="18" t="s">
        <v>22436</v>
      </c>
      <c r="D741" s="4" t="str">
        <f ca="1">IFERROR(__xludf.DUMMYFUNCTION("GOOGLETRANSLATE(B741,""ja"",""vi"")"),"Rukia")</f>
        <v>Rukia</v>
      </c>
      <c r="E741" s="4" t="str">
        <f ca="1">IFERROR(__xludf.DUMMYFUNCTION("GOOGLETRANSLATE(C741,""ja"",""vi"")"),"Loading...")</f>
        <v>Loading...</v>
      </c>
      <c r="F741" t="str">
        <f t="shared" ca="1" si="11"/>
        <v>"2084053757" : "Rukia",</v>
      </c>
    </row>
    <row r="742" spans="1:6" ht="15.75" customHeight="1">
      <c r="A742" s="18">
        <v>2084211408</v>
      </c>
      <c r="B742" s="18" t="s">
        <v>22439</v>
      </c>
      <c r="C742" s="18" t="s">
        <v>22440</v>
      </c>
      <c r="D742" s="4" t="str">
        <f ca="1">IFERROR(__xludf.DUMMYFUNCTION("GOOGLETRANSLATE(B742,""ja"",""vi"")"),"Wired")</f>
        <v>Wired</v>
      </c>
      <c r="E742" s="4" t="str">
        <f ca="1">IFERROR(__xludf.DUMMYFUNCTION("GOOGLETRANSLATE(C742,""ja"",""vi"")"),"Loading...")</f>
        <v>Loading...</v>
      </c>
      <c r="F742" t="str">
        <f t="shared" ca="1" si="11"/>
        <v>"2084211408" : "Wired",</v>
      </c>
    </row>
    <row r="743" spans="1:6" ht="15.75" customHeight="1">
      <c r="A743" s="18">
        <v>2084214380</v>
      </c>
      <c r="B743" s="18" t="s">
        <v>22441</v>
      </c>
      <c r="C743" s="18" t="s">
        <v>22443</v>
      </c>
      <c r="D743" s="4" t="str">
        <f ca="1">IFERROR(__xludf.DUMMYFUNCTION("GOOGLETRANSLATE(B743,""ja"",""vi"")"),"mô hình nước ngoài")</f>
        <v>mô hình nước ngoài</v>
      </c>
      <c r="E743" s="4" t="str">
        <f ca="1">IFERROR(__xludf.DUMMYFUNCTION("GOOGLETRANSLATE(C743,""ja"",""vi"")"),"Đấu giá&gt; phụ kiện, đồng hồ&gt; thương hiệu đồng hồ đeo tay&gt; chữ s&gt; Seiko&gt; mô hình nước ngoài")</f>
        <v>Đấu giá&gt; phụ kiện, đồng hồ&gt; thương hiệu đồng hồ đeo tay&gt; chữ s&gt; Seiko&gt; mô hình nước ngoài</v>
      </c>
      <c r="F743" t="str">
        <f t="shared" ca="1" si="11"/>
        <v>"2084214380" : "mô hình nước ngoài",</v>
      </c>
    </row>
    <row r="744" spans="1:6" ht="15.75" customHeight="1">
      <c r="A744" s="18">
        <v>2084310831</v>
      </c>
      <c r="B744" s="18" t="s">
        <v>1612</v>
      </c>
      <c r="C744" s="18" t="s">
        <v>22444</v>
      </c>
      <c r="D744" s="4" t="str">
        <f ca="1">IFERROR(__xludf.DUMMYFUNCTION("GOOGLETRANSLATE(B744,""ja"",""vi"")"),"bộ phận")</f>
        <v>bộ phận</v>
      </c>
      <c r="E744" s="4" t="str">
        <f ca="1">IFERROR(__xludf.DUMMYFUNCTION("GOOGLETRANSLATE(C744,""ja"",""vi"")"),"Đấu giá&gt; phụ kiện, đồng hồ&gt; thương hiệu đồng hồ đeo tay&gt; chữ s&gt; Seiko&gt; Linh kiện")</f>
        <v>Đấu giá&gt; phụ kiện, đồng hồ&gt; thương hiệu đồng hồ đeo tay&gt; chữ s&gt; Seiko&gt; Linh kiện</v>
      </c>
      <c r="F744" t="str">
        <f t="shared" ca="1" si="11"/>
        <v>"2084310831" : "bộ phận",</v>
      </c>
    </row>
    <row r="745" spans="1:6" ht="15.75" customHeight="1">
      <c r="A745" s="18">
        <v>2084310830</v>
      </c>
      <c r="B745" s="18" t="s">
        <v>22347</v>
      </c>
      <c r="C745" s="18" t="s">
        <v>22445</v>
      </c>
      <c r="D745" s="4" t="str">
        <f ca="1">IFERROR(__xludf.DUMMYFUNCTION("GOOGLETRANSLATE(B745,""ja"",""vi"")"),"Belt, vòng đeo tay")</f>
        <v>Belt, vòng đeo tay</v>
      </c>
      <c r="E745" s="4" t="str">
        <f ca="1">IFERROR(__xludf.DUMMYFUNCTION("GOOGLETRANSLATE(C745,""ja"",""vi"")"),"Loading...")</f>
        <v>Loading...</v>
      </c>
      <c r="F745" t="str">
        <f t="shared" ca="1" si="11"/>
        <v>"2084310830" : "Belt, vòng đeo tay",</v>
      </c>
    </row>
    <row r="746" spans="1:6" ht="15.75" customHeight="1">
      <c r="A746" s="18">
        <v>2084310832</v>
      </c>
      <c r="B746" s="18" t="s">
        <v>22446</v>
      </c>
      <c r="C746" s="18" t="s">
        <v>22447</v>
      </c>
      <c r="D746" s="4" t="str">
        <f ca="1">IFERROR(__xludf.DUMMYFUNCTION("GOOGLETRANSLATE(B746,""ja"",""vi"")"),"Hộp, thẻ bảo hành, phụ kiện")</f>
        <v>Hộp, thẻ bảo hành, phụ kiện</v>
      </c>
      <c r="E746" s="4" t="str">
        <f ca="1">IFERROR(__xludf.DUMMYFUNCTION("GOOGLETRANSLATE(C746,""ja"",""vi"")"),"Loading...")</f>
        <v>Loading...</v>
      </c>
      <c r="F746" t="str">
        <f t="shared" ca="1" si="11"/>
        <v>"2084310832" : "Hộp, thẻ bảo hành, phụ kiện",</v>
      </c>
    </row>
    <row r="747" spans="1:6" ht="15.75" customHeight="1">
      <c r="A747" s="18">
        <v>2084053759</v>
      </c>
      <c r="B747" s="18" t="s">
        <v>46</v>
      </c>
      <c r="C747" s="18" t="s">
        <v>22448</v>
      </c>
      <c r="D747" s="4" t="str">
        <f ca="1">IFERROR(__xludf.DUMMYFUNCTION("GOOGLETRANSLATE(B747,""ja"",""vi"")"),"nếu không thì")</f>
        <v>nếu không thì</v>
      </c>
      <c r="E747" s="4" t="str">
        <f ca="1">IFERROR(__xludf.DUMMYFUNCTION("GOOGLETRANSLATE(C747,""ja"",""vi"")"),"Đấu giá&gt; phụ kiện, đồng hồ&gt; thương hiệu đồng hồ đeo tay&gt; chữ s&gt; Seiko&gt; Khác")</f>
        <v>Đấu giá&gt; phụ kiện, đồng hồ&gt; thương hiệu đồng hồ đeo tay&gt; chữ s&gt; Seiko&gt; Khác</v>
      </c>
      <c r="F747" t="str">
        <f t="shared" ca="1" si="11"/>
        <v>"2084053759" : "nếu không thì",</v>
      </c>
    </row>
    <row r="748" spans="1:6" ht="15.75" customHeight="1">
      <c r="A748" s="18">
        <v>2084221502</v>
      </c>
      <c r="B748" s="18" t="s">
        <v>22449</v>
      </c>
      <c r="C748" s="18" t="s">
        <v>22450</v>
      </c>
      <c r="D748" s="4" t="str">
        <f ca="1">IFERROR(__xludf.DUMMYFUNCTION("GOOGLETRANSLATE(B748,""ja"",""vi"")"),"Hải quân loạt đồng hồ con dấu lặn")</f>
        <v>Hải quân loạt đồng hồ con dấu lặn</v>
      </c>
      <c r="E748" s="4" t="str">
        <f ca="1">IFERROR(__xludf.DUMMYFUNCTION("GOOGLETRANSLATE(C748,""ja"",""vi"")"),"Loading...")</f>
        <v>Loading...</v>
      </c>
      <c r="F748" t="str">
        <f t="shared" ca="1" si="11"/>
        <v>"2084221502" : "Hải quân loạt đồng hồ con dấu lặn",</v>
      </c>
    </row>
    <row r="749" spans="1:6" ht="15.75" customHeight="1">
      <c r="A749" s="18">
        <v>2084221503</v>
      </c>
      <c r="B749" s="18" t="s">
        <v>22451</v>
      </c>
      <c r="C749" s="18" t="s">
        <v>22452</v>
      </c>
      <c r="D749" s="4" t="str">
        <f ca="1">IFERROR(__xludf.DUMMYFUNCTION("GOOGLETRANSLATE(B749,""ja"",""vi"")"),"Lockheed Martin Collection")</f>
        <v>Lockheed Martin Collection</v>
      </c>
      <c r="E749" s="4" t="str">
        <f ca="1">IFERROR(__xludf.DUMMYFUNCTION("GOOGLETRANSLATE(C749,""ja"",""vi"")"),"Loading...")</f>
        <v>Loading...</v>
      </c>
      <c r="F749" t="str">
        <f t="shared" ca="1" si="11"/>
        <v>"2084221503" : "Lockheed Martin Collection",</v>
      </c>
    </row>
    <row r="750" spans="1:6" ht="15.75" customHeight="1">
      <c r="A750" s="18">
        <v>2084221504</v>
      </c>
      <c r="B750" s="18" t="s">
        <v>46</v>
      </c>
      <c r="C750" s="18" t="s">
        <v>22453</v>
      </c>
      <c r="D750" s="4" t="str">
        <f ca="1">IFERROR(__xludf.DUMMYFUNCTION("GOOGLETRANSLATE(B750,""ja"",""vi"")"),"nếu không thì")</f>
        <v>nếu không thì</v>
      </c>
      <c r="E750" s="4" t="str">
        <f ca="1">IFERROR(__xludf.DUMMYFUNCTION("GOOGLETRANSLATE(C750,""ja"",""vi"")"),"Đấu giá&gt; phụ kiện, đồng hồ&gt; thương hiệu đồng hồ đeo tay&gt; Racovian&gt; Luminox&gt; Khác")</f>
        <v>Đấu giá&gt; phụ kiện, đồng hồ&gt; thương hiệu đồng hồ đeo tay&gt; Racovian&gt; Luminox&gt; Khác</v>
      </c>
      <c r="F750" t="str">
        <f t="shared" ca="1" si="11"/>
        <v>"2084221504" : "nếu không thì",</v>
      </c>
    </row>
    <row r="751" spans="1:6" ht="15.75" customHeight="1">
      <c r="A751" s="18">
        <v>2084053699</v>
      </c>
      <c r="B751" s="18" t="s">
        <v>22254</v>
      </c>
      <c r="C751" s="18" t="s">
        <v>22454</v>
      </c>
      <c r="D751" s="4" t="str">
        <f ca="1">IFERROR(__xludf.DUMMYFUNCTION("GOOGLETRANSLATE(B751,""ja"",""vi"")"),"2 kim (giờ, phút)")</f>
        <v>2 kim (giờ, phút)</v>
      </c>
      <c r="E751" s="4" t="str">
        <f ca="1">IFERROR(__xludf.DUMMYFUNCTION("GOOGLETRANSLATE(C751,""ja"",""vi"")"),"Đấu giá&gt; Accessories, Đồng hồ&gt; Đồng hồ nữ&gt; Analog (Quartz)&gt; 2 kim (giờ, phút)")</f>
        <v>Đấu giá&gt; Accessories, Đồng hồ&gt; Đồng hồ nữ&gt; Analog (Quartz)&gt; 2 kim (giờ, phút)</v>
      </c>
      <c r="F751" t="str">
        <f t="shared" ca="1" si="11"/>
        <v>"2084053699" : "2 kim (giờ, phút)",</v>
      </c>
    </row>
    <row r="752" spans="1:6" ht="15.75" customHeight="1">
      <c r="A752" s="18">
        <v>2084053700</v>
      </c>
      <c r="B752" s="18" t="s">
        <v>22256</v>
      </c>
      <c r="C752" s="18" t="s">
        <v>22455</v>
      </c>
      <c r="D752" s="4" t="str">
        <f ca="1">IFERROR(__xludf.DUMMYFUNCTION("GOOGLETRANSLATE(B752,""ja"",""vi"")"),"2 kim + Lịch")</f>
        <v>2 kim + Lịch</v>
      </c>
      <c r="E752" s="4" t="str">
        <f ca="1">IFERROR(__xludf.DUMMYFUNCTION("GOOGLETRANSLATE(C752,""ja"",""vi"")"),"Loading...")</f>
        <v>Loading...</v>
      </c>
      <c r="F752" t="str">
        <f t="shared" ca="1" si="11"/>
        <v>"2084053700" : "2 kim + Lịch",</v>
      </c>
    </row>
    <row r="753" spans="1:6" ht="15.75" customHeight="1">
      <c r="A753" s="18">
        <v>2084053697</v>
      </c>
      <c r="B753" s="18" t="s">
        <v>22258</v>
      </c>
      <c r="C753" s="18" t="s">
        <v>22456</v>
      </c>
      <c r="D753" s="4" t="str">
        <f ca="1">IFERROR(__xludf.DUMMYFUNCTION("GOOGLETRANSLATE(B753,""ja"",""vi"")"),"3 tay (giờ, phút, giây)")</f>
        <v>3 tay (giờ, phút, giây)</v>
      </c>
      <c r="E753" s="4" t="str">
        <f ca="1">IFERROR(__xludf.DUMMYFUNCTION("GOOGLETRANSLATE(C753,""ja"",""vi"")"),"Loading...")</f>
        <v>Loading...</v>
      </c>
      <c r="F753" t="str">
        <f t="shared" ca="1" si="11"/>
        <v>"2084053697" : "3 tay (giờ, phút, giây)",</v>
      </c>
    </row>
    <row r="754" spans="1:6" ht="15.75" customHeight="1">
      <c r="A754" s="18">
        <v>2084053698</v>
      </c>
      <c r="B754" s="18" t="s">
        <v>22260</v>
      </c>
      <c r="C754" s="18" t="s">
        <v>22457</v>
      </c>
      <c r="D754" s="4" t="str">
        <f ca="1">IFERROR(__xludf.DUMMYFUNCTION("GOOGLETRANSLATE(B754,""ja"",""vi"")"),"3 tay + lịch")</f>
        <v>3 tay + lịch</v>
      </c>
      <c r="E754" s="4" t="str">
        <f ca="1">IFERROR(__xludf.DUMMYFUNCTION("GOOGLETRANSLATE(C754,""ja"",""vi"")"),"Đấu giá&gt; Accessories, Đồng hồ&gt; Đồng hồ nữ&gt; analog (loại thạch anh)&gt; 3 tay + lịch")</f>
        <v>Đấu giá&gt; Accessories, Đồng hồ&gt; Đồng hồ nữ&gt; analog (loại thạch anh)&gt; 3 tay + lịch</v>
      </c>
      <c r="F754" t="str">
        <f t="shared" ca="1" si="11"/>
        <v>"2084053698" : "3 tay + lịch",</v>
      </c>
    </row>
    <row r="755" spans="1:6" ht="15.75" customHeight="1">
      <c r="A755" s="18">
        <v>2084053701</v>
      </c>
      <c r="B755" s="18" t="s">
        <v>22262</v>
      </c>
      <c r="C755" s="18" t="s">
        <v>22458</v>
      </c>
      <c r="D755" s="4" t="str">
        <f ca="1">IFERROR(__xludf.DUMMYFUNCTION("GOOGLETRANSLATE(B755,""ja"",""vi"")"),"thi kế")</f>
        <v>thi kế</v>
      </c>
      <c r="E755" s="4" t="str">
        <f ca="1">IFERROR(__xludf.DUMMYFUNCTION("GOOGLETRANSLATE(C755,""ja"",""vi"")"),"Loading...")</f>
        <v>Loading...</v>
      </c>
      <c r="F755" t="str">
        <f t="shared" ca="1" si="11"/>
        <v>"2084053701" : "thi kế",</v>
      </c>
    </row>
    <row r="756" spans="1:6" ht="15.75" customHeight="1">
      <c r="A756" s="18">
        <v>2084053702</v>
      </c>
      <c r="B756" s="18" t="s">
        <v>22264</v>
      </c>
      <c r="C756" s="18" t="s">
        <v>22459</v>
      </c>
      <c r="D756" s="4" t="str">
        <f ca="1">IFERROR(__xludf.DUMMYFUNCTION("GOOGLETRANSLATE(B756,""ja"",""vi"")"),"Chronograph + lịch")</f>
        <v>Chronograph + lịch</v>
      </c>
      <c r="E756" s="4" t="str">
        <f ca="1">IFERROR(__xludf.DUMMYFUNCTION("GOOGLETRANSLATE(C756,""ja"",""vi"")"),"Đấu giá&gt; Accessories, Đồng hồ&gt; Đồng hồ nữ&gt; analog (loại thạch anh)&gt; chronograph + lịch")</f>
        <v>Đấu giá&gt; Accessories, Đồng hồ&gt; Đồng hồ nữ&gt; analog (loại thạch anh)&gt; chronograph + lịch</v>
      </c>
      <c r="F756" t="str">
        <f t="shared" ca="1" si="11"/>
        <v>"2084053702" : "Chronograph + lịch",</v>
      </c>
    </row>
    <row r="757" spans="1:6" ht="15.75" customHeight="1">
      <c r="A757" s="18">
        <v>2084053703</v>
      </c>
      <c r="B757" s="18" t="s">
        <v>46</v>
      </c>
      <c r="C757" s="18" t="s">
        <v>22460</v>
      </c>
      <c r="D757" s="4" t="str">
        <f ca="1">IFERROR(__xludf.DUMMYFUNCTION("GOOGLETRANSLATE(B757,""ja"",""vi"")"),"nếu không thì")</f>
        <v>nếu không thì</v>
      </c>
      <c r="E757" s="4" t="str">
        <f ca="1">IFERROR(__xludf.DUMMYFUNCTION("GOOGLETRANSLATE(C757,""ja"",""vi"")"),"Loading...")</f>
        <v>Loading...</v>
      </c>
      <c r="F757" t="str">
        <f t="shared" ca="1" si="11"/>
        <v>"2084053703" : "nếu không thì",</v>
      </c>
    </row>
    <row r="758" spans="1:6" ht="15.75" customHeight="1">
      <c r="A758" s="18">
        <v>2084223404</v>
      </c>
      <c r="B758" s="18" t="s">
        <v>22274</v>
      </c>
      <c r="C758" s="18" t="s">
        <v>22461</v>
      </c>
      <c r="D758" s="4" t="str">
        <f ca="1">IFERROR(__xludf.DUMMYFUNCTION("GOOGLETRANSLATE(B758,""ja"",""vi"")"),"đồng hồ đài phát thanh")</f>
        <v>đồng hồ đài phát thanh</v>
      </c>
      <c r="E758" s="4" t="str">
        <f ca="1">IFERROR(__xludf.DUMMYFUNCTION("GOOGLETRANSLATE(C758,""ja"",""vi"")"),"Loading...")</f>
        <v>Loading...</v>
      </c>
      <c r="F758" t="str">
        <f t="shared" ca="1" si="11"/>
        <v>"2084223404" : "đồng hồ đài phát thanh",</v>
      </c>
    </row>
    <row r="759" spans="1:6" ht="15.75" customHeight="1">
      <c r="A759" s="18">
        <v>2084223405</v>
      </c>
      <c r="B759" s="18" t="s">
        <v>46</v>
      </c>
      <c r="C759" s="18" t="s">
        <v>22462</v>
      </c>
      <c r="D759" s="4" t="str">
        <f ca="1">IFERROR(__xludf.DUMMYFUNCTION("GOOGLETRANSLATE(B759,""ja"",""vi"")"),"nếu không thì")</f>
        <v>nếu không thì</v>
      </c>
      <c r="E759" s="4" t="str">
        <f ca="1">IFERROR(__xludf.DUMMYFUNCTION("GOOGLETRANSLATE(C759,""ja"",""vi"")"),"Đấu giá&gt; Accessories, Đồng hồ&gt; Đồng hồ nữ&gt; kỹ thuật số&gt; Khác")</f>
        <v>Đấu giá&gt; Accessories, Đồng hồ&gt; Đồng hồ nữ&gt; kỹ thuật số&gt; Khác</v>
      </c>
      <c r="F759" t="str">
        <f t="shared" ca="1" si="11"/>
        <v>"2084223405" : "nếu không thì",</v>
      </c>
    </row>
    <row r="760" spans="1:6" ht="15.75" customHeight="1">
      <c r="A760" s="18">
        <v>2084024485</v>
      </c>
      <c r="B760" s="18" t="s">
        <v>22279</v>
      </c>
      <c r="C760" s="18" t="s">
        <v>22280</v>
      </c>
      <c r="D760" s="4" t="str">
        <f ca="1">IFERROR(__xludf.DUMMYFUNCTION("GOOGLETRANSLATE(B760,""ja"",""vi"")"),".BEAT")</f>
        <v>.BEAT</v>
      </c>
      <c r="E760" s="4" t="str">
        <f ca="1">IFERROR(__xludf.DUMMYFUNCTION("GOOGLETRANSLATE(C760,""ja"",""vi"")"),"Đấu giá&gt; phụ kiện, đồng hồ&gt; thương hiệu đồng hồ đeo tay&gt; chữ s&gt; SWATCH&gt; .BEAT")</f>
        <v>Đấu giá&gt; phụ kiện, đồng hồ&gt; thương hiệu đồng hồ đeo tay&gt; chữ s&gt; SWATCH&gt; .BEAT</v>
      </c>
      <c r="F760" t="str">
        <f t="shared" ca="1" si="11"/>
        <v>"2084024485" : ".BEAT",</v>
      </c>
    </row>
    <row r="761" spans="1:6" ht="15.75" customHeight="1">
      <c r="A761" s="18">
        <v>2084024483</v>
      </c>
      <c r="B761" s="18" t="s">
        <v>22281</v>
      </c>
      <c r="C761" s="18" t="s">
        <v>22282</v>
      </c>
      <c r="D761" s="4" t="str">
        <f ca="1">IFERROR(__xludf.DUMMYFUNCTION("GOOGLETRANSLATE(B761,""ja"",""vi"")"),"TRUY CẬP")</f>
        <v>TRUY CẬP</v>
      </c>
      <c r="E761" s="4" t="str">
        <f ca="1">IFERROR(__xludf.DUMMYFUNCTION("GOOGLETRANSLATE(C761,""ja"",""vi"")"),"Đấu giá&gt; phụ kiện, đồng hồ&gt; thương hiệu đồng hồ đeo tay&gt; chữ s&gt; SWATCH&gt; TRUY CẬP")</f>
        <v>Đấu giá&gt; phụ kiện, đồng hồ&gt; thương hiệu đồng hồ đeo tay&gt; chữ s&gt; SWATCH&gt; TRUY CẬP</v>
      </c>
      <c r="F761" t="str">
        <f t="shared" ca="1" si="11"/>
        <v>"2084024483" : "TRUY CẬP",</v>
      </c>
    </row>
    <row r="762" spans="1:6" ht="15.75" customHeight="1">
      <c r="A762" s="18">
        <v>2084024477</v>
      </c>
      <c r="B762" s="18" t="s">
        <v>22283</v>
      </c>
      <c r="C762" s="18" t="s">
        <v>22284</v>
      </c>
      <c r="D762" s="4" t="str">
        <f ca="1">IFERROR(__xludf.DUMMYFUNCTION("GOOGLETRANSLATE(B762,""ja"",""vi"")"),"AQUACHRONO")</f>
        <v>AQUACHRONO</v>
      </c>
      <c r="E762" s="4" t="str">
        <f ca="1">IFERROR(__xludf.DUMMYFUNCTION("GOOGLETRANSLATE(C762,""ja"",""vi"")"),"Đấu giá&gt; phụ kiện, đồng hồ&gt; thương hiệu đồng hồ đeo tay&gt; chữ s&gt; SWATCH&gt; AQUACHRONO")</f>
        <v>Đấu giá&gt; phụ kiện, đồng hồ&gt; thương hiệu đồng hồ đeo tay&gt; chữ s&gt; SWATCH&gt; AQUACHRONO</v>
      </c>
      <c r="F762" t="str">
        <f t="shared" ca="1" si="11"/>
        <v>"2084024477" : "AQUACHRONO",</v>
      </c>
    </row>
    <row r="763" spans="1:6" ht="15.75" customHeight="1">
      <c r="A763" s="18">
        <v>2084024480</v>
      </c>
      <c r="B763" s="18" t="s">
        <v>22285</v>
      </c>
      <c r="C763" s="18" t="s">
        <v>22286</v>
      </c>
      <c r="D763" s="4" t="str">
        <f ca="1">IFERROR(__xludf.DUMMYFUNCTION("GOOGLETRANSLATE(B763,""ja"",""vi"")"),"TỰ ĐỘNG")</f>
        <v>TỰ ĐỘNG</v>
      </c>
      <c r="E763" s="4" t="str">
        <f ca="1">IFERROR(__xludf.DUMMYFUNCTION("GOOGLETRANSLATE(C763,""ja"",""vi"")"),"Đấu giá&gt; phụ kiện, đồng hồ&gt; thương hiệu đồng hồ đeo tay&gt; chữ s&gt; SWATCH&gt; TỰ ĐỘNG")</f>
        <v>Đấu giá&gt; phụ kiện, đồng hồ&gt; thương hiệu đồng hồ đeo tay&gt; chữ s&gt; SWATCH&gt; TỰ ĐỘNG</v>
      </c>
      <c r="F763" t="str">
        <f t="shared" ca="1" si="11"/>
        <v>"2084024480" : "TỰ ĐỘNG",</v>
      </c>
    </row>
    <row r="764" spans="1:6" ht="15.75" customHeight="1">
      <c r="A764" s="18">
        <v>2084024476</v>
      </c>
      <c r="B764" s="18" t="s">
        <v>22287</v>
      </c>
      <c r="C764" s="18" t="s">
        <v>22288</v>
      </c>
      <c r="D764" s="4" t="str">
        <f ca="1">IFERROR(__xludf.DUMMYFUNCTION("GOOGLETRANSLATE(B764,""ja"",""vi"")"),"CHRONO")</f>
        <v>CHRONO</v>
      </c>
      <c r="E764" s="4" t="str">
        <f ca="1">IFERROR(__xludf.DUMMYFUNCTION("GOOGLETRANSLATE(C764,""ja"",""vi"")"),"Loading...")</f>
        <v>Loading...</v>
      </c>
      <c r="F764" t="str">
        <f t="shared" ca="1" si="11"/>
        <v>"2084024476" : "CHRONO",</v>
      </c>
    </row>
    <row r="765" spans="1:6" ht="15.75" customHeight="1">
      <c r="A765" s="18">
        <v>2084024486</v>
      </c>
      <c r="B765" s="18" t="s">
        <v>22289</v>
      </c>
      <c r="C765" s="18" t="s">
        <v>22290</v>
      </c>
      <c r="D765" s="4" t="str">
        <f ca="1">IFERROR(__xludf.DUMMYFUNCTION("GOOGLETRANSLATE(B765,""ja"",""vi"")"),"trớ trêu")</f>
        <v>trớ trêu</v>
      </c>
      <c r="E765" s="4" t="str">
        <f ca="1">IFERROR(__xludf.DUMMYFUNCTION("GOOGLETRANSLATE(C765,""ja"",""vi"")"),"Đấu giá&gt; phụ kiện, đồng hồ&gt; thương hiệu đồng hồ đeo tay&gt; chữ s&gt; SWATCH&gt; trớ trêu")</f>
        <v>Đấu giá&gt; phụ kiện, đồng hồ&gt; thương hiệu đồng hồ đeo tay&gt; chữ s&gt; SWATCH&gt; trớ trêu</v>
      </c>
      <c r="F765" t="str">
        <f t="shared" ca="1" si="11"/>
        <v>"2084024486" : "trớ trêu",</v>
      </c>
    </row>
    <row r="766" spans="1:6" ht="15.75" customHeight="1">
      <c r="A766" s="18">
        <v>2084024479</v>
      </c>
      <c r="B766" s="18" t="s">
        <v>22291</v>
      </c>
      <c r="C766" s="18" t="s">
        <v>22292</v>
      </c>
      <c r="D766" s="4" t="str">
        <f ca="1">IFERROR(__xludf.DUMMYFUNCTION("GOOGLETRANSLATE(B766,""ja"",""vi"")"),"MUSICALL")</f>
        <v>MUSICALL</v>
      </c>
      <c r="E766" s="4" t="str">
        <f ca="1">IFERROR(__xludf.DUMMYFUNCTION("GOOGLETRANSLATE(C766,""ja"",""vi"")"),"Đấu giá&gt; phụ kiện, đồng hồ&gt; thương hiệu đồng hồ đeo tay&gt; chữ s&gt; SWATCH&gt; MUSICALL")</f>
        <v>Đấu giá&gt; phụ kiện, đồng hồ&gt; thương hiệu đồng hồ đeo tay&gt; chữ s&gt; SWATCH&gt; MUSICALL</v>
      </c>
      <c r="F766" t="str">
        <f t="shared" ca="1" si="11"/>
        <v>"2084024479" : "MUSICALL",</v>
      </c>
    </row>
    <row r="767" spans="1:6" ht="15.75" customHeight="1">
      <c r="A767" s="18">
        <v>2084024481</v>
      </c>
      <c r="B767" s="18" t="s">
        <v>22293</v>
      </c>
      <c r="C767" s="18" t="s">
        <v>22294</v>
      </c>
      <c r="D767" s="4" t="str">
        <f ca="1">IFERROR(__xludf.DUMMYFUNCTION("GOOGLETRANSLATE(B767,""ja"",""vi"")"),"POP SWATCH")</f>
        <v>POP SWATCH</v>
      </c>
      <c r="E767" s="4" t="str">
        <f ca="1">IFERROR(__xludf.DUMMYFUNCTION("GOOGLETRANSLATE(C767,""ja"",""vi"")"),"Loading...")</f>
        <v>Loading...</v>
      </c>
      <c r="F767" t="str">
        <f t="shared" ca="1" si="11"/>
        <v>"2084024481" : "POP SWATCH",</v>
      </c>
    </row>
    <row r="768" spans="1:6" ht="15.75" customHeight="1">
      <c r="A768" s="18">
        <v>2084024475</v>
      </c>
      <c r="B768" s="18" t="s">
        <v>22295</v>
      </c>
      <c r="C768" s="18" t="s">
        <v>22296</v>
      </c>
      <c r="D768" s="4" t="str">
        <f ca="1">IFERROR(__xludf.DUMMYFUNCTION("GOOGLETRANSLATE(B768,""ja"",""vi"")"),"SCUBA200")</f>
        <v>SCUBA200</v>
      </c>
      <c r="E768" s="4" t="str">
        <f ca="1">IFERROR(__xludf.DUMMYFUNCTION("GOOGLETRANSLATE(C768,""ja"",""vi"")"),"Loading...")</f>
        <v>Loading...</v>
      </c>
      <c r="F768" t="str">
        <f t="shared" ca="1" si="11"/>
        <v>"2084024475" : "SCUBA200",</v>
      </c>
    </row>
    <row r="769" spans="1:6" ht="15.75" customHeight="1">
      <c r="A769" s="18">
        <v>2084024484</v>
      </c>
      <c r="B769" s="18" t="s">
        <v>22297</v>
      </c>
      <c r="C769" s="18" t="s">
        <v>22298</v>
      </c>
      <c r="D769" s="4" t="str">
        <f ca="1">IFERROR(__xludf.DUMMYFUNCTION("GOOGLETRANSLATE(B769,""ja"",""vi"")"),"DA")</f>
        <v>DA</v>
      </c>
      <c r="E769" s="4" t="str">
        <f ca="1">IFERROR(__xludf.DUMMYFUNCTION("GOOGLETRANSLATE(C769,""ja"",""vi"")"),"Đấu giá&gt; phụ kiện, đồng hồ&gt; thương hiệu đồng hồ đeo tay&gt; chữ s&gt; SWATCH&gt; DA")</f>
        <v>Đấu giá&gt; phụ kiện, đồng hồ&gt; thương hiệu đồng hồ đeo tay&gt; chữ s&gt; SWATCH&gt; DA</v>
      </c>
      <c r="F769" t="str">
        <f t="shared" ca="1" si="11"/>
        <v>"2084024484" : "DA",</v>
      </c>
    </row>
    <row r="770" spans="1:6" ht="15.75" customHeight="1">
      <c r="A770" s="18">
        <v>2084024478</v>
      </c>
      <c r="B770" s="18" t="s">
        <v>22299</v>
      </c>
      <c r="C770" s="18" t="s">
        <v>22300</v>
      </c>
      <c r="D770" s="4" t="str">
        <f ca="1">IFERROR(__xludf.DUMMYFUNCTION("GOOGLETRANSLATE(B770,""ja"",""vi"")"),"SOLAR")</f>
        <v>SOLAR</v>
      </c>
      <c r="E770" s="4" t="str">
        <f ca="1">IFERROR(__xludf.DUMMYFUNCTION("GOOGLETRANSLATE(C770,""ja"",""vi"")"),"Đấu giá&gt; phụ kiện, đồng hồ&gt; thương hiệu đồng hồ đeo tay&gt; chữ s&gt; SWATCH&gt; SOLAR")</f>
        <v>Đấu giá&gt; phụ kiện, đồng hồ&gt; thương hiệu đồng hồ đeo tay&gt; chữ s&gt; SWATCH&gt; SOLAR</v>
      </c>
      <c r="F770" t="str">
        <f t="shared" ca="1" si="11"/>
        <v>"2084024478" : "SOLAR",</v>
      </c>
    </row>
    <row r="771" spans="1:6" ht="15.75" customHeight="1">
      <c r="A771" s="18">
        <v>2084024474</v>
      </c>
      <c r="B771" s="18" t="s">
        <v>22304</v>
      </c>
      <c r="C771" s="18" t="s">
        <v>22305</v>
      </c>
      <c r="D771" s="4" t="str">
        <f ca="1">IFERROR(__xludf.DUMMYFUNCTION("GOOGLETRANSLATE(B771,""ja"",""vi"")"),"TIÊU CHUẨN")</f>
        <v>TIÊU CHUẨN</v>
      </c>
      <c r="E771" s="4" t="str">
        <f ca="1">IFERROR(__xludf.DUMMYFUNCTION("GOOGLETRANSLATE(C771,""ja"",""vi"")"),"Loading...")</f>
        <v>Loading...</v>
      </c>
      <c r="F771" t="str">
        <f t="shared" ref="F771:F834" ca="1" si="12">CONCATENATE(CHAR(34)&amp;"",A771,""&amp;CHAR(34)," : ", CHAR(34)&amp;"",D771,""&amp;CHAR(34),",")</f>
        <v>"2084024474" : "TIÊU CHUẨN",</v>
      </c>
    </row>
    <row r="772" spans="1:6" ht="15.75" customHeight="1">
      <c r="A772" s="18">
        <v>2084024482</v>
      </c>
      <c r="B772" s="18" t="s">
        <v>22308</v>
      </c>
      <c r="C772" s="18" t="s">
        <v>22310</v>
      </c>
      <c r="D772" s="4" t="str">
        <f ca="1">IFERROR(__xludf.DUMMYFUNCTION("GOOGLETRANSLATE(B772,""ja"",""vi"")"),"DỪNG XEM")</f>
        <v>DỪNG XEM</v>
      </c>
      <c r="E772" s="4" t="str">
        <f ca="1">IFERROR(__xludf.DUMMYFUNCTION("GOOGLETRANSLATE(C772,""ja"",""vi"")"),"Loading...")</f>
        <v>Loading...</v>
      </c>
      <c r="F772" t="str">
        <f t="shared" ca="1" si="12"/>
        <v>"2084024482" : "DỪNG XEM",</v>
      </c>
    </row>
    <row r="773" spans="1:6" ht="15.75" customHeight="1">
      <c r="A773" s="18">
        <v>2084024488</v>
      </c>
      <c r="B773" s="18" t="s">
        <v>46</v>
      </c>
      <c r="C773" s="18" t="s">
        <v>22314</v>
      </c>
      <c r="D773" s="4" t="str">
        <f ca="1">IFERROR(__xludf.DUMMYFUNCTION("GOOGLETRANSLATE(B773,""ja"",""vi"")"),"nếu không thì")</f>
        <v>nếu không thì</v>
      </c>
      <c r="E773" s="4" t="str">
        <f ca="1">IFERROR(__xludf.DUMMYFUNCTION("GOOGLETRANSLATE(C773,""ja"",""vi"")"),"Loading...")</f>
        <v>Loading...</v>
      </c>
      <c r="F773" t="str">
        <f t="shared" ca="1" si="12"/>
        <v>"2084024488" : "nếu không thì",</v>
      </c>
    </row>
    <row r="774" spans="1:6" ht="15.75" customHeight="1">
      <c r="A774" s="18">
        <v>2084005346</v>
      </c>
      <c r="B774" s="18" t="s">
        <v>22316</v>
      </c>
      <c r="C774" s="18" t="s">
        <v>22318</v>
      </c>
      <c r="D774" s="4" t="str">
        <f ca="1">IFERROR(__xludf.DUMMYFUNCTION("GOOGLETRANSLATE(B774,""ja"",""vi"")"),"G-SHOCK")</f>
        <v>G-SHOCK</v>
      </c>
      <c r="E774" s="4" t="str">
        <f ca="1">IFERROR(__xludf.DUMMYFUNCTION("GOOGLETRANSLATE(C774,""ja"",""vi"")"),"Đấu giá&gt; phụ kiện, đồng hồ&gt; thương hiệu đồng hồ đeo tay&gt; hoặc hàng&gt; Casio&gt; G-SHOCK")</f>
        <v>Đấu giá&gt; phụ kiện, đồng hồ&gt; thương hiệu đồng hồ đeo tay&gt; hoặc hàng&gt; Casio&gt; G-SHOCK</v>
      </c>
      <c r="F774" t="str">
        <f t="shared" ca="1" si="12"/>
        <v>"2084005346" : "G-SHOCK",</v>
      </c>
    </row>
    <row r="775" spans="1:6" ht="15.75" customHeight="1">
      <c r="A775" s="18">
        <v>2084032115</v>
      </c>
      <c r="B775" s="18" t="s">
        <v>22320</v>
      </c>
      <c r="C775" s="18" t="s">
        <v>22322</v>
      </c>
      <c r="D775" s="4" t="str">
        <f ca="1">IFERROR(__xludf.DUMMYFUNCTION("GOOGLETRANSLATE(B775,""ja"",""vi"")"),"Baby-G")</f>
        <v>Baby-G</v>
      </c>
      <c r="E775" s="4" t="str">
        <f ca="1">IFERROR(__xludf.DUMMYFUNCTION("GOOGLETRANSLATE(C775,""ja"",""vi"")"),"Loading...")</f>
        <v>Loading...</v>
      </c>
      <c r="F775" t="str">
        <f t="shared" ca="1" si="12"/>
        <v>"2084032115" : "Baby-G",</v>
      </c>
    </row>
    <row r="776" spans="1:6" ht="15.75" customHeight="1">
      <c r="A776" s="18">
        <v>2084032116</v>
      </c>
      <c r="B776" s="18" t="s">
        <v>22324</v>
      </c>
      <c r="C776" s="18" t="s">
        <v>22325</v>
      </c>
      <c r="D776" s="4" t="str">
        <f ca="1">IFERROR(__xludf.DUMMYFUNCTION("GOOGLETRANSLATE(B776,""ja"",""vi"")"),"PRO TREK")</f>
        <v>PRO TREK</v>
      </c>
      <c r="E776" s="4" t="str">
        <f ca="1">IFERROR(__xludf.DUMMYFUNCTION("GOOGLETRANSLATE(C776,""ja"",""vi"")"),"Loading...")</f>
        <v>Loading...</v>
      </c>
      <c r="F776" t="str">
        <f t="shared" ca="1" si="12"/>
        <v>"2084032116" : "PRO TREK",</v>
      </c>
    </row>
    <row r="777" spans="1:6" ht="15.75" customHeight="1">
      <c r="A777" s="18">
        <v>2084310827</v>
      </c>
      <c r="B777" s="18" t="s">
        <v>22329</v>
      </c>
      <c r="C777" s="18" t="s">
        <v>22330</v>
      </c>
      <c r="D777" s="4" t="str">
        <f ca="1">IFERROR(__xludf.DUMMYFUNCTION("GOOGLETRANSLATE(B777,""ja"",""vi"")"),"lâu đài")</f>
        <v>lâu đài</v>
      </c>
      <c r="E777" s="4" t="str">
        <f ca="1">IFERROR(__xludf.DUMMYFUNCTION("GOOGLETRANSLATE(C777,""ja"",""vi"")"),"Loading...")</f>
        <v>Loading...</v>
      </c>
      <c r="F777" t="str">
        <f t="shared" ca="1" si="12"/>
        <v>"2084310827" : "lâu đài",</v>
      </c>
    </row>
    <row r="778" spans="1:6" ht="15.75" customHeight="1">
      <c r="A778" s="18">
        <v>2084211406</v>
      </c>
      <c r="B778" s="18" t="s">
        <v>22333</v>
      </c>
      <c r="C778" s="18" t="s">
        <v>22334</v>
      </c>
      <c r="D778" s="4" t="str">
        <f ca="1">IFERROR(__xludf.DUMMYFUNCTION("GOOGLETRANSLATE(B778,""ja"",""vi"")"),"Oceanus")</f>
        <v>Oceanus</v>
      </c>
      <c r="E778" s="4" t="str">
        <f ca="1">IFERROR(__xludf.DUMMYFUNCTION("GOOGLETRANSLATE(C778,""ja"",""vi"")"),"Loading...")</f>
        <v>Loading...</v>
      </c>
      <c r="F778" t="str">
        <f t="shared" ca="1" si="12"/>
        <v>"2084211406" : "Oceanus",</v>
      </c>
    </row>
    <row r="779" spans="1:6" ht="15.75" customHeight="1">
      <c r="A779" s="18">
        <v>2084226882</v>
      </c>
      <c r="B779" s="18" t="s">
        <v>22338</v>
      </c>
      <c r="C779" s="18" t="s">
        <v>22339</v>
      </c>
      <c r="D779" s="4" t="str">
        <f ca="1">IFERROR(__xludf.DUMMYFUNCTION("GOOGLETRANSLATE(B779,""ja"",""vi"")"),"ngân hàng dữ liệu")</f>
        <v>ngân hàng dữ liệu</v>
      </c>
      <c r="E779" s="4" t="str">
        <f ca="1">IFERROR(__xludf.DUMMYFUNCTION("GOOGLETRANSLATE(C779,""ja"",""vi"")"),"Loading...")</f>
        <v>Loading...</v>
      </c>
      <c r="F779" t="str">
        <f t="shared" ca="1" si="12"/>
        <v>"2084226882" : "ngân hàng dữ liệu",</v>
      </c>
    </row>
    <row r="780" spans="1:6" ht="15.75" customHeight="1">
      <c r="A780" s="18">
        <v>2084310829</v>
      </c>
      <c r="B780" s="18" t="s">
        <v>1612</v>
      </c>
      <c r="C780" s="18" t="s">
        <v>22343</v>
      </c>
      <c r="D780" s="4" t="str">
        <f ca="1">IFERROR(__xludf.DUMMYFUNCTION("GOOGLETRANSLATE(B780,""ja"",""vi"")"),"bộ phận")</f>
        <v>bộ phận</v>
      </c>
      <c r="E780" s="4" t="str">
        <f ca="1">IFERROR(__xludf.DUMMYFUNCTION("GOOGLETRANSLATE(C780,""ja"",""vi"")"),"Loading...")</f>
        <v>Loading...</v>
      </c>
      <c r="F780" t="str">
        <f t="shared" ca="1" si="12"/>
        <v>"2084310829" : "bộ phận",</v>
      </c>
    </row>
    <row r="781" spans="1:6" ht="15.75" customHeight="1">
      <c r="A781" s="18">
        <v>2084310828</v>
      </c>
      <c r="B781" s="18" t="s">
        <v>22347</v>
      </c>
      <c r="C781" s="18" t="s">
        <v>22348</v>
      </c>
      <c r="D781" s="4" t="str">
        <f ca="1">IFERROR(__xludf.DUMMYFUNCTION("GOOGLETRANSLATE(B781,""ja"",""vi"")"),"Belt, vòng đeo tay")</f>
        <v>Belt, vòng đeo tay</v>
      </c>
      <c r="E781" s="4" t="str">
        <f ca="1">IFERROR(__xludf.DUMMYFUNCTION("GOOGLETRANSLATE(C781,""ja"",""vi"")"),"Loading...")</f>
        <v>Loading...</v>
      </c>
      <c r="F781" t="str">
        <f t="shared" ca="1" si="12"/>
        <v>"2084310828" : "Belt, vòng đeo tay",</v>
      </c>
    </row>
    <row r="782" spans="1:6" ht="15.75" customHeight="1">
      <c r="A782" s="18">
        <v>2084032138</v>
      </c>
      <c r="B782" s="18" t="s">
        <v>46</v>
      </c>
      <c r="C782" s="18" t="s">
        <v>22354</v>
      </c>
      <c r="D782" s="4" t="str">
        <f ca="1">IFERROR(__xludf.DUMMYFUNCTION("GOOGLETRANSLATE(B782,""ja"",""vi"")"),"nếu không thì")</f>
        <v>nếu không thì</v>
      </c>
      <c r="E782" s="4" t="str">
        <f ca="1">IFERROR(__xludf.DUMMYFUNCTION("GOOGLETRANSLATE(C782,""ja"",""vi"")"),"Loading...")</f>
        <v>Loading...</v>
      </c>
      <c r="F782" t="str">
        <f t="shared" ca="1" si="12"/>
        <v>"2084032138" : "nếu không thì",</v>
      </c>
    </row>
    <row r="783" spans="1:6" ht="15.75" customHeight="1">
      <c r="A783" s="18">
        <v>2084209455</v>
      </c>
      <c r="B783" s="18" t="s">
        <v>22358</v>
      </c>
      <c r="C783" s="18" t="s">
        <v>22359</v>
      </c>
      <c r="D783" s="4" t="str">
        <f ca="1">IFERROR(__xludf.DUMMYFUNCTION("GOOGLETRANSLATE(B783,""ja"",""vi"")"),"Atessa")</f>
        <v>Atessa</v>
      </c>
      <c r="E783" s="4" t="str">
        <f ca="1">IFERROR(__xludf.DUMMYFUNCTION("GOOGLETRANSLATE(C783,""ja"",""vi"")"),"Loading...")</f>
        <v>Loading...</v>
      </c>
      <c r="F783" t="str">
        <f t="shared" ca="1" si="12"/>
        <v>"2084209455" : "Atessa",</v>
      </c>
    </row>
    <row r="784" spans="1:6" ht="15.75" customHeight="1">
      <c r="A784" s="18">
        <v>2084209458</v>
      </c>
      <c r="B784" s="18" t="s">
        <v>22364</v>
      </c>
      <c r="C784" s="18" t="s">
        <v>22366</v>
      </c>
      <c r="D784" s="4" t="str">
        <f ca="1">IFERROR(__xludf.DUMMYFUNCTION("GOOGLETRANSLATE(B784,""ja"",""vi"")"),"Wicca")</f>
        <v>Wicca</v>
      </c>
      <c r="E784" s="4" t="str">
        <f ca="1">IFERROR(__xludf.DUMMYFUNCTION("GOOGLETRANSLATE(C784,""ja"",""vi"")"),"Đấu giá&gt; phụ kiện, đồng hồ&gt; thương hiệu đồng hồ đeo tay&gt; chữ s&gt; Citizen&gt; Wicca")</f>
        <v>Đấu giá&gt; phụ kiện, đồng hồ&gt; thương hiệu đồng hồ đeo tay&gt; chữ s&gt; Citizen&gt; Wicca</v>
      </c>
      <c r="F784" t="str">
        <f t="shared" ca="1" si="12"/>
        <v>"2084209458" : "Wicca",</v>
      </c>
    </row>
    <row r="785" spans="1:6" ht="15.75" customHeight="1">
      <c r="A785" s="18">
        <v>2084209454</v>
      </c>
      <c r="B785" s="18" t="s">
        <v>22370</v>
      </c>
      <c r="C785" s="18" t="s">
        <v>22372</v>
      </c>
      <c r="D785" s="4" t="str">
        <f ca="1">IFERROR(__xludf.DUMMYFUNCTION("GOOGLETRANSLATE(B785,""ja"",""vi"")"),"vượt quá")</f>
        <v>vượt quá</v>
      </c>
      <c r="E785" s="4" t="str">
        <f ca="1">IFERROR(__xludf.DUMMYFUNCTION("GOOGLETRANSLATE(C785,""ja"",""vi"")"),"Loading...")</f>
        <v>Loading...</v>
      </c>
      <c r="F785" t="str">
        <f t="shared" ca="1" si="12"/>
        <v>"2084209454" : "vượt quá",</v>
      </c>
    </row>
    <row r="786" spans="1:6" ht="15.75" customHeight="1">
      <c r="A786" s="18">
        <v>2084314563</v>
      </c>
      <c r="B786" s="18" t="s">
        <v>22374</v>
      </c>
      <c r="C786" s="18" t="s">
        <v>22376</v>
      </c>
      <c r="D786" s="4" t="str">
        <f ca="1">IFERROR(__xludf.DUMMYFUNCTION("GOOGLETRANSLATE(B786,""ja"",""vi"")"),"Hàng đợi và đợi")</f>
        <v>Hàng đợi và đợi</v>
      </c>
      <c r="E786" s="4" t="str">
        <f ca="1">IFERROR(__xludf.DUMMYFUNCTION("GOOGLETRANSLATE(C786,""ja"",""vi"")"),"Đấu giá&gt; phụ kiện, đồng hồ&gt; đồng hồ đeo tay thương hiệu&gt; chữ s&gt; Citizen&gt; hàng đợi và đợi")</f>
        <v>Đấu giá&gt; phụ kiện, đồng hồ&gt; đồng hồ đeo tay thương hiệu&gt; chữ s&gt; Citizen&gt; hàng đợi và đợi</v>
      </c>
      <c r="F786" t="str">
        <f t="shared" ca="1" si="12"/>
        <v>"2084314563" : "Hàng đợi và đợi",</v>
      </c>
    </row>
    <row r="787" spans="1:6" ht="15.75" customHeight="1">
      <c r="A787" s="18">
        <v>2084209457</v>
      </c>
      <c r="B787" s="18" t="s">
        <v>22378</v>
      </c>
      <c r="C787" s="18" t="s">
        <v>22379</v>
      </c>
      <c r="D787" s="4" t="str">
        <f ca="1">IFERROR(__xludf.DUMMYFUNCTION("GOOGLETRANSLATE(B787,""ja"",""vi"")"),"Cross-Sea")</f>
        <v>Cross-Sea</v>
      </c>
      <c r="E787" s="4" t="str">
        <f ca="1">IFERROR(__xludf.DUMMYFUNCTION("GOOGLETRANSLATE(C787,""ja"",""vi"")"),"Loading...")</f>
        <v>Loading...</v>
      </c>
      <c r="F787" t="str">
        <f t="shared" ca="1" si="12"/>
        <v>"2084209457" : "Cross-Sea",</v>
      </c>
    </row>
    <row r="788" spans="1:6" ht="15.75" customHeight="1">
      <c r="A788" s="18">
        <v>2084314561</v>
      </c>
      <c r="B788" s="18" t="s">
        <v>22382</v>
      </c>
      <c r="C788" s="18" t="s">
        <v>22385</v>
      </c>
      <c r="D788" s="4" t="str">
        <f ca="1">IFERROR(__xludf.DUMMYFUNCTION("GOOGLETRANSLATE(B788,""ja"",""vi"")"),"Citizen Collection")</f>
        <v>Citizen Collection</v>
      </c>
      <c r="E788" s="4" t="str">
        <f ca="1">IFERROR(__xludf.DUMMYFUNCTION("GOOGLETRANSLATE(C788,""ja"",""vi"")"),"Loading...")</f>
        <v>Loading...</v>
      </c>
      <c r="F788" t="str">
        <f t="shared" ca="1" si="12"/>
        <v>"2084314561" : "Citizen Collection",</v>
      </c>
    </row>
    <row r="789" spans="1:6" ht="15.75" customHeight="1">
      <c r="A789" s="18">
        <v>2084209456</v>
      </c>
      <c r="B789" s="18" t="s">
        <v>22389</v>
      </c>
      <c r="C789" s="18" t="s">
        <v>22391</v>
      </c>
      <c r="D789" s="4" t="str">
        <f ca="1">IFERROR(__xludf.DUMMYFUNCTION("GOOGLETRANSLATE(B789,""ja"",""vi"")"),"Promaster")</f>
        <v>Promaster</v>
      </c>
      <c r="E789" s="4" t="str">
        <f ca="1">IFERROR(__xludf.DUMMYFUNCTION("GOOGLETRANSLATE(C789,""ja"",""vi"")"),"Đấu giá&gt; phụ kiện, đồng hồ&gt; thương hiệu đồng hồ đeo tay&gt; chữ s&gt; Citizen&gt; Promaster")</f>
        <v>Đấu giá&gt; phụ kiện, đồng hồ&gt; thương hiệu đồng hồ đeo tay&gt; chữ s&gt; Citizen&gt; Promaster</v>
      </c>
      <c r="F789" t="str">
        <f t="shared" ca="1" si="12"/>
        <v>"2084209456" : "Promaster",</v>
      </c>
    </row>
    <row r="790" spans="1:6" ht="15.75" customHeight="1">
      <c r="A790" s="18">
        <v>2084314562</v>
      </c>
      <c r="B790" s="18" t="s">
        <v>22394</v>
      </c>
      <c r="C790" s="18" t="s">
        <v>22395</v>
      </c>
      <c r="D790" s="4" t="str">
        <f ca="1">IFERROR(__xludf.DUMMYFUNCTION("GOOGLETRANSLATE(B790,""ja"",""vi"")"),"Regno")</f>
        <v>Regno</v>
      </c>
      <c r="E790" s="4" t="str">
        <f ca="1">IFERROR(__xludf.DUMMYFUNCTION("GOOGLETRANSLATE(C790,""ja"",""vi"")"),"Loading...")</f>
        <v>Loading...</v>
      </c>
      <c r="F790" t="str">
        <f t="shared" ca="1" si="12"/>
        <v>"2084314562" : "Regno",</v>
      </c>
    </row>
    <row r="791" spans="1:6" ht="15.75" customHeight="1">
      <c r="A791" s="18">
        <v>2084209459</v>
      </c>
      <c r="B791" s="18" t="s">
        <v>46</v>
      </c>
      <c r="C791" s="18" t="s">
        <v>22398</v>
      </c>
      <c r="D791" s="4" t="str">
        <f ca="1">IFERROR(__xludf.DUMMYFUNCTION("GOOGLETRANSLATE(B791,""ja"",""vi"")"),"nếu không thì")</f>
        <v>nếu không thì</v>
      </c>
      <c r="E791" s="4" t="str">
        <f ca="1">IFERROR(__xludf.DUMMYFUNCTION("GOOGLETRANSLATE(C791,""ja"",""vi"")"),"Đấu giá&gt; phụ kiện, đồng hồ&gt; thương hiệu đồng hồ đeo tay&gt; chữ s&gt; Citizen&gt; Khác")</f>
        <v>Đấu giá&gt; phụ kiện, đồng hồ&gt; thương hiệu đồng hồ đeo tay&gt; chữ s&gt; Citizen&gt; Khác</v>
      </c>
      <c r="F791" t="str">
        <f t="shared" ca="1" si="12"/>
        <v>"2084209459" : "nếu không thì",</v>
      </c>
    </row>
    <row r="792" spans="1:6" ht="15.75" customHeight="1">
      <c r="A792" s="18">
        <v>2084217133</v>
      </c>
      <c r="B792" s="18" t="s">
        <v>22402</v>
      </c>
      <c r="C792" s="18" t="s">
        <v>22403</v>
      </c>
      <c r="D792" s="4" t="str">
        <f ca="1">IFERROR(__xludf.DUMMYFUNCTION("GOOGLETRANSLATE(B792,""ja"",""vi"")"),"Alba")</f>
        <v>Alba</v>
      </c>
      <c r="E792" s="4" t="str">
        <f ca="1">IFERROR(__xludf.DUMMYFUNCTION("GOOGLETRANSLATE(C792,""ja"",""vi"")"),"Loading...")</f>
        <v>Loading...</v>
      </c>
      <c r="F792" t="str">
        <f t="shared" ca="1" si="12"/>
        <v>"2084217133" : "Alba",</v>
      </c>
    </row>
    <row r="793" spans="1:6" ht="15.75" customHeight="1">
      <c r="A793" s="18">
        <v>2084211410</v>
      </c>
      <c r="B793" s="18" t="s">
        <v>14078</v>
      </c>
      <c r="C793" s="18" t="s">
        <v>22406</v>
      </c>
      <c r="D793" s="4" t="str">
        <f ca="1">IFERROR(__xludf.DUMMYFUNCTION("GOOGLETRANSLATE(B793,""ja"",""vi"")"),"bộ phận đánh lửa")</f>
        <v>bộ phận đánh lửa</v>
      </c>
      <c r="E793" s="4" t="str">
        <f ca="1">IFERROR(__xludf.DUMMYFUNCTION("GOOGLETRANSLATE(C793,""ja"",""vi"")"),"Loading...")</f>
        <v>Loading...</v>
      </c>
      <c r="F793" t="str">
        <f t="shared" ca="1" si="12"/>
        <v>"2084211410" : "bộ phận đánh lửa",</v>
      </c>
    </row>
    <row r="794" spans="1:6" ht="15.75" customHeight="1">
      <c r="A794" s="18">
        <v>2084053756</v>
      </c>
      <c r="B794" s="18" t="s">
        <v>22410</v>
      </c>
      <c r="C794" s="18" t="s">
        <v>22411</v>
      </c>
      <c r="D794" s="4" t="str">
        <f ca="1">IFERROR(__xludf.DUMMYFUNCTION("GOOGLETRANSLATE(B794,""ja"",""vi"")"),"Aix Celine")</f>
        <v>Aix Celine</v>
      </c>
      <c r="E794" s="4" t="str">
        <f ca="1">IFERROR(__xludf.DUMMYFUNCTION("GOOGLETRANSLATE(C794,""ja"",""vi"")"),"Loading...")</f>
        <v>Loading...</v>
      </c>
      <c r="F794" t="str">
        <f t="shared" ca="1" si="12"/>
        <v>"2084053756" : "Aix Celine",</v>
      </c>
    </row>
    <row r="795" spans="1:6" ht="15.75" customHeight="1">
      <c r="A795" s="18">
        <v>2084054005</v>
      </c>
      <c r="B795" s="18" t="s">
        <v>22415</v>
      </c>
      <c r="C795" s="18" t="s">
        <v>22416</v>
      </c>
      <c r="D795" s="4" t="str">
        <f ca="1">IFERROR(__xludf.DUMMYFUNCTION("GOOGLETRANSLATE(B795,""ja"",""vi"")"),"căn nguyên")</f>
        <v>căn nguyên</v>
      </c>
      <c r="E795" s="4" t="str">
        <f ca="1">IFERROR(__xludf.DUMMYFUNCTION("GOOGLETRANSLATE(C795,""ja"",""vi"")"),"Đấu giá&gt; phụ kiện, đồng hồ&gt; thương hiệu đồng hồ đeo tay&gt; chữ s&gt; Seiko&gt; nôi")</f>
        <v>Đấu giá&gt; phụ kiện, đồng hồ&gt; thương hiệu đồng hồ đeo tay&gt; chữ s&gt; Seiko&gt; nôi</v>
      </c>
      <c r="F795" t="str">
        <f t="shared" ca="1" si="12"/>
        <v>"2084054005" : "căn nguyên",</v>
      </c>
    </row>
    <row r="796" spans="1:6" ht="15.75" customHeight="1">
      <c r="A796" s="18">
        <v>2084053754</v>
      </c>
      <c r="B796" s="18" t="s">
        <v>22419</v>
      </c>
      <c r="C796" s="18" t="s">
        <v>22420</v>
      </c>
      <c r="D796" s="4" t="str">
        <f ca="1">IFERROR(__xludf.DUMMYFUNCTION("GOOGLETRANSLATE(B796,""ja"",""vi"")"),"Đại Seiko")</f>
        <v>Đại Seiko</v>
      </c>
      <c r="E796" s="4" t="str">
        <f ca="1">IFERROR(__xludf.DUMMYFUNCTION("GOOGLETRANSLATE(C796,""ja"",""vi"")"),"Loading...")</f>
        <v>Loading...</v>
      </c>
      <c r="F796" t="str">
        <f t="shared" ca="1" si="12"/>
        <v>"2084053754" : "Đại Seiko",</v>
      </c>
    </row>
    <row r="797" spans="1:6" ht="15.75" customHeight="1">
      <c r="A797" s="18">
        <v>2084211407</v>
      </c>
      <c r="B797" s="18" t="s">
        <v>22424</v>
      </c>
      <c r="C797" s="18" t="s">
        <v>22425</v>
      </c>
      <c r="D797" s="4" t="str">
        <f ca="1">IFERROR(__xludf.DUMMYFUNCTION("GOOGLETRANSLATE(B797,""ja"",""vi"")"),"thần linh")</f>
        <v>thần linh</v>
      </c>
      <c r="E797" s="4" t="str">
        <f ca="1">IFERROR(__xludf.DUMMYFUNCTION("GOOGLETRANSLATE(C797,""ja"",""vi"")"),"Loading...")</f>
        <v>Loading...</v>
      </c>
      <c r="F797" t="str">
        <f t="shared" ca="1" si="12"/>
        <v>"2084211407" : "thần linh",</v>
      </c>
    </row>
    <row r="798" spans="1:6" ht="15.75" customHeight="1">
      <c r="A798" s="18">
        <v>2084053755</v>
      </c>
      <c r="B798" s="18" t="s">
        <v>22427</v>
      </c>
      <c r="C798" s="18" t="s">
        <v>22428</v>
      </c>
      <c r="D798" s="4" t="str">
        <f ca="1">IFERROR(__xludf.DUMMYFUNCTION("GOOGLETRANSLATE(B798,""ja"",""vi"")"),"Dolce")</f>
        <v>Dolce</v>
      </c>
      <c r="E798" s="4" t="str">
        <f ca="1">IFERROR(__xludf.DUMMYFUNCTION("GOOGLETRANSLATE(C798,""ja"",""vi"")"),"Đấu giá&gt; phụ kiện, đồng hồ&gt; thương hiệu đồng hồ đeo tay&gt; chữ s&gt; Seiko&gt; Dolce")</f>
        <v>Đấu giá&gt; phụ kiện, đồng hồ&gt; thương hiệu đồng hồ đeo tay&gt; chữ s&gt; Seiko&gt; Dolce</v>
      </c>
      <c r="F798" t="str">
        <f t="shared" ca="1" si="12"/>
        <v>"2084053755" : "Dolce",</v>
      </c>
    </row>
    <row r="799" spans="1:6" ht="15.75" customHeight="1">
      <c r="A799" s="18">
        <v>2084053758</v>
      </c>
      <c r="B799" s="18" t="s">
        <v>22430</v>
      </c>
      <c r="C799" s="18" t="s">
        <v>22431</v>
      </c>
      <c r="D799" s="4" t="str">
        <f ca="1">IFERROR(__xludf.DUMMYFUNCTION("GOOGLETRANSLATE(B799,""ja"",""vi"")"),"brights")</f>
        <v>brights</v>
      </c>
      <c r="E799" s="4" t="str">
        <f ca="1">IFERROR(__xludf.DUMMYFUNCTION("GOOGLETRANSLATE(C799,""ja"",""vi"")"),"Đấu giá&gt; phụ kiện, đồng hồ&gt; thương hiệu đồng hồ đeo tay&gt; chữ s&gt; Seiko&gt; brights")</f>
        <v>Đấu giá&gt; phụ kiện, đồng hồ&gt; thương hiệu đồng hồ đeo tay&gt; chữ s&gt; Seiko&gt; brights</v>
      </c>
      <c r="F799" t="str">
        <f t="shared" ca="1" si="12"/>
        <v>"2084053758" : "brights",</v>
      </c>
    </row>
    <row r="800" spans="1:6" ht="15.75" customHeight="1">
      <c r="A800" s="18">
        <v>2084211409</v>
      </c>
      <c r="B800" s="18" t="s">
        <v>22433</v>
      </c>
      <c r="C800" s="18" t="s">
        <v>22434</v>
      </c>
      <c r="D800" s="4" t="str">
        <f ca="1">IFERROR(__xludf.DUMMYFUNCTION("GOOGLETRANSLATE(B800,""ja"",""vi"")"),"PROSPEX")</f>
        <v>PROSPEX</v>
      </c>
      <c r="E800" s="4" t="str">
        <f ca="1">IFERROR(__xludf.DUMMYFUNCTION("GOOGLETRANSLATE(C800,""ja"",""vi"")"),"Đấu giá&gt; phụ kiện, đồng hồ&gt; thương hiệu đồng hồ đeo tay&gt; chữ s&gt; Seiko&gt; PROSPEX")</f>
        <v>Đấu giá&gt; phụ kiện, đồng hồ&gt; thương hiệu đồng hồ đeo tay&gt; chữ s&gt; Seiko&gt; PROSPEX</v>
      </c>
      <c r="F800" t="str">
        <f t="shared" ca="1" si="12"/>
        <v>"2084211409" : "PROSPEX",</v>
      </c>
    </row>
    <row r="801" spans="1:6" ht="15.75" customHeight="1">
      <c r="A801" s="18">
        <v>2084053757</v>
      </c>
      <c r="B801" s="18" t="s">
        <v>22435</v>
      </c>
      <c r="C801" s="18" t="s">
        <v>22436</v>
      </c>
      <c r="D801" s="4" t="str">
        <f ca="1">IFERROR(__xludf.DUMMYFUNCTION("GOOGLETRANSLATE(B801,""ja"",""vi"")"),"Rukia")</f>
        <v>Rukia</v>
      </c>
      <c r="E801" s="4" t="str">
        <f ca="1">IFERROR(__xludf.DUMMYFUNCTION("GOOGLETRANSLATE(C801,""ja"",""vi"")"),"Loading...")</f>
        <v>Loading...</v>
      </c>
      <c r="F801" t="str">
        <f t="shared" ca="1" si="12"/>
        <v>"2084053757" : "Rukia",</v>
      </c>
    </row>
    <row r="802" spans="1:6" ht="15.75" customHeight="1">
      <c r="A802" s="18">
        <v>2084211408</v>
      </c>
      <c r="B802" s="18" t="s">
        <v>22439</v>
      </c>
      <c r="C802" s="18" t="s">
        <v>22440</v>
      </c>
      <c r="D802" s="4" t="str">
        <f ca="1">IFERROR(__xludf.DUMMYFUNCTION("GOOGLETRANSLATE(B802,""ja"",""vi"")"),"Wired")</f>
        <v>Wired</v>
      </c>
      <c r="E802" s="4" t="str">
        <f ca="1">IFERROR(__xludf.DUMMYFUNCTION("GOOGLETRANSLATE(C802,""ja"",""vi"")"),"Loading...")</f>
        <v>Loading...</v>
      </c>
      <c r="F802" t="str">
        <f t="shared" ca="1" si="12"/>
        <v>"2084211408" : "Wired",</v>
      </c>
    </row>
    <row r="803" spans="1:6" ht="15.75" customHeight="1">
      <c r="A803" s="18">
        <v>2084214380</v>
      </c>
      <c r="B803" s="18" t="s">
        <v>22441</v>
      </c>
      <c r="C803" s="18" t="s">
        <v>22443</v>
      </c>
      <c r="D803" s="4" t="str">
        <f ca="1">IFERROR(__xludf.DUMMYFUNCTION("GOOGLETRANSLATE(B803,""ja"",""vi"")"),"mô hình nước ngoài")</f>
        <v>mô hình nước ngoài</v>
      </c>
      <c r="E803" s="4" t="str">
        <f ca="1">IFERROR(__xludf.DUMMYFUNCTION("GOOGLETRANSLATE(C803,""ja"",""vi"")"),"Đấu giá&gt; phụ kiện, đồng hồ&gt; thương hiệu đồng hồ đeo tay&gt; chữ s&gt; Seiko&gt; mô hình nước ngoài")</f>
        <v>Đấu giá&gt; phụ kiện, đồng hồ&gt; thương hiệu đồng hồ đeo tay&gt; chữ s&gt; Seiko&gt; mô hình nước ngoài</v>
      </c>
      <c r="F803" t="str">
        <f t="shared" ca="1" si="12"/>
        <v>"2084214380" : "mô hình nước ngoài",</v>
      </c>
    </row>
    <row r="804" spans="1:6" ht="15.75" customHeight="1">
      <c r="A804" s="18">
        <v>2084310831</v>
      </c>
      <c r="B804" s="18" t="s">
        <v>1612</v>
      </c>
      <c r="C804" s="18" t="s">
        <v>22444</v>
      </c>
      <c r="D804" s="4" t="str">
        <f ca="1">IFERROR(__xludf.DUMMYFUNCTION("GOOGLETRANSLATE(B804,""ja"",""vi"")"),"bộ phận")</f>
        <v>bộ phận</v>
      </c>
      <c r="E804" s="4" t="str">
        <f ca="1">IFERROR(__xludf.DUMMYFUNCTION("GOOGLETRANSLATE(C804,""ja"",""vi"")"),"Đấu giá&gt; phụ kiện, đồng hồ&gt; thương hiệu đồng hồ đeo tay&gt; chữ s&gt; Seiko&gt; Linh kiện")</f>
        <v>Đấu giá&gt; phụ kiện, đồng hồ&gt; thương hiệu đồng hồ đeo tay&gt; chữ s&gt; Seiko&gt; Linh kiện</v>
      </c>
      <c r="F804" t="str">
        <f t="shared" ca="1" si="12"/>
        <v>"2084310831" : "bộ phận",</v>
      </c>
    </row>
    <row r="805" spans="1:6" ht="15.75" customHeight="1">
      <c r="A805" s="18">
        <v>2084310830</v>
      </c>
      <c r="B805" s="18" t="s">
        <v>22347</v>
      </c>
      <c r="C805" s="18" t="s">
        <v>22445</v>
      </c>
      <c r="D805" s="4" t="str">
        <f ca="1">IFERROR(__xludf.DUMMYFUNCTION("GOOGLETRANSLATE(B805,""ja"",""vi"")"),"Belt, vòng đeo tay")</f>
        <v>Belt, vòng đeo tay</v>
      </c>
      <c r="E805" s="4" t="str">
        <f ca="1">IFERROR(__xludf.DUMMYFUNCTION("GOOGLETRANSLATE(C805,""ja"",""vi"")"),"Loading...")</f>
        <v>Loading...</v>
      </c>
      <c r="F805" t="str">
        <f t="shared" ca="1" si="12"/>
        <v>"2084310830" : "Belt, vòng đeo tay",</v>
      </c>
    </row>
    <row r="806" spans="1:6" ht="15.75" customHeight="1">
      <c r="A806" s="18">
        <v>2084310832</v>
      </c>
      <c r="B806" s="18" t="s">
        <v>22446</v>
      </c>
      <c r="C806" s="18" t="s">
        <v>22447</v>
      </c>
      <c r="D806" s="4" t="str">
        <f ca="1">IFERROR(__xludf.DUMMYFUNCTION("GOOGLETRANSLATE(B806,""ja"",""vi"")"),"Hộp, thẻ bảo hành, phụ kiện")</f>
        <v>Hộp, thẻ bảo hành, phụ kiện</v>
      </c>
      <c r="E806" s="4" t="str">
        <f ca="1">IFERROR(__xludf.DUMMYFUNCTION("GOOGLETRANSLATE(C806,""ja"",""vi"")"),"Loading...")</f>
        <v>Loading...</v>
      </c>
      <c r="F806" t="str">
        <f t="shared" ca="1" si="12"/>
        <v>"2084310832" : "Hộp, thẻ bảo hành, phụ kiện",</v>
      </c>
    </row>
    <row r="807" spans="1:6" ht="15.75" customHeight="1">
      <c r="A807" s="18">
        <v>2084053759</v>
      </c>
      <c r="B807" s="18" t="s">
        <v>46</v>
      </c>
      <c r="C807" s="18" t="s">
        <v>22448</v>
      </c>
      <c r="D807" s="4" t="str">
        <f ca="1">IFERROR(__xludf.DUMMYFUNCTION("GOOGLETRANSLATE(B807,""ja"",""vi"")"),"nếu không thì")</f>
        <v>nếu không thì</v>
      </c>
      <c r="E807" s="4" t="str">
        <f ca="1">IFERROR(__xludf.DUMMYFUNCTION("GOOGLETRANSLATE(C807,""ja"",""vi"")"),"Đấu giá&gt; phụ kiện, đồng hồ&gt; thương hiệu đồng hồ đeo tay&gt; chữ s&gt; Seiko&gt; Khác")</f>
        <v>Đấu giá&gt; phụ kiện, đồng hồ&gt; thương hiệu đồng hồ đeo tay&gt; chữ s&gt; Seiko&gt; Khác</v>
      </c>
      <c r="F807" t="str">
        <f t="shared" ca="1" si="12"/>
        <v>"2084053759" : "nếu không thì",</v>
      </c>
    </row>
    <row r="808" spans="1:6" ht="15.75" customHeight="1">
      <c r="A808" s="18">
        <v>2084063356</v>
      </c>
      <c r="B808" s="18" t="s">
        <v>22254</v>
      </c>
      <c r="C808" s="18" t="s">
        <v>22463</v>
      </c>
      <c r="D808" s="4" t="str">
        <f ca="1">IFERROR(__xludf.DUMMYFUNCTION("GOOGLETRANSLATE(B808,""ja"",""vi"")"),"2 kim (giờ, phút)")</f>
        <v>2 kim (giờ, phút)</v>
      </c>
      <c r="E808" s="4" t="str">
        <f ca="1">IFERROR(__xludf.DUMMYFUNCTION("GOOGLETRANSLATE(C808,""ja"",""vi"")"),"Đấu giá&gt; Accessories, Đồng hồ&gt; Đồng hồ Unisex&gt; Analog (Quartz)&gt; 2 kim (giờ, phút)")</f>
        <v>Đấu giá&gt; Accessories, Đồng hồ&gt; Đồng hồ Unisex&gt; Analog (Quartz)&gt; 2 kim (giờ, phút)</v>
      </c>
      <c r="F808" t="str">
        <f t="shared" ca="1" si="12"/>
        <v>"2084063356" : "2 kim (giờ, phút)",</v>
      </c>
    </row>
    <row r="809" spans="1:6" ht="15.75" customHeight="1">
      <c r="A809" s="18">
        <v>2084063357</v>
      </c>
      <c r="B809" s="18" t="s">
        <v>22256</v>
      </c>
      <c r="C809" s="18" t="s">
        <v>22464</v>
      </c>
      <c r="D809" s="4" t="str">
        <f ca="1">IFERROR(__xludf.DUMMYFUNCTION("GOOGLETRANSLATE(B809,""ja"",""vi"")"),"2 kim + Lịch")</f>
        <v>2 kim + Lịch</v>
      </c>
      <c r="E809" s="4" t="str">
        <f ca="1">IFERROR(__xludf.DUMMYFUNCTION("GOOGLETRANSLATE(C809,""ja"",""vi"")"),"Loading...")</f>
        <v>Loading...</v>
      </c>
      <c r="F809" t="str">
        <f t="shared" ca="1" si="12"/>
        <v>"2084063357" : "2 kim + Lịch",</v>
      </c>
    </row>
    <row r="810" spans="1:6" ht="15.75" customHeight="1">
      <c r="A810" s="18">
        <v>2084063354</v>
      </c>
      <c r="B810" s="18" t="s">
        <v>22258</v>
      </c>
      <c r="C810" s="18" t="s">
        <v>22465</v>
      </c>
      <c r="D810" s="4" t="str">
        <f ca="1">IFERROR(__xludf.DUMMYFUNCTION("GOOGLETRANSLATE(B810,""ja"",""vi"")"),"3 tay (giờ, phút, giây)")</f>
        <v>3 tay (giờ, phút, giây)</v>
      </c>
      <c r="E810" s="4" t="str">
        <f ca="1">IFERROR(__xludf.DUMMYFUNCTION("GOOGLETRANSLATE(C810,""ja"",""vi"")"),"Loading...")</f>
        <v>Loading...</v>
      </c>
      <c r="F810" t="str">
        <f t="shared" ca="1" si="12"/>
        <v>"2084063354" : "3 tay (giờ, phút, giây)",</v>
      </c>
    </row>
    <row r="811" spans="1:6" ht="15.75" customHeight="1">
      <c r="A811" s="18">
        <v>2084063355</v>
      </c>
      <c r="B811" s="18" t="s">
        <v>22260</v>
      </c>
      <c r="C811" s="18" t="s">
        <v>22466</v>
      </c>
      <c r="D811" s="4" t="str">
        <f ca="1">IFERROR(__xludf.DUMMYFUNCTION("GOOGLETRANSLATE(B811,""ja"",""vi"")"),"3 tay + lịch")</f>
        <v>3 tay + lịch</v>
      </c>
      <c r="E811" s="4" t="str">
        <f ca="1">IFERROR(__xludf.DUMMYFUNCTION("GOOGLETRANSLATE(C811,""ja"",""vi"")"),"Đấu giá&gt; Accessories, Đồng hồ&gt; Đồng hồ Unisex&gt; analog (loại thạch anh)&gt; 3 tay + lịch")</f>
        <v>Đấu giá&gt; Accessories, Đồng hồ&gt; Đồng hồ Unisex&gt; analog (loại thạch anh)&gt; 3 tay + lịch</v>
      </c>
      <c r="F811" t="str">
        <f t="shared" ca="1" si="12"/>
        <v>"2084063355" : "3 tay + lịch",</v>
      </c>
    </row>
    <row r="812" spans="1:6" ht="15.75" customHeight="1">
      <c r="A812" s="18">
        <v>2084063358</v>
      </c>
      <c r="B812" s="18" t="s">
        <v>22262</v>
      </c>
      <c r="C812" s="18" t="s">
        <v>22467</v>
      </c>
      <c r="D812" s="4" t="str">
        <f ca="1">IFERROR(__xludf.DUMMYFUNCTION("GOOGLETRANSLATE(B812,""ja"",""vi"")"),"thi kế")</f>
        <v>thi kế</v>
      </c>
      <c r="E812" s="4" t="str">
        <f ca="1">IFERROR(__xludf.DUMMYFUNCTION("GOOGLETRANSLATE(C812,""ja"",""vi"")"),"Loading...")</f>
        <v>Loading...</v>
      </c>
      <c r="F812" t="str">
        <f t="shared" ca="1" si="12"/>
        <v>"2084063358" : "thi kế",</v>
      </c>
    </row>
    <row r="813" spans="1:6" ht="15.75" customHeight="1">
      <c r="A813" s="18">
        <v>2084063359</v>
      </c>
      <c r="B813" s="18" t="s">
        <v>22264</v>
      </c>
      <c r="C813" s="18" t="s">
        <v>22468</v>
      </c>
      <c r="D813" s="4" t="str">
        <f ca="1">IFERROR(__xludf.DUMMYFUNCTION("GOOGLETRANSLATE(B813,""ja"",""vi"")"),"Chronograph + lịch")</f>
        <v>Chronograph + lịch</v>
      </c>
      <c r="E813" s="4" t="str">
        <f ca="1">IFERROR(__xludf.DUMMYFUNCTION("GOOGLETRANSLATE(C813,""ja"",""vi"")"),"Loading...")</f>
        <v>Loading...</v>
      </c>
      <c r="F813" t="str">
        <f t="shared" ca="1" si="12"/>
        <v>"2084063359" : "Chronograph + lịch",</v>
      </c>
    </row>
    <row r="814" spans="1:6" ht="15.75" customHeight="1">
      <c r="A814" s="18">
        <v>2084063360</v>
      </c>
      <c r="B814" s="18" t="s">
        <v>46</v>
      </c>
      <c r="C814" s="18" t="s">
        <v>22469</v>
      </c>
      <c r="D814" s="4" t="str">
        <f ca="1">IFERROR(__xludf.DUMMYFUNCTION("GOOGLETRANSLATE(B814,""ja"",""vi"")"),"nếu không thì")</f>
        <v>nếu không thì</v>
      </c>
      <c r="E814" s="4" t="str">
        <f ca="1">IFERROR(__xludf.DUMMYFUNCTION("GOOGLETRANSLATE(C814,""ja"",""vi"")"),"Đấu giá&gt; Accessories, Đồng hồ&gt; Đồng hồ Unisex&gt; Analog (Quartz)&gt; Khác")</f>
        <v>Đấu giá&gt; Accessories, Đồng hồ&gt; Đồng hồ Unisex&gt; Analog (Quartz)&gt; Khác</v>
      </c>
      <c r="F814" t="str">
        <f t="shared" ca="1" si="12"/>
        <v>"2084063360" : "nếu không thì",</v>
      </c>
    </row>
    <row r="815" spans="1:6" ht="15.75" customHeight="1">
      <c r="A815" s="18">
        <v>2084005346</v>
      </c>
      <c r="B815" s="18" t="s">
        <v>22316</v>
      </c>
      <c r="C815" s="18" t="s">
        <v>22318</v>
      </c>
      <c r="D815" s="4" t="str">
        <f ca="1">IFERROR(__xludf.DUMMYFUNCTION("GOOGLETRANSLATE(B815,""ja"",""vi"")"),"G-SHOCK")</f>
        <v>G-SHOCK</v>
      </c>
      <c r="E815" s="4" t="str">
        <f ca="1">IFERROR(__xludf.DUMMYFUNCTION("GOOGLETRANSLATE(C815,""ja"",""vi"")"),"Đấu giá&gt; phụ kiện, đồng hồ&gt; thương hiệu đồng hồ đeo tay&gt; hoặc hàng&gt; Casio&gt; G-SHOCK")</f>
        <v>Đấu giá&gt; phụ kiện, đồng hồ&gt; thương hiệu đồng hồ đeo tay&gt; hoặc hàng&gt; Casio&gt; G-SHOCK</v>
      </c>
      <c r="F815" t="str">
        <f t="shared" ca="1" si="12"/>
        <v>"2084005346" : "G-SHOCK",</v>
      </c>
    </row>
    <row r="816" spans="1:6" ht="15.75" customHeight="1">
      <c r="A816" s="18">
        <v>2084032115</v>
      </c>
      <c r="B816" s="18" t="s">
        <v>22320</v>
      </c>
      <c r="C816" s="18" t="s">
        <v>22322</v>
      </c>
      <c r="D816" s="4" t="str">
        <f ca="1">IFERROR(__xludf.DUMMYFUNCTION("GOOGLETRANSLATE(B816,""ja"",""vi"")"),"Baby-G")</f>
        <v>Baby-G</v>
      </c>
      <c r="E816" s="4" t="str">
        <f ca="1">IFERROR(__xludf.DUMMYFUNCTION("GOOGLETRANSLATE(C816,""ja"",""vi"")"),"Loading...")</f>
        <v>Loading...</v>
      </c>
      <c r="F816" t="str">
        <f t="shared" ca="1" si="12"/>
        <v>"2084032115" : "Baby-G",</v>
      </c>
    </row>
    <row r="817" spans="1:6" ht="15.75" customHeight="1">
      <c r="A817" s="18">
        <v>2084032116</v>
      </c>
      <c r="B817" s="18" t="s">
        <v>22324</v>
      </c>
      <c r="C817" s="18" t="s">
        <v>22325</v>
      </c>
      <c r="D817" s="4" t="str">
        <f ca="1">IFERROR(__xludf.DUMMYFUNCTION("GOOGLETRANSLATE(B817,""ja"",""vi"")"),"PRO TREK")</f>
        <v>PRO TREK</v>
      </c>
      <c r="E817" s="4" t="str">
        <f ca="1">IFERROR(__xludf.DUMMYFUNCTION("GOOGLETRANSLATE(C817,""ja"",""vi"")"),"Loading...")</f>
        <v>Loading...</v>
      </c>
      <c r="F817" t="str">
        <f t="shared" ca="1" si="12"/>
        <v>"2084032116" : "PRO TREK",</v>
      </c>
    </row>
    <row r="818" spans="1:6" ht="15.75" customHeight="1">
      <c r="A818" s="18">
        <v>2084310827</v>
      </c>
      <c r="B818" s="18" t="s">
        <v>22329</v>
      </c>
      <c r="C818" s="18" t="s">
        <v>22330</v>
      </c>
      <c r="D818" s="4" t="str">
        <f ca="1">IFERROR(__xludf.DUMMYFUNCTION("GOOGLETRANSLATE(B818,""ja"",""vi"")"),"lâu đài")</f>
        <v>lâu đài</v>
      </c>
      <c r="E818" s="4" t="str">
        <f ca="1">IFERROR(__xludf.DUMMYFUNCTION("GOOGLETRANSLATE(C818,""ja"",""vi"")"),"Loading...")</f>
        <v>Loading...</v>
      </c>
      <c r="F818" t="str">
        <f t="shared" ca="1" si="12"/>
        <v>"2084310827" : "lâu đài",</v>
      </c>
    </row>
    <row r="819" spans="1:6" ht="15.75" customHeight="1">
      <c r="A819" s="18">
        <v>2084211406</v>
      </c>
      <c r="B819" s="18" t="s">
        <v>22333</v>
      </c>
      <c r="C819" s="18" t="s">
        <v>22334</v>
      </c>
      <c r="D819" s="4" t="str">
        <f ca="1">IFERROR(__xludf.DUMMYFUNCTION("GOOGLETRANSLATE(B819,""ja"",""vi"")"),"Oceanus")</f>
        <v>Oceanus</v>
      </c>
      <c r="E819" s="4" t="str">
        <f ca="1">IFERROR(__xludf.DUMMYFUNCTION("GOOGLETRANSLATE(C819,""ja"",""vi"")"),"Loading...")</f>
        <v>Loading...</v>
      </c>
      <c r="F819" t="str">
        <f t="shared" ca="1" si="12"/>
        <v>"2084211406" : "Oceanus",</v>
      </c>
    </row>
    <row r="820" spans="1:6" ht="15.75" customHeight="1">
      <c r="A820" s="18">
        <v>2084226882</v>
      </c>
      <c r="B820" s="18" t="s">
        <v>22338</v>
      </c>
      <c r="C820" s="18" t="s">
        <v>22339</v>
      </c>
      <c r="D820" s="4" t="str">
        <f ca="1">IFERROR(__xludf.DUMMYFUNCTION("GOOGLETRANSLATE(B820,""ja"",""vi"")"),"ngân hàng dữ liệu")</f>
        <v>ngân hàng dữ liệu</v>
      </c>
      <c r="E820" s="4" t="str">
        <f ca="1">IFERROR(__xludf.DUMMYFUNCTION("GOOGLETRANSLATE(C820,""ja"",""vi"")"),"Loading...")</f>
        <v>Loading...</v>
      </c>
      <c r="F820" t="str">
        <f t="shared" ca="1" si="12"/>
        <v>"2084226882" : "ngân hàng dữ liệu",</v>
      </c>
    </row>
    <row r="821" spans="1:6" ht="15.75" customHeight="1">
      <c r="A821" s="18">
        <v>2084310829</v>
      </c>
      <c r="B821" s="18" t="s">
        <v>1612</v>
      </c>
      <c r="C821" s="18" t="s">
        <v>22343</v>
      </c>
      <c r="D821" s="4" t="str">
        <f ca="1">IFERROR(__xludf.DUMMYFUNCTION("GOOGLETRANSLATE(B821,""ja"",""vi"")"),"bộ phận")</f>
        <v>bộ phận</v>
      </c>
      <c r="E821" s="4" t="str">
        <f ca="1">IFERROR(__xludf.DUMMYFUNCTION("GOOGLETRANSLATE(C821,""ja"",""vi"")"),"Loading...")</f>
        <v>Loading...</v>
      </c>
      <c r="F821" t="str">
        <f t="shared" ca="1" si="12"/>
        <v>"2084310829" : "bộ phận",</v>
      </c>
    </row>
    <row r="822" spans="1:6" ht="15.75" customHeight="1">
      <c r="A822" s="18">
        <v>2084310828</v>
      </c>
      <c r="B822" s="18" t="s">
        <v>22347</v>
      </c>
      <c r="C822" s="18" t="s">
        <v>22348</v>
      </c>
      <c r="D822" s="4" t="str">
        <f ca="1">IFERROR(__xludf.DUMMYFUNCTION("GOOGLETRANSLATE(B822,""ja"",""vi"")"),"Belt, vòng đeo tay")</f>
        <v>Belt, vòng đeo tay</v>
      </c>
      <c r="E822" s="4" t="str">
        <f ca="1">IFERROR(__xludf.DUMMYFUNCTION("GOOGLETRANSLATE(C822,""ja"",""vi"")"),"Loading...")</f>
        <v>Loading...</v>
      </c>
      <c r="F822" t="str">
        <f t="shared" ca="1" si="12"/>
        <v>"2084310828" : "Belt, vòng đeo tay",</v>
      </c>
    </row>
    <row r="823" spans="1:6" ht="15.75" customHeight="1">
      <c r="A823" s="18">
        <v>2084032138</v>
      </c>
      <c r="B823" s="18" t="s">
        <v>46</v>
      </c>
      <c r="C823" s="18" t="s">
        <v>22354</v>
      </c>
      <c r="D823" s="4" t="str">
        <f ca="1">IFERROR(__xludf.DUMMYFUNCTION("GOOGLETRANSLATE(B823,""ja"",""vi"")"),"nếu không thì")</f>
        <v>nếu không thì</v>
      </c>
      <c r="E823" s="4" t="str">
        <f ca="1">IFERROR(__xludf.DUMMYFUNCTION("GOOGLETRANSLATE(C823,""ja"",""vi"")"),"Loading...")</f>
        <v>Loading...</v>
      </c>
      <c r="F823" t="str">
        <f t="shared" ca="1" si="12"/>
        <v>"2084032138" : "nếu không thì",</v>
      </c>
    </row>
    <row r="824" spans="1:6" ht="15.75" customHeight="1">
      <c r="A824" s="18">
        <v>2084209455</v>
      </c>
      <c r="B824" s="18" t="s">
        <v>22358</v>
      </c>
      <c r="C824" s="18" t="s">
        <v>22359</v>
      </c>
      <c r="D824" s="4" t="str">
        <f ca="1">IFERROR(__xludf.DUMMYFUNCTION("GOOGLETRANSLATE(B824,""ja"",""vi"")"),"Atessa")</f>
        <v>Atessa</v>
      </c>
      <c r="E824" s="4" t="str">
        <f ca="1">IFERROR(__xludf.DUMMYFUNCTION("GOOGLETRANSLATE(C824,""ja"",""vi"")"),"Loading...")</f>
        <v>Loading...</v>
      </c>
      <c r="F824" t="str">
        <f t="shared" ca="1" si="12"/>
        <v>"2084209455" : "Atessa",</v>
      </c>
    </row>
    <row r="825" spans="1:6" ht="15.75" customHeight="1">
      <c r="A825" s="18">
        <v>2084209458</v>
      </c>
      <c r="B825" s="18" t="s">
        <v>22364</v>
      </c>
      <c r="C825" s="18" t="s">
        <v>22366</v>
      </c>
      <c r="D825" s="4" t="str">
        <f ca="1">IFERROR(__xludf.DUMMYFUNCTION("GOOGLETRANSLATE(B825,""ja"",""vi"")"),"Wicca")</f>
        <v>Wicca</v>
      </c>
      <c r="E825" s="4" t="str">
        <f ca="1">IFERROR(__xludf.DUMMYFUNCTION("GOOGLETRANSLATE(C825,""ja"",""vi"")"),"Đấu giá&gt; phụ kiện, đồng hồ&gt; thương hiệu đồng hồ đeo tay&gt; chữ s&gt; Citizen&gt; Wicca")</f>
        <v>Đấu giá&gt; phụ kiện, đồng hồ&gt; thương hiệu đồng hồ đeo tay&gt; chữ s&gt; Citizen&gt; Wicca</v>
      </c>
      <c r="F825" t="str">
        <f t="shared" ca="1" si="12"/>
        <v>"2084209458" : "Wicca",</v>
      </c>
    </row>
    <row r="826" spans="1:6" ht="15.75" customHeight="1">
      <c r="A826" s="18">
        <v>2084209454</v>
      </c>
      <c r="B826" s="18" t="s">
        <v>22370</v>
      </c>
      <c r="C826" s="18" t="s">
        <v>22372</v>
      </c>
      <c r="D826" s="4" t="str">
        <f ca="1">IFERROR(__xludf.DUMMYFUNCTION("GOOGLETRANSLATE(B826,""ja"",""vi"")"),"vượt quá")</f>
        <v>vượt quá</v>
      </c>
      <c r="E826" s="4" t="str">
        <f ca="1">IFERROR(__xludf.DUMMYFUNCTION("GOOGLETRANSLATE(C826,""ja"",""vi"")"),"Loading...")</f>
        <v>Loading...</v>
      </c>
      <c r="F826" t="str">
        <f t="shared" ca="1" si="12"/>
        <v>"2084209454" : "vượt quá",</v>
      </c>
    </row>
    <row r="827" spans="1:6" ht="15.75" customHeight="1">
      <c r="A827" s="18">
        <v>2084314563</v>
      </c>
      <c r="B827" s="18" t="s">
        <v>22374</v>
      </c>
      <c r="C827" s="18" t="s">
        <v>22376</v>
      </c>
      <c r="D827" s="4" t="str">
        <f ca="1">IFERROR(__xludf.DUMMYFUNCTION("GOOGLETRANSLATE(B827,""ja"",""vi"")"),"Hàng đợi và đợi")</f>
        <v>Hàng đợi và đợi</v>
      </c>
      <c r="E827" s="4" t="str">
        <f ca="1">IFERROR(__xludf.DUMMYFUNCTION("GOOGLETRANSLATE(C827,""ja"",""vi"")"),"Đấu giá&gt; phụ kiện, đồng hồ&gt; đồng hồ đeo tay thương hiệu&gt; chữ s&gt; Citizen&gt; hàng đợi và đợi")</f>
        <v>Đấu giá&gt; phụ kiện, đồng hồ&gt; đồng hồ đeo tay thương hiệu&gt; chữ s&gt; Citizen&gt; hàng đợi và đợi</v>
      </c>
      <c r="F827" t="str">
        <f t="shared" ca="1" si="12"/>
        <v>"2084314563" : "Hàng đợi và đợi",</v>
      </c>
    </row>
    <row r="828" spans="1:6" ht="15.75" customHeight="1">
      <c r="A828" s="18">
        <v>2084209457</v>
      </c>
      <c r="B828" s="18" t="s">
        <v>22378</v>
      </c>
      <c r="C828" s="18" t="s">
        <v>22379</v>
      </c>
      <c r="D828" s="4" t="str">
        <f ca="1">IFERROR(__xludf.DUMMYFUNCTION("GOOGLETRANSLATE(B828,""ja"",""vi"")"),"Cross-Sea")</f>
        <v>Cross-Sea</v>
      </c>
      <c r="E828" s="4" t="str">
        <f ca="1">IFERROR(__xludf.DUMMYFUNCTION("GOOGLETRANSLATE(C828,""ja"",""vi"")"),"Loading...")</f>
        <v>Loading...</v>
      </c>
      <c r="F828" t="str">
        <f t="shared" ca="1" si="12"/>
        <v>"2084209457" : "Cross-Sea",</v>
      </c>
    </row>
    <row r="829" spans="1:6" ht="15.75" customHeight="1">
      <c r="A829" s="18">
        <v>2084314561</v>
      </c>
      <c r="B829" s="18" t="s">
        <v>22382</v>
      </c>
      <c r="C829" s="18" t="s">
        <v>22385</v>
      </c>
      <c r="D829" s="4" t="str">
        <f ca="1">IFERROR(__xludf.DUMMYFUNCTION("GOOGLETRANSLATE(B829,""ja"",""vi"")"),"Citizen Collection")</f>
        <v>Citizen Collection</v>
      </c>
      <c r="E829" s="4" t="str">
        <f ca="1">IFERROR(__xludf.DUMMYFUNCTION("GOOGLETRANSLATE(C829,""ja"",""vi"")"),"Loading...")</f>
        <v>Loading...</v>
      </c>
      <c r="F829" t="str">
        <f t="shared" ca="1" si="12"/>
        <v>"2084314561" : "Citizen Collection",</v>
      </c>
    </row>
    <row r="830" spans="1:6" ht="15.75" customHeight="1">
      <c r="A830" s="18">
        <v>2084209456</v>
      </c>
      <c r="B830" s="18" t="s">
        <v>22389</v>
      </c>
      <c r="C830" s="18" t="s">
        <v>22391</v>
      </c>
      <c r="D830" s="4" t="str">
        <f ca="1">IFERROR(__xludf.DUMMYFUNCTION("GOOGLETRANSLATE(B830,""ja"",""vi"")"),"Promaster")</f>
        <v>Promaster</v>
      </c>
      <c r="E830" s="4" t="str">
        <f ca="1">IFERROR(__xludf.DUMMYFUNCTION("GOOGLETRANSLATE(C830,""ja"",""vi"")"),"Đấu giá&gt; phụ kiện, đồng hồ&gt; thương hiệu đồng hồ đeo tay&gt; chữ s&gt; Citizen&gt; Promaster")</f>
        <v>Đấu giá&gt; phụ kiện, đồng hồ&gt; thương hiệu đồng hồ đeo tay&gt; chữ s&gt; Citizen&gt; Promaster</v>
      </c>
      <c r="F830" t="str">
        <f t="shared" ca="1" si="12"/>
        <v>"2084209456" : "Promaster",</v>
      </c>
    </row>
    <row r="831" spans="1:6" ht="15.75" customHeight="1">
      <c r="A831" s="18">
        <v>2084314562</v>
      </c>
      <c r="B831" s="18" t="s">
        <v>22394</v>
      </c>
      <c r="C831" s="18" t="s">
        <v>22395</v>
      </c>
      <c r="D831" s="4" t="str">
        <f ca="1">IFERROR(__xludf.DUMMYFUNCTION("GOOGLETRANSLATE(B831,""ja"",""vi"")"),"Regno")</f>
        <v>Regno</v>
      </c>
      <c r="E831" s="4" t="str">
        <f ca="1">IFERROR(__xludf.DUMMYFUNCTION("GOOGLETRANSLATE(C831,""ja"",""vi"")"),"Loading...")</f>
        <v>Loading...</v>
      </c>
      <c r="F831" t="str">
        <f t="shared" ca="1" si="12"/>
        <v>"2084314562" : "Regno",</v>
      </c>
    </row>
    <row r="832" spans="1:6" ht="15.75" customHeight="1">
      <c r="A832" s="18">
        <v>2084209459</v>
      </c>
      <c r="B832" s="18" t="s">
        <v>46</v>
      </c>
      <c r="C832" s="18" t="s">
        <v>22398</v>
      </c>
      <c r="D832" s="4" t="str">
        <f ca="1">IFERROR(__xludf.DUMMYFUNCTION("GOOGLETRANSLATE(B832,""ja"",""vi"")"),"nếu không thì")</f>
        <v>nếu không thì</v>
      </c>
      <c r="E832" s="4" t="str">
        <f ca="1">IFERROR(__xludf.DUMMYFUNCTION("GOOGLETRANSLATE(C832,""ja"",""vi"")"),"Đấu giá&gt; phụ kiện, đồng hồ&gt; thương hiệu đồng hồ đeo tay&gt; chữ s&gt; Citizen&gt; Khác")</f>
        <v>Đấu giá&gt; phụ kiện, đồng hồ&gt; thương hiệu đồng hồ đeo tay&gt; chữ s&gt; Citizen&gt; Khác</v>
      </c>
      <c r="F832" t="str">
        <f t="shared" ca="1" si="12"/>
        <v>"2084209459" : "nếu không thì",</v>
      </c>
    </row>
    <row r="833" spans="1:6" ht="15.75" customHeight="1">
      <c r="A833" s="18">
        <v>2084217133</v>
      </c>
      <c r="B833" s="18" t="s">
        <v>22402</v>
      </c>
      <c r="C833" s="18" t="s">
        <v>22403</v>
      </c>
      <c r="D833" s="4" t="str">
        <f ca="1">IFERROR(__xludf.DUMMYFUNCTION("GOOGLETRANSLATE(B833,""ja"",""vi"")"),"Alba")</f>
        <v>Alba</v>
      </c>
      <c r="E833" s="4" t="str">
        <f ca="1">IFERROR(__xludf.DUMMYFUNCTION("GOOGLETRANSLATE(C833,""ja"",""vi"")"),"Loading...")</f>
        <v>Loading...</v>
      </c>
      <c r="F833" t="str">
        <f t="shared" ca="1" si="12"/>
        <v>"2084217133" : "Alba",</v>
      </c>
    </row>
    <row r="834" spans="1:6" ht="15.75" customHeight="1">
      <c r="A834" s="18">
        <v>2084211410</v>
      </c>
      <c r="B834" s="18" t="s">
        <v>14078</v>
      </c>
      <c r="C834" s="18" t="s">
        <v>22406</v>
      </c>
      <c r="D834" s="4" t="str">
        <f ca="1">IFERROR(__xludf.DUMMYFUNCTION("GOOGLETRANSLATE(B834,""ja"",""vi"")"),"bộ phận đánh lửa")</f>
        <v>bộ phận đánh lửa</v>
      </c>
      <c r="E834" s="4" t="str">
        <f ca="1">IFERROR(__xludf.DUMMYFUNCTION("GOOGLETRANSLATE(C834,""ja"",""vi"")"),"Loading...")</f>
        <v>Loading...</v>
      </c>
      <c r="F834" t="str">
        <f t="shared" ca="1" si="12"/>
        <v>"2084211410" : "bộ phận đánh lửa",</v>
      </c>
    </row>
    <row r="835" spans="1:6" ht="15.75" customHeight="1">
      <c r="A835" s="18">
        <v>2084053756</v>
      </c>
      <c r="B835" s="18" t="s">
        <v>22410</v>
      </c>
      <c r="C835" s="18" t="s">
        <v>22411</v>
      </c>
      <c r="D835" s="4" t="str">
        <f ca="1">IFERROR(__xludf.DUMMYFUNCTION("GOOGLETRANSLATE(B835,""ja"",""vi"")"),"Aix Celine")</f>
        <v>Aix Celine</v>
      </c>
      <c r="E835" s="4" t="str">
        <f ca="1">IFERROR(__xludf.DUMMYFUNCTION("GOOGLETRANSLATE(C835,""ja"",""vi"")"),"Loading...")</f>
        <v>Loading...</v>
      </c>
      <c r="F835" t="str">
        <f t="shared" ref="F835:F898" ca="1" si="13">CONCATENATE(CHAR(34)&amp;"",A835,""&amp;CHAR(34)," : ", CHAR(34)&amp;"",D835,""&amp;CHAR(34),",")</f>
        <v>"2084053756" : "Aix Celine",</v>
      </c>
    </row>
    <row r="836" spans="1:6" ht="15.75" customHeight="1">
      <c r="A836" s="18">
        <v>2084054005</v>
      </c>
      <c r="B836" s="18" t="s">
        <v>22415</v>
      </c>
      <c r="C836" s="18" t="s">
        <v>22416</v>
      </c>
      <c r="D836" s="4" t="str">
        <f ca="1">IFERROR(__xludf.DUMMYFUNCTION("GOOGLETRANSLATE(B836,""ja"",""vi"")"),"căn nguyên")</f>
        <v>căn nguyên</v>
      </c>
      <c r="E836" s="4" t="str">
        <f ca="1">IFERROR(__xludf.DUMMYFUNCTION("GOOGLETRANSLATE(C836,""ja"",""vi"")"),"Đấu giá&gt; phụ kiện, đồng hồ&gt; thương hiệu đồng hồ đeo tay&gt; chữ s&gt; Seiko&gt; nôi")</f>
        <v>Đấu giá&gt; phụ kiện, đồng hồ&gt; thương hiệu đồng hồ đeo tay&gt; chữ s&gt; Seiko&gt; nôi</v>
      </c>
      <c r="F836" t="str">
        <f t="shared" ca="1" si="13"/>
        <v>"2084054005" : "căn nguyên",</v>
      </c>
    </row>
    <row r="837" spans="1:6" ht="15.75" customHeight="1">
      <c r="A837" s="18">
        <v>2084053754</v>
      </c>
      <c r="B837" s="18" t="s">
        <v>22419</v>
      </c>
      <c r="C837" s="18" t="s">
        <v>22420</v>
      </c>
      <c r="D837" s="4" t="str">
        <f ca="1">IFERROR(__xludf.DUMMYFUNCTION("GOOGLETRANSLATE(B837,""ja"",""vi"")"),"Đại Seiko")</f>
        <v>Đại Seiko</v>
      </c>
      <c r="E837" s="4" t="str">
        <f ca="1">IFERROR(__xludf.DUMMYFUNCTION("GOOGLETRANSLATE(C837,""ja"",""vi"")"),"Loading...")</f>
        <v>Loading...</v>
      </c>
      <c r="F837" t="str">
        <f t="shared" ca="1" si="13"/>
        <v>"2084053754" : "Đại Seiko",</v>
      </c>
    </row>
    <row r="838" spans="1:6" ht="15.75" customHeight="1">
      <c r="A838" s="18">
        <v>2084211407</v>
      </c>
      <c r="B838" s="18" t="s">
        <v>22424</v>
      </c>
      <c r="C838" s="18" t="s">
        <v>22425</v>
      </c>
      <c r="D838" s="4" t="str">
        <f ca="1">IFERROR(__xludf.DUMMYFUNCTION("GOOGLETRANSLATE(B838,""ja"",""vi"")"),"thần linh")</f>
        <v>thần linh</v>
      </c>
      <c r="E838" s="4" t="str">
        <f ca="1">IFERROR(__xludf.DUMMYFUNCTION("GOOGLETRANSLATE(C838,""ja"",""vi"")"),"Loading...")</f>
        <v>Loading...</v>
      </c>
      <c r="F838" t="str">
        <f t="shared" ca="1" si="13"/>
        <v>"2084211407" : "thần linh",</v>
      </c>
    </row>
    <row r="839" spans="1:6" ht="15.75" customHeight="1">
      <c r="A839" s="18">
        <v>2084053755</v>
      </c>
      <c r="B839" s="18" t="s">
        <v>22427</v>
      </c>
      <c r="C839" s="18" t="s">
        <v>22428</v>
      </c>
      <c r="D839" s="4" t="str">
        <f ca="1">IFERROR(__xludf.DUMMYFUNCTION("GOOGLETRANSLATE(B839,""ja"",""vi"")"),"Dolce")</f>
        <v>Dolce</v>
      </c>
      <c r="E839" s="4" t="str">
        <f ca="1">IFERROR(__xludf.DUMMYFUNCTION("GOOGLETRANSLATE(C839,""ja"",""vi"")"),"Đấu giá&gt; phụ kiện, đồng hồ&gt; thương hiệu đồng hồ đeo tay&gt; chữ s&gt; Seiko&gt; Dolce")</f>
        <v>Đấu giá&gt; phụ kiện, đồng hồ&gt; thương hiệu đồng hồ đeo tay&gt; chữ s&gt; Seiko&gt; Dolce</v>
      </c>
      <c r="F839" t="str">
        <f t="shared" ca="1" si="13"/>
        <v>"2084053755" : "Dolce",</v>
      </c>
    </row>
    <row r="840" spans="1:6" ht="15.75" customHeight="1">
      <c r="A840" s="18">
        <v>2084053758</v>
      </c>
      <c r="B840" s="18" t="s">
        <v>22430</v>
      </c>
      <c r="C840" s="18" t="s">
        <v>22431</v>
      </c>
      <c r="D840" s="4" t="str">
        <f ca="1">IFERROR(__xludf.DUMMYFUNCTION("GOOGLETRANSLATE(B840,""ja"",""vi"")"),"brights")</f>
        <v>brights</v>
      </c>
      <c r="E840" s="4" t="str">
        <f ca="1">IFERROR(__xludf.DUMMYFUNCTION("GOOGLETRANSLATE(C840,""ja"",""vi"")"),"Đấu giá&gt; phụ kiện, đồng hồ&gt; thương hiệu đồng hồ đeo tay&gt; chữ s&gt; Seiko&gt; brights")</f>
        <v>Đấu giá&gt; phụ kiện, đồng hồ&gt; thương hiệu đồng hồ đeo tay&gt; chữ s&gt; Seiko&gt; brights</v>
      </c>
      <c r="F840" t="str">
        <f t="shared" ca="1" si="13"/>
        <v>"2084053758" : "brights",</v>
      </c>
    </row>
    <row r="841" spans="1:6" ht="15.75" customHeight="1">
      <c r="A841" s="18">
        <v>2084211409</v>
      </c>
      <c r="B841" s="18" t="s">
        <v>22433</v>
      </c>
      <c r="C841" s="18" t="s">
        <v>22434</v>
      </c>
      <c r="D841" s="4" t="str">
        <f ca="1">IFERROR(__xludf.DUMMYFUNCTION("GOOGLETRANSLATE(B841,""ja"",""vi"")"),"PROSPEX")</f>
        <v>PROSPEX</v>
      </c>
      <c r="E841" s="4" t="str">
        <f ca="1">IFERROR(__xludf.DUMMYFUNCTION("GOOGLETRANSLATE(C841,""ja"",""vi"")"),"Đấu giá&gt; phụ kiện, đồng hồ&gt; thương hiệu đồng hồ đeo tay&gt; chữ s&gt; Seiko&gt; PROSPEX")</f>
        <v>Đấu giá&gt; phụ kiện, đồng hồ&gt; thương hiệu đồng hồ đeo tay&gt; chữ s&gt; Seiko&gt; PROSPEX</v>
      </c>
      <c r="F841" t="str">
        <f t="shared" ca="1" si="13"/>
        <v>"2084211409" : "PROSPEX",</v>
      </c>
    </row>
    <row r="842" spans="1:6" ht="15.75" customHeight="1">
      <c r="A842" s="18">
        <v>2084053757</v>
      </c>
      <c r="B842" s="18" t="s">
        <v>22435</v>
      </c>
      <c r="C842" s="18" t="s">
        <v>22436</v>
      </c>
      <c r="D842" s="4" t="str">
        <f ca="1">IFERROR(__xludf.DUMMYFUNCTION("GOOGLETRANSLATE(B842,""ja"",""vi"")"),"Rukia")</f>
        <v>Rukia</v>
      </c>
      <c r="E842" s="4" t="str">
        <f ca="1">IFERROR(__xludf.DUMMYFUNCTION("GOOGLETRANSLATE(C842,""ja"",""vi"")"),"Loading...")</f>
        <v>Loading...</v>
      </c>
      <c r="F842" t="str">
        <f t="shared" ca="1" si="13"/>
        <v>"2084053757" : "Rukia",</v>
      </c>
    </row>
    <row r="843" spans="1:6" ht="15.75" customHeight="1">
      <c r="A843" s="18">
        <v>2084211408</v>
      </c>
      <c r="B843" s="18" t="s">
        <v>22439</v>
      </c>
      <c r="C843" s="18" t="s">
        <v>22440</v>
      </c>
      <c r="D843" s="4" t="str">
        <f ca="1">IFERROR(__xludf.DUMMYFUNCTION("GOOGLETRANSLATE(B843,""ja"",""vi"")"),"Wired")</f>
        <v>Wired</v>
      </c>
      <c r="E843" s="4" t="str">
        <f ca="1">IFERROR(__xludf.DUMMYFUNCTION("GOOGLETRANSLATE(C843,""ja"",""vi"")"),"Loading...")</f>
        <v>Loading...</v>
      </c>
      <c r="F843" t="str">
        <f t="shared" ca="1" si="13"/>
        <v>"2084211408" : "Wired",</v>
      </c>
    </row>
    <row r="844" spans="1:6" ht="15.75" customHeight="1">
      <c r="A844" s="18">
        <v>2084214380</v>
      </c>
      <c r="B844" s="18" t="s">
        <v>22441</v>
      </c>
      <c r="C844" s="18" t="s">
        <v>22443</v>
      </c>
      <c r="D844" s="4" t="str">
        <f ca="1">IFERROR(__xludf.DUMMYFUNCTION("GOOGLETRANSLATE(B844,""ja"",""vi"")"),"mô hình nước ngoài")</f>
        <v>mô hình nước ngoài</v>
      </c>
      <c r="E844" s="4" t="str">
        <f ca="1">IFERROR(__xludf.DUMMYFUNCTION("GOOGLETRANSLATE(C844,""ja"",""vi"")"),"Đấu giá&gt; phụ kiện, đồng hồ&gt; thương hiệu đồng hồ đeo tay&gt; chữ s&gt; Seiko&gt; mô hình nước ngoài")</f>
        <v>Đấu giá&gt; phụ kiện, đồng hồ&gt; thương hiệu đồng hồ đeo tay&gt; chữ s&gt; Seiko&gt; mô hình nước ngoài</v>
      </c>
      <c r="F844" t="str">
        <f t="shared" ca="1" si="13"/>
        <v>"2084214380" : "mô hình nước ngoài",</v>
      </c>
    </row>
    <row r="845" spans="1:6" ht="15.75" customHeight="1">
      <c r="A845" s="18">
        <v>2084310831</v>
      </c>
      <c r="B845" s="18" t="s">
        <v>1612</v>
      </c>
      <c r="C845" s="18" t="s">
        <v>22444</v>
      </c>
      <c r="D845" s="4" t="str">
        <f ca="1">IFERROR(__xludf.DUMMYFUNCTION("GOOGLETRANSLATE(B845,""ja"",""vi"")"),"bộ phận")</f>
        <v>bộ phận</v>
      </c>
      <c r="E845" s="4" t="str">
        <f ca="1">IFERROR(__xludf.DUMMYFUNCTION("GOOGLETRANSLATE(C845,""ja"",""vi"")"),"Đấu giá&gt; phụ kiện, đồng hồ&gt; thương hiệu đồng hồ đeo tay&gt; chữ s&gt; Seiko&gt; Linh kiện")</f>
        <v>Đấu giá&gt; phụ kiện, đồng hồ&gt; thương hiệu đồng hồ đeo tay&gt; chữ s&gt; Seiko&gt; Linh kiện</v>
      </c>
      <c r="F845" t="str">
        <f t="shared" ca="1" si="13"/>
        <v>"2084310831" : "bộ phận",</v>
      </c>
    </row>
    <row r="846" spans="1:6" ht="15.75" customHeight="1">
      <c r="A846" s="18">
        <v>2084310830</v>
      </c>
      <c r="B846" s="18" t="s">
        <v>22347</v>
      </c>
      <c r="C846" s="18" t="s">
        <v>22445</v>
      </c>
      <c r="D846" s="4" t="str">
        <f ca="1">IFERROR(__xludf.DUMMYFUNCTION("GOOGLETRANSLATE(B846,""ja"",""vi"")"),"Belt, vòng đeo tay")</f>
        <v>Belt, vòng đeo tay</v>
      </c>
      <c r="E846" s="4" t="str">
        <f ca="1">IFERROR(__xludf.DUMMYFUNCTION("GOOGLETRANSLATE(C846,""ja"",""vi"")"),"Loading...")</f>
        <v>Loading...</v>
      </c>
      <c r="F846" t="str">
        <f t="shared" ca="1" si="13"/>
        <v>"2084310830" : "Belt, vòng đeo tay",</v>
      </c>
    </row>
    <row r="847" spans="1:6" ht="15.75" customHeight="1">
      <c r="A847" s="18">
        <v>2084310832</v>
      </c>
      <c r="B847" s="18" t="s">
        <v>22446</v>
      </c>
      <c r="C847" s="18" t="s">
        <v>22447</v>
      </c>
      <c r="D847" s="4" t="str">
        <f ca="1">IFERROR(__xludf.DUMMYFUNCTION("GOOGLETRANSLATE(B847,""ja"",""vi"")"),"Hộp, thẻ bảo hành, phụ kiện")</f>
        <v>Hộp, thẻ bảo hành, phụ kiện</v>
      </c>
      <c r="E847" s="4" t="str">
        <f ca="1">IFERROR(__xludf.DUMMYFUNCTION("GOOGLETRANSLATE(C847,""ja"",""vi"")"),"Loading...")</f>
        <v>Loading...</v>
      </c>
      <c r="F847" t="str">
        <f t="shared" ca="1" si="13"/>
        <v>"2084310832" : "Hộp, thẻ bảo hành, phụ kiện",</v>
      </c>
    </row>
    <row r="848" spans="1:6" ht="15.75" customHeight="1">
      <c r="A848" s="18">
        <v>2084053759</v>
      </c>
      <c r="B848" s="18" t="s">
        <v>46</v>
      </c>
      <c r="C848" s="18" t="s">
        <v>22448</v>
      </c>
      <c r="D848" s="4" t="str">
        <f ca="1">IFERROR(__xludf.DUMMYFUNCTION("GOOGLETRANSLATE(B848,""ja"",""vi"")"),"nếu không thì")</f>
        <v>nếu không thì</v>
      </c>
      <c r="E848" s="4" t="str">
        <f ca="1">IFERROR(__xludf.DUMMYFUNCTION("GOOGLETRANSLATE(C848,""ja"",""vi"")"),"Đấu giá&gt; phụ kiện, đồng hồ&gt; thương hiệu đồng hồ đeo tay&gt; chữ s&gt; Seiko&gt; Khác")</f>
        <v>Đấu giá&gt; phụ kiện, đồng hồ&gt; thương hiệu đồng hồ đeo tay&gt; chữ s&gt; Seiko&gt; Khác</v>
      </c>
      <c r="F848" t="str">
        <f t="shared" ca="1" si="13"/>
        <v>"2084053759" : "nếu không thì",</v>
      </c>
    </row>
    <row r="849" spans="1:6" ht="15.75" customHeight="1">
      <c r="A849" s="18">
        <v>2084213153</v>
      </c>
      <c r="B849" s="18" t="s">
        <v>1512</v>
      </c>
      <c r="C849" s="18" t="s">
        <v>22470</v>
      </c>
      <c r="D849" s="4" t="str">
        <f ca="1">IFERROR(__xludf.DUMMYFUNCTION("GOOGLETRANSLATE(B849,""ja"",""vi"")"),"Mickey Mouse")</f>
        <v>Mickey Mouse</v>
      </c>
      <c r="E849" s="4" t="str">
        <f ca="1">IFERROR(__xludf.DUMMYFUNCTION("GOOGLETRANSLATE(C849,""ja"",""vi"")"),"Đấu giá&gt; phụ kiện, đồng hồ&gt; nhân vật đồng hồ đeo tay&gt; Disney&gt; Mickey Mouse")</f>
        <v>Đấu giá&gt; phụ kiện, đồng hồ&gt; nhân vật đồng hồ đeo tay&gt; Disney&gt; Mickey Mouse</v>
      </c>
      <c r="F849" t="str">
        <f t="shared" ca="1" si="13"/>
        <v>"2084213153" : "Mickey Mouse",</v>
      </c>
    </row>
    <row r="850" spans="1:6" ht="15.75" customHeight="1">
      <c r="A850" s="18">
        <v>2084213154</v>
      </c>
      <c r="B850" s="18" t="s">
        <v>7713</v>
      </c>
      <c r="C850" s="18" t="s">
        <v>22471</v>
      </c>
      <c r="D850" s="4" t="str">
        <f ca="1">IFERROR(__xludf.DUMMYFUNCTION("GOOGLETRANSLATE(B850,""ja"",""vi"")"),"chuột Minnie")</f>
        <v>chuột Minnie</v>
      </c>
      <c r="E850" s="4" t="str">
        <f ca="1">IFERROR(__xludf.DUMMYFUNCTION("GOOGLETRANSLATE(C850,""ja"",""vi"")"),"Loading...")</f>
        <v>Loading...</v>
      </c>
      <c r="F850" t="str">
        <f t="shared" ca="1" si="13"/>
        <v>"2084213154" : "chuột Minnie",</v>
      </c>
    </row>
    <row r="851" spans="1:6" ht="15.75" customHeight="1">
      <c r="A851" s="18">
        <v>2084213155</v>
      </c>
      <c r="B851" s="18" t="s">
        <v>7695</v>
      </c>
      <c r="C851" s="18" t="s">
        <v>22472</v>
      </c>
      <c r="D851" s="4" t="str">
        <f ca="1">IFERROR(__xludf.DUMMYFUNCTION("GOOGLETRANSLATE(B851,""ja"",""vi"")"),"Donald Duck")</f>
        <v>Donald Duck</v>
      </c>
      <c r="E851" s="4" t="str">
        <f ca="1">IFERROR(__xludf.DUMMYFUNCTION("GOOGLETRANSLATE(C851,""ja"",""vi"")"),"Loading...")</f>
        <v>Loading...</v>
      </c>
      <c r="F851" t="str">
        <f t="shared" ca="1" si="13"/>
        <v>"2084213155" : "Donald Duck",</v>
      </c>
    </row>
    <row r="852" spans="1:6" ht="15.75" customHeight="1">
      <c r="A852" s="18">
        <v>2084213156</v>
      </c>
      <c r="B852" s="18" t="s">
        <v>7653</v>
      </c>
      <c r="C852" s="18" t="s">
        <v>22473</v>
      </c>
      <c r="D852" s="4" t="str">
        <f ca="1">IFERROR(__xludf.DUMMYFUNCTION("GOOGLETRANSLATE(B852,""ja"",""vi"")"),"Winnie the Pooh")</f>
        <v>Winnie the Pooh</v>
      </c>
      <c r="E852" s="4" t="str">
        <f ca="1">IFERROR(__xludf.DUMMYFUNCTION("GOOGLETRANSLATE(C852,""ja"",""vi"")"),"Đấu giá&gt; phụ kiện, đồng hồ&gt; nhân vật đồng hồ đeo tay&gt; Disney&gt; Winnie the Pooh")</f>
        <v>Đấu giá&gt; phụ kiện, đồng hồ&gt; nhân vật đồng hồ đeo tay&gt; Disney&gt; Winnie the Pooh</v>
      </c>
      <c r="F852" t="str">
        <f t="shared" ca="1" si="13"/>
        <v>"2084213156" : "Winnie the Pooh",</v>
      </c>
    </row>
    <row r="853" spans="1:6" ht="15.75" customHeight="1">
      <c r="A853" s="18">
        <v>2084213157</v>
      </c>
      <c r="B853" s="18" t="s">
        <v>46</v>
      </c>
      <c r="C853" s="18" t="s">
        <v>22474</v>
      </c>
      <c r="D853" s="4" t="str">
        <f ca="1">IFERROR(__xludf.DUMMYFUNCTION("GOOGLETRANSLATE(B853,""ja"",""vi"")"),"nếu không thì")</f>
        <v>nếu không thì</v>
      </c>
      <c r="E853" s="4" t="str">
        <f ca="1">IFERROR(__xludf.DUMMYFUNCTION("GOOGLETRANSLATE(C853,""ja"",""vi"")"),"Đấu giá&gt; phụ kiện, đồng hồ&gt; nhân vật đồng hồ đeo tay&gt; Disney&gt; Khác")</f>
        <v>Đấu giá&gt; phụ kiện, đồng hồ&gt; nhân vật đồng hồ đeo tay&gt; Disney&gt; Khác</v>
      </c>
      <c r="F853" t="str">
        <f t="shared" ca="1" si="13"/>
        <v>"2084213157" : "nếu không thì",</v>
      </c>
    </row>
    <row r="854" spans="1:6" ht="15.75" customHeight="1">
      <c r="A854" s="18">
        <v>2084062955</v>
      </c>
      <c r="B854" s="18" t="s">
        <v>22475</v>
      </c>
      <c r="C854" s="18" t="s">
        <v>22476</v>
      </c>
      <c r="D854" s="4" t="str">
        <f ca="1">IFERROR(__xludf.DUMMYFUNCTION("GOOGLETRANSLATE(B854,""ja"",""vi"")"),"tự động")</f>
        <v>tự động</v>
      </c>
      <c r="E854" s="4" t="str">
        <f ca="1">IFERROR(__xludf.DUMMYFUNCTION("GOOGLETRANSLATE(C854,""ja"",""vi"")"),"Loading...")</f>
        <v>Loading...</v>
      </c>
      <c r="F854" t="str">
        <f t="shared" ca="1" si="13"/>
        <v>"2084062955" : "tự động",</v>
      </c>
    </row>
    <row r="855" spans="1:6" ht="15.75" customHeight="1">
      <c r="A855" s="18">
        <v>2084062956</v>
      </c>
      <c r="B855" s="18" t="s">
        <v>22477</v>
      </c>
      <c r="C855" s="18" t="s">
        <v>22478</v>
      </c>
      <c r="D855" s="4" t="str">
        <f ca="1">IFERROR(__xludf.DUMMYFUNCTION("GOOGLETRANSLATE(B855,""ja"",""vi"")"),"Tay vết thương")</f>
        <v>Tay vết thương</v>
      </c>
      <c r="E855" s="4" t="str">
        <f ca="1">IFERROR(__xludf.DUMMYFUNCTION("GOOGLETRANSLATE(C855,""ja"",""vi"")"),"Loading...")</f>
        <v>Loading...</v>
      </c>
      <c r="F855" t="str">
        <f t="shared" ca="1" si="13"/>
        <v>"2084062956" : "Tay vết thương",</v>
      </c>
    </row>
    <row r="856" spans="1:6" ht="15.75" customHeight="1">
      <c r="A856" s="18">
        <v>2084064132</v>
      </c>
      <c r="B856" s="18" t="s">
        <v>3138</v>
      </c>
      <c r="C856" s="18" t="s">
        <v>22479</v>
      </c>
      <c r="D856" s="4" t="str">
        <f ca="1">IFERROR(__xludf.DUMMYFUNCTION("GOOGLETRANSLATE(B856,""ja"",""vi"")"),"bộ")</f>
        <v>bộ</v>
      </c>
      <c r="E856" s="4" t="str">
        <f ca="1">IFERROR(__xludf.DUMMYFUNCTION("GOOGLETRANSLATE(C856,""ja"",""vi"")"),"Loading...")</f>
        <v>Loading...</v>
      </c>
      <c r="F856" t="str">
        <f t="shared" ca="1" si="13"/>
        <v>"2084064132" : "bộ",</v>
      </c>
    </row>
    <row r="857" spans="1:6" ht="15.75" customHeight="1">
      <c r="A857" s="18">
        <v>2084064133</v>
      </c>
      <c r="B857" s="18" t="s">
        <v>9280</v>
      </c>
      <c r="C857" s="18" t="s">
        <v>22480</v>
      </c>
      <c r="D857" s="4" t="str">
        <f ca="1">IFERROR(__xludf.DUMMYFUNCTION("GOOGLETRANSLATE(B857,""ja"",""vi"")"),"Đối với nam giới")</f>
        <v>Đối với nam giới</v>
      </c>
      <c r="E857" s="4" t="str">
        <f ca="1">IFERROR(__xludf.DUMMYFUNCTION("GOOGLETRANSLATE(C857,""ja"",""vi"")"),"Loading...")</f>
        <v>Loading...</v>
      </c>
      <c r="F857" t="str">
        <f t="shared" ca="1" si="13"/>
        <v>"2084064133" : "Đối với nam giới",</v>
      </c>
    </row>
    <row r="858" spans="1:6" ht="15.75" customHeight="1">
      <c r="A858" s="18">
        <v>2084064134</v>
      </c>
      <c r="B858" s="18" t="s">
        <v>9286</v>
      </c>
      <c r="C858" s="18" t="s">
        <v>22481</v>
      </c>
      <c r="D858" s="4" t="str">
        <f ca="1">IFERROR(__xludf.DUMMYFUNCTION("GOOGLETRANSLATE(B858,""ja"",""vi"")"),"Đối với phụ nữ")</f>
        <v>Đối với phụ nữ</v>
      </c>
      <c r="E858" s="4" t="str">
        <f ca="1">IFERROR(__xludf.DUMMYFUNCTION("GOOGLETRANSLATE(C858,""ja"",""vi"")"),"Đấu giá&gt; Accessories, Đồng hồ&gt; vành đai đồng hồ, ban nhạc&gt; da vành đai&gt; cho phụ nữ")</f>
        <v>Đấu giá&gt; Accessories, Đồng hồ&gt; vành đai đồng hồ, ban nhạc&gt; da vành đai&gt; cho phụ nữ</v>
      </c>
      <c r="F858" t="str">
        <f t="shared" ca="1" si="13"/>
        <v>"2084064134" : "Đối với phụ nữ",</v>
      </c>
    </row>
    <row r="859" spans="1:6" ht="15.75" customHeight="1">
      <c r="A859" s="18">
        <v>2084064135</v>
      </c>
      <c r="B859" s="18" t="s">
        <v>9292</v>
      </c>
      <c r="C859" s="18" t="s">
        <v>22482</v>
      </c>
      <c r="D859" s="4" t="str">
        <f ca="1">IFERROR(__xludf.DUMMYFUNCTION("GOOGLETRANSLATE(B859,""ja"",""vi"")"),"unisex")</f>
        <v>unisex</v>
      </c>
      <c r="E859" s="4" t="str">
        <f ca="1">IFERROR(__xludf.DUMMYFUNCTION("GOOGLETRANSLATE(C859,""ja"",""vi"")"),"Loading...")</f>
        <v>Loading...</v>
      </c>
      <c r="F859" t="str">
        <f t="shared" ca="1" si="13"/>
        <v>"2084064135" : "unisex",</v>
      </c>
    </row>
    <row r="860" spans="1:6" ht="15.75" customHeight="1">
      <c r="A860" s="18">
        <v>2084062476</v>
      </c>
      <c r="B860" s="18" t="s">
        <v>22483</v>
      </c>
      <c r="C860" s="18" t="s">
        <v>22484</v>
      </c>
      <c r="D860" s="4" t="str">
        <f ca="1">IFERROR(__xludf.DUMMYFUNCTION("GOOGLETRANSLATE(B860,""ja"",""vi"")"),"Coma")</f>
        <v>Coma</v>
      </c>
      <c r="E860" s="4" t="str">
        <f ca="1">IFERROR(__xludf.DUMMYFUNCTION("GOOGLETRANSLATE(C860,""ja"",""vi"")"),"Đấu giá&gt; Accessories, Đồng hồ&gt; vành đai đồng hồ, ban nhạc&gt; phần vành đai&gt; hôn mê")</f>
        <v>Đấu giá&gt; Accessories, Đồng hồ&gt; vành đai đồng hồ, ban nhạc&gt; phần vành đai&gt; hôn mê</v>
      </c>
      <c r="F860" t="str">
        <f t="shared" ca="1" si="13"/>
        <v>"2084062476" : "Coma",</v>
      </c>
    </row>
    <row r="861" spans="1:6" ht="15.75" customHeight="1">
      <c r="A861" s="18">
        <v>2084062475</v>
      </c>
      <c r="B861" s="18" t="s">
        <v>18595</v>
      </c>
      <c r="C861" s="18" t="s">
        <v>22485</v>
      </c>
      <c r="D861" s="4" t="str">
        <f ca="1">IFERROR(__xludf.DUMMYFUNCTION("GOOGLETRANSLATE(B861,""ja"",""vi"")"),"khóa")</f>
        <v>khóa</v>
      </c>
      <c r="E861" s="4" t="str">
        <f ca="1">IFERROR(__xludf.DUMMYFUNCTION("GOOGLETRANSLATE(C861,""ja"",""vi"")"),"Loading...")</f>
        <v>Loading...</v>
      </c>
      <c r="F861" t="str">
        <f t="shared" ca="1" si="13"/>
        <v>"2084062475" : "khóa",</v>
      </c>
    </row>
    <row r="862" spans="1:6" ht="15.75" customHeight="1">
      <c r="A862" s="18">
        <v>2084062477</v>
      </c>
      <c r="B862" s="18" t="s">
        <v>46</v>
      </c>
      <c r="C862" s="18" t="s">
        <v>22486</v>
      </c>
      <c r="D862" s="4" t="str">
        <f ca="1">IFERROR(__xludf.DUMMYFUNCTION("GOOGLETRANSLATE(B862,""ja"",""vi"")"),"nếu không thì")</f>
        <v>nếu không thì</v>
      </c>
      <c r="E862" s="4" t="str">
        <f ca="1">IFERROR(__xludf.DUMMYFUNCTION("GOOGLETRANSLATE(C862,""ja"",""vi"")"),"Loading...")</f>
        <v>Loading...</v>
      </c>
      <c r="F862" t="str">
        <f t="shared" ca="1" si="13"/>
        <v>"2084062477" : "nếu không thì",</v>
      </c>
    </row>
    <row r="863" spans="1:6" ht="15.75" customHeight="1">
      <c r="A863" s="18">
        <v>2084062494</v>
      </c>
      <c r="B863" s="18" t="s">
        <v>22487</v>
      </c>
      <c r="C863" s="18" t="s">
        <v>22488</v>
      </c>
      <c r="D863" s="4" t="str">
        <f ca="1">IFERROR(__xludf.DUMMYFUNCTION("GOOGLETRANSLATE(B863,""ja"",""vi"")"),"Đối với một mục duy nhất")</f>
        <v>Đối với một mục duy nhất</v>
      </c>
      <c r="E863" s="4" t="str">
        <f ca="1">IFERROR(__xludf.DUMMYFUNCTION("GOOGLETRANSLATE(C863,""ja"",""vi"")"),"Đấu giá&gt; Accessories, Đồng hồ&gt; trường hợp đồng hồ&gt; để lưu trữ trường hợp chung&gt; riêng")</f>
        <v>Đấu giá&gt; Accessories, Đồng hồ&gt; trường hợp đồng hồ&gt; để lưu trữ trường hợp chung&gt; riêng</v>
      </c>
      <c r="F863" t="str">
        <f t="shared" ca="1" si="13"/>
        <v>"2084062494" : "Đối với một mục duy nhất",</v>
      </c>
    </row>
    <row r="864" spans="1:6" ht="15.75" customHeight="1">
      <c r="A864" s="18">
        <v>2084062495</v>
      </c>
      <c r="B864" s="18" t="s">
        <v>22489</v>
      </c>
      <c r="C864" s="18" t="s">
        <v>22490</v>
      </c>
      <c r="D864" s="4" t="str">
        <f ca="1">IFERROR(__xludf.DUMMYFUNCTION("GOOGLETRANSLATE(B864,""ja"",""vi"")"),"Đối với nhiều")</f>
        <v>Đối với nhiều</v>
      </c>
      <c r="E864" s="4" t="str">
        <f ca="1">IFERROR(__xludf.DUMMYFUNCTION("GOOGLETRANSLATE(C864,""ja"",""vi"")"),"Loading...")</f>
        <v>Loading...</v>
      </c>
      <c r="F864" t="str">
        <f t="shared" ca="1" si="13"/>
        <v>"2084062495" : "Đối với nhiều",</v>
      </c>
    </row>
    <row r="865" spans="1:6" ht="15.75" customHeight="1">
      <c r="A865" s="18">
        <v>2084304415</v>
      </c>
      <c r="B865" s="18" t="s">
        <v>22491</v>
      </c>
      <c r="C865" s="18" t="s">
        <v>22492</v>
      </c>
      <c r="D865" s="4" t="str">
        <f ca="1">IFERROR(__xludf.DUMMYFUNCTION("GOOGLETRANSLATE(B865,""ja"",""vi"")"),"kìm vòng Snap")</f>
        <v>kìm vòng Snap</v>
      </c>
      <c r="E865" s="4" t="str">
        <f ca="1">IFERROR(__xludf.DUMMYFUNCTION("GOOGLETRANSLATE(C865,""ja"",""vi"")"),"Đấu giá&gt; nhà, nội thất&gt; công cụ, DIY nguồn cung cấp&gt; dụng cụ cầm tay, dụng cụ nghề mộc&gt; Kìm&gt; chụp kìm vòng")</f>
        <v>Đấu giá&gt; nhà, nội thất&gt; công cụ, DIY nguồn cung cấp&gt; dụng cụ cầm tay, dụng cụ nghề mộc&gt; Kìm&gt; chụp kìm vòng</v>
      </c>
      <c r="F865" t="str">
        <f t="shared" ca="1" si="13"/>
        <v>"2084304415" : "kìm vòng Snap",</v>
      </c>
    </row>
    <row r="866" spans="1:6" ht="15.75" customHeight="1">
      <c r="A866" s="18">
        <v>2084304416</v>
      </c>
      <c r="B866" s="18" t="s">
        <v>22493</v>
      </c>
      <c r="C866" s="18" t="s">
        <v>22494</v>
      </c>
      <c r="D866" s="4" t="str">
        <f ca="1">IFERROR(__xludf.DUMMYFUNCTION("GOOGLETRANSLATE(B866,""ja"",""vi"")"),"kìm Grip")</f>
        <v>kìm Grip</v>
      </c>
      <c r="E866" s="4" t="str">
        <f ca="1">IFERROR(__xludf.DUMMYFUNCTION("GOOGLETRANSLATE(C866,""ja"",""vi"")"),"Đấu giá&gt; nhà, nội thất&gt; công cụ, DIY nguồn cung cấp&gt; dụng cụ cầm tay, dụng cụ nghề mộc&gt; Kìm&gt; Kìm Grip")</f>
        <v>Đấu giá&gt; nhà, nội thất&gt; công cụ, DIY nguồn cung cấp&gt; dụng cụ cầm tay, dụng cụ nghề mộc&gt; Kìm&gt; Kìm Grip</v>
      </c>
      <c r="F866" t="str">
        <f t="shared" ca="1" si="13"/>
        <v>"2084304416" : "kìm Grip",</v>
      </c>
    </row>
    <row r="867" spans="1:6" ht="15.75" customHeight="1">
      <c r="A867" s="18">
        <v>2084304417</v>
      </c>
      <c r="B867" s="18" t="s">
        <v>22495</v>
      </c>
      <c r="C867" s="18" t="s">
        <v>22496</v>
      </c>
      <c r="D867" s="4" t="str">
        <f ca="1">IFERROR(__xludf.DUMMYFUNCTION("GOOGLETRANSLATE(B867,""ja"",""vi"")"),"Kìm dài Nose")</f>
        <v>Kìm dài Nose</v>
      </c>
      <c r="E867" s="4" t="str">
        <f ca="1">IFERROR(__xludf.DUMMYFUNCTION("GOOGLETRANSLATE(C867,""ja"",""vi"")"),"Loading...")</f>
        <v>Loading...</v>
      </c>
      <c r="F867" t="str">
        <f t="shared" ca="1" si="13"/>
        <v>"2084304417" : "Kìm dài Nose",</v>
      </c>
    </row>
    <row r="868" spans="1:6" ht="15.75" customHeight="1">
      <c r="A868" s="18">
        <v>2084032128</v>
      </c>
      <c r="B868" s="18" t="s">
        <v>22497</v>
      </c>
      <c r="C868" s="18" t="s">
        <v>22498</v>
      </c>
      <c r="D868" s="4" t="str">
        <f ca="1">IFERROR(__xludf.DUMMYFUNCTION("GOOGLETRANSLATE(B868,""ja"",""vi"")"),"analog")</f>
        <v>analog</v>
      </c>
      <c r="E868" s="4" t="str">
        <f ca="1">IFERROR(__xludf.DUMMYFUNCTION("GOOGLETRANSLATE(C868,""ja"",""vi"")"),"Loading...")</f>
        <v>Loading...</v>
      </c>
      <c r="F868" t="str">
        <f t="shared" ca="1" si="13"/>
        <v>"2084032128" : "analog",</v>
      </c>
    </row>
    <row r="869" spans="1:6" ht="15.75" customHeight="1">
      <c r="A869" s="18">
        <v>2084032129</v>
      </c>
      <c r="B869" s="18" t="s">
        <v>6194</v>
      </c>
      <c r="C869" s="18" t="s">
        <v>22499</v>
      </c>
      <c r="D869" s="4" t="str">
        <f ca="1">IFERROR(__xludf.DUMMYFUNCTION("GOOGLETRANSLATE(B869,""ja"",""vi"")"),"kỹ thuật số")</f>
        <v>kỹ thuật số</v>
      </c>
      <c r="E869" s="4" t="str">
        <f ca="1">IFERROR(__xludf.DUMMYFUNCTION("GOOGLETRANSLATE(C869,""ja"",""vi"")"),"Đấu giá&gt; nhà, nội thất&gt; nội thất, nội thất&gt; Nội thất Phụ kiện&gt; bảng đồng hồ, đồng hồ treo tường&gt; đồng hồ treo tường, đồng hồ treo tường&gt; kỹ thuật số")</f>
        <v>Đấu giá&gt; nhà, nội thất&gt; nội thất, nội thất&gt; Nội thất Phụ kiện&gt; bảng đồng hồ, đồng hồ treo tường&gt; đồng hồ treo tường, đồng hồ treo tường&gt; kỹ thuật số</v>
      </c>
      <c r="F869" t="str">
        <f t="shared" ca="1" si="13"/>
        <v>"2084032129" : "kỹ thuật số",</v>
      </c>
    </row>
    <row r="870" spans="1:6" ht="15.75" customHeight="1">
      <c r="A870" s="18">
        <v>2084062479</v>
      </c>
      <c r="B870" s="18" t="s">
        <v>3138</v>
      </c>
      <c r="C870" s="18" t="s">
        <v>18808</v>
      </c>
      <c r="D870" s="4" t="str">
        <f ca="1">IFERROR(__xludf.DUMMYFUNCTION("GOOGLETRANSLATE(B870,""ja"",""vi"")"),"bộ")</f>
        <v>bộ</v>
      </c>
      <c r="E870" s="4" t="str">
        <f ca="1">IFERROR(__xludf.DUMMYFUNCTION("GOOGLETRANSLATE(C870,""ja"",""vi"")"),"Đấu giá&gt; Accessories, Đồng hồ&gt; Xem công cụ&gt; bộ")</f>
        <v>Đấu giá&gt; Accessories, Đồng hồ&gt; Xem công cụ&gt; bộ</v>
      </c>
      <c r="F870" t="str">
        <f t="shared" ca="1" si="13"/>
        <v>"2084062479" : "bộ",</v>
      </c>
    </row>
    <row r="871" spans="1:6" ht="15.75" customHeight="1">
      <c r="A871" s="18">
        <v>2084062480</v>
      </c>
      <c r="B871" s="18" t="s">
        <v>18813</v>
      </c>
      <c r="C871" s="18" t="s">
        <v>18816</v>
      </c>
      <c r="D871" s="4" t="str">
        <f ca="1">IFERROR(__xludf.DUMMYFUNCTION("GOOGLETRANSLATE(B871,""ja"",""vi"")"),"người mở")</f>
        <v>người mở</v>
      </c>
      <c r="E871" s="4" t="str">
        <f ca="1">IFERROR(__xludf.DUMMYFUNCTION("GOOGLETRANSLATE(C871,""ja"",""vi"")"),"Đấu giá&gt; Accessories, Đồng hồ&gt; Xem công cụ&gt; mở")</f>
        <v>Đấu giá&gt; Accessories, Đồng hồ&gt; Xem công cụ&gt; mở</v>
      </c>
      <c r="F871" t="str">
        <f t="shared" ca="1" si="13"/>
        <v>"2084062480" : "người mở",</v>
      </c>
    </row>
    <row r="872" spans="1:6" ht="15.75" customHeight="1">
      <c r="A872" s="18">
        <v>2084062481</v>
      </c>
      <c r="B872" s="18" t="s">
        <v>18763</v>
      </c>
      <c r="C872" s="18" t="s">
        <v>18821</v>
      </c>
      <c r="D872" s="4" t="str">
        <f ca="1">IFERROR(__xludf.DUMMYFUNCTION("GOOGLETRANSLATE(B872,""ja"",""vi"")"),"Mùa xuân Bohazushi")</f>
        <v>Mùa xuân Bohazushi</v>
      </c>
      <c r="E872" s="4" t="str">
        <f ca="1">IFERROR(__xludf.DUMMYFUNCTION("GOOGLETRANSLATE(C872,""ja"",""vi"")"),"Đấu giá&gt; Accessories, Đồng hồ&gt; Xem công cụ&gt; mùa xuân Bohazushi")</f>
        <v>Đấu giá&gt; Accessories, Đồng hồ&gt; Xem công cụ&gt; mùa xuân Bohazushi</v>
      </c>
      <c r="F872" t="str">
        <f t="shared" ca="1" si="13"/>
        <v>"2084062481" : "Mùa xuân Bohazushi",</v>
      </c>
    </row>
    <row r="873" spans="1:6" ht="15.75" customHeight="1">
      <c r="A873" s="18">
        <v>2084062483</v>
      </c>
      <c r="B873" s="18" t="s">
        <v>18822</v>
      </c>
      <c r="C873" s="18" t="s">
        <v>18824</v>
      </c>
      <c r="D873" s="4" t="str">
        <f ca="1">IFERROR(__xludf.DUMMYFUNCTION("GOOGLETRANSLATE(B873,""ja"",""vi"")"),"cái nhíp nhổ tóc")</f>
        <v>cái nhíp nhổ tóc</v>
      </c>
      <c r="E873" s="4" t="str">
        <f ca="1">IFERROR(__xludf.DUMMYFUNCTION("GOOGLETRANSLATE(C873,""ja"",""vi"")"),"Đấu giá&gt; Accessories, Đồng hồ&gt; công cụ đồng hồ&gt; nhíp")</f>
        <v>Đấu giá&gt; Accessories, Đồng hồ&gt; công cụ đồng hồ&gt; nhíp</v>
      </c>
      <c r="F873" t="str">
        <f t="shared" ca="1" si="13"/>
        <v>"2084062483" : "cái nhíp nhổ tóc",</v>
      </c>
    </row>
    <row r="874" spans="1:6" ht="15.75" customHeight="1">
      <c r="A874" s="18">
        <v>2084042044</v>
      </c>
      <c r="B874" s="18" t="s">
        <v>17497</v>
      </c>
      <c r="C874" s="18" t="s">
        <v>18829</v>
      </c>
      <c r="D874" s="4" t="str">
        <f ca="1">IFERROR(__xludf.DUMMYFUNCTION("GOOGLETRANSLATE(B874,""ja"",""vi"")"),"cái kìm")</f>
        <v>cái kìm</v>
      </c>
      <c r="E874" s="4" t="str">
        <f ca="1">IFERROR(__xludf.DUMMYFUNCTION("GOOGLETRANSLATE(C874,""ja"",""vi"")"),"Đấu giá&gt; Accessories, Đồng hồ&gt; công cụ đồng hồ&gt; Kìm")</f>
        <v>Đấu giá&gt; Accessories, Đồng hồ&gt; công cụ đồng hồ&gt; Kìm</v>
      </c>
      <c r="F874" t="str">
        <f t="shared" ca="1" si="13"/>
        <v>"2084042044" : "cái kìm",</v>
      </c>
    </row>
    <row r="875" spans="1:6" ht="15.75" customHeight="1">
      <c r="A875" s="18">
        <v>2084062484</v>
      </c>
      <c r="B875" s="18" t="s">
        <v>18830</v>
      </c>
      <c r="C875" s="18" t="s">
        <v>18833</v>
      </c>
      <c r="D875" s="4" t="str">
        <f ca="1">IFERROR(__xludf.DUMMYFUNCTION("GOOGLETRANSLATE(B875,""ja"",""vi"")"),"lúp kính")</f>
        <v>lúp kính</v>
      </c>
      <c r="E875" s="4" t="str">
        <f ca="1">IFERROR(__xludf.DUMMYFUNCTION("GOOGLETRANSLATE(C875,""ja"",""vi"")"),"Đấu giá&gt; Accessories, Đồng hồ&gt; Xem công cụ&gt; kính lúp")</f>
        <v>Đấu giá&gt; Accessories, Đồng hồ&gt; Xem công cụ&gt; kính lúp</v>
      </c>
      <c r="F875" t="str">
        <f t="shared" ca="1" si="13"/>
        <v>"2084062484" : "lúp kính",</v>
      </c>
    </row>
    <row r="876" spans="1:6" ht="15.75" customHeight="1">
      <c r="A876" s="18">
        <v>2084062482</v>
      </c>
      <c r="B876" s="18" t="s">
        <v>17462</v>
      </c>
      <c r="C876" s="18" t="s">
        <v>18838</v>
      </c>
      <c r="D876" s="4" t="str">
        <f ca="1">IFERROR(__xludf.DUMMYFUNCTION("GOOGLETRANSLATE(B876,""ja"",""vi"")"),"Chính xác Screwdriver")</f>
        <v>Chính xác Screwdriver</v>
      </c>
      <c r="E876" s="4" t="str">
        <f ca="1">IFERROR(__xludf.DUMMYFUNCTION("GOOGLETRANSLATE(C876,""ja"",""vi"")"),"Đấu giá&gt; Accessories, Đồng hồ&gt; Xem công cụ&gt; chính xác screwdriver")</f>
        <v>Đấu giá&gt; Accessories, Đồng hồ&gt; Xem công cụ&gt; chính xác screwdriver</v>
      </c>
      <c r="F876" t="str">
        <f t="shared" ca="1" si="13"/>
        <v>"2084062482" : "Chính xác Screwdriver",</v>
      </c>
    </row>
    <row r="877" spans="1:6" ht="15.75" customHeight="1">
      <c r="A877" s="18">
        <v>2084062491</v>
      </c>
      <c r="B877" s="18" t="s">
        <v>18840</v>
      </c>
      <c r="C877" s="18" t="s">
        <v>18842</v>
      </c>
      <c r="D877" s="4" t="str">
        <f ca="1">IFERROR(__xludf.DUMMYFUNCTION("GOOGLETRANSLATE(B877,""ja"",""vi"")"),"pin đồng hồ")</f>
        <v>pin đồng hồ</v>
      </c>
      <c r="E877" s="4" t="str">
        <f ca="1">IFERROR(__xludf.DUMMYFUNCTION("GOOGLETRANSLATE(C877,""ja"",""vi"")"),"Đấu giá&gt; Accessories, Đồng hồ&gt; Xem công cụ&gt; pin đồng hồ")</f>
        <v>Đấu giá&gt; Accessories, Đồng hồ&gt; Xem công cụ&gt; pin đồng hồ</v>
      </c>
      <c r="F877" t="str">
        <f t="shared" ca="1" si="13"/>
        <v>"2084062491" : "pin đồng hồ",</v>
      </c>
    </row>
    <row r="878" spans="1:6" ht="15.75" customHeight="1">
      <c r="A878" s="18">
        <v>2084062485</v>
      </c>
      <c r="B878" s="18" t="s">
        <v>46</v>
      </c>
      <c r="C878" s="18" t="s">
        <v>18847</v>
      </c>
      <c r="D878" s="4" t="str">
        <f ca="1">IFERROR(__xludf.DUMMYFUNCTION("GOOGLETRANSLATE(B878,""ja"",""vi"")"),"nếu không thì")</f>
        <v>nếu không thì</v>
      </c>
      <c r="E878" s="4" t="str">
        <f ca="1">IFERROR(__xludf.DUMMYFUNCTION("GOOGLETRANSLATE(C878,""ja"",""vi"")"),"Đấu giá&gt; Accessories, Đồng hồ&gt; Xem công cụ&gt; Khác")</f>
        <v>Đấu giá&gt; Accessories, Đồng hồ&gt; Xem công cụ&gt; Khác</v>
      </c>
      <c r="F878" t="str">
        <f t="shared" ca="1" si="13"/>
        <v>"2084062485" : "nếu không thì",</v>
      </c>
    </row>
    <row r="879" spans="1:6" ht="15.75" customHeight="1">
      <c r="A879" s="18">
        <v>2084032121</v>
      </c>
      <c r="B879" s="18" t="s">
        <v>22497</v>
      </c>
      <c r="C879" s="18" t="s">
        <v>22500</v>
      </c>
      <c r="D879" s="4" t="str">
        <f ca="1">IFERROR(__xludf.DUMMYFUNCTION("GOOGLETRANSLATE(B879,""ja"",""vi"")"),"analog")</f>
        <v>analog</v>
      </c>
      <c r="E879" s="4" t="str">
        <f ca="1">IFERROR(__xludf.DUMMYFUNCTION("GOOGLETRANSLATE(C879,""ja"",""vi"")"),"Loading...")</f>
        <v>Loading...</v>
      </c>
      <c r="F879" t="str">
        <f t="shared" ca="1" si="13"/>
        <v>"2084032121" : "analog",</v>
      </c>
    </row>
    <row r="880" spans="1:6" ht="15.75" customHeight="1">
      <c r="A880" s="18">
        <v>2084032124</v>
      </c>
      <c r="B880" s="18" t="s">
        <v>6194</v>
      </c>
      <c r="C880" s="18" t="s">
        <v>22501</v>
      </c>
      <c r="D880" s="4" t="str">
        <f ca="1">IFERROR(__xludf.DUMMYFUNCTION("GOOGLETRANSLATE(B880,""ja"",""vi"")"),"kỹ thuật số")</f>
        <v>kỹ thuật số</v>
      </c>
      <c r="E880" s="4" t="str">
        <f ca="1">IFERROR(__xludf.DUMMYFUNCTION("GOOGLETRANSLATE(C880,""ja"",""vi"")"),"Đấu giá&gt; nhà, nội thất&gt; nội thất, nội thất&gt; Nội thất Phụ kiện&gt; bảng đồng hồ, đồng hồ treo tường&gt; đồng hồ&gt; Kỹ thuật số")</f>
        <v>Đấu giá&gt; nhà, nội thất&gt; nội thất, nội thất&gt; Nội thất Phụ kiện&gt; bảng đồng hồ, đồng hồ treo tường&gt; đồng hồ&gt; Kỹ thuật số</v>
      </c>
      <c r="F880" t="str">
        <f t="shared" ca="1" si="13"/>
        <v>"2084032124" : "kỹ thuật số",</v>
      </c>
    </row>
    <row r="881" spans="1:6" ht="15.75" customHeight="1">
      <c r="A881" s="18">
        <v>2084240621</v>
      </c>
      <c r="B881" s="18" t="s">
        <v>20386</v>
      </c>
      <c r="C881" s="18" t="s">
        <v>22502</v>
      </c>
      <c r="D881" s="4" t="str">
        <f ca="1">IFERROR(__xludf.DUMMYFUNCTION("GOOGLETRANSLATE(B881,""ja"",""vi"")"),"Bông tai, bông tai")</f>
        <v>Bông tai, bông tai</v>
      </c>
      <c r="E881" s="4" t="str">
        <f ca="1">IFERROR(__xludf.DUMMYFUNCTION("GOOGLETRANSLATE(C881,""ja"",""vi"")"),"Đấu giá&gt; Accessories, Đồng hồ&gt; handmade&gt; Phụ kiện (đối với nữ)&gt; bông tai, bông tai")</f>
        <v>Đấu giá&gt; Accessories, Đồng hồ&gt; handmade&gt; Phụ kiện (đối với nữ)&gt; bông tai, bông tai</v>
      </c>
      <c r="F881" t="str">
        <f t="shared" ca="1" si="13"/>
        <v>"2084240621" : "Bông tai, bông tai",</v>
      </c>
    </row>
    <row r="882" spans="1:6" ht="15.75" customHeight="1">
      <c r="A882" s="18">
        <v>2084240620</v>
      </c>
      <c r="B882" s="18" t="s">
        <v>20373</v>
      </c>
      <c r="C882" s="18" t="s">
        <v>22503</v>
      </c>
      <c r="D882" s="4" t="str">
        <f ca="1">IFERROR(__xludf.DUMMYFUNCTION("GOOGLETRANSLATE(B882,""ja"",""vi"")"),"Vòng cổ, mặt dây chuyền, vòng cổ")</f>
        <v>Vòng cổ, mặt dây chuyền, vòng cổ</v>
      </c>
      <c r="E882" s="4" t="str">
        <f ca="1">IFERROR(__xludf.DUMMYFUNCTION("GOOGLETRANSLATE(C882,""ja"",""vi"")"),"Đấu giá&gt; Accessories, Đồng hồ&gt; handmade&gt; Phụ kiện (đối với nữ)&gt; vòng cổ, mặt dây chuyền, vòng cổ")</f>
        <v>Đấu giá&gt; Accessories, Đồng hồ&gt; handmade&gt; Phụ kiện (đối với nữ)&gt; vòng cổ, mặt dây chuyền, vòng cổ</v>
      </c>
      <c r="F882" t="str">
        <f t="shared" ca="1" si="13"/>
        <v>"2084240620" : "Vòng cổ, mặt dây chuyền, vòng cổ",</v>
      </c>
    </row>
    <row r="883" spans="1:6" ht="15.75" customHeight="1">
      <c r="A883" s="18">
        <v>2084240619</v>
      </c>
      <c r="B883" s="18" t="s">
        <v>18520</v>
      </c>
      <c r="C883" s="18" t="s">
        <v>22504</v>
      </c>
      <c r="D883" s="4" t="str">
        <f ca="1">IFERROR(__xludf.DUMMYFUNCTION("GOOGLETRANSLATE(B883,""ja"",""vi"")"),"phụ kiện tóc")</f>
        <v>phụ kiện tóc</v>
      </c>
      <c r="E883" s="4" t="str">
        <f ca="1">IFERROR(__xludf.DUMMYFUNCTION("GOOGLETRANSLATE(C883,""ja"",""vi"")"),"Đấu giá&gt; Accessories, Đồng hồ&gt; handmade&gt; Phụ kiện (đối với nữ)&gt; phụ kiện tóc")</f>
        <v>Đấu giá&gt; Accessories, Đồng hồ&gt; handmade&gt; Phụ kiện (đối với nữ)&gt; phụ kiện tóc</v>
      </c>
      <c r="F883" t="str">
        <f t="shared" ca="1" si="13"/>
        <v>"2084240619" : "phụ kiện tóc",</v>
      </c>
    </row>
    <row r="884" spans="1:6" ht="15.75" customHeight="1">
      <c r="A884" s="18">
        <v>2084240622</v>
      </c>
      <c r="B884" s="18" t="s">
        <v>46</v>
      </c>
      <c r="C884" s="18" t="s">
        <v>22505</v>
      </c>
      <c r="D884" s="4" t="str">
        <f ca="1">IFERROR(__xludf.DUMMYFUNCTION("GOOGLETRANSLATE(B884,""ja"",""vi"")"),"nếu không thì")</f>
        <v>nếu không thì</v>
      </c>
      <c r="E884" s="4" t="str">
        <f ca="1">IFERROR(__xludf.DUMMYFUNCTION("GOOGLETRANSLATE(C884,""ja"",""vi"")"),"Đấu giá&gt; Accessories, Đồng hồ&gt; handmade&gt; Phụ kiện (đối với nữ)&gt; Khác")</f>
        <v>Đấu giá&gt; Accessories, Đồng hồ&gt; handmade&gt; Phụ kiện (đối với nữ)&gt; Khác</v>
      </c>
      <c r="F884" t="str">
        <f t="shared" ca="1" si="13"/>
        <v>"2084240622" : "nếu không thì",</v>
      </c>
    </row>
    <row r="885" spans="1:6" ht="15.75" customHeight="1">
      <c r="A885" s="18">
        <v>24414</v>
      </c>
      <c r="B885" s="18" t="s">
        <v>7397</v>
      </c>
      <c r="C885" s="18" t="s">
        <v>18123</v>
      </c>
      <c r="D885" s="4" t="str">
        <f ca="1">IFERROR(__xludf.DUMMYFUNCTION("GOOGLETRANSLATE(B885,""ja"",""vi"")"),"May, thêu ren")</f>
        <v>May, thêu ren</v>
      </c>
      <c r="E885" s="4" t="str">
        <f ca="1">IFERROR(__xludf.DUMMYFUNCTION("GOOGLETRANSLATE(C885,""ja"",""vi"")"),"Đấu giá&gt; Sở thích, văn hóa&gt; thủ công, thủ công mỹ nghệ&gt; may, thêu ren")</f>
        <v>Đấu giá&gt; Sở thích, văn hóa&gt; thủ công, thủ công mỹ nghệ&gt; may, thêu ren</v>
      </c>
      <c r="F885" t="str">
        <f t="shared" ca="1" si="13"/>
        <v>"24414" : "May, thêu ren",</v>
      </c>
    </row>
    <row r="886" spans="1:6" ht="15.75" customHeight="1">
      <c r="A886" s="18">
        <v>2084008354</v>
      </c>
      <c r="B886" s="18" t="s">
        <v>6956</v>
      </c>
      <c r="C886" s="18" t="s">
        <v>18128</v>
      </c>
      <c r="D886" s="4" t="str">
        <f ca="1">IFERROR(__xludf.DUMMYFUNCTION("GOOGLETRANSLATE(B886,""ja"",""vi"")"),"máy may")</f>
        <v>máy may</v>
      </c>
      <c r="E886" s="4" t="str">
        <f ca="1">IFERROR(__xludf.DUMMYFUNCTION("GOOGLETRANSLATE(C886,""ja"",""vi"")"),"Đấu giá&gt; Sở thích, văn hóa&gt; thủ công, thủ công mỹ nghệ&gt; máy may")</f>
        <v>Đấu giá&gt; Sở thích, văn hóa&gt; thủ công, thủ công mỹ nghệ&gt; máy may</v>
      </c>
      <c r="F886" t="str">
        <f t="shared" ca="1" si="13"/>
        <v>"2084008354" : "máy may",</v>
      </c>
    </row>
    <row r="887" spans="1:6" ht="15.75" customHeight="1">
      <c r="A887" s="18">
        <v>2084042445</v>
      </c>
      <c r="B887" s="18" t="s">
        <v>7390</v>
      </c>
      <c r="C887" s="18" t="s">
        <v>18131</v>
      </c>
      <c r="D887" s="4" t="str">
        <f ca="1">IFERROR(__xludf.DUMMYFUNCTION("GOOGLETRANSLATE(B887,""ja"",""vi"")"),"Chế tác hạt")</f>
        <v>Chế tác hạt</v>
      </c>
      <c r="E887" s="4" t="str">
        <f ca="1">IFERROR(__xludf.DUMMYFUNCTION("GOOGLETRANSLATE(C887,""ja"",""vi"")"),"Đấu giá&gt; Sở thích, văn hóa&gt; thủ công, thủ công mỹ nghệ&gt; nghệ thuật kết cườm")</f>
        <v>Đấu giá&gt; Sở thích, văn hóa&gt; thủ công, thủ công mỹ nghệ&gt; nghệ thuật kết cườm</v>
      </c>
      <c r="F887" t="str">
        <f t="shared" ca="1" si="13"/>
        <v>"2084042445" : "Chế tác hạt",</v>
      </c>
    </row>
    <row r="888" spans="1:6" ht="15.75" customHeight="1">
      <c r="A888" s="18">
        <v>2084045848</v>
      </c>
      <c r="B888" s="18" t="s">
        <v>7407</v>
      </c>
      <c r="C888" s="18" t="s">
        <v>18133</v>
      </c>
      <c r="D888" s="4" t="str">
        <f ca="1">IFERROR(__xludf.DUMMYFUNCTION("GOOGLETRANSLATE(B888,""ja"",""vi"")"),"đan")</f>
        <v>đan</v>
      </c>
      <c r="E888" s="4" t="str">
        <f ca="1">IFERROR(__xludf.DUMMYFUNCTION("GOOGLETRANSLATE(C888,""ja"",""vi"")"),"Đấu giá&gt; Sở thích, văn hóa&gt; thủ công, thủ công mỹ nghệ&gt; đan")</f>
        <v>Đấu giá&gt; Sở thích, văn hóa&gt; thủ công, thủ công mỹ nghệ&gt; đan</v>
      </c>
      <c r="F888" t="str">
        <f t="shared" ca="1" si="13"/>
        <v>"2084045848" : "đan",</v>
      </c>
    </row>
    <row r="889" spans="1:6" ht="15.75" customHeight="1">
      <c r="A889" s="18">
        <v>2084042444</v>
      </c>
      <c r="B889" s="18" t="s">
        <v>18136</v>
      </c>
      <c r="C889" s="18" t="s">
        <v>18138</v>
      </c>
      <c r="D889" s="4" t="str">
        <f ca="1">IFERROR(__xludf.DUMMYFUNCTION("GOOGLETRANSLATE(B889,""ja"",""vi"")"),"hàng thủ công đất sét")</f>
        <v>hàng thủ công đất sét</v>
      </c>
      <c r="E889" s="4" t="str">
        <f ca="1">IFERROR(__xludf.DUMMYFUNCTION("GOOGLETRANSLATE(C889,""ja"",""vi"")"),"Đấu giá&gt; Sở thích, văn hóa&gt; thủ công, thủ công mỹ nghệ&gt; nghề sét")</f>
        <v>Đấu giá&gt; Sở thích, văn hóa&gt; thủ công, thủ công mỹ nghệ&gt; nghề sét</v>
      </c>
      <c r="F889" t="str">
        <f t="shared" ca="1" si="13"/>
        <v>"2084042444" : "hàng thủ công đất sét",</v>
      </c>
    </row>
    <row r="890" spans="1:6" ht="15.75" customHeight="1">
      <c r="A890" s="18">
        <v>2084063304</v>
      </c>
      <c r="B890" s="18" t="s">
        <v>7394</v>
      </c>
      <c r="C890" s="18" t="s">
        <v>18139</v>
      </c>
      <c r="D890" s="4" t="str">
        <f ca="1">IFERROR(__xludf.DUMMYFUNCTION("GOOGLETRANSLATE(B890,""ja"",""vi"")"),"da nghề")</f>
        <v>da nghề</v>
      </c>
      <c r="E890" s="4" t="str">
        <f ca="1">IFERROR(__xludf.DUMMYFUNCTION("GOOGLETRANSLATE(C890,""ja"",""vi"")"),"Đấu giá&gt; Sở thích, văn hóa&gt; thủ công, thủ công mỹ nghệ&gt; da nghề")</f>
        <v>Đấu giá&gt; Sở thích, văn hóa&gt; thủ công, thủ công mỹ nghệ&gt; da nghề</v>
      </c>
      <c r="F890" t="str">
        <f t="shared" ca="1" si="13"/>
        <v>"2084063304" : "da nghề",</v>
      </c>
    </row>
    <row r="891" spans="1:6" ht="15.75" customHeight="1">
      <c r="A891" s="18">
        <v>2084063305</v>
      </c>
      <c r="B891" s="18" t="s">
        <v>18141</v>
      </c>
      <c r="C891" s="18" t="s">
        <v>18143</v>
      </c>
      <c r="D891" s="4" t="str">
        <f ca="1">IFERROR(__xludf.DUMMYFUNCTION("GOOGLETRANSLATE(B891,""ja"",""vi"")"),"Craft giấy")</f>
        <v>Craft giấy</v>
      </c>
      <c r="E891" s="4" t="str">
        <f ca="1">IFERROR(__xludf.DUMMYFUNCTION("GOOGLETRANSLATE(C891,""ja"",""vi"")"),"Đấu giá&gt; Sở thích, văn hóa&gt; thủ công, thủ công mỹ nghệ&gt; nghề giấy")</f>
        <v>Đấu giá&gt; Sở thích, văn hóa&gt; thủ công, thủ công mỹ nghệ&gt; nghề giấy</v>
      </c>
      <c r="F891" t="str">
        <f t="shared" ca="1" si="13"/>
        <v>"2084063305" : "Craft giấy",</v>
      </c>
    </row>
    <row r="892" spans="1:6" ht="15.75" customHeight="1">
      <c r="A892" s="18">
        <v>2084006705</v>
      </c>
      <c r="B892" s="18" t="s">
        <v>18144</v>
      </c>
      <c r="C892" s="18" t="s">
        <v>18145</v>
      </c>
      <c r="D892" s="4" t="str">
        <f ca="1">IFERROR(__xludf.DUMMYFUNCTION("GOOGLETRANSLATE(B892,""ja"",""vi"")"),"Nghệ thuật hoa, hoa ép")</f>
        <v>Nghệ thuật hoa, hoa ép</v>
      </c>
      <c r="E892" s="4" t="str">
        <f ca="1">IFERROR(__xludf.DUMMYFUNCTION("GOOGLETRANSLATE(C892,""ja"",""vi"")"),"Đấu giá&gt; Sở thích, văn hóa&gt; thủ công, thủ công mỹ nghệ&gt; Nghệ thuật hoa, hoa ép")</f>
        <v>Đấu giá&gt; Sở thích, văn hóa&gt; thủ công, thủ công mỹ nghệ&gt; Nghệ thuật hoa, hoa ép</v>
      </c>
      <c r="F892" t="str">
        <f t="shared" ca="1" si="13"/>
        <v>"2084006705" : "Nghệ thuật hoa, hoa ép",</v>
      </c>
    </row>
    <row r="893" spans="1:6" ht="15.75" customHeight="1">
      <c r="A893" s="18">
        <v>2084042440</v>
      </c>
      <c r="B893" s="18" t="s">
        <v>18147</v>
      </c>
      <c r="C893" s="18" t="s">
        <v>18148</v>
      </c>
      <c r="D893" s="4" t="str">
        <f ca="1">IFERROR(__xludf.DUMMYFUNCTION("GOOGLETRANSLATE(B893,""ja"",""vi"")"),"Máy làm đồ gỗ, sơn")</f>
        <v>Máy làm đồ gỗ, sơn</v>
      </c>
      <c r="E893" s="4" t="str">
        <f ca="1">IFERROR(__xludf.DUMMYFUNCTION("GOOGLETRANSLATE(C893,""ja"",""vi"")"),"Đấu giá&gt; Sở thích, văn hóa&gt; thủ công, thủ công mỹ nghệ&gt; chế biến gỗ, sơn")</f>
        <v>Đấu giá&gt; Sở thích, văn hóa&gt; thủ công, thủ công mỹ nghệ&gt; chế biến gỗ, sơn</v>
      </c>
      <c r="F893" t="str">
        <f t="shared" ca="1" si="13"/>
        <v>"2084042440" : "Máy làm đồ gỗ, sơn",</v>
      </c>
    </row>
    <row r="894" spans="1:6" ht="15.75" customHeight="1">
      <c r="A894" s="18">
        <v>2084042442</v>
      </c>
      <c r="B894" s="18" t="s">
        <v>18151</v>
      </c>
      <c r="C894" s="18" t="s">
        <v>18152</v>
      </c>
      <c r="D894" s="4" t="str">
        <f ca="1">IFERROR(__xludf.DUMMYFUNCTION("GOOGLETRANSLATE(B894,""ja"",""vi"")"),"hàng thủ công kính")</f>
        <v>hàng thủ công kính</v>
      </c>
      <c r="E894" s="4" t="str">
        <f ca="1">IFERROR(__xludf.DUMMYFUNCTION("GOOGLETRANSLATE(C894,""ja"",""vi"")"),"Đấu giá&gt; Sở thích, văn hóa&gt; thủ công, thủ công mỹ nghệ&gt; thủ công kính")</f>
        <v>Đấu giá&gt; Sở thích, văn hóa&gt; thủ công, thủ công mỹ nghệ&gt; thủ công kính</v>
      </c>
      <c r="F894" t="str">
        <f t="shared" ca="1" si="13"/>
        <v>"2084042442" : "hàng thủ công kính",</v>
      </c>
    </row>
    <row r="895" spans="1:6" ht="15.75" customHeight="1">
      <c r="A895" s="18">
        <v>2084305345</v>
      </c>
      <c r="B895" s="18" t="s">
        <v>18158</v>
      </c>
      <c r="C895" s="18" t="s">
        <v>18159</v>
      </c>
      <c r="D895" s="4" t="str">
        <f ca="1">IFERROR(__xludf.DUMMYFUNCTION("GOOGLETRANSLATE(B895,""ja"",""vi"")"),"bạc Clay")</f>
        <v>bạc Clay</v>
      </c>
      <c r="E895" s="4" t="str">
        <f ca="1">IFERROR(__xludf.DUMMYFUNCTION("GOOGLETRANSLATE(C895,""ja"",""vi"")"),"Đấu giá&gt; Sở thích, văn hóa&gt; thủ công, thủ công mỹ nghệ&gt; Bạc Clay")</f>
        <v>Đấu giá&gt; Sở thích, văn hóa&gt; thủ công, thủ công mỹ nghệ&gt; Bạc Clay</v>
      </c>
      <c r="F895" t="str">
        <f t="shared" ca="1" si="13"/>
        <v>"2084305345" : "bạc Clay",</v>
      </c>
    </row>
    <row r="896" spans="1:6" ht="15.75" customHeight="1">
      <c r="A896" s="18">
        <v>2084042443</v>
      </c>
      <c r="B896" s="18" t="s">
        <v>18165</v>
      </c>
      <c r="C896" s="18" t="s">
        <v>18166</v>
      </c>
      <c r="D896" s="4" t="str">
        <f ca="1">IFERROR(__xludf.DUMMYFUNCTION("GOOGLETRANSLATE(B896,""ja"",""vi"")"),"chế biến kim loại, khắc")</f>
        <v>chế biến kim loại, khắc</v>
      </c>
      <c r="E896" s="4" t="str">
        <f ca="1">IFERROR(__xludf.DUMMYFUNCTION("GOOGLETRANSLATE(C896,""ja"",""vi"")"),"Đấu giá&gt; Sở thích, văn hóa&gt; thủ công, thủ công mỹ nghệ&gt; gia công kim loại, khắc")</f>
        <v>Đấu giá&gt; Sở thích, văn hóa&gt; thủ công, thủ công mỹ nghệ&gt; gia công kim loại, khắc</v>
      </c>
      <c r="F896" t="str">
        <f t="shared" ca="1" si="13"/>
        <v>"2084042443" : "chế biến kim loại, khắc",</v>
      </c>
    </row>
    <row r="897" spans="1:6" ht="15.75" customHeight="1">
      <c r="A897" s="18">
        <v>2084305332</v>
      </c>
      <c r="B897" s="18" t="s">
        <v>18169</v>
      </c>
      <c r="C897" s="18" t="s">
        <v>18170</v>
      </c>
      <c r="D897" s="4" t="str">
        <f ca="1">IFERROR(__xludf.DUMMYFUNCTION("GOOGLETRANSLATE(B897,""ja"",""vi"")"),"nến")</f>
        <v>nến</v>
      </c>
      <c r="E897" s="4" t="str">
        <f ca="1">IFERROR(__xludf.DUMMYFUNCTION("GOOGLETRANSLATE(C897,""ja"",""vi"")"),"Đấu giá&gt; Sở thích, văn hóa&gt; thủ công, thủ công mỹ nghệ&gt; nến")</f>
        <v>Đấu giá&gt; Sở thích, văn hóa&gt; thủ công, thủ công mỹ nghệ&gt; nến</v>
      </c>
      <c r="F897" t="str">
        <f t="shared" ca="1" si="13"/>
        <v>"2084305332" : "nến",</v>
      </c>
    </row>
    <row r="898" spans="1:6" ht="15.75" customHeight="1">
      <c r="A898" s="18">
        <v>2084063367</v>
      </c>
      <c r="B898" s="18" t="s">
        <v>18173</v>
      </c>
      <c r="C898" s="18" t="s">
        <v>18174</v>
      </c>
      <c r="D898" s="4" t="str">
        <f ca="1">IFERROR(__xludf.DUMMYFUNCTION("GOOGLETRANSLATE(B898,""ja"",""vi"")"),"Dekopatsu")</f>
        <v>Dekopatsu</v>
      </c>
      <c r="E898" s="4" t="str">
        <f ca="1">IFERROR(__xludf.DUMMYFUNCTION("GOOGLETRANSLATE(C898,""ja"",""vi"")"),"Đấu giá&gt; Sở thích, văn hóa&gt; thủ công, thủ công mỹ nghệ&gt; Dekopatsu")</f>
        <v>Đấu giá&gt; Sở thích, văn hóa&gt; thủ công, thủ công mỹ nghệ&gt; Dekopatsu</v>
      </c>
      <c r="F898" t="str">
        <f t="shared" ca="1" si="13"/>
        <v>"2084063367" : "Dekopatsu",</v>
      </c>
    </row>
    <row r="899" spans="1:6" ht="15.75" customHeight="1">
      <c r="A899" s="18">
        <v>25864</v>
      </c>
      <c r="B899" s="18" t="s">
        <v>7305</v>
      </c>
      <c r="C899" s="18" t="s">
        <v>18178</v>
      </c>
      <c r="D899" s="4" t="str">
        <f ca="1">IFERROR(__xludf.DUMMYFUNCTION("GOOGLETRANSLATE(B899,""ja"",""vi"")"),"tùy chỉnh búp bê")</f>
        <v>tùy chỉnh búp bê</v>
      </c>
      <c r="E899" s="4" t="str">
        <f ca="1">IFERROR(__xludf.DUMMYFUNCTION("GOOGLETRANSLATE(C899,""ja"",""vi"")"),"Đấu giá&gt; Sở thích, văn hóa&gt; thủ công, thủ công mỹ nghệ&gt; búp bê tùy chỉnh")</f>
        <v>Đấu giá&gt; Sở thích, văn hóa&gt; thủ công, thủ công mỹ nghệ&gt; búp bê tùy chỉnh</v>
      </c>
      <c r="F899" t="str">
        <f t="shared" ref="F899:F904" ca="1" si="14">CONCATENATE(CHAR(34)&amp;"",A899,""&amp;CHAR(34)," : ", CHAR(34)&amp;"",D899,""&amp;CHAR(34),",")</f>
        <v>"25864" : "tùy chỉnh búp bê",</v>
      </c>
    </row>
    <row r="900" spans="1:6" ht="15.75" customHeight="1">
      <c r="A900" s="18">
        <v>2084008951</v>
      </c>
      <c r="B900" s="18" t="s">
        <v>18182</v>
      </c>
      <c r="C900" s="18" t="s">
        <v>18184</v>
      </c>
      <c r="D900" s="4" t="str">
        <f ca="1">IFERROR(__xludf.DUMMYFUNCTION("GOOGLETRANSLATE(B900,""ja"",""vi"")"),"Thủ công mỹ nghệ Sách")</f>
        <v>Thủ công mỹ nghệ Sách</v>
      </c>
      <c r="E900" s="4" t="str">
        <f ca="1">IFERROR(__xludf.DUMMYFUNCTION("GOOGLETRANSLATE(C900,""ja"",""vi"")"),"Đấu giá&gt; Sở thích, văn hóa&gt; thủ công, thủ công mỹ nghệ&gt; Thủ công mỹ nghệ này")</f>
        <v>Đấu giá&gt; Sở thích, văn hóa&gt; thủ công, thủ công mỹ nghệ&gt; Thủ công mỹ nghệ này</v>
      </c>
      <c r="F900" t="str">
        <f t="shared" ca="1" si="14"/>
        <v>"2084008951" : "Thủ công mỹ nghệ Sách",</v>
      </c>
    </row>
    <row r="901" spans="1:6" ht="15.75" customHeight="1">
      <c r="A901" s="18">
        <v>20124</v>
      </c>
      <c r="B901" s="18" t="s">
        <v>18187</v>
      </c>
      <c r="C901" s="18" t="s">
        <v>18191</v>
      </c>
      <c r="D901" s="4" t="str">
        <f ca="1">IFERROR(__xludf.DUMMYFUNCTION("GOOGLETRANSLATE(B901,""ja"",""vi"")"),"Art Supplies")</f>
        <v>Art Supplies</v>
      </c>
      <c r="E901" s="4" t="str">
        <f ca="1">IFERROR(__xludf.DUMMYFUNCTION("GOOGLETRANSLATE(C901,""ja"",""vi"")"),"Đấu giá&gt; Sở thích, văn hóa&gt; thủ công, thủ công mỹ nghệ&gt; Art Supplies")</f>
        <v>Đấu giá&gt; Sở thích, văn hóa&gt; thủ công, thủ công mỹ nghệ&gt; Art Supplies</v>
      </c>
      <c r="F901" t="str">
        <f t="shared" ca="1" si="14"/>
        <v>"20124" : "Art Supplies",</v>
      </c>
    </row>
    <row r="902" spans="1:6" ht="15.75" customHeight="1">
      <c r="A902" s="18">
        <v>2084045790</v>
      </c>
      <c r="B902" s="18" t="s">
        <v>7383</v>
      </c>
      <c r="C902" s="18" t="s">
        <v>18195</v>
      </c>
      <c r="D902" s="4" t="str">
        <f ca="1">IFERROR(__xludf.DUMMYFUNCTION("GOOGLETRANSLATE(B902,""ja"",""vi"")"),"giống như người mẫu")</f>
        <v>giống như người mẫu</v>
      </c>
      <c r="E902" s="4" t="str">
        <f ca="1">IFERROR(__xludf.DUMMYFUNCTION("GOOGLETRANSLATE(C902,""ja"",""vi"")"),"Đấu giá&gt; Sở thích, văn hóa&gt; thủ công, thủ công mỹ nghệ&gt; nộm")</f>
        <v>Đấu giá&gt; Sở thích, văn hóa&gt; thủ công, thủ công mỹ nghệ&gt; nộm</v>
      </c>
      <c r="F902" t="str">
        <f t="shared" ca="1" si="14"/>
        <v>"2084045790" : "giống như người mẫu",</v>
      </c>
    </row>
    <row r="903" spans="1:6" ht="15.75" customHeight="1">
      <c r="A903" s="18">
        <v>2084220297</v>
      </c>
      <c r="B903" s="18" t="s">
        <v>3665</v>
      </c>
      <c r="C903" s="18" t="s">
        <v>18200</v>
      </c>
      <c r="D903" s="4" t="str">
        <f ca="1">IFERROR(__xludf.DUMMYFUNCTION("GOOGLETRANSLATE(B903,""ja"",""vi"")"),"thành phẩm")</f>
        <v>thành phẩm</v>
      </c>
      <c r="E903" s="4" t="str">
        <f ca="1">IFERROR(__xludf.DUMMYFUNCTION("GOOGLETRANSLATE(C903,""ja"",""vi"")"),"Đấu giá&gt; Sở thích, văn hóa&gt; thủ công, thủ công mỹ nghệ&gt; thành phẩm")</f>
        <v>Đấu giá&gt; Sở thích, văn hóa&gt; thủ công, thủ công mỹ nghệ&gt; thành phẩm</v>
      </c>
      <c r="F903" t="str">
        <f t="shared" ca="1" si="14"/>
        <v>"2084220297" : "thành phẩm",</v>
      </c>
    </row>
    <row r="904" spans="1:6" ht="15.75" customHeight="1">
      <c r="A904" s="18">
        <v>2084042439</v>
      </c>
      <c r="B904" s="18" t="s">
        <v>46</v>
      </c>
      <c r="C904" s="18" t="s">
        <v>18204</v>
      </c>
      <c r="D904" s="4" t="str">
        <f ca="1">IFERROR(__xludf.DUMMYFUNCTION("GOOGLETRANSLATE(B904,""ja"",""vi"")"),"nếu không thì")</f>
        <v>nếu không thì</v>
      </c>
      <c r="E904" s="4" t="str">
        <f ca="1">IFERROR(__xludf.DUMMYFUNCTION("GOOGLETRANSLATE(C904,""ja"",""vi"")"),"Đấu giá&gt; Sở thích, văn hóa&gt; thủ công, thủ công mỹ nghệ&gt; Khác")</f>
        <v>Đấu giá&gt; Sở thích, văn hóa&gt; thủ công, thủ công mỹ nghệ&gt; Khác</v>
      </c>
      <c r="F904" t="str">
        <f t="shared" ca="1" si="14"/>
        <v>"2084042439" : "nếu không thì",</v>
      </c>
    </row>
    <row r="905" spans="1:6" ht="15.75" customHeight="1"/>
    <row r="906" spans="1:6" ht="15.75" customHeight="1"/>
    <row r="907" spans="1:6" ht="15.75" customHeight="1"/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26084</vt:lpstr>
      <vt:lpstr>2084060731</vt:lpstr>
      <vt:lpstr>20060</vt:lpstr>
      <vt:lpstr>2084032594</vt:lpstr>
      <vt:lpstr>23336</vt:lpstr>
      <vt:lpstr>23632</vt:lpstr>
      <vt:lpstr>22152</vt:lpstr>
      <vt:lpstr>21600</vt:lpstr>
      <vt:lpstr>21964</vt:lpstr>
      <vt:lpstr>25464</vt:lpstr>
      <vt:lpstr>24242</vt:lpstr>
      <vt:lpstr>20000</vt:lpstr>
      <vt:lpstr>24698</vt:lpstr>
      <vt:lpstr>26318</vt:lpstr>
      <vt:lpstr>23000</vt:lpstr>
      <vt:lpstr>24202</vt:lpstr>
      <vt:lpstr>2084043920</vt:lpstr>
      <vt:lpstr>26086</vt:lpstr>
      <vt:lpstr>22896</vt:lpstr>
      <vt:lpstr>2084055844</vt:lpstr>
      <vt:lpstr>24198</vt:lpstr>
      <vt:lpstr>23976</vt:lpstr>
      <vt:lpstr>42177</vt:lpstr>
      <vt:lpstr>23140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TOMONI-DEV1</cp:lastModifiedBy>
  <dcterms:created xsi:type="dcterms:W3CDTF">2015-06-05T18:17:20Z</dcterms:created>
  <dcterms:modified xsi:type="dcterms:W3CDTF">2019-12-09T02:00:11Z</dcterms:modified>
</cp:coreProperties>
</file>